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Angold4/WorkSpace/compass-ui/public/sheets/"/>
    </mc:Choice>
  </mc:AlternateContent>
  <xr:revisionPtr revIDLastSave="0" documentId="13_ncr:1_{7B41A72F-7B40-224D-BEFB-2C14D6F464F2}" xr6:coauthVersionLast="47" xr6:coauthVersionMax="47" xr10:uidLastSave="{00000000-0000-0000-0000-000000000000}"/>
  <bookViews>
    <workbookView xWindow="35540" yWindow="28240" windowWidth="51200" windowHeight="28800" activeTab="11" xr2:uid="{00000000-000D-0000-FFFF-FFFF00000000}"/>
  </bookViews>
  <sheets>
    <sheet name="histstkp_fake" sheetId="1" r:id="rId1"/>
    <sheet name="example" sheetId="2" r:id="rId2"/>
    <sheet name="Form Responses" sheetId="3" r:id="rId3"/>
    <sheet name="AllSec" sheetId="4" r:id="rId4"/>
    <sheet name="Prelim Check" sheetId="5" r:id="rId5"/>
    <sheet name="HistPrices" sheetId="6" r:id="rId6"/>
    <sheet name="After1stCHK" sheetId="7" r:id="rId7"/>
    <sheet name="1TradeRecord" sheetId="8" r:id="rId8"/>
    <sheet name="1HistTrade" sheetId="9" r:id="rId9"/>
    <sheet name="HistSecRecord" sheetId="10" r:id="rId10"/>
    <sheet name="DbyD" sheetId="11" r:id="rId11"/>
    <sheet name="Trade Record by acct" sheetId="12" r:id="rId12"/>
    <sheet name="PortPerf" sheetId="13" r:id="rId13"/>
    <sheet name="PnL" sheetId="14" r:id="rId14"/>
    <sheet name="ToBeExpired" sheetId="15" r:id="rId15"/>
    <sheet name="Sheet18" sheetId="16" r:id="rId16"/>
    <sheet name="FX" sheetId="17" r:id="rId17"/>
    <sheet name="Margin Rules" sheetId="18" r:id="rId18"/>
    <sheet name="Procedures" sheetId="19" r:id="rId19"/>
    <sheet name="Current Balance" sheetId="20" r:id="rId20"/>
  </sheets>
  <definedNames>
    <definedName name="_xlnm._FilterDatabase" localSheetId="7" hidden="1">'1TradeRecord'!$C$4:$FI$43</definedName>
    <definedName name="Z_7D8B863A_66D0_4125_B256_685BA0F9E9E4_.wvu.FilterData" localSheetId="7" hidden="1">'1TradeRecord'!$C$4:$FI$43</definedName>
    <definedName name="Z_AE1E0116_B636_48E1_8BE2_7262C22B7E03_.wvu.FilterData" localSheetId="7" hidden="1">'1TradeRecord'!$C$4:$FI$43</definedName>
  </definedNames>
  <calcPr calcId="191029"/>
  <customWorkbookViews>
    <customWorkbookView name="Filter 1" guid="{AE1E0116-B636-48E1-8BE2-7262C22B7E03}" maximized="1" windowWidth="0" windowHeight="0" activeSheetId="0"/>
    <customWorkbookView name="Filter 2" guid="{7D8B863A-66D0-4125-B256-685BA0F9E9E4}" maximized="1" windowWidth="0" windowHeight="0" activeSheetId="0"/>
  </customWorkbookViews>
  <pivotCaches>
    <pivotCache cacheId="301" r:id="rId21"/>
    <pivotCache cacheId="311" r:id="rId22"/>
    <pivotCache cacheId="319" r:id="rId23"/>
    <pivotCache cacheId="362" r:id="rId24"/>
    <pivotCache cacheId="367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0" l="1"/>
  <c r="E2" i="20"/>
  <c r="D2" i="20"/>
  <c r="C2" i="20"/>
  <c r="B2" i="20"/>
  <c r="A2" i="20"/>
  <c r="L68" i="18"/>
  <c r="K68" i="18"/>
  <c r="J68" i="18"/>
  <c r="I68" i="18"/>
  <c r="H68" i="18"/>
  <c r="G68" i="18"/>
  <c r="F68" i="18"/>
  <c r="E68" i="18"/>
  <c r="D68" i="18"/>
  <c r="M67" i="18"/>
  <c r="K67" i="18"/>
  <c r="J67" i="18"/>
  <c r="I67" i="18"/>
  <c r="H67" i="18"/>
  <c r="G67" i="18"/>
  <c r="F67" i="18"/>
  <c r="E67" i="18"/>
  <c r="D67" i="18"/>
  <c r="M66" i="18"/>
  <c r="L66" i="18"/>
  <c r="J66" i="18"/>
  <c r="I66" i="18"/>
  <c r="H66" i="18"/>
  <c r="G66" i="18"/>
  <c r="F66" i="18"/>
  <c r="E66" i="18"/>
  <c r="D66" i="18"/>
  <c r="M65" i="18"/>
  <c r="L65" i="18"/>
  <c r="K65" i="18"/>
  <c r="I65" i="18"/>
  <c r="H65" i="18"/>
  <c r="G65" i="18"/>
  <c r="F65" i="18"/>
  <c r="E65" i="18"/>
  <c r="D65" i="18"/>
  <c r="M64" i="18"/>
  <c r="L64" i="18"/>
  <c r="K64" i="18"/>
  <c r="J64" i="18"/>
  <c r="H64" i="18"/>
  <c r="G64" i="18"/>
  <c r="F64" i="18"/>
  <c r="E64" i="18"/>
  <c r="D64" i="18"/>
  <c r="M63" i="18"/>
  <c r="L63" i="18"/>
  <c r="K63" i="18"/>
  <c r="J63" i="18"/>
  <c r="I63" i="18"/>
  <c r="G63" i="18"/>
  <c r="F63" i="18"/>
  <c r="E63" i="18"/>
  <c r="D63" i="18"/>
  <c r="M62" i="18"/>
  <c r="L62" i="18"/>
  <c r="K62" i="18"/>
  <c r="J62" i="18"/>
  <c r="I62" i="18"/>
  <c r="H62" i="18"/>
  <c r="F62" i="18"/>
  <c r="E62" i="18"/>
  <c r="D62" i="18"/>
  <c r="M61" i="18"/>
  <c r="L61" i="18"/>
  <c r="K61" i="18"/>
  <c r="J61" i="18"/>
  <c r="I61" i="18"/>
  <c r="H61" i="18"/>
  <c r="G61" i="18"/>
  <c r="E61" i="18"/>
  <c r="D61" i="18"/>
  <c r="M60" i="18"/>
  <c r="L60" i="18"/>
  <c r="K60" i="18"/>
  <c r="J60" i="18"/>
  <c r="I60" i="18"/>
  <c r="H60" i="18"/>
  <c r="G60" i="18"/>
  <c r="F60" i="18"/>
  <c r="D60" i="18"/>
  <c r="M59" i="18"/>
  <c r="L59" i="18"/>
  <c r="K59" i="18"/>
  <c r="J59" i="18"/>
  <c r="I59" i="18"/>
  <c r="H59" i="18"/>
  <c r="G59" i="18"/>
  <c r="F59" i="18"/>
  <c r="E59" i="18"/>
  <c r="C54" i="18"/>
  <c r="C53" i="18"/>
  <c r="C52" i="18"/>
  <c r="C51" i="18"/>
  <c r="C50" i="18"/>
  <c r="C49" i="18"/>
  <c r="C48" i="18"/>
  <c r="C47" i="18"/>
  <c r="C46" i="18"/>
  <c r="C45" i="18"/>
  <c r="M38" i="18"/>
  <c r="F38" i="18"/>
  <c r="G38" i="18" s="1"/>
  <c r="M37" i="18"/>
  <c r="F37" i="18"/>
  <c r="G37" i="18" s="1"/>
  <c r="M36" i="18"/>
  <c r="F36" i="18"/>
  <c r="G36" i="18" s="1"/>
  <c r="M35" i="18"/>
  <c r="F35" i="18"/>
  <c r="G35" i="18" s="1"/>
  <c r="T34" i="18"/>
  <c r="U34" i="18" s="1"/>
  <c r="V34" i="18" s="1"/>
  <c r="W34" i="18" s="1"/>
  <c r="S34" i="18"/>
  <c r="S35" i="18" s="1"/>
  <c r="S36" i="18" s="1"/>
  <c r="S37" i="18" s="1"/>
  <c r="S38" i="18" s="1"/>
  <c r="S39" i="18" s="1"/>
  <c r="S40" i="18" s="1"/>
  <c r="S41" i="18" s="1"/>
  <c r="S42" i="18" s="1"/>
  <c r="M34" i="18"/>
  <c r="F34" i="18"/>
  <c r="G34" i="18" s="1"/>
  <c r="V33" i="18"/>
  <c r="W33" i="18" s="1"/>
  <c r="U33" i="18"/>
  <c r="M33" i="18"/>
  <c r="G33" i="18"/>
  <c r="F33" i="18"/>
  <c r="M32" i="18"/>
  <c r="F32" i="18"/>
  <c r="G32" i="18" s="1"/>
  <c r="M31" i="18"/>
  <c r="G31" i="18"/>
  <c r="F31" i="18"/>
  <c r="M30" i="18"/>
  <c r="F30" i="18"/>
  <c r="G30" i="18" s="1"/>
  <c r="M29" i="18"/>
  <c r="G29" i="18"/>
  <c r="F29" i="18"/>
  <c r="B29" i="18"/>
  <c r="B30" i="18" s="1"/>
  <c r="B31" i="18" s="1"/>
  <c r="B32" i="18" s="1"/>
  <c r="B33" i="18" s="1"/>
  <c r="B34" i="18" s="1"/>
  <c r="B35" i="18" s="1"/>
  <c r="B36" i="18" s="1"/>
  <c r="B37" i="18" s="1"/>
  <c r="B38" i="18" s="1"/>
  <c r="M28" i="18"/>
  <c r="F28" i="18"/>
  <c r="G28" i="18" s="1"/>
  <c r="M27" i="18"/>
  <c r="F27" i="18"/>
  <c r="G27" i="18" s="1"/>
  <c r="M26" i="18"/>
  <c r="F26" i="18"/>
  <c r="G26" i="18" s="1"/>
  <c r="M25" i="18"/>
  <c r="I25" i="18"/>
  <c r="G25" i="18"/>
  <c r="F25" i="18"/>
  <c r="M24" i="18"/>
  <c r="J24" i="18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I24" i="18"/>
  <c r="K24" i="18" s="1"/>
  <c r="F24" i="18"/>
  <c r="G24" i="18" s="1"/>
  <c r="B24" i="18"/>
  <c r="B25" i="18" s="1"/>
  <c r="B26" i="18" s="1"/>
  <c r="B27" i="18" s="1"/>
  <c r="B28" i="18" s="1"/>
  <c r="L23" i="18"/>
  <c r="X6" i="18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A42" i="17" s="1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A41" i="17" s="1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A40" i="17" s="1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A39" i="17" s="1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A38" i="17" s="1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A37" i="17" s="1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A36" i="17" s="1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A35" i="17" s="1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A34" i="17" s="1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A33" i="17" s="1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F1" i="17"/>
  <c r="G1" i="17" s="1"/>
  <c r="H1" i="17" s="1"/>
  <c r="I1" i="17" s="1"/>
  <c r="J1" i="17" s="1"/>
  <c r="K1" i="17" s="1"/>
  <c r="L1" i="17" s="1"/>
  <c r="M1" i="17" s="1"/>
  <c r="N1" i="17" s="1"/>
  <c r="O1" i="17" s="1"/>
  <c r="P1" i="17" s="1"/>
  <c r="Q1" i="17" s="1"/>
  <c r="R1" i="17" s="1"/>
  <c r="S1" i="17" s="1"/>
  <c r="T1" i="17" s="1"/>
  <c r="U1" i="17" s="1"/>
  <c r="V1" i="17" s="1"/>
  <c r="W1" i="17" s="1"/>
  <c r="X1" i="17" s="1"/>
  <c r="Y1" i="17" s="1"/>
  <c r="Z1" i="17" s="1"/>
  <c r="AA1" i="17" s="1"/>
  <c r="AB1" i="17" s="1"/>
  <c r="AC1" i="17" s="1"/>
  <c r="AD1" i="17" s="1"/>
  <c r="AE1" i="17" s="1"/>
  <c r="AF1" i="17" s="1"/>
  <c r="AG1" i="17" s="1"/>
  <c r="AH1" i="17" s="1"/>
  <c r="AI1" i="17" s="1"/>
  <c r="AJ1" i="17" s="1"/>
  <c r="AK1" i="17" s="1"/>
  <c r="AL1" i="17" s="1"/>
  <c r="AM1" i="17" s="1"/>
  <c r="D1" i="17"/>
  <c r="E1" i="17" s="1"/>
  <c r="B1" i="17"/>
  <c r="C1" i="17" s="1"/>
  <c r="I48" i="16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D25" i="16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D72" i="16" s="1"/>
  <c r="D73" i="16" s="1"/>
  <c r="D74" i="16" s="1"/>
  <c r="D75" i="16" s="1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C25" i="16"/>
  <c r="D16" i="16"/>
  <c r="D17" i="16" s="1"/>
  <c r="D18" i="16" s="1"/>
  <c r="D19" i="16" s="1"/>
  <c r="D20" i="16" s="1"/>
  <c r="D21" i="16" s="1"/>
  <c r="D22" i="16" s="1"/>
  <c r="D23" i="16" s="1"/>
  <c r="D24" i="16" s="1"/>
  <c r="D11" i="16"/>
  <c r="D12" i="16" s="1"/>
  <c r="D13" i="16" s="1"/>
  <c r="D14" i="16" s="1"/>
  <c r="D15" i="16" s="1"/>
  <c r="I10" i="16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9" i="16"/>
  <c r="E9" i="16"/>
  <c r="D9" i="16"/>
  <c r="D10" i="16" s="1"/>
  <c r="I8" i="16"/>
  <c r="G8" i="16"/>
  <c r="H8" i="16" s="1"/>
  <c r="T13" i="15"/>
  <c r="Q13" i="15"/>
  <c r="P13" i="15"/>
  <c r="O13" i="15"/>
  <c r="N13" i="15"/>
  <c r="M13" i="15"/>
  <c r="L13" i="15"/>
  <c r="J13" i="15"/>
  <c r="H13" i="15"/>
  <c r="K13" i="15" s="1"/>
  <c r="T12" i="15"/>
  <c r="Q12" i="15"/>
  <c r="P12" i="15"/>
  <c r="O12" i="15"/>
  <c r="N12" i="15"/>
  <c r="M12" i="15"/>
  <c r="L12" i="15"/>
  <c r="J12" i="15"/>
  <c r="H12" i="15"/>
  <c r="K12" i="15" s="1"/>
  <c r="T11" i="15"/>
  <c r="Q11" i="15"/>
  <c r="P11" i="15"/>
  <c r="O11" i="15"/>
  <c r="N11" i="15"/>
  <c r="M11" i="15"/>
  <c r="L11" i="15"/>
  <c r="J11" i="15"/>
  <c r="H11" i="15"/>
  <c r="K11" i="15" s="1"/>
  <c r="T10" i="15"/>
  <c r="Q10" i="15"/>
  <c r="P10" i="15"/>
  <c r="O10" i="15"/>
  <c r="N10" i="15"/>
  <c r="M10" i="15"/>
  <c r="L10" i="15"/>
  <c r="J10" i="15"/>
  <c r="H10" i="15"/>
  <c r="K10" i="15" s="1"/>
  <c r="T9" i="15"/>
  <c r="Q9" i="15"/>
  <c r="P9" i="15"/>
  <c r="O9" i="15"/>
  <c r="N9" i="15"/>
  <c r="M9" i="15"/>
  <c r="L9" i="15"/>
  <c r="J9" i="15"/>
  <c r="H9" i="15"/>
  <c r="K9" i="15" s="1"/>
  <c r="T8" i="15"/>
  <c r="Q8" i="15"/>
  <c r="P8" i="15"/>
  <c r="O8" i="15"/>
  <c r="N8" i="15"/>
  <c r="M8" i="15"/>
  <c r="L8" i="15"/>
  <c r="J8" i="15"/>
  <c r="H8" i="15"/>
  <c r="K8" i="15" s="1"/>
  <c r="T7" i="15"/>
  <c r="Q7" i="15"/>
  <c r="P7" i="15"/>
  <c r="O7" i="15"/>
  <c r="N7" i="15"/>
  <c r="M7" i="15"/>
  <c r="L7" i="15"/>
  <c r="J7" i="15"/>
  <c r="H7" i="15"/>
  <c r="K7" i="15" s="1"/>
  <c r="N98" i="13"/>
  <c r="N97" i="13"/>
  <c r="O97" i="13" s="1"/>
  <c r="P97" i="13" s="1"/>
  <c r="N96" i="13"/>
  <c r="O96" i="13" s="1"/>
  <c r="P96" i="13" s="1"/>
  <c r="O95" i="13"/>
  <c r="P95" i="13" s="1"/>
  <c r="N95" i="13"/>
  <c r="N94" i="13"/>
  <c r="O94" i="13" s="1"/>
  <c r="P94" i="13" s="1"/>
  <c r="N93" i="13"/>
  <c r="N92" i="13"/>
  <c r="O92" i="13" s="1"/>
  <c r="P92" i="13" s="1"/>
  <c r="N91" i="13"/>
  <c r="P90" i="13"/>
  <c r="O90" i="13"/>
  <c r="N90" i="13"/>
  <c r="O91" i="13" s="1"/>
  <c r="P91" i="13" s="1"/>
  <c r="N89" i="13"/>
  <c r="O89" i="13" s="1"/>
  <c r="P89" i="13" s="1"/>
  <c r="N88" i="13"/>
  <c r="N87" i="13"/>
  <c r="O87" i="13" s="1"/>
  <c r="P87" i="13" s="1"/>
  <c r="N86" i="13"/>
  <c r="N85" i="13"/>
  <c r="O85" i="13" s="1"/>
  <c r="P85" i="13" s="1"/>
  <c r="Q85" i="13" s="1"/>
  <c r="R84" i="13" s="1"/>
  <c r="P84" i="13"/>
  <c r="Q84" i="13" s="1"/>
  <c r="O84" i="13"/>
  <c r="N84" i="13"/>
  <c r="N83" i="13"/>
  <c r="N82" i="13"/>
  <c r="N81" i="13"/>
  <c r="N80" i="13"/>
  <c r="O81" i="13" s="1"/>
  <c r="P81" i="13" s="1"/>
  <c r="N79" i="13"/>
  <c r="N78" i="13"/>
  <c r="O77" i="13"/>
  <c r="P77" i="13" s="1"/>
  <c r="N77" i="13"/>
  <c r="N76" i="13"/>
  <c r="O76" i="13" s="1"/>
  <c r="P76" i="13" s="1"/>
  <c r="O75" i="13"/>
  <c r="P75" i="13" s="1"/>
  <c r="N75" i="13"/>
  <c r="O74" i="13"/>
  <c r="P74" i="13" s="1"/>
  <c r="N74" i="13"/>
  <c r="N73" i="13"/>
  <c r="O72" i="13"/>
  <c r="P72" i="13" s="1"/>
  <c r="N72" i="13"/>
  <c r="O73" i="13" s="1"/>
  <c r="P73" i="13" s="1"/>
  <c r="N71" i="13"/>
  <c r="O71" i="13" s="1"/>
  <c r="P71" i="13" s="1"/>
  <c r="Q71" i="13" s="1"/>
  <c r="R70" i="13" s="1"/>
  <c r="P70" i="13"/>
  <c r="N70" i="13"/>
  <c r="O70" i="13" s="1"/>
  <c r="O69" i="13"/>
  <c r="P69" i="13" s="1"/>
  <c r="Q70" i="13" s="1"/>
  <c r="R69" i="13" s="1"/>
  <c r="N69" i="13"/>
  <c r="N68" i="13"/>
  <c r="O68" i="13" s="1"/>
  <c r="P68" i="13" s="1"/>
  <c r="N67" i="13"/>
  <c r="N66" i="13"/>
  <c r="O67" i="13" s="1"/>
  <c r="P67" i="13" s="1"/>
  <c r="N65" i="13"/>
  <c r="N64" i="13"/>
  <c r="O65" i="13" s="1"/>
  <c r="P65" i="13" s="1"/>
  <c r="O63" i="13"/>
  <c r="P63" i="13" s="1"/>
  <c r="N63" i="13"/>
  <c r="N62" i="13"/>
  <c r="P61" i="13"/>
  <c r="O61" i="13"/>
  <c r="N61" i="13"/>
  <c r="N60" i="13"/>
  <c r="O60" i="13" s="1"/>
  <c r="P60" i="13" s="1"/>
  <c r="P59" i="13"/>
  <c r="O59" i="13"/>
  <c r="N59" i="13"/>
  <c r="N58" i="13"/>
  <c r="O58" i="13" s="1"/>
  <c r="P58" i="13" s="1"/>
  <c r="O57" i="13"/>
  <c r="P57" i="13" s="1"/>
  <c r="N57" i="13"/>
  <c r="N56" i="13"/>
  <c r="O56" i="13" s="1"/>
  <c r="P56" i="13" s="1"/>
  <c r="Q55" i="13"/>
  <c r="O55" i="13"/>
  <c r="P55" i="13" s="1"/>
  <c r="N55" i="13"/>
  <c r="R54" i="13"/>
  <c r="P54" i="13"/>
  <c r="Q54" i="13" s="1"/>
  <c r="O54" i="13"/>
  <c r="N54" i="13"/>
  <c r="N53" i="13"/>
  <c r="O53" i="13" s="1"/>
  <c r="P53" i="13" s="1"/>
  <c r="N52" i="13"/>
  <c r="O52" i="13" s="1"/>
  <c r="P52" i="13" s="1"/>
  <c r="P51" i="13"/>
  <c r="O51" i="13"/>
  <c r="N51" i="13"/>
  <c r="N50" i="13"/>
  <c r="O50" i="13" s="1"/>
  <c r="P50" i="13" s="1"/>
  <c r="N49" i="13"/>
  <c r="N48" i="13"/>
  <c r="N47" i="13"/>
  <c r="O47" i="13" s="1"/>
  <c r="P47" i="13" s="1"/>
  <c r="N46" i="13"/>
  <c r="N45" i="13"/>
  <c r="O45" i="13" s="1"/>
  <c r="P45" i="13" s="1"/>
  <c r="N44" i="13"/>
  <c r="O44" i="13" s="1"/>
  <c r="P44" i="13" s="1"/>
  <c r="P43" i="13"/>
  <c r="O43" i="13"/>
  <c r="N43" i="13"/>
  <c r="N42" i="13"/>
  <c r="O42" i="13" s="1"/>
  <c r="P42" i="13" s="1"/>
  <c r="N41" i="13"/>
  <c r="N40" i="13"/>
  <c r="Q39" i="13"/>
  <c r="O39" i="13"/>
  <c r="P39" i="13" s="1"/>
  <c r="N39" i="13"/>
  <c r="N38" i="13"/>
  <c r="N37" i="13"/>
  <c r="O37" i="13" s="1"/>
  <c r="P37" i="13" s="1"/>
  <c r="N36" i="13"/>
  <c r="O36" i="13" s="1"/>
  <c r="P36" i="13" s="1"/>
  <c r="P35" i="13"/>
  <c r="O35" i="13"/>
  <c r="N35" i="13"/>
  <c r="N34" i="13"/>
  <c r="O34" i="13" s="1"/>
  <c r="P34" i="13" s="1"/>
  <c r="N33" i="13"/>
  <c r="N32" i="13"/>
  <c r="O32" i="13" s="1"/>
  <c r="P32" i="13" s="1"/>
  <c r="O31" i="13"/>
  <c r="P31" i="13" s="1"/>
  <c r="N31" i="13"/>
  <c r="O30" i="13"/>
  <c r="P30" i="13" s="1"/>
  <c r="N30" i="13"/>
  <c r="N29" i="13"/>
  <c r="O29" i="13" s="1"/>
  <c r="P29" i="13" s="1"/>
  <c r="N28" i="13"/>
  <c r="O28" i="13" s="1"/>
  <c r="P28" i="13" s="1"/>
  <c r="N27" i="13"/>
  <c r="O27" i="13" s="1"/>
  <c r="P27" i="13" s="1"/>
  <c r="N26" i="13"/>
  <c r="O26" i="13" s="1"/>
  <c r="P26" i="13" s="1"/>
  <c r="P25" i="13"/>
  <c r="Q25" i="13" s="1"/>
  <c r="R24" i="13" s="1"/>
  <c r="O25" i="13"/>
  <c r="N25" i="13"/>
  <c r="O24" i="13"/>
  <c r="P24" i="13" s="1"/>
  <c r="Q24" i="13" s="1"/>
  <c r="N24" i="13"/>
  <c r="O23" i="13"/>
  <c r="P23" i="13" s="1"/>
  <c r="N23" i="13"/>
  <c r="O22" i="13"/>
  <c r="P22" i="13" s="1"/>
  <c r="N22" i="13"/>
  <c r="N21" i="13"/>
  <c r="O21" i="13" s="1"/>
  <c r="P21" i="13" s="1"/>
  <c r="N20" i="13"/>
  <c r="O20" i="13" s="1"/>
  <c r="P20" i="13" s="1"/>
  <c r="N19" i="13"/>
  <c r="O19" i="13" s="1"/>
  <c r="P19" i="13" s="1"/>
  <c r="N18" i="13"/>
  <c r="O18" i="13" s="1"/>
  <c r="P18" i="13" s="1"/>
  <c r="P17" i="13"/>
  <c r="O17" i="13"/>
  <c r="N17" i="13"/>
  <c r="N16" i="13"/>
  <c r="O16" i="13" s="1"/>
  <c r="P16" i="13" s="1"/>
  <c r="O15" i="13"/>
  <c r="P15" i="13" s="1"/>
  <c r="N15" i="13"/>
  <c r="O14" i="13"/>
  <c r="P14" i="13" s="1"/>
  <c r="N14" i="13"/>
  <c r="N13" i="13"/>
  <c r="N12" i="13"/>
  <c r="O12" i="13" s="1"/>
  <c r="P12" i="13" s="1"/>
  <c r="N11" i="13"/>
  <c r="O11" i="13" s="1"/>
  <c r="P11" i="13" s="1"/>
  <c r="P10" i="13"/>
  <c r="Q10" i="13" s="1"/>
  <c r="R9" i="13" s="1"/>
  <c r="N10" i="13"/>
  <c r="O9" i="13"/>
  <c r="P9" i="13" s="1"/>
  <c r="Q9" i="13" s="1"/>
  <c r="N9" i="13"/>
  <c r="O10" i="13" s="1"/>
  <c r="Q8" i="13"/>
  <c r="O8" i="13"/>
  <c r="N8" i="13"/>
  <c r="L6" i="13"/>
  <c r="K6" i="13"/>
  <c r="J6" i="13"/>
  <c r="I6" i="13"/>
  <c r="H6" i="13"/>
  <c r="G6" i="13"/>
  <c r="F6" i="13"/>
  <c r="E6" i="13"/>
  <c r="D6" i="13"/>
  <c r="C6" i="13"/>
  <c r="B6" i="13"/>
  <c r="A6" i="13"/>
  <c r="B4" i="13"/>
  <c r="I2" i="12"/>
  <c r="H2" i="12"/>
  <c r="G2" i="12"/>
  <c r="F2" i="12"/>
  <c r="E2" i="12"/>
  <c r="D2" i="12"/>
  <c r="C2" i="12"/>
  <c r="B2" i="12"/>
  <c r="A2" i="12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5" i="10"/>
  <c r="A43" i="10"/>
  <c r="BB42" i="10"/>
  <c r="BA42" i="10"/>
  <c r="AZ42" i="10"/>
  <c r="AY42" i="10"/>
  <c r="AX42" i="10"/>
  <c r="AW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42" i="10"/>
  <c r="AV42" i="10" s="1"/>
  <c r="BD41" i="10"/>
  <c r="BC41" i="10"/>
  <c r="BB41" i="10"/>
  <c r="BA41" i="10"/>
  <c r="AZ41" i="10"/>
  <c r="AU41" i="10"/>
  <c r="AT41" i="10"/>
  <c r="AS41" i="10"/>
  <c r="AR41" i="10"/>
  <c r="AP41" i="10"/>
  <c r="AO41" i="10"/>
  <c r="AN41" i="10"/>
  <c r="AM41" i="10"/>
  <c r="AL41" i="10"/>
  <c r="AK41" i="10"/>
  <c r="AJ41" i="10"/>
  <c r="AI41" i="10"/>
  <c r="BE41" i="10" s="1"/>
  <c r="AH41" i="10"/>
  <c r="AG41" i="10"/>
  <c r="A41" i="10"/>
  <c r="AY41" i="10" s="1"/>
  <c r="BE40" i="10"/>
  <c r="BD40" i="10"/>
  <c r="BC40" i="10"/>
  <c r="AP40" i="10"/>
  <c r="AO40" i="10"/>
  <c r="AN40" i="10"/>
  <c r="AM40" i="10"/>
  <c r="AL40" i="10"/>
  <c r="AK40" i="10"/>
  <c r="AI40" i="10"/>
  <c r="AH40" i="10"/>
  <c r="AG40" i="10"/>
  <c r="A40" i="10"/>
  <c r="BD39" i="10"/>
  <c r="AZ39" i="10"/>
  <c r="AW39" i="10"/>
  <c r="AV39" i="10"/>
  <c r="AR39" i="10"/>
  <c r="AP39" i="10"/>
  <c r="AO39" i="10"/>
  <c r="AN39" i="10"/>
  <c r="AM39" i="10"/>
  <c r="AL39" i="10"/>
  <c r="AK39" i="10"/>
  <c r="AJ39" i="10"/>
  <c r="AI39" i="10"/>
  <c r="BC39" i="10" s="1"/>
  <c r="AG39" i="10"/>
  <c r="AH39" i="10" s="1"/>
  <c r="A39" i="10"/>
  <c r="AX39" i="10" s="1"/>
  <c r="BB38" i="10"/>
  <c r="BA38" i="10"/>
  <c r="AZ38" i="10"/>
  <c r="AY38" i="10"/>
  <c r="AX38" i="10"/>
  <c r="AW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38" i="10"/>
  <c r="AV38" i="10" s="1"/>
  <c r="BD37" i="10"/>
  <c r="BC37" i="10"/>
  <c r="AP37" i="10"/>
  <c r="AO37" i="10"/>
  <c r="AN37" i="10"/>
  <c r="AM37" i="10"/>
  <c r="AL37" i="10"/>
  <c r="AK37" i="10"/>
  <c r="AI37" i="10"/>
  <c r="BE37" i="10" s="1"/>
  <c r="AH37" i="10"/>
  <c r="AG37" i="10"/>
  <c r="A37" i="10"/>
  <c r="BE36" i="10"/>
  <c r="BD36" i="10"/>
  <c r="BC36" i="10"/>
  <c r="BB36" i="10"/>
  <c r="AX36" i="10"/>
  <c r="AW36" i="10"/>
  <c r="AU36" i="10"/>
  <c r="AT36" i="10"/>
  <c r="AP36" i="10"/>
  <c r="AO36" i="10"/>
  <c r="AN36" i="10"/>
  <c r="AM36" i="10"/>
  <c r="AL36" i="10"/>
  <c r="AK36" i="10"/>
  <c r="AI36" i="10"/>
  <c r="AG36" i="10"/>
  <c r="AH36" i="10" s="1"/>
  <c r="A36" i="10"/>
  <c r="AV36" i="10" s="1"/>
  <c r="BD35" i="10"/>
  <c r="AZ35" i="10"/>
  <c r="AX35" i="10"/>
  <c r="AW35" i="10"/>
  <c r="AV35" i="10"/>
  <c r="AR35" i="10"/>
  <c r="AQ35" i="10"/>
  <c r="AP35" i="10"/>
  <c r="AO35" i="10"/>
  <c r="AN35" i="10"/>
  <c r="AM35" i="10"/>
  <c r="AL35" i="10"/>
  <c r="AK35" i="10"/>
  <c r="AJ35" i="10"/>
  <c r="AI35" i="10"/>
  <c r="BC35" i="10" s="1"/>
  <c r="AH35" i="10"/>
  <c r="AG35" i="10"/>
  <c r="A35" i="10"/>
  <c r="BB34" i="10"/>
  <c r="BA34" i="10"/>
  <c r="AZ34" i="10"/>
  <c r="AY34" i="10"/>
  <c r="AX34" i="10"/>
  <c r="AW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34" i="10"/>
  <c r="AV34" i="10" s="1"/>
  <c r="AP33" i="10"/>
  <c r="AO33" i="10"/>
  <c r="AN33" i="10"/>
  <c r="AM33" i="10"/>
  <c r="AL33" i="10"/>
  <c r="AK33" i="10"/>
  <c r="AI33" i="10"/>
  <c r="BE33" i="10" s="1"/>
  <c r="AH33" i="10"/>
  <c r="AG33" i="10"/>
  <c r="AP32" i="10"/>
  <c r="AO32" i="10"/>
  <c r="AM32" i="10"/>
  <c r="AL32" i="10"/>
  <c r="AK32" i="10"/>
  <c r="AI32" i="10"/>
  <c r="BE32" i="10" s="1"/>
  <c r="AG32" i="10"/>
  <c r="AP31" i="10"/>
  <c r="AO31" i="10"/>
  <c r="AN31" i="10"/>
  <c r="AH31" i="10" s="1"/>
  <c r="AM31" i="10"/>
  <c r="AL31" i="10"/>
  <c r="AK31" i="10"/>
  <c r="AI31" i="10"/>
  <c r="AG31" i="10"/>
  <c r="A31" i="10"/>
  <c r="BA30" i="10"/>
  <c r="AX30" i="10"/>
  <c r="AP30" i="10"/>
  <c r="AO30" i="10"/>
  <c r="AN30" i="10"/>
  <c r="AM30" i="10"/>
  <c r="AL30" i="10"/>
  <c r="AK30" i="10"/>
  <c r="AJ30" i="10"/>
  <c r="AI30" i="10"/>
  <c r="AH30" i="10"/>
  <c r="AG30" i="10"/>
  <c r="AP29" i="10"/>
  <c r="AO29" i="10"/>
  <c r="AN29" i="10"/>
  <c r="AL29" i="10"/>
  <c r="AK29" i="10"/>
  <c r="AI29" i="10"/>
  <c r="BE29" i="10" s="1"/>
  <c r="AH29" i="10"/>
  <c r="AG29" i="10"/>
  <c r="A29" i="10"/>
  <c r="AP28" i="10"/>
  <c r="AO28" i="10"/>
  <c r="AN28" i="10"/>
  <c r="AL28" i="10"/>
  <c r="AK28" i="10"/>
  <c r="AI28" i="10"/>
  <c r="BE28" i="10" s="1"/>
  <c r="AG28" i="10"/>
  <c r="A28" i="10"/>
  <c r="AP27" i="10"/>
  <c r="AO27" i="10"/>
  <c r="AN27" i="10"/>
  <c r="AM27" i="10"/>
  <c r="AL27" i="10"/>
  <c r="AI27" i="10"/>
  <c r="BD27" i="10" s="1"/>
  <c r="AG27" i="10"/>
  <c r="A27" i="10"/>
  <c r="BA26" i="10"/>
  <c r="AT26" i="10"/>
  <c r="AP26" i="10"/>
  <c r="AO26" i="10"/>
  <c r="AN26" i="10"/>
  <c r="AM26" i="10"/>
  <c r="AL26" i="10"/>
  <c r="AI26" i="10"/>
  <c r="AG26" i="10"/>
  <c r="A26" i="10"/>
  <c r="AP25" i="10"/>
  <c r="AO25" i="10"/>
  <c r="AN25" i="10"/>
  <c r="AM25" i="10"/>
  <c r="AL25" i="10"/>
  <c r="AK25" i="10"/>
  <c r="AI25" i="10"/>
  <c r="BC25" i="10" s="1"/>
  <c r="AH25" i="10"/>
  <c r="AG25" i="10"/>
  <c r="A25" i="10"/>
  <c r="BA24" i="10"/>
  <c r="AP24" i="10"/>
  <c r="AO24" i="10"/>
  <c r="AN24" i="10"/>
  <c r="AM24" i="10"/>
  <c r="AL24" i="10"/>
  <c r="AI24" i="10"/>
  <c r="BE24" i="10" s="1"/>
  <c r="AG24" i="10"/>
  <c r="A24" i="10"/>
  <c r="AP23" i="10"/>
  <c r="AO23" i="10"/>
  <c r="AN23" i="10"/>
  <c r="AM23" i="10"/>
  <c r="AL23" i="10"/>
  <c r="AK23" i="10"/>
  <c r="AI23" i="10"/>
  <c r="AH23" i="10"/>
  <c r="AG23" i="10"/>
  <c r="A23" i="10"/>
  <c r="AT22" i="10"/>
  <c r="AP22" i="10"/>
  <c r="AO22" i="10"/>
  <c r="AN22" i="10"/>
  <c r="AM22" i="10"/>
  <c r="AL22" i="10"/>
  <c r="AI22" i="10"/>
  <c r="BD22" i="10" s="1"/>
  <c r="AG22" i="10"/>
  <c r="A22" i="10"/>
  <c r="AP21" i="10"/>
  <c r="AO21" i="10"/>
  <c r="AN21" i="10"/>
  <c r="AM21" i="10"/>
  <c r="AL21" i="10"/>
  <c r="AK21" i="10"/>
  <c r="AI21" i="10"/>
  <c r="BC21" i="10" s="1"/>
  <c r="AH21" i="10"/>
  <c r="AG21" i="10"/>
  <c r="A21" i="10"/>
  <c r="BA20" i="10"/>
  <c r="AP20" i="10"/>
  <c r="AO20" i="10"/>
  <c r="AN20" i="10"/>
  <c r="AK20" i="10"/>
  <c r="AI20" i="10"/>
  <c r="BD20" i="10" s="1"/>
  <c r="AG20" i="10"/>
  <c r="A20" i="10"/>
  <c r="AP19" i="10"/>
  <c r="AO19" i="10"/>
  <c r="AN19" i="10"/>
  <c r="AM19" i="10"/>
  <c r="AL19" i="10"/>
  <c r="AK19" i="10"/>
  <c r="AI19" i="10"/>
  <c r="BD19" i="10" s="1"/>
  <c r="AH19" i="10"/>
  <c r="AG19" i="10"/>
  <c r="A19" i="10"/>
  <c r="AT18" i="10"/>
  <c r="AP18" i="10"/>
  <c r="AO18" i="10"/>
  <c r="AN18" i="10"/>
  <c r="AM18" i="10"/>
  <c r="AL18" i="10"/>
  <c r="AK18" i="10"/>
  <c r="AI18" i="10"/>
  <c r="AH18" i="10"/>
  <c r="AG18" i="10"/>
  <c r="A18" i="10"/>
  <c r="AT17" i="10"/>
  <c r="AP17" i="10"/>
  <c r="AO17" i="10"/>
  <c r="AN17" i="10"/>
  <c r="AM17" i="10"/>
  <c r="AL17" i="10"/>
  <c r="AI17" i="10"/>
  <c r="BC17" i="10" s="1"/>
  <c r="AG17" i="10"/>
  <c r="A17" i="10"/>
  <c r="AP16" i="10"/>
  <c r="AO16" i="10"/>
  <c r="AN16" i="10"/>
  <c r="AM16" i="10"/>
  <c r="AL16" i="10"/>
  <c r="AK16" i="10"/>
  <c r="AH16" i="10" s="1"/>
  <c r="AI16" i="10"/>
  <c r="BC16" i="10" s="1"/>
  <c r="AG16" i="10"/>
  <c r="A16" i="10"/>
  <c r="AP15" i="10"/>
  <c r="AO15" i="10"/>
  <c r="AN15" i="10"/>
  <c r="AM15" i="10"/>
  <c r="AL15" i="10"/>
  <c r="AI15" i="10"/>
  <c r="AG15" i="10"/>
  <c r="AP14" i="10"/>
  <c r="AO14" i="10"/>
  <c r="AN14" i="10"/>
  <c r="AM14" i="10"/>
  <c r="AL14" i="10"/>
  <c r="AI14" i="10"/>
  <c r="BC14" i="10" s="1"/>
  <c r="AG14" i="10"/>
  <c r="AP13" i="10"/>
  <c r="AO13" i="10"/>
  <c r="AN13" i="10"/>
  <c r="AM13" i="10"/>
  <c r="AL13" i="10"/>
  <c r="AK13" i="10"/>
  <c r="AI13" i="10"/>
  <c r="BE13" i="10" s="1"/>
  <c r="AH13" i="10"/>
  <c r="AG13" i="10"/>
  <c r="A13" i="10"/>
  <c r="BA12" i="10"/>
  <c r="AP12" i="10"/>
  <c r="AO12" i="10"/>
  <c r="AN12" i="10"/>
  <c r="AM12" i="10"/>
  <c r="AL12" i="10"/>
  <c r="AI12" i="10"/>
  <c r="BC12" i="10" s="1"/>
  <c r="AG12" i="10"/>
  <c r="A12" i="10"/>
  <c r="AP11" i="10"/>
  <c r="AO11" i="10"/>
  <c r="AN11" i="10"/>
  <c r="AM11" i="10"/>
  <c r="AL11" i="10"/>
  <c r="AI11" i="10"/>
  <c r="BC11" i="10" s="1"/>
  <c r="AG11" i="10"/>
  <c r="AP10" i="10"/>
  <c r="AO10" i="10"/>
  <c r="AN10" i="10"/>
  <c r="AM10" i="10"/>
  <c r="AL10" i="10"/>
  <c r="AI10" i="10"/>
  <c r="BC10" i="10" s="1"/>
  <c r="AG10" i="10"/>
  <c r="AT9" i="10"/>
  <c r="AP9" i="10"/>
  <c r="AO9" i="10"/>
  <c r="AN9" i="10"/>
  <c r="AM9" i="10"/>
  <c r="AL9" i="10"/>
  <c r="AI9" i="10"/>
  <c r="AG9" i="10"/>
  <c r="A9" i="10"/>
  <c r="AP8" i="10"/>
  <c r="AO8" i="10"/>
  <c r="AN8" i="10"/>
  <c r="AM8" i="10"/>
  <c r="AL8" i="10"/>
  <c r="AI8" i="10"/>
  <c r="BC8" i="10" s="1"/>
  <c r="AG8" i="10"/>
  <c r="A8" i="10"/>
  <c r="AP7" i="10"/>
  <c r="AO7" i="10"/>
  <c r="AN7" i="10"/>
  <c r="AM7" i="10"/>
  <c r="AL7" i="10"/>
  <c r="AI7" i="10"/>
  <c r="AG7" i="10"/>
  <c r="AP6" i="10"/>
  <c r="AO6" i="10"/>
  <c r="AN6" i="10"/>
  <c r="AM6" i="10"/>
  <c r="AL6" i="10"/>
  <c r="AK6" i="10"/>
  <c r="AI6" i="10"/>
  <c r="BC6" i="10" s="1"/>
  <c r="AG6" i="10"/>
  <c r="AH6" i="10" s="1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BE5" i="10" s="1"/>
  <c r="AH5" i="10"/>
  <c r="AG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BB3" i="10"/>
  <c r="BA3" i="10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BD2" i="10"/>
  <c r="BC2" i="10"/>
  <c r="BB2" i="10"/>
  <c r="BD1" i="10"/>
  <c r="E1" i="10"/>
  <c r="A30" i="10" s="1"/>
  <c r="AT30" i="10" s="1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0" i="9"/>
  <c r="A39" i="9"/>
  <c r="A38" i="9"/>
  <c r="A36" i="9"/>
  <c r="A35" i="9"/>
  <c r="A32" i="9"/>
  <c r="A31" i="9"/>
  <c r="A30" i="9"/>
  <c r="A28" i="9"/>
  <c r="A27" i="9"/>
  <c r="A24" i="9"/>
  <c r="A23" i="9"/>
  <c r="A22" i="9"/>
  <c r="A20" i="9"/>
  <c r="A19" i="9"/>
  <c r="A16" i="9"/>
  <c r="A15" i="9"/>
  <c r="A14" i="9"/>
  <c r="A12" i="9"/>
  <c r="A11" i="9"/>
  <c r="A8" i="9"/>
  <c r="A7" i="9"/>
  <c r="A6" i="9"/>
  <c r="CR2" i="9"/>
  <c r="CQ2" i="9"/>
  <c r="CP2" i="9"/>
  <c r="CO2" i="9"/>
  <c r="A2" i="9"/>
  <c r="DT43" i="8"/>
  <c r="DQ43" i="8"/>
  <c r="CQ43" i="8"/>
  <c r="CP43" i="8"/>
  <c r="BE43" i="8"/>
  <c r="N43" i="8"/>
  <c r="M43" i="8"/>
  <c r="L43" i="8"/>
  <c r="K43" i="8"/>
  <c r="J43" i="8"/>
  <c r="I43" i="8"/>
  <c r="EE43" i="8" s="1"/>
  <c r="H43" i="8"/>
  <c r="BM43" i="8" s="1"/>
  <c r="G43" i="8"/>
  <c r="BI43" i="8" s="1"/>
  <c r="E43" i="8"/>
  <c r="A43" i="8" s="1"/>
  <c r="D43" i="8"/>
  <c r="EK43" i="8" s="1"/>
  <c r="C43" i="8"/>
  <c r="B43" i="8"/>
  <c r="EJ42" i="8"/>
  <c r="DT42" i="8"/>
  <c r="DQ42" i="8"/>
  <c r="CQ42" i="8"/>
  <c r="CP42" i="8"/>
  <c r="CO42" i="8"/>
  <c r="CM42" i="8"/>
  <c r="BH42" i="8"/>
  <c r="BE42" i="8"/>
  <c r="AS42" i="8"/>
  <c r="AQ42" i="8"/>
  <c r="AA42" i="8"/>
  <c r="Y42" i="8"/>
  <c r="T42" i="8"/>
  <c r="N42" i="8"/>
  <c r="M42" i="8"/>
  <c r="L42" i="8"/>
  <c r="K42" i="8"/>
  <c r="J42" i="8"/>
  <c r="I42" i="8"/>
  <c r="AV42" i="8" s="1"/>
  <c r="H42" i="8"/>
  <c r="BM42" i="8" s="1"/>
  <c r="G42" i="8"/>
  <c r="BI42" i="8" s="1"/>
  <c r="BU42" i="8" s="1"/>
  <c r="E42" i="8"/>
  <c r="D42" i="8"/>
  <c r="C42" i="8"/>
  <c r="B42" i="8"/>
  <c r="Z42" i="8" s="1"/>
  <c r="A42" i="8"/>
  <c r="DT41" i="8"/>
  <c r="DQ41" i="8"/>
  <c r="CQ41" i="8"/>
  <c r="CP41" i="8"/>
  <c r="BE41" i="8"/>
  <c r="AT41" i="8"/>
  <c r="AS41" i="8"/>
  <c r="AP41" i="8"/>
  <c r="AL41" i="8"/>
  <c r="AK41" i="8"/>
  <c r="AG41" i="8"/>
  <c r="AF41" i="8"/>
  <c r="AE41" i="8"/>
  <c r="Z41" i="8"/>
  <c r="X41" i="8"/>
  <c r="V41" i="8"/>
  <c r="BK41" i="8" s="1"/>
  <c r="N41" i="8"/>
  <c r="M41" i="8"/>
  <c r="L41" i="8"/>
  <c r="K41" i="8"/>
  <c r="J41" i="8"/>
  <c r="I41" i="8"/>
  <c r="H41" i="8"/>
  <c r="BM41" i="8" s="1"/>
  <c r="G41" i="8"/>
  <c r="BI41" i="8" s="1"/>
  <c r="E41" i="8"/>
  <c r="D41" i="8"/>
  <c r="EH41" i="8" s="1"/>
  <c r="C41" i="8"/>
  <c r="B41" i="8"/>
  <c r="AU41" i="8" s="1"/>
  <c r="DT40" i="8"/>
  <c r="DQ40" i="8"/>
  <c r="CQ40" i="8"/>
  <c r="CP40" i="8"/>
  <c r="BM40" i="8"/>
  <c r="CN40" i="8" s="1"/>
  <c r="BE40" i="8"/>
  <c r="AO40" i="8"/>
  <c r="AE40" i="8"/>
  <c r="AC40" i="8"/>
  <c r="N40" i="8"/>
  <c r="M40" i="8"/>
  <c r="L40" i="8"/>
  <c r="K40" i="8"/>
  <c r="J40" i="8"/>
  <c r="I40" i="8"/>
  <c r="H40" i="8"/>
  <c r="G40" i="8"/>
  <c r="BI40" i="8" s="1"/>
  <c r="E40" i="8"/>
  <c r="EG40" i="8" s="1"/>
  <c r="D40" i="8"/>
  <c r="C40" i="8"/>
  <c r="B40" i="8"/>
  <c r="AN40" i="8" s="1"/>
  <c r="EH39" i="8"/>
  <c r="DT39" i="8"/>
  <c r="DQ39" i="8"/>
  <c r="CQ39" i="8"/>
  <c r="CP39" i="8"/>
  <c r="BN39" i="8"/>
  <c r="BP39" i="8" s="1"/>
  <c r="BE39" i="8"/>
  <c r="AV39" i="8"/>
  <c r="AE39" i="8"/>
  <c r="AC39" i="8"/>
  <c r="N39" i="8"/>
  <c r="M39" i="8"/>
  <c r="L39" i="8"/>
  <c r="K39" i="8"/>
  <c r="J39" i="8"/>
  <c r="I39" i="8"/>
  <c r="CM39" i="8" s="1"/>
  <c r="H39" i="8"/>
  <c r="BM39" i="8" s="1"/>
  <c r="CN39" i="8" s="1"/>
  <c r="G39" i="8"/>
  <c r="BI39" i="8" s="1"/>
  <c r="E39" i="8"/>
  <c r="D39" i="8"/>
  <c r="C39" i="8"/>
  <c r="B39" i="8"/>
  <c r="AU39" i="8" s="1"/>
  <c r="DT38" i="8"/>
  <c r="DQ38" i="8"/>
  <c r="CQ38" i="8"/>
  <c r="CP38" i="8"/>
  <c r="BH38" i="8"/>
  <c r="BE38" i="8"/>
  <c r="N38" i="8"/>
  <c r="M38" i="8"/>
  <c r="L38" i="8"/>
  <c r="K38" i="8"/>
  <c r="J38" i="8"/>
  <c r="I38" i="8"/>
  <c r="H38" i="8"/>
  <c r="BM38" i="8" s="1"/>
  <c r="G38" i="8"/>
  <c r="BI38" i="8" s="1"/>
  <c r="E38" i="8"/>
  <c r="D38" i="8"/>
  <c r="CV38" i="8" s="1"/>
  <c r="C38" i="8"/>
  <c r="B38" i="8"/>
  <c r="AH38" i="8" s="1"/>
  <c r="EG37" i="8"/>
  <c r="DT37" i="8"/>
  <c r="DQ37" i="8"/>
  <c r="CQ37" i="8"/>
  <c r="CP37" i="8"/>
  <c r="CM37" i="8"/>
  <c r="BE37" i="8"/>
  <c r="AS37" i="8"/>
  <c r="AP37" i="8"/>
  <c r="AB37" i="8"/>
  <c r="N37" i="8"/>
  <c r="M37" i="8"/>
  <c r="L37" i="8"/>
  <c r="K37" i="8"/>
  <c r="J37" i="8"/>
  <c r="I37" i="8"/>
  <c r="H37" i="8"/>
  <c r="BM37" i="8" s="1"/>
  <c r="CN37" i="8" s="1"/>
  <c r="G37" i="8"/>
  <c r="BI37" i="8" s="1"/>
  <c r="E37" i="8"/>
  <c r="D37" i="8"/>
  <c r="C37" i="8"/>
  <c r="B37" i="8"/>
  <c r="Z37" i="8" s="1"/>
  <c r="DT36" i="8"/>
  <c r="DQ36" i="8"/>
  <c r="CQ36" i="8"/>
  <c r="CP36" i="8"/>
  <c r="CN36" i="8"/>
  <c r="BE36" i="8"/>
  <c r="AT36" i="8"/>
  <c r="AS36" i="8"/>
  <c r="AN36" i="8"/>
  <c r="AM36" i="8"/>
  <c r="AJ36" i="8"/>
  <c r="AG36" i="8"/>
  <c r="AE36" i="8"/>
  <c r="AD36" i="8"/>
  <c r="AB36" i="8"/>
  <c r="X36" i="8"/>
  <c r="N36" i="8"/>
  <c r="M36" i="8"/>
  <c r="L36" i="8"/>
  <c r="K36" i="8"/>
  <c r="J36" i="8"/>
  <c r="I36" i="8"/>
  <c r="H36" i="8"/>
  <c r="BM36" i="8" s="1"/>
  <c r="G36" i="8"/>
  <c r="BI36" i="8" s="1"/>
  <c r="E36" i="8"/>
  <c r="D36" i="8"/>
  <c r="C36" i="8"/>
  <c r="B36" i="8"/>
  <c r="AL36" i="8" s="1"/>
  <c r="EG35" i="8"/>
  <c r="DT35" i="8"/>
  <c r="DQ35" i="8"/>
  <c r="CQ35" i="8"/>
  <c r="CP35" i="8"/>
  <c r="CM35" i="8"/>
  <c r="CG35" i="8"/>
  <c r="BV35" i="8"/>
  <c r="BH35" i="8"/>
  <c r="CH35" i="8" s="1"/>
  <c r="BE35" i="8"/>
  <c r="AP35" i="8"/>
  <c r="AB35" i="8"/>
  <c r="N35" i="8"/>
  <c r="BN35" i="8" s="1"/>
  <c r="BP35" i="8" s="1"/>
  <c r="M35" i="8"/>
  <c r="L35" i="8"/>
  <c r="K35" i="8"/>
  <c r="J35" i="8"/>
  <c r="I35" i="8"/>
  <c r="EE35" i="8" s="1"/>
  <c r="H35" i="8"/>
  <c r="BM35" i="8" s="1"/>
  <c r="G35" i="8"/>
  <c r="BI35" i="8" s="1"/>
  <c r="BU35" i="8" s="1"/>
  <c r="E35" i="8"/>
  <c r="D35" i="8"/>
  <c r="C35" i="8"/>
  <c r="B35" i="8"/>
  <c r="AI35" i="8" s="1"/>
  <c r="DT34" i="8"/>
  <c r="DQ34" i="8"/>
  <c r="CQ34" i="8"/>
  <c r="CP34" i="8"/>
  <c r="CM34" i="8"/>
  <c r="BH34" i="8"/>
  <c r="BE34" i="8"/>
  <c r="AV34" i="8"/>
  <c r="AO34" i="8"/>
  <c r="AE34" i="8"/>
  <c r="AC34" i="8"/>
  <c r="N34" i="8"/>
  <c r="M34" i="8"/>
  <c r="L34" i="8"/>
  <c r="K34" i="8"/>
  <c r="J34" i="8"/>
  <c r="I34" i="8"/>
  <c r="EE34" i="8" s="1"/>
  <c r="H34" i="8"/>
  <c r="BM34" i="8" s="1"/>
  <c r="G34" i="8"/>
  <c r="BI34" i="8" s="1"/>
  <c r="E34" i="8"/>
  <c r="D34" i="8"/>
  <c r="CU34" i="8" s="1"/>
  <c r="C34" i="8"/>
  <c r="B34" i="8"/>
  <c r="AJ34" i="8" s="1"/>
  <c r="DT33" i="8"/>
  <c r="DQ33" i="8"/>
  <c r="CQ33" i="8"/>
  <c r="CP33" i="8"/>
  <c r="BH33" i="8"/>
  <c r="BV33" i="8" s="1"/>
  <c r="BE33" i="8"/>
  <c r="N33" i="8"/>
  <c r="BN33" i="8" s="1"/>
  <c r="BP33" i="8" s="1"/>
  <c r="M33" i="8"/>
  <c r="L33" i="8"/>
  <c r="K33" i="8"/>
  <c r="J33" i="8"/>
  <c r="I33" i="8"/>
  <c r="CM33" i="8" s="1"/>
  <c r="H33" i="8"/>
  <c r="BM33" i="8" s="1"/>
  <c r="CN33" i="8" s="1"/>
  <c r="G33" i="8"/>
  <c r="BI33" i="8" s="1"/>
  <c r="E33" i="8"/>
  <c r="D33" i="8"/>
  <c r="C33" i="8"/>
  <c r="EE47" i="8" s="1"/>
  <c r="B33" i="8"/>
  <c r="A33" i="8"/>
  <c r="DT32" i="8"/>
  <c r="DQ32" i="8"/>
  <c r="CT32" i="8"/>
  <c r="CQ32" i="8"/>
  <c r="CP32" i="8"/>
  <c r="CN32" i="8"/>
  <c r="BE32" i="8"/>
  <c r="AU32" i="8"/>
  <c r="AL32" i="8"/>
  <c r="AE32" i="8"/>
  <c r="AD32" i="8"/>
  <c r="N32" i="8"/>
  <c r="M32" i="8"/>
  <c r="L32" i="8"/>
  <c r="K32" i="8"/>
  <c r="J32" i="8"/>
  <c r="I32" i="8"/>
  <c r="BH32" i="8" s="1"/>
  <c r="BQ32" i="8" s="1"/>
  <c r="H32" i="8"/>
  <c r="BM32" i="8" s="1"/>
  <c r="G32" i="8"/>
  <c r="BI32" i="8" s="1"/>
  <c r="E32" i="8"/>
  <c r="D32" i="8"/>
  <c r="CV32" i="8" s="1"/>
  <c r="C32" i="8"/>
  <c r="B32" i="8"/>
  <c r="AG32" i="8" s="1"/>
  <c r="DT31" i="8"/>
  <c r="DQ31" i="8"/>
  <c r="CQ31" i="8"/>
  <c r="CP31" i="8"/>
  <c r="BE31" i="8"/>
  <c r="AT31" i="8"/>
  <c r="AP31" i="8"/>
  <c r="AK31" i="8"/>
  <c r="AI31" i="8"/>
  <c r="AH31" i="8"/>
  <c r="AC31" i="8"/>
  <c r="Y31" i="8"/>
  <c r="V31" i="8"/>
  <c r="BK31" i="8" s="1"/>
  <c r="N31" i="8"/>
  <c r="M31" i="8"/>
  <c r="L31" i="8"/>
  <c r="K31" i="8"/>
  <c r="J31" i="8"/>
  <c r="I31" i="8"/>
  <c r="H31" i="8"/>
  <c r="BM31" i="8" s="1"/>
  <c r="G31" i="8"/>
  <c r="BI31" i="8" s="1"/>
  <c r="E31" i="8"/>
  <c r="D31" i="8"/>
  <c r="EJ31" i="8" s="1"/>
  <c r="C31" i="8"/>
  <c r="B31" i="8"/>
  <c r="AR31" i="8" s="1"/>
  <c r="EE30" i="8"/>
  <c r="DT30" i="8"/>
  <c r="DQ30" i="8"/>
  <c r="CU30" i="8"/>
  <c r="CQ30" i="8"/>
  <c r="CP30" i="8"/>
  <c r="CM30" i="8"/>
  <c r="CG30" i="8"/>
  <c r="BE30" i="8"/>
  <c r="AA30" i="8"/>
  <c r="N30" i="8"/>
  <c r="M30" i="8"/>
  <c r="L30" i="8"/>
  <c r="K30" i="8"/>
  <c r="J30" i="8"/>
  <c r="I30" i="8"/>
  <c r="BH30" i="8" s="1"/>
  <c r="H30" i="8"/>
  <c r="BM30" i="8" s="1"/>
  <c r="CN30" i="8" s="1"/>
  <c r="G30" i="8"/>
  <c r="BI30" i="8" s="1"/>
  <c r="E30" i="8"/>
  <c r="CO30" i="8" s="1"/>
  <c r="D30" i="8"/>
  <c r="C30" i="8"/>
  <c r="B30" i="8"/>
  <c r="AK30" i="8" s="1"/>
  <c r="DT29" i="8"/>
  <c r="DQ29" i="8"/>
  <c r="CQ29" i="8"/>
  <c r="CP29" i="8"/>
  <c r="BE29" i="8"/>
  <c r="AV29" i="8"/>
  <c r="N29" i="8"/>
  <c r="M29" i="8"/>
  <c r="L29" i="8"/>
  <c r="K29" i="8"/>
  <c r="J29" i="8"/>
  <c r="I29" i="8"/>
  <c r="CM29" i="8" s="1"/>
  <c r="H29" i="8"/>
  <c r="BM29" i="8" s="1"/>
  <c r="CN29" i="8" s="1"/>
  <c r="G29" i="8"/>
  <c r="BI29" i="8" s="1"/>
  <c r="E29" i="8"/>
  <c r="D29" i="8"/>
  <c r="C29" i="8"/>
  <c r="B29" i="8"/>
  <c r="DT28" i="8"/>
  <c r="DQ28" i="8"/>
  <c r="CQ28" i="8"/>
  <c r="CP28" i="8"/>
  <c r="BI28" i="8"/>
  <c r="BE28" i="8"/>
  <c r="AO28" i="8"/>
  <c r="AF28" i="8"/>
  <c r="AA28" i="8"/>
  <c r="N28" i="8"/>
  <c r="M28" i="8"/>
  <c r="L28" i="8"/>
  <c r="K28" i="8"/>
  <c r="J28" i="8"/>
  <c r="I28" i="8"/>
  <c r="H28" i="8"/>
  <c r="BM28" i="8" s="1"/>
  <c r="CN28" i="8" s="1"/>
  <c r="G28" i="8"/>
  <c r="E28" i="8"/>
  <c r="CO28" i="8" s="1"/>
  <c r="D28" i="8"/>
  <c r="EJ28" i="8" s="1"/>
  <c r="C28" i="8"/>
  <c r="B28" i="8"/>
  <c r="AL28" i="8" s="1"/>
  <c r="A28" i="8"/>
  <c r="DT27" i="8"/>
  <c r="DQ27" i="8"/>
  <c r="CQ27" i="8"/>
  <c r="CP27" i="8"/>
  <c r="BM27" i="8"/>
  <c r="CN27" i="8" s="1"/>
  <c r="BE27" i="8"/>
  <c r="AT27" i="8"/>
  <c r="AS27" i="8"/>
  <c r="AO27" i="8"/>
  <c r="AN27" i="8"/>
  <c r="AM27" i="8"/>
  <c r="AJ27" i="8"/>
  <c r="AG27" i="8"/>
  <c r="AE27" i="8"/>
  <c r="AD27" i="8"/>
  <c r="AC27" i="8"/>
  <c r="X27" i="8"/>
  <c r="W27" i="8"/>
  <c r="N27" i="8"/>
  <c r="BN27" i="8" s="1"/>
  <c r="BP27" i="8" s="1"/>
  <c r="M27" i="8"/>
  <c r="L27" i="8"/>
  <c r="K27" i="8"/>
  <c r="J27" i="8"/>
  <c r="I27" i="8"/>
  <c r="EE27" i="8" s="1"/>
  <c r="H27" i="8"/>
  <c r="G27" i="8"/>
  <c r="BI27" i="8" s="1"/>
  <c r="E27" i="8"/>
  <c r="A27" i="8" s="1"/>
  <c r="D27" i="8"/>
  <c r="EH27" i="8" s="1"/>
  <c r="C27" i="8"/>
  <c r="B27" i="8"/>
  <c r="AP27" i="8" s="1"/>
  <c r="DT26" i="8"/>
  <c r="DQ26" i="8"/>
  <c r="CQ26" i="8"/>
  <c r="CP26" i="8"/>
  <c r="CM26" i="8"/>
  <c r="CG26" i="8"/>
  <c r="CC26" i="8"/>
  <c r="DW26" i="8" s="1"/>
  <c r="BH26" i="8"/>
  <c r="BE26" i="8"/>
  <c r="AQ26" i="8"/>
  <c r="AL26" i="8"/>
  <c r="T26" i="8"/>
  <c r="N26" i="8"/>
  <c r="M26" i="8"/>
  <c r="L26" i="8"/>
  <c r="K26" i="8"/>
  <c r="J26" i="8"/>
  <c r="I26" i="8"/>
  <c r="EE26" i="8" s="1"/>
  <c r="H26" i="8"/>
  <c r="BM26" i="8" s="1"/>
  <c r="CN26" i="8" s="1"/>
  <c r="G26" i="8"/>
  <c r="BI26" i="8" s="1"/>
  <c r="BU26" i="8" s="1"/>
  <c r="E26" i="8"/>
  <c r="A26" i="8" s="1"/>
  <c r="D26" i="8"/>
  <c r="C26" i="8"/>
  <c r="B26" i="8"/>
  <c r="DT25" i="8"/>
  <c r="DQ25" i="8"/>
  <c r="CQ25" i="8"/>
  <c r="CP25" i="8"/>
  <c r="CO25" i="8"/>
  <c r="BV25" i="8"/>
  <c r="BE25" i="8"/>
  <c r="AU25" i="8"/>
  <c r="AC25" i="8"/>
  <c r="N25" i="8"/>
  <c r="M25" i="8"/>
  <c r="L25" i="8"/>
  <c r="K25" i="8"/>
  <c r="J25" i="8"/>
  <c r="I25" i="8"/>
  <c r="BH25" i="8" s="1"/>
  <c r="DY25" i="8" s="1"/>
  <c r="H25" i="8"/>
  <c r="BM25" i="8" s="1"/>
  <c r="G25" i="8"/>
  <c r="BI25" i="8" s="1"/>
  <c r="E25" i="8"/>
  <c r="A25" i="8" s="1"/>
  <c r="D25" i="8"/>
  <c r="C25" i="8"/>
  <c r="B25" i="8"/>
  <c r="AF25" i="8" s="1"/>
  <c r="DY24" i="8"/>
  <c r="DT24" i="8"/>
  <c r="DQ24" i="8"/>
  <c r="CQ24" i="8"/>
  <c r="CP24" i="8"/>
  <c r="BE24" i="8"/>
  <c r="AI24" i="8"/>
  <c r="AD24" i="8"/>
  <c r="Z24" i="8"/>
  <c r="N24" i="8"/>
  <c r="M24" i="8"/>
  <c r="L24" i="8"/>
  <c r="K24" i="8"/>
  <c r="J24" i="8"/>
  <c r="I24" i="8"/>
  <c r="BH24" i="8" s="1"/>
  <c r="H24" i="8"/>
  <c r="BM24" i="8" s="1"/>
  <c r="G24" i="8"/>
  <c r="BI24" i="8" s="1"/>
  <c r="E24" i="8"/>
  <c r="D24" i="8"/>
  <c r="C24" i="8"/>
  <c r="B24" i="8"/>
  <c r="AF24" i="8" s="1"/>
  <c r="DT23" i="8"/>
  <c r="DQ23" i="8"/>
  <c r="CQ23" i="8"/>
  <c r="CP23" i="8"/>
  <c r="BM23" i="8"/>
  <c r="BE23" i="8"/>
  <c r="AU23" i="8"/>
  <c r="AT23" i="8"/>
  <c r="AS23" i="8"/>
  <c r="AM23" i="8"/>
  <c r="AK23" i="8"/>
  <c r="Z23" i="8"/>
  <c r="X23" i="8"/>
  <c r="W23" i="8"/>
  <c r="N23" i="8"/>
  <c r="M23" i="8"/>
  <c r="L23" i="8"/>
  <c r="K23" i="8"/>
  <c r="J23" i="8"/>
  <c r="I23" i="8"/>
  <c r="H23" i="8"/>
  <c r="G23" i="8"/>
  <c r="BI23" i="8" s="1"/>
  <c r="E23" i="8"/>
  <c r="T23" i="8" s="1"/>
  <c r="D23" i="8"/>
  <c r="EH23" i="8" s="1"/>
  <c r="C23" i="8"/>
  <c r="B23" i="8"/>
  <c r="AC23" i="8" s="1"/>
  <c r="DT22" i="8"/>
  <c r="DQ22" i="8"/>
  <c r="CQ22" i="8"/>
  <c r="CP22" i="8"/>
  <c r="BM22" i="8"/>
  <c r="CN22" i="8" s="1"/>
  <c r="BE22" i="8"/>
  <c r="AV22" i="8"/>
  <c r="AT22" i="8"/>
  <c r="AS22" i="8"/>
  <c r="AR22" i="8"/>
  <c r="AJ22" i="8"/>
  <c r="AH22" i="8"/>
  <c r="AG22" i="8"/>
  <c r="Y22" i="8"/>
  <c r="X22" i="8"/>
  <c r="N22" i="8"/>
  <c r="M22" i="8"/>
  <c r="L22" i="8"/>
  <c r="K22" i="8"/>
  <c r="J22" i="8"/>
  <c r="I22" i="8"/>
  <c r="CM22" i="8" s="1"/>
  <c r="H22" i="8"/>
  <c r="G22" i="8"/>
  <c r="BI22" i="8" s="1"/>
  <c r="E22" i="8"/>
  <c r="D22" i="8"/>
  <c r="C22" i="8"/>
  <c r="B22" i="8"/>
  <c r="AL22" i="8" s="1"/>
  <c r="EE21" i="8"/>
  <c r="DT21" i="8"/>
  <c r="DQ21" i="8"/>
  <c r="CQ21" i="8"/>
  <c r="CP21" i="8"/>
  <c r="CM21" i="8"/>
  <c r="BI21" i="8"/>
  <c r="BH21" i="8"/>
  <c r="BE21" i="8"/>
  <c r="N21" i="8"/>
  <c r="M21" i="8"/>
  <c r="L21" i="8"/>
  <c r="K21" i="8"/>
  <c r="J21" i="8"/>
  <c r="I21" i="8"/>
  <c r="H21" i="8"/>
  <c r="BM21" i="8" s="1"/>
  <c r="G21" i="8"/>
  <c r="E21" i="8"/>
  <c r="D21" i="8"/>
  <c r="C21" i="8"/>
  <c r="B21" i="8"/>
  <c r="AN21" i="8" s="1"/>
  <c r="DY20" i="8"/>
  <c r="DT20" i="8"/>
  <c r="DQ20" i="8"/>
  <c r="CQ20" i="8"/>
  <c r="CP20" i="8"/>
  <c r="CG20" i="8"/>
  <c r="BU20" i="8"/>
  <c r="BI20" i="8"/>
  <c r="BE20" i="8"/>
  <c r="AN20" i="8"/>
  <c r="N20" i="8"/>
  <c r="BZ20" i="8" s="1"/>
  <c r="M20" i="8"/>
  <c r="L20" i="8"/>
  <c r="K20" i="8"/>
  <c r="J20" i="8"/>
  <c r="I20" i="8"/>
  <c r="BH20" i="8" s="1"/>
  <c r="BV20" i="8" s="1"/>
  <c r="H20" i="8"/>
  <c r="BM20" i="8" s="1"/>
  <c r="G20" i="8"/>
  <c r="E20" i="8"/>
  <c r="D20" i="8"/>
  <c r="C20" i="8"/>
  <c r="B20" i="8"/>
  <c r="AC20" i="8" s="1"/>
  <c r="EE19" i="8"/>
  <c r="DT19" i="8"/>
  <c r="DQ19" i="8"/>
  <c r="CQ19" i="8"/>
  <c r="CP19" i="8"/>
  <c r="CM19" i="8"/>
  <c r="BE19" i="8"/>
  <c r="AV19" i="8"/>
  <c r="AB19" i="8"/>
  <c r="AA19" i="8"/>
  <c r="N19" i="8"/>
  <c r="M19" i="8"/>
  <c r="L19" i="8"/>
  <c r="K19" i="8"/>
  <c r="J19" i="8"/>
  <c r="I19" i="8"/>
  <c r="BH19" i="8" s="1"/>
  <c r="H19" i="8"/>
  <c r="BM19" i="8" s="1"/>
  <c r="CN19" i="8" s="1"/>
  <c r="G19" i="8"/>
  <c r="BI19" i="8" s="1"/>
  <c r="E19" i="8"/>
  <c r="T19" i="8" s="1"/>
  <c r="D19" i="8"/>
  <c r="C19" i="8"/>
  <c r="B19" i="8"/>
  <c r="AD19" i="8" s="1"/>
  <c r="EK18" i="8"/>
  <c r="DT18" i="8"/>
  <c r="DQ18" i="8"/>
  <c r="CQ18" i="8"/>
  <c r="CP18" i="8"/>
  <c r="BE18" i="8"/>
  <c r="AU18" i="8"/>
  <c r="AT18" i="8"/>
  <c r="AR18" i="8"/>
  <c r="AQ18" i="8"/>
  <c r="AP18" i="8"/>
  <c r="AN18" i="8"/>
  <c r="AM18" i="8"/>
  <c r="AL18" i="8"/>
  <c r="AK18" i="8"/>
  <c r="AI18" i="8"/>
  <c r="AH18" i="8"/>
  <c r="AF18" i="8"/>
  <c r="AE18" i="8"/>
  <c r="AD18" i="8"/>
  <c r="AC18" i="8"/>
  <c r="AB18" i="8"/>
  <c r="Z18" i="8"/>
  <c r="X18" i="8"/>
  <c r="W18" i="8"/>
  <c r="V18" i="8"/>
  <c r="N18" i="8"/>
  <c r="M18" i="8"/>
  <c r="L18" i="8"/>
  <c r="K18" i="8"/>
  <c r="J18" i="8"/>
  <c r="I18" i="8"/>
  <c r="H18" i="8"/>
  <c r="BM18" i="8" s="1"/>
  <c r="CN18" i="8" s="1"/>
  <c r="G18" i="8"/>
  <c r="BI18" i="8" s="1"/>
  <c r="E18" i="8"/>
  <c r="D18" i="8"/>
  <c r="EJ18" i="8" s="1"/>
  <c r="C18" i="8"/>
  <c r="B18" i="8"/>
  <c r="AO18" i="8" s="1"/>
  <c r="DT17" i="8"/>
  <c r="DQ17" i="8"/>
  <c r="CQ17" i="8"/>
  <c r="CP17" i="8"/>
  <c r="CN17" i="8"/>
  <c r="BE17" i="8"/>
  <c r="AL17" i="8"/>
  <c r="N17" i="8"/>
  <c r="M17" i="8"/>
  <c r="L17" i="8"/>
  <c r="K17" i="8"/>
  <c r="J17" i="8"/>
  <c r="I17" i="8"/>
  <c r="H17" i="8"/>
  <c r="BM17" i="8" s="1"/>
  <c r="G17" i="8"/>
  <c r="BI17" i="8" s="1"/>
  <c r="E17" i="8"/>
  <c r="CO17" i="8" s="1"/>
  <c r="D17" i="8"/>
  <c r="C17" i="8"/>
  <c r="B17" i="8"/>
  <c r="Z17" i="8" s="1"/>
  <c r="EE16" i="8"/>
  <c r="DT16" i="8"/>
  <c r="DQ16" i="8"/>
  <c r="CT16" i="8"/>
  <c r="CQ16" i="8"/>
  <c r="CP16" i="8"/>
  <c r="BM16" i="8"/>
  <c r="CN16" i="8" s="1"/>
  <c r="BI16" i="8"/>
  <c r="BU16" i="8" s="1"/>
  <c r="BH16" i="8"/>
  <c r="BE16" i="8"/>
  <c r="AU16" i="8"/>
  <c r="AT16" i="8"/>
  <c r="AR16" i="8"/>
  <c r="AQ16" i="8"/>
  <c r="AP16" i="8"/>
  <c r="AN16" i="8"/>
  <c r="AM16" i="8"/>
  <c r="AL16" i="8"/>
  <c r="AK16" i="8"/>
  <c r="AI16" i="8"/>
  <c r="AH16" i="8"/>
  <c r="AF16" i="8"/>
  <c r="AE16" i="8"/>
  <c r="AD16" i="8"/>
  <c r="AC16" i="8"/>
  <c r="AB16" i="8"/>
  <c r="Z16" i="8"/>
  <c r="X16" i="8"/>
  <c r="W16" i="8"/>
  <c r="V16" i="8"/>
  <c r="BL16" i="8" s="1"/>
  <c r="N16" i="8"/>
  <c r="M16" i="8"/>
  <c r="L16" i="8"/>
  <c r="K16" i="8"/>
  <c r="J16" i="8"/>
  <c r="I16" i="8"/>
  <c r="AV16" i="8" s="1"/>
  <c r="H16" i="8"/>
  <c r="G16" i="8"/>
  <c r="E16" i="8"/>
  <c r="D16" i="8"/>
  <c r="EK16" i="8" s="1"/>
  <c r="C16" i="8"/>
  <c r="B16" i="8"/>
  <c r="AO16" i="8" s="1"/>
  <c r="EE15" i="8"/>
  <c r="DT15" i="8"/>
  <c r="DQ15" i="8"/>
  <c r="CQ15" i="8"/>
  <c r="CP15" i="8"/>
  <c r="CO15" i="8"/>
  <c r="BI15" i="8"/>
  <c r="BE15" i="8"/>
  <c r="AV15" i="8"/>
  <c r="N15" i="8"/>
  <c r="M15" i="8"/>
  <c r="L15" i="8"/>
  <c r="K15" i="8"/>
  <c r="J15" i="8"/>
  <c r="I15" i="8"/>
  <c r="H15" i="8"/>
  <c r="BM15" i="8" s="1"/>
  <c r="G15" i="8"/>
  <c r="E15" i="8"/>
  <c r="D15" i="8"/>
  <c r="C15" i="8"/>
  <c r="B15" i="8"/>
  <c r="A15" i="8"/>
  <c r="DT14" i="8"/>
  <c r="DQ14" i="8"/>
  <c r="CQ14" i="8"/>
  <c r="CP14" i="8"/>
  <c r="CM14" i="8"/>
  <c r="BI14" i="8"/>
  <c r="BE14" i="8"/>
  <c r="AU14" i="8"/>
  <c r="AT14" i="8"/>
  <c r="AM14" i="8"/>
  <c r="AL14" i="8"/>
  <c r="AK14" i="8"/>
  <c r="AJ14" i="8"/>
  <c r="AH14" i="8"/>
  <c r="AB14" i="8"/>
  <c r="AA14" i="8"/>
  <c r="X14" i="8"/>
  <c r="W14" i="8"/>
  <c r="N14" i="8"/>
  <c r="BN14" i="8" s="1"/>
  <c r="BP14" i="8" s="1"/>
  <c r="M14" i="8"/>
  <c r="L14" i="8"/>
  <c r="K14" i="8"/>
  <c r="J14" i="8"/>
  <c r="I14" i="8"/>
  <c r="EE14" i="8" s="1"/>
  <c r="H14" i="8"/>
  <c r="BM14" i="8" s="1"/>
  <c r="CN14" i="8" s="1"/>
  <c r="G14" i="8"/>
  <c r="E14" i="8"/>
  <c r="D14" i="8"/>
  <c r="C14" i="8"/>
  <c r="B14" i="8"/>
  <c r="DT13" i="8"/>
  <c r="DQ13" i="8"/>
  <c r="CQ13" i="8"/>
  <c r="CP13" i="8"/>
  <c r="BI13" i="8"/>
  <c r="BE13" i="8"/>
  <c r="AU13" i="8"/>
  <c r="AP13" i="8"/>
  <c r="AN13" i="8"/>
  <c r="AD13" i="8"/>
  <c r="Y13" i="8"/>
  <c r="X13" i="8"/>
  <c r="V13" i="8"/>
  <c r="BK13" i="8" s="1"/>
  <c r="N13" i="8"/>
  <c r="M13" i="8"/>
  <c r="L13" i="8"/>
  <c r="K13" i="8"/>
  <c r="J13" i="8"/>
  <c r="I13" i="8"/>
  <c r="EE13" i="8" s="1"/>
  <c r="H13" i="8"/>
  <c r="BM13" i="8" s="1"/>
  <c r="G13" i="8"/>
  <c r="E13" i="8"/>
  <c r="D13" i="8"/>
  <c r="C13" i="8"/>
  <c r="B13" i="8"/>
  <c r="EE12" i="8"/>
  <c r="DT12" i="8"/>
  <c r="DQ12" i="8"/>
  <c r="CQ12" i="8"/>
  <c r="CP12" i="8"/>
  <c r="BH12" i="8"/>
  <c r="BE12" i="8"/>
  <c r="AU12" i="8"/>
  <c r="AT12" i="8"/>
  <c r="AL12" i="8"/>
  <c r="AJ12" i="8"/>
  <c r="AI12" i="8"/>
  <c r="AA12" i="8"/>
  <c r="W12" i="8"/>
  <c r="V12" i="8"/>
  <c r="BL12" i="8" s="1"/>
  <c r="N12" i="8"/>
  <c r="M12" i="8"/>
  <c r="L12" i="8"/>
  <c r="K12" i="8"/>
  <c r="J12" i="8"/>
  <c r="I12" i="8"/>
  <c r="H12" i="8"/>
  <c r="BM12" i="8" s="1"/>
  <c r="CN12" i="8" s="1"/>
  <c r="G12" i="8"/>
  <c r="BI12" i="8" s="1"/>
  <c r="E12" i="8"/>
  <c r="D12" i="8"/>
  <c r="C12" i="8"/>
  <c r="B12" i="8"/>
  <c r="AK12" i="8" s="1"/>
  <c r="A12" i="8"/>
  <c r="DT11" i="8"/>
  <c r="DQ11" i="8"/>
  <c r="CQ11" i="8"/>
  <c r="CP11" i="8"/>
  <c r="CM11" i="8"/>
  <c r="BI11" i="8"/>
  <c r="BE11" i="8"/>
  <c r="AN11" i="8"/>
  <c r="AL11" i="8"/>
  <c r="AH11" i="8"/>
  <c r="Y11" i="8"/>
  <c r="W11" i="8"/>
  <c r="V11" i="8"/>
  <c r="N11" i="8"/>
  <c r="M11" i="8"/>
  <c r="L11" i="8"/>
  <c r="K11" i="8"/>
  <c r="J11" i="8"/>
  <c r="I11" i="8"/>
  <c r="EE11" i="8" s="1"/>
  <c r="H11" i="8"/>
  <c r="BM11" i="8" s="1"/>
  <c r="G11" i="8"/>
  <c r="E11" i="8"/>
  <c r="CO11" i="8" s="1"/>
  <c r="D11" i="8"/>
  <c r="C11" i="8"/>
  <c r="B11" i="8"/>
  <c r="AO11" i="8" s="1"/>
  <c r="A11" i="8"/>
  <c r="DT10" i="8"/>
  <c r="DQ10" i="8"/>
  <c r="CQ10" i="8"/>
  <c r="CP10" i="8"/>
  <c r="BM10" i="8"/>
  <c r="CN10" i="8" s="1"/>
  <c r="BE10" i="8"/>
  <c r="AV10" i="8"/>
  <c r="AR10" i="8"/>
  <c r="AQ10" i="8"/>
  <c r="AP10" i="8"/>
  <c r="AN10" i="8"/>
  <c r="AM10" i="8"/>
  <c r="AI10" i="8"/>
  <c r="AH10" i="8"/>
  <c r="AF10" i="8"/>
  <c r="AE10" i="8"/>
  <c r="AD10" i="8"/>
  <c r="Z10" i="8"/>
  <c r="X10" i="8"/>
  <c r="W10" i="8"/>
  <c r="V10" i="8"/>
  <c r="BL10" i="8" s="1"/>
  <c r="N10" i="8"/>
  <c r="BN10" i="8" s="1"/>
  <c r="BP10" i="8" s="1"/>
  <c r="M10" i="8"/>
  <c r="L10" i="8"/>
  <c r="K10" i="8"/>
  <c r="J10" i="8"/>
  <c r="I10" i="8"/>
  <c r="EE10" i="8" s="1"/>
  <c r="H10" i="8"/>
  <c r="G10" i="8"/>
  <c r="BI10" i="8" s="1"/>
  <c r="E10" i="8"/>
  <c r="A10" i="8" s="1"/>
  <c r="D10" i="8"/>
  <c r="C10" i="8"/>
  <c r="B10" i="8"/>
  <c r="AO10" i="8" s="1"/>
  <c r="EE9" i="8"/>
  <c r="DT9" i="8"/>
  <c r="DQ9" i="8"/>
  <c r="CQ9" i="8"/>
  <c r="CP9" i="8"/>
  <c r="BI9" i="8"/>
  <c r="BE9" i="8"/>
  <c r="AV9" i="8"/>
  <c r="AO9" i="8"/>
  <c r="N9" i="8"/>
  <c r="BN9" i="8" s="1"/>
  <c r="BP9" i="8" s="1"/>
  <c r="M9" i="8"/>
  <c r="L9" i="8"/>
  <c r="K9" i="8"/>
  <c r="J9" i="8"/>
  <c r="I9" i="8"/>
  <c r="H9" i="8"/>
  <c r="BM9" i="8" s="1"/>
  <c r="CN9" i="8" s="1"/>
  <c r="G9" i="8"/>
  <c r="E9" i="8"/>
  <c r="A9" i="8" s="1"/>
  <c r="D9" i="8"/>
  <c r="C9" i="8"/>
  <c r="B9" i="8"/>
  <c r="AU9" i="8" s="1"/>
  <c r="EH8" i="8"/>
  <c r="DT8" i="8"/>
  <c r="DQ8" i="8"/>
  <c r="CQ8" i="8"/>
  <c r="CP8" i="8"/>
  <c r="CO8" i="8"/>
  <c r="BH8" i="8"/>
  <c r="CC8" i="8" s="1"/>
  <c r="DW8" i="8" s="1"/>
  <c r="BE8" i="8"/>
  <c r="AU8" i="8"/>
  <c r="AT8" i="8"/>
  <c r="AS8" i="8"/>
  <c r="AP8" i="8"/>
  <c r="AN8" i="8"/>
  <c r="AM8" i="8"/>
  <c r="AL8" i="8"/>
  <c r="AK8" i="8"/>
  <c r="AJ8" i="8"/>
  <c r="AF8" i="8"/>
  <c r="AE8" i="8"/>
  <c r="AD8" i="8"/>
  <c r="AC8" i="8"/>
  <c r="AB8" i="8"/>
  <c r="AA8" i="8"/>
  <c r="W8" i="8"/>
  <c r="V8" i="8"/>
  <c r="BL8" i="8" s="1"/>
  <c r="T8" i="8"/>
  <c r="N8" i="8"/>
  <c r="M8" i="8"/>
  <c r="L8" i="8"/>
  <c r="K8" i="8"/>
  <c r="J8" i="8"/>
  <c r="I8" i="8"/>
  <c r="CM8" i="8" s="1"/>
  <c r="H8" i="8"/>
  <c r="BM8" i="8" s="1"/>
  <c r="CN8" i="8" s="1"/>
  <c r="G8" i="8"/>
  <c r="BI8" i="8" s="1"/>
  <c r="BU8" i="8" s="1"/>
  <c r="E8" i="8"/>
  <c r="EG8" i="8" s="1"/>
  <c r="EI8" i="8" s="1"/>
  <c r="D8" i="8"/>
  <c r="C8" i="8"/>
  <c r="B8" i="8"/>
  <c r="AO8" i="8" s="1"/>
  <c r="DT7" i="8"/>
  <c r="DQ7" i="8"/>
  <c r="CQ7" i="8"/>
  <c r="CP7" i="8"/>
  <c r="BI7" i="8"/>
  <c r="BE7" i="8"/>
  <c r="AT7" i="8"/>
  <c r="AQ7" i="8"/>
  <c r="AP7" i="8"/>
  <c r="AO7" i="8"/>
  <c r="AM7" i="8"/>
  <c r="AJ7" i="8"/>
  <c r="AH7" i="8"/>
  <c r="AG7" i="8"/>
  <c r="AF7" i="8"/>
  <c r="AE7" i="8"/>
  <c r="AD7" i="8"/>
  <c r="Y7" i="8"/>
  <c r="X7" i="8"/>
  <c r="W7" i="8"/>
  <c r="V7" i="8"/>
  <c r="BK7" i="8" s="1"/>
  <c r="N7" i="8"/>
  <c r="M7" i="8"/>
  <c r="L7" i="8"/>
  <c r="K7" i="8"/>
  <c r="J7" i="8"/>
  <c r="I7" i="8"/>
  <c r="CM7" i="8" s="1"/>
  <c r="H7" i="8"/>
  <c r="BM7" i="8" s="1"/>
  <c r="G7" i="8"/>
  <c r="E7" i="8"/>
  <c r="T7" i="8" s="1"/>
  <c r="D7" i="8"/>
  <c r="EK7" i="8" s="1"/>
  <c r="C7" i="8"/>
  <c r="B7" i="8"/>
  <c r="AN7" i="8" s="1"/>
  <c r="EE6" i="8"/>
  <c r="DT6" i="8"/>
  <c r="DQ6" i="8"/>
  <c r="CQ6" i="8"/>
  <c r="CP6" i="8"/>
  <c r="BE6" i="8"/>
  <c r="AV6" i="8"/>
  <c r="N6" i="8"/>
  <c r="BZ6" i="8" s="1"/>
  <c r="M6" i="8"/>
  <c r="L6" i="8"/>
  <c r="K6" i="8"/>
  <c r="J6" i="8"/>
  <c r="I6" i="8"/>
  <c r="BH6" i="8" s="1"/>
  <c r="H6" i="8"/>
  <c r="BM6" i="8" s="1"/>
  <c r="CN6" i="8" s="1"/>
  <c r="G6" i="8"/>
  <c r="BI6" i="8" s="1"/>
  <c r="BU6" i="8" s="1"/>
  <c r="E6" i="8"/>
  <c r="CO6" i="8" s="1"/>
  <c r="D6" i="8"/>
  <c r="C6" i="8"/>
  <c r="B6" i="8"/>
  <c r="AO6" i="8" s="1"/>
  <c r="DT5" i="8"/>
  <c r="DQ5" i="8"/>
  <c r="CQ5" i="8"/>
  <c r="CP5" i="8"/>
  <c r="CO5" i="8"/>
  <c r="CN5" i="8"/>
  <c r="BM5" i="8"/>
  <c r="CU5" i="8" s="1"/>
  <c r="BE5" i="8"/>
  <c r="N5" i="8"/>
  <c r="M5" i="8"/>
  <c r="L5" i="8"/>
  <c r="K5" i="8"/>
  <c r="J5" i="8"/>
  <c r="I5" i="8"/>
  <c r="EE5" i="8" s="1"/>
  <c r="G5" i="8"/>
  <c r="BI5" i="8" s="1"/>
  <c r="E5" i="8"/>
  <c r="T5" i="8" s="1"/>
  <c r="D5" i="8"/>
  <c r="C5" i="8"/>
  <c r="B5" i="8"/>
  <c r="AR5" i="8" s="1"/>
  <c r="A5" i="8"/>
  <c r="CR2" i="8"/>
  <c r="CQ2" i="8"/>
  <c r="CP2" i="8"/>
  <c r="CO2" i="8"/>
  <c r="V1" i="8"/>
  <c r="A168" i="6"/>
  <c r="A175" i="6" s="1"/>
  <c r="A182" i="6" s="1"/>
  <c r="A189" i="6" s="1"/>
  <c r="A196" i="6" s="1"/>
  <c r="A203" i="6" s="1"/>
  <c r="A210" i="6" s="1"/>
  <c r="A217" i="6" s="1"/>
  <c r="A224" i="6" s="1"/>
  <c r="A231" i="6" s="1"/>
  <c r="A238" i="6" s="1"/>
  <c r="A161" i="6"/>
  <c r="A159" i="6"/>
  <c r="A166" i="6" s="1"/>
  <c r="A173" i="6" s="1"/>
  <c r="A180" i="6" s="1"/>
  <c r="A187" i="6" s="1"/>
  <c r="A194" i="6" s="1"/>
  <c r="A201" i="6" s="1"/>
  <c r="A208" i="6" s="1"/>
  <c r="A215" i="6" s="1"/>
  <c r="A222" i="6" s="1"/>
  <c r="A229" i="6" s="1"/>
  <c r="A236" i="6" s="1"/>
  <c r="A243" i="6" s="1"/>
  <c r="A156" i="6"/>
  <c r="A163" i="6" s="1"/>
  <c r="A170" i="6" s="1"/>
  <c r="A177" i="6" s="1"/>
  <c r="A184" i="6" s="1"/>
  <c r="A191" i="6" s="1"/>
  <c r="A198" i="6" s="1"/>
  <c r="A205" i="6" s="1"/>
  <c r="A212" i="6" s="1"/>
  <c r="A219" i="6" s="1"/>
  <c r="A226" i="6" s="1"/>
  <c r="A233" i="6" s="1"/>
  <c r="A240" i="6" s="1"/>
  <c r="A154" i="6"/>
  <c r="A152" i="6"/>
  <c r="A151" i="6"/>
  <c r="A158" i="6" s="1"/>
  <c r="A165" i="6" s="1"/>
  <c r="A172" i="6" s="1"/>
  <c r="A179" i="6" s="1"/>
  <c r="A186" i="6" s="1"/>
  <c r="A193" i="6" s="1"/>
  <c r="A200" i="6" s="1"/>
  <c r="A207" i="6" s="1"/>
  <c r="A214" i="6" s="1"/>
  <c r="A221" i="6" s="1"/>
  <c r="A228" i="6" s="1"/>
  <c r="A235" i="6" s="1"/>
  <c r="A242" i="6" s="1"/>
  <c r="A150" i="6"/>
  <c r="A157" i="6" s="1"/>
  <c r="A164" i="6" s="1"/>
  <c r="A171" i="6" s="1"/>
  <c r="A178" i="6" s="1"/>
  <c r="A185" i="6" s="1"/>
  <c r="A192" i="6" s="1"/>
  <c r="A199" i="6" s="1"/>
  <c r="A206" i="6" s="1"/>
  <c r="A213" i="6" s="1"/>
  <c r="A220" i="6" s="1"/>
  <c r="A227" i="6" s="1"/>
  <c r="A234" i="6" s="1"/>
  <c r="A241" i="6" s="1"/>
  <c r="A149" i="6"/>
  <c r="A148" i="6"/>
  <c r="A155" i="6" s="1"/>
  <c r="A162" i="6" s="1"/>
  <c r="A169" i="6" s="1"/>
  <c r="A176" i="6" s="1"/>
  <c r="A183" i="6" s="1"/>
  <c r="A190" i="6" s="1"/>
  <c r="A197" i="6" s="1"/>
  <c r="A204" i="6" s="1"/>
  <c r="A211" i="6" s="1"/>
  <c r="A218" i="6" s="1"/>
  <c r="A225" i="6" s="1"/>
  <c r="A232" i="6" s="1"/>
  <c r="A239" i="6" s="1"/>
  <c r="A147" i="6"/>
  <c r="A146" i="6"/>
  <c r="A153" i="6" s="1"/>
  <c r="A160" i="6" s="1"/>
  <c r="A167" i="6" s="1"/>
  <c r="A174" i="6" s="1"/>
  <c r="A181" i="6" s="1"/>
  <c r="A188" i="6" s="1"/>
  <c r="A195" i="6" s="1"/>
  <c r="A202" i="6" s="1"/>
  <c r="A209" i="6" s="1"/>
  <c r="A216" i="6" s="1"/>
  <c r="A223" i="6" s="1"/>
  <c r="A230" i="6" s="1"/>
  <c r="A237" i="6" s="1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M4" i="6" s="1"/>
  <c r="L11" i="6"/>
  <c r="K11" i="6"/>
  <c r="K4" i="6" s="1"/>
  <c r="J11" i="6"/>
  <c r="J4" i="6" s="1"/>
  <c r="I11" i="6"/>
  <c r="H11" i="6"/>
  <c r="G11" i="6"/>
  <c r="G4" i="6" s="1"/>
  <c r="F11" i="6"/>
  <c r="E11" i="6"/>
  <c r="D11" i="6"/>
  <c r="D4" i="6" s="1"/>
  <c r="C11" i="6"/>
  <c r="N10" i="6"/>
  <c r="M10" i="6"/>
  <c r="L10" i="6"/>
  <c r="K10" i="6"/>
  <c r="J10" i="6"/>
  <c r="I10" i="6"/>
  <c r="H10" i="6"/>
  <c r="G10" i="6"/>
  <c r="F10" i="6"/>
  <c r="E10" i="6"/>
  <c r="D10" i="6"/>
  <c r="N4" i="6"/>
  <c r="L4" i="6"/>
  <c r="I4" i="6"/>
  <c r="H4" i="6"/>
  <c r="F4" i="6"/>
  <c r="E4" i="6"/>
  <c r="L3" i="6"/>
  <c r="K3" i="6"/>
  <c r="J3" i="6"/>
  <c r="I3" i="6"/>
  <c r="H3" i="6"/>
  <c r="G3" i="6"/>
  <c r="F3" i="6"/>
  <c r="E3" i="6"/>
  <c r="D3" i="6"/>
  <c r="C3" i="6"/>
  <c r="K2" i="6"/>
  <c r="J2" i="6"/>
  <c r="I2" i="6"/>
  <c r="H2" i="6"/>
  <c r="G2" i="6"/>
  <c r="F2" i="6"/>
  <c r="E2" i="6"/>
  <c r="D2" i="6"/>
  <c r="C2" i="6"/>
  <c r="P48" i="5"/>
  <c r="B48" i="5" s="1"/>
  <c r="O48" i="5"/>
  <c r="N48" i="5"/>
  <c r="M48" i="5"/>
  <c r="L48" i="5"/>
  <c r="K48" i="5"/>
  <c r="J48" i="5"/>
  <c r="I48" i="5"/>
  <c r="H48" i="5"/>
  <c r="G48" i="5"/>
  <c r="F48" i="5"/>
  <c r="C48" i="5"/>
  <c r="P47" i="5"/>
  <c r="O47" i="5"/>
  <c r="C47" i="5" s="1"/>
  <c r="N47" i="5"/>
  <c r="M47" i="5"/>
  <c r="L47" i="5"/>
  <c r="K47" i="5"/>
  <c r="J47" i="5"/>
  <c r="I47" i="5"/>
  <c r="H47" i="5"/>
  <c r="G47" i="5"/>
  <c r="F47" i="5"/>
  <c r="E47" i="5" s="1"/>
  <c r="B47" i="5"/>
  <c r="A47" i="5"/>
  <c r="AZ47" i="5" s="1"/>
  <c r="BC47" i="5" s="1"/>
  <c r="P46" i="5"/>
  <c r="A46" i="5" s="1"/>
  <c r="O46" i="5"/>
  <c r="C46" i="5" s="1"/>
  <c r="N46" i="5"/>
  <c r="M46" i="5"/>
  <c r="L46" i="5"/>
  <c r="K46" i="5"/>
  <c r="J46" i="5"/>
  <c r="I46" i="5"/>
  <c r="H46" i="5"/>
  <c r="G46" i="5"/>
  <c r="F46" i="5"/>
  <c r="E46" i="5" s="1"/>
  <c r="P45" i="5"/>
  <c r="O45" i="5"/>
  <c r="N45" i="5"/>
  <c r="M45" i="5"/>
  <c r="L45" i="5"/>
  <c r="K45" i="5"/>
  <c r="J45" i="5"/>
  <c r="I45" i="5"/>
  <c r="H45" i="5"/>
  <c r="G45" i="5"/>
  <c r="F45" i="5"/>
  <c r="E45" i="5"/>
  <c r="T45" i="5" s="1"/>
  <c r="D45" i="5"/>
  <c r="C45" i="5"/>
  <c r="B45" i="5"/>
  <c r="A45" i="5"/>
  <c r="T44" i="5"/>
  <c r="P44" i="5"/>
  <c r="B44" i="5" s="1"/>
  <c r="O44" i="5"/>
  <c r="C44" i="5" s="1"/>
  <c r="N44" i="5"/>
  <c r="M44" i="5"/>
  <c r="L44" i="5"/>
  <c r="K44" i="5"/>
  <c r="J44" i="5"/>
  <c r="I44" i="5"/>
  <c r="H44" i="5"/>
  <c r="G44" i="5"/>
  <c r="F44" i="5"/>
  <c r="E44" i="5" s="1"/>
  <c r="D44" i="5" s="1"/>
  <c r="P43" i="5"/>
  <c r="O43" i="5"/>
  <c r="C43" i="5" s="1"/>
  <c r="N43" i="5"/>
  <c r="M43" i="5"/>
  <c r="L43" i="5"/>
  <c r="K43" i="5"/>
  <c r="J43" i="5"/>
  <c r="I43" i="5"/>
  <c r="H43" i="5"/>
  <c r="G43" i="5"/>
  <c r="F43" i="5"/>
  <c r="E43" i="5"/>
  <c r="B43" i="5"/>
  <c r="A43" i="5"/>
  <c r="AZ42" i="5"/>
  <c r="BC42" i="5" s="1"/>
  <c r="P42" i="5"/>
  <c r="A42" i="5" s="1"/>
  <c r="O42" i="5"/>
  <c r="C42" i="5" s="1"/>
  <c r="N42" i="5"/>
  <c r="M42" i="5"/>
  <c r="L42" i="5"/>
  <c r="K42" i="5"/>
  <c r="J42" i="5"/>
  <c r="I42" i="5"/>
  <c r="H42" i="5"/>
  <c r="G42" i="5"/>
  <c r="F42" i="5"/>
  <c r="E42" i="5" s="1"/>
  <c r="P41" i="5"/>
  <c r="B41" i="5" s="1"/>
  <c r="O41" i="5"/>
  <c r="N41" i="5"/>
  <c r="M41" i="5"/>
  <c r="L41" i="5"/>
  <c r="K41" i="5"/>
  <c r="J41" i="5"/>
  <c r="I41" i="5"/>
  <c r="H41" i="5"/>
  <c r="G41" i="5"/>
  <c r="F41" i="5"/>
  <c r="E41" i="5" s="1"/>
  <c r="C41" i="5"/>
  <c r="AZ41" i="5" s="1"/>
  <c r="BC41" i="5" s="1"/>
  <c r="A41" i="5"/>
  <c r="T40" i="5"/>
  <c r="P40" i="5"/>
  <c r="O40" i="5"/>
  <c r="N40" i="5"/>
  <c r="M40" i="5"/>
  <c r="L40" i="5"/>
  <c r="K40" i="5"/>
  <c r="J40" i="5"/>
  <c r="I40" i="5"/>
  <c r="H40" i="5"/>
  <c r="G40" i="5"/>
  <c r="F40" i="5"/>
  <c r="E40" i="5" s="1"/>
  <c r="D40" i="5" s="1"/>
  <c r="C40" i="5"/>
  <c r="B40" i="5"/>
  <c r="A40" i="5"/>
  <c r="AZ40" i="5" s="1"/>
  <c r="BC40" i="5" s="1"/>
  <c r="P39" i="5"/>
  <c r="B39" i="5" s="1"/>
  <c r="O39" i="5"/>
  <c r="C39" i="5" s="1"/>
  <c r="N39" i="5"/>
  <c r="M39" i="5"/>
  <c r="L39" i="5"/>
  <c r="K39" i="5"/>
  <c r="J39" i="5"/>
  <c r="I39" i="5"/>
  <c r="H39" i="5"/>
  <c r="G39" i="5"/>
  <c r="F39" i="5"/>
  <c r="E39" i="5" s="1"/>
  <c r="P38" i="5"/>
  <c r="A38" i="5" s="1"/>
  <c r="O38" i="5"/>
  <c r="N38" i="5"/>
  <c r="M38" i="5"/>
  <c r="L38" i="5"/>
  <c r="K38" i="5"/>
  <c r="J38" i="5"/>
  <c r="I38" i="5"/>
  <c r="H38" i="5"/>
  <c r="G38" i="5"/>
  <c r="F38" i="5"/>
  <c r="E38" i="5"/>
  <c r="C38" i="5"/>
  <c r="B38" i="5"/>
  <c r="P37" i="5"/>
  <c r="O37" i="5"/>
  <c r="N37" i="5"/>
  <c r="M37" i="5"/>
  <c r="L37" i="5"/>
  <c r="K37" i="5"/>
  <c r="J37" i="5"/>
  <c r="I37" i="5"/>
  <c r="H37" i="5"/>
  <c r="G37" i="5"/>
  <c r="F37" i="5"/>
  <c r="E37" i="5" s="1"/>
  <c r="C37" i="5"/>
  <c r="AZ37" i="5" s="1"/>
  <c r="BC37" i="5" s="1"/>
  <c r="B37" i="5"/>
  <c r="A37" i="5"/>
  <c r="P36" i="5"/>
  <c r="B36" i="5" s="1"/>
  <c r="O36" i="5"/>
  <c r="C36" i="5" s="1"/>
  <c r="N36" i="5"/>
  <c r="M36" i="5"/>
  <c r="L36" i="5"/>
  <c r="K36" i="5"/>
  <c r="J36" i="5"/>
  <c r="I36" i="5"/>
  <c r="H36" i="5"/>
  <c r="G36" i="5"/>
  <c r="F36" i="5"/>
  <c r="E36" i="5" s="1"/>
  <c r="D36" i="5" s="1"/>
  <c r="A36" i="5"/>
  <c r="P35" i="5"/>
  <c r="B35" i="5" s="1"/>
  <c r="O35" i="5"/>
  <c r="C35" i="5" s="1"/>
  <c r="N35" i="5"/>
  <c r="M35" i="5"/>
  <c r="L35" i="5"/>
  <c r="K35" i="5"/>
  <c r="J35" i="5"/>
  <c r="I35" i="5"/>
  <c r="H35" i="5"/>
  <c r="G35" i="5"/>
  <c r="F35" i="5"/>
  <c r="E35" i="5" s="1"/>
  <c r="P34" i="5"/>
  <c r="A34" i="5" s="1"/>
  <c r="O34" i="5"/>
  <c r="N34" i="5"/>
  <c r="M34" i="5"/>
  <c r="L34" i="5"/>
  <c r="K34" i="5"/>
  <c r="J34" i="5"/>
  <c r="I34" i="5"/>
  <c r="H34" i="5"/>
  <c r="G34" i="5"/>
  <c r="F34" i="5"/>
  <c r="E34" i="5"/>
  <c r="T34" i="5" s="1"/>
  <c r="D34" i="5"/>
  <c r="C34" i="5"/>
  <c r="AZ34" i="5" s="1"/>
  <c r="BC34" i="5" s="1"/>
  <c r="B34" i="5"/>
  <c r="P33" i="5"/>
  <c r="O33" i="5"/>
  <c r="N33" i="5"/>
  <c r="M33" i="5"/>
  <c r="L33" i="5"/>
  <c r="K33" i="5"/>
  <c r="J33" i="5"/>
  <c r="I33" i="5"/>
  <c r="H33" i="5"/>
  <c r="G33" i="5"/>
  <c r="F33" i="5"/>
  <c r="E33" i="5" s="1"/>
  <c r="C33" i="5"/>
  <c r="AZ33" i="5" s="1"/>
  <c r="BC33" i="5" s="1"/>
  <c r="B33" i="5"/>
  <c r="A33" i="5"/>
  <c r="P32" i="5"/>
  <c r="B32" i="5" s="1"/>
  <c r="O32" i="5"/>
  <c r="C32" i="5" s="1"/>
  <c r="N32" i="5"/>
  <c r="M32" i="5"/>
  <c r="L32" i="5"/>
  <c r="K32" i="5"/>
  <c r="J32" i="5"/>
  <c r="I32" i="5"/>
  <c r="H32" i="5"/>
  <c r="G32" i="5"/>
  <c r="F32" i="5"/>
  <c r="E32" i="5" s="1"/>
  <c r="D32" i="5" s="1"/>
  <c r="A32" i="5"/>
  <c r="P31" i="5"/>
  <c r="B31" i="5" s="1"/>
  <c r="O31" i="5"/>
  <c r="C31" i="5" s="1"/>
  <c r="N31" i="5"/>
  <c r="M31" i="5"/>
  <c r="L31" i="5"/>
  <c r="K31" i="5"/>
  <c r="J31" i="5"/>
  <c r="I31" i="5"/>
  <c r="H31" i="5"/>
  <c r="G31" i="5"/>
  <c r="F31" i="5"/>
  <c r="E31" i="5" s="1"/>
  <c r="P30" i="5"/>
  <c r="A30" i="5" s="1"/>
  <c r="O30" i="5"/>
  <c r="N30" i="5"/>
  <c r="M30" i="5"/>
  <c r="L30" i="5"/>
  <c r="K30" i="5"/>
  <c r="J30" i="5"/>
  <c r="I30" i="5"/>
  <c r="H30" i="5"/>
  <c r="G30" i="5"/>
  <c r="F30" i="5"/>
  <c r="E30" i="5"/>
  <c r="C30" i="5"/>
  <c r="B30" i="5"/>
  <c r="P29" i="5"/>
  <c r="O29" i="5"/>
  <c r="N29" i="5"/>
  <c r="M29" i="5"/>
  <c r="L29" i="5"/>
  <c r="K29" i="5"/>
  <c r="J29" i="5"/>
  <c r="I29" i="5"/>
  <c r="H29" i="5"/>
  <c r="G29" i="5"/>
  <c r="F29" i="5"/>
  <c r="E29" i="5" s="1"/>
  <c r="C29" i="5"/>
  <c r="B29" i="5"/>
  <c r="A29" i="5"/>
  <c r="P28" i="5"/>
  <c r="B28" i="5" s="1"/>
  <c r="O28" i="5"/>
  <c r="C28" i="5" s="1"/>
  <c r="N28" i="5"/>
  <c r="M28" i="5"/>
  <c r="L28" i="5"/>
  <c r="K28" i="5"/>
  <c r="J28" i="5"/>
  <c r="I28" i="5"/>
  <c r="H28" i="5"/>
  <c r="G28" i="5"/>
  <c r="F28" i="5"/>
  <c r="E28" i="5" s="1"/>
  <c r="A28" i="5"/>
  <c r="P27" i="5"/>
  <c r="B27" i="5" s="1"/>
  <c r="O27" i="5"/>
  <c r="C27" i="5" s="1"/>
  <c r="N27" i="5"/>
  <c r="M27" i="5"/>
  <c r="L27" i="5"/>
  <c r="K27" i="5"/>
  <c r="J27" i="5"/>
  <c r="I27" i="5"/>
  <c r="H27" i="5"/>
  <c r="G27" i="5"/>
  <c r="F27" i="5"/>
  <c r="E27" i="5" s="1"/>
  <c r="P26" i="5"/>
  <c r="A26" i="5" s="1"/>
  <c r="O26" i="5"/>
  <c r="N26" i="5"/>
  <c r="M26" i="5"/>
  <c r="L26" i="5"/>
  <c r="K26" i="5"/>
  <c r="J26" i="5"/>
  <c r="I26" i="5"/>
  <c r="H26" i="5"/>
  <c r="G26" i="5"/>
  <c r="F26" i="5"/>
  <c r="E26" i="5"/>
  <c r="T26" i="5" s="1"/>
  <c r="D26" i="5"/>
  <c r="C26" i="5"/>
  <c r="B26" i="5"/>
  <c r="AZ25" i="5"/>
  <c r="BC25" i="5" s="1"/>
  <c r="P25" i="5"/>
  <c r="O25" i="5"/>
  <c r="N25" i="5"/>
  <c r="M25" i="5"/>
  <c r="L25" i="5"/>
  <c r="K25" i="5"/>
  <c r="J25" i="5"/>
  <c r="I25" i="5"/>
  <c r="H25" i="5"/>
  <c r="G25" i="5"/>
  <c r="F25" i="5"/>
  <c r="E25" i="5" s="1"/>
  <c r="C25" i="5"/>
  <c r="B25" i="5"/>
  <c r="A25" i="5"/>
  <c r="P24" i="5"/>
  <c r="O24" i="5"/>
  <c r="C24" i="5" s="1"/>
  <c r="N24" i="5"/>
  <c r="M24" i="5"/>
  <c r="L24" i="5"/>
  <c r="K24" i="5"/>
  <c r="J24" i="5"/>
  <c r="I24" i="5"/>
  <c r="H24" i="5"/>
  <c r="G24" i="5"/>
  <c r="P23" i="5"/>
  <c r="B23" i="5" s="1"/>
  <c r="O23" i="5"/>
  <c r="C23" i="5" s="1"/>
  <c r="N23" i="5"/>
  <c r="M23" i="5"/>
  <c r="L23" i="5"/>
  <c r="K23" i="5"/>
  <c r="J23" i="5"/>
  <c r="I23" i="5"/>
  <c r="H23" i="5"/>
  <c r="G23" i="5"/>
  <c r="P22" i="5"/>
  <c r="A22" i="5" s="1"/>
  <c r="O22" i="5"/>
  <c r="N22" i="5"/>
  <c r="M22" i="5"/>
  <c r="L22" i="5"/>
  <c r="K22" i="5"/>
  <c r="J22" i="5"/>
  <c r="I22" i="5"/>
  <c r="H22" i="5"/>
  <c r="G22" i="5"/>
  <c r="C22" i="5"/>
  <c r="B22" i="5"/>
  <c r="P21" i="5"/>
  <c r="O21" i="5"/>
  <c r="N21" i="5"/>
  <c r="M21" i="5"/>
  <c r="L21" i="5"/>
  <c r="K21" i="5"/>
  <c r="J21" i="5"/>
  <c r="I21" i="5"/>
  <c r="H21" i="5"/>
  <c r="G21" i="5"/>
  <c r="C21" i="5"/>
  <c r="B21" i="5"/>
  <c r="A21" i="5"/>
  <c r="P20" i="5"/>
  <c r="B20" i="5" s="1"/>
  <c r="O20" i="5"/>
  <c r="C20" i="5" s="1"/>
  <c r="N20" i="5"/>
  <c r="M20" i="5"/>
  <c r="L20" i="5"/>
  <c r="K20" i="5"/>
  <c r="J20" i="5"/>
  <c r="I20" i="5"/>
  <c r="H20" i="5"/>
  <c r="G20" i="5"/>
  <c r="A20" i="5"/>
  <c r="P19" i="5"/>
  <c r="B19" i="5" s="1"/>
  <c r="O19" i="5"/>
  <c r="C19" i="5" s="1"/>
  <c r="N19" i="5"/>
  <c r="M19" i="5"/>
  <c r="L19" i="5"/>
  <c r="K19" i="5"/>
  <c r="J19" i="5"/>
  <c r="I19" i="5"/>
  <c r="H19" i="5"/>
  <c r="G19" i="5"/>
  <c r="P18" i="5"/>
  <c r="A18" i="5" s="1"/>
  <c r="O18" i="5"/>
  <c r="N18" i="5"/>
  <c r="M18" i="5"/>
  <c r="L18" i="5"/>
  <c r="K18" i="5"/>
  <c r="J18" i="5"/>
  <c r="I18" i="5"/>
  <c r="H18" i="5"/>
  <c r="G18" i="5"/>
  <c r="C18" i="5"/>
  <c r="B18" i="5"/>
  <c r="P17" i="5"/>
  <c r="O17" i="5"/>
  <c r="N17" i="5"/>
  <c r="M17" i="5"/>
  <c r="L17" i="5"/>
  <c r="K17" i="5"/>
  <c r="J17" i="5"/>
  <c r="I17" i="5"/>
  <c r="H17" i="5"/>
  <c r="G17" i="5"/>
  <c r="C17" i="5"/>
  <c r="B17" i="5"/>
  <c r="A17" i="5"/>
  <c r="P16" i="5"/>
  <c r="B16" i="5" s="1"/>
  <c r="O16" i="5"/>
  <c r="C16" i="5" s="1"/>
  <c r="N16" i="5"/>
  <c r="M16" i="5"/>
  <c r="L16" i="5"/>
  <c r="K16" i="5"/>
  <c r="J16" i="5"/>
  <c r="I16" i="5"/>
  <c r="H16" i="5"/>
  <c r="G16" i="5"/>
  <c r="A16" i="5"/>
  <c r="P15" i="5"/>
  <c r="B15" i="5" s="1"/>
  <c r="O15" i="5"/>
  <c r="C15" i="5" s="1"/>
  <c r="N15" i="5"/>
  <c r="M15" i="5"/>
  <c r="L15" i="5"/>
  <c r="K15" i="5"/>
  <c r="J15" i="5"/>
  <c r="I15" i="5"/>
  <c r="H15" i="5"/>
  <c r="G15" i="5"/>
  <c r="F15" i="5"/>
  <c r="E15" i="5" s="1"/>
  <c r="P14" i="5"/>
  <c r="A14" i="5" s="1"/>
  <c r="O14" i="5"/>
  <c r="N14" i="5"/>
  <c r="M14" i="5"/>
  <c r="L14" i="5"/>
  <c r="K14" i="5"/>
  <c r="J14" i="5"/>
  <c r="I14" i="5"/>
  <c r="H14" i="5"/>
  <c r="G14" i="5"/>
  <c r="F14" i="5"/>
  <c r="E14" i="5"/>
  <c r="T14" i="5" s="1"/>
  <c r="C14" i="5"/>
  <c r="B14" i="5"/>
  <c r="T13" i="5"/>
  <c r="P13" i="5"/>
  <c r="O13" i="5"/>
  <c r="N13" i="5"/>
  <c r="M13" i="5"/>
  <c r="L13" i="5"/>
  <c r="K13" i="5"/>
  <c r="J13" i="5"/>
  <c r="I13" i="5"/>
  <c r="H13" i="5"/>
  <c r="G13" i="5"/>
  <c r="F13" i="5"/>
  <c r="E13" i="5" s="1"/>
  <c r="D13" i="5" s="1"/>
  <c r="C13" i="5"/>
  <c r="B13" i="5"/>
  <c r="A13" i="5"/>
  <c r="T12" i="5"/>
  <c r="P12" i="5"/>
  <c r="O12" i="5"/>
  <c r="C12" i="5" s="1"/>
  <c r="N12" i="5"/>
  <c r="M12" i="5"/>
  <c r="L12" i="5"/>
  <c r="K12" i="5"/>
  <c r="J12" i="5"/>
  <c r="I12" i="5"/>
  <c r="H12" i="5"/>
  <c r="G12" i="5"/>
  <c r="F12" i="5"/>
  <c r="E12" i="5" s="1"/>
  <c r="D12" i="5" s="1"/>
  <c r="P11" i="5"/>
  <c r="B11" i="5" s="1"/>
  <c r="O11" i="5"/>
  <c r="C11" i="5" s="1"/>
  <c r="N11" i="5"/>
  <c r="M11" i="5"/>
  <c r="L11" i="5"/>
  <c r="K11" i="5"/>
  <c r="I11" i="5"/>
  <c r="H11" i="5"/>
  <c r="G11" i="5"/>
  <c r="F11" i="5"/>
  <c r="E11" i="5"/>
  <c r="E10" i="5"/>
  <c r="T10" i="5" s="1"/>
  <c r="C10" i="5"/>
  <c r="B10" i="5"/>
  <c r="A10" i="5"/>
  <c r="E9" i="5"/>
  <c r="C9" i="5"/>
  <c r="B9" i="5"/>
  <c r="A9" i="5"/>
  <c r="AZ8" i="5"/>
  <c r="BC8" i="5" s="1"/>
  <c r="T8" i="5"/>
  <c r="E8" i="5"/>
  <c r="D8" i="5" s="1"/>
  <c r="C8" i="5"/>
  <c r="B8" i="5"/>
  <c r="A8" i="5"/>
  <c r="E7" i="5"/>
  <c r="T7" i="5" s="1"/>
  <c r="D7" i="5"/>
  <c r="C7" i="5"/>
  <c r="B7" i="5"/>
  <c r="A7" i="5"/>
  <c r="E6" i="5"/>
  <c r="T6" i="5" s="1"/>
  <c r="D6" i="5"/>
  <c r="C6" i="5"/>
  <c r="B6" i="5"/>
  <c r="A6" i="5"/>
  <c r="BF5" i="5"/>
  <c r="BE5" i="5"/>
  <c r="T5" i="5"/>
  <c r="O5" i="5"/>
  <c r="C5" i="5" s="1"/>
  <c r="E5" i="5"/>
  <c r="D5" i="5" s="1"/>
  <c r="B5" i="5"/>
  <c r="A5" i="5"/>
  <c r="AZ6" i="5" s="1"/>
  <c r="BC6" i="5" s="1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O37" i="3"/>
  <c r="L37" i="3"/>
  <c r="O36" i="3"/>
  <c r="N36" i="3"/>
  <c r="M36" i="3"/>
  <c r="L36" i="3"/>
  <c r="O35" i="3"/>
  <c r="L35" i="3"/>
  <c r="O34" i="3"/>
  <c r="N34" i="3"/>
  <c r="M34" i="3"/>
  <c r="L34" i="3"/>
  <c r="L33" i="3"/>
  <c r="O32" i="3"/>
  <c r="N32" i="3"/>
  <c r="M32" i="3"/>
  <c r="L32" i="3"/>
  <c r="N31" i="3"/>
  <c r="M31" i="3"/>
  <c r="L31" i="3"/>
  <c r="O31" i="3" s="1"/>
  <c r="O30" i="3"/>
  <c r="N30" i="3"/>
  <c r="M30" i="3"/>
  <c r="L30" i="3"/>
  <c r="L29" i="3"/>
  <c r="O28" i="3"/>
  <c r="N28" i="3"/>
  <c r="M28" i="3"/>
  <c r="L28" i="3"/>
  <c r="L27" i="3"/>
  <c r="O26" i="3"/>
  <c r="N26" i="3"/>
  <c r="M26" i="3"/>
  <c r="L26" i="3"/>
  <c r="O25" i="3"/>
  <c r="N25" i="3"/>
  <c r="M25" i="3"/>
  <c r="L25" i="3"/>
  <c r="O24" i="3"/>
  <c r="N24" i="3"/>
  <c r="M24" i="3"/>
  <c r="L24" i="3"/>
  <c r="O23" i="3"/>
  <c r="N23" i="3"/>
  <c r="M23" i="3"/>
  <c r="L23" i="3"/>
  <c r="O22" i="3"/>
  <c r="N22" i="3"/>
  <c r="M22" i="3"/>
  <c r="L22" i="3"/>
  <c r="O21" i="3"/>
  <c r="L21" i="3"/>
  <c r="O20" i="3"/>
  <c r="N20" i="3"/>
  <c r="M20" i="3"/>
  <c r="L20" i="3"/>
  <c r="L19" i="3"/>
  <c r="O18" i="3"/>
  <c r="N18" i="3"/>
  <c r="M18" i="3"/>
  <c r="L18" i="3"/>
  <c r="L17" i="3"/>
  <c r="O16" i="3"/>
  <c r="N16" i="3"/>
  <c r="M16" i="3"/>
  <c r="L16" i="3"/>
  <c r="A7" i="3"/>
  <c r="O6" i="3"/>
  <c r="N6" i="3"/>
  <c r="M6" i="3"/>
  <c r="L6" i="3"/>
  <c r="M5" i="3"/>
  <c r="L5" i="3"/>
  <c r="O4" i="3"/>
  <c r="N4" i="3"/>
  <c r="M4" i="3"/>
  <c r="L4" i="3"/>
  <c r="L3" i="3"/>
  <c r="O2" i="3"/>
  <c r="N2" i="3"/>
  <c r="M2" i="3"/>
  <c r="L2" i="3"/>
  <c r="E2" i="3"/>
  <c r="J11" i="5" s="1"/>
  <c r="J47" i="2"/>
  <c r="I47" i="2"/>
  <c r="H47" i="2"/>
  <c r="G47" i="2"/>
  <c r="F47" i="2"/>
  <c r="E47" i="2"/>
  <c r="K47" i="2" s="1"/>
  <c r="L47" i="2" s="1"/>
  <c r="J46" i="2"/>
  <c r="I46" i="2"/>
  <c r="H46" i="2"/>
  <c r="G46" i="2"/>
  <c r="F46" i="2"/>
  <c r="E46" i="2"/>
  <c r="K46" i="2" s="1"/>
  <c r="L46" i="2" s="1"/>
  <c r="J45" i="2"/>
  <c r="I45" i="2"/>
  <c r="H45" i="2"/>
  <c r="G45" i="2"/>
  <c r="F45" i="2"/>
  <c r="E45" i="2"/>
  <c r="K45" i="2" s="1"/>
  <c r="L45" i="2" s="1"/>
  <c r="J44" i="2"/>
  <c r="I44" i="2"/>
  <c r="H44" i="2"/>
  <c r="G44" i="2"/>
  <c r="F44" i="2"/>
  <c r="E44" i="2"/>
  <c r="K44" i="2" s="1"/>
  <c r="L44" i="2" s="1"/>
  <c r="J41" i="2"/>
  <c r="I41" i="2"/>
  <c r="H41" i="2"/>
  <c r="G41" i="2"/>
  <c r="F41" i="2"/>
  <c r="E41" i="2"/>
  <c r="K41" i="2" s="1"/>
  <c r="L41" i="2" s="1"/>
  <c r="J40" i="2"/>
  <c r="I40" i="2"/>
  <c r="H40" i="2"/>
  <c r="G40" i="2"/>
  <c r="F40" i="2"/>
  <c r="E40" i="2"/>
  <c r="K40" i="2" s="1"/>
  <c r="L40" i="2" s="1"/>
  <c r="J39" i="2"/>
  <c r="I39" i="2"/>
  <c r="H39" i="2"/>
  <c r="G39" i="2"/>
  <c r="F39" i="2"/>
  <c r="E39" i="2"/>
  <c r="K39" i="2" s="1"/>
  <c r="L39" i="2" s="1"/>
  <c r="J38" i="2"/>
  <c r="I38" i="2"/>
  <c r="H38" i="2"/>
  <c r="G38" i="2"/>
  <c r="F38" i="2"/>
  <c r="E38" i="2"/>
  <c r="K38" i="2" s="1"/>
  <c r="L38" i="2" s="1"/>
  <c r="J36" i="2"/>
  <c r="I36" i="2"/>
  <c r="H36" i="2"/>
  <c r="G36" i="2"/>
  <c r="F36" i="2"/>
  <c r="E36" i="2"/>
  <c r="K36" i="2" s="1"/>
  <c r="L36" i="2" s="1"/>
  <c r="J35" i="2"/>
  <c r="I35" i="2"/>
  <c r="H35" i="2"/>
  <c r="G35" i="2"/>
  <c r="F35" i="2"/>
  <c r="E35" i="2"/>
  <c r="K35" i="2" s="1"/>
  <c r="L35" i="2" s="1"/>
  <c r="J34" i="2"/>
  <c r="I34" i="2"/>
  <c r="H34" i="2"/>
  <c r="G34" i="2"/>
  <c r="F34" i="2"/>
  <c r="E34" i="2"/>
  <c r="K34" i="2" s="1"/>
  <c r="L34" i="2" s="1"/>
  <c r="J33" i="2"/>
  <c r="I33" i="2"/>
  <c r="H33" i="2"/>
  <c r="G33" i="2"/>
  <c r="F33" i="2"/>
  <c r="E33" i="2"/>
  <c r="K33" i="2" s="1"/>
  <c r="L33" i="2" s="1"/>
  <c r="J31" i="2"/>
  <c r="I31" i="2"/>
  <c r="H31" i="2"/>
  <c r="G31" i="2"/>
  <c r="F31" i="2"/>
  <c r="E31" i="2"/>
  <c r="K31" i="2" s="1"/>
  <c r="J30" i="2"/>
  <c r="I30" i="2"/>
  <c r="H30" i="2"/>
  <c r="G30" i="2"/>
  <c r="F30" i="2"/>
  <c r="E30" i="2"/>
  <c r="K30" i="2" s="1"/>
  <c r="J29" i="2"/>
  <c r="I29" i="2"/>
  <c r="H29" i="2"/>
  <c r="G29" i="2"/>
  <c r="F29" i="2"/>
  <c r="E29" i="2"/>
  <c r="K29" i="2" s="1"/>
  <c r="J28" i="2"/>
  <c r="I28" i="2"/>
  <c r="H28" i="2"/>
  <c r="G28" i="2"/>
  <c r="F28" i="2"/>
  <c r="E28" i="2"/>
  <c r="K28" i="2" s="1"/>
  <c r="J26" i="2"/>
  <c r="I26" i="2"/>
  <c r="H26" i="2"/>
  <c r="G26" i="2"/>
  <c r="F26" i="2"/>
  <c r="E26" i="2"/>
  <c r="K26" i="2" s="1"/>
  <c r="J25" i="2"/>
  <c r="I25" i="2"/>
  <c r="H25" i="2"/>
  <c r="G25" i="2"/>
  <c r="F25" i="2"/>
  <c r="E25" i="2"/>
  <c r="K25" i="2" s="1"/>
  <c r="J24" i="2"/>
  <c r="I24" i="2"/>
  <c r="H24" i="2"/>
  <c r="G24" i="2"/>
  <c r="F24" i="2"/>
  <c r="E24" i="2"/>
  <c r="K24" i="2" s="1"/>
  <c r="J23" i="2"/>
  <c r="I23" i="2"/>
  <c r="H23" i="2"/>
  <c r="G23" i="2"/>
  <c r="F23" i="2"/>
  <c r="E23" i="2"/>
  <c r="K23" i="2" s="1"/>
  <c r="E16" i="2"/>
  <c r="C16" i="2"/>
  <c r="E15" i="2"/>
  <c r="C15" i="2"/>
  <c r="J14" i="2"/>
  <c r="I14" i="2"/>
  <c r="H14" i="2"/>
  <c r="G14" i="2"/>
  <c r="F14" i="2"/>
  <c r="E14" i="2"/>
  <c r="K14" i="2" s="1"/>
  <c r="L14" i="2" s="1"/>
  <c r="J13" i="2"/>
  <c r="I13" i="2"/>
  <c r="H13" i="2"/>
  <c r="G13" i="2"/>
  <c r="F13" i="2"/>
  <c r="E13" i="2"/>
  <c r="K13" i="2" s="1"/>
  <c r="L13" i="2" s="1"/>
  <c r="J12" i="2"/>
  <c r="I12" i="2"/>
  <c r="H12" i="2"/>
  <c r="G12" i="2"/>
  <c r="F12" i="2"/>
  <c r="E12" i="2"/>
  <c r="K12" i="2" s="1"/>
  <c r="L12" i="2" s="1"/>
  <c r="E11" i="2"/>
  <c r="D11" i="2"/>
  <c r="C11" i="2"/>
  <c r="E10" i="2"/>
  <c r="D10" i="2"/>
  <c r="C10" i="2"/>
  <c r="E9" i="2"/>
  <c r="D9" i="2"/>
  <c r="C9" i="2"/>
  <c r="E8" i="2"/>
  <c r="D8" i="2"/>
  <c r="C8" i="2"/>
  <c r="J8" i="2" s="1"/>
  <c r="J30" i="1"/>
  <c r="J37" i="1" s="1"/>
  <c r="J27" i="1"/>
  <c r="J34" i="1" s="1"/>
  <c r="J24" i="1"/>
  <c r="J31" i="1" s="1"/>
  <c r="L23" i="1"/>
  <c r="J23" i="1"/>
  <c r="J22" i="1"/>
  <c r="J29" i="1" s="1"/>
  <c r="L29" i="1" s="1"/>
  <c r="J21" i="1"/>
  <c r="J28" i="1" s="1"/>
  <c r="L20" i="1"/>
  <c r="J20" i="1"/>
  <c r="L19" i="1"/>
  <c r="J19" i="1"/>
  <c r="J18" i="1"/>
  <c r="J25" i="1" s="1"/>
  <c r="L17" i="1"/>
  <c r="J17" i="1"/>
  <c r="J16" i="1"/>
  <c r="L16" i="1" s="1"/>
  <c r="L15" i="1"/>
  <c r="L14" i="1"/>
  <c r="L13" i="1"/>
  <c r="L12" i="1"/>
  <c r="L11" i="1"/>
  <c r="L10" i="1"/>
  <c r="L9" i="1"/>
  <c r="N8" i="1"/>
  <c r="M8" i="1"/>
  <c r="L8" i="1"/>
  <c r="C7" i="1"/>
  <c r="D7" i="1" s="1"/>
  <c r="E7" i="1" s="1"/>
  <c r="F7" i="1" s="1"/>
  <c r="G7" i="1" s="1"/>
  <c r="H7" i="1" s="1"/>
  <c r="Q6" i="1"/>
  <c r="Q5" i="1"/>
  <c r="Q4" i="1"/>
  <c r="B4" i="1"/>
  <c r="C4" i="1" s="1"/>
  <c r="C2" i="1" s="1"/>
  <c r="C3" i="1"/>
  <c r="Q2" i="1"/>
  <c r="AR30" i="10" l="1"/>
  <c r="BE10" i="10"/>
  <c r="BC27" i="10"/>
  <c r="K9" i="2"/>
  <c r="L9" i="2" s="1"/>
  <c r="K11" i="2"/>
  <c r="L11" i="2" s="1"/>
  <c r="J9" i="2"/>
  <c r="K8" i="2"/>
  <c r="L8" i="2" s="1"/>
  <c r="BD14" i="10"/>
  <c r="BD10" i="10"/>
  <c r="AV27" i="10"/>
  <c r="BC32" i="10"/>
  <c r="BC28" i="10"/>
  <c r="BE12" i="10"/>
  <c r="BD28" i="10"/>
  <c r="K10" i="2"/>
  <c r="L10" i="2" s="1"/>
  <c r="BC13" i="10"/>
  <c r="CW13" i="8"/>
  <c r="CN13" i="8"/>
  <c r="CU13" i="8"/>
  <c r="Z6" i="8"/>
  <c r="AR6" i="8"/>
  <c r="CO20" i="8"/>
  <c r="EG20" i="8"/>
  <c r="A20" i="8"/>
  <c r="AB29" i="8"/>
  <c r="X29" i="8"/>
  <c r="EH33" i="8"/>
  <c r="AO33" i="8"/>
  <c r="AC33" i="8"/>
  <c r="Z33" i="8"/>
  <c r="BE9" i="10"/>
  <c r="AV9" i="10"/>
  <c r="EE18" i="8"/>
  <c r="AV18" i="8"/>
  <c r="BJ19" i="8"/>
  <c r="BQ19" i="8" s="1"/>
  <c r="DY19" i="8"/>
  <c r="CH19" i="8"/>
  <c r="BZ30" i="8"/>
  <c r="CB30" i="8" s="1"/>
  <c r="BN30" i="8"/>
  <c r="BP30" i="8" s="1"/>
  <c r="BR30" i="8" s="1"/>
  <c r="EG39" i="8"/>
  <c r="T39" i="8"/>
  <c r="CO39" i="8"/>
  <c r="AA6" i="8"/>
  <c r="AJ6" i="8"/>
  <c r="AS6" i="8"/>
  <c r="CU8" i="8"/>
  <c r="CY8" i="8" s="1"/>
  <c r="DC8" i="8" s="1"/>
  <c r="DG8" i="8" s="1"/>
  <c r="EJ6" i="8"/>
  <c r="AB6" i="8"/>
  <c r="AK6" i="8"/>
  <c r="AT6" i="8"/>
  <c r="EG7" i="8"/>
  <c r="BZ8" i="8"/>
  <c r="BK10" i="8"/>
  <c r="AV12" i="8"/>
  <c r="Z12" i="8"/>
  <c r="CW16" i="8"/>
  <c r="CO21" i="8"/>
  <c r="T21" i="8"/>
  <c r="EJ29" i="8"/>
  <c r="CW29" i="8"/>
  <c r="T30" i="8"/>
  <c r="CO35" i="8"/>
  <c r="T35" i="8"/>
  <c r="A13" i="8"/>
  <c r="EG13" i="8"/>
  <c r="AR15" i="8"/>
  <c r="Y15" i="8"/>
  <c r="O3" i="1"/>
  <c r="O15" i="1" s="1"/>
  <c r="AN19" i="8"/>
  <c r="AC19" i="8"/>
  <c r="AS19" i="8"/>
  <c r="AH19" i="8"/>
  <c r="X19" i="8"/>
  <c r="AQ19" i="8"/>
  <c r="AG19" i="8"/>
  <c r="V19" i="8"/>
  <c r="AP19" i="8"/>
  <c r="AF19" i="8"/>
  <c r="AJ19" i="8"/>
  <c r="BV19" i="8"/>
  <c r="BH22" i="8"/>
  <c r="EK23" i="8"/>
  <c r="CO29" i="8"/>
  <c r="T29" i="8"/>
  <c r="CX32" i="8"/>
  <c r="DB32" i="8" s="1"/>
  <c r="CT33" i="8"/>
  <c r="AC6" i="8"/>
  <c r="AL6" i="8"/>
  <c r="AU6" i="8"/>
  <c r="EH9" i="8"/>
  <c r="DY12" i="8"/>
  <c r="AD6" i="8"/>
  <c r="AO12" i="8"/>
  <c r="AM12" i="8"/>
  <c r="AD12" i="8"/>
  <c r="AQ12" i="8"/>
  <c r="AH12" i="8"/>
  <c r="X12" i="8"/>
  <c r="AB12" i="8"/>
  <c r="AN12" i="8"/>
  <c r="BH14" i="8"/>
  <c r="BH18" i="8"/>
  <c r="DY18" i="8" s="1"/>
  <c r="AK19" i="8"/>
  <c r="CC19" i="8"/>
  <c r="DW19" i="8" s="1"/>
  <c r="BN20" i="8"/>
  <c r="BP20" i="8" s="1"/>
  <c r="EE22" i="8"/>
  <c r="AH24" i="8"/>
  <c r="AO24" i="8"/>
  <c r="Y24" i="8"/>
  <c r="AN24" i="8"/>
  <c r="V24" i="8"/>
  <c r="BK24" i="8" s="1"/>
  <c r="AL24" i="8"/>
  <c r="AR24" i="8"/>
  <c r="CT28" i="8"/>
  <c r="AF29" i="8"/>
  <c r="X33" i="8"/>
  <c r="CN35" i="8"/>
  <c r="CW35" i="8"/>
  <c r="AC35" i="8"/>
  <c r="AM39" i="8"/>
  <c r="AI6" i="8"/>
  <c r="J11" i="2"/>
  <c r="EH7" i="8"/>
  <c r="CW8" i="8"/>
  <c r="F9" i="2"/>
  <c r="CR5" i="8"/>
  <c r="BD5" i="8" s="1"/>
  <c r="T6" i="8"/>
  <c r="AM6" i="8"/>
  <c r="H8" i="2"/>
  <c r="G9" i="2"/>
  <c r="G10" i="2"/>
  <c r="V6" i="8"/>
  <c r="AE6" i="8"/>
  <c r="AN6" i="8"/>
  <c r="A7" i="8"/>
  <c r="CO7" i="8"/>
  <c r="AB9" i="8"/>
  <c r="AA10" i="8"/>
  <c r="AJ10" i="8"/>
  <c r="AS10" i="8"/>
  <c r="BL11" i="8"/>
  <c r="AC12" i="8"/>
  <c r="AP12" i="8"/>
  <c r="CC12" i="8"/>
  <c r="DW12" i="8" s="1"/>
  <c r="EG12" i="8"/>
  <c r="AO14" i="8"/>
  <c r="AN14" i="8"/>
  <c r="AE14" i="8"/>
  <c r="V14" i="8"/>
  <c r="AR14" i="8"/>
  <c r="AI14" i="8"/>
  <c r="Z14" i="8"/>
  <c r="AC14" i="8"/>
  <c r="AP14" i="8"/>
  <c r="Z15" i="8"/>
  <c r="CM18" i="8"/>
  <c r="AL19" i="8"/>
  <c r="CG19" i="8"/>
  <c r="CI19" i="8" s="1"/>
  <c r="BU21" i="8"/>
  <c r="AV24" i="8"/>
  <c r="EE24" i="8"/>
  <c r="AT26" i="8"/>
  <c r="AA26" i="8"/>
  <c r="Z26" i="8"/>
  <c r="V26" i="8"/>
  <c r="EK27" i="8"/>
  <c r="AV28" i="8"/>
  <c r="EE28" i="8"/>
  <c r="CM28" i="8"/>
  <c r="A30" i="8"/>
  <c r="AP33" i="8"/>
  <c r="A39" i="8"/>
  <c r="I8" i="2"/>
  <c r="H9" i="2"/>
  <c r="H10" i="2"/>
  <c r="W6" i="8"/>
  <c r="AF6" i="8"/>
  <c r="AP6" i="8"/>
  <c r="AA7" i="8"/>
  <c r="A8" i="8"/>
  <c r="X8" i="8"/>
  <c r="AH8" i="8"/>
  <c r="AQ8" i="8"/>
  <c r="EE8" i="8"/>
  <c r="AD9" i="8"/>
  <c r="AB10" i="8"/>
  <c r="AK10" i="8"/>
  <c r="AT10" i="8"/>
  <c r="AE12" i="8"/>
  <c r="AR12" i="8"/>
  <c r="AT13" i="8"/>
  <c r="AB13" i="8"/>
  <c r="AJ13" i="8"/>
  <c r="AF13" i="8"/>
  <c r="CO13" i="8"/>
  <c r="AD14" i="8"/>
  <c r="AQ14" i="8"/>
  <c r="AD15" i="8"/>
  <c r="CM16" i="8"/>
  <c r="AO19" i="8"/>
  <c r="BW20" i="8"/>
  <c r="A21" i="8"/>
  <c r="AL23" i="8"/>
  <c r="AB23" i="8"/>
  <c r="AP23" i="8"/>
  <c r="AF23" i="8"/>
  <c r="V23" i="8"/>
  <c r="BL23" i="8" s="1"/>
  <c r="AO23" i="8"/>
  <c r="AE23" i="8"/>
  <c r="AN23" i="8"/>
  <c r="AD23" i="8"/>
  <c r="AG23" i="8"/>
  <c r="EH24" i="8"/>
  <c r="EK24" i="8"/>
  <c r="BQ30" i="8"/>
  <c r="EE31" i="8"/>
  <c r="BH31" i="8"/>
  <c r="BU31" i="8" s="1"/>
  <c r="AV31" i="8"/>
  <c r="CM31" i="8"/>
  <c r="AQ33" i="8"/>
  <c r="EE33" i="8"/>
  <c r="A35" i="8"/>
  <c r="EH36" i="8"/>
  <c r="EK36" i="8"/>
  <c r="CW36" i="8"/>
  <c r="CU36" i="8"/>
  <c r="CT36" i="8"/>
  <c r="AV37" i="8"/>
  <c r="BH37" i="8"/>
  <c r="AJ39" i="8"/>
  <c r="AF39" i="8"/>
  <c r="AQ39" i="8"/>
  <c r="AB39" i="8"/>
  <c r="AO39" i="8"/>
  <c r="Y39" i="8"/>
  <c r="AN39" i="8"/>
  <c r="AO43" i="8"/>
  <c r="AB43" i="8"/>
  <c r="BC20" i="10"/>
  <c r="AU20" i="10"/>
  <c r="BE20" i="10"/>
  <c r="F10" i="2"/>
  <c r="I9" i="2"/>
  <c r="X6" i="8"/>
  <c r="AH6" i="8"/>
  <c r="AQ6" i="8"/>
  <c r="Z8" i="8"/>
  <c r="AI8" i="8"/>
  <c r="AR8" i="8"/>
  <c r="AM9" i="8"/>
  <c r="CO9" i="8"/>
  <c r="CW10" i="8"/>
  <c r="AC10" i="8"/>
  <c r="AL10" i="8"/>
  <c r="AU10" i="8"/>
  <c r="CO12" i="8"/>
  <c r="T12" i="8"/>
  <c r="BZ12" i="8"/>
  <c r="CD12" i="8" s="1"/>
  <c r="CE12" i="8" s="1"/>
  <c r="BN12" i="8"/>
  <c r="BP12" i="8" s="1"/>
  <c r="AF12" i="8"/>
  <c r="AS12" i="8"/>
  <c r="CM12" i="8"/>
  <c r="AM13" i="8"/>
  <c r="AF14" i="8"/>
  <c r="AS14" i="8"/>
  <c r="AU15" i="8"/>
  <c r="Y19" i="8"/>
  <c r="AT19" i="8"/>
  <c r="AJ23" i="8"/>
  <c r="CM24" i="8"/>
  <c r="CM25" i="8"/>
  <c r="CW26" i="8"/>
  <c r="EJ26" i="8"/>
  <c r="BH28" i="8"/>
  <c r="A29" i="8"/>
  <c r="CW32" i="8"/>
  <c r="EK32" i="8"/>
  <c r="EJ32" i="8"/>
  <c r="AG35" i="8"/>
  <c r="AS35" i="8"/>
  <c r="AF35" i="8"/>
  <c r="AO35" i="8"/>
  <c r="Z35" i="8"/>
  <c r="AN35" i="8"/>
  <c r="Y35" i="8"/>
  <c r="AJ35" i="8"/>
  <c r="AQ35" i="8"/>
  <c r="T36" i="8"/>
  <c r="A36" i="8"/>
  <c r="EE37" i="8"/>
  <c r="CM38" i="8"/>
  <c r="EE38" i="8"/>
  <c r="BN38" i="8"/>
  <c r="BP38" i="8" s="1"/>
  <c r="BD9" i="10"/>
  <c r="BU19" i="8"/>
  <c r="BW19" i="8" s="1"/>
  <c r="AV20" i="8"/>
  <c r="CH20" i="8"/>
  <c r="CI20" i="8" s="1"/>
  <c r="EE20" i="8"/>
  <c r="BZ24" i="8"/>
  <c r="BN28" i="8"/>
  <c r="BP28" i="8" s="1"/>
  <c r="AT28" i="8"/>
  <c r="BN32" i="8"/>
  <c r="BP32" i="8" s="1"/>
  <c r="AN32" i="8"/>
  <c r="BW35" i="8"/>
  <c r="AS40" i="8"/>
  <c r="AD42" i="8"/>
  <c r="BH43" i="8"/>
  <c r="CM43" i="8"/>
  <c r="BC5" i="10"/>
  <c r="BD13" i="10"/>
  <c r="AY13" i="10" s="1"/>
  <c r="AU29" i="10"/>
  <c r="BD32" i="10"/>
  <c r="EJ13" i="8"/>
  <c r="BN16" i="8"/>
  <c r="BP16" i="8" s="1"/>
  <c r="BN18" i="8"/>
  <c r="BP18" i="8" s="1"/>
  <c r="CM20" i="8"/>
  <c r="CW21" i="8"/>
  <c r="CU21" i="8"/>
  <c r="BU24" i="8"/>
  <c r="Z27" i="8"/>
  <c r="AK27" i="8"/>
  <c r="AU27" i="8"/>
  <c r="X28" i="8"/>
  <c r="AG31" i="8"/>
  <c r="W32" i="8"/>
  <c r="AR32" i="8"/>
  <c r="AV32" i="8" s="1"/>
  <c r="AC36" i="8"/>
  <c r="AO36" i="8"/>
  <c r="X40" i="8"/>
  <c r="AB41" i="8"/>
  <c r="AN41" i="8"/>
  <c r="AJ42" i="8"/>
  <c r="BD5" i="10"/>
  <c r="AV12" i="10"/>
  <c r="BE14" i="10"/>
  <c r="BC24" i="10"/>
  <c r="BC29" i="10"/>
  <c r="AV21" i="8"/>
  <c r="AB27" i="8"/>
  <c r="AL27" i="8"/>
  <c r="Y28" i="8"/>
  <c r="Y32" i="8"/>
  <c r="AS32" i="8"/>
  <c r="EE39" i="8"/>
  <c r="AA40" i="8"/>
  <c r="AC41" i="8"/>
  <c r="AO41" i="8"/>
  <c r="AL42" i="8"/>
  <c r="CG42" i="8"/>
  <c r="EE42" i="8"/>
  <c r="BN43" i="8"/>
  <c r="BP43" i="8" s="1"/>
  <c r="BD6" i="10"/>
  <c r="BD24" i="10"/>
  <c r="BD29" i="10"/>
  <c r="AY29" i="10" s="1"/>
  <c r="AN42" i="8"/>
  <c r="T43" i="8"/>
  <c r="BE6" i="10"/>
  <c r="BD8" i="10"/>
  <c r="BD12" i="10"/>
  <c r="BD16" i="10"/>
  <c r="AY16" i="10" s="1"/>
  <c r="BE27" i="10"/>
  <c r="BC33" i="10"/>
  <c r="BE8" i="10"/>
  <c r="BE16" i="10"/>
  <c r="BD33" i="10"/>
  <c r="AK28" i="8"/>
  <c r="AF32" i="8"/>
  <c r="CI35" i="8"/>
  <c r="AK40" i="8"/>
  <c r="BL41" i="8"/>
  <c r="AI11" i="8"/>
  <c r="BU12" i="8"/>
  <c r="AA16" i="8"/>
  <c r="AJ16" i="8"/>
  <c r="AS16" i="8"/>
  <c r="AN17" i="8"/>
  <c r="AA18" i="8"/>
  <c r="AJ18" i="8"/>
  <c r="AS18" i="8"/>
  <c r="Y20" i="8"/>
  <c r="AI22" i="8"/>
  <c r="CW25" i="8"/>
  <c r="AV26" i="8"/>
  <c r="CO26" i="8"/>
  <c r="V27" i="8"/>
  <c r="AF27" i="8"/>
  <c r="AB30" i="8"/>
  <c r="X31" i="8"/>
  <c r="AV35" i="8"/>
  <c r="W36" i="8"/>
  <c r="CW39" i="8"/>
  <c r="BH39" i="8"/>
  <c r="BZ39" i="8" s="1"/>
  <c r="CB39" i="8" s="1"/>
  <c r="CV39" i="8"/>
  <c r="CU41" i="8"/>
  <c r="W41" i="8"/>
  <c r="AJ41" i="8"/>
  <c r="EK41" i="8"/>
  <c r="AV43" i="8"/>
  <c r="J35" i="1"/>
  <c r="L28" i="1"/>
  <c r="L34" i="1"/>
  <c r="J41" i="1"/>
  <c r="J36" i="1"/>
  <c r="L37" i="1"/>
  <c r="J44" i="1"/>
  <c r="J38" i="1"/>
  <c r="L31" i="1"/>
  <c r="J32" i="1"/>
  <c r="L25" i="1"/>
  <c r="O29" i="3"/>
  <c r="N29" i="3"/>
  <c r="M29" i="3"/>
  <c r="CD8" i="8"/>
  <c r="CE8" i="8" s="1"/>
  <c r="CB8" i="8"/>
  <c r="DZ8" i="8" s="1"/>
  <c r="AZ5" i="5"/>
  <c r="BC5" i="5" s="1"/>
  <c r="AZ17" i="5"/>
  <c r="BC17" i="5" s="1"/>
  <c r="AZ13" i="5"/>
  <c r="BC13" i="5" s="1"/>
  <c r="D28" i="5"/>
  <c r="T28" i="5"/>
  <c r="CB6" i="8"/>
  <c r="CW7" i="8"/>
  <c r="CN7" i="8"/>
  <c r="CV7" i="8"/>
  <c r="CU7" i="8"/>
  <c r="O14" i="1"/>
  <c r="L18" i="1"/>
  <c r="L21" i="1"/>
  <c r="L24" i="1"/>
  <c r="L27" i="1"/>
  <c r="L30" i="1"/>
  <c r="O21" i="1"/>
  <c r="B12" i="5"/>
  <c r="A12" i="5"/>
  <c r="AZ12" i="5" s="1"/>
  <c r="BC12" i="5" s="1"/>
  <c r="T30" i="5"/>
  <c r="D30" i="5"/>
  <c r="T38" i="5"/>
  <c r="D38" i="5"/>
  <c r="AZ21" i="5"/>
  <c r="BC21" i="5" s="1"/>
  <c r="M19" i="1"/>
  <c r="L22" i="1"/>
  <c r="J26" i="1"/>
  <c r="AZ20" i="5"/>
  <c r="BC20" i="5" s="1"/>
  <c r="B24" i="5"/>
  <c r="A24" i="5"/>
  <c r="AZ24" i="5" s="1"/>
  <c r="BC24" i="5" s="1"/>
  <c r="O22" i="1"/>
  <c r="T11" i="5"/>
  <c r="D11" i="5"/>
  <c r="D29" i="5"/>
  <c r="T29" i="5"/>
  <c r="O19" i="3"/>
  <c r="N19" i="3"/>
  <c r="M19" i="3"/>
  <c r="G16" i="2"/>
  <c r="F16" i="2"/>
  <c r="K16" i="2"/>
  <c r="L16" i="2" s="1"/>
  <c r="J16" i="2"/>
  <c r="I16" i="2"/>
  <c r="H16" i="2"/>
  <c r="N37" i="3"/>
  <c r="M37" i="3"/>
  <c r="T9" i="5"/>
  <c r="D9" i="5"/>
  <c r="A8" i="3"/>
  <c r="F16" i="5"/>
  <c r="E16" i="5" s="1"/>
  <c r="N35" i="3"/>
  <c r="M35" i="3"/>
  <c r="AZ16" i="5"/>
  <c r="BC16" i="5" s="1"/>
  <c r="AZ28" i="5"/>
  <c r="BC28" i="5" s="1"/>
  <c r="D33" i="5"/>
  <c r="T33" i="5"/>
  <c r="D37" i="5"/>
  <c r="T37" i="5"/>
  <c r="T41" i="5"/>
  <c r="D41" i="5"/>
  <c r="AZ43" i="5"/>
  <c r="BC43" i="5" s="1"/>
  <c r="D47" i="5"/>
  <c r="T47" i="5"/>
  <c r="H15" i="2"/>
  <c r="G15" i="2"/>
  <c r="F15" i="2"/>
  <c r="L7" i="3"/>
  <c r="AZ29" i="5"/>
  <c r="BC29" i="5" s="1"/>
  <c r="BZ5" i="8"/>
  <c r="CW15" i="8"/>
  <c r="CU15" i="8"/>
  <c r="CN15" i="8"/>
  <c r="CV15" i="8"/>
  <c r="I11" i="2"/>
  <c r="H11" i="2"/>
  <c r="G11" i="2"/>
  <c r="O5" i="3"/>
  <c r="N5" i="3"/>
  <c r="O17" i="3"/>
  <c r="N17" i="3"/>
  <c r="M17" i="3"/>
  <c r="O27" i="3"/>
  <c r="N27" i="3"/>
  <c r="M27" i="3"/>
  <c r="AZ10" i="5"/>
  <c r="BC10" i="5" s="1"/>
  <c r="AZ22" i="5"/>
  <c r="BC22" i="5" s="1"/>
  <c r="AZ26" i="5"/>
  <c r="BC26" i="5" s="1"/>
  <c r="T27" i="5"/>
  <c r="D27" i="5"/>
  <c r="AZ32" i="5"/>
  <c r="BC32" i="5" s="1"/>
  <c r="AZ36" i="5"/>
  <c r="BC36" i="5" s="1"/>
  <c r="T43" i="5"/>
  <c r="D43" i="5"/>
  <c r="EF6" i="8"/>
  <c r="CG6" i="8"/>
  <c r="BV6" i="8"/>
  <c r="BW6" i="8" s="1"/>
  <c r="CC6" i="8"/>
  <c r="DW6" i="8" s="1"/>
  <c r="BQ6" i="8"/>
  <c r="DY6" i="8"/>
  <c r="DJ6" i="8"/>
  <c r="CH6" i="8"/>
  <c r="BJ6" i="8"/>
  <c r="CN11" i="8"/>
  <c r="CU11" i="8"/>
  <c r="G8" i="2"/>
  <c r="F8" i="2"/>
  <c r="I15" i="2"/>
  <c r="O33" i="3"/>
  <c r="N33" i="3"/>
  <c r="M33" i="3"/>
  <c r="AZ14" i="5"/>
  <c r="BC14" i="5" s="1"/>
  <c r="T15" i="5"/>
  <c r="D15" i="5"/>
  <c r="AZ18" i="5"/>
  <c r="BC18" i="5" s="1"/>
  <c r="T39" i="5"/>
  <c r="D39" i="5"/>
  <c r="T46" i="5"/>
  <c r="D46" i="5"/>
  <c r="J15" i="2"/>
  <c r="O3" i="3"/>
  <c r="N3" i="3"/>
  <c r="N21" i="3"/>
  <c r="M21" i="3"/>
  <c r="BD6" i="5"/>
  <c r="BF6" i="5" s="1"/>
  <c r="BE6" i="5" s="1"/>
  <c r="AZ9" i="5"/>
  <c r="BC9" i="5" s="1"/>
  <c r="D14" i="5"/>
  <c r="D25" i="5"/>
  <c r="T25" i="5"/>
  <c r="AZ30" i="5"/>
  <c r="BC30" i="5" s="1"/>
  <c r="T31" i="5"/>
  <c r="D31" i="5"/>
  <c r="T32" i="5"/>
  <c r="T36" i="5"/>
  <c r="T42" i="5"/>
  <c r="D42" i="5"/>
  <c r="AZ46" i="5"/>
  <c r="BC46" i="5" s="1"/>
  <c r="CR8" i="8"/>
  <c r="F11" i="2"/>
  <c r="K15" i="2"/>
  <c r="L15" i="2" s="1"/>
  <c r="M3" i="3"/>
  <c r="AZ7" i="5"/>
  <c r="BC7" i="5" s="1"/>
  <c r="BD7" i="5" s="1"/>
  <c r="BF7" i="5" s="1"/>
  <c r="BE7" i="5" s="1"/>
  <c r="T35" i="5"/>
  <c r="D35" i="5"/>
  <c r="AZ38" i="5"/>
  <c r="BC38" i="5" s="1"/>
  <c r="AZ45" i="5"/>
  <c r="BC45" i="5" s="1"/>
  <c r="BH5" i="8"/>
  <c r="X5" i="8"/>
  <c r="AG5" i="8"/>
  <c r="AP5" i="8"/>
  <c r="CW5" i="8"/>
  <c r="EK6" i="8"/>
  <c r="AV7" i="8"/>
  <c r="BL7" i="8"/>
  <c r="CV8" i="8"/>
  <c r="CZ8" i="8" s="1"/>
  <c r="DD8" i="8" s="1"/>
  <c r="DH8" i="8" s="1"/>
  <c r="Z9" i="8"/>
  <c r="AJ9" i="8"/>
  <c r="CM10" i="8"/>
  <c r="EJ11" i="8"/>
  <c r="CT11" i="8"/>
  <c r="EH11" i="8"/>
  <c r="CV11" i="8"/>
  <c r="AF11" i="8"/>
  <c r="AU11" i="8"/>
  <c r="EK11" i="8"/>
  <c r="W15" i="8"/>
  <c r="CV17" i="8"/>
  <c r="CU17" i="8"/>
  <c r="Y5" i="8"/>
  <c r="AH5" i="8"/>
  <c r="AQ5" i="8"/>
  <c r="EK5" i="8"/>
  <c r="BQ8" i="8"/>
  <c r="AS9" i="8"/>
  <c r="AK9" i="8"/>
  <c r="AC9" i="8"/>
  <c r="AN9" i="8"/>
  <c r="AE9" i="8"/>
  <c r="V9" i="8"/>
  <c r="AA9" i="8"/>
  <c r="AL9" i="8"/>
  <c r="BZ10" i="8"/>
  <c r="CO10" i="8"/>
  <c r="CV12" i="8"/>
  <c r="CZ12" i="8" s="1"/>
  <c r="DD12" i="8" s="1"/>
  <c r="DH12" i="8" s="1"/>
  <c r="CW12" i="8"/>
  <c r="CT12" i="8"/>
  <c r="EK12" i="8"/>
  <c r="BH17" i="8"/>
  <c r="BU17" i="8" s="1"/>
  <c r="AV17" i="8"/>
  <c r="EE17" i="8"/>
  <c r="CM17" i="8"/>
  <c r="Z5" i="8"/>
  <c r="AI5" i="8"/>
  <c r="CR6" i="8"/>
  <c r="BN7" i="8"/>
  <c r="BP7" i="8" s="1"/>
  <c r="EF8" i="8"/>
  <c r="CG8" i="8"/>
  <c r="BV8" i="8"/>
  <c r="BW8" i="8" s="1"/>
  <c r="BX8" i="8" s="1"/>
  <c r="CH8" i="8"/>
  <c r="DJ8" i="8"/>
  <c r="EK10" i="8"/>
  <c r="CV10" i="8"/>
  <c r="CR16" i="8"/>
  <c r="A16" i="8"/>
  <c r="EG16" i="8"/>
  <c r="CO16" i="8"/>
  <c r="T16" i="8"/>
  <c r="AS5" i="8"/>
  <c r="AK5" i="8"/>
  <c r="AC5" i="8"/>
  <c r="AA5" i="8"/>
  <c r="AJ5" i="8"/>
  <c r="AT5" i="8"/>
  <c r="BH7" i="8"/>
  <c r="EJ9" i="8"/>
  <c r="CT9" i="8"/>
  <c r="CU9" i="8"/>
  <c r="EG10" i="8"/>
  <c r="CV14" i="8"/>
  <c r="CT14" i="8"/>
  <c r="EJ14" i="8"/>
  <c r="BZ16" i="8"/>
  <c r="AS17" i="8"/>
  <c r="AK17" i="8"/>
  <c r="AC17" i="8"/>
  <c r="AR17" i="8"/>
  <c r="AJ17" i="8"/>
  <c r="AB17" i="8"/>
  <c r="AQ17" i="8"/>
  <c r="AI17" i="8"/>
  <c r="AA17" i="8"/>
  <c r="AH17" i="8"/>
  <c r="W17" i="8"/>
  <c r="AU17" i="8"/>
  <c r="AG17" i="8"/>
  <c r="V17" i="8"/>
  <c r="AT17" i="8"/>
  <c r="AF17" i="8"/>
  <c r="AP17" i="8"/>
  <c r="AE17" i="8"/>
  <c r="AO17" i="8"/>
  <c r="AD17" i="8"/>
  <c r="AM17" i="8"/>
  <c r="Y17" i="8"/>
  <c r="CR18" i="8"/>
  <c r="BD18" i="8" s="1"/>
  <c r="B42" i="5"/>
  <c r="A44" i="5"/>
  <c r="AZ44" i="5" s="1"/>
  <c r="BC44" i="5" s="1"/>
  <c r="AB5" i="8"/>
  <c r="AL5" i="8"/>
  <c r="AU5" i="8"/>
  <c r="BN6" i="8"/>
  <c r="BP6" i="8" s="1"/>
  <c r="BR6" i="8" s="1"/>
  <c r="CT6" i="8"/>
  <c r="CX6" i="8" s="1"/>
  <c r="DB6" i="8" s="1"/>
  <c r="EG6" i="8"/>
  <c r="BJ8" i="8"/>
  <c r="DY8" i="8"/>
  <c r="EA8" i="8" s="1"/>
  <c r="EB8" i="8" s="1"/>
  <c r="T9" i="8"/>
  <c r="EG9" i="8"/>
  <c r="EI9" i="8" s="1"/>
  <c r="AF9" i="8"/>
  <c r="AP9" i="8"/>
  <c r="CR9" i="8"/>
  <c r="BD9" i="8" s="1"/>
  <c r="EK9" i="8"/>
  <c r="T10" i="8"/>
  <c r="CR10" i="8"/>
  <c r="BD10" i="8" s="1"/>
  <c r="EH10" i="8"/>
  <c r="CB12" i="8"/>
  <c r="DZ12" i="8" s="1"/>
  <c r="CR12" i="8"/>
  <c r="BD12" i="8" s="1"/>
  <c r="EI12" i="8"/>
  <c r="CR14" i="8"/>
  <c r="A14" i="8"/>
  <c r="EG14" i="8"/>
  <c r="CO14" i="8"/>
  <c r="T14" i="8"/>
  <c r="AV14" i="8" s="1"/>
  <c r="AS15" i="8"/>
  <c r="AK15" i="8"/>
  <c r="AC15" i="8"/>
  <c r="AQ15" i="8"/>
  <c r="AI15" i="8"/>
  <c r="AA15" i="8"/>
  <c r="AT15" i="8"/>
  <c r="AH15" i="8"/>
  <c r="X15" i="8"/>
  <c r="AP15" i="8"/>
  <c r="AF15" i="8"/>
  <c r="V15" i="8"/>
  <c r="EK15" i="8"/>
  <c r="AO15" i="8"/>
  <c r="AE15" i="8"/>
  <c r="AM15" i="8"/>
  <c r="AB15" i="8"/>
  <c r="AG15" i="8"/>
  <c r="CW17" i="8"/>
  <c r="EK17" i="8"/>
  <c r="CN20" i="8"/>
  <c r="CW20" i="8"/>
  <c r="CU20" i="8"/>
  <c r="CY20" i="8" s="1"/>
  <c r="DC20" i="8" s="1"/>
  <c r="DG20" i="8" s="1"/>
  <c r="CT20" i="8"/>
  <c r="CR20" i="8"/>
  <c r="I10" i="2"/>
  <c r="D10" i="5"/>
  <c r="A11" i="5"/>
  <c r="AZ11" i="5" s="1"/>
  <c r="BC11" i="5" s="1"/>
  <c r="A15" i="5"/>
  <c r="AZ15" i="5" s="1"/>
  <c r="BC15" i="5" s="1"/>
  <c r="A19" i="5"/>
  <c r="AZ19" i="5" s="1"/>
  <c r="BC19" i="5" s="1"/>
  <c r="A23" i="5"/>
  <c r="AZ23" i="5" s="1"/>
  <c r="BC23" i="5" s="1"/>
  <c r="A27" i="5"/>
  <c r="AZ27" i="5" s="1"/>
  <c r="BC27" i="5" s="1"/>
  <c r="A31" i="5"/>
  <c r="AZ31" i="5" s="1"/>
  <c r="BC31" i="5" s="1"/>
  <c r="A35" i="5"/>
  <c r="AZ35" i="5" s="1"/>
  <c r="BC35" i="5" s="1"/>
  <c r="A39" i="5"/>
  <c r="AZ39" i="5" s="1"/>
  <c r="BC39" i="5" s="1"/>
  <c r="EJ5" i="8"/>
  <c r="CT5" i="8"/>
  <c r="AD5" i="8"/>
  <c r="AM5" i="8"/>
  <c r="AV5" i="8"/>
  <c r="CM6" i="8"/>
  <c r="CU6" i="8"/>
  <c r="CY6" i="8" s="1"/>
  <c r="DC6" i="8" s="1"/>
  <c r="DG6" i="8" s="1"/>
  <c r="EH6" i="8"/>
  <c r="ER6" i="8" s="1"/>
  <c r="AS7" i="8"/>
  <c r="AK7" i="8"/>
  <c r="AC7" i="8"/>
  <c r="Z7" i="8"/>
  <c r="AI7" i="8"/>
  <c r="AR7" i="8"/>
  <c r="BK8" i="8"/>
  <c r="EJ8" i="8"/>
  <c r="ET8" i="8" s="1"/>
  <c r="W9" i="8"/>
  <c r="AG9" i="8"/>
  <c r="AQ9" i="8"/>
  <c r="EJ10" i="8"/>
  <c r="Z11" i="8"/>
  <c r="BK11" i="8"/>
  <c r="CW11" i="8"/>
  <c r="CU12" i="8"/>
  <c r="EH12" i="8"/>
  <c r="BZ14" i="8"/>
  <c r="CU14" i="8"/>
  <c r="CY14" i="8" s="1"/>
  <c r="DC14" i="8" s="1"/>
  <c r="DG14" i="8" s="1"/>
  <c r="EH14" i="8"/>
  <c r="AJ15" i="8"/>
  <c r="CG16" i="8"/>
  <c r="CI16" i="8" s="1"/>
  <c r="CJ16" i="8" s="1"/>
  <c r="DA16" i="8" s="1"/>
  <c r="DE16" i="8" s="1"/>
  <c r="DI16" i="8" s="1"/>
  <c r="BV16" i="8"/>
  <c r="BW16" i="8" s="1"/>
  <c r="BX16" i="8" s="1"/>
  <c r="BJ16" i="8"/>
  <c r="BQ16" i="8" s="1"/>
  <c r="CX16" i="8" s="1"/>
  <c r="CH16" i="8"/>
  <c r="DY16" i="8"/>
  <c r="CC16" i="8"/>
  <c r="DW16" i="8" s="1"/>
  <c r="CG18" i="8"/>
  <c r="BV18" i="8"/>
  <c r="EF18" i="8"/>
  <c r="BJ18" i="8"/>
  <c r="CC18" i="8"/>
  <c r="DW18" i="8" s="1"/>
  <c r="EA18" i="8" s="1"/>
  <c r="BQ18" i="8"/>
  <c r="BR18" i="8" s="1"/>
  <c r="DJ18" i="8"/>
  <c r="CH18" i="8"/>
  <c r="J10" i="2"/>
  <c r="B46" i="5"/>
  <c r="A48" i="5"/>
  <c r="V5" i="8"/>
  <c r="AE5" i="8"/>
  <c r="AN5" i="8"/>
  <c r="EG5" i="8"/>
  <c r="EI5" i="8" s="1"/>
  <c r="A6" i="8"/>
  <c r="CV6" i="8"/>
  <c r="AV8" i="8"/>
  <c r="CT8" i="8"/>
  <c r="CX8" i="8" s="1"/>
  <c r="DB8" i="8" s="1"/>
  <c r="EK8" i="8"/>
  <c r="X9" i="8"/>
  <c r="AH9" i="8"/>
  <c r="AR9" i="8"/>
  <c r="CV9" i="8"/>
  <c r="CT10" i="8"/>
  <c r="AS11" i="8"/>
  <c r="AK11" i="8"/>
  <c r="AC11" i="8"/>
  <c r="AP11" i="8"/>
  <c r="AG11" i="8"/>
  <c r="X11" i="8"/>
  <c r="AM11" i="8"/>
  <c r="AD11" i="8"/>
  <c r="AT11" i="8"/>
  <c r="AJ11" i="8"/>
  <c r="AA11" i="8"/>
  <c r="AB11" i="8"/>
  <c r="AQ11" i="8"/>
  <c r="EJ12" i="8"/>
  <c r="BL13" i="8"/>
  <c r="CG14" i="8"/>
  <c r="CI14" i="8" s="1"/>
  <c r="BV14" i="8"/>
  <c r="BJ14" i="8"/>
  <c r="CH14" i="8"/>
  <c r="DY14" i="8"/>
  <c r="BQ14" i="8"/>
  <c r="BR14" i="8" s="1"/>
  <c r="CC14" i="8"/>
  <c r="DW14" i="8" s="1"/>
  <c r="CW14" i="8"/>
  <c r="EK14" i="8"/>
  <c r="EJ15" i="8"/>
  <c r="AL15" i="8"/>
  <c r="W5" i="8"/>
  <c r="AF5" i="8"/>
  <c r="AO5" i="8"/>
  <c r="BN5" i="8"/>
  <c r="BP5" i="8" s="1"/>
  <c r="CM5" i="8"/>
  <c r="CV5" i="8"/>
  <c r="EH5" i="8"/>
  <c r="CW6" i="8"/>
  <c r="EJ7" i="8"/>
  <c r="CT7" i="8"/>
  <c r="AB7" i="8"/>
  <c r="AL7" i="8"/>
  <c r="AU7" i="8"/>
  <c r="CR7" i="8"/>
  <c r="EE7" i="8"/>
  <c r="BN8" i="8"/>
  <c r="BP8" i="8" s="1"/>
  <c r="BH9" i="8"/>
  <c r="Y9" i="8"/>
  <c r="AI9" i="8"/>
  <c r="AT9" i="8"/>
  <c r="CM9" i="8"/>
  <c r="EF32" i="8" s="1"/>
  <c r="CW9" i="8"/>
  <c r="BH10" i="8"/>
  <c r="CU10" i="8"/>
  <c r="AE11" i="8"/>
  <c r="AR11" i="8"/>
  <c r="EG11" i="8"/>
  <c r="BK12" i="8"/>
  <c r="EG15" i="8"/>
  <c r="AN15" i="8"/>
  <c r="X17" i="8"/>
  <c r="CV19" i="8"/>
  <c r="CZ19" i="8" s="1"/>
  <c r="DD19" i="8" s="1"/>
  <c r="DH19" i="8" s="1"/>
  <c r="EK19" i="8"/>
  <c r="EJ19" i="8"/>
  <c r="CW19" i="8"/>
  <c r="CU19" i="8"/>
  <c r="CY19" i="8" s="1"/>
  <c r="DC19" i="8" s="1"/>
  <c r="DG19" i="8" s="1"/>
  <c r="CB20" i="8"/>
  <c r="AQ21" i="8"/>
  <c r="AI21" i="8"/>
  <c r="AA21" i="8"/>
  <c r="AU21" i="8"/>
  <c r="AL21" i="8"/>
  <c r="AC21" i="8"/>
  <c r="AT21" i="8"/>
  <c r="AK21" i="8"/>
  <c r="AB21" i="8"/>
  <c r="AJ21" i="8"/>
  <c r="X21" i="8"/>
  <c r="AH21" i="8"/>
  <c r="W21" i="8"/>
  <c r="EK21" i="8"/>
  <c r="AS21" i="8"/>
  <c r="AG21" i="8"/>
  <c r="V21" i="8"/>
  <c r="EJ21" i="8"/>
  <c r="AR21" i="8"/>
  <c r="AF21" i="8"/>
  <c r="AE21" i="8"/>
  <c r="BQ12" i="8"/>
  <c r="BR12" i="8" s="1"/>
  <c r="BS12" i="8" s="1"/>
  <c r="T13" i="8"/>
  <c r="CR13" i="8"/>
  <c r="BD13" i="8" s="1"/>
  <c r="BN13" i="8"/>
  <c r="BP13" i="8" s="1"/>
  <c r="AE13" i="8"/>
  <c r="AO13" i="8"/>
  <c r="EK13" i="8"/>
  <c r="CV16" i="8"/>
  <c r="CZ16" i="8" s="1"/>
  <c r="DD16" i="8" s="1"/>
  <c r="DH16" i="8" s="1"/>
  <c r="BK16" i="8"/>
  <c r="CU16" i="8"/>
  <c r="A17" i="8"/>
  <c r="BZ18" i="8"/>
  <c r="CO19" i="8"/>
  <c r="A19" i="8"/>
  <c r="BZ19" i="8"/>
  <c r="BN19" i="8"/>
  <c r="BP19" i="8" s="1"/>
  <c r="X20" i="8"/>
  <c r="AM21" i="8"/>
  <c r="BH23" i="8"/>
  <c r="BU23" i="8" s="1"/>
  <c r="EE23" i="8"/>
  <c r="AV23" i="8"/>
  <c r="CM23" i="8"/>
  <c r="CN24" i="8"/>
  <c r="CW24" i="8"/>
  <c r="CU24" i="8"/>
  <c r="CT24" i="8"/>
  <c r="T11" i="8"/>
  <c r="CR11" i="8"/>
  <c r="BN11" i="8"/>
  <c r="BP11" i="8" s="1"/>
  <c r="AV11" i="8"/>
  <c r="CG12" i="8"/>
  <c r="BV12" i="8"/>
  <c r="BW12" i="8" s="1"/>
  <c r="BX12" i="8" s="1"/>
  <c r="BJ12" i="8"/>
  <c r="CH12" i="8" s="1"/>
  <c r="W13" i="8"/>
  <c r="AG13" i="8"/>
  <c r="AR13" i="8"/>
  <c r="CV13" i="8"/>
  <c r="T15" i="8"/>
  <c r="CR15" i="8"/>
  <c r="BD15" i="8" s="1"/>
  <c r="BN15" i="8"/>
  <c r="BP15" i="8" s="1"/>
  <c r="CR19" i="8"/>
  <c r="BD19" i="8" s="1"/>
  <c r="EA19" i="8"/>
  <c r="AB20" i="8"/>
  <c r="AO21" i="8"/>
  <c r="CV21" i="8"/>
  <c r="AQ25" i="8"/>
  <c r="AI25" i="8"/>
  <c r="AA25" i="8"/>
  <c r="AN25" i="8"/>
  <c r="AE25" i="8"/>
  <c r="V25" i="8"/>
  <c r="AM25" i="8"/>
  <c r="AD25" i="8"/>
  <c r="AT25" i="8"/>
  <c r="AK25" i="8"/>
  <c r="AB25" i="8"/>
  <c r="EK25" i="8"/>
  <c r="AS25" i="8"/>
  <c r="AJ25" i="8"/>
  <c r="Z25" i="8"/>
  <c r="AR25" i="8"/>
  <c r="Y25" i="8"/>
  <c r="EJ25" i="8"/>
  <c r="AP25" i="8"/>
  <c r="X25" i="8"/>
  <c r="AO25" i="8"/>
  <c r="W25" i="8"/>
  <c r="AL25" i="8"/>
  <c r="AH25" i="8"/>
  <c r="AG25" i="8"/>
  <c r="BH13" i="8"/>
  <c r="AH13" i="8"/>
  <c r="CM13" i="8"/>
  <c r="EH16" i="8"/>
  <c r="EJ17" i="8"/>
  <c r="CS17" i="8"/>
  <c r="EH18" i="8"/>
  <c r="CW18" i="8"/>
  <c r="CV18" i="8"/>
  <c r="CZ18" i="8" s="1"/>
  <c r="DD18" i="8" s="1"/>
  <c r="DH18" i="8" s="1"/>
  <c r="CU18" i="8"/>
  <c r="CT18" i="8"/>
  <c r="CX18" i="8" s="1"/>
  <c r="DB18" i="8" s="1"/>
  <c r="AP21" i="8"/>
  <c r="CV22" i="8"/>
  <c r="EH22" i="8"/>
  <c r="CU22" i="8"/>
  <c r="CT22" i="8"/>
  <c r="EJ22" i="8"/>
  <c r="CW22" i="8"/>
  <c r="CR26" i="8"/>
  <c r="BD26" i="8" s="1"/>
  <c r="T17" i="8"/>
  <c r="CR17" i="8"/>
  <c r="BD17" i="8" s="1"/>
  <c r="BZ17" i="8"/>
  <c r="EG18" i="8"/>
  <c r="CO18" i="8"/>
  <c r="A18" i="8"/>
  <c r="CT19" i="8"/>
  <c r="AU20" i="8"/>
  <c r="AM20" i="8"/>
  <c r="AR20" i="8"/>
  <c r="AI20" i="8"/>
  <c r="AA20" i="8"/>
  <c r="EJ20" i="8"/>
  <c r="AQ20" i="8"/>
  <c r="AH20" i="8"/>
  <c r="Z20" i="8"/>
  <c r="AT20" i="8"/>
  <c r="AG20" i="8"/>
  <c r="W20" i="8"/>
  <c r="AS20" i="8"/>
  <c r="AF20" i="8"/>
  <c r="V20" i="8"/>
  <c r="AP20" i="8"/>
  <c r="AE20" i="8"/>
  <c r="EH20" i="8"/>
  <c r="AO20" i="8"/>
  <c r="AD20" i="8"/>
  <c r="AJ20" i="8"/>
  <c r="CT21" i="8"/>
  <c r="CN21" i="8"/>
  <c r="Y21" i="8"/>
  <c r="EG22" i="8"/>
  <c r="T22" i="8"/>
  <c r="A22" i="8"/>
  <c r="CR22" i="8"/>
  <c r="BD22" i="8" s="1"/>
  <c r="BZ22" i="8"/>
  <c r="BN22" i="8"/>
  <c r="BP22" i="8" s="1"/>
  <c r="CW23" i="8"/>
  <c r="CN23" i="8"/>
  <c r="CT23" i="8"/>
  <c r="CU23" i="8"/>
  <c r="CV23" i="8"/>
  <c r="T31" i="8"/>
  <c r="EG31" i="8"/>
  <c r="A31" i="8"/>
  <c r="CO31" i="8"/>
  <c r="CR31" i="8"/>
  <c r="BZ31" i="8"/>
  <c r="BN31" i="8"/>
  <c r="BP31" i="8" s="1"/>
  <c r="BH11" i="8"/>
  <c r="BZ11" i="8" s="1"/>
  <c r="AS13" i="8"/>
  <c r="AK13" i="8"/>
  <c r="AC13" i="8"/>
  <c r="AQ13" i="8"/>
  <c r="AI13" i="8"/>
  <c r="AA13" i="8"/>
  <c r="Z13" i="8"/>
  <c r="AL13" i="8"/>
  <c r="AV13" i="8"/>
  <c r="BH15" i="8"/>
  <c r="BU15" i="8" s="1"/>
  <c r="CM15" i="8"/>
  <c r="EJ16" i="8"/>
  <c r="BU18" i="8"/>
  <c r="T18" i="8"/>
  <c r="EG19" i="8"/>
  <c r="AK20" i="8"/>
  <c r="Z21" i="8"/>
  <c r="EG21" i="8"/>
  <c r="CO22" i="8"/>
  <c r="EK22" i="8"/>
  <c r="EG17" i="8"/>
  <c r="BL18" i="8"/>
  <c r="BK18" i="8"/>
  <c r="EH19" i="8"/>
  <c r="AL20" i="8"/>
  <c r="AD21" i="8"/>
  <c r="CH21" i="8"/>
  <c r="BV21" i="8"/>
  <c r="BW21" i="8" s="1"/>
  <c r="CG21" i="8"/>
  <c r="BJ21" i="8"/>
  <c r="BQ21" i="8"/>
  <c r="DY21" i="8"/>
  <c r="CC21" i="8"/>
  <c r="DW21" i="8" s="1"/>
  <c r="BZ21" i="8"/>
  <c r="CS22" i="8"/>
  <c r="CO24" i="8"/>
  <c r="A24" i="8"/>
  <c r="T24" i="8"/>
  <c r="CD24" i="8"/>
  <c r="CB24" i="8"/>
  <c r="BN24" i="8"/>
  <c r="BP24" i="8" s="1"/>
  <c r="EG24" i="8"/>
  <c r="EI24" i="8" s="1"/>
  <c r="DM32" i="8"/>
  <c r="DL32" i="8"/>
  <c r="DF32" i="8"/>
  <c r="CG25" i="8"/>
  <c r="BU25" i="8"/>
  <c r="BW25" i="8" s="1"/>
  <c r="BJ25" i="8"/>
  <c r="CC25" i="8"/>
  <c r="DW25" i="8" s="1"/>
  <c r="EA25" i="8" s="1"/>
  <c r="Z22" i="8"/>
  <c r="AK22" i="8"/>
  <c r="CR25" i="8"/>
  <c r="T25" i="8"/>
  <c r="BN25" i="8"/>
  <c r="BP25" i="8" s="1"/>
  <c r="BZ25" i="8"/>
  <c r="CV25" i="8"/>
  <c r="CZ25" i="8" s="1"/>
  <c r="DD25" i="8" s="1"/>
  <c r="DH25" i="8" s="1"/>
  <c r="EG25" i="8"/>
  <c r="CT47" i="8"/>
  <c r="AU26" i="8"/>
  <c r="AM26" i="8"/>
  <c r="AE26" i="8"/>
  <c r="AO26" i="8"/>
  <c r="AF26" i="8"/>
  <c r="W26" i="8"/>
  <c r="AS26" i="8"/>
  <c r="AI26" i="8"/>
  <c r="Y26" i="8"/>
  <c r="AR26" i="8"/>
  <c r="AH26" i="8"/>
  <c r="X26" i="8"/>
  <c r="AP26" i="8"/>
  <c r="AD26" i="8"/>
  <c r="AN26" i="8"/>
  <c r="AC26" i="8"/>
  <c r="AB26" i="8"/>
  <c r="CR27" i="8"/>
  <c r="BD27" i="8" s="1"/>
  <c r="CO27" i="8"/>
  <c r="EG27" i="8"/>
  <c r="EI27" i="8" s="1"/>
  <c r="T27" i="8"/>
  <c r="CW27" i="8"/>
  <c r="CU27" i="8"/>
  <c r="CT27" i="8"/>
  <c r="AQ29" i="8"/>
  <c r="AI29" i="8"/>
  <c r="AA29" i="8"/>
  <c r="EK29" i="8"/>
  <c r="AT29" i="8"/>
  <c r="AL29" i="8"/>
  <c r="AD29" i="8"/>
  <c r="V29" i="8"/>
  <c r="AN29" i="8"/>
  <c r="AC29" i="8"/>
  <c r="AR29" i="8"/>
  <c r="AG29" i="8"/>
  <c r="W29" i="8"/>
  <c r="AO29" i="8"/>
  <c r="AE29" i="8"/>
  <c r="AS29" i="8"/>
  <c r="Z29" i="8"/>
  <c r="AP29" i="8"/>
  <c r="Y29" i="8"/>
  <c r="CT29" i="8"/>
  <c r="AK29" i="8"/>
  <c r="AJ29" i="8"/>
  <c r="AH29" i="8"/>
  <c r="AM29" i="8"/>
  <c r="EH13" i="8"/>
  <c r="EI13" i="8" s="1"/>
  <c r="EH15" i="8"/>
  <c r="BN17" i="8"/>
  <c r="BP17" i="8" s="1"/>
  <c r="EH17" i="8"/>
  <c r="T20" i="8"/>
  <c r="AA22" i="8"/>
  <c r="CR23" i="8"/>
  <c r="CO23" i="8"/>
  <c r="A23" i="8"/>
  <c r="BN23" i="8"/>
  <c r="BP23" i="8" s="1"/>
  <c r="EG23" i="8"/>
  <c r="EI23" i="8" s="1"/>
  <c r="BJ24" i="8"/>
  <c r="BQ24" i="8" s="1"/>
  <c r="CH24" i="8"/>
  <c r="BV24" i="8"/>
  <c r="BW24" i="8" s="1"/>
  <c r="CG24" i="8"/>
  <c r="CC24" i="8"/>
  <c r="DW24" i="8" s="1"/>
  <c r="EA24" i="8" s="1"/>
  <c r="CH25" i="8"/>
  <c r="AG26" i="8"/>
  <c r="CS26" i="8"/>
  <c r="CV27" i="8"/>
  <c r="AU29" i="8"/>
  <c r="BR32" i="8"/>
  <c r="AU22" i="8"/>
  <c r="AM22" i="8"/>
  <c r="AE22" i="8"/>
  <c r="W22" i="8"/>
  <c r="AO22" i="8"/>
  <c r="AF22" i="8"/>
  <c r="V22" i="8"/>
  <c r="AN22" i="8"/>
  <c r="AD22" i="8"/>
  <c r="AB22" i="8"/>
  <c r="AP22" i="8"/>
  <c r="BL24" i="8"/>
  <c r="CU25" i="8"/>
  <c r="CY25" i="8" s="1"/>
  <c r="DC25" i="8" s="1"/>
  <c r="DG25" i="8" s="1"/>
  <c r="CT25" i="8"/>
  <c r="CV26" i="8"/>
  <c r="CZ26" i="8" s="1"/>
  <c r="DD26" i="8" s="1"/>
  <c r="DH26" i="8" s="1"/>
  <c r="EH26" i="8"/>
  <c r="CU26" i="8"/>
  <c r="CT26" i="8"/>
  <c r="EK26" i="8"/>
  <c r="AJ26" i="8"/>
  <c r="CR28" i="8"/>
  <c r="AU30" i="8"/>
  <c r="AM30" i="8"/>
  <c r="AE30" i="8"/>
  <c r="W30" i="8"/>
  <c r="AP30" i="8"/>
  <c r="AH30" i="8"/>
  <c r="Z30" i="8"/>
  <c r="AN30" i="8"/>
  <c r="AC30" i="8"/>
  <c r="AR30" i="8"/>
  <c r="AG30" i="8"/>
  <c r="AV30" i="8" s="1"/>
  <c r="V30" i="8"/>
  <c r="AO30" i="8"/>
  <c r="AD30" i="8"/>
  <c r="BU30" i="8" s="1"/>
  <c r="AQ30" i="8"/>
  <c r="Y30" i="8"/>
  <c r="AL30" i="8"/>
  <c r="X30" i="8"/>
  <c r="EK30" i="8"/>
  <c r="AJ30" i="8"/>
  <c r="EJ30" i="8"/>
  <c r="AI30" i="8"/>
  <c r="EG30" i="8"/>
  <c r="CV30" i="8"/>
  <c r="AF30" i="8"/>
  <c r="AS30" i="8"/>
  <c r="CR34" i="8"/>
  <c r="EG34" i="8"/>
  <c r="CO34" i="8"/>
  <c r="A34" i="8"/>
  <c r="T34" i="8"/>
  <c r="BN34" i="8"/>
  <c r="BP34" i="8" s="1"/>
  <c r="BZ34" i="8"/>
  <c r="Y6" i="8"/>
  <c r="AG6" i="8"/>
  <c r="Y8" i="8"/>
  <c r="AG8" i="8"/>
  <c r="Y10" i="8"/>
  <c r="AG10" i="8"/>
  <c r="Y12" i="8"/>
  <c r="AG12" i="8"/>
  <c r="CT13" i="8"/>
  <c r="Y14" i="8"/>
  <c r="AG14" i="8"/>
  <c r="CT15" i="8"/>
  <c r="Y16" i="8"/>
  <c r="AG16" i="8"/>
  <c r="CT17" i="8"/>
  <c r="Y18" i="8"/>
  <c r="AG18" i="8"/>
  <c r="AU19" i="8"/>
  <c r="AM19" i="8"/>
  <c r="AE19" i="8"/>
  <c r="W19" i="8"/>
  <c r="Z19" i="8"/>
  <c r="AI19" i="8"/>
  <c r="AR19" i="8"/>
  <c r="BJ20" i="8"/>
  <c r="BQ20" i="8" s="1"/>
  <c r="BR20" i="8" s="1"/>
  <c r="CC20" i="8"/>
  <c r="DW20" i="8" s="1"/>
  <c r="EA20" i="8" s="1"/>
  <c r="AC22" i="8"/>
  <c r="AQ22" i="8"/>
  <c r="BJ22" i="8"/>
  <c r="DY22" i="8"/>
  <c r="BK23" i="8"/>
  <c r="AU24" i="8"/>
  <c r="AM24" i="8"/>
  <c r="AE24" i="8"/>
  <c r="W24" i="8"/>
  <c r="AT24" i="8"/>
  <c r="AK24" i="8"/>
  <c r="AB24" i="8"/>
  <c r="AS24" i="8"/>
  <c r="AJ24" i="8"/>
  <c r="AA24" i="8"/>
  <c r="EJ24" i="8"/>
  <c r="AP24" i="8"/>
  <c r="AG24" i="8"/>
  <c r="X24" i="8"/>
  <c r="AC24" i="8"/>
  <c r="AQ24" i="8"/>
  <c r="EE25" i="8"/>
  <c r="AV25" i="8"/>
  <c r="BQ25" i="8"/>
  <c r="CN25" i="8"/>
  <c r="AK26" i="8"/>
  <c r="BH27" i="8"/>
  <c r="BZ27" i="8" s="1"/>
  <c r="CM27" i="8"/>
  <c r="AV27" i="8"/>
  <c r="AT30" i="8"/>
  <c r="EG33" i="8"/>
  <c r="EI33" i="8" s="1"/>
  <c r="CR33" i="8"/>
  <c r="BD33" i="8" s="1"/>
  <c r="T33" i="8"/>
  <c r="DY32" i="8"/>
  <c r="CH32" i="8"/>
  <c r="BV32" i="8"/>
  <c r="BJ32" i="8"/>
  <c r="CC32" i="8"/>
  <c r="DW32" i="8" s="1"/>
  <c r="CG32" i="8"/>
  <c r="BU33" i="8"/>
  <c r="BW33" i="8" s="1"/>
  <c r="CO33" i="8"/>
  <c r="AQ34" i="8"/>
  <c r="AI34" i="8"/>
  <c r="AA34" i="8"/>
  <c r="AP34" i="8"/>
  <c r="AH34" i="8"/>
  <c r="Z34" i="8"/>
  <c r="EK34" i="8"/>
  <c r="AS34" i="8"/>
  <c r="AG34" i="8"/>
  <c r="W34" i="8"/>
  <c r="AL34" i="8"/>
  <c r="AB34" i="8"/>
  <c r="AM34" i="8"/>
  <c r="X34" i="8"/>
  <c r="AR34" i="8"/>
  <c r="AD34" i="8"/>
  <c r="AN34" i="8"/>
  <c r="Y34" i="8"/>
  <c r="AF34" i="8"/>
  <c r="CV34" i="8"/>
  <c r="EJ34" i="8"/>
  <c r="CV35" i="8"/>
  <c r="EK35" i="8"/>
  <c r="CU35" i="8"/>
  <c r="CY35" i="8" s="1"/>
  <c r="DC35" i="8" s="1"/>
  <c r="DG35" i="8" s="1"/>
  <c r="CT35" i="8"/>
  <c r="CX35" i="8" s="1"/>
  <c r="DB35" i="8" s="1"/>
  <c r="DJ35" i="8" s="1"/>
  <c r="BH36" i="8"/>
  <c r="EE36" i="8"/>
  <c r="CM36" i="8"/>
  <c r="AV36" i="8"/>
  <c r="BZ26" i="8"/>
  <c r="BN26" i="8"/>
  <c r="BP26" i="8" s="1"/>
  <c r="EG26" i="8"/>
  <c r="EI26" i="8" s="1"/>
  <c r="AU28" i="8"/>
  <c r="AM28" i="8"/>
  <c r="AE28" i="8"/>
  <c r="W28" i="8"/>
  <c r="AP28" i="8"/>
  <c r="AH28" i="8"/>
  <c r="Z28" i="8"/>
  <c r="AN28" i="8"/>
  <c r="AC28" i="8"/>
  <c r="EK28" i="8"/>
  <c r="AR28" i="8"/>
  <c r="AG28" i="8"/>
  <c r="V28" i="8"/>
  <c r="AB28" i="8"/>
  <c r="AQ28" i="8"/>
  <c r="BZ28" i="8"/>
  <c r="BJ31" i="8"/>
  <c r="CG31" i="8"/>
  <c r="BV31" i="8"/>
  <c r="CR32" i="8"/>
  <c r="BD32" i="8" s="1"/>
  <c r="EG32" i="8"/>
  <c r="A32" i="8"/>
  <c r="CO32" i="8"/>
  <c r="BQ33" i="8"/>
  <c r="CX33" i="8" s="1"/>
  <c r="DB33" i="8" s="1"/>
  <c r="DY34" i="8"/>
  <c r="CH34" i="8"/>
  <c r="CC34" i="8"/>
  <c r="DW34" i="8" s="1"/>
  <c r="BJ34" i="8"/>
  <c r="BQ34" i="8" s="1"/>
  <c r="BV34" i="8"/>
  <c r="CY34" i="8" s="1"/>
  <c r="DC34" i="8" s="1"/>
  <c r="DG34" i="8" s="1"/>
  <c r="CG34" i="8"/>
  <c r="EH25" i="8"/>
  <c r="AD28" i="8"/>
  <c r="AS28" i="8"/>
  <c r="BH29" i="8"/>
  <c r="BL31" i="8"/>
  <c r="CH31" i="8"/>
  <c r="BU32" i="8"/>
  <c r="T32" i="8"/>
  <c r="AA33" i="8"/>
  <c r="EH34" i="8"/>
  <c r="AK34" i="8"/>
  <c r="EH35" i="8"/>
  <c r="EH21" i="8"/>
  <c r="BJ26" i="8"/>
  <c r="BQ26" i="8" s="1"/>
  <c r="DY26" i="8"/>
  <c r="EA26" i="8" s="1"/>
  <c r="CH26" i="8"/>
  <c r="CI26" i="8" s="1"/>
  <c r="EG28" i="8"/>
  <c r="AI28" i="8"/>
  <c r="CU28" i="8"/>
  <c r="AU33" i="8"/>
  <c r="AM33" i="8"/>
  <c r="AE33" i="8"/>
  <c r="W33" i="8"/>
  <c r="AT33" i="8"/>
  <c r="AL33" i="8"/>
  <c r="AD33" i="8"/>
  <c r="V33" i="8"/>
  <c r="AS33" i="8"/>
  <c r="AI33" i="8"/>
  <c r="Y33" i="8"/>
  <c r="AN33" i="8"/>
  <c r="AB33" i="8"/>
  <c r="AR33" i="8"/>
  <c r="AV33" i="8" s="1"/>
  <c r="AF33" i="8"/>
  <c r="AJ33" i="8"/>
  <c r="AG33" i="8"/>
  <c r="AH33" i="8"/>
  <c r="BZ33" i="8"/>
  <c r="BU34" i="8"/>
  <c r="BW34" i="8" s="1"/>
  <c r="AT34" i="8"/>
  <c r="EJ35" i="8"/>
  <c r="AT38" i="8"/>
  <c r="AL38" i="8"/>
  <c r="AD38" i="8"/>
  <c r="V38" i="8"/>
  <c r="AU38" i="8"/>
  <c r="AK38" i="8"/>
  <c r="AB38" i="8"/>
  <c r="AS38" i="8"/>
  <c r="AJ38" i="8"/>
  <c r="AA38" i="8"/>
  <c r="EH38" i="8"/>
  <c r="AP38" i="8"/>
  <c r="AN38" i="8"/>
  <c r="AE38" i="8"/>
  <c r="AG38" i="8"/>
  <c r="AQ38" i="8"/>
  <c r="Z38" i="8"/>
  <c r="AM38" i="8"/>
  <c r="X38" i="8"/>
  <c r="AI38" i="8"/>
  <c r="AF38" i="8"/>
  <c r="AC38" i="8"/>
  <c r="Y38" i="8"/>
  <c r="EJ38" i="8"/>
  <c r="W38" i="8"/>
  <c r="AR38" i="8"/>
  <c r="AO38" i="8"/>
  <c r="CV20" i="8"/>
  <c r="CZ20" i="8" s="1"/>
  <c r="DD20" i="8" s="1"/>
  <c r="DH20" i="8" s="1"/>
  <c r="EK20" i="8"/>
  <c r="CR21" i="8"/>
  <c r="BD21" i="8" s="1"/>
  <c r="BN21" i="8"/>
  <c r="BP21" i="8" s="1"/>
  <c r="AQ23" i="8"/>
  <c r="AI23" i="8"/>
  <c r="AA23" i="8"/>
  <c r="Y23" i="8"/>
  <c r="AH23" i="8"/>
  <c r="AR23" i="8"/>
  <c r="EJ23" i="8"/>
  <c r="CV24" i="8"/>
  <c r="CZ24" i="8" s="1"/>
  <c r="DD24" i="8" s="1"/>
  <c r="DH24" i="8" s="1"/>
  <c r="BV26" i="8"/>
  <c r="BW26" i="8" s="1"/>
  <c r="T28" i="8"/>
  <c r="AJ28" i="8"/>
  <c r="CW28" i="8"/>
  <c r="CU29" i="8"/>
  <c r="CV29" i="8"/>
  <c r="EE29" i="8"/>
  <c r="CN31" i="8"/>
  <c r="CW31" i="8"/>
  <c r="BQ31" i="8"/>
  <c r="BZ32" i="8"/>
  <c r="AK33" i="8"/>
  <c r="CT34" i="8"/>
  <c r="CW34" i="8"/>
  <c r="CN34" i="8"/>
  <c r="V34" i="8"/>
  <c r="AU34" i="8"/>
  <c r="CR37" i="8"/>
  <c r="T37" i="8"/>
  <c r="CO37" i="8"/>
  <c r="A37" i="8"/>
  <c r="BZ37" i="8"/>
  <c r="BN37" i="8"/>
  <c r="BP37" i="8" s="1"/>
  <c r="BJ33" i="8"/>
  <c r="CC33" i="8" s="1"/>
  <c r="DW33" i="8" s="1"/>
  <c r="EF33" i="8" s="1"/>
  <c r="CG33" i="8"/>
  <c r="CH33" i="8"/>
  <c r="DY33" i="8"/>
  <c r="BU36" i="8"/>
  <c r="CR29" i="8"/>
  <c r="BD29" i="8" s="1"/>
  <c r="BN29" i="8"/>
  <c r="BP29" i="8" s="1"/>
  <c r="CR30" i="8"/>
  <c r="AU31" i="8"/>
  <c r="AM31" i="8"/>
  <c r="AE31" i="8"/>
  <c r="W31" i="8"/>
  <c r="AS31" i="8"/>
  <c r="AJ31" i="8"/>
  <c r="AA31" i="8"/>
  <c r="AN31" i="8"/>
  <c r="AD31" i="8"/>
  <c r="AB31" i="8"/>
  <c r="AO31" i="8"/>
  <c r="EE32" i="8"/>
  <c r="CV33" i="8"/>
  <c r="EK33" i="8"/>
  <c r="CU33" i="8"/>
  <c r="CY33" i="8" s="1"/>
  <c r="DC33" i="8" s="1"/>
  <c r="DG33" i="8" s="1"/>
  <c r="CW33" i="8"/>
  <c r="EJ33" i="8"/>
  <c r="AU37" i="8"/>
  <c r="AM37" i="8"/>
  <c r="AE37" i="8"/>
  <c r="W37" i="8"/>
  <c r="AT37" i="8"/>
  <c r="AL37" i="8"/>
  <c r="AD37" i="8"/>
  <c r="V37" i="8"/>
  <c r="AO37" i="8"/>
  <c r="AG37" i="8"/>
  <c r="Y37" i="8"/>
  <c r="AI37" i="8"/>
  <c r="AQ37" i="8"/>
  <c r="AC37" i="8"/>
  <c r="AN37" i="8"/>
  <c r="AA37" i="8"/>
  <c r="AH37" i="8"/>
  <c r="EJ37" i="8"/>
  <c r="AJ37" i="8"/>
  <c r="BJ37" i="8"/>
  <c r="CC37" i="8"/>
  <c r="DW37" i="8" s="1"/>
  <c r="CG37" i="8"/>
  <c r="BV37" i="8"/>
  <c r="CH37" i="8"/>
  <c r="CR38" i="8"/>
  <c r="BD38" i="8" s="1"/>
  <c r="T38" i="8"/>
  <c r="CO38" i="8"/>
  <c r="A38" i="8"/>
  <c r="BZ38" i="8"/>
  <c r="EG38" i="8"/>
  <c r="EI39" i="8"/>
  <c r="BJ28" i="8"/>
  <c r="DY28" i="8"/>
  <c r="CH28" i="8"/>
  <c r="DY30" i="8"/>
  <c r="BJ30" i="8"/>
  <c r="BV30" i="8" s="1"/>
  <c r="CY30" i="8" s="1"/>
  <c r="CH30" i="8"/>
  <c r="CI30" i="8" s="1"/>
  <c r="CT30" i="8"/>
  <c r="CX30" i="8" s="1"/>
  <c r="DB30" i="8" s="1"/>
  <c r="CV31" i="8"/>
  <c r="EK31" i="8"/>
  <c r="EH31" i="8"/>
  <c r="CT31" i="8"/>
  <c r="AF31" i="8"/>
  <c r="AQ31" i="8"/>
  <c r="AQ32" i="8"/>
  <c r="AI32" i="8"/>
  <c r="AA32" i="8"/>
  <c r="AP32" i="8"/>
  <c r="AH32" i="8"/>
  <c r="Z32" i="8"/>
  <c r="AT32" i="8"/>
  <c r="AJ32" i="8"/>
  <c r="X32" i="8"/>
  <c r="AM32" i="8"/>
  <c r="AC32" i="8"/>
  <c r="AB32" i="8"/>
  <c r="AO32" i="8"/>
  <c r="BJ35" i="8"/>
  <c r="BQ35" i="8" s="1"/>
  <c r="BR35" i="8" s="1"/>
  <c r="CC35" i="8"/>
  <c r="DW35" i="8" s="1"/>
  <c r="BZ35" i="8"/>
  <c r="EG36" i="8"/>
  <c r="EI36" i="8" s="1"/>
  <c r="CO36" i="8"/>
  <c r="BN36" i="8"/>
  <c r="BP36" i="8" s="1"/>
  <c r="BZ36" i="8"/>
  <c r="CV37" i="8"/>
  <c r="EK37" i="8"/>
  <c r="CU37" i="8"/>
  <c r="CY37" i="8" s="1"/>
  <c r="DC37" i="8" s="1"/>
  <c r="DG37" i="8" s="1"/>
  <c r="CW37" i="8"/>
  <c r="AK37" i="8"/>
  <c r="BU38" i="8"/>
  <c r="AV38" i="8"/>
  <c r="CT41" i="8"/>
  <c r="CV41" i="8"/>
  <c r="CN41" i="8"/>
  <c r="CW41" i="8"/>
  <c r="X37" i="8"/>
  <c r="AR37" i="8"/>
  <c r="CC38" i="8"/>
  <c r="DW38" i="8" s="1"/>
  <c r="CH38" i="8"/>
  <c r="BV38" i="8"/>
  <c r="CG38" i="8"/>
  <c r="BJ38" i="8"/>
  <c r="BQ38" i="8" s="1"/>
  <c r="BR38" i="8" s="1"/>
  <c r="DY38" i="8"/>
  <c r="AQ27" i="8"/>
  <c r="AI27" i="8"/>
  <c r="AA27" i="8"/>
  <c r="Y27" i="8"/>
  <c r="AH27" i="8"/>
  <c r="AR27" i="8"/>
  <c r="EJ27" i="8"/>
  <c r="CV28" i="8"/>
  <c r="CC28" i="8"/>
  <c r="DW28" i="8" s="1"/>
  <c r="EH28" i="8"/>
  <c r="EH29" i="8"/>
  <c r="EG29" i="8"/>
  <c r="EH30" i="8"/>
  <c r="CW30" i="8"/>
  <c r="CC30" i="8"/>
  <c r="DW30" i="8" s="1"/>
  <c r="Z31" i="8"/>
  <c r="AL31" i="8"/>
  <c r="CU31" i="8"/>
  <c r="CY31" i="8" s="1"/>
  <c r="DC31" i="8" s="1"/>
  <c r="DG31" i="8" s="1"/>
  <c r="CU32" i="8"/>
  <c r="CY32" i="8" s="1"/>
  <c r="DC32" i="8" s="1"/>
  <c r="DG32" i="8" s="1"/>
  <c r="V32" i="8"/>
  <c r="AK32" i="8"/>
  <c r="CM32" i="8"/>
  <c r="DY35" i="8"/>
  <c r="AF37" i="8"/>
  <c r="CT37" i="8"/>
  <c r="EH37" i="8"/>
  <c r="CT40" i="8"/>
  <c r="T40" i="8"/>
  <c r="CR40" i="8"/>
  <c r="A40" i="8"/>
  <c r="BN40" i="8"/>
  <c r="BP40" i="8" s="1"/>
  <c r="BE3" i="10"/>
  <c r="BD3" i="10"/>
  <c r="BC3" i="10"/>
  <c r="EH32" i="8"/>
  <c r="AU35" i="8"/>
  <c r="AM35" i="8"/>
  <c r="AE35" i="8"/>
  <c r="W35" i="8"/>
  <c r="AT35" i="8"/>
  <c r="AL35" i="8"/>
  <c r="AD35" i="8"/>
  <c r="V35" i="8"/>
  <c r="AA35" i="8"/>
  <c r="AK35" i="8"/>
  <c r="AQ36" i="8"/>
  <c r="AI36" i="8"/>
  <c r="AA36" i="8"/>
  <c r="AP36" i="8"/>
  <c r="AH36" i="8"/>
  <c r="Z36" i="8"/>
  <c r="Y36" i="8"/>
  <c r="AK36" i="8"/>
  <c r="AU36" i="8"/>
  <c r="CV36" i="8"/>
  <c r="CW38" i="8"/>
  <c r="CN38" i="8"/>
  <c r="CT38" i="8"/>
  <c r="EE41" i="8"/>
  <c r="AV41" i="8"/>
  <c r="BH41" i="8"/>
  <c r="CM41" i="8"/>
  <c r="CM40" i="8"/>
  <c r="BH40" i="8"/>
  <c r="BZ40" i="8" s="1"/>
  <c r="EE40" i="8"/>
  <c r="CR39" i="8"/>
  <c r="BD39" i="8" s="1"/>
  <c r="AT40" i="8"/>
  <c r="AL40" i="8"/>
  <c r="AD40" i="8"/>
  <c r="V40" i="8"/>
  <c r="AP40" i="8"/>
  <c r="AH40" i="8"/>
  <c r="Z40" i="8"/>
  <c r="AR40" i="8"/>
  <c r="AG40" i="8"/>
  <c r="AV40" i="8" s="1"/>
  <c r="W40" i="8"/>
  <c r="AQ40" i="8"/>
  <c r="AF40" i="8"/>
  <c r="AM40" i="8"/>
  <c r="AB40" i="8"/>
  <c r="AU40" i="8"/>
  <c r="AJ40" i="8"/>
  <c r="Y40" i="8"/>
  <c r="AI40" i="8"/>
  <c r="CO40" i="8"/>
  <c r="BJ42" i="8"/>
  <c r="BQ42" i="8" s="1"/>
  <c r="CH42" i="8"/>
  <c r="CI42" i="8" s="1"/>
  <c r="BV42" i="8"/>
  <c r="BW42" i="8" s="1"/>
  <c r="CC42" i="8"/>
  <c r="DW42" i="8" s="1"/>
  <c r="DY42" i="8"/>
  <c r="EA42" i="8" s="1"/>
  <c r="CN42" i="8"/>
  <c r="CU42" i="8"/>
  <c r="CT42" i="8"/>
  <c r="X35" i="8"/>
  <c r="AH35" i="8"/>
  <c r="AR35" i="8"/>
  <c r="V36" i="8"/>
  <c r="AF36" i="8"/>
  <c r="AR36" i="8"/>
  <c r="EJ36" i="8"/>
  <c r="CV40" i="8"/>
  <c r="EH40" i="8"/>
  <c r="CU40" i="8"/>
  <c r="EJ40" i="8"/>
  <c r="CW40" i="8"/>
  <c r="EK40" i="8"/>
  <c r="CR41" i="8"/>
  <c r="BD41" i="8" s="1"/>
  <c r="T41" i="8"/>
  <c r="CO41" i="8"/>
  <c r="A41" i="8"/>
  <c r="BN41" i="8"/>
  <c r="BP41" i="8" s="1"/>
  <c r="EG41" i="8"/>
  <c r="EI41" i="8" s="1"/>
  <c r="AP39" i="8"/>
  <c r="AH39" i="8"/>
  <c r="Z39" i="8"/>
  <c r="AT39" i="8"/>
  <c r="AL39" i="8"/>
  <c r="AD39" i="8"/>
  <c r="V39" i="8"/>
  <c r="AA39" i="8"/>
  <c r="AK39" i="8"/>
  <c r="AQ43" i="8"/>
  <c r="AI43" i="8"/>
  <c r="AA43" i="8"/>
  <c r="AN43" i="8"/>
  <c r="AF43" i="8"/>
  <c r="AU43" i="8"/>
  <c r="AM43" i="8"/>
  <c r="AE43" i="8"/>
  <c r="W43" i="8"/>
  <c r="AJ43" i="8"/>
  <c r="X43" i="8"/>
  <c r="AT43" i="8"/>
  <c r="AH43" i="8"/>
  <c r="V43" i="8"/>
  <c r="AP43" i="8"/>
  <c r="AC43" i="8"/>
  <c r="AD43" i="8"/>
  <c r="BE23" i="10"/>
  <c r="BC23" i="10"/>
  <c r="AU23" i="10"/>
  <c r="AG43" i="8"/>
  <c r="AY9" i="10"/>
  <c r="AU22" i="10"/>
  <c r="AV22" i="10"/>
  <c r="AK22" i="10"/>
  <c r="AH22" i="10" s="1"/>
  <c r="BA22" i="10"/>
  <c r="AJ22" i="10"/>
  <c r="AY22" i="10"/>
  <c r="AV25" i="10"/>
  <c r="AY27" i="10"/>
  <c r="Q26" i="13"/>
  <c r="R25" i="13" s="1"/>
  <c r="EK39" i="8"/>
  <c r="CU39" i="8"/>
  <c r="CY39" i="8" s="1"/>
  <c r="DC39" i="8" s="1"/>
  <c r="DG39" i="8" s="1"/>
  <c r="AK43" i="8"/>
  <c r="CU43" i="8"/>
  <c r="BC18" i="10"/>
  <c r="BE18" i="10"/>
  <c r="BD18" i="10"/>
  <c r="AY18" i="10" s="1"/>
  <c r="BD23" i="10"/>
  <c r="AY23" i="10" s="1"/>
  <c r="BC31" i="10"/>
  <c r="BD31" i="10"/>
  <c r="AY31" i="10" s="1"/>
  <c r="AU42" i="8"/>
  <c r="AM42" i="8"/>
  <c r="AE42" i="8"/>
  <c r="W42" i="8"/>
  <c r="AP42" i="8"/>
  <c r="AG42" i="8"/>
  <c r="X42" i="8"/>
  <c r="EK42" i="8"/>
  <c r="AO42" i="8"/>
  <c r="AF42" i="8"/>
  <c r="V42" i="8"/>
  <c r="AT42" i="8"/>
  <c r="AK42" i="8"/>
  <c r="AB42" i="8"/>
  <c r="AC42" i="8"/>
  <c r="AR42" i="8"/>
  <c r="CR43" i="8"/>
  <c r="BD43" i="8" s="1"/>
  <c r="CO43" i="8"/>
  <c r="EG43" i="8"/>
  <c r="AL43" i="8"/>
  <c r="EJ43" i="8"/>
  <c r="AK8" i="10"/>
  <c r="AH8" i="10" s="1"/>
  <c r="BE11" i="10"/>
  <c r="BD11" i="10"/>
  <c r="AU17" i="10"/>
  <c r="AK17" i="10"/>
  <c r="AH17" i="10" s="1"/>
  <c r="BA17" i="10"/>
  <c r="AJ17" i="10"/>
  <c r="BE31" i="10"/>
  <c r="BA13" i="10"/>
  <c r="AJ13" i="10"/>
  <c r="AZ13" i="10" s="1"/>
  <c r="AX13" i="10"/>
  <c r="AT13" i="10"/>
  <c r="AQ13" i="10"/>
  <c r="BE15" i="10"/>
  <c r="BD15" i="10"/>
  <c r="BC15" i="10"/>
  <c r="BA19" i="10"/>
  <c r="AV19" i="10"/>
  <c r="AT19" i="10"/>
  <c r="AJ19" i="10"/>
  <c r="AR19" i="10" s="1"/>
  <c r="AY19" i="10"/>
  <c r="AU19" i="10"/>
  <c r="W39" i="8"/>
  <c r="AG39" i="8"/>
  <c r="AR39" i="8"/>
  <c r="DY39" i="8"/>
  <c r="CH39" i="8"/>
  <c r="CC39" i="8"/>
  <c r="DW39" i="8" s="1"/>
  <c r="EJ39" i="8"/>
  <c r="AH42" i="8"/>
  <c r="CW43" i="8"/>
  <c r="CV43" i="8"/>
  <c r="CN43" i="8"/>
  <c r="CT43" i="8"/>
  <c r="Y43" i="8"/>
  <c r="AR43" i="8"/>
  <c r="BE7" i="10"/>
  <c r="BD7" i="10"/>
  <c r="BC7" i="10"/>
  <c r="AU16" i="10"/>
  <c r="AT16" i="10"/>
  <c r="AJ16" i="10"/>
  <c r="AX16" i="10" s="1"/>
  <c r="BA16" i="10"/>
  <c r="AV16" i="10"/>
  <c r="BE17" i="10"/>
  <c r="BD17" i="10"/>
  <c r="AY17" i="10" s="1"/>
  <c r="AV17" i="10"/>
  <c r="AU21" i="10"/>
  <c r="BA21" i="10"/>
  <c r="AJ21" i="10"/>
  <c r="AX21" i="10" s="1"/>
  <c r="AV21" i="10"/>
  <c r="AT21" i="10"/>
  <c r="AY37" i="10"/>
  <c r="AQ37" i="10"/>
  <c r="AX37" i="10"/>
  <c r="AW37" i="10"/>
  <c r="AV37" i="10"/>
  <c r="AT37" i="10"/>
  <c r="AS37" i="10"/>
  <c r="AJ37" i="10"/>
  <c r="BB37" i="10"/>
  <c r="BA37" i="10"/>
  <c r="AZ37" i="10"/>
  <c r="AR37" i="10"/>
  <c r="EK38" i="8"/>
  <c r="CU38" i="8"/>
  <c r="CY38" i="8" s="1"/>
  <c r="DC38" i="8" s="1"/>
  <c r="DG38" i="8" s="1"/>
  <c r="X39" i="8"/>
  <c r="AI39" i="8"/>
  <c r="AS39" i="8"/>
  <c r="BJ39" i="8"/>
  <c r="BV39" i="8"/>
  <c r="CT39" i="8"/>
  <c r="EG42" i="8"/>
  <c r="CR42" i="8"/>
  <c r="BD42" i="8" s="1"/>
  <c r="BZ42" i="8"/>
  <c r="BN42" i="8"/>
  <c r="BP42" i="8" s="1"/>
  <c r="AI42" i="8"/>
  <c r="Z43" i="8"/>
  <c r="AS43" i="8"/>
  <c r="BA9" i="10"/>
  <c r="AK9" i="10"/>
  <c r="AH9" i="10" s="1"/>
  <c r="AJ9" i="10"/>
  <c r="AU9" i="10"/>
  <c r="AW9" i="10" s="1"/>
  <c r="AU13" i="10"/>
  <c r="BA40" i="10"/>
  <c r="AS40" i="10"/>
  <c r="AZ40" i="10"/>
  <c r="AR40" i="10"/>
  <c r="AJ40" i="10"/>
  <c r="AY40" i="10"/>
  <c r="AQ40" i="10"/>
  <c r="BB40" i="10"/>
  <c r="AX40" i="10"/>
  <c r="AV40" i="10"/>
  <c r="AU40" i="10"/>
  <c r="AW40" i="10"/>
  <c r="AT40" i="10"/>
  <c r="AU8" i="10"/>
  <c r="AT8" i="10"/>
  <c r="AJ8" i="10"/>
  <c r="AY8" i="10"/>
  <c r="BA8" i="10"/>
  <c r="AV8" i="10"/>
  <c r="AV13" i="10"/>
  <c r="AU25" i="10"/>
  <c r="BA25" i="10"/>
  <c r="AJ25" i="10"/>
  <c r="AR25" i="10" s="1"/>
  <c r="AS25" i="10" s="1"/>
  <c r="AX25" i="10"/>
  <c r="AT25" i="10"/>
  <c r="AQ25" i="10"/>
  <c r="AU37" i="10"/>
  <c r="AQ41" i="8"/>
  <c r="AI41" i="8"/>
  <c r="AA41" i="8"/>
  <c r="Y41" i="8"/>
  <c r="AH41" i="8"/>
  <c r="AR41" i="8"/>
  <c r="EJ41" i="8"/>
  <c r="CV42" i="8"/>
  <c r="CZ42" i="8" s="1"/>
  <c r="DD42" i="8" s="1"/>
  <c r="DH42" i="8" s="1"/>
  <c r="EH42" i="8"/>
  <c r="EH43" i="8"/>
  <c r="AU12" i="10"/>
  <c r="AW12" i="10" s="1"/>
  <c r="AT12" i="10"/>
  <c r="AJ12" i="10"/>
  <c r="AY12" i="10"/>
  <c r="AY20" i="10"/>
  <c r="AV20" i="10"/>
  <c r="AM20" i="10"/>
  <c r="AT20" i="10"/>
  <c r="AJ20" i="10"/>
  <c r="BC22" i="10"/>
  <c r="BE22" i="10"/>
  <c r="AV26" i="10"/>
  <c r="AU26" i="10"/>
  <c r="AK26" i="10"/>
  <c r="AH26" i="10" s="1"/>
  <c r="AJ26" i="10"/>
  <c r="AQ26" i="10"/>
  <c r="AQ27" i="10" s="1"/>
  <c r="AQ28" i="10" s="1"/>
  <c r="AQ29" i="10" s="1"/>
  <c r="AV29" i="10"/>
  <c r="AW29" i="10" s="1"/>
  <c r="AM29" i="10"/>
  <c r="AT29" i="10"/>
  <c r="AJ29" i="10"/>
  <c r="BA29" i="10"/>
  <c r="BE38" i="10"/>
  <c r="BD38" i="10"/>
  <c r="BC38" i="10"/>
  <c r="AU18" i="10"/>
  <c r="AV18" i="10"/>
  <c r="BA18" i="10"/>
  <c r="AJ18" i="10"/>
  <c r="AZ18" i="10" s="1"/>
  <c r="AX18" i="10"/>
  <c r="BE21" i="10"/>
  <c r="BD21" i="10"/>
  <c r="AY21" i="10" s="1"/>
  <c r="AY24" i="10"/>
  <c r="AV24" i="10"/>
  <c r="AT24" i="10"/>
  <c r="AK24" i="10"/>
  <c r="AH24" i="10" s="1"/>
  <c r="AJ24" i="10"/>
  <c r="BD26" i="10"/>
  <c r="AY26" i="10" s="1"/>
  <c r="BC26" i="10"/>
  <c r="BE26" i="10"/>
  <c r="AJ28" i="10"/>
  <c r="AY28" i="10"/>
  <c r="AU28" i="10"/>
  <c r="AM28" i="10"/>
  <c r="AT28" i="10"/>
  <c r="BA23" i="10"/>
  <c r="AV23" i="10"/>
  <c r="AT23" i="10"/>
  <c r="AJ23" i="10"/>
  <c r="AX23" i="10" s="1"/>
  <c r="AU24" i="10"/>
  <c r="AH28" i="10"/>
  <c r="AZ28" i="10" s="1"/>
  <c r="AV28" i="10"/>
  <c r="AU31" i="10"/>
  <c r="AT31" i="10"/>
  <c r="BA31" i="10"/>
  <c r="AX31" i="10"/>
  <c r="AV31" i="10"/>
  <c r="AJ31" i="10"/>
  <c r="AR31" i="10" s="1"/>
  <c r="AS31" i="10" s="1"/>
  <c r="Q56" i="13"/>
  <c r="R55" i="13" s="1"/>
  <c r="Q57" i="13"/>
  <c r="R56" i="13" s="1"/>
  <c r="AD41" i="8"/>
  <c r="AM41" i="8"/>
  <c r="CW42" i="8"/>
  <c r="CG43" i="8"/>
  <c r="BC9" i="10"/>
  <c r="AK12" i="10"/>
  <c r="AH12" i="10" s="1"/>
  <c r="AQ18" i="10"/>
  <c r="AQ19" i="10" s="1"/>
  <c r="AQ20" i="10" s="1"/>
  <c r="AQ21" i="10" s="1"/>
  <c r="AQ22" i="10" s="1"/>
  <c r="AQ23" i="10" s="1"/>
  <c r="AQ24" i="10" s="1"/>
  <c r="BE19" i="10"/>
  <c r="BC19" i="10"/>
  <c r="AL20" i="10"/>
  <c r="AH20" i="10" s="1"/>
  <c r="BE25" i="10"/>
  <c r="BD25" i="10"/>
  <c r="AY25" i="10" s="1"/>
  <c r="AT27" i="10"/>
  <c r="BA27" i="10"/>
  <c r="AK27" i="10"/>
  <c r="AH27" i="10" s="1"/>
  <c r="AU27" i="10"/>
  <c r="AW27" i="10" s="1"/>
  <c r="AJ27" i="10"/>
  <c r="BA28" i="10"/>
  <c r="BE42" i="10"/>
  <c r="BD42" i="10"/>
  <c r="BC42" i="10"/>
  <c r="O83" i="13"/>
  <c r="P83" i="13" s="1"/>
  <c r="O82" i="13"/>
  <c r="P82" i="13" s="1"/>
  <c r="A9" i="9"/>
  <c r="A17" i="9"/>
  <c r="A25" i="9"/>
  <c r="A33" i="9"/>
  <c r="A41" i="9"/>
  <c r="AS30" i="10"/>
  <c r="AU35" i="10"/>
  <c r="BB35" i="10"/>
  <c r="AT35" i="10"/>
  <c r="BA35" i="10"/>
  <c r="AS35" i="10"/>
  <c r="AY35" i="10"/>
  <c r="O13" i="13"/>
  <c r="P13" i="13" s="1"/>
  <c r="A10" i="9"/>
  <c r="A18" i="9"/>
  <c r="A26" i="9"/>
  <c r="A34" i="9"/>
  <c r="A6" i="10"/>
  <c r="A10" i="10"/>
  <c r="A14" i="10"/>
  <c r="AU39" i="10"/>
  <c r="BB39" i="10"/>
  <c r="AT39" i="10"/>
  <c r="BA39" i="10"/>
  <c r="AS39" i="10"/>
  <c r="AY39" i="10"/>
  <c r="O40" i="13"/>
  <c r="P40" i="13" s="1"/>
  <c r="Q40" i="13" s="1"/>
  <c r="R39" i="13" s="1"/>
  <c r="Q72" i="13"/>
  <c r="R71" i="13" s="1"/>
  <c r="AV30" i="10"/>
  <c r="AU30" i="10"/>
  <c r="A7" i="10"/>
  <c r="A11" i="10"/>
  <c r="A15" i="10"/>
  <c r="A32" i="10"/>
  <c r="BE35" i="10"/>
  <c r="O48" i="13"/>
  <c r="P48" i="13" s="1"/>
  <c r="A5" i="9"/>
  <c r="A13" i="9"/>
  <c r="A21" i="9"/>
  <c r="A29" i="9"/>
  <c r="A37" i="9"/>
  <c r="AZ30" i="10"/>
  <c r="BA36" i="10"/>
  <c r="AS36" i="10"/>
  <c r="AZ36" i="10"/>
  <c r="AR36" i="10"/>
  <c r="AJ36" i="10"/>
  <c r="AY36" i="10"/>
  <c r="AQ36" i="10"/>
  <c r="AQ39" i="10"/>
  <c r="BE39" i="10"/>
  <c r="Q69" i="13"/>
  <c r="O79" i="13"/>
  <c r="P79" i="13" s="1"/>
  <c r="O80" i="13"/>
  <c r="P80" i="13" s="1"/>
  <c r="Q27" i="13"/>
  <c r="R26" i="13" s="1"/>
  <c r="BE30" i="10"/>
  <c r="BD30" i="10"/>
  <c r="AY30" i="10" s="1"/>
  <c r="BC30" i="10"/>
  <c r="AQ30" i="10"/>
  <c r="AQ31" i="10" s="1"/>
  <c r="A33" i="10"/>
  <c r="BE34" i="10"/>
  <c r="BD34" i="10"/>
  <c r="BC34" i="10"/>
  <c r="Q11" i="13"/>
  <c r="R10" i="13" s="1"/>
  <c r="Q28" i="13"/>
  <c r="R27" i="13" s="1"/>
  <c r="Q58" i="13"/>
  <c r="R57" i="13" s="1"/>
  <c r="O33" i="13"/>
  <c r="P33" i="13" s="1"/>
  <c r="O41" i="13"/>
  <c r="P41" i="13" s="1"/>
  <c r="O49" i="13"/>
  <c r="P49" i="13" s="1"/>
  <c r="Q87" i="13"/>
  <c r="R86" i="13" s="1"/>
  <c r="O93" i="13"/>
  <c r="P93" i="13" s="1"/>
  <c r="H24" i="18"/>
  <c r="N24" i="18"/>
  <c r="O24" i="18" s="1"/>
  <c r="AV41" i="10"/>
  <c r="O38" i="13"/>
  <c r="P38" i="13" s="1"/>
  <c r="O46" i="13"/>
  <c r="P46" i="13" s="1"/>
  <c r="O64" i="13"/>
  <c r="P64" i="13" s="1"/>
  <c r="O66" i="13"/>
  <c r="P66" i="13" s="1"/>
  <c r="O78" i="13"/>
  <c r="P78" i="13" s="1"/>
  <c r="O88" i="13"/>
  <c r="P88" i="13" s="1"/>
  <c r="AU34" i="10"/>
  <c r="AU38" i="10"/>
  <c r="AW41" i="10"/>
  <c r="AU42" i="10"/>
  <c r="O62" i="13"/>
  <c r="P62" i="13" s="1"/>
  <c r="E10" i="16"/>
  <c r="G9" i="16"/>
  <c r="H9" i="16" s="1"/>
  <c r="AX41" i="10"/>
  <c r="O86" i="13"/>
  <c r="P86" i="13" s="1"/>
  <c r="Q86" i="13" s="1"/>
  <c r="R85" i="13" s="1"/>
  <c r="AQ41" i="10"/>
  <c r="O98" i="13"/>
  <c r="P98" i="13" s="1"/>
  <c r="I26" i="18"/>
  <c r="K25" i="18"/>
  <c r="T35" i="18"/>
  <c r="AW20" i="10" l="1"/>
  <c r="N19" i="1"/>
  <c r="AW16" i="10"/>
  <c r="AZ17" i="10"/>
  <c r="AX9" i="10"/>
  <c r="AZ21" i="10"/>
  <c r="AX22" i="10"/>
  <c r="AX24" i="10"/>
  <c r="AR20" i="10"/>
  <c r="AS20" i="10" s="1"/>
  <c r="AW28" i="10"/>
  <c r="AX28" i="10"/>
  <c r="AW22" i="10"/>
  <c r="O28" i="1"/>
  <c r="M12" i="1"/>
  <c r="AW19" i="10"/>
  <c r="AX19" i="10"/>
  <c r="AW25" i="10"/>
  <c r="AZ12" i="10"/>
  <c r="AZ31" i="10"/>
  <c r="AX29" i="10"/>
  <c r="AW26" i="10"/>
  <c r="AZ19" i="10"/>
  <c r="AW24" i="10"/>
  <c r="AX20" i="10"/>
  <c r="AR8" i="10"/>
  <c r="AS8" i="10" s="1"/>
  <c r="AR27" i="10"/>
  <c r="AS27" i="10" s="1"/>
  <c r="AZ20" i="10"/>
  <c r="DB16" i="8"/>
  <c r="EF16" i="8"/>
  <c r="DC30" i="8"/>
  <c r="EF30" i="8"/>
  <c r="BW30" i="8"/>
  <c r="AZ22" i="10"/>
  <c r="CZ32" i="8"/>
  <c r="DD32" i="8" s="1"/>
  <c r="EI11" i="8"/>
  <c r="CI8" i="8"/>
  <c r="CJ8" i="8" s="1"/>
  <c r="DA8" i="8" s="1"/>
  <c r="DE8" i="8" s="1"/>
  <c r="DI8" i="8" s="1"/>
  <c r="DU8" i="8" s="1"/>
  <c r="AR23" i="10"/>
  <c r="AR21" i="10"/>
  <c r="BR19" i="8"/>
  <c r="BJ43" i="8"/>
  <c r="BQ43" i="8" s="1"/>
  <c r="CC43" i="8"/>
  <c r="DW43" i="8" s="1"/>
  <c r="BZ43" i="8"/>
  <c r="BV43" i="8"/>
  <c r="CH43" i="8"/>
  <c r="DY43" i="8"/>
  <c r="EA43" i="8" s="1"/>
  <c r="BK26" i="8"/>
  <c r="BL26" i="8"/>
  <c r="BX26" i="8" s="1"/>
  <c r="BL14" i="8"/>
  <c r="BS14" i="8" s="1"/>
  <c r="BK14" i="8"/>
  <c r="CC22" i="8"/>
  <c r="DW22" i="8" s="1"/>
  <c r="BV22" i="8"/>
  <c r="CY22" i="8" s="1"/>
  <c r="DC22" i="8" s="1"/>
  <c r="DG22" i="8" s="1"/>
  <c r="BQ22" i="8"/>
  <c r="CH22" i="8"/>
  <c r="CG22" i="8"/>
  <c r="CX38" i="8"/>
  <c r="CX42" i="8"/>
  <c r="BU40" i="8"/>
  <c r="AX8" i="10"/>
  <c r="AZ8" i="10"/>
  <c r="AW21" i="10"/>
  <c r="AZ16" i="10"/>
  <c r="BR37" i="8"/>
  <c r="BR21" i="8"/>
  <c r="CY28" i="8"/>
  <c r="DC28" i="8" s="1"/>
  <c r="DG28" i="8" s="1"/>
  <c r="BW31" i="8"/>
  <c r="CX26" i="8"/>
  <c r="BS18" i="8"/>
  <c r="EA16" i="8"/>
  <c r="EB16" i="8" s="1"/>
  <c r="CS12" i="8"/>
  <c r="BR16" i="8"/>
  <c r="BS16" i="8" s="1"/>
  <c r="BL6" i="8"/>
  <c r="BS6" i="8" s="1"/>
  <c r="BK6" i="8"/>
  <c r="BU22" i="8"/>
  <c r="BW22" i="8" s="1"/>
  <c r="AR22" i="10"/>
  <c r="AZ24" i="10"/>
  <c r="EF35" i="8"/>
  <c r="AW31" i="10"/>
  <c r="AR28" i="10"/>
  <c r="AS29" i="10" s="1"/>
  <c r="AW13" i="10"/>
  <c r="BR42" i="8"/>
  <c r="AZ23" i="10"/>
  <c r="CI39" i="8"/>
  <c r="AR17" i="10"/>
  <c r="CY43" i="8"/>
  <c r="DC43" i="8" s="1"/>
  <c r="DG43" i="8" s="1"/>
  <c r="CS41" i="8"/>
  <c r="CX31" i="8"/>
  <c r="DB31" i="8" s="1"/>
  <c r="DJ31" i="8" s="1"/>
  <c r="EA30" i="8"/>
  <c r="EI34" i="8"/>
  <c r="CY26" i="8"/>
  <c r="DC26" i="8" s="1"/>
  <c r="DG26" i="8" s="1"/>
  <c r="BZ23" i="8"/>
  <c r="EI19" i="8"/>
  <c r="BR8" i="8"/>
  <c r="BS8" i="8" s="1"/>
  <c r="CL8" i="8" s="1"/>
  <c r="EB18" i="8"/>
  <c r="EI10" i="8"/>
  <c r="EA6" i="8"/>
  <c r="EB6" i="8" s="1"/>
  <c r="DY37" i="8"/>
  <c r="EA37" i="8" s="1"/>
  <c r="BQ37" i="8"/>
  <c r="BU37" i="8"/>
  <c r="BW37" i="8" s="1"/>
  <c r="BU14" i="8"/>
  <c r="BW14" i="8" s="1"/>
  <c r="CS5" i="8"/>
  <c r="EI7" i="8"/>
  <c r="AZ9" i="10"/>
  <c r="CI43" i="8"/>
  <c r="AR26" i="10"/>
  <c r="AS26" i="10" s="1"/>
  <c r="AW30" i="10"/>
  <c r="AW8" i="10"/>
  <c r="AW17" i="10"/>
  <c r="CS39" i="8"/>
  <c r="EI29" i="8"/>
  <c r="EA38" i="8"/>
  <c r="CS38" i="8"/>
  <c r="BW38" i="8"/>
  <c r="CX34" i="8"/>
  <c r="CS33" i="8"/>
  <c r="EB24" i="8"/>
  <c r="EI22" i="8"/>
  <c r="BU39" i="8"/>
  <c r="BW39" i="8" s="1"/>
  <c r="BW18" i="8"/>
  <c r="BX18" i="8" s="1"/>
  <c r="CX19" i="8"/>
  <c r="CY18" i="8"/>
  <c r="DC18" i="8" s="1"/>
  <c r="DG18" i="8" s="1"/>
  <c r="CJ14" i="8"/>
  <c r="DA14" i="8" s="1"/>
  <c r="BV28" i="8"/>
  <c r="BQ28" i="8"/>
  <c r="BR28" i="8" s="1"/>
  <c r="EF28" i="8"/>
  <c r="CG28" i="8"/>
  <c r="CI28" i="8" s="1"/>
  <c r="BK27" i="8"/>
  <c r="BL27" i="8"/>
  <c r="BU43" i="8"/>
  <c r="BW43" i="8" s="1"/>
  <c r="CX28" i="8"/>
  <c r="DB28" i="8" s="1"/>
  <c r="EA12" i="8"/>
  <c r="EB12" i="8" s="1"/>
  <c r="BL19" i="8"/>
  <c r="CJ19" i="8" s="1"/>
  <c r="DA19" i="8" s="1"/>
  <c r="DE19" i="8" s="1"/>
  <c r="DI19" i="8" s="1"/>
  <c r="BK19" i="8"/>
  <c r="N12" i="1"/>
  <c r="O29" i="1"/>
  <c r="BU28" i="8"/>
  <c r="BW28" i="8" s="1"/>
  <c r="CI12" i="8"/>
  <c r="CJ12" i="8" s="1"/>
  <c r="DA12" i="8" s="1"/>
  <c r="CX37" i="8"/>
  <c r="BR26" i="8"/>
  <c r="BR33" i="8"/>
  <c r="EA22" i="8"/>
  <c r="CE24" i="8"/>
  <c r="BR22" i="8"/>
  <c r="CX21" i="8"/>
  <c r="DB21" i="8" s="1"/>
  <c r="CX22" i="8"/>
  <c r="DB22" i="8" s="1"/>
  <c r="CX24" i="8"/>
  <c r="CY16" i="8"/>
  <c r="DC16" i="8" s="1"/>
  <c r="DG16" i="8" s="1"/>
  <c r="CZ6" i="8"/>
  <c r="DD6" i="8" s="1"/>
  <c r="DH6" i="8" s="1"/>
  <c r="CI18" i="8"/>
  <c r="CS15" i="8"/>
  <c r="CG39" i="8"/>
  <c r="BQ39" i="8"/>
  <c r="BR39" i="8" s="1"/>
  <c r="DY31" i="8"/>
  <c r="EA31" i="8" s="1"/>
  <c r="EB31" i="8" s="1"/>
  <c r="CC31" i="8"/>
  <c r="DW31" i="8" s="1"/>
  <c r="EF31" i="8"/>
  <c r="CB11" i="8"/>
  <c r="DM33" i="8"/>
  <c r="DL33" i="8"/>
  <c r="DF33" i="8"/>
  <c r="CB40" i="8"/>
  <c r="DV16" i="8"/>
  <c r="CB27" i="8"/>
  <c r="Q88" i="13"/>
  <c r="R87" i="13" s="1"/>
  <c r="Q13" i="13"/>
  <c r="R12" i="13" s="1"/>
  <c r="AX27" i="10"/>
  <c r="EI43" i="8"/>
  <c r="BK42" i="8"/>
  <c r="BL42" i="8"/>
  <c r="BX42" i="8" s="1"/>
  <c r="EA35" i="8"/>
  <c r="CZ28" i="8"/>
  <c r="DD28" i="8" s="1"/>
  <c r="DH28" i="8" s="1"/>
  <c r="EA28" i="8"/>
  <c r="CZ33" i="8"/>
  <c r="DD33" i="8" s="1"/>
  <c r="BD37" i="8"/>
  <c r="CS37" i="8"/>
  <c r="BK38" i="8"/>
  <c r="BL38" i="8"/>
  <c r="BX38" i="8" s="1"/>
  <c r="EI28" i="8"/>
  <c r="EA34" i="8"/>
  <c r="CI31" i="8"/>
  <c r="CJ31" i="8" s="1"/>
  <c r="EA32" i="8"/>
  <c r="BL22" i="8"/>
  <c r="DL22" i="8" s="1"/>
  <c r="BK22" i="8"/>
  <c r="CS21" i="8"/>
  <c r="BD25" i="8"/>
  <c r="CS25" i="8"/>
  <c r="CS27" i="8"/>
  <c r="CS32" i="8"/>
  <c r="BD31" i="8"/>
  <c r="CS31" i="8"/>
  <c r="CD22" i="8"/>
  <c r="CB22" i="8"/>
  <c r="EI18" i="8"/>
  <c r="BL25" i="8"/>
  <c r="BK25" i="8"/>
  <c r="BK21" i="8"/>
  <c r="BL21" i="8"/>
  <c r="BX21" i="8" s="1"/>
  <c r="CD14" i="8"/>
  <c r="CB14" i="8"/>
  <c r="CX20" i="8"/>
  <c r="DF6" i="8"/>
  <c r="DM6" i="8"/>
  <c r="DL6" i="8"/>
  <c r="CX14" i="8"/>
  <c r="DB14" i="8" s="1"/>
  <c r="CS13" i="8"/>
  <c r="CS9" i="8"/>
  <c r="CB5" i="8"/>
  <c r="J33" i="1"/>
  <c r="M26" i="1"/>
  <c r="L26" i="1"/>
  <c r="N26" i="1"/>
  <c r="L44" i="1"/>
  <c r="J51" i="1"/>
  <c r="AZ26" i="10"/>
  <c r="EI42" i="8"/>
  <c r="AX17" i="10"/>
  <c r="CS42" i="8"/>
  <c r="EI40" i="8"/>
  <c r="CZ35" i="8"/>
  <c r="DD35" i="8" s="1"/>
  <c r="DH35" i="8" s="1"/>
  <c r="CZ30" i="8"/>
  <c r="DD30" i="8" s="1"/>
  <c r="DH30" i="8" s="1"/>
  <c r="CS28" i="8"/>
  <c r="BD28" i="8"/>
  <c r="CX25" i="8"/>
  <c r="EI37" i="8"/>
  <c r="BL29" i="8"/>
  <c r="BK29" i="8"/>
  <c r="EI21" i="8"/>
  <c r="CH15" i="8"/>
  <c r="DY15" i="8"/>
  <c r="CG15" i="8"/>
  <c r="BJ15" i="8"/>
  <c r="BQ15" i="8" s="1"/>
  <c r="CC15" i="8"/>
  <c r="DW15" i="8" s="1"/>
  <c r="BZ15" i="8"/>
  <c r="BV15" i="8"/>
  <c r="BW15" i="8" s="1"/>
  <c r="CB17" i="8"/>
  <c r="BQ13" i="8"/>
  <c r="CX13" i="8" s="1"/>
  <c r="DB13" i="8" s="1"/>
  <c r="EF13" i="8"/>
  <c r="CC13" i="8"/>
  <c r="DW13" i="8" s="1"/>
  <c r="BV13" i="8"/>
  <c r="CY13" i="8" s="1"/>
  <c r="DC13" i="8" s="1"/>
  <c r="DG13" i="8" s="1"/>
  <c r="BJ13" i="8"/>
  <c r="DY13" i="8"/>
  <c r="CG13" i="8"/>
  <c r="CI13" i="8" s="1"/>
  <c r="CJ13" i="8" s="1"/>
  <c r="DA13" i="8" s="1"/>
  <c r="DE13" i="8" s="1"/>
  <c r="DI13" i="8" s="1"/>
  <c r="CH13" i="8"/>
  <c r="BZ13" i="8"/>
  <c r="BU13" i="8"/>
  <c r="BW13" i="8" s="1"/>
  <c r="BX13" i="8" s="1"/>
  <c r="CD19" i="8"/>
  <c r="CB19" i="8"/>
  <c r="BL17" i="8"/>
  <c r="BK17" i="8"/>
  <c r="CZ14" i="8"/>
  <c r="DD14" i="8" s="1"/>
  <c r="DH14" i="8" s="1"/>
  <c r="BK9" i="8"/>
  <c r="BL9" i="8"/>
  <c r="ER8" i="8"/>
  <c r="AY33" i="10"/>
  <c r="AQ33" i="10"/>
  <c r="AX33" i="10"/>
  <c r="AU33" i="10"/>
  <c r="AT33" i="10"/>
  <c r="BA33" i="10"/>
  <c r="AV33" i="10"/>
  <c r="AJ33" i="10"/>
  <c r="AZ33" i="10" s="1"/>
  <c r="AV15" i="10"/>
  <c r="AT15" i="10"/>
  <c r="BA15" i="10"/>
  <c r="AK15" i="10"/>
  <c r="AH15" i="10" s="1"/>
  <c r="AY15" i="10"/>
  <c r="AU15" i="10"/>
  <c r="AJ15" i="10"/>
  <c r="AV7" i="10"/>
  <c r="AT7" i="10"/>
  <c r="BA7" i="10"/>
  <c r="AK7" i="10"/>
  <c r="AH7" i="10" s="1"/>
  <c r="AU7" i="10"/>
  <c r="AJ7" i="10"/>
  <c r="AY7" i="10"/>
  <c r="I27" i="18"/>
  <c r="K26" i="18"/>
  <c r="H25" i="18"/>
  <c r="L24" i="18"/>
  <c r="AZ27" i="10"/>
  <c r="AX26" i="10"/>
  <c r="AR13" i="10"/>
  <c r="AS13" i="10" s="1"/>
  <c r="CS43" i="8"/>
  <c r="CZ40" i="8"/>
  <c r="DD40" i="8" s="1"/>
  <c r="DH40" i="8" s="1"/>
  <c r="DF30" i="8"/>
  <c r="DM30" i="8"/>
  <c r="DL30" i="8"/>
  <c r="CZ38" i="8"/>
  <c r="DD38" i="8" s="1"/>
  <c r="DH38" i="8" s="1"/>
  <c r="BL34" i="8"/>
  <c r="BK34" i="8"/>
  <c r="DA31" i="8"/>
  <c r="DE31" i="8" s="1"/>
  <c r="DI31" i="8" s="1"/>
  <c r="CD33" i="8"/>
  <c r="CB33" i="8"/>
  <c r="CD28" i="8"/>
  <c r="CB28" i="8"/>
  <c r="CI32" i="8"/>
  <c r="CS29" i="8"/>
  <c r="EI30" i="8"/>
  <c r="CB23" i="8"/>
  <c r="DP32" i="8"/>
  <c r="DO32" i="8"/>
  <c r="CI21" i="8"/>
  <c r="CZ13" i="8"/>
  <c r="DD13" i="8" s="1"/>
  <c r="DH13" i="8" s="1"/>
  <c r="CY10" i="8"/>
  <c r="DC10" i="8" s="1"/>
  <c r="DG10" i="8" s="1"/>
  <c r="DJ9" i="8"/>
  <c r="BQ9" i="8"/>
  <c r="BR9" i="8" s="1"/>
  <c r="BV9" i="8"/>
  <c r="BJ9" i="8"/>
  <c r="CH9" i="8"/>
  <c r="CG9" i="8"/>
  <c r="CI9" i="8" s="1"/>
  <c r="DY9" i="8"/>
  <c r="EF9" i="8"/>
  <c r="CC9" i="8"/>
  <c r="DW9" i="8" s="1"/>
  <c r="EA14" i="8"/>
  <c r="EB14" i="8" s="1"/>
  <c r="CD16" i="8"/>
  <c r="CE16" i="8" s="1"/>
  <c r="CB16" i="8"/>
  <c r="DZ16" i="8" s="1"/>
  <c r="DJ7" i="8"/>
  <c r="ET7" i="8" s="1"/>
  <c r="BQ7" i="8"/>
  <c r="CX7" i="8" s="1"/>
  <c r="DB7" i="8" s="1"/>
  <c r="CH7" i="8"/>
  <c r="BV7" i="8"/>
  <c r="CG7" i="8"/>
  <c r="BU7" i="8"/>
  <c r="BJ7" i="8"/>
  <c r="CC7" i="8"/>
  <c r="DW7" i="8" s="1"/>
  <c r="DY7" i="8"/>
  <c r="EA7" i="8" s="1"/>
  <c r="EB7" i="8" s="1"/>
  <c r="BZ7" i="8"/>
  <c r="EF7" i="8"/>
  <c r="CY21" i="8"/>
  <c r="DC21" i="8" s="1"/>
  <c r="DG21" i="8" s="1"/>
  <c r="EI16" i="8"/>
  <c r="CX12" i="8"/>
  <c r="DB12" i="8" s="1"/>
  <c r="DJ5" i="8"/>
  <c r="BQ5" i="8"/>
  <c r="BR5" i="8" s="1"/>
  <c r="DY5" i="8"/>
  <c r="EA5" i="8" s="1"/>
  <c r="EF5" i="8"/>
  <c r="CH5" i="8"/>
  <c r="BV5" i="8"/>
  <c r="CY5" i="8" s="1"/>
  <c r="DC5" i="8" s="1"/>
  <c r="DG5" i="8" s="1"/>
  <c r="CG5" i="8"/>
  <c r="BU5" i="8"/>
  <c r="BJ5" i="8"/>
  <c r="CC5" i="8"/>
  <c r="DW5" i="8" s="1"/>
  <c r="BD8" i="8"/>
  <c r="CS8" i="8"/>
  <c r="BZ9" i="8"/>
  <c r="BU9" i="8"/>
  <c r="BW9" i="8" s="1"/>
  <c r="J43" i="1"/>
  <c r="O36" i="1"/>
  <c r="L36" i="1"/>
  <c r="AY10" i="10"/>
  <c r="AV10" i="10"/>
  <c r="AU10" i="10"/>
  <c r="BA10" i="10"/>
  <c r="AJ10" i="10"/>
  <c r="AK10" i="10"/>
  <c r="AH10" i="10" s="1"/>
  <c r="AT10" i="10"/>
  <c r="BB21" i="10"/>
  <c r="AX12" i="10"/>
  <c r="G10" i="16"/>
  <c r="H10" i="16" s="1"/>
  <c r="E11" i="16"/>
  <c r="AR24" i="10"/>
  <c r="AR18" i="10"/>
  <c r="AS18" i="10" s="1"/>
  <c r="AR12" i="10"/>
  <c r="Q12" i="13"/>
  <c r="R11" i="13" s="1"/>
  <c r="AR16" i="10"/>
  <c r="Q59" i="13"/>
  <c r="CY42" i="8"/>
  <c r="DC42" i="8" s="1"/>
  <c r="DG42" i="8" s="1"/>
  <c r="BL32" i="8"/>
  <c r="DN32" i="8" s="1"/>
  <c r="BK32" i="8"/>
  <c r="CD35" i="8"/>
  <c r="CB35" i="8"/>
  <c r="EI38" i="8"/>
  <c r="CI37" i="8"/>
  <c r="CI34" i="8"/>
  <c r="DY36" i="8"/>
  <c r="CH36" i="8"/>
  <c r="CG36" i="8"/>
  <c r="CC36" i="8"/>
  <c r="DW36" i="8" s="1"/>
  <c r="EF36" i="8"/>
  <c r="BQ36" i="8"/>
  <c r="CX36" i="8" s="1"/>
  <c r="DB36" i="8" s="1"/>
  <c r="DJ36" i="8" s="1"/>
  <c r="BJ36" i="8"/>
  <c r="BV36" i="8"/>
  <c r="CY36" i="8" s="1"/>
  <c r="DC36" i="8" s="1"/>
  <c r="DG36" i="8" s="1"/>
  <c r="CZ34" i="8"/>
  <c r="DD34" i="8" s="1"/>
  <c r="DH34" i="8" s="1"/>
  <c r="EI25" i="8"/>
  <c r="EI31" i="8"/>
  <c r="CD20" i="8"/>
  <c r="CJ18" i="8"/>
  <c r="DA18" i="8" s="1"/>
  <c r="DE18" i="8" s="1"/>
  <c r="DI18" i="8" s="1"/>
  <c r="CY12" i="8"/>
  <c r="DC12" i="8" s="1"/>
  <c r="DG12" i="8" s="1"/>
  <c r="DV8" i="8"/>
  <c r="CY15" i="8"/>
  <c r="DC15" i="8" s="1"/>
  <c r="DG15" i="8" s="1"/>
  <c r="CD6" i="8"/>
  <c r="L41" i="1"/>
  <c r="J48" i="1"/>
  <c r="AS28" i="10"/>
  <c r="Q41" i="13"/>
  <c r="AY6" i="10"/>
  <c r="AQ6" i="10"/>
  <c r="AQ7" i="10" s="1"/>
  <c r="AQ8" i="10" s="1"/>
  <c r="AQ9" i="10" s="1"/>
  <c r="AQ10" i="10" s="1"/>
  <c r="AQ11" i="10" s="1"/>
  <c r="AQ12" i="10" s="1"/>
  <c r="AX6" i="10"/>
  <c r="AV6" i="10"/>
  <c r="AU6" i="10"/>
  <c r="BA6" i="10"/>
  <c r="AT6" i="10"/>
  <c r="AJ6" i="10"/>
  <c r="AR6" i="10" s="1"/>
  <c r="AS6" i="10" s="1"/>
  <c r="N25" i="18"/>
  <c r="BA32" i="10"/>
  <c r="AJ32" i="10"/>
  <c r="AY32" i="10"/>
  <c r="AQ32" i="10"/>
  <c r="AU32" i="10"/>
  <c r="AX32" i="10"/>
  <c r="AV32" i="10"/>
  <c r="AT32" i="10"/>
  <c r="AN32" i="10"/>
  <c r="AH32" i="10" s="1"/>
  <c r="Q89" i="13"/>
  <c r="Q29" i="13"/>
  <c r="AW23" i="10"/>
  <c r="BL40" i="8"/>
  <c r="BK40" i="8"/>
  <c r="CD39" i="8"/>
  <c r="CC41" i="8"/>
  <c r="DW41" i="8" s="1"/>
  <c r="BV41" i="8"/>
  <c r="CY41" i="8" s="1"/>
  <c r="DC41" i="8" s="1"/>
  <c r="DG41" i="8" s="1"/>
  <c r="CH41" i="8"/>
  <c r="BJ41" i="8"/>
  <c r="BQ41" i="8" s="1"/>
  <c r="BR41" i="8" s="1"/>
  <c r="BS41" i="8" s="1"/>
  <c r="DY41" i="8"/>
  <c r="EA41" i="8" s="1"/>
  <c r="EB41" i="8" s="1"/>
  <c r="CG41" i="8"/>
  <c r="BZ41" i="8"/>
  <c r="BU41" i="8"/>
  <c r="BW41" i="8" s="1"/>
  <c r="BX41" i="8" s="1"/>
  <c r="CZ39" i="8"/>
  <c r="DD39" i="8" s="1"/>
  <c r="DH39" i="8" s="1"/>
  <c r="CZ37" i="8"/>
  <c r="DD37" i="8" s="1"/>
  <c r="DH37" i="8" s="1"/>
  <c r="CB38" i="8"/>
  <c r="CD38" i="8"/>
  <c r="BL37" i="8"/>
  <c r="BX37" i="8" s="1"/>
  <c r="BK37" i="8"/>
  <c r="CD37" i="8"/>
  <c r="CB37" i="8"/>
  <c r="CD30" i="8"/>
  <c r="BW32" i="8"/>
  <c r="CS34" i="8"/>
  <c r="BD34" i="8"/>
  <c r="CI24" i="8"/>
  <c r="CJ24" i="8" s="1"/>
  <c r="DA24" i="8" s="1"/>
  <c r="DE24" i="8" s="1"/>
  <c r="DI24" i="8" s="1"/>
  <c r="BR24" i="8"/>
  <c r="BS24" i="8" s="1"/>
  <c r="BV11" i="8"/>
  <c r="BJ11" i="8"/>
  <c r="BQ11" i="8" s="1"/>
  <c r="CH11" i="8"/>
  <c r="CG11" i="8"/>
  <c r="DY11" i="8"/>
  <c r="CC11" i="8"/>
  <c r="DW11" i="8" s="1"/>
  <c r="BU11" i="8"/>
  <c r="CD18" i="8"/>
  <c r="CE18" i="8" s="1"/>
  <c r="CB18" i="8"/>
  <c r="DZ18" i="8" s="1"/>
  <c r="EF10" i="8"/>
  <c r="CG10" i="8"/>
  <c r="BV10" i="8"/>
  <c r="CC10" i="8"/>
  <c r="DW10" i="8" s="1"/>
  <c r="BQ10" i="8"/>
  <c r="BR10" i="8" s="1"/>
  <c r="BS10" i="8" s="1"/>
  <c r="DY10" i="8"/>
  <c r="CH10" i="8"/>
  <c r="DJ10" i="8"/>
  <c r="ER10" i="8" s="1"/>
  <c r="BJ10" i="8"/>
  <c r="EU8" i="8"/>
  <c r="CS19" i="8"/>
  <c r="EI20" i="8"/>
  <c r="BD16" i="8"/>
  <c r="CS16" i="8"/>
  <c r="BU10" i="8"/>
  <c r="O7" i="3"/>
  <c r="N7" i="3"/>
  <c r="M7" i="3"/>
  <c r="AZ25" i="10"/>
  <c r="DS31" i="8"/>
  <c r="EA33" i="8"/>
  <c r="BL33" i="8"/>
  <c r="BS33" i="8" s="1"/>
  <c r="BK33" i="8"/>
  <c r="EI32" i="8"/>
  <c r="BL30" i="8"/>
  <c r="BS30" i="8" s="1"/>
  <c r="BK30" i="8"/>
  <c r="BX24" i="8"/>
  <c r="CD25" i="8"/>
  <c r="CB25" i="8"/>
  <c r="CI25" i="8"/>
  <c r="DZ24" i="8"/>
  <c r="CD21" i="8"/>
  <c r="CB21" i="8"/>
  <c r="EI17" i="8"/>
  <c r="CS11" i="8"/>
  <c r="BD11" i="8"/>
  <c r="DY23" i="8"/>
  <c r="CC23" i="8"/>
  <c r="DW23" i="8" s="1"/>
  <c r="BQ23" i="8"/>
  <c r="BR23" i="8" s="1"/>
  <c r="BS23" i="8" s="1"/>
  <c r="BJ23" i="8"/>
  <c r="BV23" i="8"/>
  <c r="CY23" i="8" s="1"/>
  <c r="DC23" i="8" s="1"/>
  <c r="DG23" i="8" s="1"/>
  <c r="CH23" i="8"/>
  <c r="CG23" i="8"/>
  <c r="BR13" i="8"/>
  <c r="BS13" i="8" s="1"/>
  <c r="EI15" i="8"/>
  <c r="EI14" i="8"/>
  <c r="CS18" i="8"/>
  <c r="CZ17" i="8"/>
  <c r="DD17" i="8" s="1"/>
  <c r="DH17" i="8" s="1"/>
  <c r="DS8" i="8"/>
  <c r="DR8" i="8"/>
  <c r="CS10" i="8"/>
  <c r="J39" i="1"/>
  <c r="L32" i="1"/>
  <c r="AZ29" i="10"/>
  <c r="AR29" i="10"/>
  <c r="AR9" i="10"/>
  <c r="AS9" i="10" s="1"/>
  <c r="BS42" i="8"/>
  <c r="BK43" i="8"/>
  <c r="BL43" i="8"/>
  <c r="CJ43" i="8" s="1"/>
  <c r="DA43" i="8" s="1"/>
  <c r="DE43" i="8" s="1"/>
  <c r="DI43" i="8" s="1"/>
  <c r="BL39" i="8"/>
  <c r="BK39" i="8"/>
  <c r="BK36" i="8"/>
  <c r="BL36" i="8"/>
  <c r="BD40" i="8"/>
  <c r="CS40" i="8"/>
  <c r="CD36" i="8"/>
  <c r="CB36" i="8"/>
  <c r="DL31" i="8"/>
  <c r="DM31" i="8" s="1"/>
  <c r="DF31" i="8"/>
  <c r="DN31" i="8" s="1"/>
  <c r="BD30" i="8"/>
  <c r="CS30" i="8"/>
  <c r="EI35" i="8"/>
  <c r="BK28" i="8"/>
  <c r="BL28" i="8"/>
  <c r="CD26" i="8"/>
  <c r="CB26" i="8"/>
  <c r="DF35" i="8"/>
  <c r="CH27" i="8"/>
  <c r="CG27" i="8"/>
  <c r="BQ27" i="8"/>
  <c r="BR27" i="8" s="1"/>
  <c r="BS27" i="8" s="1"/>
  <c r="DY27" i="8"/>
  <c r="BJ27" i="8"/>
  <c r="BV27" i="8" s="1"/>
  <c r="CY27" i="8" s="1"/>
  <c r="CC27" i="8"/>
  <c r="DW27" i="8" s="1"/>
  <c r="CB34" i="8"/>
  <c r="CD34" i="8"/>
  <c r="BU27" i="8"/>
  <c r="CS23" i="8"/>
  <c r="BD23" i="8"/>
  <c r="BR25" i="8"/>
  <c r="BR31" i="8"/>
  <c r="BS31" i="8" s="1"/>
  <c r="BL20" i="8"/>
  <c r="BK20" i="8"/>
  <c r="BD7" i="8"/>
  <c r="CS7" i="8"/>
  <c r="CZ5" i="8"/>
  <c r="DD5" i="8" s="1"/>
  <c r="DH5" i="8" s="1"/>
  <c r="CZ10" i="8"/>
  <c r="DD10" i="8" s="1"/>
  <c r="DH10" i="8" s="1"/>
  <c r="BD6" i="8"/>
  <c r="CS6" i="8"/>
  <c r="CG17" i="8"/>
  <c r="CC17" i="8"/>
  <c r="DW17" i="8" s="1"/>
  <c r="BJ17" i="8"/>
  <c r="BQ17" i="8" s="1"/>
  <c r="CX17" i="8" s="1"/>
  <c r="BV17" i="8"/>
  <c r="BW17" i="8" s="1"/>
  <c r="DY17" i="8"/>
  <c r="EA17" i="8" s="1"/>
  <c r="CH17" i="8"/>
  <c r="CD10" i="8"/>
  <c r="CE10" i="8" s="1"/>
  <c r="CB10" i="8"/>
  <c r="DZ10" i="8" s="1"/>
  <c r="CY11" i="8"/>
  <c r="DC11" i="8" s="1"/>
  <c r="DG11" i="8" s="1"/>
  <c r="D16" i="5"/>
  <c r="T16" i="5"/>
  <c r="BD8" i="5"/>
  <c r="BF8" i="5" s="1"/>
  <c r="BE8" i="5" s="1"/>
  <c r="CY7" i="8"/>
  <c r="DC7" i="8" s="1"/>
  <c r="DG7" i="8" s="1"/>
  <c r="Q73" i="13"/>
  <c r="U35" i="18"/>
  <c r="V35" i="18" s="1"/>
  <c r="W35" i="18" s="1"/>
  <c r="T36" i="18"/>
  <c r="AV11" i="10"/>
  <c r="AT11" i="10"/>
  <c r="BA11" i="10"/>
  <c r="AK11" i="10"/>
  <c r="AH11" i="10" s="1"/>
  <c r="AU11" i="10"/>
  <c r="AJ11" i="10"/>
  <c r="AY11" i="10"/>
  <c r="AY14" i="10"/>
  <c r="AQ14" i="10"/>
  <c r="AQ15" i="10" s="1"/>
  <c r="AQ16" i="10" s="1"/>
  <c r="AQ17" i="10" s="1"/>
  <c r="AV14" i="10"/>
  <c r="AU14" i="10"/>
  <c r="BA14" i="10"/>
  <c r="AK14" i="10"/>
  <c r="AH14" i="10" s="1"/>
  <c r="AT14" i="10"/>
  <c r="AJ14" i="10"/>
  <c r="AW18" i="10"/>
  <c r="CD42" i="8"/>
  <c r="CB42" i="8"/>
  <c r="EA39" i="8"/>
  <c r="BJ40" i="8"/>
  <c r="BV40" i="8" s="1"/>
  <c r="CG40" i="8"/>
  <c r="CI40" i="8" s="1"/>
  <c r="DY40" i="8"/>
  <c r="EA40" i="8" s="1"/>
  <c r="BQ40" i="8"/>
  <c r="BR40" i="8" s="1"/>
  <c r="CH40" i="8"/>
  <c r="CC40" i="8"/>
  <c r="DW40" i="8" s="1"/>
  <c r="BK35" i="8"/>
  <c r="BL35" i="8"/>
  <c r="DL35" i="8" s="1"/>
  <c r="DM35" i="8" s="1"/>
  <c r="CI38" i="8"/>
  <c r="CI33" i="8"/>
  <c r="CB32" i="8"/>
  <c r="DZ32" i="8" s="1"/>
  <c r="CD32" i="8"/>
  <c r="CC29" i="8"/>
  <c r="DW29" i="8" s="1"/>
  <c r="BQ29" i="8"/>
  <c r="CX29" i="8" s="1"/>
  <c r="DB29" i="8" s="1"/>
  <c r="DJ29" i="8" s="1"/>
  <c r="BV29" i="8"/>
  <c r="CY29" i="8" s="1"/>
  <c r="DC29" i="8" s="1"/>
  <c r="DG29" i="8" s="1"/>
  <c r="BJ29" i="8"/>
  <c r="CG29" i="8"/>
  <c r="CH29" i="8"/>
  <c r="DY29" i="8"/>
  <c r="BZ29" i="8"/>
  <c r="BU29" i="8"/>
  <c r="EF29" i="8"/>
  <c r="BX31" i="8"/>
  <c r="DR31" i="8" s="1"/>
  <c r="BR34" i="8"/>
  <c r="EA21" i="8"/>
  <c r="CD31" i="8"/>
  <c r="CE31" i="8" s="1"/>
  <c r="CB31" i="8"/>
  <c r="DZ31" i="8" s="1"/>
  <c r="DL21" i="8"/>
  <c r="DM21" i="8"/>
  <c r="DF21" i="8"/>
  <c r="DF18" i="8"/>
  <c r="DN18" i="8" s="1"/>
  <c r="DL18" i="8"/>
  <c r="DM18" i="8" s="1"/>
  <c r="CZ21" i="8"/>
  <c r="DD21" i="8" s="1"/>
  <c r="DH21" i="8" s="1"/>
  <c r="CY24" i="8"/>
  <c r="DC24" i="8" s="1"/>
  <c r="DG24" i="8" s="1"/>
  <c r="DF8" i="8"/>
  <c r="DN8" i="8" s="1"/>
  <c r="DM8" i="8"/>
  <c r="DL8" i="8"/>
  <c r="BL5" i="8"/>
  <c r="BK5" i="8"/>
  <c r="BD20" i="8"/>
  <c r="CS20" i="8"/>
  <c r="BK15" i="8"/>
  <c r="BL15" i="8"/>
  <c r="BD14" i="8"/>
  <c r="CS14" i="8"/>
  <c r="EI6" i="8"/>
  <c r="CY9" i="8"/>
  <c r="DC9" i="8" s="1"/>
  <c r="DG9" i="8" s="1"/>
  <c r="CI6" i="8"/>
  <c r="F17" i="5"/>
  <c r="E17" i="5" s="1"/>
  <c r="A9" i="3"/>
  <c r="L8" i="3"/>
  <c r="ET6" i="8"/>
  <c r="L38" i="1"/>
  <c r="J45" i="1"/>
  <c r="O35" i="1"/>
  <c r="L35" i="1"/>
  <c r="J42" i="1"/>
  <c r="EB42" i="8" l="1"/>
  <c r="DN21" i="8"/>
  <c r="CE19" i="8"/>
  <c r="CE14" i="8"/>
  <c r="BB20" i="10"/>
  <c r="DZ42" i="8"/>
  <c r="DZ26" i="8"/>
  <c r="DS6" i="8"/>
  <c r="CE42" i="8"/>
  <c r="CE26" i="8"/>
  <c r="CE6" i="8"/>
  <c r="CL6" i="8" s="1"/>
  <c r="BX17" i="8"/>
  <c r="AS19" i="10"/>
  <c r="CJ25" i="8"/>
  <c r="DA25" i="8" s="1"/>
  <c r="DE25" i="8" s="1"/>
  <c r="DI25" i="8" s="1"/>
  <c r="DV25" i="8" s="1"/>
  <c r="BS25" i="8"/>
  <c r="BB24" i="10"/>
  <c r="BB33" i="10"/>
  <c r="CE32" i="8"/>
  <c r="BX32" i="8"/>
  <c r="DR32" i="8" s="1"/>
  <c r="AS24" i="10"/>
  <c r="CE36" i="8"/>
  <c r="BS21" i="8"/>
  <c r="AS22" i="10"/>
  <c r="AX14" i="10"/>
  <c r="DZ14" i="8"/>
  <c r="CJ37" i="8"/>
  <c r="DA37" i="8" s="1"/>
  <c r="DE37" i="8" s="1"/>
  <c r="DI37" i="8" s="1"/>
  <c r="DV37" i="8" s="1"/>
  <c r="CL16" i="8"/>
  <c r="AW15" i="10"/>
  <c r="AX7" i="10"/>
  <c r="BX14" i="8"/>
  <c r="CL14" i="8" s="1"/>
  <c r="AR10" i="10"/>
  <c r="BS5" i="8"/>
  <c r="CL18" i="8"/>
  <c r="BB23" i="10"/>
  <c r="CJ39" i="8"/>
  <c r="DA39" i="8" s="1"/>
  <c r="DE39" i="8" s="1"/>
  <c r="DI39" i="8" s="1"/>
  <c r="DV39" i="8" s="1"/>
  <c r="BB18" i="10"/>
  <c r="DR18" i="8"/>
  <c r="BS40" i="8"/>
  <c r="AR33" i="10"/>
  <c r="AS33" i="10" s="1"/>
  <c r="EB40" i="8"/>
  <c r="BB19" i="10"/>
  <c r="AW6" i="10"/>
  <c r="AX10" i="10"/>
  <c r="DZ6" i="8"/>
  <c r="AW7" i="10"/>
  <c r="CL12" i="8"/>
  <c r="EB37" i="8"/>
  <c r="ED8" i="8"/>
  <c r="EN8" i="8" s="1"/>
  <c r="AS23" i="10"/>
  <c r="DZ21" i="8"/>
  <c r="DN6" i="8"/>
  <c r="AS21" i="10"/>
  <c r="BX39" i="8"/>
  <c r="CJ40" i="8"/>
  <c r="DA40" i="8" s="1"/>
  <c r="DE40" i="8" s="1"/>
  <c r="DI40" i="8" s="1"/>
  <c r="DV40" i="8" s="1"/>
  <c r="BB25" i="10"/>
  <c r="AW33" i="10"/>
  <c r="CJ6" i="8"/>
  <c r="DA6" i="8" s="1"/>
  <c r="DE6" i="8" s="1"/>
  <c r="DI6" i="8" s="1"/>
  <c r="DV6" i="8" s="1"/>
  <c r="EB21" i="8"/>
  <c r="AR11" i="10"/>
  <c r="BB22" i="10"/>
  <c r="CE21" i="8"/>
  <c r="AW10" i="10"/>
  <c r="CJ9" i="8"/>
  <c r="DA9" i="8" s="1"/>
  <c r="DE9" i="8" s="1"/>
  <c r="DI9" i="8" s="1"/>
  <c r="DV9" i="8" s="1"/>
  <c r="CJ21" i="8"/>
  <c r="DA21" i="8" s="1"/>
  <c r="DE21" i="8" s="1"/>
  <c r="DZ19" i="8"/>
  <c r="BR43" i="8"/>
  <c r="CX43" i="8"/>
  <c r="CY40" i="8"/>
  <c r="BW40" i="8"/>
  <c r="DB17" i="8"/>
  <c r="DJ17" i="8" s="1"/>
  <c r="DR17" i="8" s="1"/>
  <c r="EF17" i="8"/>
  <c r="BR15" i="8"/>
  <c r="BS15" i="8" s="1"/>
  <c r="CX15" i="8"/>
  <c r="DV19" i="8"/>
  <c r="BR11" i="8"/>
  <c r="BS11" i="8" s="1"/>
  <c r="CX11" i="8"/>
  <c r="DC27" i="8"/>
  <c r="EF27" i="8"/>
  <c r="BW27" i="8"/>
  <c r="BX27" i="8" s="1"/>
  <c r="CY17" i="8"/>
  <c r="DC17" i="8" s="1"/>
  <c r="DG17" i="8" s="1"/>
  <c r="CZ11" i="8"/>
  <c r="DD11" i="8" s="1"/>
  <c r="DH11" i="8" s="1"/>
  <c r="CZ15" i="8"/>
  <c r="DD15" i="8" s="1"/>
  <c r="DH15" i="8" s="1"/>
  <c r="EF22" i="8"/>
  <c r="DB37" i="8"/>
  <c r="EF37" i="8"/>
  <c r="CJ26" i="8"/>
  <c r="DA26" i="8" s="1"/>
  <c r="DE26" i="8" s="1"/>
  <c r="DI26" i="8" s="1"/>
  <c r="DB34" i="8"/>
  <c r="EF34" i="8"/>
  <c r="CD43" i="8"/>
  <c r="CB43" i="8"/>
  <c r="EB5" i="8"/>
  <c r="BR7" i="8"/>
  <c r="BS7" i="8" s="1"/>
  <c r="AR7" i="10"/>
  <c r="AS7" i="10" s="1"/>
  <c r="DJ28" i="8"/>
  <c r="DL28" i="8"/>
  <c r="DM28" i="8" s="1"/>
  <c r="DF28" i="8"/>
  <c r="DN28" i="8" s="1"/>
  <c r="EB19" i="8"/>
  <c r="CZ31" i="8"/>
  <c r="DD31" i="8" s="1"/>
  <c r="DH31" i="8" s="1"/>
  <c r="BX6" i="8"/>
  <c r="DR6" i="8" s="1"/>
  <c r="BW29" i="8"/>
  <c r="BX29" i="8" s="1"/>
  <c r="DR29" i="8" s="1"/>
  <c r="DE12" i="8"/>
  <c r="EF12" i="8"/>
  <c r="DB20" i="8"/>
  <c r="DJ20" i="8" s="1"/>
  <c r="EF20" i="8"/>
  <c r="AZ14" i="10"/>
  <c r="AZ11" i="10"/>
  <c r="DS20" i="8"/>
  <c r="BS28" i="8"/>
  <c r="EB30" i="8"/>
  <c r="CI23" i="8"/>
  <c r="CJ23" i="8" s="1"/>
  <c r="DA23" i="8" s="1"/>
  <c r="DE23" i="8" s="1"/>
  <c r="DI23" i="8" s="1"/>
  <c r="DV23" i="8" s="1"/>
  <c r="CX23" i="8"/>
  <c r="BS37" i="8"/>
  <c r="AZ6" i="10"/>
  <c r="CI36" i="8"/>
  <c r="CJ36" i="8" s="1"/>
  <c r="DA36" i="8" s="1"/>
  <c r="DE36" i="8" s="1"/>
  <c r="DI36" i="8" s="1"/>
  <c r="DU36" i="8" s="1"/>
  <c r="DF22" i="8"/>
  <c r="DM22" i="8" s="1"/>
  <c r="DJ13" i="8"/>
  <c r="DS18" i="8"/>
  <c r="CZ22" i="8"/>
  <c r="DD22" i="8" s="1"/>
  <c r="DH22" i="8" s="1"/>
  <c r="EB26" i="8"/>
  <c r="DJ22" i="8"/>
  <c r="DS22" i="8"/>
  <c r="AW32" i="10"/>
  <c r="CZ7" i="8"/>
  <c r="DD7" i="8" s="1"/>
  <c r="DH7" i="8" s="1"/>
  <c r="EA29" i="8"/>
  <c r="EB29" i="8" s="1"/>
  <c r="AX11" i="10"/>
  <c r="CI17" i="8"/>
  <c r="CJ17" i="8" s="1"/>
  <c r="DA17" i="8" s="1"/>
  <c r="DE17" i="8" s="1"/>
  <c r="DI17" i="8" s="1"/>
  <c r="DU17" i="8" s="1"/>
  <c r="BW11" i="8"/>
  <c r="BX11" i="8" s="1"/>
  <c r="BB26" i="10"/>
  <c r="BW5" i="8"/>
  <c r="BX5" i="8" s="1"/>
  <c r="DR5" i="8" s="1"/>
  <c r="BW7" i="8"/>
  <c r="BX7" i="8" s="1"/>
  <c r="DR7" i="8" s="1"/>
  <c r="CX5" i="8"/>
  <c r="DB5" i="8" s="1"/>
  <c r="DB25" i="8"/>
  <c r="DJ25" i="8" s="1"/>
  <c r="EF25" i="8"/>
  <c r="DH33" i="8"/>
  <c r="DJ33" i="8"/>
  <c r="BX19" i="8"/>
  <c r="DB26" i="8"/>
  <c r="EF26" i="8"/>
  <c r="DB42" i="8"/>
  <c r="EF42" i="8"/>
  <c r="CX39" i="8"/>
  <c r="DG30" i="8"/>
  <c r="DJ30" i="8"/>
  <c r="CI5" i="8"/>
  <c r="CJ5" i="8" s="1"/>
  <c r="DA5" i="8" s="1"/>
  <c r="DE5" i="8" s="1"/>
  <c r="DI5" i="8" s="1"/>
  <c r="DV5" i="8" s="1"/>
  <c r="CI7" i="8"/>
  <c r="CJ7" i="8" s="1"/>
  <c r="DA7" i="8" s="1"/>
  <c r="DE7" i="8" s="1"/>
  <c r="DI7" i="8" s="1"/>
  <c r="DU7" i="8" s="1"/>
  <c r="EA13" i="8"/>
  <c r="EB13" i="8" s="1"/>
  <c r="DB38" i="8"/>
  <c r="EF38" i="8"/>
  <c r="DH32" i="8"/>
  <c r="DJ32" i="8"/>
  <c r="DE14" i="8"/>
  <c r="EF14" i="8"/>
  <c r="AR14" i="10"/>
  <c r="CI41" i="8"/>
  <c r="CJ41" i="8" s="1"/>
  <c r="DA41" i="8" s="1"/>
  <c r="DE41" i="8" s="1"/>
  <c r="DI41" i="8" s="1"/>
  <c r="DV41" i="8" s="1"/>
  <c r="CE39" i="8"/>
  <c r="EA36" i="8"/>
  <c r="EB36" i="8" s="1"/>
  <c r="CZ36" i="8"/>
  <c r="DD36" i="8" s="1"/>
  <c r="DH36" i="8" s="1"/>
  <c r="EB22" i="8"/>
  <c r="BR29" i="8"/>
  <c r="BS29" i="8" s="1"/>
  <c r="AW14" i="10"/>
  <c r="EA11" i="8"/>
  <c r="EB11" i="8" s="1"/>
  <c r="CL24" i="8"/>
  <c r="AZ32" i="10"/>
  <c r="BB32" i="10" s="1"/>
  <c r="DZ39" i="8"/>
  <c r="BX9" i="8"/>
  <c r="DR9" i="8" s="1"/>
  <c r="BS9" i="8"/>
  <c r="CJ32" i="8"/>
  <c r="DA32" i="8" s="1"/>
  <c r="DE32" i="8" s="1"/>
  <c r="DI32" i="8" s="1"/>
  <c r="DV32" i="8" s="1"/>
  <c r="AX15" i="10"/>
  <c r="CZ43" i="8"/>
  <c r="DD43" i="8" s="1"/>
  <c r="DH43" i="8" s="1"/>
  <c r="BS19" i="8"/>
  <c r="DF16" i="8"/>
  <c r="DN16" i="8" s="1"/>
  <c r="DL16" i="8"/>
  <c r="DM16" i="8" s="1"/>
  <c r="DJ16" i="8"/>
  <c r="AW11" i="10"/>
  <c r="DZ36" i="8"/>
  <c r="CI11" i="8"/>
  <c r="CJ11" i="8" s="1"/>
  <c r="DA11" i="8" s="1"/>
  <c r="DE11" i="8" s="1"/>
  <c r="DI11" i="8" s="1"/>
  <c r="DV11" i="8" s="1"/>
  <c r="BX30" i="8"/>
  <c r="DR30" i="8" s="1"/>
  <c r="BX15" i="8"/>
  <c r="CD5" i="8"/>
  <c r="CE5" i="8" s="1"/>
  <c r="DB24" i="8"/>
  <c r="EF24" i="8"/>
  <c r="BS26" i="8"/>
  <c r="DB19" i="8"/>
  <c r="EF19" i="8"/>
  <c r="CI22" i="8"/>
  <c r="DV18" i="8"/>
  <c r="DU18" i="8"/>
  <c r="DL17" i="8"/>
  <c r="DS29" i="8"/>
  <c r="DV24" i="8"/>
  <c r="DL29" i="8"/>
  <c r="DF29" i="8"/>
  <c r="DN29" i="8" s="1"/>
  <c r="DL7" i="8"/>
  <c r="DF7" i="8"/>
  <c r="DN7" i="8" s="1"/>
  <c r="DM7" i="8"/>
  <c r="DV43" i="8"/>
  <c r="DL13" i="8"/>
  <c r="DF13" i="8"/>
  <c r="DN13" i="8" s="1"/>
  <c r="DM13" i="8"/>
  <c r="O42" i="1"/>
  <c r="L42" i="1"/>
  <c r="J49" i="1"/>
  <c r="CE25" i="8"/>
  <c r="BD9" i="5"/>
  <c r="BX25" i="8"/>
  <c r="DR25" i="8" s="1"/>
  <c r="CE20" i="8"/>
  <c r="BW23" i="8"/>
  <c r="BX23" i="8" s="1"/>
  <c r="DZ35" i="8"/>
  <c r="AZ10" i="10"/>
  <c r="CB9" i="8"/>
  <c r="DZ9" i="8" s="1"/>
  <c r="CD9" i="8"/>
  <c r="CE9" i="8" s="1"/>
  <c r="DM5" i="8"/>
  <c r="DL5" i="8"/>
  <c r="DF5" i="8"/>
  <c r="DN5" i="8" s="1"/>
  <c r="EA9" i="8"/>
  <c r="EB9" i="8" s="1"/>
  <c r="DZ20" i="8"/>
  <c r="BS32" i="8"/>
  <c r="DZ28" i="8"/>
  <c r="CX41" i="8"/>
  <c r="CX27" i="8"/>
  <c r="DB27" i="8" s="1"/>
  <c r="J58" i="1"/>
  <c r="L51" i="1"/>
  <c r="DZ5" i="8"/>
  <c r="EB32" i="8"/>
  <c r="EB25" i="8"/>
  <c r="BB28" i="10"/>
  <c r="DN33" i="8"/>
  <c r="DS33" i="8"/>
  <c r="EA23" i="8"/>
  <c r="EB23" i="8" s="1"/>
  <c r="R88" i="13"/>
  <c r="Q90" i="13"/>
  <c r="CJ33" i="8"/>
  <c r="DA33" i="8" s="1"/>
  <c r="DE33" i="8" s="1"/>
  <c r="DI33" i="8" s="1"/>
  <c r="DO35" i="8"/>
  <c r="DP35" i="8"/>
  <c r="DZ30" i="8"/>
  <c r="CE35" i="8"/>
  <c r="DS5" i="8"/>
  <c r="CZ9" i="8"/>
  <c r="DD9" i="8" s="1"/>
  <c r="DH9" i="8" s="1"/>
  <c r="CE28" i="8"/>
  <c r="L25" i="18"/>
  <c r="H26" i="18"/>
  <c r="AZ15" i="10"/>
  <c r="DU13" i="8"/>
  <c r="DV13" i="8"/>
  <c r="BX34" i="8"/>
  <c r="BX33" i="8"/>
  <c r="DR33" i="8" s="1"/>
  <c r="EB28" i="8"/>
  <c r="DZ27" i="8"/>
  <c r="CD11" i="8"/>
  <c r="CE11" i="8" s="1"/>
  <c r="O25" i="18"/>
  <c r="N26" i="18"/>
  <c r="ER9" i="8"/>
  <c r="CZ23" i="8"/>
  <c r="DD23" i="8" s="1"/>
  <c r="DH23" i="8" s="1"/>
  <c r="DZ23" i="8"/>
  <c r="O8" i="3"/>
  <c r="N8" i="3"/>
  <c r="M8" i="3"/>
  <c r="DZ25" i="8"/>
  <c r="EU7" i="8"/>
  <c r="DF12" i="8"/>
  <c r="DN12" i="8" s="1"/>
  <c r="DM12" i="8"/>
  <c r="DL12" i="8"/>
  <c r="CJ20" i="8"/>
  <c r="DA20" i="8" s="1"/>
  <c r="DE20" i="8" s="1"/>
  <c r="DI20" i="8" s="1"/>
  <c r="BX20" i="8"/>
  <c r="DR20" i="8" s="1"/>
  <c r="EA27" i="8"/>
  <c r="EB27" i="8" s="1"/>
  <c r="EB38" i="8"/>
  <c r="EB17" i="8"/>
  <c r="CL7" i="8"/>
  <c r="ER5" i="8"/>
  <c r="EA10" i="8"/>
  <c r="EB10" i="8" s="1"/>
  <c r="DS36" i="8"/>
  <c r="BS22" i="8"/>
  <c r="BR36" i="8"/>
  <c r="BS36" i="8" s="1"/>
  <c r="EB39" i="8"/>
  <c r="DS30" i="8"/>
  <c r="CI27" i="8"/>
  <c r="CJ27" i="8" s="1"/>
  <c r="DA27" i="8" s="1"/>
  <c r="DE27" i="8" s="1"/>
  <c r="DI27" i="8" s="1"/>
  <c r="EB43" i="8"/>
  <c r="BX43" i="8"/>
  <c r="BS43" i="8"/>
  <c r="DZ43" i="8"/>
  <c r="CE43" i="8"/>
  <c r="L39" i="1"/>
  <c r="J46" i="1"/>
  <c r="BW10" i="8"/>
  <c r="BX10" i="8" s="1"/>
  <c r="CL10" i="8" s="1"/>
  <c r="CE30" i="8"/>
  <c r="CE38" i="8"/>
  <c r="AR32" i="10"/>
  <c r="AS32" i="10" s="1"/>
  <c r="J55" i="1"/>
  <c r="L48" i="1"/>
  <c r="BX28" i="8"/>
  <c r="DR28" i="8" s="1"/>
  <c r="R58" i="13"/>
  <c r="Q60" i="13"/>
  <c r="AZ7" i="10"/>
  <c r="CI15" i="8"/>
  <c r="CJ15" i="8" s="1"/>
  <c r="DA15" i="8" s="1"/>
  <c r="DE15" i="8" s="1"/>
  <c r="DI15" i="8" s="1"/>
  <c r="DO6" i="8"/>
  <c r="DP6" i="8"/>
  <c r="CD27" i="8"/>
  <c r="CE27" i="8" s="1"/>
  <c r="DP33" i="8"/>
  <c r="DO33" i="8"/>
  <c r="BS20" i="8"/>
  <c r="DZ11" i="8"/>
  <c r="DS7" i="8"/>
  <c r="DS9" i="8"/>
  <c r="DO8" i="8"/>
  <c r="DP8" i="8"/>
  <c r="BB27" i="10"/>
  <c r="BB29" i="10"/>
  <c r="DS10" i="8"/>
  <c r="CD23" i="8"/>
  <c r="CE23" i="8" s="1"/>
  <c r="CL5" i="8"/>
  <c r="CJ34" i="8"/>
  <c r="DA34" i="8" s="1"/>
  <c r="DE34" i="8" s="1"/>
  <c r="DI34" i="8" s="1"/>
  <c r="BX40" i="8"/>
  <c r="CB7" i="8"/>
  <c r="DZ7" i="8" s="1"/>
  <c r="CD7" i="8"/>
  <c r="CE7" i="8" s="1"/>
  <c r="DZ33" i="8"/>
  <c r="Q14" i="13"/>
  <c r="I28" i="18"/>
  <c r="K27" i="18"/>
  <c r="CX10" i="8"/>
  <c r="DB10" i="8" s="1"/>
  <c r="CD17" i="8"/>
  <c r="CE17" i="8" s="1"/>
  <c r="EA15" i="8"/>
  <c r="EB15" i="8" s="1"/>
  <c r="DZ22" i="8"/>
  <c r="EB34" i="8"/>
  <c r="EB35" i="8"/>
  <c r="BS38" i="8"/>
  <c r="BX35" i="8"/>
  <c r="DR35" i="8" s="1"/>
  <c r="CJ35" i="8"/>
  <c r="DA35" i="8" s="1"/>
  <c r="DE35" i="8" s="1"/>
  <c r="DI35" i="8" s="1"/>
  <c r="BS35" i="8"/>
  <c r="DN35" i="8"/>
  <c r="CB15" i="8"/>
  <c r="DZ15" i="8" s="1"/>
  <c r="CD15" i="8"/>
  <c r="CE15" i="8" s="1"/>
  <c r="CJ22" i="8"/>
  <c r="DA22" i="8" s="1"/>
  <c r="DE22" i="8" s="1"/>
  <c r="DI22" i="8" s="1"/>
  <c r="BX22" i="8"/>
  <c r="DR22" i="8" s="1"/>
  <c r="CI29" i="8"/>
  <c r="CJ29" i="8" s="1"/>
  <c r="DA29" i="8" s="1"/>
  <c r="DE29" i="8" s="1"/>
  <c r="DI29" i="8" s="1"/>
  <c r="D17" i="5"/>
  <c r="T17" i="5"/>
  <c r="ET10" i="8"/>
  <c r="DZ37" i="8"/>
  <c r="ER7" i="8"/>
  <c r="DN22" i="8"/>
  <c r="CE33" i="8"/>
  <c r="DP30" i="8"/>
  <c r="DO30" i="8"/>
  <c r="AR15" i="10"/>
  <c r="ET9" i="8"/>
  <c r="DS13" i="8"/>
  <c r="DR13" i="8"/>
  <c r="DZ17" i="8"/>
  <c r="DL25" i="8"/>
  <c r="DF25" i="8"/>
  <c r="DN25" i="8" s="1"/>
  <c r="EC8" i="8"/>
  <c r="EM8" i="8" s="1"/>
  <c r="EQ8" i="8" s="1"/>
  <c r="ES8" i="8" s="1"/>
  <c r="EV8" i="8" s="1"/>
  <c r="DL20" i="8"/>
  <c r="DM20" i="8" s="1"/>
  <c r="DF20" i="8"/>
  <c r="DN20" i="8" s="1"/>
  <c r="CE22" i="8"/>
  <c r="BS39" i="8"/>
  <c r="DZ40" i="8"/>
  <c r="CJ28" i="8"/>
  <c r="DA28" i="8" s="1"/>
  <c r="DE28" i="8" s="1"/>
  <c r="DI28" i="8" s="1"/>
  <c r="DF14" i="8"/>
  <c r="DN14" i="8" s="1"/>
  <c r="DM14" i="8"/>
  <c r="DL14" i="8"/>
  <c r="DS35" i="8"/>
  <c r="CB13" i="8"/>
  <c r="DZ13" i="8" s="1"/>
  <c r="CD13" i="8"/>
  <c r="CE13" i="8" s="1"/>
  <c r="CL13" i="8" s="1"/>
  <c r="L9" i="3"/>
  <c r="F18" i="5"/>
  <c r="E18" i="5" s="1"/>
  <c r="A10" i="3"/>
  <c r="DP21" i="8"/>
  <c r="DO21" i="8"/>
  <c r="L45" i="1"/>
  <c r="J52" i="1"/>
  <c r="DO18" i="8"/>
  <c r="DP18" i="8"/>
  <c r="EB20" i="8"/>
  <c r="U36" i="18"/>
  <c r="V36" i="18" s="1"/>
  <c r="W36" i="18" s="1"/>
  <c r="T37" i="18"/>
  <c r="CL31" i="8"/>
  <c r="DZ38" i="8"/>
  <c r="R28" i="13"/>
  <c r="Q30" i="13"/>
  <c r="DF36" i="8"/>
  <c r="DN36" i="8" s="1"/>
  <c r="DL36" i="8"/>
  <c r="BS34" i="8"/>
  <c r="CB29" i="8"/>
  <c r="DZ29" i="8" s="1"/>
  <c r="CD29" i="8"/>
  <c r="CE29" i="8" s="1"/>
  <c r="CE34" i="8"/>
  <c r="DP31" i="8"/>
  <c r="DO31" i="8"/>
  <c r="CZ27" i="8"/>
  <c r="DD27" i="8" s="1"/>
  <c r="DH27" i="8" s="1"/>
  <c r="DS17" i="8"/>
  <c r="ET5" i="8"/>
  <c r="BR17" i="8"/>
  <c r="BS17" i="8" s="1"/>
  <c r="CX40" i="8"/>
  <c r="DB40" i="8" s="1"/>
  <c r="EU6" i="8"/>
  <c r="CZ29" i="8"/>
  <c r="DD29" i="8" s="1"/>
  <c r="DH29" i="8" s="1"/>
  <c r="CJ38" i="8"/>
  <c r="DA38" i="8" s="1"/>
  <c r="DE38" i="8" s="1"/>
  <c r="DI38" i="8" s="1"/>
  <c r="R72" i="13"/>
  <c r="Q74" i="13"/>
  <c r="DZ34" i="8"/>
  <c r="EB33" i="8"/>
  <c r="CI10" i="8"/>
  <c r="CJ10" i="8" s="1"/>
  <c r="DA10" i="8" s="1"/>
  <c r="DE10" i="8" s="1"/>
  <c r="DI10" i="8" s="1"/>
  <c r="CE37" i="8"/>
  <c r="CD41" i="8"/>
  <c r="CE41" i="8" s="1"/>
  <c r="CB41" i="8"/>
  <c r="DZ41" i="8" s="1"/>
  <c r="R40" i="13"/>
  <c r="Q42" i="13"/>
  <c r="BW36" i="8"/>
  <c r="BX36" i="8" s="1"/>
  <c r="DR36" i="8" s="1"/>
  <c r="E12" i="16"/>
  <c r="G11" i="16"/>
  <c r="H11" i="16" s="1"/>
  <c r="O43" i="1"/>
  <c r="J50" i="1"/>
  <c r="L43" i="1"/>
  <c r="CL9" i="8"/>
  <c r="DU31" i="8"/>
  <c r="DV31" i="8"/>
  <c r="DN30" i="8"/>
  <c r="CZ41" i="8"/>
  <c r="DD41" i="8" s="1"/>
  <c r="DH41" i="8" s="1"/>
  <c r="N33" i="1"/>
  <c r="M33" i="1"/>
  <c r="J40" i="1"/>
  <c r="L33" i="1"/>
  <c r="CX9" i="8"/>
  <c r="DB9" i="8" s="1"/>
  <c r="CJ30" i="8"/>
  <c r="DA30" i="8" s="1"/>
  <c r="DE30" i="8" s="1"/>
  <c r="DI30" i="8" s="1"/>
  <c r="CD40" i="8"/>
  <c r="CE40" i="8" s="1"/>
  <c r="CJ42" i="8"/>
  <c r="DA42" i="8" s="1"/>
  <c r="DE42" i="8" s="1"/>
  <c r="DI42" i="8" s="1"/>
  <c r="DU25" i="8" l="1"/>
  <c r="DV36" i="8"/>
  <c r="CL37" i="8"/>
  <c r="DU5" i="8"/>
  <c r="EC5" i="8" s="1"/>
  <c r="EM5" i="8" s="1"/>
  <c r="EQ5" i="8" s="1"/>
  <c r="ES5" i="8" s="1"/>
  <c r="EV5" i="8" s="1"/>
  <c r="ED6" i="8"/>
  <c r="EN6" i="8" s="1"/>
  <c r="AS11" i="10"/>
  <c r="AS12" i="10"/>
  <c r="CL21" i="8"/>
  <c r="BB14" i="10"/>
  <c r="BB12" i="10"/>
  <c r="AS10" i="10"/>
  <c r="EC18" i="8"/>
  <c r="EM18" i="8" s="1"/>
  <c r="EQ18" i="8" s="1"/>
  <c r="BB8" i="10"/>
  <c r="DU32" i="8"/>
  <c r="EC32" i="8" s="1"/>
  <c r="EM32" i="8" s="1"/>
  <c r="EQ32" i="8" s="1"/>
  <c r="CL25" i="8"/>
  <c r="CL29" i="8"/>
  <c r="BB9" i="10"/>
  <c r="EF21" i="8"/>
  <c r="CL11" i="8"/>
  <c r="CL41" i="8"/>
  <c r="DU6" i="8"/>
  <c r="EC6" i="8" s="1"/>
  <c r="EM6" i="8" s="1"/>
  <c r="EQ6" i="8" s="1"/>
  <c r="ES6" i="8" s="1"/>
  <c r="EV6" i="8" s="1"/>
  <c r="CL19" i="8"/>
  <c r="ED18" i="8"/>
  <c r="ET18" i="8" s="1"/>
  <c r="EU18" i="8" s="1"/>
  <c r="ED13" i="8"/>
  <c r="EN13" i="8" s="1"/>
  <c r="BB30" i="10"/>
  <c r="CL26" i="8"/>
  <c r="BB31" i="10"/>
  <c r="DU9" i="8"/>
  <c r="ED36" i="8"/>
  <c r="EN36" i="8" s="1"/>
  <c r="DV7" i="8"/>
  <c r="ED7" i="8" s="1"/>
  <c r="EN7" i="8" s="1"/>
  <c r="CL39" i="8"/>
  <c r="CL15" i="8"/>
  <c r="CL32" i="8"/>
  <c r="DO16" i="8"/>
  <c r="DP16" i="8"/>
  <c r="DP22" i="8"/>
  <c r="DO22" i="8"/>
  <c r="DJ19" i="8"/>
  <c r="DL19" i="8"/>
  <c r="DM19" i="8" s="1"/>
  <c r="DF19" i="8"/>
  <c r="DN19" i="8" s="1"/>
  <c r="DB39" i="8"/>
  <c r="EF39" i="8"/>
  <c r="DP28" i="8"/>
  <c r="DO28" i="8"/>
  <c r="DG27" i="8"/>
  <c r="DJ27" i="8"/>
  <c r="DB41" i="8"/>
  <c r="DJ41" i="8" s="1"/>
  <c r="EF41" i="8"/>
  <c r="BB15" i="10"/>
  <c r="DB23" i="8"/>
  <c r="EF23" i="8"/>
  <c r="DB11" i="8"/>
  <c r="EF11" i="8"/>
  <c r="EN18" i="8"/>
  <c r="DF17" i="8"/>
  <c r="DN17" i="8" s="1"/>
  <c r="DJ38" i="8"/>
  <c r="DF38" i="8"/>
  <c r="DN38" i="8" s="1"/>
  <c r="DL38" i="8"/>
  <c r="DJ42" i="8"/>
  <c r="DF42" i="8"/>
  <c r="DN42" i="8" s="1"/>
  <c r="DL42" i="8"/>
  <c r="DJ24" i="8"/>
  <c r="DL24" i="8"/>
  <c r="DM24" i="8" s="1"/>
  <c r="DF24" i="8"/>
  <c r="DN24" i="8" s="1"/>
  <c r="AS16" i="10"/>
  <c r="AS14" i="10"/>
  <c r="DI12" i="8"/>
  <c r="DJ12" i="8"/>
  <c r="DS28" i="8"/>
  <c r="DC40" i="8"/>
  <c r="EF40" i="8"/>
  <c r="CL42" i="8"/>
  <c r="DM25" i="8"/>
  <c r="DO25" i="8" s="1"/>
  <c r="BB7" i="10"/>
  <c r="DM29" i="8"/>
  <c r="DV17" i="8"/>
  <c r="DR16" i="8"/>
  <c r="DU16" i="8"/>
  <c r="DS16" i="8"/>
  <c r="ED16" i="8" s="1"/>
  <c r="EN16" i="8" s="1"/>
  <c r="DJ26" i="8"/>
  <c r="DF26" i="8"/>
  <c r="DN26" i="8" s="1"/>
  <c r="DL26" i="8"/>
  <c r="DS25" i="8"/>
  <c r="ED25" i="8" s="1"/>
  <c r="EN25" i="8" s="1"/>
  <c r="DJ34" i="8"/>
  <c r="DF34" i="8"/>
  <c r="DN34" i="8" s="1"/>
  <c r="DL34" i="8"/>
  <c r="CL40" i="8"/>
  <c r="CL38" i="8"/>
  <c r="CL20" i="8"/>
  <c r="CL30" i="8"/>
  <c r="DI21" i="8"/>
  <c r="DJ21" i="8"/>
  <c r="DV26" i="8"/>
  <c r="DB15" i="8"/>
  <c r="EF15" i="8"/>
  <c r="DB43" i="8"/>
  <c r="EF43" i="8"/>
  <c r="ED31" i="8"/>
  <c r="DR34" i="8"/>
  <c r="ED5" i="8"/>
  <c r="EN5" i="8" s="1"/>
  <c r="DI14" i="8"/>
  <c r="DJ14" i="8"/>
  <c r="EC7" i="8"/>
  <c r="EM7" i="8" s="1"/>
  <c r="EQ7" i="8" s="1"/>
  <c r="ES7" i="8" s="1"/>
  <c r="EV7" i="8" s="1"/>
  <c r="FA7" i="8" s="1"/>
  <c r="CL17" i="8"/>
  <c r="CL28" i="8"/>
  <c r="DM36" i="8"/>
  <c r="DP36" i="8" s="1"/>
  <c r="CL43" i="8"/>
  <c r="CL36" i="8"/>
  <c r="CL23" i="8"/>
  <c r="DS32" i="8"/>
  <c r="ED32" i="8" s="1"/>
  <c r="DL37" i="8"/>
  <c r="DM37" i="8" s="1"/>
  <c r="DF37" i="8"/>
  <c r="DN37" i="8" s="1"/>
  <c r="DJ37" i="8"/>
  <c r="U37" i="18"/>
  <c r="V37" i="18" s="1"/>
  <c r="W37" i="18" s="1"/>
  <c r="T38" i="18"/>
  <c r="DO20" i="8"/>
  <c r="DP20" i="8"/>
  <c r="EU9" i="8"/>
  <c r="DV29" i="8"/>
  <c r="ED29" i="8" s="1"/>
  <c r="DU29" i="8"/>
  <c r="DU35" i="8"/>
  <c r="DV35" i="8"/>
  <c r="DF10" i="8"/>
  <c r="DN10" i="8" s="1"/>
  <c r="DL10" i="8"/>
  <c r="DM10" i="8"/>
  <c r="DU34" i="8"/>
  <c r="DV34" i="8"/>
  <c r="J56" i="1"/>
  <c r="O49" i="1"/>
  <c r="L49" i="1"/>
  <c r="J62" i="1"/>
  <c r="L55" i="1"/>
  <c r="EC13" i="8"/>
  <c r="EM13" i="8" s="1"/>
  <c r="EQ13" i="8" s="1"/>
  <c r="A11" i="3"/>
  <c r="F19" i="5"/>
  <c r="E19" i="5" s="1"/>
  <c r="L10" i="3"/>
  <c r="DU28" i="8"/>
  <c r="EC28" i="8" s="1"/>
  <c r="EM28" i="8" s="1"/>
  <c r="EQ28" i="8" s="1"/>
  <c r="DV28" i="8"/>
  <c r="I29" i="18"/>
  <c r="K28" i="18"/>
  <c r="DV15" i="8"/>
  <c r="J53" i="1"/>
  <c r="L46" i="1"/>
  <c r="CL22" i="8"/>
  <c r="DU33" i="8"/>
  <c r="EC33" i="8" s="1"/>
  <c r="EM33" i="8" s="1"/>
  <c r="EQ33" i="8" s="1"/>
  <c r="DV33" i="8"/>
  <c r="DO5" i="8"/>
  <c r="DP5" i="8"/>
  <c r="BB16" i="10"/>
  <c r="EC31" i="8"/>
  <c r="DF9" i="8"/>
  <c r="DN9" i="8" s="1"/>
  <c r="ED9" i="8" s="1"/>
  <c r="EN9" i="8" s="1"/>
  <c r="DM9" i="8"/>
  <c r="DL9" i="8"/>
  <c r="R29" i="13"/>
  <c r="Q31" i="13"/>
  <c r="DU22" i="8"/>
  <c r="DV22" i="8"/>
  <c r="R13" i="13"/>
  <c r="Q15" i="13"/>
  <c r="DO12" i="8"/>
  <c r="DP12" i="8"/>
  <c r="L26" i="18"/>
  <c r="H27" i="18"/>
  <c r="DL41" i="8"/>
  <c r="DF41" i="8"/>
  <c r="DN41" i="8" s="1"/>
  <c r="BB11" i="10"/>
  <c r="BB13" i="10"/>
  <c r="R73" i="13"/>
  <c r="Q75" i="13"/>
  <c r="N9" i="3"/>
  <c r="M9" i="3"/>
  <c r="O9" i="3"/>
  <c r="DU27" i="8"/>
  <c r="DV27" i="8"/>
  <c r="BB6" i="10"/>
  <c r="BB17" i="10"/>
  <c r="AS17" i="10"/>
  <c r="AS15" i="10"/>
  <c r="L50" i="1"/>
  <c r="J57" i="1"/>
  <c r="O50" i="1"/>
  <c r="R41" i="13"/>
  <c r="Q43" i="13"/>
  <c r="DM40" i="8"/>
  <c r="DF40" i="8"/>
  <c r="DN40" i="8" s="1"/>
  <c r="DL40" i="8"/>
  <c r="J59" i="1"/>
  <c r="L52" i="1"/>
  <c r="DO14" i="8"/>
  <c r="DP14" i="8"/>
  <c r="EU10" i="8"/>
  <c r="R59" i="13"/>
  <c r="Q61" i="13"/>
  <c r="R89" i="13"/>
  <c r="Q91" i="13"/>
  <c r="CL33" i="8"/>
  <c r="DV38" i="8"/>
  <c r="DU38" i="8"/>
  <c r="DR10" i="8"/>
  <c r="J65" i="1"/>
  <c r="L58" i="1"/>
  <c r="BF9" i="5"/>
  <c r="BE9" i="5" s="1"/>
  <c r="BD10" i="5"/>
  <c r="DO13" i="8"/>
  <c r="DP13" i="8"/>
  <c r="E13" i="16"/>
  <c r="G12" i="16"/>
  <c r="H12" i="16" s="1"/>
  <c r="EY8" i="8"/>
  <c r="FB8" i="8"/>
  <c r="FA8" i="8"/>
  <c r="EX8" i="8"/>
  <c r="BF8" i="8"/>
  <c r="BG8" i="8" s="1"/>
  <c r="T18" i="5"/>
  <c r="D18" i="5"/>
  <c r="L40" i="1"/>
  <c r="J47" i="1"/>
  <c r="N40" i="1"/>
  <c r="M40" i="1"/>
  <c r="DU42" i="8"/>
  <c r="DV42" i="8"/>
  <c r="DU10" i="8"/>
  <c r="DV10" i="8"/>
  <c r="DU30" i="8"/>
  <c r="DV30" i="8"/>
  <c r="ED30" i="8" s="1"/>
  <c r="BB10" i="10"/>
  <c r="EU5" i="8"/>
  <c r="CL34" i="8"/>
  <c r="CL27" i="8"/>
  <c r="CL35" i="8"/>
  <c r="DU20" i="8"/>
  <c r="EC20" i="8" s="1"/>
  <c r="DV20" i="8"/>
  <c r="ED20" i="8" s="1"/>
  <c r="O26" i="18"/>
  <c r="N27" i="18"/>
  <c r="DL27" i="8"/>
  <c r="DM27" i="8"/>
  <c r="DF27" i="8"/>
  <c r="DN27" i="8" s="1"/>
  <c r="DP7" i="8"/>
  <c r="DO7" i="8"/>
  <c r="ER18" i="8" l="1"/>
  <c r="ES18" i="8" s="1"/>
  <c r="EV18" i="8" s="1"/>
  <c r="ED35" i="8"/>
  <c r="ET35" i="8" s="1"/>
  <c r="EU35" i="8" s="1"/>
  <c r="FB6" i="8"/>
  <c r="BF6" i="8"/>
  <c r="BG6" i="8" s="1"/>
  <c r="EY6" i="8"/>
  <c r="FA6" i="8"/>
  <c r="EX6" i="8"/>
  <c r="EC25" i="8"/>
  <c r="EM25" i="8" s="1"/>
  <c r="EQ25" i="8" s="1"/>
  <c r="DP25" i="8"/>
  <c r="EX7" i="8"/>
  <c r="EY7" i="8"/>
  <c r="EC29" i="8"/>
  <c r="EM29" i="8" s="1"/>
  <c r="EQ29" i="8" s="1"/>
  <c r="ET13" i="8"/>
  <c r="EU13" i="8" s="1"/>
  <c r="EN32" i="8"/>
  <c r="ET32" i="8"/>
  <c r="EU32" i="8" s="1"/>
  <c r="EC16" i="8"/>
  <c r="ER16" i="8" s="1"/>
  <c r="DP29" i="8"/>
  <c r="DO29" i="8"/>
  <c r="EC22" i="8"/>
  <c r="ET36" i="8"/>
  <c r="EU36" i="8" s="1"/>
  <c r="EM20" i="8"/>
  <c r="EQ20" i="8" s="1"/>
  <c r="ER20" i="8"/>
  <c r="EN20" i="8"/>
  <c r="ET20" i="8"/>
  <c r="EU20" i="8" s="1"/>
  <c r="EN29" i="8"/>
  <c r="ET29" i="8"/>
  <c r="EN30" i="8"/>
  <c r="ET30" i="8"/>
  <c r="EU30" i="8" s="1"/>
  <c r="DO37" i="8"/>
  <c r="DP37" i="8"/>
  <c r="DR21" i="8"/>
  <c r="DS21" i="8"/>
  <c r="EM31" i="8"/>
  <c r="EQ31" i="8" s="1"/>
  <c r="ER31" i="8"/>
  <c r="ED10" i="8"/>
  <c r="EN10" i="8" s="1"/>
  <c r="FB7" i="8"/>
  <c r="ER32" i="8"/>
  <c r="ES32" i="8" s="1"/>
  <c r="ED28" i="8"/>
  <c r="EN31" i="8"/>
  <c r="ET31" i="8"/>
  <c r="EU31" i="8" s="1"/>
  <c r="DV21" i="8"/>
  <c r="DU21" i="8"/>
  <c r="DS34" i="8"/>
  <c r="ED34" i="8" s="1"/>
  <c r="EN34" i="8" s="1"/>
  <c r="DU12" i="8"/>
  <c r="DV12" i="8"/>
  <c r="DR42" i="8"/>
  <c r="DS42" i="8"/>
  <c r="ED42" i="8" s="1"/>
  <c r="ER25" i="8"/>
  <c r="ES25" i="8" s="1"/>
  <c r="DR19" i="8"/>
  <c r="DS19" i="8"/>
  <c r="ED19" i="8" s="1"/>
  <c r="EN19" i="8" s="1"/>
  <c r="DU19" i="8"/>
  <c r="BF7" i="8"/>
  <c r="BG7" i="8" s="1"/>
  <c r="ER33" i="8"/>
  <c r="EC30" i="8"/>
  <c r="ER13" i="8"/>
  <c r="ES13" i="8" s="1"/>
  <c r="DM38" i="8"/>
  <c r="ET25" i="8"/>
  <c r="EU25" i="8" s="1"/>
  <c r="DS12" i="8"/>
  <c r="DR12" i="8"/>
  <c r="DR24" i="8"/>
  <c r="DS24" i="8"/>
  <c r="ED24" i="8" s="1"/>
  <c r="EN24" i="8" s="1"/>
  <c r="DU24" i="8"/>
  <c r="DJ23" i="8"/>
  <c r="DF23" i="8"/>
  <c r="DN23" i="8" s="1"/>
  <c r="DL23" i="8"/>
  <c r="DM23" i="8" s="1"/>
  <c r="DR27" i="8"/>
  <c r="EC27" i="8" s="1"/>
  <c r="EM27" i="8" s="1"/>
  <c r="EQ27" i="8" s="1"/>
  <c r="DS27" i="8"/>
  <c r="ED27" i="8" s="1"/>
  <c r="ES33" i="8"/>
  <c r="EC36" i="8"/>
  <c r="ED33" i="8"/>
  <c r="DM41" i="8"/>
  <c r="DP41" i="8" s="1"/>
  <c r="DO36" i="8"/>
  <c r="DF43" i="8"/>
  <c r="DN43" i="8" s="1"/>
  <c r="DL43" i="8"/>
  <c r="DJ43" i="8"/>
  <c r="DM17" i="8"/>
  <c r="DG40" i="8"/>
  <c r="DJ40" i="8"/>
  <c r="DJ11" i="8"/>
  <c r="DF11" i="8"/>
  <c r="DN11" i="8" s="1"/>
  <c r="DL11" i="8"/>
  <c r="DJ39" i="8"/>
  <c r="DL39" i="8"/>
  <c r="DM39" i="8" s="1"/>
  <c r="DF39" i="8"/>
  <c r="DN39" i="8" s="1"/>
  <c r="EZ8" i="8"/>
  <c r="DS14" i="8"/>
  <c r="DR14" i="8"/>
  <c r="DJ15" i="8"/>
  <c r="DF15" i="8"/>
  <c r="DN15" i="8" s="1"/>
  <c r="DL15" i="8"/>
  <c r="DM15" i="8" s="1"/>
  <c r="DM26" i="8"/>
  <c r="ER28" i="8"/>
  <c r="ES28" i="8" s="1"/>
  <c r="DR38" i="8"/>
  <c r="DS38" i="8"/>
  <c r="ED38" i="8" s="1"/>
  <c r="EN38" i="8" s="1"/>
  <c r="DS37" i="8"/>
  <c r="ED37" i="8" s="1"/>
  <c r="EN37" i="8" s="1"/>
  <c r="DR37" i="8"/>
  <c r="DU37" i="8"/>
  <c r="DU14" i="8"/>
  <c r="DV14" i="8"/>
  <c r="DR26" i="8"/>
  <c r="DS26" i="8"/>
  <c r="ED26" i="8" s="1"/>
  <c r="DO24" i="8"/>
  <c r="DP24" i="8"/>
  <c r="DM42" i="8"/>
  <c r="DR41" i="8"/>
  <c r="DS41" i="8"/>
  <c r="ED41" i="8" s="1"/>
  <c r="DU41" i="8"/>
  <c r="DP19" i="8"/>
  <c r="DO19" i="8"/>
  <c r="DU26" i="8"/>
  <c r="DM34" i="8"/>
  <c r="EC34" i="8" s="1"/>
  <c r="EM34" i="8" s="1"/>
  <c r="EQ34" i="8" s="1"/>
  <c r="ET16" i="8"/>
  <c r="EU16" i="8" s="1"/>
  <c r="ED17" i="8"/>
  <c r="J63" i="1"/>
  <c r="O56" i="1"/>
  <c r="L56" i="1"/>
  <c r="ED22" i="8"/>
  <c r="J60" i="1"/>
  <c r="L53" i="1"/>
  <c r="O10" i="3"/>
  <c r="N10" i="3"/>
  <c r="M10" i="3"/>
  <c r="U38" i="18"/>
  <c r="V38" i="18" s="1"/>
  <c r="W38" i="18" s="1"/>
  <c r="T39" i="18"/>
  <c r="L27" i="18"/>
  <c r="H28" i="18"/>
  <c r="R30" i="13"/>
  <c r="Q32" i="13"/>
  <c r="T19" i="5"/>
  <c r="D19" i="5"/>
  <c r="M47" i="1"/>
  <c r="J54" i="1"/>
  <c r="N47" i="1"/>
  <c r="L47" i="1"/>
  <c r="L11" i="3"/>
  <c r="F20" i="5"/>
  <c r="E20" i="5" s="1"/>
  <c r="A12" i="3"/>
  <c r="BF10" i="5"/>
  <c r="BE10" i="5" s="1"/>
  <c r="BD11" i="5"/>
  <c r="R60" i="13"/>
  <c r="Q62" i="13"/>
  <c r="J66" i="1"/>
  <c r="L59" i="1"/>
  <c r="O57" i="1"/>
  <c r="L57" i="1"/>
  <c r="J64" i="1"/>
  <c r="DP27" i="8"/>
  <c r="DO27" i="8"/>
  <c r="R74" i="13"/>
  <c r="Q76" i="13"/>
  <c r="FB5" i="8"/>
  <c r="FA5" i="8"/>
  <c r="EY5" i="8"/>
  <c r="EX5" i="8"/>
  <c r="BF5" i="8"/>
  <c r="BG5" i="8" s="1"/>
  <c r="G13" i="16"/>
  <c r="H13" i="16" s="1"/>
  <c r="E14" i="16"/>
  <c r="DO40" i="8"/>
  <c r="DP40" i="8"/>
  <c r="R14" i="13"/>
  <c r="Q16" i="13"/>
  <c r="N28" i="18"/>
  <c r="O27" i="18"/>
  <c r="R42" i="13"/>
  <c r="Q44" i="13"/>
  <c r="DP9" i="8"/>
  <c r="DO9" i="8"/>
  <c r="EC9" i="8"/>
  <c r="EM9" i="8" s="1"/>
  <c r="EQ9" i="8" s="1"/>
  <c r="ES9" i="8" s="1"/>
  <c r="EV9" i="8" s="1"/>
  <c r="I30" i="18"/>
  <c r="K29" i="18"/>
  <c r="L62" i="1"/>
  <c r="J69" i="1"/>
  <c r="EC35" i="8"/>
  <c r="J72" i="1"/>
  <c r="L65" i="1"/>
  <c r="R90" i="13"/>
  <c r="Q92" i="13"/>
  <c r="DO10" i="8"/>
  <c r="DP10" i="8"/>
  <c r="EC10" i="8"/>
  <c r="EM10" i="8" s="1"/>
  <c r="EQ10" i="8" s="1"/>
  <c r="ES10" i="8" s="1"/>
  <c r="EV10" i="8" s="1"/>
  <c r="EV13" i="8" l="1"/>
  <c r="EN35" i="8"/>
  <c r="EZ6" i="8"/>
  <c r="ER29" i="8"/>
  <c r="ES29" i="8" s="1"/>
  <c r="EV29" i="8" s="1"/>
  <c r="EV32" i="8"/>
  <c r="BF32" i="8" s="1"/>
  <c r="BG32" i="8" s="1"/>
  <c r="DO41" i="8"/>
  <c r="EZ7" i="8"/>
  <c r="ET37" i="8"/>
  <c r="EU37" i="8" s="1"/>
  <c r="EC38" i="8"/>
  <c r="EM38" i="8" s="1"/>
  <c r="EQ38" i="8" s="1"/>
  <c r="EM16" i="8"/>
  <c r="EQ16" i="8" s="1"/>
  <c r="ES16" i="8" s="1"/>
  <c r="EV16" i="8" s="1"/>
  <c r="ET19" i="8"/>
  <c r="EU19" i="8" s="1"/>
  <c r="EC41" i="8"/>
  <c r="EM41" i="8" s="1"/>
  <c r="EQ41" i="8" s="1"/>
  <c r="EC42" i="8"/>
  <c r="EM42" i="8" s="1"/>
  <c r="EQ42" i="8" s="1"/>
  <c r="EC19" i="8"/>
  <c r="EM19" i="8" s="1"/>
  <c r="EQ19" i="8" s="1"/>
  <c r="FB13" i="8"/>
  <c r="BF13" i="8"/>
  <c r="BG13" i="8" s="1"/>
  <c r="FA13" i="8"/>
  <c r="EY13" i="8"/>
  <c r="EX13" i="8"/>
  <c r="EC14" i="8"/>
  <c r="EM14" i="8" s="1"/>
  <c r="EQ14" i="8" s="1"/>
  <c r="EC37" i="8"/>
  <c r="EM37" i="8" s="1"/>
  <c r="EQ37" i="8" s="1"/>
  <c r="EC24" i="8"/>
  <c r="EM24" i="8" s="1"/>
  <c r="EQ24" i="8" s="1"/>
  <c r="EV25" i="8"/>
  <c r="FA25" i="8" s="1"/>
  <c r="EM22" i="8"/>
  <c r="EQ22" i="8" s="1"/>
  <c r="ER22" i="8"/>
  <c r="ED12" i="8"/>
  <c r="EC21" i="8"/>
  <c r="EM21" i="8" s="1"/>
  <c r="EQ21" i="8" s="1"/>
  <c r="EZ5" i="8"/>
  <c r="EN27" i="8"/>
  <c r="ET27" i="8"/>
  <c r="EU27" i="8" s="1"/>
  <c r="EN42" i="8"/>
  <c r="ET42" i="8"/>
  <c r="EU42" i="8" s="1"/>
  <c r="EN26" i="8"/>
  <c r="ET26" i="8"/>
  <c r="EU26" i="8" s="1"/>
  <c r="DP23" i="8"/>
  <c r="DO23" i="8"/>
  <c r="EN41" i="8"/>
  <c r="ET41" i="8"/>
  <c r="EU41" i="8" s="1"/>
  <c r="DP39" i="8"/>
  <c r="DO39" i="8"/>
  <c r="DS40" i="8"/>
  <c r="ED40" i="8" s="1"/>
  <c r="EN40" i="8" s="1"/>
  <c r="DR40" i="8"/>
  <c r="EM36" i="8"/>
  <c r="EQ36" i="8" s="1"/>
  <c r="ER36" i="8"/>
  <c r="DS23" i="8"/>
  <c r="ED23" i="8" s="1"/>
  <c r="DU23" i="8"/>
  <c r="DR23" i="8"/>
  <c r="EN28" i="8"/>
  <c r="ET28" i="8"/>
  <c r="EU28" i="8" s="1"/>
  <c r="DO34" i="8"/>
  <c r="DP34" i="8"/>
  <c r="ET38" i="8"/>
  <c r="EU38" i="8" s="1"/>
  <c r="ED14" i="8"/>
  <c r="EM30" i="8"/>
  <c r="EQ30" i="8" s="1"/>
  <c r="ER30" i="8"/>
  <c r="DU39" i="8"/>
  <c r="DS39" i="8"/>
  <c r="ED39" i="8" s="1"/>
  <c r="EN39" i="8" s="1"/>
  <c r="DR39" i="8"/>
  <c r="ER34" i="8"/>
  <c r="ES34" i="8" s="1"/>
  <c r="EU29" i="8"/>
  <c r="EM35" i="8"/>
  <c r="EQ35" i="8" s="1"/>
  <c r="ER35" i="8"/>
  <c r="DO26" i="8"/>
  <c r="DP26" i="8"/>
  <c r="EC26" i="8"/>
  <c r="EC17" i="8"/>
  <c r="DO17" i="8"/>
  <c r="DP17" i="8"/>
  <c r="ET34" i="8"/>
  <c r="EU34" i="8" s="1"/>
  <c r="DM11" i="8"/>
  <c r="DS43" i="8"/>
  <c r="ED43" i="8" s="1"/>
  <c r="EN43" i="8" s="1"/>
  <c r="DU43" i="8"/>
  <c r="DR43" i="8"/>
  <c r="ET24" i="8"/>
  <c r="EU24" i="8" s="1"/>
  <c r="ER27" i="8"/>
  <c r="ES27" i="8" s="1"/>
  <c r="DP15" i="8"/>
  <c r="DO15" i="8"/>
  <c r="DO38" i="8"/>
  <c r="DP38" i="8"/>
  <c r="DP42" i="8"/>
  <c r="DO42" i="8"/>
  <c r="DU11" i="8"/>
  <c r="DS11" i="8"/>
  <c r="ED11" i="8" s="1"/>
  <c r="EN11" i="8" s="1"/>
  <c r="DR11" i="8"/>
  <c r="EC12" i="8"/>
  <c r="BF18" i="8"/>
  <c r="BG18" i="8" s="1"/>
  <c r="FB18" i="8"/>
  <c r="FA18" i="8"/>
  <c r="EY18" i="8"/>
  <c r="EX18" i="8"/>
  <c r="ES31" i="8"/>
  <c r="EV31" i="8" s="1"/>
  <c r="EN22" i="8"/>
  <c r="ET22" i="8"/>
  <c r="EU22" i="8" s="1"/>
  <c r="EN17" i="8"/>
  <c r="ET17" i="8"/>
  <c r="DR15" i="8"/>
  <c r="DS15" i="8"/>
  <c r="ED15" i="8" s="1"/>
  <c r="DU15" i="8"/>
  <c r="DU40" i="8"/>
  <c r="DM43" i="8"/>
  <c r="EN33" i="8"/>
  <c r="ET33" i="8"/>
  <c r="EU33" i="8" s="1"/>
  <c r="ED21" i="8"/>
  <c r="ES20" i="8"/>
  <c r="EV20" i="8" s="1"/>
  <c r="R61" i="13"/>
  <c r="Q63" i="13"/>
  <c r="O11" i="3"/>
  <c r="N11" i="3"/>
  <c r="M11" i="3"/>
  <c r="J67" i="1"/>
  <c r="L60" i="1"/>
  <c r="O28" i="18"/>
  <c r="N29" i="18"/>
  <c r="J71" i="1"/>
  <c r="O64" i="1"/>
  <c r="L64" i="1"/>
  <c r="M54" i="1"/>
  <c r="L54" i="1"/>
  <c r="J61" i="1"/>
  <c r="N54" i="1"/>
  <c r="R31" i="13"/>
  <c r="Q33" i="13"/>
  <c r="J70" i="1"/>
  <c r="O63" i="1"/>
  <c r="L63" i="1"/>
  <c r="FB9" i="8"/>
  <c r="FA9" i="8"/>
  <c r="EY9" i="8"/>
  <c r="EX9" i="8"/>
  <c r="BF9" i="8"/>
  <c r="BG9" i="8" s="1"/>
  <c r="E15" i="16"/>
  <c r="G14" i="16"/>
  <c r="H14" i="16" s="1"/>
  <c r="F21" i="5"/>
  <c r="E21" i="5" s="1"/>
  <c r="L12" i="3"/>
  <c r="A13" i="3"/>
  <c r="U39" i="18"/>
  <c r="V39" i="18" s="1"/>
  <c r="W39" i="18" s="1"/>
  <c r="T40" i="18"/>
  <c r="FB10" i="8"/>
  <c r="EX10" i="8"/>
  <c r="BF10" i="8"/>
  <c r="BG10" i="8" s="1"/>
  <c r="FA10" i="8"/>
  <c r="EY10" i="8"/>
  <c r="L69" i="1"/>
  <c r="J76" i="1"/>
  <c r="R15" i="13"/>
  <c r="Q17" i="13"/>
  <c r="R75" i="13"/>
  <c r="Q77" i="13"/>
  <c r="J79" i="1"/>
  <c r="L72" i="1"/>
  <c r="R43" i="13"/>
  <c r="Q45" i="13"/>
  <c r="BF11" i="5"/>
  <c r="BE11" i="5" s="1"/>
  <c r="BD12" i="5"/>
  <c r="I31" i="18"/>
  <c r="K30" i="18"/>
  <c r="L28" i="18"/>
  <c r="H29" i="18"/>
  <c r="R91" i="13"/>
  <c r="Q93" i="13"/>
  <c r="L66" i="1"/>
  <c r="J73" i="1"/>
  <c r="D20" i="5"/>
  <c r="T20" i="5"/>
  <c r="FB32" i="8" l="1"/>
  <c r="ER38" i="8"/>
  <c r="BF25" i="8"/>
  <c r="BG25" i="8" s="1"/>
  <c r="ER41" i="8"/>
  <c r="ES41" i="8" s="1"/>
  <c r="EV41" i="8" s="1"/>
  <c r="EX41" i="8" s="1"/>
  <c r="EX32" i="8"/>
  <c r="ER24" i="8"/>
  <c r="ES24" i="8" s="1"/>
  <c r="EV24" i="8" s="1"/>
  <c r="FA24" i="8" s="1"/>
  <c r="EY32" i="8"/>
  <c r="EZ32" i="8" s="1"/>
  <c r="FB25" i="8"/>
  <c r="FA32" i="8"/>
  <c r="ER19" i="8"/>
  <c r="ES19" i="8" s="1"/>
  <c r="EV19" i="8" s="1"/>
  <c r="FA19" i="8" s="1"/>
  <c r="ER37" i="8"/>
  <c r="ES37" i="8" s="1"/>
  <c r="EV37" i="8" s="1"/>
  <c r="EZ18" i="8"/>
  <c r="EV27" i="8"/>
  <c r="EX27" i="8" s="1"/>
  <c r="ES30" i="8"/>
  <c r="EV30" i="8" s="1"/>
  <c r="FB30" i="8" s="1"/>
  <c r="EC15" i="8"/>
  <c r="EM15" i="8" s="1"/>
  <c r="EQ15" i="8" s="1"/>
  <c r="EX25" i="8"/>
  <c r="EY25" i="8"/>
  <c r="ES38" i="8"/>
  <c r="EV38" i="8" s="1"/>
  <c r="BF38" i="8" s="1"/>
  <c r="BG38" i="8" s="1"/>
  <c r="EZ13" i="8"/>
  <c r="EC39" i="8"/>
  <c r="ER39" i="8" s="1"/>
  <c r="ER42" i="8"/>
  <c r="ES42" i="8" s="1"/>
  <c r="EV42" i="8" s="1"/>
  <c r="FA42" i="8" s="1"/>
  <c r="ER21" i="8"/>
  <c r="ES21" i="8" s="1"/>
  <c r="EC23" i="8"/>
  <c r="ER23" i="8" s="1"/>
  <c r="ET40" i="8"/>
  <c r="EU40" i="8" s="1"/>
  <c r="ES35" i="8"/>
  <c r="EV35" i="8" s="1"/>
  <c r="FA35" i="8" s="1"/>
  <c r="ES36" i="8"/>
  <c r="EV36" i="8" s="1"/>
  <c r="EY36" i="8" s="1"/>
  <c r="EN12" i="8"/>
  <c r="ET12" i="8"/>
  <c r="EU12" i="8" s="1"/>
  <c r="ER14" i="8"/>
  <c r="ES14" i="8" s="1"/>
  <c r="ES22" i="8"/>
  <c r="EV22" i="8" s="1"/>
  <c r="EV34" i="8"/>
  <c r="FA34" i="8" s="1"/>
  <c r="FA27" i="8"/>
  <c r="EN15" i="8"/>
  <c r="ET15" i="8"/>
  <c r="EU15" i="8" s="1"/>
  <c r="EN23" i="8"/>
  <c r="ET23" i="8"/>
  <c r="EU23" i="8" s="1"/>
  <c r="EX31" i="8"/>
  <c r="BF31" i="8"/>
  <c r="BG31" i="8" s="1"/>
  <c r="FA31" i="8"/>
  <c r="FB31" i="8"/>
  <c r="EY31" i="8"/>
  <c r="ET43" i="8"/>
  <c r="EM26" i="8"/>
  <c r="EQ26" i="8" s="1"/>
  <c r="ER26" i="8"/>
  <c r="DO43" i="8"/>
  <c r="DP43" i="8"/>
  <c r="EC43" i="8"/>
  <c r="DO11" i="8"/>
  <c r="EC11" i="8"/>
  <c r="DP11" i="8"/>
  <c r="EV33" i="8"/>
  <c r="EX16" i="8"/>
  <c r="FA16" i="8"/>
  <c r="EY16" i="8"/>
  <c r="BF16" i="8"/>
  <c r="BG16" i="8" s="1"/>
  <c r="FB16" i="8"/>
  <c r="EU17" i="8"/>
  <c r="ET11" i="8"/>
  <c r="EU11" i="8" s="1"/>
  <c r="EX20" i="8"/>
  <c r="EY20" i="8"/>
  <c r="FB20" i="8"/>
  <c r="FA20" i="8"/>
  <c r="BF20" i="8"/>
  <c r="BG20" i="8" s="1"/>
  <c r="EN21" i="8"/>
  <c r="ET21" i="8"/>
  <c r="EU21" i="8" s="1"/>
  <c r="FB29" i="8"/>
  <c r="BF29" i="8"/>
  <c r="BG29" i="8" s="1"/>
  <c r="EX29" i="8"/>
  <c r="FA29" i="8"/>
  <c r="EY29" i="8"/>
  <c r="EN14" i="8"/>
  <c r="ET14" i="8"/>
  <c r="EU14" i="8" s="1"/>
  <c r="EC40" i="8"/>
  <c r="EZ9" i="8"/>
  <c r="EM12" i="8"/>
  <c r="EQ12" i="8" s="1"/>
  <c r="ER12" i="8"/>
  <c r="EM17" i="8"/>
  <c r="EQ17" i="8" s="1"/>
  <c r="ER17" i="8"/>
  <c r="ET39" i="8"/>
  <c r="EU39" i="8" s="1"/>
  <c r="EV28" i="8"/>
  <c r="J86" i="1"/>
  <c r="L79" i="1"/>
  <c r="J80" i="1"/>
  <c r="L73" i="1"/>
  <c r="I32" i="18"/>
  <c r="K31" i="18"/>
  <c r="G15" i="16"/>
  <c r="H15" i="16" s="1"/>
  <c r="E16" i="16"/>
  <c r="R16" i="13"/>
  <c r="Q18" i="13"/>
  <c r="O70" i="1"/>
  <c r="L70" i="1"/>
  <c r="J77" i="1"/>
  <c r="R32" i="13"/>
  <c r="Q34" i="13"/>
  <c r="N61" i="1"/>
  <c r="J68" i="1"/>
  <c r="M61" i="1"/>
  <c r="L61" i="1"/>
  <c r="BF12" i="5"/>
  <c r="BE12" i="5" s="1"/>
  <c r="BD13" i="5"/>
  <c r="T41" i="18"/>
  <c r="U40" i="18"/>
  <c r="V40" i="18" s="1"/>
  <c r="W40" i="18" s="1"/>
  <c r="R44" i="13"/>
  <c r="Q46" i="13"/>
  <c r="J83" i="1"/>
  <c r="L76" i="1"/>
  <c r="J74" i="1"/>
  <c r="L67" i="1"/>
  <c r="O12" i="3"/>
  <c r="N12" i="3"/>
  <c r="M12" i="3"/>
  <c r="R92" i="13"/>
  <c r="Q94" i="13"/>
  <c r="R76" i="13"/>
  <c r="Q78" i="13"/>
  <c r="L29" i="18"/>
  <c r="H30" i="18"/>
  <c r="EZ10" i="8"/>
  <c r="A14" i="3"/>
  <c r="F22" i="5"/>
  <c r="E22" i="5" s="1"/>
  <c r="L13" i="3"/>
  <c r="L71" i="1"/>
  <c r="J78" i="1"/>
  <c r="O71" i="1"/>
  <c r="D21" i="5"/>
  <c r="T21" i="5"/>
  <c r="O29" i="18"/>
  <c r="N30" i="18"/>
  <c r="R62" i="13"/>
  <c r="Q64" i="13"/>
  <c r="FB19" i="8" l="1"/>
  <c r="BF41" i="8"/>
  <c r="BG41" i="8" s="1"/>
  <c r="FB41" i="8"/>
  <c r="FA41" i="8"/>
  <c r="EY41" i="8"/>
  <c r="EZ41" i="8" s="1"/>
  <c r="EY27" i="8"/>
  <c r="EZ27" i="8" s="1"/>
  <c r="EM23" i="8"/>
  <c r="EQ23" i="8" s="1"/>
  <c r="ES23" i="8" s="1"/>
  <c r="EV23" i="8" s="1"/>
  <c r="FA36" i="8"/>
  <c r="EX19" i="8"/>
  <c r="EX36" i="8"/>
  <c r="EZ36" i="8" s="1"/>
  <c r="EY30" i="8"/>
  <c r="EX30" i="8"/>
  <c r="BF36" i="8"/>
  <c r="EY19" i="8"/>
  <c r="EM39" i="8"/>
  <c r="EQ39" i="8" s="1"/>
  <c r="ES39" i="8" s="1"/>
  <c r="EV39" i="8" s="1"/>
  <c r="FB36" i="8"/>
  <c r="BF19" i="8"/>
  <c r="BG19" i="8" s="1"/>
  <c r="EZ25" i="8"/>
  <c r="EX42" i="8"/>
  <c r="FB42" i="8"/>
  <c r="BF27" i="8"/>
  <c r="BG27" i="8" s="1"/>
  <c r="BF24" i="8"/>
  <c r="EX24" i="8"/>
  <c r="FA30" i="8"/>
  <c r="ER15" i="8"/>
  <c r="ES15" i="8" s="1"/>
  <c r="EV15" i="8" s="1"/>
  <c r="EY42" i="8"/>
  <c r="BF30" i="8"/>
  <c r="BG30" i="8" s="1"/>
  <c r="FB27" i="8"/>
  <c r="FA38" i="8"/>
  <c r="BF42" i="8"/>
  <c r="BG42" i="8" s="1"/>
  <c r="EY24" i="8"/>
  <c r="FB34" i="8"/>
  <c r="BF34" i="8"/>
  <c r="BG34" i="8" s="1"/>
  <c r="CR35" i="8" s="1"/>
  <c r="CS35" i="8" s="1"/>
  <c r="EZ20" i="8"/>
  <c r="EY38" i="8"/>
  <c r="EX34" i="8"/>
  <c r="EX38" i="8"/>
  <c r="EY34" i="8"/>
  <c r="FB24" i="8"/>
  <c r="FB38" i="8"/>
  <c r="ES12" i="8"/>
  <c r="EV12" i="8" s="1"/>
  <c r="EX12" i="8" s="1"/>
  <c r="EV21" i="8"/>
  <c r="EY21" i="8" s="1"/>
  <c r="EX35" i="8"/>
  <c r="BF35" i="8"/>
  <c r="EY35" i="8"/>
  <c r="FB35" i="8"/>
  <c r="EZ31" i="8"/>
  <c r="EX33" i="8"/>
  <c r="FB33" i="8"/>
  <c r="EY33" i="8"/>
  <c r="FA33" i="8"/>
  <c r="BF33" i="8"/>
  <c r="BG33" i="8" s="1"/>
  <c r="ES26" i="8"/>
  <c r="EV26" i="8" s="1"/>
  <c r="ES17" i="8"/>
  <c r="EV17" i="8" s="1"/>
  <c r="EM11" i="8"/>
  <c r="EQ11" i="8" s="1"/>
  <c r="ER11" i="8"/>
  <c r="EZ29" i="8"/>
  <c r="EX22" i="8"/>
  <c r="EY22" i="8"/>
  <c r="BF22" i="8"/>
  <c r="BG22" i="8" s="1"/>
  <c r="FB22" i="8"/>
  <c r="FA22" i="8"/>
  <c r="EM43" i="8"/>
  <c r="EQ43" i="8" s="1"/>
  <c r="ER43" i="8"/>
  <c r="EX28" i="8"/>
  <c r="FA28" i="8"/>
  <c r="BF28" i="8"/>
  <c r="BG28" i="8" s="1"/>
  <c r="FB28" i="8"/>
  <c r="EY28" i="8"/>
  <c r="EM40" i="8"/>
  <c r="EQ40" i="8" s="1"/>
  <c r="ER40" i="8"/>
  <c r="EZ16" i="8"/>
  <c r="FA37" i="8"/>
  <c r="FB37" i="8"/>
  <c r="EY37" i="8"/>
  <c r="BF37" i="8"/>
  <c r="BG37" i="8" s="1"/>
  <c r="EX37" i="8"/>
  <c r="EV14" i="8"/>
  <c r="E17" i="16"/>
  <c r="G16" i="16"/>
  <c r="H16" i="16" s="1"/>
  <c r="L30" i="18"/>
  <c r="H31" i="18"/>
  <c r="R33" i="13"/>
  <c r="Q35" i="13"/>
  <c r="O78" i="1"/>
  <c r="L78" i="1"/>
  <c r="J85" i="1"/>
  <c r="U41" i="18"/>
  <c r="V41" i="18" s="1"/>
  <c r="W41" i="18" s="1"/>
  <c r="T42" i="18"/>
  <c r="U42" i="18" s="1"/>
  <c r="V42" i="18" s="1"/>
  <c r="W42" i="18" s="1"/>
  <c r="BF13" i="5"/>
  <c r="BE13" i="5" s="1"/>
  <c r="BD14" i="5"/>
  <c r="J84" i="1"/>
  <c r="O77" i="1"/>
  <c r="L77" i="1"/>
  <c r="K32" i="18"/>
  <c r="I33" i="18"/>
  <c r="J81" i="1"/>
  <c r="L74" i="1"/>
  <c r="J87" i="1"/>
  <c r="L80" i="1"/>
  <c r="R63" i="13"/>
  <c r="Q65" i="13"/>
  <c r="R77" i="13"/>
  <c r="Q79" i="13"/>
  <c r="O30" i="18"/>
  <c r="N31" i="18"/>
  <c r="O13" i="3"/>
  <c r="N13" i="3"/>
  <c r="M13" i="3"/>
  <c r="R93" i="13"/>
  <c r="Q95" i="13"/>
  <c r="T22" i="5"/>
  <c r="D22" i="5"/>
  <c r="J90" i="1"/>
  <c r="L83" i="1"/>
  <c r="R17" i="13"/>
  <c r="Q19" i="13"/>
  <c r="L14" i="3"/>
  <c r="A15" i="3"/>
  <c r="F23" i="5"/>
  <c r="E23" i="5" s="1"/>
  <c r="R45" i="13"/>
  <c r="Q47" i="13"/>
  <c r="J75" i="1"/>
  <c r="M68" i="1"/>
  <c r="L68" i="1"/>
  <c r="N68" i="1"/>
  <c r="J93" i="1"/>
  <c r="L86" i="1"/>
  <c r="EZ19" i="8" l="1"/>
  <c r="EZ30" i="8"/>
  <c r="FA21" i="8"/>
  <c r="EZ42" i="8"/>
  <c r="FB21" i="8"/>
  <c r="EZ38" i="8"/>
  <c r="EZ24" i="8"/>
  <c r="EX15" i="8"/>
  <c r="FB15" i="8"/>
  <c r="BF15" i="8"/>
  <c r="BG15" i="8" s="1"/>
  <c r="FA15" i="8"/>
  <c r="EY15" i="8"/>
  <c r="EZ37" i="8"/>
  <c r="BF12" i="8"/>
  <c r="BG12" i="8" s="1"/>
  <c r="EY12" i="8"/>
  <c r="EZ12" i="8" s="1"/>
  <c r="FB12" i="8"/>
  <c r="BD35" i="8"/>
  <c r="BG35" i="8" s="1"/>
  <c r="CR36" i="8" s="1"/>
  <c r="CS36" i="8" s="1"/>
  <c r="EZ34" i="8"/>
  <c r="FA12" i="8"/>
  <c r="EX21" i="8"/>
  <c r="EZ21" i="8" s="1"/>
  <c r="BF21" i="8"/>
  <c r="BG21" i="8" s="1"/>
  <c r="EZ35" i="8"/>
  <c r="ES43" i="8"/>
  <c r="ES40" i="8"/>
  <c r="EV40" i="8" s="1"/>
  <c r="ES11" i="8"/>
  <c r="EV11" i="8" s="1"/>
  <c r="EZ22" i="8"/>
  <c r="FA39" i="8"/>
  <c r="EY39" i="8"/>
  <c r="FB39" i="8"/>
  <c r="BF39" i="8"/>
  <c r="BG39" i="8" s="1"/>
  <c r="EX39" i="8"/>
  <c r="EY17" i="8"/>
  <c r="EX17" i="8"/>
  <c r="FA17" i="8"/>
  <c r="BF17" i="8"/>
  <c r="BG17" i="8" s="1"/>
  <c r="FB17" i="8"/>
  <c r="FA26" i="8"/>
  <c r="BF26" i="8"/>
  <c r="BG26" i="8" s="1"/>
  <c r="FB26" i="8"/>
  <c r="EY26" i="8"/>
  <c r="EX26" i="8"/>
  <c r="BF23" i="8"/>
  <c r="BG23" i="8" s="1"/>
  <c r="CR24" i="8" s="1"/>
  <c r="FA23" i="8"/>
  <c r="EX23" i="8"/>
  <c r="EY23" i="8"/>
  <c r="FB23" i="8"/>
  <c r="EX14" i="8"/>
  <c r="FB14" i="8"/>
  <c r="EY14" i="8"/>
  <c r="BF14" i="8"/>
  <c r="BG14" i="8" s="1"/>
  <c r="FA14" i="8"/>
  <c r="EZ28" i="8"/>
  <c r="EZ33" i="8"/>
  <c r="R64" i="13"/>
  <c r="Q66" i="13"/>
  <c r="R34" i="13"/>
  <c r="Q36" i="13"/>
  <c r="BF14" i="5"/>
  <c r="BE14" i="5" s="1"/>
  <c r="BD15" i="5"/>
  <c r="L90" i="1"/>
  <c r="J97" i="1"/>
  <c r="M14" i="3"/>
  <c r="O14" i="3"/>
  <c r="N14" i="3"/>
  <c r="L31" i="18"/>
  <c r="H32" i="18"/>
  <c r="J88" i="1"/>
  <c r="L81" i="1"/>
  <c r="R18" i="13"/>
  <c r="Q20" i="13"/>
  <c r="J91" i="1"/>
  <c r="O84" i="1"/>
  <c r="L84" i="1"/>
  <c r="M75" i="1"/>
  <c r="L75" i="1"/>
  <c r="J82" i="1"/>
  <c r="N75" i="1"/>
  <c r="R78" i="13"/>
  <c r="Q80" i="13"/>
  <c r="L87" i="1"/>
  <c r="J94" i="1"/>
  <c r="R46" i="13"/>
  <c r="Q48" i="13"/>
  <c r="N32" i="18"/>
  <c r="O31" i="18"/>
  <c r="T23" i="5"/>
  <c r="D23" i="5"/>
  <c r="I34" i="18"/>
  <c r="K33" i="18"/>
  <c r="J100" i="1"/>
  <c r="L93" i="1"/>
  <c r="F24" i="5"/>
  <c r="E24" i="5" s="1"/>
  <c r="L15" i="3"/>
  <c r="R94" i="13"/>
  <c r="Q96" i="13"/>
  <c r="O85" i="1"/>
  <c r="L85" i="1"/>
  <c r="J92" i="1"/>
  <c r="G17" i="16"/>
  <c r="H17" i="16" s="1"/>
  <c r="E18" i="16"/>
  <c r="EZ15" i="8" l="1"/>
  <c r="BD36" i="8"/>
  <c r="BG36" i="8" s="1"/>
  <c r="EZ26" i="8"/>
  <c r="EZ17" i="8"/>
  <c r="EV43" i="8"/>
  <c r="EU43" i="8"/>
  <c r="BD24" i="8"/>
  <c r="BG24" i="8" s="1"/>
  <c r="CS24" i="8"/>
  <c r="EZ39" i="8"/>
  <c r="EZ14" i="8"/>
  <c r="EZ23" i="8"/>
  <c r="EX11" i="8"/>
  <c r="BF11" i="8"/>
  <c r="BG11" i="8" s="1"/>
  <c r="FA11" i="8"/>
  <c r="EY11" i="8"/>
  <c r="FB11" i="8"/>
  <c r="EX40" i="8"/>
  <c r="FA40" i="8"/>
  <c r="EY40" i="8"/>
  <c r="BF40" i="8"/>
  <c r="BG40" i="8" s="1"/>
  <c r="FB40" i="8"/>
  <c r="J104" i="1"/>
  <c r="L97" i="1"/>
  <c r="J95" i="1"/>
  <c r="L88" i="1"/>
  <c r="BF15" i="5"/>
  <c r="BE15" i="5" s="1"/>
  <c r="BD16" i="5"/>
  <c r="O15" i="3"/>
  <c r="N15" i="3"/>
  <c r="M15" i="3"/>
  <c r="G18" i="16"/>
  <c r="H18" i="16" s="1"/>
  <c r="E19" i="16"/>
  <c r="D24" i="5"/>
  <c r="T24" i="5"/>
  <c r="O32" i="18"/>
  <c r="N33" i="18"/>
  <c r="J89" i="1"/>
  <c r="N82" i="1"/>
  <c r="M82" i="1"/>
  <c r="L82" i="1"/>
  <c r="R47" i="13"/>
  <c r="Q49" i="13"/>
  <c r="J99" i="1"/>
  <c r="O92" i="1"/>
  <c r="L92" i="1"/>
  <c r="J107" i="1"/>
  <c r="L100" i="1"/>
  <c r="H33" i="18"/>
  <c r="L32" i="18"/>
  <c r="R35" i="13"/>
  <c r="Q37" i="13"/>
  <c r="I35" i="18"/>
  <c r="K34" i="18"/>
  <c r="J101" i="1"/>
  <c r="L94" i="1"/>
  <c r="R65" i="13"/>
  <c r="Q67" i="13"/>
  <c r="R95" i="13"/>
  <c r="Q97" i="13"/>
  <c r="R79" i="13"/>
  <c r="Q81" i="13"/>
  <c r="O91" i="1"/>
  <c r="L91" i="1"/>
  <c r="J98" i="1"/>
  <c r="R19" i="13"/>
  <c r="Q21" i="13"/>
  <c r="EZ11" i="8" l="1"/>
  <c r="FB43" i="8"/>
  <c r="BF43" i="8"/>
  <c r="BG43" i="8" s="1"/>
  <c r="EY43" i="8"/>
  <c r="EX43" i="8"/>
  <c r="FA43" i="8"/>
  <c r="EZ40" i="8"/>
  <c r="I36" i="18"/>
  <c r="K35" i="18"/>
  <c r="BF16" i="5"/>
  <c r="BE16" i="5" s="1"/>
  <c r="BD17" i="5"/>
  <c r="O33" i="18"/>
  <c r="N34" i="18"/>
  <c r="R96" i="13"/>
  <c r="Q98" i="13"/>
  <c r="R36" i="13"/>
  <c r="Q38" i="13"/>
  <c r="L99" i="1"/>
  <c r="O99" i="1"/>
  <c r="J106" i="1"/>
  <c r="R20" i="13"/>
  <c r="Q22" i="13"/>
  <c r="R48" i="13"/>
  <c r="Q50" i="13"/>
  <c r="R80" i="13"/>
  <c r="Q82" i="13"/>
  <c r="N89" i="1"/>
  <c r="J96" i="1"/>
  <c r="M89" i="1"/>
  <c r="L89" i="1"/>
  <c r="R66" i="13"/>
  <c r="Q68" i="13"/>
  <c r="O98" i="1"/>
  <c r="L98" i="1"/>
  <c r="J105" i="1"/>
  <c r="H34" i="18"/>
  <c r="L33" i="18"/>
  <c r="G19" i="16"/>
  <c r="H19" i="16" s="1"/>
  <c r="E20" i="16"/>
  <c r="L95" i="1"/>
  <c r="J102" i="1"/>
  <c r="J108" i="1"/>
  <c r="L101" i="1"/>
  <c r="L107" i="1"/>
  <c r="J114" i="1"/>
  <c r="J111" i="1"/>
  <c r="L104" i="1"/>
  <c r="EZ43" i="8" l="1"/>
  <c r="E21" i="16"/>
  <c r="G20" i="16"/>
  <c r="H20" i="16" s="1"/>
  <c r="R97" i="13"/>
  <c r="R98" i="13"/>
  <c r="R21" i="13"/>
  <c r="Q23" i="13"/>
  <c r="J121" i="1"/>
  <c r="L114" i="1"/>
  <c r="O34" i="18"/>
  <c r="N35" i="18"/>
  <c r="H35" i="18"/>
  <c r="L34" i="18"/>
  <c r="J103" i="1"/>
  <c r="M96" i="1"/>
  <c r="L96" i="1"/>
  <c r="N96" i="1"/>
  <c r="O106" i="1"/>
  <c r="L106" i="1"/>
  <c r="J113" i="1"/>
  <c r="BF17" i="5"/>
  <c r="BE17" i="5" s="1"/>
  <c r="BD18" i="5"/>
  <c r="J115" i="1"/>
  <c r="L108" i="1"/>
  <c r="J118" i="1"/>
  <c r="L111" i="1"/>
  <c r="R81" i="13"/>
  <c r="Q83" i="13"/>
  <c r="J109" i="1"/>
  <c r="L102" i="1"/>
  <c r="R37" i="13"/>
  <c r="R38" i="13"/>
  <c r="J112" i="1"/>
  <c r="O105" i="1"/>
  <c r="L105" i="1"/>
  <c r="R67" i="13"/>
  <c r="R68" i="13"/>
  <c r="R49" i="13"/>
  <c r="Q51" i="13"/>
  <c r="I37" i="18"/>
  <c r="K36" i="18"/>
  <c r="R22" i="13" l="1"/>
  <c r="R23" i="13"/>
  <c r="J128" i="1"/>
  <c r="L121" i="1"/>
  <c r="R50" i="13"/>
  <c r="Q52" i="13"/>
  <c r="L115" i="1"/>
  <c r="J122" i="1"/>
  <c r="O112" i="1"/>
  <c r="L112" i="1"/>
  <c r="J119" i="1"/>
  <c r="J125" i="1"/>
  <c r="L118" i="1"/>
  <c r="I38" i="18"/>
  <c r="K38" i="18" s="1"/>
  <c r="K37" i="18"/>
  <c r="BF18" i="5"/>
  <c r="BE18" i="5" s="1"/>
  <c r="BD19" i="5"/>
  <c r="N103" i="1"/>
  <c r="M103" i="1"/>
  <c r="L103" i="1"/>
  <c r="J110" i="1"/>
  <c r="J116" i="1"/>
  <c r="L109" i="1"/>
  <c r="R82" i="13"/>
  <c r="R83" i="13"/>
  <c r="J120" i="1"/>
  <c r="O113" i="1"/>
  <c r="L113" i="1"/>
  <c r="H36" i="18"/>
  <c r="L35" i="18"/>
  <c r="O35" i="18"/>
  <c r="N36" i="18"/>
  <c r="E22" i="16"/>
  <c r="G21" i="16"/>
  <c r="H21" i="16" s="1"/>
  <c r="E23" i="16" l="1"/>
  <c r="G22" i="16"/>
  <c r="H22" i="16" s="1"/>
  <c r="O36" i="18"/>
  <c r="N37" i="18"/>
  <c r="J129" i="1"/>
  <c r="L122" i="1"/>
  <c r="L116" i="1"/>
  <c r="J123" i="1"/>
  <c r="R51" i="13"/>
  <c r="Q53" i="13"/>
  <c r="H37" i="18"/>
  <c r="L36" i="18"/>
  <c r="J117" i="1"/>
  <c r="N110" i="1"/>
  <c r="M110" i="1"/>
  <c r="L110" i="1"/>
  <c r="J132" i="1"/>
  <c r="L125" i="1"/>
  <c r="O119" i="1"/>
  <c r="L119" i="1"/>
  <c r="J126" i="1"/>
  <c r="L128" i="1"/>
  <c r="J135" i="1"/>
  <c r="J127" i="1"/>
  <c r="O120" i="1"/>
  <c r="L120" i="1"/>
  <c r="BF19" i="5"/>
  <c r="BE19" i="5" s="1"/>
  <c r="BD20" i="5"/>
  <c r="L135" i="1" l="1"/>
  <c r="J142" i="1"/>
  <c r="L127" i="1"/>
  <c r="O127" i="1"/>
  <c r="J134" i="1"/>
  <c r="L123" i="1"/>
  <c r="J130" i="1"/>
  <c r="J133" i="1"/>
  <c r="O126" i="1"/>
  <c r="L126" i="1"/>
  <c r="N117" i="1"/>
  <c r="J124" i="1"/>
  <c r="M117" i="1"/>
  <c r="L117" i="1"/>
  <c r="J136" i="1"/>
  <c r="L129" i="1"/>
  <c r="O37" i="18"/>
  <c r="N38" i="18"/>
  <c r="O38" i="18" s="1"/>
  <c r="H38" i="18"/>
  <c r="L38" i="18" s="1"/>
  <c r="L37" i="18"/>
  <c r="R52" i="13"/>
  <c r="R53" i="13"/>
  <c r="BF20" i="5"/>
  <c r="BE20" i="5" s="1"/>
  <c r="BD21" i="5"/>
  <c r="L132" i="1"/>
  <c r="J139" i="1"/>
  <c r="E24" i="16"/>
  <c r="G23" i="16"/>
  <c r="H23" i="16" s="1"/>
  <c r="J140" i="1" l="1"/>
  <c r="O133" i="1"/>
  <c r="L133" i="1"/>
  <c r="J131" i="1"/>
  <c r="M124" i="1"/>
  <c r="L124" i="1"/>
  <c r="N124" i="1"/>
  <c r="BF21" i="5"/>
  <c r="BE21" i="5" s="1"/>
  <c r="BD22" i="5"/>
  <c r="J143" i="1"/>
  <c r="L136" i="1"/>
  <c r="J137" i="1"/>
  <c r="L130" i="1"/>
  <c r="J141" i="1"/>
  <c r="O134" i="1"/>
  <c r="L134" i="1"/>
  <c r="J146" i="1"/>
  <c r="L139" i="1"/>
  <c r="J149" i="1"/>
  <c r="L142" i="1"/>
  <c r="G24" i="16"/>
  <c r="H24" i="16" s="1"/>
  <c r="E25" i="16"/>
  <c r="L137" i="1" l="1"/>
  <c r="J144" i="1"/>
  <c r="J138" i="1"/>
  <c r="N131" i="1"/>
  <c r="M131" i="1"/>
  <c r="L131" i="1"/>
  <c r="E26" i="16"/>
  <c r="G25" i="16"/>
  <c r="H25" i="16" s="1"/>
  <c r="L141" i="1"/>
  <c r="J148" i="1"/>
  <c r="O141" i="1"/>
  <c r="L149" i="1"/>
  <c r="J156" i="1"/>
  <c r="J150" i="1"/>
  <c r="L143" i="1"/>
  <c r="J153" i="1"/>
  <c r="L146" i="1"/>
  <c r="BF22" i="5"/>
  <c r="BE22" i="5" s="1"/>
  <c r="BD23" i="5"/>
  <c r="O140" i="1"/>
  <c r="L140" i="1"/>
  <c r="J147" i="1"/>
  <c r="L153" i="1" l="1"/>
  <c r="J160" i="1"/>
  <c r="G26" i="16"/>
  <c r="H26" i="16" s="1"/>
  <c r="E27" i="16"/>
  <c r="J154" i="1"/>
  <c r="O147" i="1"/>
  <c r="L147" i="1"/>
  <c r="J157" i="1"/>
  <c r="L150" i="1"/>
  <c r="L156" i="1"/>
  <c r="J163" i="1"/>
  <c r="M138" i="1"/>
  <c r="J145" i="1"/>
  <c r="N138" i="1"/>
  <c r="L138" i="1"/>
  <c r="BF23" i="5"/>
  <c r="BE23" i="5" s="1"/>
  <c r="BD24" i="5"/>
  <c r="J155" i="1"/>
  <c r="O148" i="1"/>
  <c r="L148" i="1"/>
  <c r="L144" i="1"/>
  <c r="J151" i="1"/>
  <c r="J158" i="1" l="1"/>
  <c r="L151" i="1"/>
  <c r="L157" i="1"/>
  <c r="J164" i="1"/>
  <c r="N145" i="1"/>
  <c r="M145" i="1"/>
  <c r="L145" i="1"/>
  <c r="J152" i="1"/>
  <c r="J161" i="1"/>
  <c r="O154" i="1"/>
  <c r="L154" i="1"/>
  <c r="E28" i="16"/>
  <c r="G27" i="16"/>
  <c r="H27" i="16" s="1"/>
  <c r="J170" i="1"/>
  <c r="L163" i="1"/>
  <c r="L155" i="1"/>
  <c r="J162" i="1"/>
  <c r="O155" i="1"/>
  <c r="L160" i="1"/>
  <c r="J167" i="1"/>
  <c r="BF24" i="5"/>
  <c r="BE24" i="5" s="1"/>
  <c r="BD25" i="5"/>
  <c r="J159" i="1" l="1"/>
  <c r="M152" i="1"/>
  <c r="L152" i="1"/>
  <c r="N152" i="1"/>
  <c r="BF25" i="5"/>
  <c r="BE25" i="5" s="1"/>
  <c r="BD26" i="5"/>
  <c r="J177" i="1"/>
  <c r="L170" i="1"/>
  <c r="J174" i="1"/>
  <c r="L167" i="1"/>
  <c r="G28" i="16"/>
  <c r="H28" i="16" s="1"/>
  <c r="E29" i="16"/>
  <c r="J171" i="1"/>
  <c r="L164" i="1"/>
  <c r="L162" i="1"/>
  <c r="J169" i="1"/>
  <c r="O162" i="1"/>
  <c r="J168" i="1"/>
  <c r="O161" i="1"/>
  <c r="L161" i="1"/>
  <c r="J165" i="1"/>
  <c r="L158" i="1"/>
  <c r="L177" i="1" l="1"/>
  <c r="J184" i="1"/>
  <c r="BF26" i="5"/>
  <c r="BE26" i="5" s="1"/>
  <c r="BD27" i="5"/>
  <c r="O169" i="1"/>
  <c r="L169" i="1"/>
  <c r="J176" i="1"/>
  <c r="L165" i="1"/>
  <c r="J172" i="1"/>
  <c r="J178" i="1"/>
  <c r="L171" i="1"/>
  <c r="G29" i="16"/>
  <c r="H29" i="16" s="1"/>
  <c r="E30" i="16"/>
  <c r="J175" i="1"/>
  <c r="O168" i="1"/>
  <c r="L168" i="1"/>
  <c r="L174" i="1"/>
  <c r="J181" i="1"/>
  <c r="J166" i="1"/>
  <c r="N159" i="1"/>
  <c r="M159" i="1"/>
  <c r="L159" i="1"/>
  <c r="J183" i="1" l="1"/>
  <c r="O176" i="1"/>
  <c r="L176" i="1"/>
  <c r="J182" i="1"/>
  <c r="O175" i="1"/>
  <c r="L175" i="1"/>
  <c r="E31" i="16"/>
  <c r="G30" i="16"/>
  <c r="H30" i="16" s="1"/>
  <c r="BF27" i="5"/>
  <c r="BE27" i="5" s="1"/>
  <c r="BD28" i="5"/>
  <c r="M166" i="1"/>
  <c r="L166" i="1"/>
  <c r="J173" i="1"/>
  <c r="N166" i="1"/>
  <c r="L181" i="1"/>
  <c r="J188" i="1"/>
  <c r="L178" i="1"/>
  <c r="J185" i="1"/>
  <c r="J191" i="1"/>
  <c r="L184" i="1"/>
  <c r="J179" i="1"/>
  <c r="L172" i="1"/>
  <c r="N173" i="1" l="1"/>
  <c r="M173" i="1"/>
  <c r="L173" i="1"/>
  <c r="J180" i="1"/>
  <c r="J198" i="1"/>
  <c r="L191" i="1"/>
  <c r="J195" i="1"/>
  <c r="L188" i="1"/>
  <c r="G31" i="16"/>
  <c r="H31" i="16" s="1"/>
  <c r="E32" i="16"/>
  <c r="O182" i="1"/>
  <c r="L182" i="1"/>
  <c r="J189" i="1"/>
  <c r="BF28" i="5"/>
  <c r="BE28" i="5" s="1"/>
  <c r="BD29" i="5"/>
  <c r="J186" i="1"/>
  <c r="L179" i="1"/>
  <c r="L185" i="1"/>
  <c r="J192" i="1"/>
  <c r="L183" i="1"/>
  <c r="J190" i="1"/>
  <c r="O183" i="1"/>
  <c r="J199" i="1" l="1"/>
  <c r="L192" i="1"/>
  <c r="J193" i="1"/>
  <c r="L186" i="1"/>
  <c r="J202" i="1"/>
  <c r="L195" i="1"/>
  <c r="O190" i="1"/>
  <c r="L190" i="1"/>
  <c r="J197" i="1"/>
  <c r="J196" i="1"/>
  <c r="O189" i="1"/>
  <c r="L189" i="1"/>
  <c r="J205" i="1"/>
  <c r="L198" i="1"/>
  <c r="BF29" i="5"/>
  <c r="BE29" i="5" s="1"/>
  <c r="BD30" i="5"/>
  <c r="J187" i="1"/>
  <c r="M180" i="1"/>
  <c r="L180" i="1"/>
  <c r="N180" i="1"/>
  <c r="E33" i="16"/>
  <c r="G32" i="16"/>
  <c r="H32" i="16" s="1"/>
  <c r="BF30" i="5" l="1"/>
  <c r="BE30" i="5" s="1"/>
  <c r="BD31" i="5"/>
  <c r="E34" i="16"/>
  <c r="G33" i="16"/>
  <c r="H33" i="16" s="1"/>
  <c r="J212" i="1"/>
  <c r="L205" i="1"/>
  <c r="L202" i="1"/>
  <c r="J209" i="1"/>
  <c r="J200" i="1"/>
  <c r="L193" i="1"/>
  <c r="J203" i="1"/>
  <c r="O196" i="1"/>
  <c r="L196" i="1"/>
  <c r="M187" i="1"/>
  <c r="L187" i="1"/>
  <c r="J194" i="1"/>
  <c r="N187" i="1"/>
  <c r="O197" i="1"/>
  <c r="L197" i="1"/>
  <c r="J204" i="1"/>
  <c r="L199" i="1"/>
  <c r="J206" i="1"/>
  <c r="N194" i="1" l="1"/>
  <c r="M194" i="1"/>
  <c r="L194" i="1"/>
  <c r="J201" i="1"/>
  <c r="J216" i="1"/>
  <c r="L209" i="1"/>
  <c r="J219" i="1"/>
  <c r="L212" i="1"/>
  <c r="L206" i="1"/>
  <c r="J213" i="1"/>
  <c r="J211" i="1"/>
  <c r="O204" i="1"/>
  <c r="L204" i="1"/>
  <c r="O203" i="1"/>
  <c r="L203" i="1"/>
  <c r="J210" i="1"/>
  <c r="E35" i="16"/>
  <c r="G34" i="16"/>
  <c r="H34" i="16" s="1"/>
  <c r="BF31" i="5"/>
  <c r="BE31" i="5" s="1"/>
  <c r="BD32" i="5"/>
  <c r="J207" i="1"/>
  <c r="L200" i="1"/>
  <c r="G35" i="16" l="1"/>
  <c r="H35" i="16" s="1"/>
  <c r="E36" i="16"/>
  <c r="J217" i="1"/>
  <c r="O210" i="1"/>
  <c r="L210" i="1"/>
  <c r="J226" i="1"/>
  <c r="L219" i="1"/>
  <c r="J223" i="1"/>
  <c r="L216" i="1"/>
  <c r="N201" i="1"/>
  <c r="J208" i="1"/>
  <c r="M201" i="1"/>
  <c r="L201" i="1"/>
  <c r="J214" i="1"/>
  <c r="L207" i="1"/>
  <c r="BF32" i="5"/>
  <c r="BE32" i="5" s="1"/>
  <c r="BD33" i="5"/>
  <c r="L211" i="1"/>
  <c r="J218" i="1"/>
  <c r="O211" i="1"/>
  <c r="J220" i="1"/>
  <c r="L213" i="1"/>
  <c r="J230" i="1" l="1"/>
  <c r="L223" i="1"/>
  <c r="J221" i="1"/>
  <c r="L214" i="1"/>
  <c r="J233" i="1"/>
  <c r="L226" i="1"/>
  <c r="L218" i="1"/>
  <c r="O218" i="1"/>
  <c r="J225" i="1"/>
  <c r="J215" i="1"/>
  <c r="M208" i="1"/>
  <c r="L208" i="1"/>
  <c r="N208" i="1"/>
  <c r="J224" i="1"/>
  <c r="O217" i="1"/>
  <c r="L217" i="1"/>
  <c r="E37" i="16"/>
  <c r="G36" i="16"/>
  <c r="H36" i="16" s="1"/>
  <c r="J227" i="1"/>
  <c r="L220" i="1"/>
  <c r="BF33" i="5"/>
  <c r="BE33" i="5" s="1"/>
  <c r="BD34" i="5"/>
  <c r="J240" i="1" l="1"/>
  <c r="L233" i="1"/>
  <c r="J234" i="1"/>
  <c r="L227" i="1"/>
  <c r="J228" i="1"/>
  <c r="L221" i="1"/>
  <c r="N215" i="1"/>
  <c r="J222" i="1"/>
  <c r="M215" i="1"/>
  <c r="L215" i="1"/>
  <c r="BF34" i="5"/>
  <c r="BE34" i="5" s="1"/>
  <c r="BD35" i="5"/>
  <c r="J231" i="1"/>
  <c r="O224" i="1"/>
  <c r="L224" i="1"/>
  <c r="G37" i="16"/>
  <c r="H37" i="16" s="1"/>
  <c r="E38" i="16"/>
  <c r="J232" i="1"/>
  <c r="O225" i="1"/>
  <c r="L225" i="1"/>
  <c r="J237" i="1"/>
  <c r="L230" i="1"/>
  <c r="J239" i="1" l="1"/>
  <c r="O232" i="1"/>
  <c r="L232" i="1"/>
  <c r="N222" i="1"/>
  <c r="J229" i="1"/>
  <c r="M222" i="1"/>
  <c r="L222" i="1"/>
  <c r="J244" i="1"/>
  <c r="L237" i="1"/>
  <c r="J238" i="1"/>
  <c r="O231" i="1"/>
  <c r="L231" i="1"/>
  <c r="J235" i="1"/>
  <c r="L228" i="1"/>
  <c r="BF35" i="5"/>
  <c r="BE35" i="5" s="1"/>
  <c r="BD36" i="5"/>
  <c r="J241" i="1"/>
  <c r="L234" i="1"/>
  <c r="E39" i="16"/>
  <c r="G38" i="16"/>
  <c r="H38" i="16" s="1"/>
  <c r="J247" i="1"/>
  <c r="L240" i="1"/>
  <c r="BF36" i="5" l="1"/>
  <c r="BE36" i="5" s="1"/>
  <c r="BD37" i="5"/>
  <c r="J251" i="1"/>
  <c r="L244" i="1"/>
  <c r="J254" i="1"/>
  <c r="L247" i="1"/>
  <c r="J242" i="1"/>
  <c r="L235" i="1"/>
  <c r="N229" i="1"/>
  <c r="J236" i="1"/>
  <c r="M229" i="1"/>
  <c r="L229" i="1"/>
  <c r="G39" i="16"/>
  <c r="H39" i="16" s="1"/>
  <c r="E40" i="16"/>
  <c r="J245" i="1"/>
  <c r="O238" i="1"/>
  <c r="L238" i="1"/>
  <c r="J248" i="1"/>
  <c r="L241" i="1"/>
  <c r="L239" i="1"/>
  <c r="J246" i="1"/>
  <c r="O239" i="1"/>
  <c r="J252" i="1" l="1"/>
  <c r="O245" i="1"/>
  <c r="L245" i="1"/>
  <c r="J249" i="1"/>
  <c r="L242" i="1"/>
  <c r="E41" i="16"/>
  <c r="G40" i="16"/>
  <c r="H40" i="16" s="1"/>
  <c r="J253" i="1"/>
  <c r="O246" i="1"/>
  <c r="L246" i="1"/>
  <c r="J261" i="1"/>
  <c r="L254" i="1"/>
  <c r="J258" i="1"/>
  <c r="L251" i="1"/>
  <c r="J255" i="1"/>
  <c r="L248" i="1"/>
  <c r="J243" i="1"/>
  <c r="M236" i="1"/>
  <c r="L236" i="1"/>
  <c r="N236" i="1"/>
  <c r="BF37" i="5"/>
  <c r="BE37" i="5" s="1"/>
  <c r="BD38" i="5"/>
  <c r="J268" i="1" l="1"/>
  <c r="L261" i="1"/>
  <c r="J260" i="1"/>
  <c r="O253" i="1"/>
  <c r="L253" i="1"/>
  <c r="J262" i="1"/>
  <c r="L255" i="1"/>
  <c r="E42" i="16"/>
  <c r="G41" i="16"/>
  <c r="H41" i="16" s="1"/>
  <c r="J265" i="1"/>
  <c r="L258" i="1"/>
  <c r="J256" i="1"/>
  <c r="L249" i="1"/>
  <c r="BF38" i="5"/>
  <c r="BE38" i="5" s="1"/>
  <c r="BD39" i="5"/>
  <c r="J250" i="1"/>
  <c r="M243" i="1"/>
  <c r="L243" i="1"/>
  <c r="N243" i="1"/>
  <c r="J259" i="1"/>
  <c r="O252" i="1"/>
  <c r="L252" i="1"/>
  <c r="N250" i="1" l="1"/>
  <c r="J257" i="1"/>
  <c r="M250" i="1"/>
  <c r="L250" i="1"/>
  <c r="G42" i="16"/>
  <c r="H42" i="16" s="1"/>
  <c r="E43" i="16"/>
  <c r="J269" i="1"/>
  <c r="L262" i="1"/>
  <c r="BF39" i="5"/>
  <c r="BE39" i="5" s="1"/>
  <c r="BD40" i="5"/>
  <c r="J267" i="1"/>
  <c r="O260" i="1"/>
  <c r="L260" i="1"/>
  <c r="J266" i="1"/>
  <c r="O259" i="1"/>
  <c r="L259" i="1"/>
  <c r="J263" i="1"/>
  <c r="L256" i="1"/>
  <c r="J272" i="1"/>
  <c r="L265" i="1"/>
  <c r="J275" i="1"/>
  <c r="L268" i="1"/>
  <c r="J276" i="1" l="1"/>
  <c r="L269" i="1"/>
  <c r="J273" i="1"/>
  <c r="O266" i="1"/>
  <c r="L266" i="1"/>
  <c r="E44" i="16"/>
  <c r="G43" i="16"/>
  <c r="H43" i="16" s="1"/>
  <c r="J279" i="1"/>
  <c r="L272" i="1"/>
  <c r="L267" i="1"/>
  <c r="J274" i="1"/>
  <c r="O267" i="1"/>
  <c r="J282" i="1"/>
  <c r="L275" i="1"/>
  <c r="BF40" i="5"/>
  <c r="BE40" i="5" s="1"/>
  <c r="BD41" i="5"/>
  <c r="N257" i="1"/>
  <c r="J264" i="1"/>
  <c r="M257" i="1"/>
  <c r="L257" i="1"/>
  <c r="J270" i="1"/>
  <c r="L263" i="1"/>
  <c r="BF41" i="5" l="1"/>
  <c r="BE41" i="5" s="1"/>
  <c r="BD42" i="5"/>
  <c r="J286" i="1"/>
  <c r="L279" i="1"/>
  <c r="G44" i="16"/>
  <c r="H44" i="16" s="1"/>
  <c r="E45" i="16"/>
  <c r="J271" i="1"/>
  <c r="M264" i="1"/>
  <c r="L264" i="1"/>
  <c r="N264" i="1"/>
  <c r="J277" i="1"/>
  <c r="L270" i="1"/>
  <c r="J289" i="1"/>
  <c r="L282" i="1"/>
  <c r="L274" i="1"/>
  <c r="J281" i="1"/>
  <c r="O274" i="1"/>
  <c r="J280" i="1"/>
  <c r="O273" i="1"/>
  <c r="L273" i="1"/>
  <c r="J283" i="1"/>
  <c r="L276" i="1"/>
  <c r="N271" i="1" l="1"/>
  <c r="J278" i="1"/>
  <c r="M271" i="1"/>
  <c r="L271" i="1"/>
  <c r="J288" i="1"/>
  <c r="O281" i="1"/>
  <c r="L281" i="1"/>
  <c r="G45" i="16"/>
  <c r="H45" i="16" s="1"/>
  <c r="E46" i="16"/>
  <c r="J290" i="1"/>
  <c r="L283" i="1"/>
  <c r="J296" i="1"/>
  <c r="L289" i="1"/>
  <c r="J284" i="1"/>
  <c r="L277" i="1"/>
  <c r="J293" i="1"/>
  <c r="L286" i="1"/>
  <c r="J287" i="1"/>
  <c r="O280" i="1"/>
  <c r="L280" i="1"/>
  <c r="BF42" i="5"/>
  <c r="BE42" i="5" s="1"/>
  <c r="BD43" i="5"/>
  <c r="J300" i="1" l="1"/>
  <c r="L293" i="1"/>
  <c r="J295" i="1"/>
  <c r="O288" i="1"/>
  <c r="L288" i="1"/>
  <c r="J303" i="1"/>
  <c r="L296" i="1"/>
  <c r="BF43" i="5"/>
  <c r="BE43" i="5" s="1"/>
  <c r="BD44" i="5"/>
  <c r="J291" i="1"/>
  <c r="L284" i="1"/>
  <c r="J294" i="1"/>
  <c r="O287" i="1"/>
  <c r="L287" i="1"/>
  <c r="J297" i="1"/>
  <c r="L290" i="1"/>
  <c r="N278" i="1"/>
  <c r="J285" i="1"/>
  <c r="M278" i="1"/>
  <c r="L278" i="1"/>
  <c r="G46" i="16"/>
  <c r="H46" i="16" s="1"/>
  <c r="E47" i="16"/>
  <c r="J310" i="1" l="1"/>
  <c r="L303" i="1"/>
  <c r="J301" i="1"/>
  <c r="O294" i="1"/>
  <c r="L294" i="1"/>
  <c r="L295" i="1"/>
  <c r="J302" i="1"/>
  <c r="O295" i="1"/>
  <c r="J304" i="1"/>
  <c r="L297" i="1"/>
  <c r="E48" i="16"/>
  <c r="G47" i="16"/>
  <c r="H47" i="16" s="1"/>
  <c r="N285" i="1"/>
  <c r="J292" i="1"/>
  <c r="M285" i="1"/>
  <c r="L285" i="1"/>
  <c r="J298" i="1"/>
  <c r="L291" i="1"/>
  <c r="BF44" i="5"/>
  <c r="BE44" i="5" s="1"/>
  <c r="BD45" i="5"/>
  <c r="J307" i="1"/>
  <c r="L300" i="1"/>
  <c r="J309" i="1" l="1"/>
  <c r="O302" i="1"/>
  <c r="L302" i="1"/>
  <c r="BF45" i="5"/>
  <c r="BE45" i="5" s="1"/>
  <c r="BD46" i="5"/>
  <c r="G48" i="16"/>
  <c r="H48" i="16" s="1"/>
  <c r="E49" i="16"/>
  <c r="J308" i="1"/>
  <c r="O301" i="1"/>
  <c r="L301" i="1"/>
  <c r="J299" i="1"/>
  <c r="M292" i="1"/>
  <c r="L292" i="1"/>
  <c r="N292" i="1"/>
  <c r="J314" i="1"/>
  <c r="L307" i="1"/>
  <c r="J305" i="1"/>
  <c r="L298" i="1"/>
  <c r="J311" i="1"/>
  <c r="L304" i="1"/>
  <c r="J317" i="1"/>
  <c r="L310" i="1"/>
  <c r="J315" i="1" l="1"/>
  <c r="O308" i="1"/>
  <c r="L308" i="1"/>
  <c r="J321" i="1"/>
  <c r="L314" i="1"/>
  <c r="E50" i="16"/>
  <c r="G49" i="16"/>
  <c r="H49" i="16" s="1"/>
  <c r="BF46" i="5"/>
  <c r="BE46" i="5" s="1"/>
  <c r="BD47" i="5"/>
  <c r="BF47" i="5" s="1"/>
  <c r="BE47" i="5" s="1"/>
  <c r="J324" i="1"/>
  <c r="L317" i="1"/>
  <c r="J318" i="1"/>
  <c r="L311" i="1"/>
  <c r="J306" i="1"/>
  <c r="M299" i="1"/>
  <c r="L299" i="1"/>
  <c r="N299" i="1"/>
  <c r="J312" i="1"/>
  <c r="L305" i="1"/>
  <c r="J316" i="1"/>
  <c r="O309" i="1"/>
  <c r="L309" i="1"/>
  <c r="N306" i="1" l="1"/>
  <c r="J313" i="1"/>
  <c r="M306" i="1"/>
  <c r="L306" i="1"/>
  <c r="G50" i="16"/>
  <c r="H50" i="16" s="1"/>
  <c r="E51" i="16"/>
  <c r="J323" i="1"/>
  <c r="O316" i="1"/>
  <c r="L316" i="1"/>
  <c r="J325" i="1"/>
  <c r="L318" i="1"/>
  <c r="J328" i="1"/>
  <c r="L321" i="1"/>
  <c r="J319" i="1"/>
  <c r="L312" i="1"/>
  <c r="J331" i="1"/>
  <c r="L324" i="1"/>
  <c r="J322" i="1"/>
  <c r="O315" i="1"/>
  <c r="L315" i="1"/>
  <c r="J338" i="1" l="1"/>
  <c r="L331" i="1"/>
  <c r="L323" i="1"/>
  <c r="J330" i="1"/>
  <c r="O323" i="1"/>
  <c r="J326" i="1"/>
  <c r="L319" i="1"/>
  <c r="E52" i="16"/>
  <c r="G51" i="16"/>
  <c r="H51" i="16" s="1"/>
  <c r="J329" i="1"/>
  <c r="O322" i="1"/>
  <c r="L322" i="1"/>
  <c r="J332" i="1"/>
  <c r="L325" i="1"/>
  <c r="N313" i="1"/>
  <c r="J320" i="1"/>
  <c r="M313" i="1"/>
  <c r="L313" i="1"/>
  <c r="J335" i="1"/>
  <c r="L328" i="1"/>
  <c r="J327" i="1" l="1"/>
  <c r="M320" i="1"/>
  <c r="L320" i="1"/>
  <c r="N320" i="1"/>
  <c r="E53" i="16"/>
  <c r="G52" i="16"/>
  <c r="H52" i="16" s="1"/>
  <c r="J333" i="1"/>
  <c r="L326" i="1"/>
  <c r="L330" i="1"/>
  <c r="J337" i="1"/>
  <c r="O330" i="1"/>
  <c r="J339" i="1"/>
  <c r="L332" i="1"/>
  <c r="J342" i="1"/>
  <c r="L335" i="1"/>
  <c r="J336" i="1"/>
  <c r="O329" i="1"/>
  <c r="L329" i="1"/>
  <c r="J345" i="1"/>
  <c r="L338" i="1"/>
  <c r="J343" i="1" l="1"/>
  <c r="O336" i="1"/>
  <c r="L336" i="1"/>
  <c r="J340" i="1"/>
  <c r="L333" i="1"/>
  <c r="J349" i="1"/>
  <c r="L342" i="1"/>
  <c r="G53" i="16"/>
  <c r="H53" i="16" s="1"/>
  <c r="E54" i="16"/>
  <c r="J344" i="1"/>
  <c r="O337" i="1"/>
  <c r="L337" i="1"/>
  <c r="J346" i="1"/>
  <c r="L339" i="1"/>
  <c r="J352" i="1"/>
  <c r="L345" i="1"/>
  <c r="N327" i="1"/>
  <c r="J334" i="1"/>
  <c r="M327" i="1"/>
  <c r="L327" i="1"/>
  <c r="J359" i="1" l="1"/>
  <c r="L352" i="1"/>
  <c r="J356" i="1"/>
  <c r="L349" i="1"/>
  <c r="J347" i="1"/>
  <c r="L340" i="1"/>
  <c r="N334" i="1"/>
  <c r="J341" i="1"/>
  <c r="M334" i="1"/>
  <c r="L334" i="1"/>
  <c r="J351" i="1"/>
  <c r="O344" i="1"/>
  <c r="L344" i="1"/>
  <c r="J353" i="1"/>
  <c r="L346" i="1"/>
  <c r="E55" i="16"/>
  <c r="G54" i="16"/>
  <c r="H54" i="16" s="1"/>
  <c r="J350" i="1"/>
  <c r="O343" i="1"/>
  <c r="L343" i="1"/>
  <c r="J357" i="1" l="1"/>
  <c r="O350" i="1"/>
  <c r="L350" i="1"/>
  <c r="G55" i="16"/>
  <c r="H55" i="16" s="1"/>
  <c r="E56" i="16"/>
  <c r="N341" i="1"/>
  <c r="J348" i="1"/>
  <c r="M341" i="1"/>
  <c r="L341" i="1"/>
  <c r="J354" i="1"/>
  <c r="L347" i="1"/>
  <c r="J360" i="1"/>
  <c r="L353" i="1"/>
  <c r="L351" i="1"/>
  <c r="J358" i="1"/>
  <c r="O351" i="1"/>
  <c r="J363" i="1"/>
  <c r="L356" i="1"/>
  <c r="J366" i="1"/>
  <c r="L359" i="1"/>
  <c r="J365" i="1" l="1"/>
  <c r="O358" i="1"/>
  <c r="L358" i="1"/>
  <c r="J355" i="1"/>
  <c r="M348" i="1"/>
  <c r="L348" i="1"/>
  <c r="N348" i="1"/>
  <c r="E57" i="16"/>
  <c r="G56" i="16"/>
  <c r="H56" i="16" s="1"/>
  <c r="J367" i="1"/>
  <c r="L360" i="1"/>
  <c r="J373" i="1"/>
  <c r="L366" i="1"/>
  <c r="J361" i="1"/>
  <c r="L354" i="1"/>
  <c r="J370" i="1"/>
  <c r="L363" i="1"/>
  <c r="J364" i="1"/>
  <c r="O357" i="1"/>
  <c r="L357" i="1"/>
  <c r="J380" i="1" l="1"/>
  <c r="L373" i="1"/>
  <c r="J377" i="1"/>
  <c r="L370" i="1"/>
  <c r="E58" i="16"/>
  <c r="G57" i="16"/>
  <c r="H57" i="16" s="1"/>
  <c r="J362" i="1"/>
  <c r="M355" i="1"/>
  <c r="L355" i="1"/>
  <c r="N355" i="1"/>
  <c r="J368" i="1"/>
  <c r="L361" i="1"/>
  <c r="J371" i="1"/>
  <c r="O364" i="1"/>
  <c r="L364" i="1"/>
  <c r="J374" i="1"/>
  <c r="L367" i="1"/>
  <c r="J372" i="1"/>
  <c r="O365" i="1"/>
  <c r="L365" i="1"/>
  <c r="N362" i="1" l="1"/>
  <c r="J369" i="1"/>
  <c r="M362" i="1"/>
  <c r="L362" i="1"/>
  <c r="J381" i="1"/>
  <c r="L374" i="1"/>
  <c r="J378" i="1"/>
  <c r="O371" i="1"/>
  <c r="L371" i="1"/>
  <c r="E59" i="16"/>
  <c r="G58" i="16"/>
  <c r="H58" i="16" s="1"/>
  <c r="J375" i="1"/>
  <c r="L368" i="1"/>
  <c r="J384" i="1"/>
  <c r="L377" i="1"/>
  <c r="J379" i="1"/>
  <c r="O372" i="1"/>
  <c r="L372" i="1"/>
  <c r="J387" i="1"/>
  <c r="L380" i="1"/>
  <c r="J385" i="1" l="1"/>
  <c r="O378" i="1"/>
  <c r="L378" i="1"/>
  <c r="J388" i="1"/>
  <c r="L381" i="1"/>
  <c r="J382" i="1"/>
  <c r="L375" i="1"/>
  <c r="J394" i="1"/>
  <c r="L387" i="1"/>
  <c r="G59" i="16"/>
  <c r="H59" i="16" s="1"/>
  <c r="E60" i="16"/>
  <c r="N369" i="1"/>
  <c r="J376" i="1"/>
  <c r="M369" i="1"/>
  <c r="L369" i="1"/>
  <c r="L379" i="1"/>
  <c r="J386" i="1"/>
  <c r="O379" i="1"/>
  <c r="J391" i="1"/>
  <c r="L384" i="1"/>
  <c r="J401" i="1" l="1"/>
  <c r="L394" i="1"/>
  <c r="J389" i="1"/>
  <c r="L382" i="1"/>
  <c r="J395" i="1"/>
  <c r="L388" i="1"/>
  <c r="J383" i="1"/>
  <c r="M376" i="1"/>
  <c r="L376" i="1"/>
  <c r="N376" i="1"/>
  <c r="J398" i="1"/>
  <c r="L391" i="1"/>
  <c r="E61" i="16"/>
  <c r="G60" i="16"/>
  <c r="H60" i="16" s="1"/>
  <c r="L386" i="1"/>
  <c r="J393" i="1"/>
  <c r="O386" i="1"/>
  <c r="J392" i="1"/>
  <c r="O385" i="1"/>
  <c r="L385" i="1"/>
  <c r="N383" i="1" l="1"/>
  <c r="J390" i="1"/>
  <c r="M383" i="1"/>
  <c r="L383" i="1"/>
  <c r="J400" i="1"/>
  <c r="O393" i="1"/>
  <c r="L393" i="1"/>
  <c r="G61" i="16"/>
  <c r="H61" i="16" s="1"/>
  <c r="E62" i="16"/>
  <c r="J402" i="1"/>
  <c r="L395" i="1"/>
  <c r="J405" i="1"/>
  <c r="L398" i="1"/>
  <c r="J396" i="1"/>
  <c r="L389" i="1"/>
  <c r="J399" i="1"/>
  <c r="O392" i="1"/>
  <c r="L392" i="1"/>
  <c r="J408" i="1"/>
  <c r="L401" i="1"/>
  <c r="J412" i="1" l="1"/>
  <c r="L405" i="1"/>
  <c r="J415" i="1"/>
  <c r="L408" i="1"/>
  <c r="J406" i="1"/>
  <c r="O399" i="1"/>
  <c r="L399" i="1"/>
  <c r="J403" i="1"/>
  <c r="L396" i="1"/>
  <c r="J407" i="1"/>
  <c r="O400" i="1"/>
  <c r="L400" i="1"/>
  <c r="J409" i="1"/>
  <c r="L402" i="1"/>
  <c r="N390" i="1"/>
  <c r="J397" i="1"/>
  <c r="M390" i="1"/>
  <c r="L390" i="1"/>
  <c r="E63" i="16"/>
  <c r="G62" i="16"/>
  <c r="H62" i="16" s="1"/>
  <c r="E64" i="16" l="1"/>
  <c r="G63" i="16"/>
  <c r="H63" i="16" s="1"/>
  <c r="N397" i="1"/>
  <c r="J404" i="1"/>
  <c r="M397" i="1"/>
  <c r="L397" i="1"/>
  <c r="J410" i="1"/>
  <c r="L403" i="1"/>
  <c r="J416" i="1"/>
  <c r="L409" i="1"/>
  <c r="J413" i="1"/>
  <c r="O406" i="1"/>
  <c r="L406" i="1"/>
  <c r="J422" i="1"/>
  <c r="L415" i="1"/>
  <c r="L407" i="1"/>
  <c r="J414" i="1"/>
  <c r="O407" i="1"/>
  <c r="J419" i="1"/>
  <c r="L412" i="1"/>
  <c r="J417" i="1" l="1"/>
  <c r="L410" i="1"/>
  <c r="J411" i="1"/>
  <c r="M404" i="1"/>
  <c r="L404" i="1"/>
  <c r="N404" i="1"/>
  <c r="J429" i="1"/>
  <c r="L422" i="1"/>
  <c r="J426" i="1"/>
  <c r="L419" i="1"/>
  <c r="J420" i="1"/>
  <c r="O413" i="1"/>
  <c r="L413" i="1"/>
  <c r="J421" i="1"/>
  <c r="O414" i="1"/>
  <c r="L414" i="1"/>
  <c r="J423" i="1"/>
  <c r="L416" i="1"/>
  <c r="G64" i="16"/>
  <c r="H64" i="16" s="1"/>
  <c r="E65" i="16"/>
  <c r="L429" i="1" l="1"/>
  <c r="J436" i="1"/>
  <c r="J428" i="1"/>
  <c r="O421" i="1"/>
  <c r="L421" i="1"/>
  <c r="O420" i="1"/>
  <c r="L420" i="1"/>
  <c r="J427" i="1"/>
  <c r="J418" i="1"/>
  <c r="M411" i="1"/>
  <c r="L411" i="1"/>
  <c r="N411" i="1"/>
  <c r="E66" i="16"/>
  <c r="G65" i="16"/>
  <c r="H65" i="16" s="1"/>
  <c r="L423" i="1"/>
  <c r="J430" i="1"/>
  <c r="J433" i="1"/>
  <c r="L426" i="1"/>
  <c r="J424" i="1"/>
  <c r="L417" i="1"/>
  <c r="L424" i="1" l="1"/>
  <c r="J431" i="1"/>
  <c r="L433" i="1"/>
  <c r="J440" i="1"/>
  <c r="N418" i="1"/>
  <c r="J425" i="1"/>
  <c r="M418" i="1"/>
  <c r="L418" i="1"/>
  <c r="L430" i="1"/>
  <c r="J437" i="1"/>
  <c r="L427" i="1"/>
  <c r="O427" i="1"/>
  <c r="J434" i="1"/>
  <c r="G66" i="16"/>
  <c r="H66" i="16" s="1"/>
  <c r="E67" i="16"/>
  <c r="J435" i="1"/>
  <c r="O428" i="1"/>
  <c r="L428" i="1"/>
  <c r="L436" i="1"/>
  <c r="J443" i="1"/>
  <c r="L435" i="1" l="1"/>
  <c r="J442" i="1"/>
  <c r="O435" i="1"/>
  <c r="E68" i="16"/>
  <c r="G67" i="16"/>
  <c r="H67" i="16" s="1"/>
  <c r="N425" i="1"/>
  <c r="J432" i="1"/>
  <c r="M425" i="1"/>
  <c r="L425" i="1"/>
  <c r="J441" i="1"/>
  <c r="O434" i="1"/>
  <c r="L434" i="1"/>
  <c r="J450" i="1"/>
  <c r="L443" i="1"/>
  <c r="J447" i="1"/>
  <c r="L440" i="1"/>
  <c r="J444" i="1"/>
  <c r="L437" i="1"/>
  <c r="J438" i="1"/>
  <c r="L431" i="1"/>
  <c r="J454" i="1" l="1"/>
  <c r="L447" i="1"/>
  <c r="J439" i="1"/>
  <c r="M432" i="1"/>
  <c r="L432" i="1"/>
  <c r="N432" i="1"/>
  <c r="J457" i="1"/>
  <c r="L450" i="1"/>
  <c r="G68" i="16"/>
  <c r="H68" i="16" s="1"/>
  <c r="E69" i="16"/>
  <c r="J448" i="1"/>
  <c r="O441" i="1"/>
  <c r="L441" i="1"/>
  <c r="J449" i="1"/>
  <c r="O442" i="1"/>
  <c r="L442" i="1"/>
  <c r="J445" i="1"/>
  <c r="L438" i="1"/>
  <c r="J451" i="1"/>
  <c r="L444" i="1"/>
  <c r="J464" i="1" l="1"/>
  <c r="L457" i="1"/>
  <c r="J456" i="1"/>
  <c r="O449" i="1"/>
  <c r="L449" i="1"/>
  <c r="L451" i="1"/>
  <c r="J458" i="1"/>
  <c r="O448" i="1"/>
  <c r="L448" i="1"/>
  <c r="J455" i="1"/>
  <c r="N439" i="1"/>
  <c r="M439" i="1"/>
  <c r="L439" i="1"/>
  <c r="J446" i="1"/>
  <c r="G69" i="16"/>
  <c r="H69" i="16" s="1"/>
  <c r="E70" i="16"/>
  <c r="J452" i="1"/>
  <c r="L445" i="1"/>
  <c r="L454" i="1"/>
  <c r="J461" i="1"/>
  <c r="N446" i="1" l="1"/>
  <c r="J453" i="1"/>
  <c r="M446" i="1"/>
  <c r="L446" i="1"/>
  <c r="G70" i="16"/>
  <c r="H70" i="16" s="1"/>
  <c r="E71" i="16"/>
  <c r="J465" i="1"/>
  <c r="L458" i="1"/>
  <c r="J468" i="1"/>
  <c r="L461" i="1"/>
  <c r="J463" i="1"/>
  <c r="O456" i="1"/>
  <c r="L456" i="1"/>
  <c r="J462" i="1"/>
  <c r="O455" i="1"/>
  <c r="L455" i="1"/>
  <c r="J459" i="1"/>
  <c r="L452" i="1"/>
  <c r="J471" i="1"/>
  <c r="L464" i="1"/>
  <c r="J472" i="1" l="1"/>
  <c r="L465" i="1"/>
  <c r="J469" i="1"/>
  <c r="O462" i="1"/>
  <c r="L462" i="1"/>
  <c r="E72" i="16"/>
  <c r="G71" i="16"/>
  <c r="H71" i="16" s="1"/>
  <c r="J478" i="1"/>
  <c r="L471" i="1"/>
  <c r="L463" i="1"/>
  <c r="O463" i="1"/>
  <c r="J470" i="1"/>
  <c r="N453" i="1"/>
  <c r="J460" i="1"/>
  <c r="M453" i="1"/>
  <c r="L453" i="1"/>
  <c r="J466" i="1"/>
  <c r="L459" i="1"/>
  <c r="J475" i="1"/>
  <c r="L468" i="1"/>
  <c r="J485" i="1" l="1"/>
  <c r="L478" i="1"/>
  <c r="J467" i="1"/>
  <c r="M460" i="1"/>
  <c r="L460" i="1"/>
  <c r="N460" i="1"/>
  <c r="E73" i="16"/>
  <c r="G72" i="16"/>
  <c r="H72" i="16" s="1"/>
  <c r="J477" i="1"/>
  <c r="O470" i="1"/>
  <c r="L470" i="1"/>
  <c r="J482" i="1"/>
  <c r="L475" i="1"/>
  <c r="J476" i="1"/>
  <c r="O469" i="1"/>
  <c r="L469" i="1"/>
  <c r="J473" i="1"/>
  <c r="L466" i="1"/>
  <c r="J479" i="1"/>
  <c r="L472" i="1"/>
  <c r="O476" i="1" l="1"/>
  <c r="L476" i="1"/>
  <c r="J483" i="1"/>
  <c r="E74" i="16"/>
  <c r="G73" i="16"/>
  <c r="H73" i="16" s="1"/>
  <c r="N467" i="1"/>
  <c r="J474" i="1"/>
  <c r="M467" i="1"/>
  <c r="L467" i="1"/>
  <c r="J489" i="1"/>
  <c r="L482" i="1"/>
  <c r="J486" i="1"/>
  <c r="L479" i="1"/>
  <c r="L473" i="1"/>
  <c r="J480" i="1"/>
  <c r="J484" i="1"/>
  <c r="O477" i="1"/>
  <c r="L477" i="1"/>
  <c r="L485" i="1"/>
  <c r="J492" i="1"/>
  <c r="J491" i="1" l="1"/>
  <c r="O484" i="1"/>
  <c r="L484" i="1"/>
  <c r="J487" i="1"/>
  <c r="L480" i="1"/>
  <c r="N474" i="1"/>
  <c r="J481" i="1"/>
  <c r="M474" i="1"/>
  <c r="L474" i="1"/>
  <c r="J496" i="1"/>
  <c r="L489" i="1"/>
  <c r="J499" i="1"/>
  <c r="L492" i="1"/>
  <c r="J493" i="1"/>
  <c r="L486" i="1"/>
  <c r="E75" i="16"/>
  <c r="G74" i="16"/>
  <c r="H74" i="16" s="1"/>
  <c r="J490" i="1"/>
  <c r="O483" i="1"/>
  <c r="L483" i="1"/>
  <c r="G75" i="16" l="1"/>
  <c r="H75" i="16" s="1"/>
  <c r="E76" i="16"/>
  <c r="N481" i="1"/>
  <c r="J488" i="1"/>
  <c r="M481" i="1"/>
  <c r="L481" i="1"/>
  <c r="J500" i="1"/>
  <c r="L493" i="1"/>
  <c r="J506" i="1"/>
  <c r="L499" i="1"/>
  <c r="J494" i="1"/>
  <c r="L487" i="1"/>
  <c r="J497" i="1"/>
  <c r="O490" i="1"/>
  <c r="L490" i="1"/>
  <c r="J503" i="1"/>
  <c r="L496" i="1"/>
  <c r="L491" i="1"/>
  <c r="J498" i="1"/>
  <c r="O491" i="1"/>
  <c r="J504" i="1" l="1"/>
  <c r="O497" i="1"/>
  <c r="L497" i="1"/>
  <c r="J510" i="1"/>
  <c r="L503" i="1"/>
  <c r="J507" i="1"/>
  <c r="L500" i="1"/>
  <c r="J495" i="1"/>
  <c r="M488" i="1"/>
  <c r="L488" i="1"/>
  <c r="N488" i="1"/>
  <c r="J505" i="1"/>
  <c r="O498" i="1"/>
  <c r="L498" i="1"/>
  <c r="J501" i="1"/>
  <c r="L494" i="1"/>
  <c r="E77" i="16"/>
  <c r="G76" i="16"/>
  <c r="H76" i="16" s="1"/>
  <c r="J513" i="1"/>
  <c r="L506" i="1"/>
  <c r="N495" i="1" l="1"/>
  <c r="J502" i="1"/>
  <c r="M495" i="1"/>
  <c r="L495" i="1"/>
  <c r="L501" i="1"/>
  <c r="J508" i="1"/>
  <c r="J514" i="1"/>
  <c r="L507" i="1"/>
  <c r="J512" i="1"/>
  <c r="O505" i="1"/>
  <c r="L505" i="1"/>
  <c r="L510" i="1"/>
  <c r="J517" i="1"/>
  <c r="L513" i="1"/>
  <c r="J520" i="1"/>
  <c r="G77" i="16"/>
  <c r="H77" i="16" s="1"/>
  <c r="E78" i="16"/>
  <c r="J511" i="1"/>
  <c r="O504" i="1"/>
  <c r="L504" i="1"/>
  <c r="J527" i="1" l="1"/>
  <c r="L520" i="1"/>
  <c r="J521" i="1"/>
  <c r="L514" i="1"/>
  <c r="J515" i="1"/>
  <c r="L508" i="1"/>
  <c r="J524" i="1"/>
  <c r="L517" i="1"/>
  <c r="N502" i="1"/>
  <c r="J509" i="1"/>
  <c r="M502" i="1"/>
  <c r="L502" i="1"/>
  <c r="J518" i="1"/>
  <c r="O511" i="1"/>
  <c r="L511" i="1"/>
  <c r="E79" i="16"/>
  <c r="G78" i="16"/>
  <c r="H78" i="16" s="1"/>
  <c r="J519" i="1"/>
  <c r="O512" i="1"/>
  <c r="L512" i="1"/>
  <c r="J531" i="1" l="1"/>
  <c r="L524" i="1"/>
  <c r="J525" i="1"/>
  <c r="O518" i="1"/>
  <c r="L518" i="1"/>
  <c r="J522" i="1"/>
  <c r="L515" i="1"/>
  <c r="G79" i="16"/>
  <c r="H79" i="16" s="1"/>
  <c r="E80" i="16"/>
  <c r="J528" i="1"/>
  <c r="L521" i="1"/>
  <c r="N509" i="1"/>
  <c r="J516" i="1"/>
  <c r="M509" i="1"/>
  <c r="L509" i="1"/>
  <c r="L519" i="1"/>
  <c r="J526" i="1"/>
  <c r="O519" i="1"/>
  <c r="J534" i="1"/>
  <c r="L527" i="1"/>
  <c r="J529" i="1" l="1"/>
  <c r="L522" i="1"/>
  <c r="J523" i="1"/>
  <c r="M516" i="1"/>
  <c r="L516" i="1"/>
  <c r="N516" i="1"/>
  <c r="J532" i="1"/>
  <c r="O525" i="1"/>
  <c r="L525" i="1"/>
  <c r="J541" i="1"/>
  <c r="L534" i="1"/>
  <c r="J535" i="1"/>
  <c r="L528" i="1"/>
  <c r="J533" i="1"/>
  <c r="O526" i="1"/>
  <c r="L526" i="1"/>
  <c r="E81" i="16"/>
  <c r="G80" i="16"/>
  <c r="H80" i="16" s="1"/>
  <c r="J538" i="1"/>
  <c r="L531" i="1"/>
  <c r="J539" i="1" l="1"/>
  <c r="O532" i="1"/>
  <c r="L532" i="1"/>
  <c r="J540" i="1"/>
  <c r="O533" i="1"/>
  <c r="L533" i="1"/>
  <c r="N523" i="1"/>
  <c r="M523" i="1"/>
  <c r="L523" i="1"/>
  <c r="J530" i="1"/>
  <c r="L535" i="1"/>
  <c r="J542" i="1"/>
  <c r="L538" i="1"/>
  <c r="J545" i="1"/>
  <c r="J548" i="1"/>
  <c r="L541" i="1"/>
  <c r="E82" i="16"/>
  <c r="G81" i="16"/>
  <c r="H81" i="16" s="1"/>
  <c r="J536" i="1"/>
  <c r="L529" i="1"/>
  <c r="J549" i="1" l="1"/>
  <c r="L542" i="1"/>
  <c r="J547" i="1"/>
  <c r="O540" i="1"/>
  <c r="L540" i="1"/>
  <c r="E83" i="16"/>
  <c r="G82" i="16"/>
  <c r="H82" i="16" s="1"/>
  <c r="J555" i="1"/>
  <c r="L548" i="1"/>
  <c r="J552" i="1"/>
  <c r="L545" i="1"/>
  <c r="J543" i="1"/>
  <c r="L536" i="1"/>
  <c r="N530" i="1"/>
  <c r="J537" i="1"/>
  <c r="M530" i="1"/>
  <c r="L530" i="1"/>
  <c r="J546" i="1"/>
  <c r="O539" i="1"/>
  <c r="L539" i="1"/>
  <c r="J550" i="1" l="1"/>
  <c r="L543" i="1"/>
  <c r="J553" i="1"/>
  <c r="O546" i="1"/>
  <c r="L546" i="1"/>
  <c r="J559" i="1"/>
  <c r="L552" i="1"/>
  <c r="J562" i="1"/>
  <c r="L555" i="1"/>
  <c r="N537" i="1"/>
  <c r="J544" i="1"/>
  <c r="M537" i="1"/>
  <c r="L537" i="1"/>
  <c r="E84" i="16"/>
  <c r="G83" i="16"/>
  <c r="H83" i="16" s="1"/>
  <c r="L547" i="1"/>
  <c r="O547" i="1"/>
  <c r="J554" i="1"/>
  <c r="J556" i="1"/>
  <c r="L549" i="1"/>
  <c r="J569" i="1" l="1"/>
  <c r="L562" i="1"/>
  <c r="G84" i="16"/>
  <c r="H84" i="16" s="1"/>
  <c r="E85" i="16"/>
  <c r="J566" i="1"/>
  <c r="L559" i="1"/>
  <c r="J563" i="1"/>
  <c r="L556" i="1"/>
  <c r="J551" i="1"/>
  <c r="M544" i="1"/>
  <c r="L544" i="1"/>
  <c r="N544" i="1"/>
  <c r="J560" i="1"/>
  <c r="O553" i="1"/>
  <c r="L553" i="1"/>
  <c r="J561" i="1"/>
  <c r="O554" i="1"/>
  <c r="L554" i="1"/>
  <c r="J557" i="1"/>
  <c r="L550" i="1"/>
  <c r="J568" i="1" l="1"/>
  <c r="O561" i="1"/>
  <c r="L561" i="1"/>
  <c r="O560" i="1"/>
  <c r="L560" i="1"/>
  <c r="J567" i="1"/>
  <c r="J573" i="1"/>
  <c r="L566" i="1"/>
  <c r="G85" i="16"/>
  <c r="H85" i="16" s="1"/>
  <c r="E86" i="16"/>
  <c r="J564" i="1"/>
  <c r="L557" i="1"/>
  <c r="L563" i="1"/>
  <c r="J570" i="1"/>
  <c r="N551" i="1"/>
  <c r="M551" i="1"/>
  <c r="L551" i="1"/>
  <c r="J558" i="1"/>
  <c r="J576" i="1"/>
  <c r="L569" i="1"/>
  <c r="J580" i="1" l="1"/>
  <c r="L573" i="1"/>
  <c r="J577" i="1"/>
  <c r="L570" i="1"/>
  <c r="J574" i="1"/>
  <c r="O567" i="1"/>
  <c r="L567" i="1"/>
  <c r="J583" i="1"/>
  <c r="L576" i="1"/>
  <c r="J571" i="1"/>
  <c r="L564" i="1"/>
  <c r="N558" i="1"/>
  <c r="J565" i="1"/>
  <c r="M558" i="1"/>
  <c r="L558" i="1"/>
  <c r="G86" i="16"/>
  <c r="H86" i="16" s="1"/>
  <c r="E87" i="16"/>
  <c r="J575" i="1"/>
  <c r="O568" i="1"/>
  <c r="L568" i="1"/>
  <c r="J590" i="1" l="1"/>
  <c r="L583" i="1"/>
  <c r="N565" i="1"/>
  <c r="J572" i="1"/>
  <c r="M565" i="1"/>
  <c r="L565" i="1"/>
  <c r="J581" i="1"/>
  <c r="O574" i="1"/>
  <c r="L574" i="1"/>
  <c r="J584" i="1"/>
  <c r="L577" i="1"/>
  <c r="L575" i="1"/>
  <c r="O575" i="1"/>
  <c r="J582" i="1"/>
  <c r="J578" i="1"/>
  <c r="L571" i="1"/>
  <c r="E88" i="16"/>
  <c r="G87" i="16"/>
  <c r="H87" i="16" s="1"/>
  <c r="J587" i="1"/>
  <c r="L580" i="1"/>
  <c r="J585" i="1" l="1"/>
  <c r="L578" i="1"/>
  <c r="J588" i="1"/>
  <c r="O581" i="1"/>
  <c r="L581" i="1"/>
  <c r="J589" i="1"/>
  <c r="O582" i="1"/>
  <c r="L582" i="1"/>
  <c r="J579" i="1"/>
  <c r="M572" i="1"/>
  <c r="L572" i="1"/>
  <c r="N572" i="1"/>
  <c r="J594" i="1"/>
  <c r="L587" i="1"/>
  <c r="J591" i="1"/>
  <c r="L584" i="1"/>
  <c r="G88" i="16"/>
  <c r="H88" i="16" s="1"/>
  <c r="E89" i="16"/>
  <c r="G89" i="16" s="1"/>
  <c r="H89" i="16" s="1"/>
  <c r="J597" i="1"/>
  <c r="L590" i="1"/>
  <c r="J596" i="1" l="1"/>
  <c r="O589" i="1"/>
  <c r="L589" i="1"/>
  <c r="J598" i="1"/>
  <c r="L591" i="1"/>
  <c r="J601" i="1"/>
  <c r="L594" i="1"/>
  <c r="O588" i="1"/>
  <c r="L588" i="1"/>
  <c r="J595" i="1"/>
  <c r="L597" i="1"/>
  <c r="J604" i="1"/>
  <c r="N579" i="1"/>
  <c r="J586" i="1"/>
  <c r="M579" i="1"/>
  <c r="L579" i="1"/>
  <c r="L585" i="1"/>
  <c r="J592" i="1"/>
  <c r="N586" i="1" l="1"/>
  <c r="J593" i="1"/>
  <c r="M586" i="1"/>
  <c r="L586" i="1"/>
  <c r="J608" i="1"/>
  <c r="L601" i="1"/>
  <c r="J611" i="1"/>
  <c r="L604" i="1"/>
  <c r="J605" i="1"/>
  <c r="L598" i="1"/>
  <c r="J599" i="1"/>
  <c r="L592" i="1"/>
  <c r="J602" i="1"/>
  <c r="O595" i="1"/>
  <c r="L595" i="1"/>
  <c r="J603" i="1"/>
  <c r="O596" i="1"/>
  <c r="L596" i="1"/>
  <c r="J618" i="1" l="1"/>
  <c r="L611" i="1"/>
  <c r="J609" i="1"/>
  <c r="O602" i="1"/>
  <c r="L602" i="1"/>
  <c r="J615" i="1"/>
  <c r="L608" i="1"/>
  <c r="J606" i="1"/>
  <c r="L599" i="1"/>
  <c r="L603" i="1"/>
  <c r="J610" i="1"/>
  <c r="O603" i="1"/>
  <c r="N593" i="1"/>
  <c r="J600" i="1"/>
  <c r="M593" i="1"/>
  <c r="L593" i="1"/>
  <c r="J612" i="1"/>
  <c r="L605" i="1"/>
  <c r="J613" i="1" l="1"/>
  <c r="L606" i="1"/>
  <c r="J607" i="1"/>
  <c r="M600" i="1"/>
  <c r="L600" i="1"/>
  <c r="N600" i="1"/>
  <c r="J622" i="1"/>
  <c r="L615" i="1"/>
  <c r="J617" i="1"/>
  <c r="O610" i="1"/>
  <c r="L610" i="1"/>
  <c r="J616" i="1"/>
  <c r="O609" i="1"/>
  <c r="L609" i="1"/>
  <c r="J619" i="1"/>
  <c r="L612" i="1"/>
  <c r="J625" i="1"/>
  <c r="L618" i="1"/>
  <c r="J626" i="1" l="1"/>
  <c r="L619" i="1"/>
  <c r="L622" i="1"/>
  <c r="J629" i="1"/>
  <c r="J623" i="1"/>
  <c r="O616" i="1"/>
  <c r="L616" i="1"/>
  <c r="N607" i="1"/>
  <c r="J614" i="1"/>
  <c r="M607" i="1"/>
  <c r="L607" i="1"/>
  <c r="L625" i="1"/>
  <c r="J632" i="1"/>
  <c r="J624" i="1"/>
  <c r="O617" i="1"/>
  <c r="L617" i="1"/>
  <c r="L613" i="1"/>
  <c r="J620" i="1"/>
  <c r="J631" i="1" l="1"/>
  <c r="O624" i="1"/>
  <c r="L624" i="1"/>
  <c r="J639" i="1"/>
  <c r="L632" i="1"/>
  <c r="J630" i="1"/>
  <c r="O623" i="1"/>
  <c r="L623" i="1"/>
  <c r="J636" i="1"/>
  <c r="L629" i="1"/>
  <c r="J627" i="1"/>
  <c r="L620" i="1"/>
  <c r="N614" i="1"/>
  <c r="J621" i="1"/>
  <c r="M614" i="1"/>
  <c r="L614" i="1"/>
  <c r="J633" i="1"/>
  <c r="L626" i="1"/>
  <c r="N621" i="1" l="1"/>
  <c r="J628" i="1"/>
  <c r="M621" i="1"/>
  <c r="L621" i="1"/>
  <c r="J637" i="1"/>
  <c r="O630" i="1"/>
  <c r="L630" i="1"/>
  <c r="J646" i="1"/>
  <c r="L639" i="1"/>
  <c r="J634" i="1"/>
  <c r="L627" i="1"/>
  <c r="J640" i="1"/>
  <c r="L633" i="1"/>
  <c r="J643" i="1"/>
  <c r="L636" i="1"/>
  <c r="L631" i="1"/>
  <c r="J638" i="1"/>
  <c r="O631" i="1"/>
  <c r="J645" i="1" l="1"/>
  <c r="O638" i="1"/>
  <c r="L638" i="1"/>
  <c r="J653" i="1"/>
  <c r="L646" i="1"/>
  <c r="J644" i="1"/>
  <c r="O637" i="1"/>
  <c r="L637" i="1"/>
  <c r="J650" i="1"/>
  <c r="L643" i="1"/>
  <c r="J647" i="1"/>
  <c r="L640" i="1"/>
  <c r="J641" i="1"/>
  <c r="L634" i="1"/>
  <c r="J635" i="1"/>
  <c r="M628" i="1"/>
  <c r="L628" i="1"/>
  <c r="N628" i="1"/>
  <c r="J651" i="1" l="1"/>
  <c r="O644" i="1"/>
  <c r="L644" i="1"/>
  <c r="J660" i="1"/>
  <c r="L653" i="1"/>
  <c r="N635" i="1"/>
  <c r="M635" i="1"/>
  <c r="L635" i="1"/>
  <c r="J642" i="1"/>
  <c r="J648" i="1"/>
  <c r="L641" i="1"/>
  <c r="L647" i="1"/>
  <c r="J654" i="1"/>
  <c r="L650" i="1"/>
  <c r="J657" i="1"/>
  <c r="J652" i="1"/>
  <c r="O645" i="1"/>
  <c r="L645" i="1"/>
  <c r="J659" i="1" l="1"/>
  <c r="O652" i="1"/>
  <c r="L652" i="1"/>
  <c r="J664" i="1"/>
  <c r="L657" i="1"/>
  <c r="J661" i="1"/>
  <c r="L654" i="1"/>
  <c r="J667" i="1"/>
  <c r="L660" i="1"/>
  <c r="J655" i="1"/>
  <c r="L648" i="1"/>
  <c r="N642" i="1"/>
  <c r="J649" i="1"/>
  <c r="M642" i="1"/>
  <c r="L642" i="1"/>
  <c r="J658" i="1"/>
  <c r="O651" i="1"/>
  <c r="L651" i="1"/>
  <c r="J662" i="1" l="1"/>
  <c r="L655" i="1"/>
  <c r="J665" i="1"/>
  <c r="O658" i="1"/>
  <c r="L658" i="1"/>
  <c r="J674" i="1"/>
  <c r="L667" i="1"/>
  <c r="J668" i="1"/>
  <c r="L661" i="1"/>
  <c r="N649" i="1"/>
  <c r="J656" i="1"/>
  <c r="M649" i="1"/>
  <c r="L649" i="1"/>
  <c r="J671" i="1"/>
  <c r="L664" i="1"/>
  <c r="L659" i="1"/>
  <c r="O659" i="1"/>
  <c r="J666" i="1"/>
  <c r="J675" i="1" l="1"/>
  <c r="L668" i="1"/>
  <c r="J678" i="1"/>
  <c r="L671" i="1"/>
  <c r="J681" i="1"/>
  <c r="L674" i="1"/>
  <c r="J663" i="1"/>
  <c r="M656" i="1"/>
  <c r="L656" i="1"/>
  <c r="N656" i="1"/>
  <c r="J672" i="1"/>
  <c r="O665" i="1"/>
  <c r="L665" i="1"/>
  <c r="J673" i="1"/>
  <c r="O666" i="1"/>
  <c r="L666" i="1"/>
  <c r="J669" i="1"/>
  <c r="L662" i="1"/>
  <c r="N663" i="1" l="1"/>
  <c r="M663" i="1"/>
  <c r="L663" i="1"/>
  <c r="J670" i="1"/>
  <c r="J688" i="1"/>
  <c r="L681" i="1"/>
  <c r="J680" i="1"/>
  <c r="O673" i="1"/>
  <c r="L673" i="1"/>
  <c r="O672" i="1"/>
  <c r="L672" i="1"/>
  <c r="J679" i="1"/>
  <c r="J685" i="1"/>
  <c r="L678" i="1"/>
  <c r="J676" i="1"/>
  <c r="L669" i="1"/>
  <c r="L675" i="1"/>
  <c r="J682" i="1"/>
  <c r="J683" i="1" l="1"/>
  <c r="L676" i="1"/>
  <c r="J687" i="1"/>
  <c r="O680" i="1"/>
  <c r="L680" i="1"/>
  <c r="J692" i="1"/>
  <c r="L685" i="1"/>
  <c r="J695" i="1"/>
  <c r="L688" i="1"/>
  <c r="J686" i="1"/>
  <c r="O679" i="1"/>
  <c r="L679" i="1"/>
  <c r="N670" i="1"/>
  <c r="J677" i="1"/>
  <c r="M670" i="1"/>
  <c r="L670" i="1"/>
  <c r="J689" i="1"/>
  <c r="L682" i="1"/>
  <c r="J702" i="1" l="1"/>
  <c r="L695" i="1"/>
  <c r="N677" i="1"/>
  <c r="J684" i="1"/>
  <c r="M677" i="1"/>
  <c r="L677" i="1"/>
  <c r="J699" i="1"/>
  <c r="L692" i="1"/>
  <c r="L687" i="1"/>
  <c r="O687" i="1"/>
  <c r="J694" i="1"/>
  <c r="J693" i="1"/>
  <c r="O686" i="1"/>
  <c r="L686" i="1"/>
  <c r="J696" i="1"/>
  <c r="L689" i="1"/>
  <c r="J690" i="1"/>
  <c r="L683" i="1"/>
  <c r="J703" i="1" l="1"/>
  <c r="L696" i="1"/>
  <c r="J706" i="1"/>
  <c r="L699" i="1"/>
  <c r="J700" i="1"/>
  <c r="O693" i="1"/>
  <c r="L693" i="1"/>
  <c r="J691" i="1"/>
  <c r="M684" i="1"/>
  <c r="L684" i="1"/>
  <c r="N684" i="1"/>
  <c r="J701" i="1"/>
  <c r="O694" i="1"/>
  <c r="L694" i="1"/>
  <c r="J697" i="1"/>
  <c r="L690" i="1"/>
  <c r="J709" i="1"/>
  <c r="L702" i="1"/>
  <c r="N691" i="1" l="1"/>
  <c r="J698" i="1"/>
  <c r="M691" i="1"/>
  <c r="L691" i="1"/>
  <c r="L697" i="1"/>
  <c r="J704" i="1"/>
  <c r="O700" i="1"/>
  <c r="L700" i="1"/>
  <c r="J707" i="1"/>
  <c r="J708" i="1"/>
  <c r="O701" i="1"/>
  <c r="L701" i="1"/>
  <c r="J713" i="1"/>
  <c r="L706" i="1"/>
  <c r="L709" i="1"/>
  <c r="J716" i="1"/>
  <c r="J710" i="1"/>
  <c r="L703" i="1"/>
  <c r="J711" i="1" l="1"/>
  <c r="L704" i="1"/>
  <c r="J723" i="1"/>
  <c r="L716" i="1"/>
  <c r="J720" i="1"/>
  <c r="L713" i="1"/>
  <c r="J715" i="1"/>
  <c r="O708" i="1"/>
  <c r="L708" i="1"/>
  <c r="N698" i="1"/>
  <c r="J705" i="1"/>
  <c r="M698" i="1"/>
  <c r="L698" i="1"/>
  <c r="J717" i="1"/>
  <c r="L710" i="1"/>
  <c r="J714" i="1"/>
  <c r="O707" i="1"/>
  <c r="L707" i="1"/>
  <c r="L715" i="1" l="1"/>
  <c r="J722" i="1"/>
  <c r="O715" i="1"/>
  <c r="J727" i="1"/>
  <c r="L720" i="1"/>
  <c r="J721" i="1"/>
  <c r="O714" i="1"/>
  <c r="L714" i="1"/>
  <c r="J724" i="1"/>
  <c r="L717" i="1"/>
  <c r="N705" i="1"/>
  <c r="J712" i="1"/>
  <c r="M705" i="1"/>
  <c r="L705" i="1"/>
  <c r="J730" i="1"/>
  <c r="L723" i="1"/>
  <c r="J718" i="1"/>
  <c r="L711" i="1"/>
  <c r="O721" i="1" l="1"/>
  <c r="L721" i="1"/>
  <c r="J728" i="1"/>
  <c r="J719" i="1"/>
  <c r="M712" i="1"/>
  <c r="L712" i="1"/>
  <c r="N712" i="1"/>
  <c r="L727" i="1"/>
  <c r="J734" i="1"/>
  <c r="L730" i="1"/>
  <c r="J737" i="1"/>
  <c r="O722" i="1"/>
  <c r="L722" i="1"/>
  <c r="J729" i="1"/>
  <c r="J725" i="1"/>
  <c r="L718" i="1"/>
  <c r="L724" i="1"/>
  <c r="J731" i="1"/>
  <c r="L725" i="1" l="1"/>
  <c r="J732" i="1"/>
  <c r="N719" i="1"/>
  <c r="J726" i="1"/>
  <c r="M719" i="1"/>
  <c r="L719" i="1"/>
  <c r="J744" i="1"/>
  <c r="L737" i="1"/>
  <c r="O728" i="1"/>
  <c r="L728" i="1"/>
  <c r="J735" i="1"/>
  <c r="J736" i="1"/>
  <c r="O729" i="1"/>
  <c r="L729" i="1"/>
  <c r="L731" i="1"/>
  <c r="J738" i="1"/>
  <c r="J741" i="1"/>
  <c r="L734" i="1"/>
  <c r="L744" i="1" l="1"/>
  <c r="J751" i="1"/>
  <c r="J743" i="1"/>
  <c r="O736" i="1"/>
  <c r="L736" i="1"/>
  <c r="J733" i="1"/>
  <c r="N726" i="1"/>
  <c r="M726" i="1"/>
  <c r="L726" i="1"/>
  <c r="J745" i="1"/>
  <c r="L738" i="1"/>
  <c r="L732" i="1"/>
  <c r="J739" i="1"/>
  <c r="O735" i="1"/>
  <c r="L735" i="1"/>
  <c r="J742" i="1"/>
  <c r="J748" i="1"/>
  <c r="L741" i="1"/>
  <c r="N733" i="1" l="1"/>
  <c r="J740" i="1"/>
  <c r="M733" i="1"/>
  <c r="L733" i="1"/>
  <c r="J749" i="1"/>
  <c r="O742" i="1"/>
  <c r="L742" i="1"/>
  <c r="O743" i="1"/>
  <c r="L743" i="1"/>
  <c r="J750" i="1"/>
  <c r="J752" i="1"/>
  <c r="L745" i="1"/>
  <c r="J758" i="1"/>
  <c r="L751" i="1"/>
  <c r="J746" i="1"/>
  <c r="L739" i="1"/>
  <c r="J755" i="1"/>
  <c r="L748" i="1"/>
  <c r="L758" i="1" l="1"/>
  <c r="J765" i="1"/>
  <c r="L749" i="1"/>
  <c r="O749" i="1"/>
  <c r="J756" i="1"/>
  <c r="L746" i="1"/>
  <c r="J753" i="1"/>
  <c r="L752" i="1"/>
  <c r="J759" i="1"/>
  <c r="J757" i="1"/>
  <c r="O750" i="1"/>
  <c r="L750" i="1"/>
  <c r="L740" i="1"/>
  <c r="N740" i="1"/>
  <c r="M740" i="1"/>
  <c r="J747" i="1"/>
  <c r="L755" i="1"/>
  <c r="J762" i="1"/>
  <c r="J754" i="1" l="1"/>
  <c r="N747" i="1"/>
  <c r="M747" i="1"/>
  <c r="L747" i="1"/>
  <c r="L753" i="1"/>
  <c r="J760" i="1"/>
  <c r="O756" i="1"/>
  <c r="L756" i="1"/>
  <c r="J763" i="1"/>
  <c r="J769" i="1"/>
  <c r="L762" i="1"/>
  <c r="L757" i="1"/>
  <c r="J764" i="1"/>
  <c r="O757" i="1"/>
  <c r="L765" i="1"/>
  <c r="J772" i="1"/>
  <c r="J766" i="1"/>
  <c r="L759" i="1"/>
  <c r="L760" i="1" l="1"/>
  <c r="J767" i="1"/>
  <c r="J771" i="1"/>
  <c r="O764" i="1"/>
  <c r="L764" i="1"/>
  <c r="L772" i="1"/>
  <c r="J779" i="1"/>
  <c r="L769" i="1"/>
  <c r="J776" i="1"/>
  <c r="J773" i="1"/>
  <c r="L766" i="1"/>
  <c r="J770" i="1"/>
  <c r="O763" i="1"/>
  <c r="L763" i="1"/>
  <c r="J761" i="1"/>
  <c r="N754" i="1"/>
  <c r="M754" i="1"/>
  <c r="L754" i="1"/>
  <c r="N761" i="1" l="1"/>
  <c r="J768" i="1"/>
  <c r="M761" i="1"/>
  <c r="L761" i="1"/>
  <c r="J786" i="1"/>
  <c r="L779" i="1"/>
  <c r="J778" i="1"/>
  <c r="O771" i="1"/>
  <c r="L771" i="1"/>
  <c r="J777" i="1"/>
  <c r="O770" i="1"/>
  <c r="L770" i="1"/>
  <c r="J780" i="1"/>
  <c r="L773" i="1"/>
  <c r="J774" i="1"/>
  <c r="L767" i="1"/>
  <c r="J783" i="1"/>
  <c r="L776" i="1"/>
  <c r="L774" i="1" l="1"/>
  <c r="J781" i="1"/>
  <c r="L778" i="1"/>
  <c r="J785" i="1"/>
  <c r="O778" i="1"/>
  <c r="L780" i="1"/>
  <c r="J787" i="1"/>
  <c r="L786" i="1"/>
  <c r="J793" i="1"/>
  <c r="L777" i="1"/>
  <c r="O777" i="1"/>
  <c r="J784" i="1"/>
  <c r="L768" i="1"/>
  <c r="J775" i="1"/>
  <c r="N768" i="1"/>
  <c r="M768" i="1"/>
  <c r="L783" i="1"/>
  <c r="J790" i="1"/>
  <c r="J791" i="1" l="1"/>
  <c r="O784" i="1"/>
  <c r="L784" i="1"/>
  <c r="O785" i="1"/>
  <c r="L785" i="1"/>
  <c r="J792" i="1"/>
  <c r="L790" i="1"/>
  <c r="J797" i="1"/>
  <c r="L781" i="1"/>
  <c r="J788" i="1"/>
  <c r="J794" i="1"/>
  <c r="L787" i="1"/>
  <c r="J782" i="1"/>
  <c r="N775" i="1"/>
  <c r="M775" i="1"/>
  <c r="L775" i="1"/>
  <c r="L793" i="1"/>
  <c r="J800" i="1"/>
  <c r="L797" i="1" l="1"/>
  <c r="J804" i="1"/>
  <c r="J799" i="1"/>
  <c r="O792" i="1"/>
  <c r="L792" i="1"/>
  <c r="L794" i="1"/>
  <c r="J801" i="1"/>
  <c r="J807" i="1"/>
  <c r="L800" i="1"/>
  <c r="J795" i="1"/>
  <c r="L788" i="1"/>
  <c r="M782" i="1"/>
  <c r="L782" i="1"/>
  <c r="J789" i="1"/>
  <c r="N782" i="1"/>
  <c r="J798" i="1"/>
  <c r="O791" i="1"/>
  <c r="L791" i="1"/>
  <c r="J805" i="1" l="1"/>
  <c r="O798" i="1"/>
  <c r="L798" i="1"/>
  <c r="J814" i="1"/>
  <c r="L807" i="1"/>
  <c r="J808" i="1"/>
  <c r="L801" i="1"/>
  <c r="L799" i="1"/>
  <c r="J806" i="1"/>
  <c r="O799" i="1"/>
  <c r="N789" i="1"/>
  <c r="J796" i="1"/>
  <c r="M789" i="1"/>
  <c r="L789" i="1"/>
  <c r="J802" i="1"/>
  <c r="L795" i="1"/>
  <c r="J811" i="1"/>
  <c r="L804" i="1"/>
  <c r="J815" i="1" l="1"/>
  <c r="L808" i="1"/>
  <c r="L802" i="1"/>
  <c r="J809" i="1"/>
  <c r="L796" i="1"/>
  <c r="J803" i="1"/>
  <c r="N796" i="1"/>
  <c r="M796" i="1"/>
  <c r="J821" i="1"/>
  <c r="L814" i="1"/>
  <c r="J818" i="1"/>
  <c r="L811" i="1"/>
  <c r="O806" i="1"/>
  <c r="L806" i="1"/>
  <c r="J813" i="1"/>
  <c r="L805" i="1"/>
  <c r="J812" i="1"/>
  <c r="O805" i="1"/>
  <c r="M803" i="1" l="1"/>
  <c r="L803" i="1"/>
  <c r="J810" i="1"/>
  <c r="N803" i="1"/>
  <c r="J816" i="1"/>
  <c r="L809" i="1"/>
  <c r="J825" i="1"/>
  <c r="L818" i="1"/>
  <c r="J820" i="1"/>
  <c r="O813" i="1"/>
  <c r="L813" i="1"/>
  <c r="J819" i="1"/>
  <c r="O812" i="1"/>
  <c r="L812" i="1"/>
  <c r="L821" i="1"/>
  <c r="J828" i="1"/>
  <c r="L815" i="1"/>
  <c r="J822" i="1"/>
  <c r="L825" i="1" l="1"/>
  <c r="J832" i="1"/>
  <c r="L816" i="1"/>
  <c r="J823" i="1"/>
  <c r="N810" i="1"/>
  <c r="M810" i="1"/>
  <c r="L810" i="1"/>
  <c r="J817" i="1"/>
  <c r="J835" i="1"/>
  <c r="L828" i="1"/>
  <c r="J826" i="1"/>
  <c r="O819" i="1"/>
  <c r="L819" i="1"/>
  <c r="J829" i="1"/>
  <c r="L822" i="1"/>
  <c r="J827" i="1"/>
  <c r="O820" i="1"/>
  <c r="L820" i="1"/>
  <c r="J836" i="1" l="1"/>
  <c r="L829" i="1"/>
  <c r="J833" i="1"/>
  <c r="O826" i="1"/>
  <c r="L826" i="1"/>
  <c r="L827" i="1"/>
  <c r="J834" i="1"/>
  <c r="O827" i="1"/>
  <c r="N817" i="1"/>
  <c r="J824" i="1"/>
  <c r="M817" i="1"/>
  <c r="L817" i="1"/>
  <c r="J830" i="1"/>
  <c r="L823" i="1"/>
  <c r="J839" i="1"/>
  <c r="L832" i="1"/>
  <c r="J842" i="1"/>
  <c r="L835" i="1"/>
  <c r="J846" i="1" l="1"/>
  <c r="L839" i="1"/>
  <c r="J841" i="1"/>
  <c r="O834" i="1"/>
  <c r="L834" i="1"/>
  <c r="J837" i="1"/>
  <c r="L830" i="1"/>
  <c r="J840" i="1"/>
  <c r="O833" i="1"/>
  <c r="L833" i="1"/>
  <c r="J831" i="1"/>
  <c r="M824" i="1"/>
  <c r="L824" i="1"/>
  <c r="N824" i="1"/>
  <c r="J849" i="1"/>
  <c r="L842" i="1"/>
  <c r="J843" i="1"/>
  <c r="L836" i="1"/>
  <c r="O840" i="1" l="1"/>
  <c r="L840" i="1"/>
  <c r="J847" i="1"/>
  <c r="J844" i="1"/>
  <c r="L837" i="1"/>
  <c r="J856" i="1"/>
  <c r="L849" i="1"/>
  <c r="M831" i="1"/>
  <c r="L831" i="1"/>
  <c r="J838" i="1"/>
  <c r="N831" i="1"/>
  <c r="J848" i="1"/>
  <c r="O841" i="1"/>
  <c r="L841" i="1"/>
  <c r="J850" i="1"/>
  <c r="L843" i="1"/>
  <c r="L846" i="1"/>
  <c r="J853" i="1"/>
  <c r="L850" i="1" l="1"/>
  <c r="J857" i="1"/>
  <c r="J863" i="1"/>
  <c r="L856" i="1"/>
  <c r="J855" i="1"/>
  <c r="O848" i="1"/>
  <c r="L848" i="1"/>
  <c r="J851" i="1"/>
  <c r="L844" i="1"/>
  <c r="J854" i="1"/>
  <c r="O847" i="1"/>
  <c r="L847" i="1"/>
  <c r="J860" i="1"/>
  <c r="L853" i="1"/>
  <c r="J845" i="1"/>
  <c r="N838" i="1"/>
  <c r="M838" i="1"/>
  <c r="L838" i="1"/>
  <c r="J858" i="1" l="1"/>
  <c r="L851" i="1"/>
  <c r="N845" i="1"/>
  <c r="J852" i="1"/>
  <c r="M845" i="1"/>
  <c r="L845" i="1"/>
  <c r="J867" i="1"/>
  <c r="L860" i="1"/>
  <c r="L855" i="1"/>
  <c r="O855" i="1"/>
  <c r="J862" i="1"/>
  <c r="J870" i="1"/>
  <c r="L863" i="1"/>
  <c r="J861" i="1"/>
  <c r="O854" i="1"/>
  <c r="L854" i="1"/>
  <c r="J864" i="1"/>
  <c r="L857" i="1"/>
  <c r="J869" i="1" l="1"/>
  <c r="O862" i="1"/>
  <c r="L862" i="1"/>
  <c r="J874" i="1"/>
  <c r="L867" i="1"/>
  <c r="J868" i="1"/>
  <c r="O861" i="1"/>
  <c r="L861" i="1"/>
  <c r="J877" i="1"/>
  <c r="L870" i="1"/>
  <c r="J859" i="1"/>
  <c r="M852" i="1"/>
  <c r="L852" i="1"/>
  <c r="N852" i="1"/>
  <c r="J871" i="1"/>
  <c r="L864" i="1"/>
  <c r="J865" i="1"/>
  <c r="L858" i="1"/>
  <c r="L871" i="1" l="1"/>
  <c r="J878" i="1"/>
  <c r="J875" i="1"/>
  <c r="O868" i="1"/>
  <c r="L868" i="1"/>
  <c r="J881" i="1"/>
  <c r="L874" i="1"/>
  <c r="J866" i="1"/>
  <c r="N859" i="1"/>
  <c r="M859" i="1"/>
  <c r="L859" i="1"/>
  <c r="L865" i="1"/>
  <c r="J872" i="1"/>
  <c r="J884" i="1"/>
  <c r="L877" i="1"/>
  <c r="O869" i="1"/>
  <c r="L869" i="1"/>
  <c r="J876" i="1"/>
  <c r="L866" i="1" l="1"/>
  <c r="J873" i="1"/>
  <c r="N866" i="1"/>
  <c r="M866" i="1"/>
  <c r="L884" i="1"/>
  <c r="J891" i="1"/>
  <c r="J888" i="1"/>
  <c r="L881" i="1"/>
  <c r="O875" i="1"/>
  <c r="L875" i="1"/>
  <c r="J882" i="1"/>
  <c r="J879" i="1"/>
  <c r="L872" i="1"/>
  <c r="J883" i="1"/>
  <c r="O876" i="1"/>
  <c r="L876" i="1"/>
  <c r="J885" i="1"/>
  <c r="L878" i="1"/>
  <c r="J892" i="1" l="1"/>
  <c r="L885" i="1"/>
  <c r="J895" i="1"/>
  <c r="L888" i="1"/>
  <c r="L883" i="1"/>
  <c r="J890" i="1"/>
  <c r="O883" i="1"/>
  <c r="J898" i="1"/>
  <c r="L891" i="1"/>
  <c r="J886" i="1"/>
  <c r="L879" i="1"/>
  <c r="J889" i="1"/>
  <c r="O882" i="1"/>
  <c r="L882" i="1"/>
  <c r="N873" i="1"/>
  <c r="J880" i="1"/>
  <c r="M873" i="1"/>
  <c r="L873" i="1"/>
  <c r="J887" i="1" l="1"/>
  <c r="M880" i="1"/>
  <c r="L880" i="1"/>
  <c r="N880" i="1"/>
  <c r="J905" i="1"/>
  <c r="L898" i="1"/>
  <c r="O890" i="1"/>
  <c r="L890" i="1"/>
  <c r="J897" i="1"/>
  <c r="J902" i="1"/>
  <c r="L895" i="1"/>
  <c r="J896" i="1"/>
  <c r="O889" i="1"/>
  <c r="L889" i="1"/>
  <c r="J893" i="1"/>
  <c r="L886" i="1"/>
  <c r="J899" i="1"/>
  <c r="L892" i="1"/>
  <c r="L905" i="1" l="1"/>
  <c r="J912" i="1"/>
  <c r="L912" i="1" s="1"/>
  <c r="L896" i="1"/>
  <c r="J903" i="1"/>
  <c r="O896" i="1"/>
  <c r="J900" i="1"/>
  <c r="L893" i="1"/>
  <c r="J909" i="1"/>
  <c r="L902" i="1"/>
  <c r="J906" i="1"/>
  <c r="L899" i="1"/>
  <c r="J904" i="1"/>
  <c r="O897" i="1"/>
  <c r="L897" i="1"/>
  <c r="J894" i="1"/>
  <c r="N887" i="1"/>
  <c r="M887" i="1"/>
  <c r="L887" i="1"/>
  <c r="L909" i="1" l="1"/>
  <c r="J916" i="1"/>
  <c r="L916" i="1" s="1"/>
  <c r="L900" i="1"/>
  <c r="J907" i="1"/>
  <c r="J911" i="1"/>
  <c r="O904" i="1"/>
  <c r="L904" i="1"/>
  <c r="J910" i="1"/>
  <c r="O903" i="1"/>
  <c r="L903" i="1"/>
  <c r="J901" i="1"/>
  <c r="N894" i="1"/>
  <c r="M894" i="1"/>
  <c r="L894" i="1"/>
  <c r="J913" i="1"/>
  <c r="L913" i="1" s="1"/>
  <c r="L906" i="1"/>
  <c r="J917" i="1" l="1"/>
  <c r="O910" i="1"/>
  <c r="L910" i="1"/>
  <c r="L911" i="1"/>
  <c r="J918" i="1"/>
  <c r="O911" i="1"/>
  <c r="J914" i="1"/>
  <c r="L914" i="1" s="1"/>
  <c r="L907" i="1"/>
  <c r="N901" i="1"/>
  <c r="J908" i="1"/>
  <c r="M901" i="1"/>
  <c r="L901" i="1"/>
  <c r="O918" i="1" l="1"/>
  <c r="L918" i="1"/>
  <c r="J915" i="1"/>
  <c r="M908" i="1"/>
  <c r="L908" i="1"/>
  <c r="N908" i="1"/>
  <c r="O917" i="1"/>
  <c r="L917" i="1"/>
  <c r="N915" i="1" l="1"/>
  <c r="M915" i="1"/>
  <c r="L9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L4" authorId="0" shapeId="0" xr:uid="{00000000-0006-0000-0700-000002000000}">
      <text>
        <r>
          <rPr>
            <sz val="10"/>
            <color rgb="FF000000"/>
            <rFont val="Arial"/>
          </rPr>
          <t>=GoogleFinance("CURRENCY:USDEUR","price",date(2019,1,25))
	-W W</t>
        </r>
      </text>
    </comment>
    <comment ref="CQ4" authorId="0" shapeId="0" xr:uid="{00000000-0006-0000-0700-000003000000}">
      <text>
        <r>
          <rPr>
            <sz val="10"/>
            <color rgb="FF000000"/>
            <rFont val="Arial"/>
          </rPr>
          <t>If Ticker Code is inaccurate (program cannot access to the security info), then, it will flag up as Error.
	-W W</t>
        </r>
      </text>
    </comment>
    <comment ref="EG4" authorId="0" shapeId="0" xr:uid="{00000000-0006-0000-0700-000001000000}">
      <text>
        <r>
          <rPr>
            <sz val="10"/>
            <color rgb="FF000000"/>
            <rFont val="Arial"/>
          </rPr>
          <t>Loop: data drawn from DbyD, End of Trade ava cash balance.
	-W W</t>
        </r>
      </text>
    </comment>
    <comment ref="BH5" authorId="0" shapeId="0" xr:uid="{00000000-0006-0000-0700-000004000000}">
      <text>
        <r>
          <rPr>
            <sz val="10"/>
            <color rgb="FF000000"/>
            <rFont val="Arial"/>
          </rPr>
          <t>=if(G4="Stock",1,if(G4="Bond",2,if(G4="Option",3,if(G4="TD",4,""))))
	-W W</t>
        </r>
      </text>
    </comment>
  </commentList>
</comments>
</file>

<file path=xl/sharedStrings.xml><?xml version="1.0" encoding="utf-8"?>
<sst xmlns="http://schemas.openxmlformats.org/spreadsheetml/2006/main" count="7515" uniqueCount="870">
  <si>
    <t>GS</t>
  </si>
  <si>
    <t>NDXP220128P13700000</t>
  </si>
  <si>
    <t>From</t>
  </si>
  <si>
    <t>To</t>
  </si>
  <si>
    <t>UGI220414P00045000</t>
  </si>
  <si>
    <t>UGI220414P00040000</t>
  </si>
  <si>
    <t>(stk: copy paste histP from yahoofin, right table should autolookup OHLCV. Opt/Bond: go to website copy paste today() price, autocalculate fake P)</t>
  </si>
  <si>
    <t>XS2106834299</t>
  </si>
  <si>
    <t>Date</t>
  </si>
  <si>
    <t>Open</t>
  </si>
  <si>
    <t>High</t>
  </si>
  <si>
    <t>Low</t>
  </si>
  <si>
    <t>Close*</t>
  </si>
  <si>
    <t>Adj Close**</t>
  </si>
  <si>
    <t>Volume</t>
  </si>
  <si>
    <t>x</t>
  </si>
  <si>
    <t>Stock</t>
  </si>
  <si>
    <t>BUY (LONG)</t>
  </si>
  <si>
    <t>Bond</t>
  </si>
  <si>
    <t>SELL (SHORT)</t>
  </si>
  <si>
    <t>HKD bal</t>
  </si>
  <si>
    <t>Option</t>
  </si>
  <si>
    <t>Time Deposit</t>
  </si>
  <si>
    <t>(Price in HKD)</t>
  </si>
  <si>
    <t>NYSE:GS</t>
  </si>
  <si>
    <t>NASDAQ:MSFT</t>
  </si>
  <si>
    <t>HKG:0700</t>
  </si>
  <si>
    <t>EPA:MC</t>
  </si>
  <si>
    <t>SHA:600519</t>
  </si>
  <si>
    <t>CNY</t>
  </si>
  <si>
    <t>TYO:7203</t>
  </si>
  <si>
    <t>JPY</t>
  </si>
  <si>
    <t>TYO:9984</t>
  </si>
  <si>
    <t>LON:RDSB</t>
  </si>
  <si>
    <t>GBP</t>
  </si>
  <si>
    <t>LON:AZN</t>
  </si>
  <si>
    <t>MC.PA</t>
  </si>
  <si>
    <t>EUR</t>
  </si>
  <si>
    <t>0700.HK</t>
  </si>
  <si>
    <t>HKD</t>
  </si>
  <si>
    <t>600519.SS</t>
  </si>
  <si>
    <t>USD</t>
  </si>
  <si>
    <t>AMZN</t>
  </si>
  <si>
    <t>SPX220520C04775000</t>
  </si>
  <si>
    <t>SPX220520C04825000</t>
  </si>
  <si>
    <t>SPX220520P04650000</t>
  </si>
  <si>
    <t>SPX220520P04675000</t>
  </si>
  <si>
    <t>NDX220414C17500000</t>
  </si>
  <si>
    <t>NDX220414C17575000</t>
  </si>
  <si>
    <t>NDX220414P15500000</t>
  </si>
  <si>
    <t>NDX220414P14500000</t>
  </si>
  <si>
    <t>UGI220414C00050000</t>
  </si>
  <si>
    <t>UGI220414C00055000</t>
  </si>
  <si>
    <t>APA220414C00020000</t>
  </si>
  <si>
    <t>APA220414C00022500</t>
  </si>
  <si>
    <t>APA220414P00027500</t>
  </si>
  <si>
    <t>APA220414P00032500</t>
  </si>
  <si>
    <t>US594918BR43</t>
  </si>
  <si>
    <t>AU3TB0000143</t>
  </si>
  <si>
    <t>AUD</t>
  </si>
  <si>
    <t>HK0000317724</t>
  </si>
  <si>
    <t>TD</t>
  </si>
  <si>
    <t>1m</t>
  </si>
  <si>
    <t>3m</t>
  </si>
  <si>
    <t>Cash</t>
  </si>
  <si>
    <t>Timestamp</t>
  </si>
  <si>
    <t>What do you want to do?</t>
  </si>
  <si>
    <t>Ticker Symbol (Security Code)</t>
  </si>
  <si>
    <t>Select Asset Class</t>
  </si>
  <si>
    <t>Stock: Number of shares</t>
  </si>
  <si>
    <t>Bond: Number of bonds?</t>
  </si>
  <si>
    <t>Option: Number of contracts?</t>
  </si>
  <si>
    <t>Time Deposit: Amount in HKD</t>
  </si>
  <si>
    <t>Limit Order's Limit Price (Market Order should leave blank)</t>
  </si>
  <si>
    <t>PASSWORD</t>
  </si>
  <si>
    <t>Email Address</t>
  </si>
  <si>
    <t>Stock: High/ Bond: Bid</t>
  </si>
  <si>
    <t>Stock: Low/ Bond: Ask</t>
  </si>
  <si>
    <t>Stock: Close/ Option: Close</t>
  </si>
  <si>
    <t>a1</t>
  </si>
  <si>
    <t>sABCD0001@hkmu.edu.hk</t>
  </si>
  <si>
    <t>a2</t>
  </si>
  <si>
    <t>sABCD0002@hkmu.edu.hk</t>
  </si>
  <si>
    <t>a3</t>
  </si>
  <si>
    <t>sABCD0003@hkmu.edu.hk</t>
  </si>
  <si>
    <t>a4</t>
  </si>
  <si>
    <t>sABCD0004@hkmu.edu.hk</t>
  </si>
  <si>
    <t>a5</t>
  </si>
  <si>
    <t>sABCD0005@hkmu.edu.hk</t>
  </si>
  <si>
    <t>TSLA</t>
  </si>
  <si>
    <t>a6</t>
  </si>
  <si>
    <t>sABCD0006@hkmu.edu.hk</t>
  </si>
  <si>
    <t>All Securities (unchecked)</t>
  </si>
  <si>
    <t>SUM of What do you want to do?</t>
  </si>
  <si>
    <t>Grand Total</t>
  </si>
  <si>
    <t>jk:w</t>
  </si>
  <si>
    <t>Test Only</t>
  </si>
  <si>
    <t>Bond: 1 unit per $1000 notional</t>
  </si>
  <si>
    <t>Option: Number of contracts</t>
  </si>
  <si>
    <t>Straight from the Response Form</t>
  </si>
  <si>
    <t>Retrieve from YahooFinance! (stock and option) and Bondsupermart (bond)</t>
  </si>
  <si>
    <t>Check</t>
  </si>
  <si>
    <t>Email</t>
  </si>
  <si>
    <t>Acct#</t>
  </si>
  <si>
    <t>Password</t>
  </si>
  <si>
    <t>Order #</t>
  </si>
  <si>
    <t>Date/ Time</t>
  </si>
  <si>
    <t>Date Time Stamp</t>
  </si>
  <si>
    <t>Order Side</t>
  </si>
  <si>
    <t>Ticker Code</t>
  </si>
  <si>
    <t>Asset Class</t>
  </si>
  <si>
    <t>Stock (Shares)</t>
  </si>
  <si>
    <t>Bond (Contracts)</t>
  </si>
  <si>
    <t>Option (Contracts)</t>
  </si>
  <si>
    <t>TD (Notional)</t>
  </si>
  <si>
    <t>Limit Price/ Mkt Price (stk &amp; opt only)</t>
  </si>
  <si>
    <t>Password Input</t>
  </si>
  <si>
    <t>Email Input</t>
  </si>
  <si>
    <t>Exchange</t>
  </si>
  <si>
    <t>Currency</t>
  </si>
  <si>
    <t>Stock (Ticker/ Code)</t>
  </si>
  <si>
    <t>Stock (Open)</t>
  </si>
  <si>
    <t>Stock (High)</t>
  </si>
  <si>
    <t>Stock (Low)</t>
  </si>
  <si>
    <t>Stock (Close)</t>
  </si>
  <si>
    <t>Stock (Volume)</t>
  </si>
  <si>
    <t>Bond (Bond Issuer name)</t>
  </si>
  <si>
    <t>Bond (Indicative Bid)</t>
  </si>
  <si>
    <t>Bond (Indicative Ask)</t>
  </si>
  <si>
    <t>Bond (Coupon)</t>
  </si>
  <si>
    <t>Bond (Maturity)</t>
  </si>
  <si>
    <t>Bond (Rating)</t>
  </si>
  <si>
    <t>Bond (YTM)</t>
  </si>
  <si>
    <t>Bond (Seniority)</t>
  </si>
  <si>
    <t>Bond (Type)</t>
  </si>
  <si>
    <t>Option (Underlying asset ticker code)</t>
  </si>
  <si>
    <t>Option (Open)</t>
  </si>
  <si>
    <t>Option (High)</t>
  </si>
  <si>
    <t>Option (Low)</t>
  </si>
  <si>
    <t>Option (Close)</t>
  </si>
  <si>
    <t>Option (Strike)</t>
  </si>
  <si>
    <t>Option (Expiration Date)</t>
  </si>
  <si>
    <t>Option (Put or Call)</t>
  </si>
  <si>
    <t>Option (Open Interest)</t>
  </si>
  <si>
    <t>TD2</t>
  </si>
  <si>
    <t>Accept</t>
  </si>
  <si>
    <t>Comment</t>
  </si>
  <si>
    <t>Check - PWD</t>
  </si>
  <si>
    <t>Check - Ticker Code</t>
  </si>
  <si>
    <t>Check - Limit Order Acceptance</t>
  </si>
  <si>
    <t>Check - Prelim1</t>
  </si>
  <si>
    <t>count security</t>
  </si>
  <si>
    <t>security #</t>
  </si>
  <si>
    <t>rej due to pwd</t>
  </si>
  <si>
    <t>rej due to same day reverse trade</t>
  </si>
  <si>
    <t>should accept same day same side trade</t>
  </si>
  <si>
    <t>short sell (margin count)</t>
  </si>
  <si>
    <t xml:space="preserve"> </t>
  </si>
  <si>
    <t>China Evergrande Group</t>
  </si>
  <si>
    <t>N.R/ N.R</t>
  </si>
  <si>
    <t>Senior Secured</t>
  </si>
  <si>
    <t>High Yield Corporate</t>
  </si>
  <si>
    <t>rej due to OD</t>
  </si>
  <si>
    <t>shld allow as last trade rej</t>
  </si>
  <si>
    <t>rej due to unmatch asset class vs ticker</t>
  </si>
  <si>
    <t>rej due to same day trade</t>
  </si>
  <si>
    <t>put</t>
  </si>
  <si>
    <t>N/A</t>
  </si>
  <si>
    <t>allow same side 2 trades</t>
  </si>
  <si>
    <t>rej short sell bond</t>
  </si>
  <si>
    <t>Historical Prices</t>
  </si>
  <si>
    <t>vlookup: +3 = closing, +5 = bid, + 6 = ask, +1 = high, + 2 = low</t>
  </si>
  <si>
    <t>(ticker code list will be automatically updated</t>
  </si>
  <si>
    <t>after code verification checked)</t>
  </si>
  <si>
    <t/>
  </si>
  <si>
    <t>O</t>
  </si>
  <si>
    <t>H</t>
  </si>
  <si>
    <t>L</t>
  </si>
  <si>
    <t>C</t>
  </si>
  <si>
    <t>Bid</t>
  </si>
  <si>
    <t>Ask</t>
  </si>
  <si>
    <t>Close</t>
  </si>
  <si>
    <t>Volumn</t>
  </si>
  <si>
    <t>D0001</t>
  </si>
  <si>
    <t>D0002</t>
  </si>
  <si>
    <t>D0003</t>
  </si>
  <si>
    <t>D0004</t>
  </si>
  <si>
    <t>D0005</t>
  </si>
  <si>
    <t>D0006</t>
  </si>
  <si>
    <t>Get Data</t>
  </si>
  <si>
    <t>Reset = 0</t>
  </si>
  <si>
    <t>** need price selection</t>
  </si>
  <si>
    <t>** need MKT or LMT selection; MKT = CLSE</t>
  </si>
  <si>
    <t>** need MKT or LMT selection</t>
  </si>
  <si>
    <t>Ordered</t>
  </si>
  <si>
    <t>1st check basics, (pwd, ticker code), then, QTY overflipped, then 
2nd check cash and margin balance</t>
  </si>
  <si>
    <t>SS allow:(0=allow, 1= not allow)</t>
  </si>
  <si>
    <t>Using trade day closing price to re-value the current sec bal</t>
  </si>
  <si>
    <t>Delete</t>
  </si>
  <si>
    <t>1st CHECK of Trade Order</t>
  </si>
  <si>
    <t>P*FX</t>
  </si>
  <si>
    <t>P(lcl)*Q</t>
  </si>
  <si>
    <t>+/-sign</t>
  </si>
  <si>
    <t>2nd CHECK of Order size vs. Balance</t>
  </si>
  <si>
    <t>(1=Stk, 2=Bond, 3=Option, 4=TD)</t>
  </si>
  <si>
    <t>Aggregated</t>
  </si>
  <si>
    <t>Pre-TRADE QTY Checking</t>
  </si>
  <si>
    <t>Previous Balance</t>
  </si>
  <si>
    <t>Proposed Cumulative QTY</t>
  </si>
  <si>
    <t>Proposed Trade Intention &amp; Decision</t>
  </si>
  <si>
    <t>Passed Round 1 Trade Qty</t>
  </si>
  <si>
    <t>MARGIN ESTIMATION (using closing price) per trade</t>
  </si>
  <si>
    <t>ACCOUNT BALANCE</t>
  </si>
  <si>
    <t>PROPOSED TRADES</t>
  </si>
  <si>
    <t>PROFORMA ACCOUNT BALANCE</t>
  </si>
  <si>
    <t>POST TRADE ACCOUNT BALANCE</t>
  </si>
  <si>
    <t>Cumulative Date</t>
  </si>
  <si>
    <t>Expiration date</t>
  </si>
  <si>
    <t>Check-Same Day BS</t>
  </si>
  <si>
    <t>Check - limit order</t>
  </si>
  <si>
    <t>Check - Available Margins</t>
  </si>
  <si>
    <t>Reject Trade?</t>
  </si>
  <si>
    <t>Asset Class Type</t>
  </si>
  <si>
    <t>Side</t>
  </si>
  <si>
    <t>Qty</t>
  </si>
  <si>
    <t>Base Curncy</t>
  </si>
  <si>
    <t>FX</t>
  </si>
  <si>
    <t>Stock Limit Price</t>
  </si>
  <si>
    <t>Stock Market Price</t>
  </si>
  <si>
    <t>Stock Price (Executed)</t>
  </si>
  <si>
    <t>Stock Qty</t>
  </si>
  <si>
    <t>Stock Traded Notional</t>
  </si>
  <si>
    <t>Stock (HKD) Traded Notional</t>
  </si>
  <si>
    <t>Bond Price (Executed)</t>
  </si>
  <si>
    <t>Bond Qty</t>
  </si>
  <si>
    <t>Bond Traded Notional</t>
  </si>
  <si>
    <t>Bond (HKD) Traded Notional</t>
  </si>
  <si>
    <t>Option Limit Price</t>
  </si>
  <si>
    <t>Option Market Price</t>
  </si>
  <si>
    <t>Option Price (Executed)</t>
  </si>
  <si>
    <t>Option Qty</t>
  </si>
  <si>
    <t>Option Traded Notional</t>
  </si>
  <si>
    <t>Option (HKD) Traded Notional</t>
  </si>
  <si>
    <t>Interest Rate (annual)</t>
  </si>
  <si>
    <t>TD Qty</t>
  </si>
  <si>
    <t>TD Traded notional</t>
  </si>
  <si>
    <t>TD (HKD) Traded Notional</t>
  </si>
  <si>
    <t>Total Proposed (HKD) Traded Notional</t>
  </si>
  <si>
    <t>Option Pair</t>
  </si>
  <si>
    <t>Check Pwd</t>
  </si>
  <si>
    <t>Check Ticker</t>
  </si>
  <si>
    <t>Check Same Day Trading</t>
  </si>
  <si>
    <t>Total Check</t>
  </si>
  <si>
    <t>Stock Previous Cum Qty Balance</t>
  </si>
  <si>
    <t>Bond Previous Cum Qty Balance</t>
  </si>
  <si>
    <t>Option Previous Cum Qty Balance</t>
  </si>
  <si>
    <t>TD Previous Cum Qty Balance</t>
  </si>
  <si>
    <t>Stock Proposed Cumulative Qty</t>
  </si>
  <si>
    <t>Bond Proposed Cumulative Qty</t>
  </si>
  <si>
    <t>Option Proposed Cumulative Qty</t>
  </si>
  <si>
    <t>TD Proposed Cumulative Qty</t>
  </si>
  <si>
    <t>Stock Proposed Trade Intention</t>
  </si>
  <si>
    <t>Bond Proposed Trade Intention</t>
  </si>
  <si>
    <t>Option Proposed Trade Intention</t>
  </si>
  <si>
    <t>TD Proposed Trade Intention</t>
  </si>
  <si>
    <t>QTY Stock (# of shrs)</t>
  </si>
  <si>
    <t>QTY Bond (# of units)</t>
  </si>
  <si>
    <t>QTY Option (# of contracts)</t>
  </si>
  <si>
    <t>QTY Time Deposit (HKD of notional)</t>
  </si>
  <si>
    <t>Trade Intention (per trade)</t>
  </si>
  <si>
    <t>Stock Price (Executed) (HKD)</t>
  </si>
  <si>
    <t>Stock Traded Notional Total (HKD)</t>
  </si>
  <si>
    <t>Stock Margin Req. (HKD)</t>
  </si>
  <si>
    <t>Stock Traded (Long)</t>
  </si>
  <si>
    <t>Stock Traded (Short)</t>
  </si>
  <si>
    <t>Bond Previous Margin B4 Trade</t>
  </si>
  <si>
    <t>Bond Traded Notional Total (HKD)</t>
  </si>
  <si>
    <t>Bond Margin Req. (HKD)</t>
  </si>
  <si>
    <t>TD Previous Margin B4 Trade</t>
  </si>
  <si>
    <t>TD Traded Notional Total (HKD)</t>
  </si>
  <si>
    <t>TD Margin Req. (HKD)</t>
  </si>
  <si>
    <t>Option Qty (per trade)</t>
  </si>
  <si>
    <t>Option Undly Security Strike P</t>
  </si>
  <si>
    <t>Option Premium (per trade) (HKD)</t>
  </si>
  <si>
    <t>Option USD Margin Req.</t>
  </si>
  <si>
    <t>Option HKD Margin Req. (HKD)</t>
  </si>
  <si>
    <t>Total HKD Proposed Traded Notional</t>
  </si>
  <si>
    <t>Total HKD Proposed Margin Req.</t>
  </si>
  <si>
    <t>Option Pair Margin (HKD)</t>
  </si>
  <si>
    <t>Margin QTY adj -(ABS(PropQ)-ABS(PrevQ))</t>
  </si>
  <si>
    <t>Previous Cash Balance</t>
  </si>
  <si>
    <t>Previous Total Securities Value Balance</t>
  </si>
  <si>
    <t>Previous Total Asset Balance</t>
  </si>
  <si>
    <t>Previous Ava Margin Equity Bal</t>
  </si>
  <si>
    <t>Previous Margin Loan Balance</t>
  </si>
  <si>
    <t>Proposed Total Traded Notional</t>
  </si>
  <si>
    <t>Proposed Total Margin Req</t>
  </si>
  <si>
    <t>Proforma Cash Balance</t>
  </si>
  <si>
    <t>Proforma Total Securities Value Balance</t>
  </si>
  <si>
    <t>Proforma Total Asset Balance</t>
  </si>
  <si>
    <t>Proforma Ava Margin Balance</t>
  </si>
  <si>
    <t>Proforma Total Margin Loan</t>
  </si>
  <si>
    <t>Decision (Cash &amp; Marg Req)</t>
  </si>
  <si>
    <t>Post-Trade Cash Balance</t>
  </si>
  <si>
    <t>Post-Trade Total Securities Value Balance</t>
  </si>
  <si>
    <t>Post-Trade Total Asset Balance</t>
  </si>
  <si>
    <t>Post-Trade Ava Margin Balance</t>
  </si>
  <si>
    <t>Post-Trade Margin Loan Balance</t>
  </si>
  <si>
    <t>Executed Trades</t>
  </si>
  <si>
    <t>CD/CW</t>
  </si>
  <si>
    <t>B</t>
  </si>
  <si>
    <t>SS</t>
  </si>
  <si>
    <t>OFSS</t>
  </si>
  <si>
    <t>S</t>
  </si>
  <si>
    <t>OFB</t>
  </si>
  <si>
    <t>UGI220414P</t>
  </si>
  <si>
    <t>Trade Record (Per Day)</t>
  </si>
  <si>
    <t>IBKR e.g</t>
  </si>
  <si>
    <t>Into Performance Calculation</t>
  </si>
  <si>
    <t>Latest Closing Price (Update daily)</t>
  </si>
  <si>
    <t>Current</t>
  </si>
  <si>
    <t>Previous</t>
  </si>
  <si>
    <t>Proposed</t>
  </si>
  <si>
    <t>Qty Traded</t>
  </si>
  <si>
    <t>EOD Closing Price</t>
  </si>
  <si>
    <t>Last Entry of the day</t>
  </si>
  <si>
    <t>Stock Closing P</t>
  </si>
  <si>
    <t>Bond (Bid)</t>
  </si>
  <si>
    <t>Bond (Ask)</t>
  </si>
  <si>
    <t>Option Closing P</t>
  </si>
  <si>
    <t>Option Base Sec Strike</t>
  </si>
  <si>
    <t># of security</t>
  </si>
  <si>
    <t>Sec per Trade notional</t>
  </si>
  <si>
    <t>Per Sec Total Exposure</t>
  </si>
  <si>
    <t>Remove Duplicate</t>
  </si>
  <si>
    <t>Sec Long Exposure</t>
  </si>
  <si>
    <t>Sec Short Exposure</t>
  </si>
  <si>
    <t>Sec Net Exposure</t>
  </si>
  <si>
    <t>Margin Adj per Trade</t>
  </si>
  <si>
    <t>(Adj) Margin Fees</t>
  </si>
  <si>
    <t>(Adj) Short Sell Interest</t>
  </si>
  <si>
    <t>(Adj) TD Interest</t>
  </si>
  <si>
    <t>(End of Trade) Cash ava Bal</t>
  </si>
  <si>
    <t>(EOD) Cash ava Bal</t>
  </si>
  <si>
    <t>(EOD) Margin Loan Bal</t>
  </si>
  <si>
    <t>(EOD) AuM = Cash ava + Sec Net Bal</t>
  </si>
  <si>
    <t>DateCum</t>
  </si>
  <si>
    <t>SUM of Proposed Total Traded Notional</t>
  </si>
  <si>
    <t>SUM of Proposed Total Margin Req</t>
  </si>
  <si>
    <t>SUM of Stock Traded (Long)</t>
  </si>
  <si>
    <t>SUM of Stock Traded (Short)</t>
  </si>
  <si>
    <t>MAX of Stock Price (Executed) (HKD)</t>
  </si>
  <si>
    <t>SUM of QTY Stock (# of shrs)</t>
  </si>
  <si>
    <t>MAX of Bond Price (Executed)</t>
  </si>
  <si>
    <t>SUM of Bond Qty</t>
  </si>
  <si>
    <t>MAX of Option Price (Executed)</t>
  </si>
  <si>
    <t>SUM of Option Qty</t>
  </si>
  <si>
    <t>SUM of TD Qty</t>
  </si>
  <si>
    <t>SUM of Stock Previous Cum Qty Balance</t>
  </si>
  <si>
    <t>SUM of Bond Previous Cum Qty Balance</t>
  </si>
  <si>
    <t>SUM of Option Previous Cum Qty Balance</t>
  </si>
  <si>
    <t>SUM of TD Previous Cum Qty Balance</t>
  </si>
  <si>
    <t>SUM of Stock Proposed Cumulative Qty</t>
  </si>
  <si>
    <t>SUM of Bond Proposed Cumulative Qty</t>
  </si>
  <si>
    <t>SUM of Option Proposed Cumulative Qty</t>
  </si>
  <si>
    <t>SUM of TD Proposed Cumulative Qty</t>
  </si>
  <si>
    <t>MAX of Margin QTY adj -(ABS(PropQ)-ABS(PrevQ))</t>
  </si>
  <si>
    <t>Trade Record (Day by Day)</t>
  </si>
  <si>
    <t>Pulling Price Info from Part A (HistPrices tab)</t>
  </si>
  <si>
    <t>Stock Price (Closing HKD)</t>
  </si>
  <si>
    <t>Bond Price</t>
  </si>
  <si>
    <t>Option Price</t>
  </si>
  <si>
    <t>Trading Record Summary</t>
  </si>
  <si>
    <t>AVERAGE of FX</t>
  </si>
  <si>
    <t>MAX of EOD Closing Price</t>
  </si>
  <si>
    <t>SUM of Sec per Trade notional</t>
  </si>
  <si>
    <t xml:space="preserve"> Total</t>
  </si>
  <si>
    <t>D0001 Total</t>
  </si>
  <si>
    <t>D0002 Total</t>
  </si>
  <si>
    <t>D0003 Total</t>
  </si>
  <si>
    <t>D0004 Total</t>
  </si>
  <si>
    <t>D0005 Total</t>
  </si>
  <si>
    <t>D0006 Total</t>
  </si>
  <si>
    <t>Portfolio Performance</t>
  </si>
  <si>
    <t># of days</t>
  </si>
  <si>
    <t>AuM</t>
  </si>
  <si>
    <t>Daily Return (%)</t>
  </si>
  <si>
    <t>Geo Metric Rtn</t>
  </si>
  <si>
    <t>Cumulative Rtns</t>
  </si>
  <si>
    <t>YTD return</t>
  </si>
  <si>
    <t>SUM of Sec Long Exposure</t>
  </si>
  <si>
    <t>SUM of Sec Short Exposure</t>
  </si>
  <si>
    <t>SUM of Sec Net Exposure</t>
  </si>
  <si>
    <t>SUM of Margin Adj per Trade</t>
  </si>
  <si>
    <t>SUM of (Adj) Margin Fees</t>
  </si>
  <si>
    <t>SUM of (Adj) Short Sell Interest</t>
  </si>
  <si>
    <t>SUM of (Adj) TD Interest</t>
  </si>
  <si>
    <t>SUM of (EOD) Cash ava Bal</t>
  </si>
  <si>
    <t>SUM of (EOD) Margin Loan Bal</t>
  </si>
  <si>
    <t>SUM of (EOD) AuM = Cash ava + Sec Net Bal</t>
  </si>
  <si>
    <t>GeoMetric Rtn</t>
  </si>
  <si>
    <t>Latest PnL Summary</t>
  </si>
  <si>
    <t>Trades to be put into the system on expiration</t>
  </si>
  <si>
    <t>COUNTA of Acct#</t>
  </si>
  <si>
    <t>Current Qty Bal</t>
  </si>
  <si>
    <t>DateTime</t>
  </si>
  <si>
    <t>Ticker</t>
  </si>
  <si>
    <t>Limit P</t>
  </si>
  <si>
    <t>Pwd</t>
  </si>
  <si>
    <t>tasks TBC</t>
  </si>
  <si>
    <t>need to fix EOD balance pivot</t>
  </si>
  <si>
    <t>Display correct AuM</t>
  </si>
  <si>
    <t>Diplay correct margin loan, margin equity</t>
  </si>
  <si>
    <t>display correct holdings, cash balanace</t>
  </si>
  <si>
    <t>Option margin net</t>
  </si>
  <si>
    <t>margin fees</t>
  </si>
  <si>
    <t>short sell fees</t>
  </si>
  <si>
    <t>TD interest</t>
  </si>
  <si>
    <t>option expiration</t>
  </si>
  <si>
    <t>bonds expiration</t>
  </si>
  <si>
    <t>mkt = close</t>
  </si>
  <si>
    <t xml:space="preserve">limit buy = </t>
  </si>
  <si>
    <t>lmt</t>
  </si>
  <si>
    <t>exe p</t>
  </si>
  <si>
    <t>FX rate to HKD</t>
  </si>
  <si>
    <t>Crypto</t>
  </si>
  <si>
    <t>Country</t>
  </si>
  <si>
    <t>Region</t>
  </si>
  <si>
    <t>Bitcoin</t>
  </si>
  <si>
    <t>Ethereum</t>
  </si>
  <si>
    <t>Litecoin</t>
  </si>
  <si>
    <t>BitcoinCash</t>
  </si>
  <si>
    <t>Argentina Peso</t>
  </si>
  <si>
    <t>Australia Dollar</t>
  </si>
  <si>
    <t>Brazil Real</t>
  </si>
  <si>
    <t>Canada Dollar</t>
  </si>
  <si>
    <t>China Yuan Renminbi</t>
  </si>
  <si>
    <t>Denmark Krone</t>
  </si>
  <si>
    <t>Egypt Pound</t>
  </si>
  <si>
    <t>Iceland Krona</t>
  </si>
  <si>
    <t>India Rupee</t>
  </si>
  <si>
    <t>Indonesia Rupiah</t>
  </si>
  <si>
    <t>Japan Yen</t>
  </si>
  <si>
    <t>Korea (South) Won</t>
  </si>
  <si>
    <t>Malawi Kwacha</t>
  </si>
  <si>
    <t>Malaysia Ringgit</t>
  </si>
  <si>
    <t>Mexico Peso</t>
  </si>
  <si>
    <t>Netherlands Antilles Guilder</t>
  </si>
  <si>
    <t>New Zealand Dollar</t>
  </si>
  <si>
    <t>Peru Sol</t>
  </si>
  <si>
    <t>Philippines Peso</t>
  </si>
  <si>
    <t>Qatar Riyal</t>
  </si>
  <si>
    <t>Russia Ruble</t>
  </si>
  <si>
    <t>Saudi Arabia Riyal</t>
  </si>
  <si>
    <t>Singapore Dollar</t>
  </si>
  <si>
    <t>South Africa Rand</t>
  </si>
  <si>
    <t>Sweden Krona</t>
  </si>
  <si>
    <t>Switzerland Franc</t>
  </si>
  <si>
    <t>Taiwan New Dollar</t>
  </si>
  <si>
    <t>Thailand Baht</t>
  </si>
  <si>
    <t>United Arab Emirates Dirham</t>
  </si>
  <si>
    <t>United Kingdom Pound</t>
  </si>
  <si>
    <t>United States Dollar</t>
  </si>
  <si>
    <t>Viet Nam Dong</t>
  </si>
  <si>
    <t>BTC</t>
  </si>
  <si>
    <t>ETH</t>
  </si>
  <si>
    <t>LTC</t>
  </si>
  <si>
    <t>BCH</t>
  </si>
  <si>
    <t>ARS</t>
  </si>
  <si>
    <t>BRL</t>
  </si>
  <si>
    <t>CAD</t>
  </si>
  <si>
    <t>DKK</t>
  </si>
  <si>
    <t>EGP</t>
  </si>
  <si>
    <t>ISK</t>
  </si>
  <si>
    <t>INR</t>
  </si>
  <si>
    <t>IDR</t>
  </si>
  <si>
    <t>KRW</t>
  </si>
  <si>
    <t>MWK</t>
  </si>
  <si>
    <t>MYR</t>
  </si>
  <si>
    <t>MXN</t>
  </si>
  <si>
    <t>ANG</t>
  </si>
  <si>
    <t>NZD</t>
  </si>
  <si>
    <t>PEN</t>
  </si>
  <si>
    <t>PHP</t>
  </si>
  <si>
    <t>QAR</t>
  </si>
  <si>
    <t>RUB</t>
  </si>
  <si>
    <t>SAR</t>
  </si>
  <si>
    <t>SGD</t>
  </si>
  <si>
    <t>ZAR</t>
  </si>
  <si>
    <t>SEK</t>
  </si>
  <si>
    <t>CHF</t>
  </si>
  <si>
    <t>TWD</t>
  </si>
  <si>
    <t>THB</t>
  </si>
  <si>
    <t>AED</t>
  </si>
  <si>
    <t>VND</t>
  </si>
  <si>
    <t>Date Trade</t>
  </si>
  <si>
    <t>Afghanistan Afghani</t>
  </si>
  <si>
    <t>AFN</t>
  </si>
  <si>
    <t>Albania Lek</t>
  </si>
  <si>
    <t>ALL</t>
  </si>
  <si>
    <t>Algeria Dinar</t>
  </si>
  <si>
    <t>DZD</t>
  </si>
  <si>
    <t>Angola Kwanza</t>
  </si>
  <si>
    <t>AOA</t>
  </si>
  <si>
    <t>Armenia Dram</t>
  </si>
  <si>
    <t>AMD</t>
  </si>
  <si>
    <t>Aruba Guilder</t>
  </si>
  <si>
    <t>AWG</t>
  </si>
  <si>
    <t>Azerbaijan Manat</t>
  </si>
  <si>
    <t>AZN</t>
  </si>
  <si>
    <t>Bahamas Dollar</t>
  </si>
  <si>
    <t>BSD</t>
  </si>
  <si>
    <t>Bahrain Dinar</t>
  </si>
  <si>
    <t>BHD</t>
  </si>
  <si>
    <t>Bangladesh Taka</t>
  </si>
  <si>
    <t>BDT</t>
  </si>
  <si>
    <t>Barbados Dollar</t>
  </si>
  <si>
    <t>BBD</t>
  </si>
  <si>
    <t>Belarus Ruble</t>
  </si>
  <si>
    <t>BYN</t>
  </si>
  <si>
    <t>Belize Dollar</t>
  </si>
  <si>
    <t>BZD</t>
  </si>
  <si>
    <t>Bermuda Dollar</t>
  </si>
  <si>
    <t>BMD</t>
  </si>
  <si>
    <t>Bhutan Ngultrum</t>
  </si>
  <si>
    <t>BTN</t>
  </si>
  <si>
    <t>Bolivia Bolíviano</t>
  </si>
  <si>
    <t>BOB</t>
  </si>
  <si>
    <t>Bosnia and Herzegovina Convertible Marka</t>
  </si>
  <si>
    <t>BAM</t>
  </si>
  <si>
    <t>Botswana Pula</t>
  </si>
  <si>
    <t>BWP</t>
  </si>
  <si>
    <t>Brunei Darussalam Dollar</t>
  </si>
  <si>
    <t>BND</t>
  </si>
  <si>
    <t>Bulgaria Lev</t>
  </si>
  <si>
    <t>BGN</t>
  </si>
  <si>
    <t>Burundi Franc</t>
  </si>
  <si>
    <t>BIF</t>
  </si>
  <si>
    <t>Cambodia Riel</t>
  </si>
  <si>
    <t>KHR</t>
  </si>
  <si>
    <t>Cape Verde Escudo</t>
  </si>
  <si>
    <t>CVE</t>
  </si>
  <si>
    <t>Cayman Islands Dollar</t>
  </si>
  <si>
    <t>KYD</t>
  </si>
  <si>
    <t>Chile Peso</t>
  </si>
  <si>
    <t>CLP</t>
  </si>
  <si>
    <t>Colombia Peso</t>
  </si>
  <si>
    <t>COP</t>
  </si>
  <si>
    <t>Communauté Financière Africaine (BCEAO) Franc</t>
  </si>
  <si>
    <t>XOF</t>
  </si>
  <si>
    <t>Communauté Financière Africaine (BEAC) CFA Franc BEAC</t>
  </si>
  <si>
    <t>XAF</t>
  </si>
  <si>
    <t>Comorian Franc</t>
  </si>
  <si>
    <t>KMF</t>
  </si>
  <si>
    <t>Comptoirs Français du Pacifique (CFP) Franc</t>
  </si>
  <si>
    <t>XPF</t>
  </si>
  <si>
    <t>Congo/Kinshasa Franc</t>
  </si>
  <si>
    <t>CDF</t>
  </si>
  <si>
    <t>Costa Rica Colon</t>
  </si>
  <si>
    <t>CRC</t>
  </si>
  <si>
    <t>Croatia Kuna</t>
  </si>
  <si>
    <t>HRK</t>
  </si>
  <si>
    <t>Cuba Convertible Peso</t>
  </si>
  <si>
    <t>CUC</t>
  </si>
  <si>
    <t>Cuba Peso</t>
  </si>
  <si>
    <t>CUP</t>
  </si>
  <si>
    <t>Czech Republic Koruna</t>
  </si>
  <si>
    <t>CZK</t>
  </si>
  <si>
    <t>Djibouti Franc</t>
  </si>
  <si>
    <t>DJF</t>
  </si>
  <si>
    <t>Dominican Republic Peso</t>
  </si>
  <si>
    <t>DOP</t>
  </si>
  <si>
    <t>East Caribbean Dollar</t>
  </si>
  <si>
    <t>XCD</t>
  </si>
  <si>
    <t>El Salvador Colon</t>
  </si>
  <si>
    <t>SVC</t>
  </si>
  <si>
    <t>Eritrea Nakfa</t>
  </si>
  <si>
    <t>ERN</t>
  </si>
  <si>
    <t>Ethiopia Birr</t>
  </si>
  <si>
    <t>ETB</t>
  </si>
  <si>
    <t>Euro Member Countries</t>
  </si>
  <si>
    <t>Falkland Islands (Malvinas) Pound</t>
  </si>
  <si>
    <t>FKP</t>
  </si>
  <si>
    <t>Fiji Dollar</t>
  </si>
  <si>
    <t>FJD</t>
  </si>
  <si>
    <t>Gambia Dalasi</t>
  </si>
  <si>
    <t>GMD</t>
  </si>
  <si>
    <t>Georgia Lari</t>
  </si>
  <si>
    <t>GEL</t>
  </si>
  <si>
    <t>Ghana Cedi</t>
  </si>
  <si>
    <t>GHS</t>
  </si>
  <si>
    <t>Gibraltar Pound</t>
  </si>
  <si>
    <t>GIP</t>
  </si>
  <si>
    <t>Guatemala Quetzal</t>
  </si>
  <si>
    <t>GTQ</t>
  </si>
  <si>
    <t>Guernsey Pound</t>
  </si>
  <si>
    <t>GGP</t>
  </si>
  <si>
    <t>Guinea Franc</t>
  </si>
  <si>
    <t>GNF</t>
  </si>
  <si>
    <t>Guyana Dollar</t>
  </si>
  <si>
    <t>GYD</t>
  </si>
  <si>
    <t>Haiti Gourde</t>
  </si>
  <si>
    <t>HTG</t>
  </si>
  <si>
    <t>Honduras Lempira</t>
  </si>
  <si>
    <t>HNL</t>
  </si>
  <si>
    <t>Hungary Forint</t>
  </si>
  <si>
    <t>HUF</t>
  </si>
  <si>
    <t>Iran Rial</t>
  </si>
  <si>
    <t>IRR</t>
  </si>
  <si>
    <t>Iraq Dinar</t>
  </si>
  <si>
    <t>IQD</t>
  </si>
  <si>
    <t>Isle of Man Pound</t>
  </si>
  <si>
    <t>IMP</t>
  </si>
  <si>
    <t>Israel Shekel</t>
  </si>
  <si>
    <t>ILS</t>
  </si>
  <si>
    <t>Jamaica Dollar</t>
  </si>
  <si>
    <t>JMD</t>
  </si>
  <si>
    <t>Jersey Pound</t>
  </si>
  <si>
    <t>JEP</t>
  </si>
  <si>
    <t>Jordan Dinar</t>
  </si>
  <si>
    <t>JOD</t>
  </si>
  <si>
    <t>Kazakhstan Tenge</t>
  </si>
  <si>
    <t>KZT</t>
  </si>
  <si>
    <t>Kenya Shilling</t>
  </si>
  <si>
    <t>KES</t>
  </si>
  <si>
    <t>Korea (North) Won</t>
  </si>
  <si>
    <t>KPW</t>
  </si>
  <si>
    <t>Kuwait Dinar</t>
  </si>
  <si>
    <t>KWD</t>
  </si>
  <si>
    <t>Kyrgyzstan Som</t>
  </si>
  <si>
    <t>KGS</t>
  </si>
  <si>
    <t>Laos Kip</t>
  </si>
  <si>
    <t>LAK</t>
  </si>
  <si>
    <t>Lebanon Pound</t>
  </si>
  <si>
    <t>LBP</t>
  </si>
  <si>
    <t>Lesotho Loti</t>
  </si>
  <si>
    <t>LSL</t>
  </si>
  <si>
    <t>Liberia Dollar</t>
  </si>
  <si>
    <t>LRD</t>
  </si>
  <si>
    <t>Libya Dinar</t>
  </si>
  <si>
    <t>LYD</t>
  </si>
  <si>
    <t>Macau Pataca</t>
  </si>
  <si>
    <t>MOP</t>
  </si>
  <si>
    <t>Macedonia Denar</t>
  </si>
  <si>
    <t>MKD</t>
  </si>
  <si>
    <t>Madagascar Ariary</t>
  </si>
  <si>
    <t>MGA</t>
  </si>
  <si>
    <t>Maldives (Maldive Islands) Rufiyaa</t>
  </si>
  <si>
    <t>MVR</t>
  </si>
  <si>
    <t>Mauritania Ouguiya</t>
  </si>
  <si>
    <t>MRO</t>
  </si>
  <si>
    <t>Mauritius Rupee</t>
  </si>
  <si>
    <t>MUR</t>
  </si>
  <si>
    <t>Moldova Leu</t>
  </si>
  <si>
    <t>MDL</t>
  </si>
  <si>
    <t>Morocco Dirham</t>
  </si>
  <si>
    <t>MAD</t>
  </si>
  <si>
    <t>Mozambique Metical</t>
  </si>
  <si>
    <t>MZN</t>
  </si>
  <si>
    <t>Myanmar (Burma) Kyat</t>
  </si>
  <si>
    <t>MMK</t>
  </si>
  <si>
    <t>Namibia Dollar</t>
  </si>
  <si>
    <t>NAD</t>
  </si>
  <si>
    <t>Nepal Rupee</t>
  </si>
  <si>
    <t>NPR</t>
  </si>
  <si>
    <t>Nicaragua Cordoba</t>
  </si>
  <si>
    <t>NIO</t>
  </si>
  <si>
    <t>Nigeria Naira</t>
  </si>
  <si>
    <t>NGN</t>
  </si>
  <si>
    <t>Norway Krone</t>
  </si>
  <si>
    <t>NOK</t>
  </si>
  <si>
    <t>Oman Rial</t>
  </si>
  <si>
    <t>OMR</t>
  </si>
  <si>
    <t>Pakistan Rupee</t>
  </si>
  <si>
    <t>PKR</t>
  </si>
  <si>
    <t>Panama Balboa</t>
  </si>
  <si>
    <t>PAB</t>
  </si>
  <si>
    <t>Papua New Guinea Kina</t>
  </si>
  <si>
    <t>PGK</t>
  </si>
  <si>
    <t>Paraguay Guarani</t>
  </si>
  <si>
    <t>PYG</t>
  </si>
  <si>
    <t>Poland Zloty</t>
  </si>
  <si>
    <t>PLN</t>
  </si>
  <si>
    <t>Romania Leu</t>
  </si>
  <si>
    <t>RON</t>
  </si>
  <si>
    <t>Rwanda Franc</t>
  </si>
  <si>
    <t>RWF</t>
  </si>
  <si>
    <t>Saint Helena Pound</t>
  </si>
  <si>
    <t>SHP</t>
  </si>
  <si>
    <t>Samoa Tala</t>
  </si>
  <si>
    <t>WST</t>
  </si>
  <si>
    <t>São Tomé and Príncipe Dobra</t>
  </si>
  <si>
    <t>STD</t>
  </si>
  <si>
    <t>Seborga Luigino</t>
  </si>
  <si>
    <t>SPL*</t>
  </si>
  <si>
    <t>Serbia Dinar</t>
  </si>
  <si>
    <t>RSD</t>
  </si>
  <si>
    <t>Seychelles Rupee</t>
  </si>
  <si>
    <t>SCR</t>
  </si>
  <si>
    <t>Sierra Leone Leone</t>
  </si>
  <si>
    <t>SLL</t>
  </si>
  <si>
    <t>Solomon Islands Dollar</t>
  </si>
  <si>
    <t>SBD</t>
  </si>
  <si>
    <t>Somalia Shilling</t>
  </si>
  <si>
    <t>SOS</t>
  </si>
  <si>
    <t>Sri Lanka Rupee</t>
  </si>
  <si>
    <t>LKR</t>
  </si>
  <si>
    <t>Sudan Pound</t>
  </si>
  <si>
    <t>SDG</t>
  </si>
  <si>
    <t>Suriname Dollar</t>
  </si>
  <si>
    <t>SRD</t>
  </si>
  <si>
    <t>Swaziland Lilangeni</t>
  </si>
  <si>
    <t>SZL</t>
  </si>
  <si>
    <t>Syria Pound</t>
  </si>
  <si>
    <t>SYP</t>
  </si>
  <si>
    <t>Tajikistan Somoni</t>
  </si>
  <si>
    <t>TJS</t>
  </si>
  <si>
    <t>Tanzania Shilling</t>
  </si>
  <si>
    <t>TZS</t>
  </si>
  <si>
    <t>Tonga Pa'anga</t>
  </si>
  <si>
    <t>TOP</t>
  </si>
  <si>
    <t>Trinidad and Tobago Dollar</t>
  </si>
  <si>
    <t>TTD</t>
  </si>
  <si>
    <t>Tunisia Dinar</t>
  </si>
  <si>
    <t>TND</t>
  </si>
  <si>
    <t>Turkey Lira</t>
  </si>
  <si>
    <t>TRY</t>
  </si>
  <si>
    <t>Turkmenistan Manat</t>
  </si>
  <si>
    <t>TMT</t>
  </si>
  <si>
    <t>Tuvalu Dollar</t>
  </si>
  <si>
    <t>TVD</t>
  </si>
  <si>
    <t>Uganda Shilling</t>
  </si>
  <si>
    <t>UGX</t>
  </si>
  <si>
    <t>Ukraine Hryvnia</t>
  </si>
  <si>
    <t>UAH</t>
  </si>
  <si>
    <t>Uruguay Peso</t>
  </si>
  <si>
    <t>UYU</t>
  </si>
  <si>
    <t>Uzbekistan Som</t>
  </si>
  <si>
    <t>UZS</t>
  </si>
  <si>
    <t>Vanuatu Vatu</t>
  </si>
  <si>
    <t>VUV</t>
  </si>
  <si>
    <t>Venezuela Bolívar</t>
  </si>
  <si>
    <t>VEF</t>
  </si>
  <si>
    <t>Yemen Rial</t>
  </si>
  <si>
    <t>YER</t>
  </si>
  <si>
    <t>Zambia Kwacha</t>
  </si>
  <si>
    <t>ZMW</t>
  </si>
  <si>
    <t>Zimbabwe Dollar</t>
  </si>
  <si>
    <t>ZWD</t>
  </si>
  <si>
    <t>Simple Trading Rule Assumption</t>
  </si>
  <si>
    <t>Margin Adj</t>
  </si>
  <si>
    <t>Cash Adj</t>
  </si>
  <si>
    <t>Balance</t>
  </si>
  <si>
    <t>BC</t>
  </si>
  <si>
    <t>Asset Type</t>
  </si>
  <si>
    <t>Trade Intention</t>
  </si>
  <si>
    <t>Symbol</t>
  </si>
  <si>
    <t>Cash Balance Change</t>
  </si>
  <si>
    <t>Ava. Margin Change</t>
  </si>
  <si>
    <t>Stock/ Bond/ TD</t>
  </si>
  <si>
    <t>Buy/ Long</t>
  </si>
  <si>
    <t>Decrease</t>
  </si>
  <si>
    <t>Sell/ Short</t>
  </si>
  <si>
    <t>Increase</t>
  </si>
  <si>
    <t>Short sell/ Naked short</t>
  </si>
  <si>
    <t>Buy Cover</t>
  </si>
  <si>
    <t>Fees</t>
  </si>
  <si>
    <t>Decrease (opt val)</t>
  </si>
  <si>
    <t>No Chg</t>
  </si>
  <si>
    <t>Margin adj = less ava margin by net qty amount</t>
  </si>
  <si>
    <t>Increase (opt val)</t>
  </si>
  <si>
    <t>Inc (by exposure)</t>
  </si>
  <si>
    <t>Decrease (by net exposure with Short side)</t>
  </si>
  <si>
    <t>BC = Buy Cover</t>
  </si>
  <si>
    <t>trade order</t>
  </si>
  <si>
    <t>result</t>
  </si>
  <si>
    <t>B = Buy</t>
  </si>
  <si>
    <t>+ to -</t>
  </si>
  <si>
    <t>ss -40</t>
  </si>
  <si>
    <t>inc ava mrg by 10 then dec ava mrg by -40 for SS post</t>
  </si>
  <si>
    <t>S = Sell</t>
  </si>
  <si>
    <t>sell trade</t>
  </si>
  <si>
    <t>order+beg post</t>
  </si>
  <si>
    <t>SS = Short Sell</t>
  </si>
  <si>
    <t>- to +</t>
  </si>
  <si>
    <t>B 40</t>
  </si>
  <si>
    <t>inc ava mrg by 10 then dec ava mrg by 40 for long post</t>
  </si>
  <si>
    <t>CD/CW = Cash Deposit/ Cash Withdrawal</t>
  </si>
  <si>
    <t>bc trade</t>
  </si>
  <si>
    <t>OFSS - Overflipped trade: from Buy/Long to Short Sell</t>
  </si>
  <si>
    <t>OFB - Overflipped trade: from Short Sell to Buy/Long</t>
  </si>
  <si>
    <t>Sample Trading Account Balance Situation</t>
  </si>
  <si>
    <t>Per Trade</t>
  </si>
  <si>
    <t>Overall Account Balance</t>
  </si>
  <si>
    <t>Margin Balance</t>
  </si>
  <si>
    <t>Day</t>
  </si>
  <si>
    <t>Action</t>
  </si>
  <si>
    <t>Cash Deposit</t>
  </si>
  <si>
    <t>Stk trade</t>
  </si>
  <si>
    <t>Cash chg</t>
  </si>
  <si>
    <t>Tranx</t>
  </si>
  <si>
    <t>Stk (Long)</t>
  </si>
  <si>
    <t>Stk (Short)</t>
  </si>
  <si>
    <t>Stk Total</t>
  </si>
  <si>
    <t>Total Acct</t>
  </si>
  <si>
    <t>Margin Equity</t>
  </si>
  <si>
    <t>Margin Loan**</t>
  </si>
  <si>
    <t>Assume margin ava is a reduction</t>
  </si>
  <si>
    <t>Trade</t>
  </si>
  <si>
    <t>Hldg Balance</t>
  </si>
  <si>
    <t>Marg Balance</t>
  </si>
  <si>
    <t>Marg Chg</t>
  </si>
  <si>
    <t>** Reg T Max @ 50% of Total Acct</t>
  </si>
  <si>
    <t>** Margin Loan will be charged at 5% for outstanding balance</t>
  </si>
  <si>
    <t>For example, in a particular security (stock):</t>
  </si>
  <si>
    <t>Formula code</t>
  </si>
  <si>
    <t>QTY Begin</t>
  </si>
  <si>
    <t>QTY End</t>
  </si>
  <si>
    <t>Short Sell</t>
  </si>
  <si>
    <t>Buy Covered</t>
  </si>
  <si>
    <t>Reject</t>
  </si>
  <si>
    <t>Due to insufficient information about intention of trade ("overflipped") - trader needs to split into 2 trade orders</t>
  </si>
  <si>
    <t>Buy</t>
  </si>
  <si>
    <t>Sell</t>
  </si>
  <si>
    <t>Real Time Quote of FX</t>
  </si>
  <si>
    <t>per \</t>
  </si>
  <si>
    <t>Hong Kong Dollar</t>
  </si>
  <si>
    <t>US Dollar</t>
  </si>
  <si>
    <t>Indian Rupee</t>
  </si>
  <si>
    <t>Euro</t>
  </si>
  <si>
    <t>need previous trades</t>
  </si>
  <si>
    <t>pwd</t>
  </si>
  <si>
    <t>n</t>
  </si>
  <si>
    <t>code</t>
  </si>
  <si>
    <t>same day trade</t>
  </si>
  <si>
    <t>y</t>
  </si>
  <si>
    <t>overflip</t>
  </si>
  <si>
    <t>margin</t>
  </si>
  <si>
    <t>Students submit trade order through Google form</t>
  </si>
  <si>
    <t>1. all trades calculated</t>
  </si>
  <si>
    <t>Trading system receives google form responses, and program will duplicate entries into trade record tab</t>
  </si>
  <si>
    <t>2. put all approved post trade to another tab</t>
  </si>
  <si>
    <t>1)</t>
  </si>
  <si>
    <t>Check password vs. initially set password - system will ignore trade order if incorrect</t>
  </si>
  <si>
    <t>3. create historical record date, with every single date, for all securities prices and info</t>
  </si>
  <si>
    <t>Program will create a double entry in cash balance</t>
  </si>
  <si>
    <t>Daily Price Update</t>
  </si>
  <si>
    <r>
      <rPr>
        <sz val="10"/>
        <color theme="1"/>
        <rFont val="Arial"/>
      </rPr>
      <t xml:space="preserve">At </t>
    </r>
    <r>
      <rPr>
        <b/>
        <u/>
        <sz val="10"/>
        <color theme="1"/>
        <rFont val="Arial"/>
      </rPr>
      <t>6pm HKT</t>
    </r>
    <r>
      <rPr>
        <sz val="10"/>
        <color theme="1"/>
        <rFont val="Arial"/>
      </rPr>
      <t xml:space="preserve">, the Program will screen all trade orders that were submitted on the </t>
    </r>
    <r>
      <rPr>
        <u/>
        <sz val="10"/>
        <color theme="1"/>
        <rFont val="Arial"/>
      </rPr>
      <t>order day</t>
    </r>
    <r>
      <rPr>
        <sz val="10"/>
        <color theme="1"/>
        <rFont val="Arial"/>
      </rPr>
      <t xml:space="preserve"> for all </t>
    </r>
    <r>
      <rPr>
        <b/>
        <u/>
        <sz val="10"/>
        <color theme="1"/>
        <rFont val="Arial"/>
      </rPr>
      <t xml:space="preserve">ASIAN </t>
    </r>
    <r>
      <rPr>
        <sz val="10"/>
        <color theme="1"/>
        <rFont val="Arial"/>
      </rPr>
      <t>Markets, and retrieve all pricing data for all trade</t>
    </r>
  </si>
  <si>
    <r>
      <rPr>
        <sz val="10"/>
        <color theme="1"/>
        <rFont val="Arial"/>
      </rPr>
      <t xml:space="preserve">At </t>
    </r>
    <r>
      <rPr>
        <b/>
        <u/>
        <sz val="10"/>
        <color theme="1"/>
        <rFont val="Arial"/>
      </rPr>
      <t>6am HKT</t>
    </r>
    <r>
      <rPr>
        <sz val="10"/>
        <color theme="1"/>
        <rFont val="Arial"/>
      </rPr>
      <t xml:space="preserve">, the Program will screen all trade orders that were submitted the </t>
    </r>
    <r>
      <rPr>
        <u/>
        <sz val="10"/>
        <color theme="1"/>
        <rFont val="Arial"/>
      </rPr>
      <t>day before (T-1)</t>
    </r>
    <r>
      <rPr>
        <sz val="10"/>
        <color theme="1"/>
        <rFont val="Arial"/>
      </rPr>
      <t xml:space="preserve"> for all </t>
    </r>
    <r>
      <rPr>
        <b/>
        <u/>
        <sz val="10"/>
        <color theme="1"/>
        <rFont val="Arial"/>
      </rPr>
      <t>AMERICAS &amp; EUROPEAN</t>
    </r>
    <r>
      <rPr>
        <sz val="10"/>
        <color theme="1"/>
        <rFont val="Arial"/>
      </rPr>
      <t xml:space="preserve"> Markets, and retrieve all pricing data for all trade</t>
    </r>
  </si>
  <si>
    <t>After price data is retrieved (assume data will be all hardcoded data), the Program will copy the formula from previous rows to calculate the "executed" price according to the rules:</t>
  </si>
  <si>
    <t>Stock &amp; Option:</t>
  </si>
  <si>
    <t>Market Order:</t>
  </si>
  <si>
    <t>Executed price = End of Day closing price</t>
  </si>
  <si>
    <t>Limit Order:</t>
  </si>
  <si>
    <t>Executed price = if limit price is within high and low, then, executed price = limit price</t>
  </si>
  <si>
    <t>(ignore bid-ask pricing info)</t>
  </si>
  <si>
    <t>Bonds:</t>
  </si>
  <si>
    <t>Bid/ Ask:</t>
  </si>
  <si>
    <t>BUY order = use ASK Price</t>
  </si>
  <si>
    <t>SELL order = use BID Price</t>
  </si>
  <si>
    <t>The Live Position Tab shall be updated automatically by Pivot Table. The Program shall copy the live position tab (with pricing information), into the historical position tab, at 6m HKT.</t>
  </si>
  <si>
    <t>HistPosition tab shall accumulate daily's live position, including cash balance for all accounts.</t>
  </si>
  <si>
    <t>Performance return calculation</t>
  </si>
  <si>
    <t>Random error check</t>
  </si>
  <si>
    <t>SUM of Total HKD Proposed Traded Notional</t>
  </si>
  <si>
    <t>SUM of Total HKD Proposed Margin Req.</t>
  </si>
  <si>
    <t>MAX of Post-Trade Margin Loan Balance</t>
  </si>
  <si>
    <t>(blank)</t>
  </si>
  <si>
    <t>(blank) 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</si>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</sst>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m/d/yyyy"/>
    <numFmt numFmtId="165" formatCode="mmm\ d\,\ yyyy"/>
    <numFmt numFmtId="166" formatCode="mmm\ dd\,\ yyyy"/>
    <numFmt numFmtId="167" formatCode="m/d/yyyy\ h:mm:ss"/>
    <numFmt numFmtId="168" formatCode="#,##0;[Red]\(#,##0\)"/>
    <numFmt numFmtId="169" formatCode="dmmmyyyy"/>
    <numFmt numFmtId="170" formatCode="&quot;$&quot;#,##0.0"/>
    <numFmt numFmtId="171" formatCode="0.000"/>
    <numFmt numFmtId="172" formatCode="&quot;$&quot;#,##0.00"/>
    <numFmt numFmtId="173" formatCode="#,##0.0;[Red]\(#,##0.0\)"/>
    <numFmt numFmtId="174" formatCode="0.000%"/>
    <numFmt numFmtId="175" formatCode="&quot;$&quot;#,##0"/>
    <numFmt numFmtId="176" formatCode="0,000;[Red]\(0,000\)"/>
    <numFmt numFmtId="177" formatCode="yyyy\-mm\-dd"/>
    <numFmt numFmtId="178" formatCode="0.0"/>
    <numFmt numFmtId="179" formatCode="m/d/yy"/>
    <numFmt numFmtId="180" formatCode="0.00000%"/>
    <numFmt numFmtId="181" formatCode="#,##0.0000;[Red]\(#,##0.0000\)"/>
    <numFmt numFmtId="182" formatCode="#,##0.000;[Red]\(#,##0.000\)"/>
    <numFmt numFmtId="183" formatCode="0.00%;[Red]\(0.00%\)"/>
    <numFmt numFmtId="184" formatCode="\+0;[Red]\(\-0\)"/>
    <numFmt numFmtId="185" formatCode="#,##0.0000"/>
  </numFmts>
  <fonts count="38">
    <font>
      <sz val="10"/>
      <color rgb="FF000000"/>
      <name val="Arial"/>
    </font>
    <font>
      <sz val="10"/>
      <color theme="1"/>
      <name val="Arial"/>
    </font>
    <font>
      <u/>
      <sz val="10"/>
      <color rgb="FF0000FF"/>
      <name val="Arial"/>
    </font>
    <font>
      <b/>
      <sz val="10"/>
      <color rgb="FF0000FF"/>
      <name val="Arial"/>
    </font>
    <font>
      <sz val="8"/>
      <color rgb="FF5B636A"/>
      <name val="&quot;Yahoo Sans Finance&quot;"/>
    </font>
    <font>
      <sz val="10"/>
      <color rgb="FF000000"/>
      <name val="&quot;Yahoo Sans Finance&quot;"/>
    </font>
    <font>
      <u/>
      <sz val="10"/>
      <color rgb="FF1155CC"/>
      <name val="Arial"/>
    </font>
    <font>
      <b/>
      <sz val="16"/>
      <color theme="1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sz val="10"/>
      <color rgb="FFFFFFFF"/>
      <name val="Arial"/>
    </font>
    <font>
      <sz val="10"/>
      <color rgb="FFFFFF00"/>
      <name val="Arial"/>
    </font>
    <font>
      <b/>
      <sz val="10"/>
      <color theme="1"/>
      <name val="Arial"/>
    </font>
    <font>
      <sz val="10"/>
      <name val="Arial"/>
    </font>
    <font>
      <sz val="8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b/>
      <sz val="10"/>
      <color rgb="FFFF0000"/>
      <name val="Arial"/>
    </font>
    <font>
      <b/>
      <sz val="10"/>
      <color theme="0"/>
      <name val="Arial"/>
    </font>
    <font>
      <b/>
      <sz val="10"/>
      <color rgb="FFFFFFFF"/>
      <name val="Arial"/>
    </font>
    <font>
      <b/>
      <sz val="10"/>
      <color rgb="FFFFFF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i/>
      <sz val="10"/>
      <color theme="1"/>
      <name val="Arial"/>
    </font>
    <font>
      <sz val="16"/>
      <color theme="1"/>
      <name val="Arial"/>
    </font>
    <font>
      <sz val="10"/>
      <color rgb="FF0000FF"/>
      <name val="Arial"/>
    </font>
    <font>
      <b/>
      <sz val="15"/>
      <color theme="1"/>
      <name val="Arial"/>
    </font>
    <font>
      <b/>
      <sz val="12"/>
      <color theme="1"/>
      <name val="Arial"/>
    </font>
    <font>
      <i/>
      <u/>
      <sz val="10"/>
      <color theme="1"/>
      <name val="Arial"/>
    </font>
    <font>
      <b/>
      <u/>
      <sz val="10"/>
      <color theme="1"/>
      <name val="Arial"/>
    </font>
    <font>
      <u/>
      <sz val="10"/>
      <color theme="1"/>
      <name val="Arial"/>
    </font>
  </fonts>
  <fills count="3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980000"/>
        <bgColor rgb="FF980000"/>
      </patternFill>
    </fill>
    <fill>
      <patternFill patternType="solid">
        <fgColor rgb="FFFF9900"/>
        <bgColor rgb="FFFF9900"/>
      </patternFill>
    </fill>
    <fill>
      <patternFill patternType="solid">
        <fgColor rgb="FFF3F3F3"/>
        <bgColor rgb="FFF3F3F3"/>
      </patternFill>
    </fill>
    <fill>
      <patternFill patternType="solid">
        <fgColor rgb="FF6FA8DC"/>
        <bgColor rgb="FF6FA8DC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theme="9"/>
        <bgColor theme="9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6AA84F"/>
        <bgColor rgb="FF6AA84F"/>
      </patternFill>
    </fill>
    <fill>
      <patternFill patternType="solid">
        <fgColor rgb="FF00FF00"/>
        <bgColor rgb="FF00FF00"/>
      </patternFill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38761D"/>
        <bgColor rgb="FF38761D"/>
      </patternFill>
    </fill>
    <fill>
      <patternFill patternType="solid">
        <fgColor rgb="FFF6B26B"/>
        <bgColor rgb="FFF6B26B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0000FF"/>
        <bgColor rgb="FF0000FF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CC0000"/>
        <bgColor rgb="FFCC0000"/>
      </patternFill>
    </fill>
  </fills>
  <borders count="75">
    <border>
      <left/>
      <right/>
      <top/>
      <bottom/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n">
        <color rgb="FFE0E4E9"/>
      </left>
      <right style="thin">
        <color rgb="FFE0E4E9"/>
      </right>
      <top style="thin">
        <color rgb="FFE0E4E9"/>
      </top>
      <bottom style="thin">
        <color rgb="FFE0E4E9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tted">
        <color rgb="FFFFFF00"/>
      </left>
      <right/>
      <top style="dotted">
        <color rgb="FFFFFF00"/>
      </top>
      <bottom style="dotted">
        <color rgb="FFFFFF00"/>
      </bottom>
      <diagonal/>
    </border>
    <border>
      <left/>
      <right/>
      <top style="dotted">
        <color rgb="FFFFFF00"/>
      </top>
      <bottom style="dotted">
        <color rgb="FFFFFF00"/>
      </bottom>
      <diagonal/>
    </border>
    <border>
      <left/>
      <right style="dotted">
        <color rgb="FFFFFF00"/>
      </right>
      <top style="dotted">
        <color rgb="FFFFFF00"/>
      </top>
      <bottom style="dotted">
        <color rgb="FFFFFF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thick">
        <color rgb="FF0000FF"/>
      </bottom>
      <diagonal/>
    </border>
    <border>
      <left style="thick">
        <color rgb="FF0000FF"/>
      </left>
      <right/>
      <top style="thick">
        <color rgb="FF0000FF"/>
      </top>
      <bottom/>
      <diagonal/>
    </border>
    <border>
      <left/>
      <right/>
      <top style="thick">
        <color rgb="FF0000FF"/>
      </top>
      <bottom/>
      <diagonal/>
    </border>
    <border>
      <left style="thick">
        <color rgb="FF0000FF"/>
      </left>
      <right/>
      <top/>
      <bottom/>
      <diagonal/>
    </border>
    <border>
      <left style="thick">
        <color rgb="FF0000FF"/>
      </left>
      <right/>
      <top/>
      <bottom style="thick">
        <color rgb="FF0000FF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 style="double">
        <color rgb="FFB7B7B7"/>
      </right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 style="dotted">
        <color rgb="FF000000"/>
      </left>
      <right/>
      <top/>
      <bottom/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/>
      <right style="thick">
        <color rgb="FF0000FF"/>
      </right>
      <top/>
      <bottom/>
      <diagonal/>
    </border>
    <border>
      <left style="medium">
        <color rgb="FF000000"/>
      </left>
      <right/>
      <top/>
      <bottom/>
      <diagonal/>
    </border>
    <border>
      <left style="hair">
        <color rgb="FFFF0000"/>
      </left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double">
        <color rgb="FFB7B7B7"/>
      </left>
      <right/>
      <top/>
      <bottom/>
      <diagonal/>
    </border>
    <border>
      <left/>
      <right style="double">
        <color rgb="FFB7B7B7"/>
      </right>
      <top/>
      <bottom/>
      <diagonal/>
    </border>
    <border>
      <left/>
      <right style="hair">
        <color rgb="FFFF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thick">
        <color rgb="FF0000FF"/>
      </left>
      <right/>
      <top style="thick">
        <color rgb="FF0000FF"/>
      </top>
      <bottom style="thick">
        <color rgb="FF0000FF"/>
      </bottom>
      <diagonal/>
    </border>
    <border>
      <left/>
      <right/>
      <top style="thick">
        <color rgb="FF0000FF"/>
      </top>
      <bottom style="thick">
        <color rgb="FF0000FF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 style="thick">
        <color rgb="FF00FF00"/>
      </left>
      <right style="thick">
        <color rgb="FF00FF00"/>
      </right>
      <top style="thick">
        <color rgb="FF00FF00"/>
      </top>
      <bottom style="thick">
        <color rgb="FF00FF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FF"/>
      </left>
      <right/>
      <top/>
      <bottom style="thin">
        <color rgb="FF000000"/>
      </bottom>
      <diagonal/>
    </border>
    <border>
      <left style="thick">
        <color rgb="FFFF0000"/>
      </left>
      <right/>
      <top/>
      <bottom style="thin">
        <color rgb="FF000000"/>
      </bottom>
      <diagonal/>
    </border>
    <border>
      <left style="thick">
        <color rgb="FFFF0000"/>
      </left>
      <right/>
      <top/>
      <bottom/>
      <diagonal/>
    </border>
    <border>
      <left style="double">
        <color rgb="FFB7B7B7"/>
      </left>
      <right/>
      <top style="double">
        <color rgb="FFB7B7B7"/>
      </top>
      <bottom/>
      <diagonal/>
    </border>
    <border>
      <left/>
      <right/>
      <top style="double">
        <color rgb="FFB7B7B7"/>
      </top>
      <bottom/>
      <diagonal/>
    </border>
    <border>
      <left/>
      <right style="double">
        <color rgb="FFB7B7B7"/>
      </right>
      <top style="double">
        <color rgb="FFB7B7B7"/>
      </top>
      <bottom/>
      <diagonal/>
    </border>
    <border>
      <left style="double">
        <color rgb="FFB7B7B7"/>
      </left>
      <right/>
      <top/>
      <bottom style="double">
        <color rgb="FFB7B7B7"/>
      </bottom>
      <diagonal/>
    </border>
    <border>
      <left/>
      <right/>
      <top/>
      <bottom style="double">
        <color rgb="FFB7B7B7"/>
      </bottom>
      <diagonal/>
    </border>
    <border>
      <left/>
      <right style="double">
        <color rgb="FFB7B7B7"/>
      </right>
      <top/>
      <bottom style="double">
        <color rgb="FFB7B7B7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526">
    <xf numFmtId="0" fontId="0" fillId="0" borderId="0" xfId="0" applyFont="1" applyAlignment="1"/>
    <xf numFmtId="0" fontId="1" fillId="2" borderId="0" xfId="0" applyFont="1" applyFill="1"/>
    <xf numFmtId="0" fontId="2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9" fontId="1" fillId="0" borderId="0" xfId="0" applyNumberFormat="1" applyFont="1"/>
    <xf numFmtId="14" fontId="1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3" fillId="0" borderId="0" xfId="0" applyFont="1" applyAlignment="1"/>
    <xf numFmtId="0" fontId="1" fillId="0" borderId="0" xfId="0" applyFont="1"/>
    <xf numFmtId="0" fontId="4" fillId="3" borderId="0" xfId="0" applyFont="1" applyFill="1" applyAlignment="1">
      <alignment horizontal="left"/>
    </xf>
    <xf numFmtId="0" fontId="4" fillId="3" borderId="0" xfId="0" applyFont="1" applyFill="1" applyAlignment="1">
      <alignment horizontal="center"/>
    </xf>
    <xf numFmtId="0" fontId="1" fillId="0" borderId="1" xfId="0" applyFont="1" applyBorder="1" applyAlignment="1"/>
    <xf numFmtId="0" fontId="1" fillId="0" borderId="2" xfId="0" applyFont="1" applyBorder="1"/>
    <xf numFmtId="0" fontId="1" fillId="0" borderId="3" xfId="0" applyFont="1" applyBorder="1"/>
    <xf numFmtId="165" fontId="5" fillId="3" borderId="4" xfId="0" applyNumberFormat="1" applyFont="1" applyFill="1" applyBorder="1" applyAlignment="1">
      <alignment horizontal="left"/>
    </xf>
    <xf numFmtId="4" fontId="5" fillId="3" borderId="4" xfId="0" applyNumberFormat="1" applyFont="1" applyFill="1" applyBorder="1" applyAlignment="1">
      <alignment horizontal="right"/>
    </xf>
    <xf numFmtId="3" fontId="5" fillId="3" borderId="4" xfId="0" applyNumberFormat="1" applyFont="1" applyFill="1" applyBorder="1" applyAlignment="1">
      <alignment horizontal="right"/>
    </xf>
    <xf numFmtId="164" fontId="1" fillId="0" borderId="5" xfId="0" applyNumberFormat="1" applyFont="1" applyBorder="1" applyAlignment="1"/>
    <xf numFmtId="4" fontId="1" fillId="4" borderId="0" xfId="0" applyNumberFormat="1" applyFont="1" applyFill="1"/>
    <xf numFmtId="0" fontId="1" fillId="5" borderId="0" xfId="0" applyFont="1" applyFill="1"/>
    <xf numFmtId="0" fontId="1" fillId="5" borderId="6" xfId="0" applyFont="1" applyFill="1" applyBorder="1"/>
    <xf numFmtId="3" fontId="1" fillId="4" borderId="0" xfId="0" applyNumberFormat="1" applyFont="1" applyFill="1"/>
    <xf numFmtId="0" fontId="1" fillId="4" borderId="0" xfId="0" applyFont="1" applyFill="1"/>
    <xf numFmtId="166" fontId="5" fillId="3" borderId="4" xfId="0" applyNumberFormat="1" applyFont="1" applyFill="1" applyBorder="1" applyAlignment="1">
      <alignment horizontal="left"/>
    </xf>
    <xf numFmtId="164" fontId="1" fillId="0" borderId="5" xfId="0" applyNumberFormat="1" applyFont="1" applyBorder="1"/>
    <xf numFmtId="165" fontId="1" fillId="0" borderId="0" xfId="0" applyNumberFormat="1" applyFont="1" applyAlignment="1"/>
    <xf numFmtId="4" fontId="1" fillId="0" borderId="0" xfId="0" applyNumberFormat="1" applyFont="1" applyAlignment="1"/>
    <xf numFmtId="3" fontId="1" fillId="0" borderId="0" xfId="0" applyNumberFormat="1" applyFont="1" applyAlignment="1"/>
    <xf numFmtId="0" fontId="1" fillId="0" borderId="6" xfId="0" applyFont="1" applyBorder="1"/>
    <xf numFmtId="3" fontId="1" fillId="0" borderId="0" xfId="0" applyNumberFormat="1" applyFont="1"/>
    <xf numFmtId="9" fontId="1" fillId="0" borderId="0" xfId="0" applyNumberFormat="1" applyFont="1" applyAlignment="1"/>
    <xf numFmtId="1" fontId="1" fillId="0" borderId="7" xfId="0" applyNumberFormat="1" applyFont="1" applyBorder="1"/>
    <xf numFmtId="1" fontId="1" fillId="0" borderId="8" xfId="0" applyNumberFormat="1" applyFont="1" applyBorder="1"/>
    <xf numFmtId="1" fontId="1" fillId="0" borderId="9" xfId="0" applyNumberFormat="1" applyFont="1" applyBorder="1"/>
    <xf numFmtId="1" fontId="1" fillId="0" borderId="10" xfId="0" applyNumberFormat="1" applyFont="1" applyBorder="1"/>
    <xf numFmtId="1" fontId="1" fillId="0" borderId="0" xfId="0" applyNumberFormat="1" applyFont="1"/>
    <xf numFmtId="1" fontId="1" fillId="0" borderId="11" xfId="0" applyNumberFormat="1" applyFont="1" applyBorder="1"/>
    <xf numFmtId="1" fontId="1" fillId="0" borderId="12" xfId="0" applyNumberFormat="1" applyFont="1" applyBorder="1"/>
    <xf numFmtId="1" fontId="1" fillId="0" borderId="2" xfId="0" applyNumberFormat="1" applyFont="1" applyBorder="1"/>
    <xf numFmtId="1" fontId="1" fillId="0" borderId="13" xfId="0" applyNumberFormat="1" applyFont="1" applyBorder="1"/>
    <xf numFmtId="0" fontId="6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right" wrapText="1"/>
    </xf>
    <xf numFmtId="167" fontId="1" fillId="0" borderId="0" xfId="0" applyNumberFormat="1" applyFont="1" applyAlignment="1"/>
    <xf numFmtId="14" fontId="1" fillId="4" borderId="0" xfId="0" applyNumberFormat="1" applyFont="1" applyFill="1" applyAlignment="1"/>
    <xf numFmtId="40" fontId="1" fillId="4" borderId="0" xfId="0" applyNumberFormat="1" applyFont="1" applyFill="1"/>
    <xf numFmtId="0" fontId="1" fillId="0" borderId="0" xfId="0" applyFont="1"/>
    <xf numFmtId="167" fontId="1" fillId="6" borderId="0" xfId="0" applyNumberFormat="1" applyFont="1" applyFill="1" applyAlignment="1"/>
    <xf numFmtId="0" fontId="1" fillId="6" borderId="0" xfId="0" applyFont="1" applyFill="1" applyAlignment="1"/>
    <xf numFmtId="0" fontId="1" fillId="6" borderId="0" xfId="0" applyFont="1" applyFill="1"/>
    <xf numFmtId="0" fontId="1" fillId="6" borderId="0" xfId="0" applyFont="1" applyFill="1"/>
    <xf numFmtId="4" fontId="1" fillId="4" borderId="0" xfId="0" applyNumberFormat="1" applyFont="1" applyFill="1" applyAlignment="1"/>
    <xf numFmtId="0" fontId="1" fillId="4" borderId="0" xfId="0" applyFont="1" applyFill="1" applyAlignment="1"/>
    <xf numFmtId="0" fontId="7" fillId="0" borderId="0" xfId="0" applyFont="1" applyAlignment="1"/>
    <xf numFmtId="0" fontId="1" fillId="0" borderId="0" xfId="0" applyFont="1" applyAlignment="1">
      <alignment horizontal="center"/>
    </xf>
    <xf numFmtId="0" fontId="8" fillId="0" borderId="0" xfId="0" applyFont="1"/>
    <xf numFmtId="0" fontId="1" fillId="0" borderId="0" xfId="0" applyFont="1" applyAlignment="1">
      <alignment wrapText="1"/>
    </xf>
    <xf numFmtId="0" fontId="9" fillId="7" borderId="0" xfId="0" applyFont="1" applyFill="1" applyAlignment="1">
      <alignment horizontal="center"/>
    </xf>
    <xf numFmtId="167" fontId="1" fillId="0" borderId="0" xfId="0" applyNumberFormat="1" applyFont="1" applyAlignment="1">
      <alignment wrapText="1"/>
    </xf>
    <xf numFmtId="0" fontId="1" fillId="8" borderId="0" xfId="0" applyFont="1" applyFill="1" applyAlignment="1"/>
    <xf numFmtId="167" fontId="10" fillId="0" borderId="0" xfId="0" applyNumberFormat="1" applyFont="1"/>
    <xf numFmtId="0" fontId="11" fillId="9" borderId="0" xfId="0" applyFont="1" applyFill="1" applyAlignment="1">
      <alignment horizontal="center"/>
    </xf>
    <xf numFmtId="0" fontId="12" fillId="10" borderId="0" xfId="0" applyFont="1" applyFill="1" applyAlignment="1">
      <alignment horizontal="center"/>
    </xf>
    <xf numFmtId="0" fontId="10" fillId="8" borderId="0" xfId="0" applyFont="1" applyFill="1" applyAlignment="1"/>
    <xf numFmtId="167" fontId="1" fillId="0" borderId="0" xfId="0" applyNumberFormat="1" applyFont="1" applyAlignment="1">
      <alignment wrapText="1"/>
    </xf>
    <xf numFmtId="0" fontId="14" fillId="0" borderId="0" xfId="0" applyFont="1" applyAlignment="1">
      <alignment horizontal="right" wrapText="1"/>
    </xf>
    <xf numFmtId="0" fontId="14" fillId="2" borderId="0" xfId="0" applyFont="1" applyFill="1" applyAlignment="1">
      <alignment horizontal="right" wrapText="1"/>
    </xf>
    <xf numFmtId="0" fontId="1" fillId="0" borderId="0" xfId="0" applyFont="1" applyAlignment="1">
      <alignment horizontal="right" wrapText="1"/>
    </xf>
    <xf numFmtId="4" fontId="1" fillId="0" borderId="0" xfId="0" applyNumberFormat="1" applyFont="1" applyAlignment="1">
      <alignment horizontal="right" wrapText="1"/>
    </xf>
    <xf numFmtId="4" fontId="1" fillId="0" borderId="17" xfId="0" applyNumberFormat="1" applyFont="1" applyBorder="1" applyAlignment="1">
      <alignment horizontal="right" wrapText="1"/>
    </xf>
    <xf numFmtId="4" fontId="1" fillId="0" borderId="0" xfId="0" applyNumberFormat="1" applyFont="1"/>
    <xf numFmtId="0" fontId="1" fillId="0" borderId="0" xfId="0" applyFont="1" applyAlignment="1"/>
    <xf numFmtId="164" fontId="1" fillId="11" borderId="0" xfId="0" applyNumberFormat="1" applyFont="1" applyFill="1" applyAlignment="1"/>
    <xf numFmtId="0" fontId="1" fillId="11" borderId="0" xfId="0" applyFont="1" applyFill="1" applyAlignment="1"/>
    <xf numFmtId="0" fontId="1" fillId="12" borderId="0" xfId="0" applyFont="1" applyFill="1" applyAlignment="1"/>
    <xf numFmtId="0" fontId="1" fillId="11" borderId="0" xfId="0" applyFont="1" applyFill="1" applyAlignment="1"/>
    <xf numFmtId="0" fontId="1" fillId="13" borderId="0" xfId="0" applyFont="1" applyFill="1" applyAlignment="1"/>
    <xf numFmtId="0" fontId="1" fillId="14" borderId="0" xfId="0" applyFont="1" applyFill="1" applyAlignment="1"/>
    <xf numFmtId="0" fontId="1" fillId="6" borderId="0" xfId="0" applyFont="1" applyFill="1" applyAlignment="1"/>
    <xf numFmtId="0" fontId="1" fillId="15" borderId="0" xfId="0" applyFont="1" applyFill="1" applyAlignment="1"/>
    <xf numFmtId="0" fontId="1" fillId="13" borderId="0" xfId="0" applyFont="1" applyFill="1" applyAlignment="1"/>
    <xf numFmtId="14" fontId="1" fillId="2" borderId="0" xfId="0" applyNumberFormat="1" applyFont="1" applyFill="1" applyAlignment="1"/>
    <xf numFmtId="0" fontId="1" fillId="13" borderId="0" xfId="0" applyFont="1" applyFill="1" applyAlignment="1"/>
    <xf numFmtId="0" fontId="1" fillId="15" borderId="0" xfId="0" applyFont="1" applyFill="1" applyAlignment="1"/>
    <xf numFmtId="0" fontId="1" fillId="16" borderId="0" xfId="0" applyFont="1" applyFill="1" applyAlignment="1"/>
    <xf numFmtId="0" fontId="1" fillId="8" borderId="0" xfId="0" applyFont="1" applyFill="1"/>
    <xf numFmtId="168" fontId="1" fillId="4" borderId="0" xfId="0" applyNumberFormat="1" applyFont="1" applyFill="1" applyAlignment="1">
      <alignment horizontal="right"/>
    </xf>
    <xf numFmtId="168" fontId="1" fillId="17" borderId="0" xfId="0" applyNumberFormat="1" applyFont="1" applyFill="1" applyAlignment="1">
      <alignment horizontal="right"/>
    </xf>
    <xf numFmtId="168" fontId="1" fillId="17" borderId="17" xfId="0" applyNumberFormat="1" applyFont="1" applyFill="1" applyBorder="1" applyAlignment="1">
      <alignment horizontal="right"/>
    </xf>
    <xf numFmtId="168" fontId="1" fillId="0" borderId="0" xfId="0" applyNumberFormat="1" applyFont="1" applyAlignment="1"/>
    <xf numFmtId="168" fontId="1" fillId="0" borderId="0" xfId="0" applyNumberFormat="1" applyFont="1"/>
    <xf numFmtId="167" fontId="1" fillId="11" borderId="0" xfId="0" applyNumberFormat="1" applyFont="1" applyFill="1" applyAlignment="1"/>
    <xf numFmtId="0" fontId="1" fillId="12" borderId="0" xfId="0" applyFont="1" applyFill="1"/>
    <xf numFmtId="0" fontId="15" fillId="12" borderId="0" xfId="0" applyFont="1" applyFill="1"/>
    <xf numFmtId="0" fontId="16" fillId="13" borderId="0" xfId="0" applyFont="1" applyFill="1" applyAlignment="1"/>
    <xf numFmtId="168" fontId="17" fillId="0" borderId="0" xfId="0" applyNumberFormat="1" applyFont="1"/>
    <xf numFmtId="0" fontId="1" fillId="11" borderId="0" xfId="0" applyFont="1" applyFill="1"/>
    <xf numFmtId="0" fontId="1" fillId="14" borderId="0" xfId="0" applyFont="1" applyFill="1"/>
    <xf numFmtId="0" fontId="1" fillId="15" borderId="0" xfId="0" applyFont="1" applyFill="1"/>
    <xf numFmtId="167" fontId="1" fillId="11" borderId="0" xfId="0" applyNumberFormat="1" applyFont="1" applyFill="1" applyAlignment="1"/>
    <xf numFmtId="0" fontId="18" fillId="12" borderId="0" xfId="0" applyFont="1" applyFill="1"/>
    <xf numFmtId="0" fontId="1" fillId="16" borderId="0" xfId="0" applyFont="1" applyFill="1"/>
    <xf numFmtId="0" fontId="1" fillId="12" borderId="0" xfId="0" applyFont="1" applyFill="1" applyAlignment="1"/>
    <xf numFmtId="0" fontId="1" fillId="13" borderId="0" xfId="0" applyFont="1" applyFill="1"/>
    <xf numFmtId="0" fontId="1" fillId="14" borderId="0" xfId="0" applyFont="1" applyFill="1" applyAlignment="1"/>
    <xf numFmtId="10" fontId="1" fillId="14" borderId="0" xfId="0" applyNumberFormat="1" applyFont="1" applyFill="1" applyAlignment="1"/>
    <xf numFmtId="169" fontId="1" fillId="14" borderId="0" xfId="0" applyNumberFormat="1" applyFont="1" applyFill="1" applyAlignment="1"/>
    <xf numFmtId="0" fontId="1" fillId="13" borderId="0" xfId="0" applyFont="1" applyFill="1"/>
    <xf numFmtId="164" fontId="1" fillId="6" borderId="0" xfId="0" applyNumberFormat="1" applyFont="1" applyFill="1" applyAlignment="1"/>
    <xf numFmtId="167" fontId="1" fillId="0" borderId="0" xfId="0" applyNumberFormat="1" applyFont="1"/>
    <xf numFmtId="168" fontId="1" fillId="0" borderId="0" xfId="0" applyNumberFormat="1" applyFont="1"/>
    <xf numFmtId="170" fontId="1" fillId="0" borderId="0" xfId="0" applyNumberFormat="1" applyFont="1"/>
    <xf numFmtId="4" fontId="1" fillId="0" borderId="18" xfId="0" applyNumberFormat="1" applyFont="1" applyBorder="1" applyAlignment="1">
      <alignment wrapText="1"/>
    </xf>
    <xf numFmtId="0" fontId="1" fillId="0" borderId="18" xfId="0" applyFont="1" applyBorder="1" applyAlignment="1">
      <alignment wrapText="1"/>
    </xf>
    <xf numFmtId="168" fontId="1" fillId="0" borderId="18" xfId="0" applyNumberFormat="1" applyFont="1" applyBorder="1" applyAlignment="1">
      <alignment wrapText="1"/>
    </xf>
    <xf numFmtId="0" fontId="1" fillId="0" borderId="0" xfId="0" quotePrefix="1" applyFont="1" applyAlignment="1"/>
    <xf numFmtId="165" fontId="19" fillId="0" borderId="0" xfId="0" applyNumberFormat="1" applyFont="1"/>
    <xf numFmtId="168" fontId="1" fillId="0" borderId="0" xfId="0" applyNumberFormat="1" applyFont="1" applyAlignment="1">
      <alignment wrapText="1"/>
    </xf>
    <xf numFmtId="168" fontId="1" fillId="0" borderId="0" xfId="0" applyNumberFormat="1" applyFont="1" applyAlignment="1">
      <alignment wrapText="1"/>
    </xf>
    <xf numFmtId="170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8" fontId="1" fillId="0" borderId="0" xfId="0" applyNumberFormat="1" applyFont="1" applyAlignment="1">
      <alignment horizontal="right" wrapText="1"/>
    </xf>
    <xf numFmtId="170" fontId="1" fillId="0" borderId="0" xfId="0" applyNumberFormat="1" applyFont="1" applyAlignment="1">
      <alignment horizontal="right" wrapText="1"/>
    </xf>
    <xf numFmtId="168" fontId="1" fillId="0" borderId="0" xfId="0" applyNumberFormat="1" applyFont="1" applyAlignment="1">
      <alignment horizontal="right" wrapText="1"/>
    </xf>
    <xf numFmtId="168" fontId="20" fillId="0" borderId="0" xfId="0" applyNumberFormat="1" applyFont="1" applyAlignment="1">
      <alignment horizontal="right" wrapText="1"/>
    </xf>
    <xf numFmtId="168" fontId="1" fillId="2" borderId="0" xfId="0" applyNumberFormat="1" applyFont="1" applyFill="1" applyAlignment="1"/>
    <xf numFmtId="165" fontId="21" fillId="0" borderId="0" xfId="0" applyNumberFormat="1" applyFont="1" applyAlignment="1">
      <alignment horizontal="right" wrapText="1"/>
    </xf>
    <xf numFmtId="165" fontId="1" fillId="0" borderId="0" xfId="0" applyNumberFormat="1" applyFont="1"/>
    <xf numFmtId="165" fontId="1" fillId="0" borderId="19" xfId="0" applyNumberFormat="1" applyFont="1" applyBorder="1" applyAlignment="1"/>
    <xf numFmtId="0" fontId="1" fillId="0" borderId="20" xfId="0" applyFont="1" applyBorder="1" applyAlignment="1"/>
    <xf numFmtId="40" fontId="1" fillId="0" borderId="20" xfId="0" applyNumberFormat="1" applyFont="1" applyBorder="1" applyAlignment="1">
      <alignment horizontal="right"/>
    </xf>
    <xf numFmtId="168" fontId="1" fillId="0" borderId="0" xfId="0" applyNumberFormat="1" applyFont="1" applyAlignment="1"/>
    <xf numFmtId="165" fontId="1" fillId="0" borderId="21" xfId="0" applyNumberFormat="1" applyFont="1" applyBorder="1" applyAlignment="1"/>
    <xf numFmtId="40" fontId="1" fillId="0" borderId="0" xfId="0" applyNumberFormat="1" applyFont="1" applyAlignment="1">
      <alignment horizontal="right"/>
    </xf>
    <xf numFmtId="165" fontId="1" fillId="18" borderId="21" xfId="0" applyNumberFormat="1" applyFont="1" applyFill="1" applyBorder="1" applyAlignment="1"/>
    <xf numFmtId="0" fontId="1" fillId="18" borderId="0" xfId="0" applyFont="1" applyFill="1" applyAlignment="1"/>
    <xf numFmtId="40" fontId="1" fillId="18" borderId="0" xfId="0" applyNumberFormat="1" applyFont="1" applyFill="1" applyAlignment="1">
      <alignment horizontal="right"/>
    </xf>
    <xf numFmtId="165" fontId="1" fillId="0" borderId="22" xfId="0" applyNumberFormat="1" applyFont="1" applyBorder="1" applyAlignment="1"/>
    <xf numFmtId="0" fontId="1" fillId="0" borderId="18" xfId="0" applyFont="1" applyBorder="1" applyAlignment="1"/>
    <xf numFmtId="40" fontId="1" fillId="0" borderId="18" xfId="0" applyNumberFormat="1" applyFont="1" applyBorder="1" applyAlignment="1">
      <alignment horizontal="right"/>
    </xf>
    <xf numFmtId="40" fontId="1" fillId="18" borderId="0" xfId="0" applyNumberFormat="1" applyFont="1" applyFill="1" applyAlignment="1">
      <alignment horizontal="right"/>
    </xf>
    <xf numFmtId="40" fontId="1" fillId="0" borderId="0" xfId="0" applyNumberFormat="1" applyFont="1" applyAlignment="1">
      <alignment horizontal="right"/>
    </xf>
    <xf numFmtId="40" fontId="1" fillId="0" borderId="18" xfId="0" applyNumberFormat="1" applyFont="1" applyBorder="1" applyAlignment="1">
      <alignment horizontal="right"/>
    </xf>
    <xf numFmtId="40" fontId="1" fillId="0" borderId="20" xfId="0" applyNumberFormat="1" applyFont="1" applyBorder="1" applyAlignment="1">
      <alignment horizontal="right"/>
    </xf>
    <xf numFmtId="166" fontId="1" fillId="0" borderId="0" xfId="0" applyNumberFormat="1" applyFont="1"/>
    <xf numFmtId="164" fontId="1" fillId="0" borderId="0" xfId="0" applyNumberFormat="1" applyFont="1"/>
    <xf numFmtId="10" fontId="1" fillId="0" borderId="0" xfId="0" applyNumberFormat="1" applyFont="1"/>
    <xf numFmtId="164" fontId="1" fillId="0" borderId="0" xfId="0" applyNumberFormat="1" applyFont="1"/>
    <xf numFmtId="0" fontId="22" fillId="19" borderId="0" xfId="0" applyFont="1" applyFill="1" applyAlignment="1">
      <alignment wrapText="1"/>
    </xf>
    <xf numFmtId="0" fontId="1" fillId="0" borderId="0" xfId="0" applyFont="1" applyAlignment="1">
      <alignment horizontal="right"/>
    </xf>
    <xf numFmtId="0" fontId="1" fillId="0" borderId="0" xfId="0" applyFont="1" applyAlignment="1"/>
    <xf numFmtId="0" fontId="23" fillId="0" borderId="0" xfId="0" applyFont="1" applyAlignment="1">
      <alignment horizontal="right"/>
    </xf>
    <xf numFmtId="0" fontId="1" fillId="7" borderId="0" xfId="0" applyFont="1" applyFill="1" applyAlignment="1"/>
    <xf numFmtId="9" fontId="1" fillId="2" borderId="0" xfId="0" applyNumberFormat="1" applyFont="1" applyFill="1" applyAlignment="1"/>
    <xf numFmtId="0" fontId="24" fillId="8" borderId="0" xfId="0" applyFont="1" applyFill="1" applyAlignment="1"/>
    <xf numFmtId="0" fontId="24" fillId="8" borderId="0" xfId="0" applyFont="1" applyFill="1"/>
    <xf numFmtId="0" fontId="25" fillId="8" borderId="0" xfId="0" applyFont="1" applyFill="1" applyAlignment="1"/>
    <xf numFmtId="167" fontId="10" fillId="0" borderId="0" xfId="0" applyNumberFormat="1" applyFont="1" applyAlignment="1"/>
    <xf numFmtId="0" fontId="1" fillId="0" borderId="23" xfId="0" applyFont="1" applyBorder="1" applyAlignment="1"/>
    <xf numFmtId="0" fontId="1" fillId="0" borderId="24" xfId="0" applyFont="1" applyBorder="1" applyAlignment="1"/>
    <xf numFmtId="0" fontId="1" fillId="0" borderId="24" xfId="0" applyFont="1" applyBorder="1"/>
    <xf numFmtId="0" fontId="1" fillId="0" borderId="24" xfId="0" applyFont="1" applyBorder="1"/>
    <xf numFmtId="0" fontId="12" fillId="0" borderId="24" xfId="0" applyFont="1" applyBorder="1" applyAlignment="1"/>
    <xf numFmtId="0" fontId="1" fillId="0" borderId="25" xfId="0" applyFont="1" applyBorder="1"/>
    <xf numFmtId="0" fontId="1" fillId="8" borderId="24" xfId="0" applyFont="1" applyFill="1" applyBorder="1"/>
    <xf numFmtId="0" fontId="1" fillId="0" borderId="26" xfId="0" applyFont="1" applyBorder="1"/>
    <xf numFmtId="4" fontId="1" fillId="0" borderId="27" xfId="0" applyNumberFormat="1" applyFont="1" applyBorder="1" applyAlignment="1">
      <alignment horizontal="right" wrapText="1"/>
    </xf>
    <xf numFmtId="0" fontId="1" fillId="0" borderId="10" xfId="0" applyFont="1" applyBorder="1" applyAlignment="1">
      <alignment horizontal="right" wrapText="1"/>
    </xf>
    <xf numFmtId="0" fontId="1" fillId="0" borderId="28" xfId="0" applyFont="1" applyBorder="1" applyAlignment="1">
      <alignment horizontal="right" wrapText="1"/>
    </xf>
    <xf numFmtId="0" fontId="1" fillId="0" borderId="11" xfId="0" applyFont="1" applyBorder="1" applyAlignment="1">
      <alignment horizontal="right" wrapText="1"/>
    </xf>
    <xf numFmtId="0" fontId="1" fillId="0" borderId="29" xfId="0" applyFont="1" applyBorder="1" applyAlignment="1">
      <alignment horizontal="right" wrapText="1"/>
    </xf>
    <xf numFmtId="0" fontId="1" fillId="0" borderId="30" xfId="0" applyFont="1" applyBorder="1" applyAlignment="1">
      <alignment horizontal="right" wrapText="1"/>
    </xf>
    <xf numFmtId="0" fontId="1" fillId="0" borderId="31" xfId="0" applyFont="1" applyBorder="1" applyAlignment="1">
      <alignment horizontal="right" wrapText="1"/>
    </xf>
    <xf numFmtId="0" fontId="1" fillId="0" borderId="5" xfId="0" applyFont="1" applyBorder="1" applyAlignment="1">
      <alignment horizontal="right" wrapText="1"/>
    </xf>
    <xf numFmtId="0" fontId="1" fillId="2" borderId="0" xfId="0" applyFont="1" applyFill="1" applyAlignment="1">
      <alignment horizontal="right" wrapText="1"/>
    </xf>
    <xf numFmtId="0" fontId="1" fillId="13" borderId="0" xfId="0" applyFont="1" applyFill="1" applyAlignment="1">
      <alignment horizontal="right" wrapText="1"/>
    </xf>
    <xf numFmtId="0" fontId="1" fillId="6" borderId="0" xfId="0" applyFont="1" applyFill="1" applyAlignment="1">
      <alignment horizontal="right" wrapText="1"/>
    </xf>
    <xf numFmtId="0" fontId="1" fillId="0" borderId="32" xfId="0" applyFont="1" applyBorder="1" applyAlignment="1">
      <alignment horizontal="right" wrapText="1"/>
    </xf>
    <xf numFmtId="0" fontId="1" fillId="4" borderId="0" xfId="0" applyFont="1" applyFill="1" applyAlignment="1">
      <alignment horizontal="right" wrapText="1"/>
    </xf>
    <xf numFmtId="0" fontId="1" fillId="0" borderId="33" xfId="0" applyFont="1" applyBorder="1" applyAlignment="1">
      <alignment horizontal="right" wrapText="1"/>
    </xf>
    <xf numFmtId="0" fontId="1" fillId="20" borderId="0" xfId="0" applyFont="1" applyFill="1" applyAlignment="1">
      <alignment horizontal="right" wrapText="1"/>
    </xf>
    <xf numFmtId="0" fontId="1" fillId="0" borderId="34" xfId="0" applyFont="1" applyBorder="1" applyAlignment="1">
      <alignment horizontal="right" wrapText="1"/>
    </xf>
    <xf numFmtId="0" fontId="1" fillId="0" borderId="35" xfId="0" applyFont="1" applyBorder="1" applyAlignment="1">
      <alignment horizontal="right" wrapText="1"/>
    </xf>
    <xf numFmtId="0" fontId="1" fillId="0" borderId="35" xfId="0" applyFont="1" applyBorder="1"/>
    <xf numFmtId="3" fontId="1" fillId="0" borderId="0" xfId="0" applyNumberFormat="1" applyFont="1" applyAlignment="1"/>
    <xf numFmtId="164" fontId="1" fillId="15" borderId="0" xfId="0" applyNumberFormat="1" applyFont="1" applyFill="1" applyAlignment="1"/>
    <xf numFmtId="168" fontId="1" fillId="4" borderId="0" xfId="0" applyNumberFormat="1" applyFont="1" applyFill="1" applyAlignment="1">
      <alignment horizontal="right"/>
    </xf>
    <xf numFmtId="168" fontId="1" fillId="21" borderId="0" xfId="0" applyNumberFormat="1" applyFont="1" applyFill="1" applyAlignment="1">
      <alignment horizontal="right"/>
    </xf>
    <xf numFmtId="168" fontId="26" fillId="22" borderId="27" xfId="0" applyNumberFormat="1" applyFont="1" applyFill="1" applyBorder="1" applyAlignment="1">
      <alignment horizontal="right"/>
    </xf>
    <xf numFmtId="168" fontId="1" fillId="0" borderId="0" xfId="0" applyNumberFormat="1" applyFont="1" applyAlignment="1">
      <alignment horizontal="right"/>
    </xf>
    <xf numFmtId="171" fontId="1" fillId="0" borderId="0" xfId="0" applyNumberFormat="1" applyFont="1"/>
    <xf numFmtId="172" fontId="1" fillId="0" borderId="0" xfId="0" applyNumberFormat="1" applyFont="1" applyAlignment="1"/>
    <xf numFmtId="172" fontId="1" fillId="0" borderId="10" xfId="0" applyNumberFormat="1" applyFont="1" applyBorder="1"/>
    <xf numFmtId="172" fontId="1" fillId="0" borderId="0" xfId="0" applyNumberFormat="1" applyFont="1"/>
    <xf numFmtId="172" fontId="1" fillId="0" borderId="28" xfId="0" applyNumberFormat="1" applyFont="1" applyBorder="1"/>
    <xf numFmtId="168" fontId="1" fillId="0" borderId="11" xfId="0" applyNumberFormat="1" applyFont="1" applyBorder="1"/>
    <xf numFmtId="173" fontId="1" fillId="0" borderId="29" xfId="0" applyNumberFormat="1" applyFont="1" applyBorder="1"/>
    <xf numFmtId="168" fontId="1" fillId="10" borderId="0" xfId="0" applyNumberFormat="1" applyFont="1" applyFill="1"/>
    <xf numFmtId="168" fontId="1" fillId="10" borderId="30" xfId="0" applyNumberFormat="1" applyFont="1" applyFill="1" applyBorder="1"/>
    <xf numFmtId="174" fontId="1" fillId="0" borderId="10" xfId="0" applyNumberFormat="1" applyFont="1" applyBorder="1"/>
    <xf numFmtId="175" fontId="1" fillId="0" borderId="11" xfId="0" applyNumberFormat="1" applyFont="1" applyBorder="1"/>
    <xf numFmtId="168" fontId="1" fillId="0" borderId="29" xfId="0" applyNumberFormat="1" applyFont="1" applyBorder="1"/>
    <xf numFmtId="173" fontId="1" fillId="0" borderId="0" xfId="0" applyNumberFormat="1" applyFont="1"/>
    <xf numFmtId="0" fontId="1" fillId="18" borderId="0" xfId="0" applyFont="1" applyFill="1"/>
    <xf numFmtId="172" fontId="1" fillId="18" borderId="0" xfId="0" applyNumberFormat="1" applyFont="1" applyFill="1"/>
    <xf numFmtId="0" fontId="1" fillId="4" borderId="31" xfId="0" applyFont="1" applyFill="1" applyBorder="1" applyAlignment="1"/>
    <xf numFmtId="168" fontId="1" fillId="4" borderId="0" xfId="0" applyNumberFormat="1" applyFont="1" applyFill="1" applyAlignment="1"/>
    <xf numFmtId="0" fontId="1" fillId="4" borderId="0" xfId="0" applyFont="1" applyFill="1" applyAlignment="1"/>
    <xf numFmtId="168" fontId="1" fillId="23" borderId="5" xfId="0" applyNumberFormat="1" applyFont="1" applyFill="1" applyBorder="1" applyAlignment="1"/>
    <xf numFmtId="168" fontId="1" fillId="23" borderId="0" xfId="0" applyNumberFormat="1" applyFont="1" applyFill="1" applyAlignment="1"/>
    <xf numFmtId="168" fontId="1" fillId="24" borderId="0" xfId="0" applyNumberFormat="1" applyFont="1" applyFill="1" applyAlignment="1"/>
    <xf numFmtId="168" fontId="1" fillId="15" borderId="0" xfId="0" applyNumberFormat="1" applyFont="1" applyFill="1"/>
    <xf numFmtId="168" fontId="1" fillId="0" borderId="32" xfId="0" applyNumberFormat="1" applyFont="1" applyBorder="1"/>
    <xf numFmtId="172" fontId="1" fillId="0" borderId="0" xfId="0" applyNumberFormat="1" applyFont="1"/>
    <xf numFmtId="168" fontId="1" fillId="4" borderId="0" xfId="0" applyNumberFormat="1" applyFont="1" applyFill="1"/>
    <xf numFmtId="168" fontId="1" fillId="4" borderId="36" xfId="0" applyNumberFormat="1" applyFont="1" applyFill="1" applyBorder="1"/>
    <xf numFmtId="176" fontId="25" fillId="4" borderId="0" xfId="0" applyNumberFormat="1" applyFont="1" applyFill="1"/>
    <xf numFmtId="168" fontId="1" fillId="0" borderId="34" xfId="0" applyNumberFormat="1" applyFont="1" applyBorder="1"/>
    <xf numFmtId="168" fontId="1" fillId="0" borderId="35" xfId="0" applyNumberFormat="1" applyFont="1" applyBorder="1"/>
    <xf numFmtId="164" fontId="1" fillId="15" borderId="0" xfId="0" applyNumberFormat="1" applyFont="1" applyFill="1"/>
    <xf numFmtId="0" fontId="27" fillId="12" borderId="0" xfId="0" applyFont="1" applyFill="1" applyAlignment="1"/>
    <xf numFmtId="172" fontId="28" fillId="0" borderId="0" xfId="0" applyNumberFormat="1" applyFont="1" applyAlignment="1"/>
    <xf numFmtId="172" fontId="29" fillId="18" borderId="0" xfId="0" applyNumberFormat="1" applyFont="1" applyFill="1"/>
    <xf numFmtId="3" fontId="1" fillId="20" borderId="0" xfId="0" applyNumberFormat="1" applyFont="1" applyFill="1" applyAlignment="1"/>
    <xf numFmtId="172" fontId="1" fillId="0" borderId="28" xfId="0" applyNumberFormat="1" applyFont="1" applyBorder="1" applyAlignment="1"/>
    <xf numFmtId="174" fontId="1" fillId="0" borderId="10" xfId="0" applyNumberFormat="1" applyFont="1" applyBorder="1" applyAlignment="1"/>
    <xf numFmtId="175" fontId="1" fillId="0" borderId="11" xfId="0" applyNumberFormat="1" applyFont="1" applyBorder="1" applyAlignment="1"/>
    <xf numFmtId="177" fontId="1" fillId="6" borderId="0" xfId="0" applyNumberFormat="1" applyFont="1" applyFill="1" applyAlignment="1"/>
    <xf numFmtId="0" fontId="1" fillId="2" borderId="0" xfId="0" applyFont="1" applyFill="1" applyAlignment="1"/>
    <xf numFmtId="0" fontId="1" fillId="0" borderId="32" xfId="0" applyFont="1" applyBorder="1"/>
    <xf numFmtId="168" fontId="1" fillId="4" borderId="36" xfId="0" applyNumberFormat="1" applyFont="1" applyFill="1" applyBorder="1" applyAlignment="1"/>
    <xf numFmtId="0" fontId="25" fillId="4" borderId="0" xfId="0" applyFont="1" applyFill="1"/>
    <xf numFmtId="0" fontId="7" fillId="0" borderId="0" xfId="0" applyFont="1" applyAlignment="1"/>
    <xf numFmtId="0" fontId="1" fillId="0" borderId="0" xfId="0" applyFont="1" applyAlignment="1">
      <alignment horizontal="left"/>
    </xf>
    <xf numFmtId="2" fontId="1" fillId="2" borderId="0" xfId="0" applyNumberFormat="1" applyFont="1" applyFill="1" applyAlignment="1"/>
    <xf numFmtId="178" fontId="1" fillId="2" borderId="0" xfId="0" applyNumberFormat="1" applyFont="1" applyFill="1" applyAlignment="1"/>
    <xf numFmtId="174" fontId="1" fillId="0" borderId="0" xfId="0" applyNumberFormat="1" applyFont="1"/>
    <xf numFmtId="164" fontId="1" fillId="0" borderId="0" xfId="0" applyNumberFormat="1" applyFont="1" applyAlignment="1"/>
    <xf numFmtId="4" fontId="1" fillId="2" borderId="0" xfId="0" applyNumberFormat="1" applyFont="1" applyFill="1" applyAlignment="1"/>
    <xf numFmtId="38" fontId="1" fillId="0" borderId="0" xfId="0" applyNumberFormat="1" applyFont="1" applyAlignment="1"/>
    <xf numFmtId="164" fontId="10" fillId="0" borderId="0" xfId="0" applyNumberFormat="1" applyFont="1"/>
    <xf numFmtId="164" fontId="12" fillId="10" borderId="0" xfId="0" applyNumberFormat="1" applyFont="1" applyFill="1" applyAlignment="1">
      <alignment horizontal="center"/>
    </xf>
    <xf numFmtId="2" fontId="1" fillId="13" borderId="0" xfId="0" applyNumberFormat="1" applyFont="1" applyFill="1" applyAlignment="1"/>
    <xf numFmtId="168" fontId="1" fillId="13" borderId="0" xfId="0" applyNumberFormat="1" applyFont="1" applyFill="1" applyAlignment="1"/>
    <xf numFmtId="178" fontId="1" fillId="14" borderId="0" xfId="0" applyNumberFormat="1" applyFont="1" applyFill="1" applyAlignment="1"/>
    <xf numFmtId="168" fontId="1" fillId="14" borderId="0" xfId="0" applyNumberFormat="1" applyFont="1" applyFill="1" applyAlignment="1"/>
    <xf numFmtId="2" fontId="1" fillId="6" borderId="0" xfId="0" applyNumberFormat="1" applyFont="1" applyFill="1" applyAlignment="1"/>
    <xf numFmtId="168" fontId="1" fillId="6" borderId="0" xfId="0" applyNumberFormat="1" applyFont="1" applyFill="1" applyAlignment="1"/>
    <xf numFmtId="174" fontId="1" fillId="15" borderId="0" xfId="0" applyNumberFormat="1" applyFont="1" applyFill="1" applyAlignment="1"/>
    <xf numFmtId="168" fontId="1" fillId="15" borderId="0" xfId="0" applyNumberFormat="1" applyFont="1" applyFill="1" applyAlignment="1"/>
    <xf numFmtId="168" fontId="25" fillId="8" borderId="0" xfId="0" applyNumberFormat="1" applyFont="1" applyFill="1" applyAlignment="1"/>
    <xf numFmtId="168" fontId="24" fillId="8" borderId="0" xfId="0" applyNumberFormat="1" applyFont="1" applyFill="1"/>
    <xf numFmtId="164" fontId="1" fillId="0" borderId="23" xfId="0" applyNumberFormat="1" applyFont="1" applyBorder="1" applyAlignment="1"/>
    <xf numFmtId="4" fontId="1" fillId="0" borderId="23" xfId="0" applyNumberFormat="1" applyFont="1" applyBorder="1" applyAlignment="1"/>
    <xf numFmtId="168" fontId="1" fillId="0" borderId="24" xfId="0" applyNumberFormat="1" applyFont="1" applyBorder="1" applyAlignment="1"/>
    <xf numFmtId="168" fontId="1" fillId="0" borderId="24" xfId="0" applyNumberFormat="1" applyFont="1" applyBorder="1"/>
    <xf numFmtId="172" fontId="1" fillId="0" borderId="24" xfId="0" applyNumberFormat="1" applyFont="1" applyBorder="1"/>
    <xf numFmtId="168" fontId="1" fillId="0" borderId="25" xfId="0" applyNumberFormat="1" applyFont="1" applyBorder="1"/>
    <xf numFmtId="168" fontId="1" fillId="0" borderId="23" xfId="0" applyNumberFormat="1" applyFont="1" applyBorder="1" applyAlignment="1"/>
    <xf numFmtId="168" fontId="1" fillId="8" borderId="24" xfId="0" applyNumberFormat="1" applyFont="1" applyFill="1" applyBorder="1"/>
    <xf numFmtId="164" fontId="1" fillId="0" borderId="0" xfId="0" applyNumberFormat="1" applyFont="1" applyAlignment="1">
      <alignment wrapText="1"/>
    </xf>
    <xf numFmtId="164" fontId="14" fillId="0" borderId="0" xfId="0" applyNumberFormat="1" applyFont="1" applyAlignment="1">
      <alignment horizontal="right" wrapText="1"/>
    </xf>
    <xf numFmtId="0" fontId="1" fillId="8" borderId="0" xfId="0" applyFont="1" applyFill="1"/>
    <xf numFmtId="3" fontId="1" fillId="0" borderId="0" xfId="0" applyNumberFormat="1" applyFont="1" applyAlignment="1">
      <alignment horizontal="right" wrapText="1"/>
    </xf>
    <xf numFmtId="3" fontId="1" fillId="0" borderId="27" xfId="0" applyNumberFormat="1" applyFont="1" applyBorder="1" applyAlignment="1">
      <alignment horizontal="right" wrapText="1"/>
    </xf>
    <xf numFmtId="168" fontId="1" fillId="0" borderId="0" xfId="0" applyNumberFormat="1" applyFont="1" applyAlignment="1">
      <alignment horizontal="right" wrapText="1"/>
    </xf>
    <xf numFmtId="171" fontId="1" fillId="0" borderId="0" xfId="0" applyNumberFormat="1" applyFont="1" applyAlignment="1">
      <alignment horizontal="right" wrapText="1"/>
    </xf>
    <xf numFmtId="0" fontId="1" fillId="0" borderId="0" xfId="0" applyFont="1" applyAlignment="1">
      <alignment horizontal="left" wrapText="1"/>
    </xf>
    <xf numFmtId="2" fontId="1" fillId="0" borderId="10" xfId="0" applyNumberFormat="1" applyFont="1" applyBorder="1" applyAlignment="1">
      <alignment horizontal="right" wrapText="1"/>
    </xf>
    <xf numFmtId="2" fontId="1" fillId="0" borderId="28" xfId="0" applyNumberFormat="1" applyFont="1" applyBorder="1" applyAlignment="1">
      <alignment horizontal="right" wrapText="1"/>
    </xf>
    <xf numFmtId="168" fontId="1" fillId="0" borderId="29" xfId="0" applyNumberFormat="1" applyFont="1" applyBorder="1" applyAlignment="1">
      <alignment horizontal="right" wrapText="1"/>
    </xf>
    <xf numFmtId="178" fontId="1" fillId="0" borderId="0" xfId="0" applyNumberFormat="1" applyFont="1" applyAlignment="1">
      <alignment horizontal="right" wrapText="1"/>
    </xf>
    <xf numFmtId="168" fontId="1" fillId="0" borderId="11" xfId="0" applyNumberFormat="1" applyFont="1" applyBorder="1" applyAlignment="1">
      <alignment horizontal="right" wrapText="1"/>
    </xf>
    <xf numFmtId="174" fontId="1" fillId="0" borderId="10" xfId="0" applyNumberFormat="1" applyFont="1" applyBorder="1" applyAlignment="1">
      <alignment horizontal="right" wrapText="1"/>
    </xf>
    <xf numFmtId="164" fontId="1" fillId="0" borderId="0" xfId="0" applyNumberFormat="1" applyFont="1" applyAlignment="1">
      <alignment horizontal="right" wrapText="1"/>
    </xf>
    <xf numFmtId="0" fontId="1" fillId="23" borderId="5" xfId="0" applyFont="1" applyFill="1" applyBorder="1" applyAlignment="1">
      <alignment horizontal="right" wrapText="1"/>
    </xf>
    <xf numFmtId="0" fontId="1" fillId="23" borderId="0" xfId="0" applyFont="1" applyFill="1" applyAlignment="1">
      <alignment horizontal="right" wrapText="1"/>
    </xf>
    <xf numFmtId="0" fontId="1" fillId="15" borderId="0" xfId="0" applyFont="1" applyFill="1" applyAlignment="1">
      <alignment horizontal="right" wrapText="1"/>
    </xf>
    <xf numFmtId="4" fontId="1" fillId="2" borderId="0" xfId="0" applyNumberFormat="1" applyFont="1" applyFill="1" applyAlignment="1">
      <alignment horizontal="right" wrapText="1"/>
    </xf>
    <xf numFmtId="168" fontId="1" fillId="23" borderId="0" xfId="0" applyNumberFormat="1" applyFont="1" applyFill="1" applyAlignment="1">
      <alignment horizontal="right" wrapText="1"/>
    </xf>
    <xf numFmtId="168" fontId="1" fillId="15" borderId="0" xfId="0" applyNumberFormat="1" applyFont="1" applyFill="1" applyAlignment="1">
      <alignment horizontal="right" wrapText="1"/>
    </xf>
    <xf numFmtId="168" fontId="1" fillId="25" borderId="0" xfId="0" applyNumberFormat="1" applyFont="1" applyFill="1" applyAlignment="1">
      <alignment horizontal="right" wrapText="1"/>
    </xf>
    <xf numFmtId="168" fontId="1" fillId="5" borderId="32" xfId="0" applyNumberFormat="1" applyFont="1" applyFill="1" applyBorder="1" applyAlignment="1">
      <alignment horizontal="right" wrapText="1"/>
    </xf>
    <xf numFmtId="172" fontId="1" fillId="5" borderId="0" xfId="0" applyNumberFormat="1" applyFont="1" applyFill="1" applyAlignment="1">
      <alignment horizontal="right" wrapText="1"/>
    </xf>
    <xf numFmtId="168" fontId="1" fillId="5" borderId="0" xfId="0" applyNumberFormat="1" applyFont="1" applyFill="1" applyAlignment="1">
      <alignment horizontal="right" wrapText="1"/>
    </xf>
    <xf numFmtId="168" fontId="1" fillId="0" borderId="33" xfId="0" applyNumberFormat="1" applyFont="1" applyBorder="1" applyAlignment="1">
      <alignment horizontal="right" wrapText="1"/>
    </xf>
    <xf numFmtId="38" fontId="1" fillId="20" borderId="0" xfId="0" applyNumberFormat="1" applyFont="1" applyFill="1" applyAlignment="1">
      <alignment horizontal="right" wrapText="1"/>
    </xf>
    <xf numFmtId="168" fontId="1" fillId="0" borderId="34" xfId="0" applyNumberFormat="1" applyFont="1" applyBorder="1" applyAlignment="1">
      <alignment horizontal="right" wrapText="1"/>
    </xf>
    <xf numFmtId="168" fontId="1" fillId="0" borderId="35" xfId="0" applyNumberFormat="1" applyFont="1" applyBorder="1" applyAlignment="1">
      <alignment horizontal="right" wrapText="1"/>
    </xf>
    <xf numFmtId="4" fontId="1" fillId="0" borderId="17" xfId="0" applyNumberFormat="1" applyFont="1" applyBorder="1" applyAlignment="1">
      <alignment horizontal="right" wrapText="1"/>
    </xf>
    <xf numFmtId="3" fontId="1" fillId="0" borderId="0" xfId="0" applyNumberFormat="1" applyFont="1" applyAlignment="1">
      <alignment horizontal="right"/>
    </xf>
    <xf numFmtId="3" fontId="1" fillId="0" borderId="27" xfId="0" applyNumberFormat="1" applyFont="1" applyBorder="1" applyAlignment="1">
      <alignment horizontal="right"/>
    </xf>
    <xf numFmtId="3" fontId="1" fillId="0" borderId="0" xfId="0" applyNumberFormat="1" applyFont="1" applyAlignment="1">
      <alignment horizontal="right"/>
    </xf>
    <xf numFmtId="168" fontId="1" fillId="0" borderId="0" xfId="0" applyNumberFormat="1" applyFont="1" applyAlignment="1">
      <alignment horizontal="right"/>
    </xf>
    <xf numFmtId="171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10" xfId="0" applyNumberFormat="1" applyFont="1" applyBorder="1" applyAlignment="1">
      <alignment horizontal="right"/>
    </xf>
    <xf numFmtId="0" fontId="1" fillId="0" borderId="0" xfId="0" applyFont="1" applyAlignment="1">
      <alignment horizontal="right"/>
    </xf>
    <xf numFmtId="2" fontId="1" fillId="0" borderId="28" xfId="0" applyNumberFormat="1" applyFont="1" applyBorder="1" applyAlignment="1">
      <alignment horizontal="right"/>
    </xf>
    <xf numFmtId="0" fontId="1" fillId="0" borderId="11" xfId="0" applyFont="1" applyBorder="1" applyAlignment="1">
      <alignment horizontal="right"/>
    </xf>
    <xf numFmtId="168" fontId="1" fillId="0" borderId="29" xfId="0" applyNumberFormat="1" applyFont="1" applyBorder="1" applyAlignment="1">
      <alignment horizontal="right"/>
    </xf>
    <xf numFmtId="0" fontId="1" fillId="0" borderId="30" xfId="0" applyFont="1" applyBorder="1" applyAlignment="1">
      <alignment horizontal="right"/>
    </xf>
    <xf numFmtId="178" fontId="1" fillId="0" borderId="0" xfId="0" applyNumberFormat="1" applyFont="1" applyAlignment="1">
      <alignment horizontal="right"/>
    </xf>
    <xf numFmtId="168" fontId="1" fillId="0" borderId="11" xfId="0" applyNumberFormat="1" applyFont="1" applyBorder="1" applyAlignment="1">
      <alignment horizontal="right"/>
    </xf>
    <xf numFmtId="0" fontId="1" fillId="0" borderId="29" xfId="0" applyFont="1" applyBorder="1" applyAlignment="1">
      <alignment horizontal="right"/>
    </xf>
    <xf numFmtId="174" fontId="1" fillId="0" borderId="10" xfId="0" applyNumberFormat="1" applyFont="1" applyBorder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3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5" xfId="0" applyFont="1" applyBorder="1" applyAlignment="1">
      <alignment horizontal="right"/>
    </xf>
    <xf numFmtId="4" fontId="1" fillId="2" borderId="0" xfId="0" applyNumberFormat="1" applyFont="1" applyFill="1" applyAlignment="1">
      <alignment horizontal="right"/>
    </xf>
    <xf numFmtId="168" fontId="1" fillId="0" borderId="32" xfId="0" applyNumberFormat="1" applyFont="1" applyBorder="1" applyAlignment="1">
      <alignment horizontal="right"/>
    </xf>
    <xf numFmtId="172" fontId="1" fillId="0" borderId="0" xfId="0" applyNumberFormat="1" applyFont="1" applyAlignment="1">
      <alignment horizontal="right"/>
    </xf>
    <xf numFmtId="0" fontId="1" fillId="0" borderId="0" xfId="0" applyFont="1" applyAlignment="1"/>
    <xf numFmtId="38" fontId="1" fillId="0" borderId="0" xfId="0" applyNumberFormat="1" applyFont="1" applyAlignment="1">
      <alignment horizontal="right"/>
    </xf>
    <xf numFmtId="168" fontId="1" fillId="0" borderId="34" xfId="0" applyNumberFormat="1" applyFont="1" applyBorder="1" applyAlignment="1">
      <alignment horizontal="right"/>
    </xf>
    <xf numFmtId="168" fontId="1" fillId="0" borderId="35" xfId="0" applyNumberFormat="1" applyFont="1" applyBorder="1" applyAlignment="1">
      <alignment horizontal="right"/>
    </xf>
    <xf numFmtId="168" fontId="1" fillId="17" borderId="0" xfId="0" applyNumberFormat="1" applyFont="1" applyFill="1" applyAlignment="1">
      <alignment horizontal="right"/>
    </xf>
    <xf numFmtId="178" fontId="1" fillId="0" borderId="0" xfId="0" applyNumberFormat="1" applyFont="1" applyAlignment="1">
      <alignment horizontal="right"/>
    </xf>
    <xf numFmtId="2" fontId="1" fillId="0" borderId="28" xfId="0" applyNumberFormat="1" applyFont="1" applyBorder="1" applyAlignment="1">
      <alignment horizontal="right"/>
    </xf>
    <xf numFmtId="174" fontId="1" fillId="0" borderId="10" xfId="0" applyNumberFormat="1" applyFont="1" applyBorder="1" applyAlignment="1">
      <alignment horizontal="right"/>
    </xf>
    <xf numFmtId="168" fontId="1" fillId="0" borderId="11" xfId="0" applyNumberFormat="1" applyFont="1" applyBorder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/>
    <xf numFmtId="178" fontId="1" fillId="0" borderId="0" xfId="0" applyNumberFormat="1" applyFont="1"/>
    <xf numFmtId="38" fontId="1" fillId="0" borderId="0" xfId="0" applyNumberFormat="1" applyFont="1"/>
    <xf numFmtId="178" fontId="1" fillId="0" borderId="0" xfId="0" applyNumberFormat="1" applyFont="1" applyAlignment="1"/>
    <xf numFmtId="179" fontId="1" fillId="0" borderId="0" xfId="0" applyNumberFormat="1" applyFont="1" applyAlignment="1"/>
    <xf numFmtId="0" fontId="1" fillId="2" borderId="0" xfId="0" applyFont="1" applyFill="1" applyAlignment="1">
      <alignment horizontal="left"/>
    </xf>
    <xf numFmtId="38" fontId="1" fillId="0" borderId="0" xfId="0" applyNumberFormat="1" applyFont="1"/>
    <xf numFmtId="174" fontId="1" fillId="2" borderId="0" xfId="0" applyNumberFormat="1" applyFont="1" applyFill="1" applyAlignment="1"/>
    <xf numFmtId="180" fontId="1" fillId="0" borderId="0" xfId="0" applyNumberFormat="1" applyFont="1"/>
    <xf numFmtId="0" fontId="1" fillId="11" borderId="37" xfId="0" applyFont="1" applyFill="1" applyBorder="1"/>
    <xf numFmtId="0" fontId="1" fillId="11" borderId="38" xfId="0" applyFont="1" applyFill="1" applyBorder="1"/>
    <xf numFmtId="38" fontId="1" fillId="11" borderId="38" xfId="0" applyNumberFormat="1" applyFont="1" applyFill="1" applyBorder="1"/>
    <xf numFmtId="38" fontId="1" fillId="11" borderId="38" xfId="0" applyNumberFormat="1" applyFont="1" applyFill="1" applyBorder="1"/>
    <xf numFmtId="0" fontId="1" fillId="11" borderId="39" xfId="0" applyFont="1" applyFill="1" applyBorder="1"/>
    <xf numFmtId="164" fontId="1" fillId="0" borderId="18" xfId="0" applyNumberFormat="1" applyFont="1" applyBorder="1" applyAlignment="1">
      <alignment wrapText="1"/>
    </xf>
    <xf numFmtId="168" fontId="11" fillId="26" borderId="18" xfId="0" applyNumberFormat="1" applyFont="1" applyFill="1" applyBorder="1" applyAlignment="1">
      <alignment horizontal="right" wrapText="1"/>
    </xf>
    <xf numFmtId="170" fontId="1" fillId="27" borderId="40" xfId="0" applyNumberFormat="1" applyFont="1" applyFill="1" applyBorder="1" applyAlignment="1">
      <alignment horizontal="right" wrapText="1"/>
    </xf>
    <xf numFmtId="0" fontId="1" fillId="27" borderId="41" xfId="0" applyFont="1" applyFill="1" applyBorder="1" applyAlignment="1">
      <alignment horizontal="right" wrapText="1"/>
    </xf>
    <xf numFmtId="170" fontId="1" fillId="14" borderId="40" xfId="0" applyNumberFormat="1" applyFont="1" applyFill="1" applyBorder="1" applyAlignment="1">
      <alignment horizontal="right" wrapText="1"/>
    </xf>
    <xf numFmtId="0" fontId="1" fillId="14" borderId="41" xfId="0" applyFont="1" applyFill="1" applyBorder="1" applyAlignment="1">
      <alignment horizontal="right" wrapText="1"/>
    </xf>
    <xf numFmtId="0" fontId="1" fillId="6" borderId="41" xfId="0" applyFont="1" applyFill="1" applyBorder="1" applyAlignment="1">
      <alignment horizontal="right" wrapText="1"/>
    </xf>
    <xf numFmtId="0" fontId="1" fillId="28" borderId="41" xfId="0" applyFont="1" applyFill="1" applyBorder="1" applyAlignment="1">
      <alignment horizontal="right" wrapText="1"/>
    </xf>
    <xf numFmtId="0" fontId="1" fillId="10" borderId="41" xfId="0" applyFont="1" applyFill="1" applyBorder="1" applyAlignment="1">
      <alignment horizontal="right" wrapText="1"/>
    </xf>
    <xf numFmtId="0" fontId="1" fillId="13" borderId="41" xfId="0" applyFont="1" applyFill="1" applyBorder="1" applyAlignment="1">
      <alignment horizontal="right" wrapText="1"/>
    </xf>
    <xf numFmtId="0" fontId="1" fillId="29" borderId="42" xfId="0" applyFont="1" applyFill="1" applyBorder="1" applyAlignment="1">
      <alignment horizontal="right" wrapText="1"/>
    </xf>
    <xf numFmtId="0" fontId="1" fillId="28" borderId="43" xfId="0" applyFont="1" applyFill="1" applyBorder="1" applyAlignment="1">
      <alignment horizontal="right" wrapText="1"/>
    </xf>
    <xf numFmtId="0" fontId="1" fillId="10" borderId="43" xfId="0" applyFont="1" applyFill="1" applyBorder="1" applyAlignment="1">
      <alignment horizontal="right" wrapText="1"/>
    </xf>
    <xf numFmtId="0" fontId="1" fillId="13" borderId="43" xfId="0" applyFont="1" applyFill="1" applyBorder="1" applyAlignment="1">
      <alignment horizontal="right" wrapText="1"/>
    </xf>
    <xf numFmtId="38" fontId="1" fillId="29" borderId="44" xfId="0" applyNumberFormat="1" applyFont="1" applyFill="1" applyBorder="1" applyAlignment="1">
      <alignment horizontal="right" wrapText="1"/>
    </xf>
    <xf numFmtId="0" fontId="1" fillId="28" borderId="45" xfId="0" applyFont="1" applyFill="1" applyBorder="1" applyAlignment="1">
      <alignment horizontal="right" wrapText="1"/>
    </xf>
    <xf numFmtId="0" fontId="1" fillId="10" borderId="45" xfId="0" applyFont="1" applyFill="1" applyBorder="1" applyAlignment="1">
      <alignment horizontal="right" wrapText="1"/>
    </xf>
    <xf numFmtId="0" fontId="1" fillId="13" borderId="45" xfId="0" applyFont="1" applyFill="1" applyBorder="1" applyAlignment="1">
      <alignment horizontal="right" wrapText="1"/>
    </xf>
    <xf numFmtId="0" fontId="12" fillId="20" borderId="46" xfId="0" applyFont="1" applyFill="1" applyBorder="1" applyAlignment="1">
      <alignment horizontal="right" wrapText="1"/>
    </xf>
    <xf numFmtId="181" fontId="1" fillId="0" borderId="0" xfId="0" applyNumberFormat="1" applyFont="1" applyAlignment="1">
      <alignment horizontal="right" wrapText="1"/>
    </xf>
    <xf numFmtId="0" fontId="1" fillId="30" borderId="0" xfId="0" applyFont="1" applyFill="1" applyAlignment="1">
      <alignment horizontal="right" wrapText="1"/>
    </xf>
    <xf numFmtId="172" fontId="1" fillId="30" borderId="0" xfId="0" applyNumberFormat="1" applyFont="1" applyFill="1" applyAlignment="1">
      <alignment horizontal="right" wrapText="1"/>
    </xf>
    <xf numFmtId="168" fontId="1" fillId="30" borderId="0" xfId="0" applyNumberFormat="1" applyFont="1" applyFill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0" fontId="30" fillId="24" borderId="0" xfId="0" applyFont="1" applyFill="1"/>
    <xf numFmtId="181" fontId="1" fillId="0" borderId="0" xfId="0" applyNumberFormat="1" applyFont="1"/>
    <xf numFmtId="172" fontId="1" fillId="15" borderId="0" xfId="0" applyNumberFormat="1" applyFont="1" applyFill="1"/>
    <xf numFmtId="40" fontId="1" fillId="0" borderId="0" xfId="0" applyNumberFormat="1" applyFont="1"/>
    <xf numFmtId="40" fontId="1" fillId="15" borderId="0" xfId="0" applyNumberFormat="1" applyFont="1" applyFill="1"/>
    <xf numFmtId="181" fontId="1" fillId="0" borderId="0" xfId="0" applyNumberFormat="1" applyFont="1" applyAlignment="1"/>
    <xf numFmtId="181" fontId="26" fillId="31" borderId="0" xfId="0" applyNumberFormat="1" applyFont="1" applyFill="1" applyAlignment="1"/>
    <xf numFmtId="0" fontId="26" fillId="31" borderId="0" xfId="0" applyFont="1" applyFill="1" applyAlignment="1"/>
    <xf numFmtId="172" fontId="11" fillId="31" borderId="0" xfId="0" applyNumberFormat="1" applyFont="1" applyFill="1" applyAlignment="1"/>
    <xf numFmtId="172" fontId="26" fillId="31" borderId="0" xfId="0" applyNumberFormat="1" applyFont="1" applyFill="1" applyAlignment="1"/>
    <xf numFmtId="168" fontId="26" fillId="31" borderId="0" xfId="0" applyNumberFormat="1" applyFont="1" applyFill="1" applyAlignment="1"/>
    <xf numFmtId="38" fontId="26" fillId="31" borderId="0" xfId="0" applyNumberFormat="1" applyFont="1" applyFill="1" applyAlignment="1"/>
    <xf numFmtId="0" fontId="1" fillId="29" borderId="44" xfId="0" applyFont="1" applyFill="1" applyBorder="1" applyAlignment="1">
      <alignment horizontal="right" wrapText="1"/>
    </xf>
    <xf numFmtId="172" fontId="1" fillId="0" borderId="0" xfId="0" applyNumberFormat="1" applyFont="1" applyAlignment="1">
      <alignment horizontal="right" wrapText="1"/>
    </xf>
    <xf numFmtId="3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0" fontId="7" fillId="0" borderId="0" xfId="0" applyFont="1" applyAlignment="1">
      <alignment horizontal="left"/>
    </xf>
    <xf numFmtId="0" fontId="31" fillId="0" borderId="0" xfId="0" applyFont="1"/>
    <xf numFmtId="164" fontId="31" fillId="0" borderId="0" xfId="0" applyNumberFormat="1" applyFont="1"/>
    <xf numFmtId="182" fontId="1" fillId="0" borderId="0" xfId="0" applyNumberFormat="1" applyFont="1"/>
    <xf numFmtId="168" fontId="32" fillId="32" borderId="18" xfId="0" applyNumberFormat="1" applyFont="1" applyFill="1" applyBorder="1" applyAlignment="1">
      <alignment horizontal="right" wrapText="1"/>
    </xf>
    <xf numFmtId="168" fontId="32" fillId="32" borderId="18" xfId="0" applyNumberFormat="1" applyFont="1" applyFill="1" applyBorder="1" applyAlignment="1">
      <alignment horizontal="left" wrapText="1"/>
    </xf>
    <xf numFmtId="168" fontId="11" fillId="26" borderId="18" xfId="0" applyNumberFormat="1" applyFont="1" applyFill="1" applyBorder="1" applyAlignment="1">
      <alignment horizontal="left" wrapText="1"/>
    </xf>
    <xf numFmtId="172" fontId="1" fillId="14" borderId="23" xfId="0" applyNumberFormat="1" applyFont="1" applyFill="1" applyBorder="1" applyAlignment="1">
      <alignment horizontal="right" wrapText="1"/>
    </xf>
    <xf numFmtId="168" fontId="1" fillId="15" borderId="25" xfId="0" applyNumberFormat="1" applyFont="1" applyFill="1" applyBorder="1" applyAlignment="1">
      <alignment horizontal="right" wrapText="1"/>
    </xf>
    <xf numFmtId="175" fontId="1" fillId="0" borderId="0" xfId="0" applyNumberFormat="1" applyFont="1"/>
    <xf numFmtId="164" fontId="1" fillId="0" borderId="0" xfId="0" applyNumberFormat="1" applyFont="1" applyAlignment="1">
      <alignment horizontal="right"/>
    </xf>
    <xf numFmtId="38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37" xfId="0" applyFont="1" applyBorder="1" applyAlignment="1"/>
    <xf numFmtId="3" fontId="1" fillId="0" borderId="39" xfId="0" applyNumberFormat="1" applyFont="1" applyBorder="1" applyAlignment="1">
      <alignment horizontal="right"/>
    </xf>
    <xf numFmtId="164" fontId="1" fillId="0" borderId="0" xfId="0" applyNumberFormat="1" applyFont="1" applyAlignment="1">
      <alignment horizontal="right"/>
    </xf>
    <xf numFmtId="164" fontId="1" fillId="0" borderId="18" xfId="0" applyNumberFormat="1" applyFont="1" applyBorder="1" applyAlignment="1">
      <alignment horizontal="right"/>
    </xf>
    <xf numFmtId="164" fontId="1" fillId="0" borderId="18" xfId="0" applyNumberFormat="1" applyFont="1" applyBorder="1" applyAlignment="1">
      <alignment horizontal="right" wrapText="1"/>
    </xf>
    <xf numFmtId="38" fontId="1" fillId="0" borderId="18" xfId="0" applyNumberFormat="1" applyFont="1" applyBorder="1" applyAlignment="1">
      <alignment horizontal="right" wrapText="1"/>
    </xf>
    <xf numFmtId="38" fontId="1" fillId="0" borderId="18" xfId="0" applyNumberFormat="1" applyFont="1" applyBorder="1" applyAlignment="1">
      <alignment horizontal="right" wrapText="1"/>
    </xf>
    <xf numFmtId="0" fontId="1" fillId="0" borderId="18" xfId="0" applyFont="1" applyBorder="1" applyAlignment="1">
      <alignment horizontal="right" wrapText="1"/>
    </xf>
    <xf numFmtId="38" fontId="1" fillId="13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83" fontId="1" fillId="0" borderId="0" xfId="0" applyNumberFormat="1" applyFont="1"/>
    <xf numFmtId="0" fontId="33" fillId="0" borderId="0" xfId="0" applyFont="1" applyAlignment="1"/>
    <xf numFmtId="0" fontId="1" fillId="13" borderId="0" xfId="0" applyFont="1" applyFill="1" applyAlignment="1">
      <alignment wrapText="1"/>
    </xf>
    <xf numFmtId="0" fontId="1" fillId="13" borderId="0" xfId="0" applyFont="1" applyFill="1" applyAlignment="1">
      <alignment wrapText="1"/>
    </xf>
    <xf numFmtId="0" fontId="1" fillId="13" borderId="0" xfId="0" applyFont="1" applyFill="1" applyAlignment="1">
      <alignment horizontal="right" wrapText="1"/>
    </xf>
    <xf numFmtId="167" fontId="1" fillId="0" borderId="0" xfId="0" applyNumberFormat="1" applyFont="1" applyAlignment="1"/>
    <xf numFmtId="0" fontId="1" fillId="28" borderId="47" xfId="0" applyFont="1" applyFill="1" applyBorder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2" borderId="0" xfId="0" applyNumberFormat="1" applyFont="1" applyFill="1" applyAlignment="1"/>
    <xf numFmtId="167" fontId="1" fillId="0" borderId="0" xfId="0" applyNumberFormat="1" applyFont="1"/>
    <xf numFmtId="0" fontId="34" fillId="0" borderId="0" xfId="0" applyFont="1"/>
    <xf numFmtId="0" fontId="1" fillId="0" borderId="0" xfId="0" applyFont="1" applyAlignment="1">
      <alignment horizontal="center"/>
    </xf>
    <xf numFmtId="0" fontId="1" fillId="0" borderId="7" xfId="0" applyFont="1" applyBorder="1" applyAlignment="1"/>
    <xf numFmtId="168" fontId="1" fillId="13" borderId="8" xfId="0" applyNumberFormat="1" applyFont="1" applyFill="1" applyBorder="1" applyAlignment="1">
      <alignment horizontal="center"/>
    </xf>
    <xf numFmtId="168" fontId="1" fillId="13" borderId="9" xfId="0" applyNumberFormat="1" applyFont="1" applyFill="1" applyBorder="1" applyAlignment="1">
      <alignment horizontal="center"/>
    </xf>
    <xf numFmtId="0" fontId="1" fillId="0" borderId="2" xfId="0" applyFont="1" applyBorder="1" applyAlignment="1"/>
    <xf numFmtId="0" fontId="1" fillId="0" borderId="12" xfId="0" applyFont="1" applyBorder="1" applyAlignment="1"/>
    <xf numFmtId="0" fontId="1" fillId="0" borderId="48" xfId="0" applyFont="1" applyBorder="1" applyAlignment="1"/>
    <xf numFmtId="0" fontId="1" fillId="0" borderId="49" xfId="0" applyFont="1" applyBorder="1" applyAlignment="1"/>
    <xf numFmtId="0" fontId="1" fillId="0" borderId="10" xfId="0" applyFont="1" applyBorder="1" applyAlignment="1"/>
    <xf numFmtId="168" fontId="1" fillId="13" borderId="0" xfId="0" applyNumberFormat="1" applyFont="1" applyFill="1" applyAlignment="1">
      <alignment horizontal="center"/>
    </xf>
    <xf numFmtId="168" fontId="1" fillId="13" borderId="11" xfId="0" applyNumberFormat="1" applyFont="1" applyFill="1" applyBorder="1" applyAlignment="1">
      <alignment horizontal="center"/>
    </xf>
    <xf numFmtId="0" fontId="1" fillId="0" borderId="21" xfId="0" applyFont="1" applyBorder="1" applyAlignment="1"/>
    <xf numFmtId="0" fontId="1" fillId="0" borderId="50" xfId="0" applyFont="1" applyBorder="1" applyAlignment="1"/>
    <xf numFmtId="168" fontId="1" fillId="13" borderId="2" xfId="0" applyNumberFormat="1" applyFont="1" applyFill="1" applyBorder="1" applyAlignment="1">
      <alignment horizontal="center"/>
    </xf>
    <xf numFmtId="168" fontId="1" fillId="13" borderId="13" xfId="0" applyNumberFormat="1" applyFont="1" applyFill="1" applyBorder="1" applyAlignment="1">
      <alignment horizontal="center"/>
    </xf>
    <xf numFmtId="168" fontId="1" fillId="6" borderId="0" xfId="0" applyNumberFormat="1" applyFont="1" applyFill="1" applyAlignment="1">
      <alignment horizontal="center"/>
    </xf>
    <xf numFmtId="168" fontId="1" fillId="6" borderId="11" xfId="0" applyNumberFormat="1" applyFont="1" applyFill="1" applyBorder="1" applyAlignment="1">
      <alignment horizontal="center"/>
    </xf>
    <xf numFmtId="0" fontId="1" fillId="0" borderId="21" xfId="0" applyFont="1" applyBorder="1" applyAlignment="1"/>
    <xf numFmtId="168" fontId="1" fillId="6" borderId="8" xfId="0" applyNumberFormat="1" applyFont="1" applyFill="1" applyBorder="1" applyAlignment="1">
      <alignment horizontal="center"/>
    </xf>
    <xf numFmtId="168" fontId="1" fillId="6" borderId="9" xfId="0" applyNumberFormat="1" applyFont="1" applyFill="1" applyBorder="1" applyAlignment="1">
      <alignment horizontal="center"/>
    </xf>
    <xf numFmtId="168" fontId="1" fillId="6" borderId="2" xfId="0" applyNumberFormat="1" applyFont="1" applyFill="1" applyBorder="1" applyAlignment="1">
      <alignment horizontal="center"/>
    </xf>
    <xf numFmtId="168" fontId="1" fillId="6" borderId="13" xfId="0" applyNumberFormat="1" applyFont="1" applyFill="1" applyBorder="1" applyAlignment="1">
      <alignment horizontal="center"/>
    </xf>
    <xf numFmtId="0" fontId="34" fillId="0" borderId="0" xfId="0" applyFont="1" applyAlignment="1"/>
    <xf numFmtId="0" fontId="12" fillId="33" borderId="0" xfId="0" applyFont="1" applyFill="1" applyAlignment="1"/>
    <xf numFmtId="0" fontId="1" fillId="33" borderId="0" xfId="0" applyFont="1" applyFill="1"/>
    <xf numFmtId="0" fontId="25" fillId="34" borderId="0" xfId="0" applyFont="1" applyFill="1" applyAlignment="1"/>
    <xf numFmtId="0" fontId="10" fillId="34" borderId="0" xfId="0" applyFont="1" applyFill="1"/>
    <xf numFmtId="0" fontId="1" fillId="0" borderId="7" xfId="0" applyFont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0" fontId="1" fillId="18" borderId="8" xfId="0" applyFont="1" applyFill="1" applyBorder="1" applyAlignment="1">
      <alignment horizontal="right"/>
    </xf>
    <xf numFmtId="0" fontId="1" fillId="0" borderId="8" xfId="0" applyFont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1" fillId="0" borderId="10" xfId="0" applyFont="1" applyBorder="1"/>
    <xf numFmtId="0" fontId="1" fillId="0" borderId="11" xfId="0" applyFont="1" applyBorder="1"/>
    <xf numFmtId="0" fontId="1" fillId="0" borderId="10" xfId="0" applyFont="1" applyBorder="1"/>
    <xf numFmtId="0" fontId="1" fillId="18" borderId="0" xfId="0" applyFont="1" applyFill="1"/>
    <xf numFmtId="0" fontId="1" fillId="2" borderId="11" xfId="0" applyFont="1" applyFill="1" applyBorder="1" applyAlignment="1"/>
    <xf numFmtId="0" fontId="1" fillId="2" borderId="0" xfId="0" applyFont="1" applyFill="1"/>
    <xf numFmtId="184" fontId="1" fillId="0" borderId="0" xfId="0" applyNumberFormat="1" applyFont="1" applyAlignment="1"/>
    <xf numFmtId="184" fontId="1" fillId="0" borderId="0" xfId="0" applyNumberFormat="1" applyFont="1"/>
    <xf numFmtId="0" fontId="1" fillId="0" borderId="12" xfId="0" applyFont="1" applyBorder="1"/>
    <xf numFmtId="0" fontId="1" fillId="0" borderId="13" xfId="0" applyFont="1" applyBorder="1"/>
    <xf numFmtId="0" fontId="12" fillId="0" borderId="0" xfId="0" applyFont="1" applyAlignment="1"/>
    <xf numFmtId="0" fontId="1" fillId="0" borderId="2" xfId="0" applyFont="1" applyBorder="1" applyAlignment="1">
      <alignment horizontal="right"/>
    </xf>
    <xf numFmtId="185" fontId="1" fillId="18" borderId="51" xfId="0" applyNumberFormat="1" applyFont="1" applyFill="1" applyBorder="1"/>
    <xf numFmtId="185" fontId="1" fillId="18" borderId="52" xfId="0" applyNumberFormat="1" applyFont="1" applyFill="1" applyBorder="1"/>
    <xf numFmtId="185" fontId="1" fillId="18" borderId="53" xfId="0" applyNumberFormat="1" applyFont="1" applyFill="1" applyBorder="1"/>
    <xf numFmtId="185" fontId="1" fillId="18" borderId="34" xfId="0" applyNumberFormat="1" applyFont="1" applyFill="1" applyBorder="1"/>
    <xf numFmtId="185" fontId="1" fillId="18" borderId="0" xfId="0" applyNumberFormat="1" applyFont="1" applyFill="1"/>
    <xf numFmtId="185" fontId="1" fillId="18" borderId="35" xfId="0" applyNumberFormat="1" applyFont="1" applyFill="1" applyBorder="1"/>
    <xf numFmtId="185" fontId="1" fillId="18" borderId="54" xfId="0" applyNumberFormat="1" applyFont="1" applyFill="1" applyBorder="1"/>
    <xf numFmtId="185" fontId="1" fillId="18" borderId="55" xfId="0" applyNumberFormat="1" applyFont="1" applyFill="1" applyBorder="1"/>
    <xf numFmtId="185" fontId="1" fillId="18" borderId="56" xfId="0" applyNumberFormat="1" applyFont="1" applyFill="1" applyBorder="1"/>
    <xf numFmtId="0" fontId="35" fillId="0" borderId="0" xfId="0" applyFont="1" applyAlignment="1"/>
    <xf numFmtId="0" fontId="1" fillId="0" borderId="0" xfId="0" applyFont="1" applyAlignment="1"/>
    <xf numFmtId="0" fontId="1" fillId="0" borderId="18" xfId="0" applyFont="1" applyBorder="1"/>
    <xf numFmtId="4" fontId="1" fillId="0" borderId="18" xfId="0" applyNumberFormat="1" applyFont="1" applyBorder="1"/>
    <xf numFmtId="0" fontId="1" fillId="0" borderId="18" xfId="0" applyFont="1" applyBorder="1" applyAlignment="1">
      <alignment horizontal="right" wrapText="1"/>
    </xf>
    <xf numFmtId="0" fontId="11" fillId="9" borderId="14" xfId="0" applyFont="1" applyFill="1" applyBorder="1" applyAlignment="1">
      <alignment horizontal="center"/>
    </xf>
    <xf numFmtId="0" fontId="13" fillId="0" borderId="15" xfId="0" applyFont="1" applyBorder="1"/>
    <xf numFmtId="0" fontId="13" fillId="0" borderId="16" xfId="0" applyFont="1" applyBorder="1"/>
    <xf numFmtId="0" fontId="12" fillId="10" borderId="0" xfId="0" applyFont="1" applyFill="1" applyAlignment="1">
      <alignment horizontal="center"/>
    </xf>
    <xf numFmtId="0" fontId="0" fillId="0" borderId="0" xfId="0" applyFont="1" applyAlignment="1"/>
    <xf numFmtId="164" fontId="12" fillId="10" borderId="0" xfId="0" applyNumberFormat="1" applyFont="1" applyFill="1" applyAlignment="1">
      <alignment horizontal="center"/>
    </xf>
    <xf numFmtId="0" fontId="0" fillId="0" borderId="57" xfId="0" pivotButton="1" applyFont="1" applyBorder="1" applyAlignment="1"/>
    <xf numFmtId="0" fontId="0" fillId="0" borderId="58" xfId="0" applyFont="1" applyBorder="1" applyAlignment="1"/>
    <xf numFmtId="0" fontId="0" fillId="0" borderId="59" xfId="0" pivotButton="1" applyFont="1" applyBorder="1" applyAlignment="1"/>
    <xf numFmtId="0" fontId="0" fillId="0" borderId="60" xfId="0" pivotButton="1" applyFont="1" applyBorder="1" applyAlignment="1"/>
    <xf numFmtId="0" fontId="0" fillId="0" borderId="59" xfId="0" applyFont="1" applyBorder="1" applyAlignment="1"/>
    <xf numFmtId="0" fontId="0" fillId="0" borderId="60" xfId="0" applyFont="1" applyBorder="1" applyAlignment="1"/>
    <xf numFmtId="0" fontId="0" fillId="0" borderId="57" xfId="0" applyFont="1" applyBorder="1" applyAlignment="1"/>
    <xf numFmtId="0" fontId="0" fillId="0" borderId="58" xfId="0" pivotButton="1" applyFont="1" applyBorder="1" applyAlignment="1"/>
    <xf numFmtId="14" fontId="0" fillId="0" borderId="58" xfId="0" applyNumberFormat="1" applyFont="1" applyBorder="1" applyAlignment="1">
      <alignment horizontal="left"/>
    </xf>
    <xf numFmtId="0" fontId="0" fillId="0" borderId="61" xfId="0" applyFont="1" applyBorder="1" applyAlignment="1"/>
    <xf numFmtId="0" fontId="0" fillId="0" borderId="62" xfId="0" applyFont="1" applyBorder="1" applyAlignment="1"/>
    <xf numFmtId="0" fontId="0" fillId="0" borderId="63" xfId="0" applyFont="1" applyBorder="1" applyAlignment="1"/>
    <xf numFmtId="0" fontId="0" fillId="0" borderId="64" xfId="0" applyFont="1" applyBorder="1" applyAlignment="1"/>
    <xf numFmtId="14" fontId="0" fillId="0" borderId="59" xfId="0" applyNumberFormat="1" applyFont="1" applyBorder="1" applyAlignment="1"/>
    <xf numFmtId="0" fontId="0" fillId="0" borderId="59" xfId="0" applyNumberFormat="1" applyFont="1" applyBorder="1" applyAlignment="1"/>
    <xf numFmtId="0" fontId="0" fillId="0" borderId="63" xfId="0" applyNumberFormat="1" applyFont="1" applyBorder="1" applyAlignment="1"/>
    <xf numFmtId="0" fontId="0" fillId="0" borderId="64" xfId="0" applyNumberFormat="1" applyFont="1" applyBorder="1" applyAlignment="1"/>
    <xf numFmtId="0" fontId="0" fillId="0" borderId="65" xfId="0" applyFont="1" applyBorder="1" applyAlignment="1"/>
    <xf numFmtId="0" fontId="0" fillId="0" borderId="66" xfId="0" applyFont="1" applyBorder="1" applyAlignment="1"/>
    <xf numFmtId="0" fontId="0" fillId="0" borderId="66" xfId="0" applyNumberFormat="1" applyFont="1" applyBorder="1" applyAlignment="1"/>
    <xf numFmtId="0" fontId="0" fillId="0" borderId="0" xfId="0" applyNumberFormat="1" applyFont="1" applyAlignment="1"/>
    <xf numFmtId="0" fontId="0" fillId="0" borderId="67" xfId="0" applyNumberFormat="1" applyFont="1" applyBorder="1" applyAlignment="1"/>
    <xf numFmtId="0" fontId="0" fillId="0" borderId="68" xfId="0" applyFont="1" applyBorder="1" applyAlignment="1"/>
    <xf numFmtId="0" fontId="0" fillId="0" borderId="57" xfId="0" applyNumberFormat="1" applyFont="1" applyBorder="1" applyAlignment="1"/>
    <xf numFmtId="0" fontId="0" fillId="0" borderId="69" xfId="0" applyNumberFormat="1" applyFont="1" applyBorder="1" applyAlignment="1"/>
    <xf numFmtId="0" fontId="0" fillId="0" borderId="70" xfId="0" applyNumberFormat="1" applyFont="1" applyBorder="1" applyAlignment="1"/>
    <xf numFmtId="3" fontId="0" fillId="0" borderId="59" xfId="0" applyNumberFormat="1" applyFont="1" applyBorder="1" applyAlignment="1"/>
    <xf numFmtId="164" fontId="0" fillId="0" borderId="59" xfId="0" applyNumberFormat="1" applyFont="1" applyBorder="1" applyAlignment="1"/>
    <xf numFmtId="3" fontId="0" fillId="0" borderId="57" xfId="0" applyNumberFormat="1" applyFont="1" applyBorder="1" applyAlignment="1"/>
    <xf numFmtId="164" fontId="0" fillId="0" borderId="57" xfId="0" applyNumberFormat="1" applyFont="1" applyBorder="1" applyAlignment="1"/>
    <xf numFmtId="168" fontId="0" fillId="0" borderId="58" xfId="0" applyNumberFormat="1" applyFont="1" applyBorder="1" applyAlignment="1">
      <alignment horizontal="left"/>
    </xf>
    <xf numFmtId="0" fontId="0" fillId="0" borderId="60" xfId="0" applyNumberFormat="1" applyFont="1" applyBorder="1" applyAlignment="1"/>
    <xf numFmtId="0" fontId="0" fillId="0" borderId="71" xfId="0" applyNumberFormat="1" applyFont="1" applyBorder="1" applyAlignment="1"/>
    <xf numFmtId="0" fontId="0" fillId="0" borderId="72" xfId="0" applyFont="1" applyBorder="1" applyAlignment="1"/>
    <xf numFmtId="0" fontId="0" fillId="0" borderId="72" xfId="0" applyNumberFormat="1" applyFont="1" applyBorder="1" applyAlignment="1"/>
    <xf numFmtId="0" fontId="0" fillId="0" borderId="73" xfId="0" applyNumberFormat="1" applyFont="1" applyBorder="1" applyAlignment="1"/>
    <xf numFmtId="0" fontId="0" fillId="0" borderId="74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285750</xdr:colOff>
      <xdr:row>1</xdr:row>
      <xdr:rowOff>152400</xdr:rowOff>
    </xdr:from>
    <xdr:ext cx="1600200" cy="4953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1962150" y="495300"/>
          <a:ext cx="1600200" cy="495300"/>
          <a:chOff x="0" y="0"/>
          <a:chExt cx="1584600" cy="484800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/>
        </xdr:nvSpPr>
        <xdr:spPr>
          <a:xfrm>
            <a:off x="0" y="0"/>
            <a:ext cx="1584600" cy="484800"/>
          </a:xfrm>
          <a:prstGeom prst="bevel">
            <a:avLst>
              <a:gd name="adj" fmla="val 12500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 txBox="1"/>
        </xdr:nvSpPr>
        <xdr:spPr>
          <a:xfrm>
            <a:off x="101100" y="33200"/>
            <a:ext cx="14835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Execute Trades</a:t>
            </a:r>
            <a:endParaRPr sz="1400"/>
          </a:p>
        </xdr:txBody>
      </xdr: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552450</xdr:colOff>
      <xdr:row>2</xdr:row>
      <xdr:rowOff>180975</xdr:rowOff>
    </xdr:from>
    <xdr:ext cx="1190625" cy="32385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1289050" y="676275"/>
          <a:ext cx="1190625" cy="323850"/>
          <a:chOff x="174525" y="184250"/>
          <a:chExt cx="1512600" cy="400200"/>
        </a:xfrm>
      </xdr:grpSpPr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198675" y="204950"/>
            <a:ext cx="1464300" cy="358800"/>
          </a:xfrm>
          <a:prstGeom prst="roundRect">
            <a:avLst>
              <a:gd name="adj" fmla="val 16667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 txBox="1"/>
        </xdr:nvSpPr>
        <xdr:spPr>
          <a:xfrm>
            <a:off x="174525" y="184250"/>
            <a:ext cx="15126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Copy to HistDB</a:t>
            </a:r>
            <a:endParaRPr sz="1400"/>
          </a:p>
        </xdr:txBody>
      </xdr: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1.651035185183" refreshedVersion="7" recordCount="436" xr:uid="{00000000-000A-0000-FFFF-FFFF04000000}">
  <cacheSource type="worksheet">
    <worksheetSource ref="A4:AX440" sheet="1TradeRecord"/>
  </cacheSource>
  <cacheFields count="50">
    <cacheField name="Cumulative Date" numFmtId="0">
      <sharedItems containsString="0" containsBlank="1" containsNumber="1" containsInteger="1" minValue="1" maxValue="1"/>
    </cacheField>
    <cacheField name="Order #" numFmtId="0">
      <sharedItems containsString="0" containsBlank="1" containsNumber="1" containsInteger="1" minValue="0" maxValue="0"/>
    </cacheField>
    <cacheField name="Acct#" numFmtId="0">
      <sharedItems containsBlank="1" containsMixedTypes="1" containsNumber="1" containsInteger="1" minValue="0" maxValue="0" count="8">
        <n v="0"/>
        <m/>
        <s v="D0006" u="1"/>
        <s v="D0005" u="1"/>
        <s v="D0004" u="1"/>
        <s v="D0003" u="1"/>
        <s v="D0002" u="1"/>
        <s v="D0001" u="1"/>
      </sharedItems>
    </cacheField>
    <cacheField name="Email" numFmtId="0">
      <sharedItems containsBlank="1" containsMixedTypes="1" containsNumber="1" containsInteger="1" minValue="0" maxValue="0" count="8">
        <n v="0"/>
        <m/>
        <s v="sABCD0001@hkmu.edu.hk" u="1"/>
        <s v="sABCD0002@hkmu.edu.hk" u="1"/>
        <s v="sABCD0003@hkmu.edu.hk" u="1"/>
        <s v="sABCD0004@hkmu.edu.hk" u="1"/>
        <s v="sABCD0005@hkmu.edu.hk" u="1"/>
        <s v="sABCD0006@hkmu.edu.hk" u="1"/>
      </sharedItems>
    </cacheField>
    <cacheField name="Date/ Time" numFmtId="0">
      <sharedItems containsNonDate="0" containsDate="1" containsString="0" containsBlank="1" minDate="1899-12-30T00:00:00" maxDate="1899-12-31T00:00:00"/>
    </cacheField>
    <cacheField name="Date Time Stamp" numFmtId="0">
      <sharedItems containsNonDate="0" containsString="0" containsBlank="1"/>
    </cacheField>
    <cacheField name="Order Side" numFmtId="0">
      <sharedItems containsString="0" containsBlank="1" containsNumber="1" containsInteger="1" minValue="0" maxValue="0"/>
    </cacheField>
    <cacheField name="Ticker Code" numFmtId="0">
      <sharedItems containsBlank="1" containsMixedTypes="1" containsNumber="1" containsInteger="1" minValue="0" maxValue="0" count="12">
        <s v="Cash"/>
        <n v="0"/>
        <m/>
        <s v="XS2106834299" u="1"/>
        <s v="GS" u="1"/>
        <s v="600519.SS" u="1"/>
        <s v="AMZN" u="1"/>
        <s v="3m" u="1"/>
        <s v="UGI220414P00040000" u="1"/>
        <s v="0700.HK" u="1"/>
        <s v="UGI220414P00045000" u="1"/>
        <s v="MC.PA" u="1"/>
      </sharedItems>
    </cacheField>
    <cacheField name="Asset Class" numFmtId="0">
      <sharedItems containsBlank="1" containsMixedTypes="1" containsNumber="1" containsInteger="1" minValue="0" maxValue="0" count="7">
        <n v="0"/>
        <m/>
        <s v="Option" u="1"/>
        <s v="Cash" u="1"/>
        <s v="Bond" u="1"/>
        <s v="Stock" u="1"/>
        <s v="TD" u="1"/>
      </sharedItems>
    </cacheField>
    <cacheField name="Stock (Shares)" numFmtId="0">
      <sharedItems containsString="0" containsBlank="1" containsNumber="1" containsInteger="1" minValue="0" maxValue="0"/>
    </cacheField>
    <cacheField name="Bond (Contracts)" numFmtId="0">
      <sharedItems containsString="0" containsBlank="1" containsNumber="1" containsInteger="1" minValue="0" maxValue="0"/>
    </cacheField>
    <cacheField name="Option (Contracts)" numFmtId="0">
      <sharedItems containsString="0" containsBlank="1" containsNumber="1" containsInteger="1" minValue="0" maxValue="0"/>
    </cacheField>
    <cacheField name="TD (Notional)" numFmtId="0">
      <sharedItems containsString="0" containsBlank="1" containsNumber="1" containsInteger="1" minValue="0" maxValue="0"/>
    </cacheField>
    <cacheField name="Limit Price/ Mkt Price (stk &amp; opt only)" numFmtId="0">
      <sharedItems containsString="0" containsBlank="1" containsNumber="1" containsInteger="1" minValue="0" maxValue="0"/>
    </cacheField>
    <cacheField name="Password Input" numFmtId="0">
      <sharedItems containsNonDate="0" containsString="0" containsBlank="1"/>
    </cacheField>
    <cacheField name="Email Input" numFmtId="0">
      <sharedItems containsNonDate="0" containsString="0" containsBlank="1"/>
    </cacheField>
    <cacheField name="x" numFmtId="0">
      <sharedItems containsBlank="1"/>
    </cacheField>
    <cacheField name="x2" numFmtId="0">
      <sharedItems containsNonDate="0" containsString="0" containsBlank="1"/>
    </cacheField>
    <cacheField name="x3" numFmtId="0">
      <sharedItems containsNonDate="0" containsString="0" containsBlank="1"/>
    </cacheField>
    <cacheField name="Date" numFmtId="0">
      <sharedItems containsNonDate="0" containsDate="1" containsString="0" containsBlank="1" minDate="1899-12-30T00:00:00" maxDate="1899-12-31T00:00:00"/>
    </cacheField>
    <cacheField name="Exchange" numFmtId="0">
      <sharedItems containsNonDate="0" containsString="0" containsBlank="1"/>
    </cacheField>
    <cacheField name="Currency" numFmtId="0">
      <sharedItems containsBlank="1"/>
    </cacheField>
    <cacheField name="Stock (Ticker/ Code)" numFmtId="0">
      <sharedItems containsBlank="1"/>
    </cacheField>
    <cacheField name="Stock (Open)" numFmtId="0">
      <sharedItems containsBlank="1"/>
    </cacheField>
    <cacheField name="Stock (High)" numFmtId="0">
      <sharedItems containsBlank="1"/>
    </cacheField>
    <cacheField name="Stock (Low)" numFmtId="0">
      <sharedItems containsBlank="1"/>
    </cacheField>
    <cacheField name="Stock (Close)" numFmtId="0">
      <sharedItems containsBlank="1"/>
    </cacheField>
    <cacheField name="Stock (Volume)" numFmtId="0">
      <sharedItems containsBlank="1"/>
    </cacheField>
    <cacheField name="Bond (Bond Issuer name)" numFmtId="0">
      <sharedItems containsBlank="1"/>
    </cacheField>
    <cacheField name="Bond (Indicative Bid)" numFmtId="0">
      <sharedItems containsBlank="1"/>
    </cacheField>
    <cacheField name="Bond (Indicative Ask)" numFmtId="0">
      <sharedItems containsBlank="1"/>
    </cacheField>
    <cacheField name="Bond (Coupon)" numFmtId="0">
      <sharedItems containsBlank="1"/>
    </cacheField>
    <cacheField name="Bond (Maturity)" numFmtId="0">
      <sharedItems containsBlank="1"/>
    </cacheField>
    <cacheField name="Bond (Rating)" numFmtId="0">
      <sharedItems containsBlank="1"/>
    </cacheField>
    <cacheField name="Bond (YTM)" numFmtId="0">
      <sharedItems containsBlank="1"/>
    </cacheField>
    <cacheField name="Bond (Seniority)" numFmtId="0">
      <sharedItems containsBlank="1"/>
    </cacheField>
    <cacheField name="Bond (Type)" numFmtId="0">
      <sharedItems containsBlank="1"/>
    </cacheField>
    <cacheField name="Option (Underlying asset ticker code)" numFmtId="0">
      <sharedItems containsBlank="1"/>
    </cacheField>
    <cacheField name="Option (Open)" numFmtId="0">
      <sharedItems containsBlank="1"/>
    </cacheField>
    <cacheField name="Option (High)" numFmtId="0">
      <sharedItems containsBlank="1"/>
    </cacheField>
    <cacheField name="Option (Low)" numFmtId="0">
      <sharedItems containsBlank="1"/>
    </cacheField>
    <cacheField name="Option (Close)" numFmtId="0">
      <sharedItems containsBlank="1"/>
    </cacheField>
    <cacheField name="Option (Strike)" numFmtId="0">
      <sharedItems containsBlank="1"/>
    </cacheField>
    <cacheField name="Option (Expiration Date)" numFmtId="0">
      <sharedItems containsBlank="1"/>
    </cacheField>
    <cacheField name="Option (Put or Call)" numFmtId="0">
      <sharedItems containsBlank="1"/>
    </cacheField>
    <cacheField name="Option (Open Interest)" numFmtId="0">
      <sharedItems containsBlank="1"/>
    </cacheField>
    <cacheField name="TD" numFmtId="0">
      <sharedItems containsBlank="1"/>
    </cacheField>
    <cacheField name="Expiration date" numFmtId="0">
      <sharedItems containsDate="1" containsBlank="1" containsMixedTypes="1" minDate="2022-04-01T00:00:00" maxDate="2023-01-23T00:00:00" count="6">
        <s v=""/>
        <m/>
        <d v="2022-04-14T00:00:00" u="1"/>
        <d v="2022-04-01T00:00:00" u="1"/>
        <d v="2023-01-22T00:00:00" u="1"/>
        <d v="2022-04-02T00:00:00" u="1"/>
      </sharedItems>
    </cacheField>
    <cacheField name="Accept" numFmtId="0">
      <sharedItems containsNonDate="0" containsString="0" containsBlank="1"/>
    </cacheField>
    <cacheField name="Com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1.651035416668" refreshedVersion="7" recordCount="1888" xr:uid="{00000000-000A-0000-FFFF-FFFF03000000}">
  <cacheSource type="worksheet">
    <worksheetSource ref="A6:R1894" sheet="PortPerf"/>
  </cacheSource>
  <cacheFields count="18">
    <cacheField name="Acct#" numFmtId="0">
      <sharedItems containsBlank="1" count="9">
        <s v="Acct#"/>
        <s v=" Total"/>
        <s v="D0001"/>
        <s v="D0002"/>
        <s v="D0003"/>
        <s v="D0004"/>
        <s v="D0005"/>
        <s v="D0006"/>
        <m/>
      </sharedItems>
    </cacheField>
    <cacheField name="DateCum" numFmtId="164">
      <sharedItems containsDate="1" containsBlank="1" containsMixedTypes="1" minDate="2021-12-31T00:00:00" maxDate="2022-01-15T00:00:00" count="17">
        <s v="DateCum"/>
        <m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</sharedItems>
    </cacheField>
    <cacheField name="Sec Long Exposure" numFmtId="168">
      <sharedItems containsBlank="1" containsMixedTypes="1" containsNumber="1" minValue="0" maxValue="241871.57500000001"/>
    </cacheField>
    <cacheField name="Sec Short Exposure" numFmtId="168">
      <sharedItems containsBlank="1" containsMixedTypes="1" containsNumber="1" minValue="-716392" maxValue="0" count="33">
        <s v="SUM of Sec Short Exposure"/>
        <n v="0"/>
        <n v="-37725.668249999995"/>
        <n v="-37729.942499999997"/>
        <n v="-37628.306695949999"/>
        <n v="-37183.895759999999"/>
        <n v="-36335.460331800001"/>
        <n v="-35621.64963"/>
        <n v="-289301.29884"/>
        <n v="-291298.01763999998"/>
        <n v="-286602.48738000001"/>
        <n v="-289567.18318825"/>
        <n v="-291276.74263499997"/>
        <n v="-283113.25830599997"/>
        <n v="-276758.05422000005"/>
        <n v="-2284"/>
        <n v="-675268"/>
        <n v="-685400"/>
        <n v="-716392"/>
        <n v="-708048"/>
        <n v="-705366"/>
        <n v="-5000"/>
        <n v="-34299.055999999982"/>
        <n v="-33543.525999999991"/>
        <n v="-37180.213999999993"/>
        <n v="-36402.497000000003"/>
        <n v="-35622.740000000005"/>
        <n v="-34935.815000000002"/>
        <n v="-34225.161000000007"/>
        <n v="-33638.584999999999"/>
        <n v="-32788.979999999996"/>
        <n v="-31981.15"/>
        <m/>
      </sharedItems>
    </cacheField>
    <cacheField name="Sec Net Exposure" numFmtId="168">
      <sharedItems containsBlank="1" containsMixedTypes="1" containsNumber="1" minValue="-692291.78491000005" maxValue="236871.57500000001" count="67">
        <s v="SUM of Sec Net Exposure"/>
        <n v="0"/>
        <n v="51989.783464320004"/>
        <n v="83290.580432000017"/>
        <n v="82866.120838000003"/>
        <n v="51814.076804049997"/>
        <n v="78526.692997199993"/>
        <n v="172734.01962739998"/>
        <n v="89273.491097199993"/>
        <n v="-234166.3497928"/>
        <n v="-240592.97106039998"/>
        <n v="-236245.662056"/>
        <n v="-238000.06873264999"/>
        <n v="-239784.69446099998"/>
        <n v="-232891.55059799997"/>
        <n v="-226268.92957200005"/>
        <n v="48016.890999999996"/>
        <n v="29691.295000000002"/>
        <n v="29585.537797299996"/>
        <n v="29095.26384"/>
        <n v="28593.640221199999"/>
        <n v="28177.76642"/>
        <n v="28174.98936"/>
        <n v="28158.598880000001"/>
        <n v="-651230.85828000004"/>
        <n v="-661666.27787450003"/>
        <n v="-692291.78491000005"/>
        <n v="-685061.98779599997"/>
        <n v="-682485.46692000004"/>
        <n v="110314.90760000001"/>
        <n v="72196.933399999994"/>
        <n v="69063.630600000004"/>
        <n v="236871.57500000001"/>
        <n v="226200.16784000001"/>
        <n v="225621.12711999999"/>
        <n v="224817.75372000001"/>
        <n v="221702.14371999999"/>
        <n v="218582.97346000001"/>
        <n v="219427.4186"/>
        <n v="218962.47902"/>
        <n v="223934.53779999999"/>
        <n v="218614.05379999999"/>
        <n v="214782.6084"/>
        <n v="103176.51547499999"/>
        <n v="155250.248475"/>
        <n v="158552.59875"/>
        <n v="153590.12151599998"/>
        <n v="151144.72981799999"/>
        <n v="149065.36934099998"/>
        <n v="146734.624491"/>
        <n v="144395.42567549998"/>
        <n v="142711.64728500001"/>
        <n v="141488.3419575"/>
        <n v="136730.35441499998"/>
        <n v="134277.63855"/>
        <n v="129536.85047999999"/>
        <n v="-7795.2399999999761"/>
        <n v="9679.1800000000148"/>
        <n v="-12227.669999999987"/>
        <n v="-12228.169999999998"/>
        <n v="-12228.185000000001"/>
        <n v="-12327.849999999999"/>
        <n v="-12396.095000000005"/>
        <n v="-12600.05"/>
        <n v="-12540.049999999996"/>
        <n v="-12518.900000000001"/>
        <m/>
      </sharedItems>
    </cacheField>
    <cacheField name="Margin Adj per Trade" numFmtId="168">
      <sharedItems containsBlank="1" containsMixedTypes="1" containsNumber="1" minValue="-240492.21509000001" maxValue="500000"/>
    </cacheField>
    <cacheField name="(Adj) Margin Fees" numFmtId="38">
      <sharedItems containsBlank="1" containsMixedTypes="1" containsNumber="1" minValue="-25.093944420159584" maxValue="0"/>
    </cacheField>
    <cacheField name="(Adj) Short Sell Interest" numFmtId="38">
      <sharedItems containsBlank="1" containsMixedTypes="1" containsNumber="1" minValue="-121.76465421917173" maxValue="0"/>
    </cacheField>
    <cacheField name="(Adj) TD Interest" numFmtId="38">
      <sharedItems containsBlank="1" containsMixedTypes="1" containsNumber="1" minValue="0" maxValue="0.16450657270035474"/>
    </cacheField>
    <cacheField name="(EOD) Cash ava Bal" numFmtId="38">
      <sharedItems containsBlank="1" containsMixedTypes="1" containsNumber="1" minValue="0" maxValue="1138103.2756192819" count="43">
        <s v="SUM of (EOD) Cash ava Bal"/>
        <n v="0"/>
        <n v="500000"/>
        <n v="447610.20799999998"/>
        <n v="416005.27648968733"/>
        <n v="416005.27576562576"/>
        <n v="448546.79298281745"/>
        <n v="422445.54386640829"/>
        <n v="324641.42309209204"/>
        <n v="407573.01601223252"/>
        <n v="732874.75046373135"/>
        <n v="739549.41221786698"/>
        <n v="739550.20764468983"/>
        <n v="739549.70542269642"/>
        <n v="739549.41582187102"/>
        <n v="739550.79872306483"/>
        <n v="739551.87530004641"/>
        <n v="452489.46248845593"/>
        <n v="470742.76002946869"/>
        <n v="470742.76324808487"/>
        <n v="470742.77967996744"/>
        <n v="470742.77425914019"/>
        <n v="470742.76917711465"/>
        <n v="1138103.2756192819"/>
        <n v="1138101.5534902287"/>
        <n v="1138096.2858013608"/>
        <n v="1138097.7040252867"/>
        <n v="1138098.1598829774"/>
        <n v="424205.57210657268"/>
        <n v="459204.72510231682"/>
        <n v="288204.72510231682"/>
        <n v="396154.46750000003"/>
        <n v="365251.58795000002"/>
        <n v="382070.50044999999"/>
        <n v="507795.24"/>
        <n v="490595.24"/>
        <n v="529421.86141422926"/>
        <n v="529421.8441353424"/>
        <n v="529421.8326160846"/>
        <n v="529421.79738070746"/>
        <n v="529421.80686715513"/>
        <n v="529421.80991637055"/>
        <m/>
      </sharedItems>
    </cacheField>
    <cacheField name="(EOD) Margin Loan Bal" numFmtId="38">
      <sharedItems containsBlank="1" containsMixedTypes="1" containsNumber="1" minValue="0" maxValue="178656.85560000001" count="4">
        <s v="SUM of (EOD) Margin Loan Bal"/>
        <n v="0"/>
        <n v="178656.85560000001"/>
        <m/>
      </sharedItems>
    </cacheField>
    <cacheField name="(EOD) AuM = Cash ava + Sec Net Bal" numFmtId="38">
      <sharedItems containsBlank="1" containsMixedTypes="1" containsNumber="1" minValue="0" maxValue="540623.09920000006" count="67">
        <s v="SUM of (EOD) AuM = Cash ava + Sec Net Bal"/>
        <n v="0"/>
        <n v="500000"/>
        <n v="499599.99146431999"/>
        <n v="499302.24768199993"/>
        <n v="498877.78808799991"/>
        <n v="500367.24405404995"/>
        <n v="500978.53584719996"/>
        <n v="497381.59797739994"/>
        <n v="496852.5414472"/>
        <n v="498757.40855719999"/>
        <n v="499005.7872896"/>
        <n v="503353.09629400005"/>
        <n v="501598.68961735"/>
        <n v="499814.06388900004"/>
        <n v="506707.20775200007"/>
        <n v="513329.82877799997"/>
        <n v="500506.74040000001"/>
        <n v="500434.43939999997"/>
        <n v="500328.68219729996"/>
        <n v="499838.40824000002"/>
        <n v="499336.7846212"/>
        <n v="498920.91081999999"/>
        <n v="498918.13376"/>
        <n v="498901.74328"/>
        <n v="487012.28612000006"/>
        <n v="476576.86652550008"/>
        <n v="445951.35949000006"/>
        <n v="453181.15660400013"/>
        <n v="455757.67748000007"/>
        <n v="534520.31519999995"/>
        <n v="531402.34100000001"/>
        <n v="528269.03819999995"/>
        <n v="525076.98259999999"/>
        <n v="514405.57543999999"/>
        <n v="513826.53472"/>
        <n v="513023.16131999996"/>
        <n v="509907.55131999997"/>
        <n v="506788.38105999999"/>
        <n v="507632.82620000001"/>
        <n v="507167.88662"/>
        <n v="512139.94539999997"/>
        <n v="506819.46139999997"/>
        <n v="502988.01599999995"/>
        <n v="499330.98297500005"/>
        <n v="520501.83642499999"/>
        <n v="540623.09920000006"/>
        <n v="535660.62196599995"/>
        <n v="533215.23026799993"/>
        <n v="531135.86979099992"/>
        <n v="528805.12494100002"/>
        <n v="526465.9261255"/>
        <n v="524782.14773500001"/>
        <n v="523558.84240750002"/>
        <n v="518800.854865"/>
        <n v="516348.13899999997"/>
        <n v="511607.35092999996"/>
        <n v="500274.42"/>
        <n v="517194.94185999996"/>
        <n v="517194.44185999996"/>
        <n v="517194.42685999995"/>
        <n v="517094.76185999997"/>
        <n v="517026.51685999992"/>
        <n v="516822.56185999996"/>
        <n v="516882.56185999996"/>
        <n v="516903.71185999992"/>
        <m/>
      </sharedItems>
    </cacheField>
    <cacheField name="x" numFmtId="0">
      <sharedItems containsNonDate="0" containsString="0" containsBlank="1"/>
    </cacheField>
    <cacheField name="AuM" numFmtId="0">
      <sharedItems containsBlank="1" containsMixedTypes="1" containsNumber="1" minValue="0" maxValue="540623.09920000006"/>
    </cacheField>
    <cacheField name="Daily Return (%)" numFmtId="0">
      <sharedItems containsBlank="1" containsMixedTypes="1" containsNumber="1" minValue="-6.426142179073091E-2" maxValue="6.9040630399999969E-2"/>
    </cacheField>
    <cacheField name="Geo Metric Rtn" numFmtId="0">
      <sharedItems containsBlank="1" containsMixedTypes="1" containsNumber="1" minValue="0.93573857820926909" maxValue="1.0690406304"/>
    </cacheField>
    <cacheField name="Cumulative Rtns" numFmtId="0">
      <sharedItems containsBlank="1" containsMixedTypes="1" containsNumber="1" minValue="0.89190271898000006" maxValue="1.0812461983999999"/>
    </cacheField>
    <cacheField name="YTD return" numFmtId="0">
      <sharedItems containsBlank="1" containsMixedTypes="1" containsNumber="1" minValue="-8.8484645039999754E-2" maxValue="3.3807423720000562E-2" count="9">
        <s v="YTD return"/>
        <m/>
        <s v=""/>
        <n v="2.6659657556000083E-2"/>
        <n v="-8.8484645039999754E-2"/>
        <n v="5.9760319999999645E-3"/>
        <n v="2.3214701859999742E-2"/>
        <n v="3.3807423720000562E-2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1.651035648145" refreshedVersion="7" recordCount="433" xr:uid="{00000000-000A-0000-FFFF-FFFF02000000}">
  <cacheSource type="worksheet">
    <worksheetSource ref="A9:BE442" sheet="DbyD"/>
  </cacheSource>
  <cacheFields count="57">
    <cacheField name="DateCum" numFmtId="164">
      <sharedItems containsNonDate="0" containsDate="1" containsString="0" containsBlank="1" minDate="2021-12-31T00:00:00" maxDate="2022-01-15T00:00:00"/>
    </cacheField>
    <cacheField name="Acct#" numFmtId="0">
      <sharedItems containsBlank="1" count="7">
        <m/>
        <s v="D0001"/>
        <s v="D0002"/>
        <s v="D0003"/>
        <s v="D0004"/>
        <s v="D0005"/>
        <s v="D0006"/>
      </sharedItems>
    </cacheField>
    <cacheField name="Order #" numFmtId="0">
      <sharedItems containsString="0" containsBlank="1" containsNumber="1" containsInteger="1" minValue="44561000005" maxValue="44571000024"/>
    </cacheField>
    <cacheField name="Asset Class" numFmtId="0">
      <sharedItems containsBlank="1" count="6">
        <m/>
        <s v="Cash"/>
        <s v="Stock"/>
        <s v="TD"/>
        <s v="Bond"/>
        <s v="Option"/>
      </sharedItems>
    </cacheField>
    <cacheField name="Ticker Code" numFmtId="0">
      <sharedItems containsBlank="1" count="11">
        <m/>
        <s v="Cash"/>
        <s v="AMZN"/>
        <s v="3m"/>
        <s v="XS2106834299"/>
        <s v="0700.HK"/>
        <s v="600519.SS"/>
        <s v="MC.PA"/>
        <s v="GS"/>
        <s v="UGI220414P00045000"/>
        <s v="UGI220414P00040000"/>
      </sharedItems>
    </cacheField>
    <cacheField name="Date/ Time" numFmtId="164">
      <sharedItems containsNonDate="0" containsDate="1" containsString="0" containsBlank="1" minDate="2021-12-31T00:00:00" maxDate="2022-01-11T00:00:00" count="12">
        <m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</sharedItems>
    </cacheField>
    <cacheField name="Currency" numFmtId="168">
      <sharedItems containsBlank="1" count="5">
        <m/>
        <s v="HKD"/>
        <s v="USD"/>
        <s v="CNY"/>
        <s v="EUR"/>
      </sharedItems>
    </cacheField>
    <cacheField name="Post-Trade Cash Balance" numFmtId="168">
      <sharedItems containsString="0" containsBlank="1" containsNumber="1" minValue="288205.40759999998" maxValue="1138243.1444000001"/>
    </cacheField>
    <cacheField name="Post-Trade Total Securities Value Balance" numFmtId="168">
      <sharedItems containsString="0" containsBlank="1" containsNumber="1" minValue="-638243.14439999999" maxValue="211794.59240000002"/>
    </cacheField>
    <cacheField name="Post-Trade Total Asset Balance" numFmtId="168">
      <sharedItems containsString="0" containsBlank="1" containsNumber="1" minValue="499999.99999999994" maxValue="500000.00000000012"/>
    </cacheField>
    <cacheField name="Post-Trade Ava Margin Balance" numFmtId="172">
      <sharedItems containsString="0" containsBlank="1" containsNumber="1" minValue="-178656.85560000001" maxValue="648904.30964999995"/>
    </cacheField>
    <cacheField name="Post-Trade Margin Loan Balance" numFmtId="168">
      <sharedItems containsString="0" containsBlank="1" containsNumber="1" minValue="0" maxValue="178656.85560000001"/>
    </cacheField>
    <cacheField name="Proposed Total Traded Notional" numFmtId="3">
      <sharedItems containsString="0" containsBlank="1" containsNumber="1" minValue="-171000" maxValue="667500"/>
    </cacheField>
    <cacheField name="Proposed Total Margin Req" numFmtId="38">
      <sharedItems containsString="0" containsBlank="1" containsNumber="1" minValue="-658600" maxValue="500000"/>
    </cacheField>
    <cacheField name="Stock Traded (Long)" numFmtId="38">
      <sharedItems containsString="0" containsBlank="1" containsNumber="1" minValue="0" maxValue="171000"/>
    </cacheField>
    <cacheField name="Stock Traded (Short)" numFmtId="172">
      <sharedItems containsString="0" containsBlank="1" containsNumber="1" minValue="-667500" maxValue="0"/>
    </cacheField>
    <cacheField name="Stock Price (Closing HKD)" numFmtId="38">
      <sharedItems containsString="0" containsBlank="1" containsNumber="1" minValue="0" maxValue="26194.896000000001"/>
    </cacheField>
    <cacheField name="QTY Stock (# of shrs)" numFmtId="172">
      <sharedItems containsString="0" containsBlank="1" containsNumber="1" containsInteger="1" minValue="-1500" maxValue="380"/>
    </cacheField>
    <cacheField name="Bond Price" numFmtId="38">
      <sharedItems containsString="0" containsBlank="1" containsNumber="1" minValue="0" maxValue="13.21"/>
    </cacheField>
    <cacheField name="Bond Qty" numFmtId="172">
      <sharedItems containsString="0" containsBlank="1" containsNumber="1" containsInteger="1" minValue="-20" maxValue="40"/>
    </cacheField>
    <cacheField name="Option Price" numFmtId="38">
      <sharedItems containsString="0" containsBlank="1" containsNumber="1" minValue="0" maxValue="3.5"/>
    </cacheField>
    <cacheField name="Option Qty" numFmtId="38">
      <sharedItems containsString="0" containsBlank="1" containsNumber="1" containsInteger="1" minValue="-10" maxValue="10"/>
    </cacheField>
    <cacheField name="TD Qty" numFmtId="181">
      <sharedItems containsString="0" containsBlank="1" containsNumber="1" containsInteger="1" minValue="-35000" maxValue="20000"/>
    </cacheField>
    <cacheField name="Stock Previous Cum Qty Balance" numFmtId="181">
      <sharedItems containsString="0" containsBlank="1" containsNumber="1" containsInteger="1" minValue="-5" maxValue="40"/>
    </cacheField>
    <cacheField name="Bond Previous Cum Qty Balance" numFmtId="181">
      <sharedItems containsString="0" containsBlank="1" containsNumber="1" containsInteger="1" minValue="0" maxValue="30"/>
    </cacheField>
    <cacheField name="Option Previous Cum Qty Balance" numFmtId="181">
      <sharedItems containsString="0" containsBlank="1" containsNumber="1" containsInteger="1" minValue="0" maxValue="0"/>
    </cacheField>
    <cacheField name="TD Previous Cum Qty Balance" numFmtId="181">
      <sharedItems containsString="0" containsBlank="1" containsNumber="1" containsInteger="1" minValue="0" maxValue="30000"/>
    </cacheField>
    <cacheField name="Stock Proposed Cumulative Qty" numFmtId="181">
      <sharedItems containsString="0" containsBlank="1" containsNumber="1" containsInteger="1" minValue="-1490" maxValue="390"/>
    </cacheField>
    <cacheField name="Bond Proposed Cumulative Qty" numFmtId="181">
      <sharedItems containsString="0" containsBlank="1" containsNumber="1" containsInteger="1" minValue="-20" maxValue="40"/>
    </cacheField>
    <cacheField name="Option Proposed Trade Intention" numFmtId="181">
      <sharedItems containsString="0" containsBlank="1" containsNumber="1" containsInteger="1" minValue="-10" maxValue="10"/>
    </cacheField>
    <cacheField name="TD Proposed Trade Intention" numFmtId="181">
      <sharedItems containsString="0" containsBlank="1" containsNumber="1" containsInteger="1" minValue="-5000" maxValue="30000"/>
    </cacheField>
    <cacheField name="Margin QTY adj -(ABS(PropQ)-ABS(PrevQ))" numFmtId="181">
      <sharedItems containsString="0" containsBlank="1" containsNumber="1" containsInteger="1" minValue="-20000" maxValue="25000"/>
    </cacheField>
    <cacheField name="Qty Traded" numFmtId="3">
      <sharedItems containsString="0" containsBlank="1" containsNumber="1" containsInteger="1" minValue="-35000" maxValue="20000" count="23">
        <m/>
        <n v="0"/>
        <n v="2"/>
        <n v="10000"/>
        <n v="40"/>
        <n v="20000"/>
        <n v="10"/>
        <n v="-15"/>
        <n v="20"/>
        <n v="-5"/>
        <n v="-35000"/>
        <n v="30"/>
        <n v="-10"/>
        <n v="15"/>
        <n v="380"/>
        <n v="-20"/>
        <n v="4"/>
        <n v="12"/>
        <n v="3"/>
        <n v="-13"/>
        <n v="-50"/>
        <n v="-51"/>
        <n v="-1500"/>
      </sharedItems>
    </cacheField>
    <cacheField name="EOD Closing Price" numFmtId="3">
      <sharedItems containsString="0" containsBlank="1" containsNumber="1" minValue="1" maxValue="3350.44"/>
    </cacheField>
    <cacheField name="Last Entry of the day" numFmtId="3">
      <sharedItems containsString="0" containsBlank="1" containsNumber="1" containsInteger="1" minValue="0" maxValue="1"/>
    </cacheField>
    <cacheField name="FX" numFmtId="181">
      <sharedItems containsString="0" containsBlank="1" containsNumber="1" minValue="1" maxValue="8.9223999999999997"/>
    </cacheField>
    <cacheField name="Stock Closing P" numFmtId="172">
      <sharedItems containsString="0" containsBlank="1" containsNumber="1" minValue="0" maxValue="3350.44"/>
    </cacheField>
    <cacheField name="Bond (Bid)" numFmtId="172">
      <sharedItems containsString="0" containsBlank="1" containsNumber="1" minValue="0" maxValue="24.29"/>
    </cacheField>
    <cacheField name="Bond (Ask)" numFmtId="172">
      <sharedItems containsString="0" containsBlank="1" containsNumber="1" minValue="0" maxValue="26.71"/>
    </cacheField>
    <cacheField name="Option Closing P" numFmtId="172">
      <sharedItems containsString="0" containsBlank="1" containsNumber="1" minValue="0" maxValue="4.3999999999999986"/>
    </cacheField>
    <cacheField name="Option Base Sec Strike" numFmtId="168">
      <sharedItems containsString="0" containsBlank="1" containsNumber="1" containsInteger="1" minValue="0" maxValue="45"/>
    </cacheField>
    <cacheField name="TD" numFmtId="168">
      <sharedItems containsString="0" containsBlank="1" containsNumber="1" containsInteger="1" minValue="0" maxValue="1"/>
    </cacheField>
    <cacheField name="# of security" numFmtId="168">
      <sharedItems containsString="0" containsBlank="1" containsNumber="1" containsInteger="1" minValue="1" maxValue="5"/>
    </cacheField>
    <cacheField name="Sec per Trade notional" numFmtId="168">
      <sharedItems containsString="0" containsBlank="1" containsNumber="1" minValue="-721200" maxValue="182704"/>
    </cacheField>
    <cacheField name="Per Sec Total Exposure" numFmtId="168">
      <sharedItems containsString="0" containsBlank="1" containsNumber="1" minValue="-716392" maxValue="187512"/>
    </cacheField>
    <cacheField name="Remove Duplicate" numFmtId="168">
      <sharedItems containsString="0" containsBlank="1" containsNumber="1" containsInteger="1" minValue="0" maxValue="1"/>
    </cacheField>
    <cacheField name="Sec Long Exposure" numFmtId="38">
      <sharedItems containsString="0" containsBlank="1" containsNumber="1" minValue="0" maxValue="241871.57500000001"/>
    </cacheField>
    <cacheField name="Sec Short Exposure" numFmtId="38">
      <sharedItems containsString="0" containsBlank="1" containsNumber="1" minValue="-716392" maxValue="0"/>
    </cacheField>
    <cacheField name="Sec Net Exposure" numFmtId="38">
      <sharedItems containsString="0" containsBlank="1" containsNumber="1" minValue="-692291.78491000005" maxValue="236871.57500000001"/>
    </cacheField>
    <cacheField name="Margin Adj per Trade" numFmtId="38">
      <sharedItems containsString="0" containsBlank="1" containsNumber="1" minValue="-711584" maxValue="500000"/>
    </cacheField>
    <cacheField name="(Adj) Margin Fees" numFmtId="38">
      <sharedItems containsString="0" containsBlank="1" containsNumber="1" minValue="-25.093944420159584" maxValue="0"/>
    </cacheField>
    <cacheField name="(Adj) Short Sell Interest" numFmtId="38">
      <sharedItems containsString="0" containsBlank="1" containsNumber="1" minValue="-121.35741457295377" maxValue="0"/>
    </cacheField>
    <cacheField name="(Adj) TD Interest" numFmtId="38">
      <sharedItems containsString="0" containsBlank="1" containsNumber="1" minValue="0" maxValue="0.12337992952526605"/>
    </cacheField>
    <cacheField name="(End of Trade) Cash ava Bal" numFmtId="3">
      <sharedItems containsString="0" containsBlank="1" containsNumber="1" minValue="288204.72510231682" maxValue="1138103.2756192819"/>
    </cacheField>
    <cacheField name="(EOD) Cash ava Bal" numFmtId="3">
      <sharedItems containsString="0" containsBlank="1" containsNumber="1" minValue="0" maxValue="1138103.2756192819"/>
    </cacheField>
    <cacheField name="(EOD) Margin Loan Bal" numFmtId="3">
      <sharedItems containsString="0" containsBlank="1" containsNumber="1" minValue="0" maxValue="178656.85560000001"/>
    </cacheField>
    <cacheField name="(EOD) AuM = Cash ava + Sec Net Bal" numFmtId="3">
      <sharedItems containsString="0" containsBlank="1" containsNumber="1" minValue="0" maxValue="540623.0992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1.651037152777" refreshedVersion="7" recordCount="14376" xr:uid="{00000000-000A-0000-FFFF-FFFF01000000}">
  <cacheSource type="worksheet">
    <worksheetSource ref="A4:BC15325" sheet="Prelim Check"/>
  </cacheSource>
  <cacheFields count="55">
    <cacheField name="Email" numFmtId="0">
      <sharedItems containsBlank="1" count="7">
        <s v="sABCD0001@hkmu.edu.hk"/>
        <s v="sABCD0002@hkmu.edu.hk"/>
        <s v="sABCD0003@hkmu.edu.hk"/>
        <s v="sABCD0004@hkmu.edu.hk"/>
        <s v="sABCD0005@hkmu.edu.hk"/>
        <s v="sABCD0006@hkmu.edu.hk"/>
        <m/>
      </sharedItems>
    </cacheField>
    <cacheField name="Acct#" numFmtId="0">
      <sharedItems containsBlank="1" count="7">
        <s v="D0001"/>
        <s v="D0002"/>
        <s v="D0003"/>
        <s v="D0004"/>
        <s v="D0005"/>
        <s v="D0006"/>
        <m/>
      </sharedItems>
    </cacheField>
    <cacheField name="Password" numFmtId="0">
      <sharedItems containsBlank="1"/>
    </cacheField>
    <cacheField name="Order #" numFmtId="0">
      <sharedItems containsString="0" containsBlank="1" containsNumber="1" containsInteger="1" minValue="44561000005" maxValue="44572000047" count="44">
        <n v="44561000005"/>
        <n v="44561000006"/>
        <n v="44561000007"/>
        <n v="44561000008"/>
        <n v="44561000009"/>
        <n v="44561000010"/>
        <n v="44562000011"/>
        <n v="44563000012"/>
        <n v="44563000013"/>
        <n v="44563000014"/>
        <n v="44564000015"/>
        <n v="44565000016"/>
        <n v="44566000017"/>
        <n v="44567000018"/>
        <n v="44567000019"/>
        <n v="44567000020"/>
        <n v="44568000021"/>
        <n v="44569000022"/>
        <n v="44570000023"/>
        <n v="44571000024"/>
        <n v="44563000025"/>
        <n v="44563000026"/>
        <n v="44564000027"/>
        <n v="44564000028"/>
        <n v="44562000029"/>
        <n v="44562000030"/>
        <n v="44562000031"/>
        <n v="44563000032"/>
        <n v="44562000033"/>
        <n v="44562000034"/>
        <n v="44562000035"/>
        <n v="44565000036"/>
        <n v="44563000037"/>
        <n v="44563000038"/>
        <n v="44563000039"/>
        <n v="44566000040"/>
        <n v="44566000041"/>
        <n v="44567000042"/>
        <n v="44568000043"/>
        <n v="44568000044"/>
        <n v="44564000045"/>
        <n v="44565000046"/>
        <n v="44572000047"/>
        <m/>
      </sharedItems>
    </cacheField>
    <cacheField name="Date/ Time" numFmtId="0">
      <sharedItems containsNonDate="0" containsDate="1" containsString="0" containsBlank="1" minDate="2021-12-31T00:00:00" maxDate="2022-01-12T00:00:00" count="13"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m/>
      </sharedItems>
    </cacheField>
    <cacheField name="Date Time Stamp" numFmtId="0">
      <sharedItems containsNonDate="0" containsDate="1" containsString="0" containsBlank="1" minDate="2021-12-31T00:00:00" maxDate="2022-01-12T00:00:00"/>
    </cacheField>
    <cacheField name="Order Side" numFmtId="0">
      <sharedItems containsBlank="1" count="3">
        <s v="BUY (LONG)"/>
        <s v="SELL (SHORT)"/>
        <m/>
      </sharedItems>
    </cacheField>
    <cacheField name="Ticker Code" numFmtId="0">
      <sharedItems containsBlank="1" count="12">
        <s v="Cash"/>
        <s v="AMZN"/>
        <s v="0700.HK"/>
        <s v="600519.SS"/>
        <s v="MC.PA"/>
        <s v="GS"/>
        <s v="3m"/>
        <s v="XS2106834299"/>
        <s v="UGI220414P00045000"/>
        <s v="UGI220414P00040000"/>
        <s v="TSLA"/>
        <m/>
      </sharedItems>
    </cacheField>
    <cacheField name="Asset Class" numFmtId="0">
      <sharedItems containsBlank="1" count="6">
        <s v="Cash"/>
        <s v="Stock"/>
        <s v="TD"/>
        <s v="Bond"/>
        <s v="Option"/>
        <m/>
      </sharedItems>
    </cacheField>
    <cacheField name="Stock (Shares)" numFmtId="0">
      <sharedItems containsString="0" containsBlank="1" containsNumber="1" containsInteger="1" minValue="0" maxValue="1500" count="19">
        <m/>
        <n v="2"/>
        <n v="10"/>
        <n v="15"/>
        <n v="6"/>
        <n v="5"/>
        <n v="4"/>
        <n v="12"/>
        <n v="1"/>
        <n v="3"/>
        <n v="13"/>
        <n v="51"/>
        <n v="1500"/>
        <n v="20"/>
        <n v="0"/>
        <n v="380"/>
        <n v="30"/>
        <n v="40"/>
        <n v="50"/>
      </sharedItems>
    </cacheField>
    <cacheField name="Bond (Contracts)" numFmtId="0">
      <sharedItems containsString="0" containsBlank="1" containsNumber="1" containsInteger="1" minValue="0" maxValue="40" count="5">
        <m/>
        <n v="0"/>
        <n v="40"/>
        <n v="20"/>
        <n v="30"/>
      </sharedItems>
    </cacheField>
    <cacheField name="Option (Contracts)" numFmtId="0">
      <sharedItems containsString="0" containsBlank="1" containsNumber="1" containsInteger="1" minValue="0" maxValue="10" count="3">
        <m/>
        <n v="0"/>
        <n v="10"/>
      </sharedItems>
    </cacheField>
    <cacheField name="TD (Notional)" numFmtId="0">
      <sharedItems containsString="0" containsBlank="1" containsNumber="1" containsInteger="1" minValue="0" maxValue="500000" count="7">
        <n v="500000"/>
        <n v="0"/>
        <n v="10000"/>
        <n v="20000"/>
        <n v="35000"/>
        <n v="9000"/>
        <m/>
      </sharedItems>
    </cacheField>
    <cacheField name="Limit Price/ Mkt Price (stk &amp; opt only)" numFmtId="0">
      <sharedItems containsString="0" containsBlank="1" containsNumber="1" minValue="0" maxValue="3360" count="21">
        <m/>
        <n v="3360"/>
        <n v="460"/>
        <n v="2050"/>
        <n v="730"/>
        <n v="385"/>
        <n v="740"/>
        <n v="720"/>
        <n v="445"/>
        <n v="2030"/>
        <n v="0"/>
        <n v="25"/>
        <n v="450"/>
        <n v="3.5"/>
        <n v="2.5"/>
        <n v="430"/>
        <n v="440"/>
        <n v="19"/>
        <n v="23"/>
        <n v="22"/>
        <n v="1050"/>
      </sharedItems>
    </cacheField>
    <cacheField name="Password Input" numFmtId="0">
      <sharedItems containsBlank="1"/>
    </cacheField>
    <cacheField name="Email Input" numFmtId="0">
      <sharedItems containsBlank="1"/>
    </cacheField>
    <cacheField name="x" numFmtId="0">
      <sharedItems containsBlank="1"/>
    </cacheField>
    <cacheField name="x2" numFmtId="0">
      <sharedItems containsNonDate="0" containsString="0" containsBlank="1"/>
    </cacheField>
    <cacheField name="x3" numFmtId="0">
      <sharedItems containsNonDate="0" containsString="0" containsBlank="1"/>
    </cacheField>
    <cacheField name="Date" numFmtId="0">
      <sharedItems containsNonDate="0" containsDate="1" containsString="0" containsBlank="1" minDate="2021-12-31T00:00:00" maxDate="2022-01-12T00:00:00"/>
    </cacheField>
    <cacheField name="Exchange" numFmtId="0">
      <sharedItems containsNonDate="0" containsString="0" containsBlank="1" count="1">
        <m/>
      </sharedItems>
    </cacheField>
    <cacheField name="Currency" numFmtId="0">
      <sharedItems containsBlank="1" count="5">
        <s v="HKD"/>
        <s v="USD"/>
        <s v="CNY"/>
        <s v="EUR"/>
        <m/>
      </sharedItems>
    </cacheField>
    <cacheField name="Stock (Ticker/ Code)" numFmtId="0">
      <sharedItems containsBlank="1" count="8">
        <m/>
        <s v="AMZN"/>
        <s v="0700.HK"/>
        <s v="600519.SS"/>
        <s v="MC.PA"/>
        <s v="GS"/>
        <s v=" "/>
        <s v="TSLA"/>
      </sharedItems>
    </cacheField>
    <cacheField name="Stock (Open)" numFmtId="0">
      <sharedItems containsBlank="1" containsMixedTypes="1" containsNumber="1" minValue="346.6" maxValue="2895" count="9">
        <m/>
        <n v="2895"/>
        <n v="465"/>
        <n v="2001.01"/>
        <n v="673.7"/>
        <n v="346.6"/>
        <s v=" "/>
        <n v="952.43"/>
        <n v="933.36"/>
      </sharedItems>
    </cacheField>
    <cacheField name="Stock (High)" numFmtId="0">
      <sharedItems containsBlank="1" containsMixedTypes="1" containsNumber="1" minValue="350.48" maxValue="2903.7" count="9">
        <m/>
        <n v="2903.7"/>
        <n v="467"/>
        <n v="2010.82"/>
        <n v="687.9"/>
        <n v="350.48"/>
        <s v=" "/>
        <n v="987.54"/>
        <n v="934.75"/>
      </sharedItems>
    </cacheField>
    <cacheField name="Stock (Low)" numFmtId="0">
      <sharedItems containsBlank="1" containsMixedTypes="1" containsNumber="1" minValue="338.41" maxValue="2746.37" count="9">
        <m/>
        <n v="2746.37"/>
        <n v="457.8"/>
        <n v="1952"/>
        <n v="671.7"/>
        <n v="338.41"/>
        <s v=" "/>
        <n v="906.04"/>
        <n v="829"/>
      </sharedItems>
    </cacheField>
    <cacheField name="Stock (Close)" numFmtId="0">
      <sharedItems containsBlank="1" containsMixedTypes="1" containsNumber="1" minValue="341.55" maxValue="2799.72" count="9">
        <m/>
        <n v="2799.72"/>
        <n v="473.6"/>
        <n v="1955"/>
        <n v="667"/>
        <n v="341.55"/>
        <s v=" "/>
        <n v="918.4"/>
        <n v="937.41"/>
      </sharedItems>
    </cacheField>
    <cacheField name="Stock (Volume)" numFmtId="0">
      <sharedItems containsBlank="1" containsMixedTypes="1" containsNumber="1" containsInteger="1" minValue="439855" maxValue="48341614" count="9">
        <m/>
        <n v="4780085"/>
        <n v="16061367"/>
        <n v="4266516"/>
        <n v="439855"/>
        <n v="3705887"/>
        <s v=" "/>
        <n v="34955761"/>
        <n v="48341614"/>
      </sharedItems>
    </cacheField>
    <cacheField name="Bond (Bond Issuer name)" numFmtId="0">
      <sharedItems containsBlank="1" count="3">
        <m/>
        <s v="China Evergrande Group"/>
        <s v=" "/>
      </sharedItems>
    </cacheField>
    <cacheField name="Bond (Indicative Bid)" numFmtId="0">
      <sharedItems containsBlank="1" containsMixedTypes="1" containsNumber="1" minValue="10.79" maxValue="10.79" count="3">
        <m/>
        <n v="10.79"/>
        <s v=" "/>
      </sharedItems>
    </cacheField>
    <cacheField name="Bond (Indicative Ask)" numFmtId="0">
      <sharedItems containsBlank="1" containsMixedTypes="1" containsNumber="1" minValue="13.21" maxValue="13.21" count="3">
        <m/>
        <n v="13.21"/>
        <s v=" "/>
      </sharedItems>
    </cacheField>
    <cacheField name="Bond (Coupon)" numFmtId="0">
      <sharedItems containsBlank="1" containsMixedTypes="1" containsNumber="1" minValue="0.115" maxValue="0.115" count="3">
        <m/>
        <n v="0.115"/>
        <s v=" "/>
      </sharedItems>
    </cacheField>
    <cacheField name="Bond (Maturity)" numFmtId="0">
      <sharedItems containsDate="1" containsBlank="1" containsMixedTypes="1" minDate="2023-01-22T00:00:00" maxDate="2023-01-23T00:00:00" count="3">
        <m/>
        <d v="2023-01-22T00:00:00"/>
        <s v=" "/>
      </sharedItems>
    </cacheField>
    <cacheField name="Bond (Rating)" numFmtId="0">
      <sharedItems containsBlank="1" count="3">
        <m/>
        <s v="N.R/ N.R"/>
        <s v=" "/>
      </sharedItems>
    </cacheField>
    <cacheField name="Bond (YTM)" numFmtId="0">
      <sharedItems containsBlank="1" containsMixedTypes="1" containsNumber="1" minValue="0.98499999999999999" maxValue="0.98499999999999999" count="3">
        <m/>
        <n v="0.98499999999999999"/>
        <s v=" "/>
      </sharedItems>
    </cacheField>
    <cacheField name="Bond (Seniority)" numFmtId="0">
      <sharedItems containsBlank="1" count="3">
        <m/>
        <s v="Senior Secured"/>
        <s v=" "/>
      </sharedItems>
    </cacheField>
    <cacheField name="Bond (Type)" numFmtId="0">
      <sharedItems containsBlank="1" count="3">
        <m/>
        <s v="High Yield Corporate"/>
        <s v=" "/>
      </sharedItems>
    </cacheField>
    <cacheField name="Option (Underlying asset ticker code)" numFmtId="0">
      <sharedItems containsBlank="1" count="3">
        <m/>
        <s v="UGI220414P00045000"/>
        <s v="UGI220414P00040000"/>
      </sharedItems>
    </cacheField>
    <cacheField name="Option (Open)" numFmtId="0">
      <sharedItems containsString="0" containsBlank="1" containsNumber="1" minValue="0.7" maxValue="2.5" count="3">
        <m/>
        <n v="2.5"/>
        <n v="0.7"/>
      </sharedItems>
    </cacheField>
    <cacheField name="Option (High)" numFmtId="0">
      <sharedItems containsString="0" containsBlank="1" containsNumber="1" minValue="0.7" maxValue="2.5" count="3">
        <m/>
        <n v="2.5"/>
        <n v="0.7"/>
      </sharedItems>
    </cacheField>
    <cacheField name="Option (Low)" numFmtId="0">
      <sharedItems containsString="0" containsBlank="1" containsNumber="1" minValue="0.7" maxValue="2.5" count="3">
        <m/>
        <n v="2.5"/>
        <n v="0.7"/>
      </sharedItems>
    </cacheField>
    <cacheField name="Option (Close)" numFmtId="0">
      <sharedItems containsString="0" containsBlank="1" containsNumber="1" minValue="0.7" maxValue="2.5" count="3">
        <m/>
        <n v="2.5"/>
        <n v="0.7"/>
      </sharedItems>
    </cacheField>
    <cacheField name="Option (Strike)" numFmtId="0">
      <sharedItems containsString="0" containsBlank="1" containsNumber="1" containsInteger="1" minValue="40" maxValue="45" count="3">
        <m/>
        <n v="45"/>
        <n v="40"/>
      </sharedItems>
    </cacheField>
    <cacheField name="Option (Expiration Date)" numFmtId="0">
      <sharedItems containsNonDate="0" containsDate="1" containsString="0" containsBlank="1" minDate="2022-04-14T00:00:00" maxDate="2022-04-15T00:00:00" count="2">
        <m/>
        <d v="2022-04-14T00:00:00"/>
      </sharedItems>
    </cacheField>
    <cacheField name="Option (Put or Call)" numFmtId="0">
      <sharedItems containsBlank="1" count="2">
        <m/>
        <s v="put"/>
      </sharedItems>
    </cacheField>
    <cacheField name="Option (Open Interest)" numFmtId="0">
      <sharedItems containsBlank="1" count="2">
        <m/>
        <s v="N/A"/>
      </sharedItems>
    </cacheField>
    <cacheField name="TD" numFmtId="0">
      <sharedItems containsNonDate="0" containsString="0" containsBlank="1" count="1">
        <m/>
      </sharedItems>
    </cacheField>
    <cacheField name="TD2" numFmtId="0">
      <sharedItems containsNonDate="0" containsString="0" containsBlank="1" count="1">
        <m/>
      </sharedItems>
    </cacheField>
    <cacheField name="Accept" numFmtId="0">
      <sharedItems containsNonDate="0" containsString="0" containsBlank="1"/>
    </cacheField>
    <cacheField name="Comment" numFmtId="0">
      <sharedItems containsBlank="1"/>
    </cacheField>
    <cacheField name="x4" numFmtId="0">
      <sharedItems containsNonDate="0" containsString="0" containsBlank="1"/>
    </cacheField>
    <cacheField name="Check - PWD" numFmtId="0">
      <sharedItems containsString="0" containsBlank="1" containsNumber="1" containsInteger="1" minValue="0" maxValue="1"/>
    </cacheField>
    <cacheField name="Check - Ticker Code" numFmtId="0">
      <sharedItems containsString="0" containsBlank="1" containsNumber="1" containsInteger="1" minValue="0" maxValue="0"/>
    </cacheField>
    <cacheField name="Check - Limit Order Acceptance" numFmtId="0">
      <sharedItems containsNonDate="0" containsString="0" containsBlank="1"/>
    </cacheField>
    <cacheField name="Check - Prelim1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1.651037615738" refreshedVersion="7" recordCount="105" xr:uid="{00000000-000A-0000-FFFF-FFFF00000000}">
  <cacheSource type="worksheet">
    <worksheetSource ref="A1:O1000" sheet="Form Responses"/>
  </cacheSource>
  <cacheFields count="15">
    <cacheField name="Timestamp" numFmtId="0">
      <sharedItems containsNonDate="0" containsDate="1" containsString="0" containsBlank="1" minDate="2022-01-01T00:00:00" maxDate="2022-01-12T00:00:00" count="21">
        <d v="2022-01-01T10:58:54"/>
        <d v="2022-01-02T11:00:04"/>
        <d v="2022-01-02T11:02:08"/>
        <d v="2022-01-02T12:50:18"/>
        <d v="2022-01-03T11:07:37"/>
        <d v="2022-01-04T11:07:37"/>
        <d v="2022-01-05T11:07:37"/>
        <d v="2022-01-06T11:07:37"/>
        <d v="2022-01-07T11:07:37"/>
        <d v="2022-01-08T11:07:37"/>
        <d v="2022-01-09T11:07:37"/>
        <d v="2022-01-10T11:07:37"/>
        <d v="2022-01-02T00:00:00"/>
        <d v="2022-01-03T00:00:00"/>
        <d v="2022-01-01T00:00:00"/>
        <d v="2022-01-04T00:00:00"/>
        <d v="2022-01-05T00:00:00"/>
        <d v="2022-01-06T00:00:00"/>
        <d v="2022-01-07T00:00:00"/>
        <d v="2022-01-11T00:00:00"/>
        <m/>
      </sharedItems>
    </cacheField>
    <cacheField name="What do you want to do?" numFmtId="0">
      <sharedItems containsBlank="1"/>
    </cacheField>
    <cacheField name="Ticker Symbol (Security Code)" numFmtId="0">
      <sharedItems containsBlank="1" count="11">
        <s v="AMZN"/>
        <s v="0700.HK"/>
        <s v="600519.SS"/>
        <s v="MC.PA"/>
        <s v="GS"/>
        <s v="3m"/>
        <s v="XS2106834299"/>
        <s v="UGI220414P00045000"/>
        <s v="UGI220414P00040000"/>
        <s v="TSLA"/>
        <m/>
      </sharedItems>
    </cacheField>
    <cacheField name="Select Asset Class" numFmtId="0">
      <sharedItems containsBlank="1" count="5">
        <s v="Stock"/>
        <s v="TD"/>
        <s v="Bond"/>
        <s v="Option"/>
        <m/>
      </sharedItems>
    </cacheField>
    <cacheField name="Stock: Number of shares" numFmtId="0">
      <sharedItems containsString="0" containsBlank="1" containsNumber="1" containsInteger="1" minValue="1" maxValue="1500"/>
    </cacheField>
    <cacheField name="Bond: Number of bonds?" numFmtId="0">
      <sharedItems containsString="0" containsBlank="1" containsNumber="1" containsInteger="1" minValue="20" maxValue="40"/>
    </cacheField>
    <cacheField name="Option: Number of contracts?" numFmtId="0">
      <sharedItems containsString="0" containsBlank="1" containsNumber="1" containsInteger="1" minValue="10" maxValue="10"/>
    </cacheField>
    <cacheField name="Time Deposit: Amount in HKD" numFmtId="0">
      <sharedItems containsString="0" containsBlank="1" containsNumber="1" containsInteger="1" minValue="9000" maxValue="35000"/>
    </cacheField>
    <cacheField name="Limit Order's Limit Price (Market Order should leave blank)" numFmtId="0">
      <sharedItems containsString="0" containsBlank="1" containsNumber="1" minValue="2.5" maxValue="3360"/>
    </cacheField>
    <cacheField name="PASSWORD" numFmtId="0">
      <sharedItems containsBlank="1"/>
    </cacheField>
    <cacheField name="Email Address" numFmtId="0">
      <sharedItems containsBlank="1"/>
    </cacheField>
    <cacheField name="Date" numFmtId="0">
      <sharedItems containsDate="1" containsBlank="1" containsMixedTypes="1" minDate="2022-01-01T00:00:00" maxDate="2022-01-12T00:00:00"/>
    </cacheField>
    <cacheField name="Stock: High/ Bond: Bid" numFmtId="0">
      <sharedItems containsBlank="1" containsMixedTypes="1" containsNumber="1" minValue="0" maxValue="2072.98"/>
    </cacheField>
    <cacheField name="Stock: Low/ Bond: Ask" numFmtId="0">
      <sharedItems containsBlank="1" containsMixedTypes="1" containsNumber="1" minValue="0" maxValue="2028"/>
    </cacheField>
    <cacheField name="Stock: Close/ Option: Close" numFmtId="0">
      <sharedItems containsBlank="1" containsMixedTypes="1" containsNumber="1" minValue="0" maxValue="2051.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">
  <r>
    <n v="1"/>
    <n v="0"/>
    <x v="0"/>
    <x v="0"/>
    <d v="1899-12-30T00:00:00"/>
    <m/>
    <n v="0"/>
    <x v="0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s v="rej due to pwd"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s v="rej due to same day reverse trade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s v="should accept same day same side trade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s v="short sell (margin count)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s v="rej due to OD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s v="shld allow as last trade rej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s v="rej due to unmatch asset class vs ticker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s v="shld allow as last trade rej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s v="rej due to unmatch asset class vs ticker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s v="rej due to same day trade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x v="0"/>
    <d v="1899-12-30T00:00:0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x v="1"/>
    <m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8">
  <r>
    <x v="0"/>
    <x v="0"/>
    <s v="SUM of Sec Long Exposure"/>
    <x v="0"/>
    <x v="0"/>
    <s v="SUM of Margin Adj per Trade"/>
    <s v="SUM of (Adj) Margin Fees"/>
    <s v="SUM of (Adj) Short Sell Interest"/>
    <s v="SUM of (Adj) TD Interest"/>
    <x v="0"/>
    <x v="0"/>
    <x v="0"/>
    <m/>
    <s v="AuM"/>
    <s v="Daily Return (%)"/>
    <s v="GeoMetric Rtn"/>
    <s v="Cumulative Rtns"/>
    <x v="0"/>
  </r>
  <r>
    <x v="1"/>
    <x v="1"/>
    <n v="0"/>
    <x v="1"/>
    <x v="1"/>
    <n v="0"/>
    <n v="0"/>
    <n v="0"/>
    <n v="0"/>
    <x v="1"/>
    <x v="1"/>
    <x v="1"/>
    <m/>
    <n v="0"/>
    <s v=""/>
    <m/>
    <s v=""/>
    <x v="1"/>
  </r>
  <r>
    <x v="2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2"/>
    <x v="3"/>
    <n v="51989.783464320004"/>
    <x v="1"/>
    <x v="2"/>
    <n v="448010.21653568"/>
    <n v="0"/>
    <n v="0"/>
    <n v="0"/>
    <x v="3"/>
    <x v="1"/>
    <x v="3"/>
    <m/>
    <n v="499599.99146431999"/>
    <n v="-8.0001707136001521E-4"/>
    <n v="0.99919998292863998"/>
    <n v="0.99919998292863998"/>
    <x v="2"/>
  </r>
  <r>
    <x v="2"/>
    <x v="4"/>
    <n v="121016.248682"/>
    <x v="2"/>
    <x v="3"/>
    <n v="341258.08306800004"/>
    <n v="0"/>
    <n v="-6.3907603125899906"/>
    <n v="0"/>
    <x v="4"/>
    <x v="1"/>
    <x v="4"/>
    <m/>
    <n v="499302.24768199993"/>
    <n v="-5.9596434629105577E-4"/>
    <n v="0.99940403565370894"/>
    <n v="0.99860449536399987"/>
    <x v="2"/>
  </r>
  <r>
    <x v="2"/>
    <x v="5"/>
    <n v="120596.06333800001"/>
    <x v="3"/>
    <x v="4"/>
    <n v="341673.99416200002"/>
    <n v="0"/>
    <n v="-6.3914843741781135"/>
    <n v="0"/>
    <x v="5"/>
    <x v="1"/>
    <x v="5"/>
    <m/>
    <n v="498877.78808799991"/>
    <n v="-8.5010551418618352E-4"/>
    <n v="0.99914989448581382"/>
    <n v="0.99775557617599986"/>
    <x v="2"/>
  </r>
  <r>
    <x v="2"/>
    <x v="6"/>
    <n v="89442.383499999996"/>
    <x v="4"/>
    <x v="5"/>
    <n v="372929.30980405008"/>
    <n v="0"/>
    <n v="-6.3742671824624741"/>
    <n v="0"/>
    <x v="6"/>
    <x v="1"/>
    <x v="6"/>
    <m/>
    <n v="500367.24405404995"/>
    <n v="2.9856129128509323E-3"/>
    <n v="1.0029856129128509"/>
    <n v="1.0007344881081"/>
    <x v="2"/>
  </r>
  <r>
    <x v="2"/>
    <x v="7"/>
    <n v="115710.58875719999"/>
    <x v="5"/>
    <x v="6"/>
    <n v="347105.51548280002"/>
    <n v="0"/>
    <n v="-6.29898359164231"/>
    <n v="0"/>
    <x v="7"/>
    <x v="1"/>
    <x v="7"/>
    <m/>
    <n v="500978.53584719996"/>
    <n v="1.2216862722611577E-3"/>
    <n v="1.0012216862722612"/>
    <n v="1.0019570716944"/>
    <x v="2"/>
  </r>
  <r>
    <x v="2"/>
    <x v="8"/>
    <n v="209069.47995919999"/>
    <x v="6"/>
    <x v="7"/>
    <n v="254595.05970900002"/>
    <n v="0"/>
    <n v="-6.1552579079405811"/>
    <n v="0"/>
    <x v="8"/>
    <x v="1"/>
    <x v="8"/>
    <m/>
    <n v="497381.59797739994"/>
    <n v="-7.1798243086748093E-3"/>
    <n v="0.99282017569132519"/>
    <n v="0.99476319595479989"/>
    <x v="2"/>
  </r>
  <r>
    <x v="2"/>
    <x v="9"/>
    <n v="124895.14072719999"/>
    <x v="7"/>
    <x v="8"/>
    <n v="339483.20964279998"/>
    <n v="0"/>
    <n v="-6.0343377674798369"/>
    <n v="0"/>
    <x v="9"/>
    <x v="1"/>
    <x v="9"/>
    <m/>
    <n v="496852.5414472"/>
    <n v="-1.0636833617314601E-3"/>
    <n v="0.99893631663826854"/>
    <n v="0.99370508289439996"/>
    <x v="2"/>
  </r>
  <r>
    <x v="2"/>
    <x v="10"/>
    <n v="55134.949047199996"/>
    <x v="8"/>
    <x v="9"/>
    <n v="155563.75211279999"/>
    <n v="0"/>
    <n v="-49.007886268718622"/>
    <n v="0"/>
    <x v="10"/>
    <x v="1"/>
    <x v="10"/>
    <m/>
    <n v="498757.40855719999"/>
    <n v="3.8338681018952325E-3"/>
    <n v="1.0038338681018952"/>
    <n v="0.99751481711439993"/>
    <x v="2"/>
  </r>
  <r>
    <x v="2"/>
    <x v="11"/>
    <n v="50705.046579599999"/>
    <x v="9"/>
    <x v="10"/>
    <n v="157996.9357804"/>
    <n v="0"/>
    <n v="-49.346132132990142"/>
    <n v="0"/>
    <x v="11"/>
    <x v="1"/>
    <x v="11"/>
    <m/>
    <n v="499005.7872896"/>
    <n v="4.9799507363412765E-4"/>
    <n v="1.0004979950736341"/>
    <n v="0.99801157457919998"/>
    <x v="2"/>
  </r>
  <r>
    <x v="2"/>
    <x v="12"/>
    <n v="50356.825323999998"/>
    <x v="10"/>
    <x v="11"/>
    <n v="163040.68729600002"/>
    <n v="0"/>
    <n v="-48.550705310241334"/>
    <n v="0"/>
    <x v="12"/>
    <x v="1"/>
    <x v="12"/>
    <m/>
    <n v="503353.09629400005"/>
    <n v="8.7119410538560871E-3"/>
    <n v="1.0087119410538561"/>
    <n v="1.0067061925880001"/>
    <x v="2"/>
  </r>
  <r>
    <x v="2"/>
    <x v="13"/>
    <n v="51567.1144556"/>
    <x v="11"/>
    <x v="12"/>
    <n v="158865.70235615005"/>
    <n v="0"/>
    <n v="-49.05292730362553"/>
    <n v="0"/>
    <x v="13"/>
    <x v="1"/>
    <x v="13"/>
    <m/>
    <n v="501598.68961735"/>
    <n v="-3.4854393259265981E-3"/>
    <n v="0.9965145606740734"/>
    <n v="1.0031973792347"/>
    <x v="2"/>
  </r>
  <r>
    <x v="2"/>
    <x v="14"/>
    <n v="51492.048173999996"/>
    <x v="12"/>
    <x v="13"/>
    <n v="157231.20919100003"/>
    <n v="0"/>
    <n v="-49.342528129034456"/>
    <n v="0"/>
    <x v="14"/>
    <x v="1"/>
    <x v="14"/>
    <m/>
    <n v="499814.06388900004"/>
    <n v="-3.5578755792032846E-3"/>
    <n v="0.99644212442079672"/>
    <n v="0.99962812777800014"/>
    <x v="2"/>
  </r>
  <r>
    <x v="2"/>
    <x v="15"/>
    <n v="50221.707708000002"/>
    <x v="13"/>
    <x v="14"/>
    <n v="166665.03398599999"/>
    <n v="0"/>
    <n v="-47.959626935170945"/>
    <n v="0"/>
    <x v="15"/>
    <x v="1"/>
    <x v="15"/>
    <m/>
    <n v="506707.20775200007"/>
    <n v="1.3791416370650289E-2"/>
    <n v="1.0137914163706503"/>
    <n v="1.0134144155040001"/>
    <x v="2"/>
  </r>
  <r>
    <x v="2"/>
    <x v="16"/>
    <n v="50489.124648000005"/>
    <x v="14"/>
    <x v="15"/>
    <n v="172752.82113200013"/>
    <n v="0"/>
    <n v="-46.883049953629516"/>
    <n v="0"/>
    <x v="16"/>
    <x v="1"/>
    <x v="16"/>
    <m/>
    <n v="513329.82877799997"/>
    <n v="1.3069916758005284E-2"/>
    <n v="1.0130699167580053"/>
    <n v="1.0266596575560001"/>
    <x v="3"/>
  </r>
  <r>
    <x v="3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3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3"/>
    <x v="4"/>
    <n v="50300.890999999996"/>
    <x v="15"/>
    <x v="16"/>
    <n v="447415.109"/>
    <n v="0"/>
    <n v="-0.38691154407730183"/>
    <n v="0"/>
    <x v="17"/>
    <x v="1"/>
    <x v="17"/>
    <m/>
    <n v="500506.74040000001"/>
    <n v="1.0134807999999662E-3"/>
    <n v="1.0010134808"/>
    <n v="1.0010134808"/>
    <x v="2"/>
  </r>
  <r>
    <x v="3"/>
    <x v="5"/>
    <n v="29691.295000000002"/>
    <x v="1"/>
    <x v="17"/>
    <n v="470308.70500000002"/>
    <n v="0"/>
    <n v="-0.38437053130971882"/>
    <n v="0"/>
    <x v="18"/>
    <x v="1"/>
    <x v="18"/>
    <m/>
    <n v="500434.43939999997"/>
    <n v="-1.444555970260275E-4"/>
    <n v="0.99985554440297397"/>
    <n v="1.0008688788"/>
    <x v="2"/>
  </r>
  <r>
    <x v="3"/>
    <x v="6"/>
    <n v="29585.537797299996"/>
    <x v="1"/>
    <x v="18"/>
    <n v="470414.46220269997"/>
    <n v="0"/>
    <n v="-0.38115191513744706"/>
    <n v="0"/>
    <x v="19"/>
    <x v="1"/>
    <x v="19"/>
    <m/>
    <n v="500328.68219729996"/>
    <n v="-2.1133078456148091E-4"/>
    <n v="0.99978866921543852"/>
    <n v="1.0006573643946"/>
    <x v="2"/>
  </r>
  <r>
    <x v="3"/>
    <x v="7"/>
    <n v="29095.26384"/>
    <x v="1"/>
    <x v="19"/>
    <n v="470904.73615999997"/>
    <n v="0"/>
    <n v="-0.3647200325737438"/>
    <n v="0"/>
    <x v="20"/>
    <x v="1"/>
    <x v="20"/>
    <m/>
    <n v="499838.40824000002"/>
    <n v="-9.7990376075740571E-4"/>
    <n v="0.99902009623924259"/>
    <n v="0.99967681648000006"/>
    <x v="2"/>
  </r>
  <r>
    <x v="3"/>
    <x v="8"/>
    <n v="28593.640221199999"/>
    <x v="1"/>
    <x v="20"/>
    <n v="471406.35977879999"/>
    <n v="0"/>
    <n v="-0.37014085981125416"/>
    <n v="0"/>
    <x v="21"/>
    <x v="1"/>
    <x v="21"/>
    <m/>
    <n v="499336.7846212"/>
    <n v="-1.0035715753943242E-3"/>
    <n v="0.99899642842460568"/>
    <n v="0.99867356924240003"/>
    <x v="2"/>
  </r>
  <r>
    <x v="3"/>
    <x v="9"/>
    <n v="28177.76642"/>
    <x v="1"/>
    <x v="21"/>
    <n v="471822.23358"/>
    <n v="0"/>
    <n v="-0.37522288534642012"/>
    <n v="0"/>
    <x v="22"/>
    <x v="1"/>
    <x v="22"/>
    <m/>
    <n v="498920.91081999999"/>
    <n v="-8.328523233381846E-4"/>
    <n v="0.99916714767666182"/>
    <n v="0.99784182164000002"/>
    <x v="2"/>
  </r>
  <r>
    <x v="3"/>
    <x v="10"/>
    <n v="28174.98936"/>
    <x v="1"/>
    <x v="22"/>
    <n v="471825.01063999999"/>
    <n v="0"/>
    <n v="-0.37522288534642012"/>
    <n v="0"/>
    <x v="22"/>
    <x v="1"/>
    <x v="23"/>
    <m/>
    <n v="498918.13376"/>
    <n v="-5.5661327071909739E-6"/>
    <n v="0.99999443386729281"/>
    <n v="0.99783626751999999"/>
    <x v="2"/>
  </r>
  <r>
    <x v="3"/>
    <x v="11"/>
    <n v="28158.598880000001"/>
    <x v="1"/>
    <x v="23"/>
    <n v="471841.40111999999"/>
    <n v="0"/>
    <n v="-0.37522288534642012"/>
    <n v="0"/>
    <x v="22"/>
    <x v="1"/>
    <x v="24"/>
    <m/>
    <n v="498901.74328"/>
    <n v="-3.2852043032494116E-5"/>
    <n v="0.99996714795696751"/>
    <n v="0.99780348656000006"/>
    <x v="2"/>
  </r>
  <r>
    <x v="3"/>
    <x v="12"/>
    <n v="24037.14172"/>
    <x v="16"/>
    <x v="24"/>
    <n v="-199305.14172000001"/>
    <n v="-25.093944420159584"/>
    <n v="-114.77483629810447"/>
    <n v="0"/>
    <x v="23"/>
    <x v="2"/>
    <x v="25"/>
    <m/>
    <n v="487012.28612000006"/>
    <n v="-2.3831260002888377E-2"/>
    <n v="0.97616873999711162"/>
    <n v="0.97402457224000016"/>
    <x v="2"/>
  </r>
  <r>
    <x v="3"/>
    <x v="13"/>
    <n v="23733.7221255"/>
    <x v="17"/>
    <x v="25"/>
    <n v="-209133.72212550003"/>
    <n v="-25.093944420159584"/>
    <n v="-116.49696535112103"/>
    <n v="0"/>
    <x v="24"/>
    <x v="2"/>
    <x v="26"/>
    <m/>
    <n v="476576.86652550008"/>
    <n v="-2.1427425738349215E-2"/>
    <n v="0.97857257426165078"/>
    <n v="0.95315373305100015"/>
    <x v="2"/>
  </r>
  <r>
    <x v="3"/>
    <x v="14"/>
    <n v="24100.215090000002"/>
    <x v="18"/>
    <x v="26"/>
    <n v="-240492.21509000001"/>
    <n v="-25.093944420159584"/>
    <n v="-121.76465421917173"/>
    <n v="0"/>
    <x v="25"/>
    <x v="2"/>
    <x v="27"/>
    <m/>
    <n v="445951.35949000006"/>
    <n v="-6.426142179073091E-2"/>
    <n v="0.93573857820926909"/>
    <n v="0.89190271898000006"/>
    <x v="2"/>
  </r>
  <r>
    <x v="3"/>
    <x v="15"/>
    <n v="22986.012203999999"/>
    <x v="19"/>
    <x v="27"/>
    <n v="-231034.01220400003"/>
    <n v="-25.093944420159584"/>
    <n v="-120.34643029315809"/>
    <n v="0"/>
    <x v="26"/>
    <x v="2"/>
    <x v="28"/>
    <m/>
    <n v="453181.15660400013"/>
    <n v="1.621207551036119E-2"/>
    <n v="1.0162120755103612"/>
    <n v="0.90636231320800031"/>
    <x v="2"/>
  </r>
  <r>
    <x v="3"/>
    <x v="16"/>
    <n v="22880.533080000001"/>
    <x v="20"/>
    <x v="28"/>
    <n v="-228246.53307999996"/>
    <n v="-25.093944420159584"/>
    <n v="-119.89057260265371"/>
    <n v="0"/>
    <x v="27"/>
    <x v="2"/>
    <x v="29"/>
    <m/>
    <n v="455757.67748000007"/>
    <n v="5.6854104334513877E-3"/>
    <n v="1.0056854104334514"/>
    <n v="0.91151535496000025"/>
    <x v="4"/>
  </r>
  <r>
    <x v="4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4"/>
    <x v="3"/>
    <n v="110314.90760000001"/>
    <x v="1"/>
    <x v="29"/>
    <n v="385911.78"/>
    <n v="0"/>
    <n v="0"/>
    <n v="0.16450657270035474"/>
    <x v="28"/>
    <x v="1"/>
    <x v="30"/>
    <m/>
    <n v="534520.31519999995"/>
    <n v="6.9040630399999969E-2"/>
    <n v="1.0690406304"/>
    <n v="1.0690406304"/>
    <x v="2"/>
  </r>
  <r>
    <x v="4"/>
    <x v="4"/>
    <n v="77196.933399999994"/>
    <x v="21"/>
    <x v="30"/>
    <n v="414029.73"/>
    <n v="0"/>
    <n v="-0.84700425586099348"/>
    <n v="0.16450657270035474"/>
    <x v="29"/>
    <x v="1"/>
    <x v="31"/>
    <m/>
    <n v="531402.34100000001"/>
    <n v="-5.8332192647033709E-3"/>
    <n v="0.99416678073529663"/>
    <n v="1.0628046820000001"/>
    <x v="2"/>
  </r>
  <r>
    <x v="4"/>
    <x v="5"/>
    <n v="74063.630600000004"/>
    <x v="21"/>
    <x v="31"/>
    <n v="417162.21"/>
    <n v="0"/>
    <n v="-0.84700425586099348"/>
    <n v="0.16450657270035474"/>
    <x v="29"/>
    <x v="1"/>
    <x v="32"/>
    <m/>
    <n v="528269.03819999995"/>
    <n v="-5.8962909235660277E-3"/>
    <n v="0.99410370907643397"/>
    <n v="1.0565380764000001"/>
    <x v="2"/>
  </r>
  <r>
    <x v="4"/>
    <x v="6"/>
    <n v="241871.57500000001"/>
    <x v="21"/>
    <x v="32"/>
    <n v="249356.25"/>
    <n v="0"/>
    <n v="-0.84700425586099348"/>
    <n v="0.16450657270035474"/>
    <x v="30"/>
    <x v="1"/>
    <x v="33"/>
    <m/>
    <n v="525076.98259999999"/>
    <n v="-6.0424809503817345E-3"/>
    <n v="0.99395751904961827"/>
    <n v="1.0501539652"/>
    <x v="2"/>
  </r>
  <r>
    <x v="4"/>
    <x v="7"/>
    <n v="231200.16784000001"/>
    <x v="21"/>
    <x v="33"/>
    <n v="260026.93599999999"/>
    <n v="0"/>
    <n v="-0.84700425586099348"/>
    <n v="0.16450657270035474"/>
    <x v="30"/>
    <x v="1"/>
    <x v="34"/>
    <m/>
    <n v="514405.57543999999"/>
    <n v="-2.0323509720724942E-2"/>
    <n v="0.97967649027927506"/>
    <n v="1.02881115088"/>
    <x v="2"/>
  </r>
  <r>
    <x v="4"/>
    <x v="8"/>
    <n v="230621.12711999999"/>
    <x v="21"/>
    <x v="34"/>
    <n v="260603.27600000001"/>
    <n v="0"/>
    <n v="-0.84700425586099348"/>
    <n v="0.16450657270035474"/>
    <x v="30"/>
    <x v="1"/>
    <x v="35"/>
    <m/>
    <n v="513826.53472"/>
    <n v="-1.1256501633069016E-3"/>
    <n v="0.9988743498366931"/>
    <n v="1.0276530694399999"/>
    <x v="2"/>
  </r>
  <r>
    <x v="4"/>
    <x v="9"/>
    <n v="229817.75372000001"/>
    <x v="21"/>
    <x v="35"/>
    <n v="261408.174"/>
    <n v="0"/>
    <n v="-0.84700425586099348"/>
    <n v="0.16450657270035474"/>
    <x v="30"/>
    <x v="1"/>
    <x v="36"/>
    <m/>
    <n v="513023.16131999996"/>
    <n v="-1.5635109238525402E-3"/>
    <n v="0.99843648907614746"/>
    <n v="1.0260463226399998"/>
    <x v="2"/>
  </r>
  <r>
    <x v="4"/>
    <x v="10"/>
    <n v="226702.14371999999"/>
    <x v="21"/>
    <x v="36"/>
    <n v="264523.54200000002"/>
    <n v="0"/>
    <n v="-0.84700425586099348"/>
    <n v="0.16450657270035474"/>
    <x v="30"/>
    <x v="1"/>
    <x v="37"/>
    <m/>
    <n v="509907.55131999997"/>
    <n v="-6.0730396498738237E-3"/>
    <n v="0.99392696035012618"/>
    <n v="1.01981510264"/>
    <x v="2"/>
  </r>
  <r>
    <x v="4"/>
    <x v="11"/>
    <n v="223582.97346000001"/>
    <x v="21"/>
    <x v="37"/>
    <n v="267642.70500000002"/>
    <n v="0"/>
    <n v="-0.84700425586099348"/>
    <n v="0.16450657270035474"/>
    <x v="30"/>
    <x v="1"/>
    <x v="38"/>
    <m/>
    <n v="506788.38105999999"/>
    <n v="-6.1171289813719554E-3"/>
    <n v="0.99388287101862804"/>
    <n v="1.01357676212"/>
    <x v="2"/>
  </r>
  <r>
    <x v="4"/>
    <x v="12"/>
    <n v="224427.4186"/>
    <x v="21"/>
    <x v="38"/>
    <n v="266799.39"/>
    <n v="0"/>
    <n v="-0.84700425586099348"/>
    <n v="0.16450657270035474"/>
    <x v="30"/>
    <x v="1"/>
    <x v="39"/>
    <m/>
    <n v="507632.82620000001"/>
    <n v="1.6662677590078001E-3"/>
    <n v="1.0016662677590078"/>
    <n v="1.0152656524000001"/>
    <x v="2"/>
  </r>
  <r>
    <x v="4"/>
    <x v="13"/>
    <n v="223962.47902"/>
    <x v="21"/>
    <x v="39"/>
    <n v="267264.21100000001"/>
    <n v="0"/>
    <n v="-0.84700425586099348"/>
    <n v="0.16450657270035474"/>
    <x v="30"/>
    <x v="1"/>
    <x v="40"/>
    <m/>
    <n v="507167.88662"/>
    <n v="-9.1589738882813521E-4"/>
    <n v="0.99908410261117186"/>
    <n v="1.01433577324"/>
    <x v="2"/>
  </r>
  <r>
    <x v="4"/>
    <x v="14"/>
    <n v="228934.53779999999"/>
    <x v="21"/>
    <x v="40"/>
    <n v="262294.11"/>
    <n v="0"/>
    <n v="-0.84700425586099348"/>
    <n v="0.16450657270035474"/>
    <x v="30"/>
    <x v="1"/>
    <x v="41"/>
    <m/>
    <n v="512139.94539999997"/>
    <n v="9.8035757215151342E-3"/>
    <n v="1.0098035757215151"/>
    <n v="1.0242798907999999"/>
    <x v="2"/>
  </r>
  <r>
    <x v="4"/>
    <x v="15"/>
    <n v="223614.05379999999"/>
    <x v="21"/>
    <x v="41"/>
    <n v="267616.53000000003"/>
    <n v="0"/>
    <n v="-0.84700425586099348"/>
    <n v="0.16450657270035474"/>
    <x v="30"/>
    <x v="1"/>
    <x v="42"/>
    <m/>
    <n v="506819.46139999997"/>
    <n v="-1.0388730751795805E-2"/>
    <n v="0.9896112692482042"/>
    <n v="1.0136389228"/>
    <x v="2"/>
  </r>
  <r>
    <x v="4"/>
    <x v="16"/>
    <n v="219782.6084"/>
    <x v="21"/>
    <x v="42"/>
    <n v="271449.5"/>
    <n v="0"/>
    <n v="-0.84700425586099348"/>
    <n v="0.16450657270035474"/>
    <x v="30"/>
    <x v="1"/>
    <x v="43"/>
    <m/>
    <n v="502988.01599999995"/>
    <n v="-7.5597834965064337E-3"/>
    <n v="0.99244021650349357"/>
    <n v="1.005976032"/>
    <x v="5"/>
  </r>
  <r>
    <x v="5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5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5"/>
    <x v="4"/>
    <n v="103176.51547499999"/>
    <x v="1"/>
    <x v="43"/>
    <n v="396823.48452499998"/>
    <n v="0"/>
    <n v="0"/>
    <n v="0"/>
    <x v="31"/>
    <x v="1"/>
    <x v="44"/>
    <m/>
    <n v="499330.98297500005"/>
    <n v="-1.3380340499998811E-3"/>
    <n v="0.99866196595000012"/>
    <n v="0.99866196595000012"/>
    <x v="2"/>
  </r>
  <r>
    <x v="5"/>
    <x v="5"/>
    <n v="155250.248475"/>
    <x v="1"/>
    <x v="44"/>
    <n v="341919.13197499997"/>
    <n v="0"/>
    <n v="0"/>
    <n v="0"/>
    <x v="32"/>
    <x v="1"/>
    <x v="45"/>
    <m/>
    <n v="520501.83642499999"/>
    <n v="4.2398437452978666E-2"/>
    <n v="1.0423984374529787"/>
    <n v="1.0410036728499998"/>
    <x v="2"/>
  </r>
  <r>
    <x v="5"/>
    <x v="6"/>
    <n v="158552.59875"/>
    <x v="1"/>
    <x v="45"/>
    <n v="373690.14500000002"/>
    <n v="0"/>
    <n v="0"/>
    <n v="0"/>
    <x v="33"/>
    <x v="1"/>
    <x v="46"/>
    <m/>
    <n v="540623.09920000006"/>
    <n v="3.8657428978926101E-2"/>
    <n v="1.0386574289789261"/>
    <n v="1.0812461983999999"/>
    <x v="2"/>
  </r>
  <r>
    <x v="5"/>
    <x v="7"/>
    <n v="153590.12151599998"/>
    <x v="1"/>
    <x v="46"/>
    <n v="377099.73836399999"/>
    <n v="0"/>
    <n v="0"/>
    <n v="0"/>
    <x v="33"/>
    <x v="1"/>
    <x v="47"/>
    <m/>
    <n v="535660.62196599995"/>
    <n v="-9.1791809142884873E-3"/>
    <n v="0.99082081908571151"/>
    <n v="1.0713212439319997"/>
    <x v="2"/>
  </r>
  <r>
    <x v="5"/>
    <x v="8"/>
    <n v="151144.72981799999"/>
    <x v="1"/>
    <x v="47"/>
    <n v="378006.93452200003"/>
    <n v="0"/>
    <n v="0"/>
    <n v="0"/>
    <x v="33"/>
    <x v="1"/>
    <x v="48"/>
    <m/>
    <n v="533215.23026799993"/>
    <n v="-4.5651884751670702E-3"/>
    <n v="0.99543481152483293"/>
    <n v="1.0664304605359998"/>
    <x v="2"/>
  </r>
  <r>
    <x v="5"/>
    <x v="9"/>
    <n v="149065.36934099998"/>
    <x v="1"/>
    <x v="48"/>
    <n v="378514.98944900004"/>
    <n v="0"/>
    <n v="0"/>
    <n v="0"/>
    <x v="33"/>
    <x v="1"/>
    <x v="49"/>
    <m/>
    <n v="531135.86979099992"/>
    <n v="-3.8996644487346854E-3"/>
    <n v="0.99610033555126531"/>
    <n v="1.0622717395819998"/>
    <x v="2"/>
  </r>
  <r>
    <x v="5"/>
    <x v="10"/>
    <n v="146734.624491"/>
    <x v="1"/>
    <x v="49"/>
    <n v="379287.86879899999"/>
    <n v="0"/>
    <n v="0"/>
    <n v="0"/>
    <x v="33"/>
    <x v="1"/>
    <x v="50"/>
    <m/>
    <n v="528805.12494100002"/>
    <n v="-4.3882271610031776E-3"/>
    <n v="0.99561177283899682"/>
    <n v="1.0576102498819999"/>
    <x v="2"/>
  </r>
  <r>
    <x v="5"/>
    <x v="11"/>
    <n v="144395.42567549998"/>
    <x v="1"/>
    <x v="50"/>
    <n v="380067.48066950002"/>
    <n v="0"/>
    <n v="0"/>
    <n v="0"/>
    <x v="33"/>
    <x v="1"/>
    <x v="51"/>
    <m/>
    <n v="526465.9261255"/>
    <n v="-4.42355549364426E-3"/>
    <n v="0.99557644450635574"/>
    <n v="1.0529318522509998"/>
    <x v="2"/>
  </r>
  <r>
    <x v="5"/>
    <x v="12"/>
    <n v="142711.64728500001"/>
    <x v="1"/>
    <x v="51"/>
    <n v="380184.764165"/>
    <n v="0"/>
    <n v="0"/>
    <n v="0"/>
    <x v="33"/>
    <x v="1"/>
    <x v="52"/>
    <m/>
    <n v="524782.14773500001"/>
    <n v="-3.1982666055744291E-3"/>
    <n v="0.99680173339442557"/>
    <n v="1.0495642954699997"/>
    <x v="2"/>
  </r>
  <r>
    <x v="5"/>
    <x v="13"/>
    <n v="141488.3419575"/>
    <x v="1"/>
    <x v="52"/>
    <n v="379849.57005749998"/>
    <n v="0"/>
    <n v="0"/>
    <n v="0"/>
    <x v="33"/>
    <x v="1"/>
    <x v="53"/>
    <m/>
    <n v="523558.84240750002"/>
    <n v="-2.3310726799298243E-3"/>
    <n v="0.99766892732007018"/>
    <n v="1.0471176848149999"/>
    <x v="2"/>
  </r>
  <r>
    <x v="5"/>
    <x v="14"/>
    <n v="136730.35441499998"/>
    <x v="1"/>
    <x v="53"/>
    <n v="383038.076435"/>
    <n v="0"/>
    <n v="0"/>
    <n v="0"/>
    <x v="33"/>
    <x v="1"/>
    <x v="54"/>
    <m/>
    <n v="518800.854865"/>
    <n v="-9.0877799343836996E-3"/>
    <n v="0.9909122200656163"/>
    <n v="1.0376017097299999"/>
    <x v="2"/>
  </r>
  <r>
    <x v="5"/>
    <x v="15"/>
    <n v="134277.63855"/>
    <x v="1"/>
    <x v="54"/>
    <n v="383923.0343"/>
    <n v="0"/>
    <n v="0"/>
    <n v="0"/>
    <x v="33"/>
    <x v="1"/>
    <x v="55"/>
    <m/>
    <n v="516348.13899999997"/>
    <n v="-4.7276634993946853E-3"/>
    <n v="0.99527233650060531"/>
    <n v="1.0326962779999997"/>
    <x v="2"/>
  </r>
  <r>
    <x v="5"/>
    <x v="16"/>
    <n v="129536.85047999999"/>
    <x v="1"/>
    <x v="55"/>
    <n v="387099.48082"/>
    <n v="0"/>
    <n v="0"/>
    <n v="0"/>
    <x v="33"/>
    <x v="1"/>
    <x v="56"/>
    <m/>
    <n v="511607.35092999996"/>
    <n v="-9.1813792128337957E-3"/>
    <n v="0.9908186207871662"/>
    <n v="1.0232147018599997"/>
    <x v="6"/>
  </r>
  <r>
    <x v="6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6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4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5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6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7"/>
    <n v="26503.816000000006"/>
    <x v="22"/>
    <x v="56"/>
    <n v="500000"/>
    <n v="0"/>
    <n v="0"/>
    <n v="0"/>
    <x v="34"/>
    <x v="1"/>
    <x v="2"/>
    <m/>
    <n v="500000"/>
    <n v="0"/>
    <n v="1"/>
    <n v="1"/>
    <x v="2"/>
  </r>
  <r>
    <x v="6"/>
    <x v="8"/>
    <n v="43222.706000000006"/>
    <x v="23"/>
    <x v="57"/>
    <n v="482520"/>
    <n v="0"/>
    <n v="0"/>
    <n v="0"/>
    <x v="35"/>
    <x v="1"/>
    <x v="57"/>
    <m/>
    <n v="500274.42"/>
    <n v="5.4883999999999489E-4"/>
    <n v="1.00054884"/>
    <n v="1.00054884"/>
    <x v="2"/>
  </r>
  <r>
    <x v="6"/>
    <x v="9"/>
    <n v="24952.544000000005"/>
    <x v="24"/>
    <x v="58"/>
    <n v="465159.087"/>
    <n v="0"/>
    <n v="-0.75044577069284024"/>
    <n v="0"/>
    <x v="36"/>
    <x v="1"/>
    <x v="58"/>
    <m/>
    <n v="517194.94185999996"/>
    <n v="3.3822480589753123E-2"/>
    <n v="1.0338224805897531"/>
    <n v="1.0343898837200001"/>
    <x v="2"/>
  </r>
  <r>
    <x v="6"/>
    <x v="10"/>
    <n v="24174.327000000005"/>
    <x v="25"/>
    <x v="59"/>
    <n v="466716.77100000001"/>
    <n v="0"/>
    <n v="-0.75044577069284024"/>
    <n v="0"/>
    <x v="36"/>
    <x v="1"/>
    <x v="59"/>
    <m/>
    <n v="517194.44185999996"/>
    <n v="-9.6675346084040825E-7"/>
    <n v="0.99999903324653916"/>
    <n v="1.0343888837200002"/>
    <x v="2"/>
  </r>
  <r>
    <x v="6"/>
    <x v="11"/>
    <n v="23394.555000000004"/>
    <x v="26"/>
    <x v="60"/>
    <n v="468276.35249999998"/>
    <n v="0"/>
    <n v="-0.75044577069284024"/>
    <n v="0"/>
    <x v="36"/>
    <x v="1"/>
    <x v="60"/>
    <m/>
    <n v="517194.42685999995"/>
    <n v="-2.9002631851682281E-8"/>
    <n v="0.99999997099736815"/>
    <n v="1.0343888537200001"/>
    <x v="2"/>
  </r>
  <r>
    <x v="6"/>
    <x v="12"/>
    <n v="22607.965000000004"/>
    <x v="27"/>
    <x v="61"/>
    <n v="469741.69500000001"/>
    <n v="0"/>
    <n v="-0.76772465751240448"/>
    <n v="0"/>
    <x v="37"/>
    <x v="1"/>
    <x v="61"/>
    <m/>
    <n v="517094.76185999997"/>
    <n v="-1.9270315924524439E-4"/>
    <n v="0.99980729684075476"/>
    <n v="1.0341895237200003"/>
    <x v="2"/>
  </r>
  <r>
    <x v="6"/>
    <x v="13"/>
    <n v="21829.066000000003"/>
    <x v="28"/>
    <x v="62"/>
    <n v="471232.10550000001"/>
    <n v="0"/>
    <n v="-0.77924391539211402"/>
    <n v="0"/>
    <x v="38"/>
    <x v="1"/>
    <x v="62"/>
    <m/>
    <n v="517026.51685999992"/>
    <n v="-1.3197774379802851E-4"/>
    <n v="0.99986802225620197"/>
    <n v="1.0340530337200002"/>
    <x v="2"/>
  </r>
  <r>
    <x v="6"/>
    <x v="14"/>
    <n v="21038.535"/>
    <x v="29"/>
    <x v="63"/>
    <n v="472595.05499999999"/>
    <n v="0"/>
    <n v="-0.81447929243593131"/>
    <n v="0"/>
    <x v="39"/>
    <x v="1"/>
    <x v="63"/>
    <m/>
    <n v="516822.56185999996"/>
    <n v="-3.9447686598093057E-4"/>
    <n v="0.99960552313401907"/>
    <n v="1.0336451237200004"/>
    <x v="2"/>
  </r>
  <r>
    <x v="6"/>
    <x v="15"/>
    <n v="20248.93"/>
    <x v="30"/>
    <x v="64"/>
    <n v="474220.26500000001"/>
    <n v="0"/>
    <n v="-0.80499284477028821"/>
    <n v="0"/>
    <x v="40"/>
    <x v="1"/>
    <x v="64"/>
    <m/>
    <n v="516882.56185999996"/>
    <n v="1.1609400290901739E-4"/>
    <n v="1.000116094002909"/>
    <n v="1.0337651237200005"/>
    <x v="2"/>
  </r>
  <r>
    <x v="6"/>
    <x v="16"/>
    <n v="19462.25"/>
    <x v="31"/>
    <x v="65"/>
    <n v="475803.75"/>
    <n v="0"/>
    <n v="-0.80194362944918862"/>
    <n v="0"/>
    <x v="41"/>
    <x v="1"/>
    <x v="65"/>
    <m/>
    <n v="516903.71185999992"/>
    <n v="4.0918385646238065E-5"/>
    <n v="1.0000409183856462"/>
    <n v="1.0338074237200006"/>
    <x v="7"/>
  </r>
  <r>
    <x v="7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7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4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5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6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7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8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9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0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1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2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3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4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5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6"/>
    <n v="0"/>
    <x v="1"/>
    <x v="1"/>
    <n v="500000"/>
    <n v="0"/>
    <n v="0"/>
    <n v="0"/>
    <x v="2"/>
    <x v="1"/>
    <x v="2"/>
    <m/>
    <n v="500000"/>
    <n v="0"/>
    <n v="1"/>
    <n v="1"/>
    <x v="8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">
  <r>
    <m/>
    <x v="0"/>
    <m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</r>
  <r>
    <d v="2021-12-3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1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56000000001"/>
    <n v="1"/>
    <n v="7.7961"/>
    <n v="3334.3456000000001"/>
    <n v="0"/>
    <n v="0"/>
    <n v="0"/>
    <n v="0"/>
    <n v="0"/>
    <n v="2"/>
    <n v="51989.783464320004"/>
    <n v="51989.783464320004"/>
    <n v="1"/>
    <n v="51989.783464320004"/>
    <n v="0"/>
    <n v="51989.783464320004"/>
    <n v="-51989.783464320004"/>
    <n v="0"/>
    <n v="0"/>
    <n v="0"/>
    <n v="447610.20799999998"/>
    <n v="447610.20799999998"/>
    <n v="0"/>
    <n v="499599.99146431999"/>
  </r>
  <r>
    <d v="2022-01-0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.16450657271"/>
    <n v="0"/>
    <n v="0"/>
    <n v="0"/>
  </r>
  <r>
    <d v="2022-01-01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30000"/>
    <n v="1"/>
    <n v="0"/>
    <n v="0"/>
    <n v="0"/>
    <n v="-10000"/>
    <n v="0"/>
    <n v="0"/>
    <n v="4.1126643175088691E-2"/>
    <n v="490000.16450657271"/>
    <n v="0"/>
    <n v="0"/>
    <n v="0"/>
  </r>
  <r>
    <d v="2022-01-01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4.29"/>
    <n v="0"/>
    <n v="7.7961"/>
    <n v="0"/>
    <n v="24.29"/>
    <n v="26.71"/>
    <n v="0"/>
    <n v="0"/>
    <n v="0"/>
    <n v="3"/>
    <n v="75746.907600000006"/>
    <n v="75746.907600000006"/>
    <n v="1"/>
    <n v="0"/>
    <n v="0"/>
    <n v="0"/>
    <n v="-79520.22"/>
    <n v="0"/>
    <n v="0"/>
    <n v="0"/>
    <n v="448805.57210657268"/>
    <n v="0"/>
    <n v="0"/>
    <n v="0"/>
  </r>
  <r>
    <d v="2022-01-01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30000"/>
    <n v="0"/>
    <n v="0"/>
    <n v="0"/>
    <n v="0"/>
    <n v="-20000"/>
    <n v="0"/>
    <n v="0"/>
    <n v="0.12337992952526605"/>
    <n v="428805.57210657268"/>
    <n v="0"/>
    <n v="0"/>
    <n v="0"/>
  </r>
  <r>
    <d v="2022-01-01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1"/>
    <n v="1"/>
    <n v="456.8"/>
    <n v="0"/>
    <n v="0"/>
    <n v="0"/>
    <n v="0"/>
    <n v="0"/>
    <n v="4"/>
    <n v="4568"/>
    <n v="4568"/>
    <n v="1"/>
    <n v="110314.90760000001"/>
    <n v="0"/>
    <n v="110314.90760000001"/>
    <n v="-4568"/>
    <n v="0"/>
    <n v="0"/>
    <n v="0"/>
    <n v="424205.57210657268"/>
    <n v="424205.57210657268"/>
    <n v="0"/>
    <n v="534520.31519999995"/>
  </r>
  <r>
    <d v="2022-01-0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2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0923968739"/>
    <n v="0"/>
    <n v="0"/>
    <n v="0"/>
  </r>
  <r>
    <d v="2022-01-02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"/>
    <n v="0"/>
    <n v="7.7961499999999999"/>
    <n v="3334.34"/>
    <n v="0"/>
    <n v="0"/>
    <n v="0"/>
    <n v="0"/>
    <n v="0"/>
    <n v="2"/>
    <n v="51990.029582000003"/>
    <n v="51990.029582000003"/>
    <n v="1"/>
    <n v="0"/>
    <n v="0"/>
    <n v="0"/>
    <n v="-51990.029582000003"/>
    <n v="0"/>
    <n v="0"/>
    <n v="0"/>
    <n v="447603.81723968737"/>
    <n v="0"/>
    <n v="0"/>
    <n v="0"/>
  </r>
  <r>
    <d v="2022-01-02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0"/>
    <n v="1"/>
    <n v="456.8"/>
    <n v="0"/>
    <n v="0"/>
    <n v="0"/>
    <n v="0"/>
    <n v="0"/>
    <n v="3"/>
    <n v="4568"/>
    <n v="4568"/>
    <n v="1"/>
    <n v="0"/>
    <n v="0"/>
    <n v="0"/>
    <n v="-4568"/>
    <n v="0"/>
    <n v="0"/>
    <n v="0"/>
    <n v="443003.81723968737"/>
    <n v="0"/>
    <n v="0"/>
    <n v="0"/>
  </r>
  <r>
    <d v="2022-01-02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0"/>
    <n v="0"/>
    <n v="1.2268509999999999"/>
    <n v="2050"/>
    <n v="0"/>
    <n v="0"/>
    <n v="0"/>
    <n v="0"/>
    <n v="0"/>
    <n v="4"/>
    <n v="-37725.668249999995"/>
    <n v="-37725.668249999995"/>
    <n v="1"/>
    <n v="0"/>
    <n v="0"/>
    <n v="0"/>
    <n v="-37725.668249999995"/>
    <n v="0"/>
    <n v="-6.3907603125899906"/>
    <n v="0"/>
    <n v="480729.48548968736"/>
    <n v="0"/>
    <n v="0"/>
    <n v="0"/>
  </r>
  <r>
    <d v="2022-01-02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"/>
    <n v="1"/>
    <n v="8.8663299999999996"/>
    <n v="727"/>
    <n v="0"/>
    <n v="0"/>
    <n v="0"/>
    <n v="0"/>
    <n v="0"/>
    <n v="5"/>
    <n v="64458.219099999995"/>
    <n v="64458.219099999995"/>
    <n v="1"/>
    <n v="121016.248682"/>
    <n v="-37725.668249999995"/>
    <n v="83290.580432000017"/>
    <n v="-64458.219099999995"/>
    <n v="0"/>
    <n v="0"/>
    <n v="0"/>
    <n v="416005.27648968733"/>
    <n v="416005.27648968733"/>
    <n v="0"/>
    <n v="499302.24768199993"/>
  </r>
  <r>
    <d v="2022-01-02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308845592"/>
    <n v="0"/>
    <n v="0"/>
    <n v="0"/>
  </r>
  <r>
    <d v="2022-01-02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0"/>
    <n v="0"/>
    <n v="1.2268509999999999"/>
    <n v="2050"/>
    <n v="0"/>
    <n v="0"/>
    <n v="0"/>
    <n v="0"/>
    <n v="0"/>
    <n v="2"/>
    <n v="50300.890999999996"/>
    <n v="50300.890999999996"/>
    <n v="1"/>
    <n v="0"/>
    <n v="0"/>
    <n v="0"/>
    <n v="-50300.890999999996"/>
    <n v="0"/>
    <n v="0"/>
    <n v="0"/>
    <n v="450189.46248845593"/>
    <n v="0"/>
    <n v="0"/>
    <n v="0"/>
  </r>
  <r>
    <d v="2022-01-02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6.8"/>
    <n v="1"/>
    <n v="1"/>
    <n v="456.8"/>
    <n v="0"/>
    <n v="0"/>
    <n v="0"/>
    <n v="0"/>
    <n v="0"/>
    <n v="3"/>
    <n v="-2284"/>
    <n v="-2284"/>
    <n v="1"/>
    <n v="50300.890999999996"/>
    <n v="-2284"/>
    <n v="48016.890999999996"/>
    <n v="-2284"/>
    <n v="0"/>
    <n v="-0.38691154407730183"/>
    <n v="0"/>
    <n v="452489.46248845593"/>
    <n v="452489.46248845593"/>
    <n v="0"/>
    <n v="500506.74040000001"/>
  </r>
  <r>
    <d v="2022-01-02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2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2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3.29"/>
    <n v="0"/>
    <n v="7.7961499999999999"/>
    <n v="0"/>
    <n v="23.29"/>
    <n v="25.71"/>
    <n v="0"/>
    <n v="0"/>
    <n v="0"/>
    <n v="3"/>
    <n v="72628.933399999994"/>
    <n v="72628.933399999994"/>
    <n v="1"/>
    <n v="0"/>
    <n v="0"/>
    <n v="0"/>
    <n v="-76402.27"/>
    <n v="0"/>
    <n v="0"/>
    <n v="0"/>
    <n v="448804.72510231682"/>
    <n v="0"/>
    <n v="0"/>
    <n v="0"/>
  </r>
  <r>
    <d v="2022-01-02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2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0"/>
    <n v="1"/>
    <n v="456.8"/>
    <n v="0"/>
    <n v="0"/>
    <n v="0"/>
    <n v="0"/>
    <n v="0"/>
    <n v="4"/>
    <n v="4568"/>
    <n v="4568"/>
    <n v="1"/>
    <n v="0"/>
    <n v="0"/>
    <n v="0"/>
    <n v="-4568"/>
    <n v="0"/>
    <n v="0"/>
    <n v="0"/>
    <n v="424204.72510231682"/>
    <n v="0"/>
    <n v="0"/>
    <n v="0"/>
  </r>
  <r>
    <d v="2022-01-02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1"/>
    <n v="1"/>
    <n v="0"/>
    <n v="0"/>
    <n v="0"/>
    <n v="0"/>
    <n v="0"/>
    <n v="1"/>
    <n v="4"/>
    <n v="-35000"/>
    <n v="-5000"/>
    <n v="0"/>
    <n v="77196.933399999994"/>
    <n v="-5000"/>
    <n v="72196.933399999994"/>
    <n v="25000"/>
    <n v="0"/>
    <n v="-0.84700425586099348"/>
    <n v="0"/>
    <n v="459204.72510231682"/>
    <n v="459204.72510231682"/>
    <n v="0"/>
    <n v="531402.34100000001"/>
  </r>
  <r>
    <d v="2022-01-02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2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2.55"/>
    <n v="0"/>
    <n v="7.7961499999999999"/>
    <n v="382.55"/>
    <n v="0"/>
    <n v="0"/>
    <n v="0"/>
    <n v="0"/>
    <n v="0"/>
    <n v="2"/>
    <n v="89472.515474999993"/>
    <n v="89472.515474999993"/>
    <n v="1"/>
    <n v="0"/>
    <n v="0"/>
    <n v="0"/>
    <n v="-89472.515475000007"/>
    <n v="0"/>
    <n v="0"/>
    <n v="0"/>
    <n v="409954.46750000003"/>
    <n v="0"/>
    <n v="0"/>
    <n v="0"/>
  </r>
  <r>
    <d v="2022-01-02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6.8"/>
    <n v="1"/>
    <n v="1"/>
    <n v="456.8"/>
    <n v="0"/>
    <n v="0"/>
    <n v="0"/>
    <n v="0"/>
    <n v="0"/>
    <n v="3"/>
    <n v="13704"/>
    <n v="13704"/>
    <n v="1"/>
    <n v="103176.51547499999"/>
    <n v="0"/>
    <n v="103176.51547499999"/>
    <n v="-13704"/>
    <n v="0"/>
    <n v="0"/>
    <n v="0"/>
    <n v="396154.46750000003"/>
    <n v="396154.46750000003"/>
    <n v="0"/>
    <n v="499330.98297500005"/>
  </r>
  <r>
    <d v="2022-01-02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2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3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0851562582"/>
    <n v="0"/>
    <n v="0"/>
    <n v="0"/>
  </r>
  <r>
    <d v="2022-01-03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"/>
    <n v="0"/>
    <n v="7.7978500000000004"/>
    <n v="3334.34"/>
    <n v="0"/>
    <n v="0"/>
    <n v="0"/>
    <n v="0"/>
    <n v="0"/>
    <n v="2"/>
    <n v="52001.366338000007"/>
    <n v="52001.366338000007"/>
    <n v="1"/>
    <n v="0"/>
    <n v="0"/>
    <n v="0"/>
    <n v="-52001.366338000007"/>
    <n v="0"/>
    <n v="0"/>
    <n v="0"/>
    <n v="447603.8165156258"/>
    <n v="0"/>
    <n v="0"/>
    <n v="0"/>
  </r>
  <r>
    <d v="2022-01-03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8"/>
    <n v="0"/>
    <n v="1"/>
    <n v="453.8"/>
    <n v="0"/>
    <n v="0"/>
    <n v="0"/>
    <n v="0"/>
    <n v="0"/>
    <n v="3"/>
    <n v="4538"/>
    <n v="4538"/>
    <n v="1"/>
    <n v="0"/>
    <n v="0"/>
    <n v="0"/>
    <n v="-4538"/>
    <n v="0"/>
    <n v="0"/>
    <n v="0"/>
    <n v="443003.8165156258"/>
    <n v="0"/>
    <n v="0"/>
    <n v="0"/>
  </r>
  <r>
    <d v="2022-01-03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0"/>
    <n v="0"/>
    <n v="1.22699"/>
    <n v="2050"/>
    <n v="0"/>
    <n v="0"/>
    <n v="0"/>
    <n v="0"/>
    <n v="0"/>
    <n v="4"/>
    <n v="-37729.942499999997"/>
    <n v="-37729.942499999997"/>
    <n v="1"/>
    <n v="0"/>
    <n v="0"/>
    <n v="0"/>
    <n v="-37729.942499999997"/>
    <n v="0"/>
    <n v="-6.3914843741781135"/>
    <n v="0"/>
    <n v="480729.48476562579"/>
    <n v="0"/>
    <n v="0"/>
    <n v="0"/>
  </r>
  <r>
    <d v="2022-01-03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"/>
    <n v="1"/>
    <n v="8.8110999999999997"/>
    <n v="727"/>
    <n v="0"/>
    <n v="0"/>
    <n v="0"/>
    <n v="0"/>
    <n v="0"/>
    <n v="5"/>
    <n v="64056.697"/>
    <n v="64056.697"/>
    <n v="1"/>
    <n v="120596.06333800001"/>
    <n v="-37729.942499999997"/>
    <n v="82866.120838000003"/>
    <n v="-64056.696999999993"/>
    <n v="0"/>
    <n v="0"/>
    <n v="0"/>
    <n v="416005.27576562576"/>
    <n v="416005.27576562576"/>
    <n v="0"/>
    <n v="498877.78808799991"/>
  </r>
  <r>
    <d v="2022-01-03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56294687"/>
    <n v="0"/>
    <n v="0"/>
    <n v="0"/>
  </r>
  <r>
    <d v="2022-01-03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0"/>
    <n v="0"/>
    <n v="1.22699"/>
    <n v="2050"/>
    <n v="0"/>
    <n v="0"/>
    <n v="0"/>
    <n v="0"/>
    <n v="0"/>
    <n v="2"/>
    <n v="50306.590000000004"/>
    <n v="25153.295000000002"/>
    <n v="1"/>
    <n v="0"/>
    <n v="0"/>
    <n v="0"/>
    <n v="-50306.59"/>
    <n v="0"/>
    <n v="0"/>
    <n v="0"/>
    <n v="450189.4650294687"/>
    <n v="0"/>
    <n v="0"/>
    <n v="0"/>
  </r>
  <r>
    <d v="2022-01-03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3.8"/>
    <n v="0"/>
    <n v="1"/>
    <n v="453.8"/>
    <n v="0"/>
    <n v="0"/>
    <n v="0"/>
    <n v="0"/>
    <n v="0"/>
    <n v="3"/>
    <n v="-2269"/>
    <n v="4538"/>
    <n v="1"/>
    <n v="0"/>
    <n v="0"/>
    <n v="0"/>
    <n v="-2269"/>
    <n v="0"/>
    <n v="-0.38437053130971882"/>
    <n v="0"/>
    <n v="452489.4650294687"/>
    <n v="0"/>
    <n v="0"/>
    <n v="0"/>
  </r>
  <r>
    <d v="2022-01-03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50"/>
    <n v="0"/>
    <n v="1.22699"/>
    <n v="2050"/>
    <n v="0"/>
    <n v="0"/>
    <n v="0"/>
    <n v="0"/>
    <n v="0"/>
    <n v="3"/>
    <n v="-25153.295000000002"/>
    <n v="25153.295000000002"/>
    <n v="0"/>
    <n v="0"/>
    <n v="0"/>
    <n v="0"/>
    <n v="25153.294999999998"/>
    <n v="0"/>
    <n v="0"/>
    <n v="0"/>
    <n v="477642.76002946869"/>
    <n v="0"/>
    <n v="0"/>
    <n v="0"/>
  </r>
  <r>
    <d v="2022-01-03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3.8"/>
    <n v="1"/>
    <n v="1"/>
    <n v="453.8"/>
    <n v="0"/>
    <n v="0"/>
    <n v="0"/>
    <n v="0"/>
    <n v="0"/>
    <n v="3"/>
    <n v="6807"/>
    <n v="4538"/>
    <n v="0"/>
    <n v="29691.295000000002"/>
    <n v="0"/>
    <n v="29691.295000000002"/>
    <n v="-2269"/>
    <n v="0"/>
    <n v="0"/>
    <n v="0"/>
    <n v="470742.76002946869"/>
    <n v="470742.76002946869"/>
    <n v="0"/>
    <n v="500434.43939999997"/>
  </r>
  <r>
    <d v="2022-01-03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3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3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2.29"/>
    <n v="0"/>
    <n v="7.7978500000000004"/>
    <n v="0"/>
    <n v="22.29"/>
    <n v="24.71"/>
    <n v="0"/>
    <n v="0"/>
    <n v="0"/>
    <n v="3"/>
    <n v="69525.630600000004"/>
    <n v="69525.630600000004"/>
    <n v="1"/>
    <n v="0"/>
    <n v="0"/>
    <n v="0"/>
    <n v="-73299.789999999994"/>
    <n v="0"/>
    <n v="0"/>
    <n v="0"/>
    <n v="448804.72510231682"/>
    <n v="0"/>
    <n v="0"/>
    <n v="0"/>
  </r>
  <r>
    <d v="2022-01-03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3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8"/>
    <n v="0"/>
    <n v="1"/>
    <n v="453.8"/>
    <n v="0"/>
    <n v="0"/>
    <n v="0"/>
    <n v="0"/>
    <n v="0"/>
    <n v="4"/>
    <n v="4538"/>
    <n v="4538"/>
    <n v="1"/>
    <n v="0"/>
    <n v="0"/>
    <n v="0"/>
    <n v="-4538"/>
    <n v="0"/>
    <n v="0"/>
    <n v="0"/>
    <n v="424204.72510231682"/>
    <n v="0"/>
    <n v="0"/>
    <n v="0"/>
  </r>
  <r>
    <d v="2022-01-03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1"/>
    <n v="1"/>
    <n v="0"/>
    <n v="0"/>
    <n v="0"/>
    <n v="0"/>
    <n v="0"/>
    <n v="1"/>
    <n v="4"/>
    <n v="-35000"/>
    <n v="-5000"/>
    <n v="0"/>
    <n v="74063.630600000004"/>
    <n v="-5000"/>
    <n v="69063.630600000004"/>
    <n v="25000"/>
    <n v="0"/>
    <n v="-0.84700425586099348"/>
    <n v="0"/>
    <n v="459204.72510231682"/>
    <n v="459204.72510231682"/>
    <n v="0"/>
    <n v="528269.03819999995"/>
  </r>
  <r>
    <d v="2022-01-03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3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2.55"/>
    <n v="0"/>
    <n v="7.7978500000000004"/>
    <n v="382.55"/>
    <n v="0"/>
    <n v="0"/>
    <n v="0"/>
    <n v="0"/>
    <n v="0"/>
    <n v="2"/>
    <n v="89492.025525000005"/>
    <n v="89492.025525000005"/>
    <n v="1"/>
    <n v="0"/>
    <n v="0"/>
    <n v="0"/>
    <n v="-89492.025525000005"/>
    <n v="0"/>
    <n v="0"/>
    <n v="0"/>
    <n v="409954.46750000003"/>
    <n v="0"/>
    <n v="0"/>
    <n v="0"/>
  </r>
  <r>
    <d v="2022-01-03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3.8"/>
    <n v="0"/>
    <n v="1"/>
    <n v="453.8"/>
    <n v="0"/>
    <n v="0"/>
    <n v="0"/>
    <n v="0"/>
    <n v="0"/>
    <n v="3"/>
    <n v="13614"/>
    <n v="13614"/>
    <n v="1"/>
    <n v="0"/>
    <n v="0"/>
    <n v="0"/>
    <n v="-13614"/>
    <n v="0"/>
    <n v="0"/>
    <n v="0"/>
    <n v="396154.46750000003"/>
    <n v="0"/>
    <n v="0"/>
    <n v="0"/>
  </r>
  <r>
    <d v="2022-01-03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2.29"/>
    <n v="1"/>
    <n v="7.7978500000000004"/>
    <n v="0"/>
    <n v="22.29"/>
    <n v="24.71"/>
    <n v="0"/>
    <n v="0"/>
    <n v="0"/>
    <n v="4"/>
    <n v="52144.222950000003"/>
    <n v="52144.222950000003"/>
    <n v="1"/>
    <n v="155250.248475"/>
    <n v="0"/>
    <n v="155250.248475"/>
    <n v="-54974.842500000006"/>
    <n v="0"/>
    <n v="0"/>
    <n v="0"/>
    <n v="365251.58795000002"/>
    <n v="365251.58795000002"/>
    <n v="0"/>
    <n v="520501.83642499999"/>
  </r>
  <r>
    <d v="2022-01-03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3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4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2573281751"/>
    <n v="0"/>
    <n v="0"/>
    <n v="0"/>
  </r>
  <r>
    <d v="2022-01-04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50.44"/>
    <n v="0"/>
    <n v="7.7937500000000002"/>
    <n v="3350.44"/>
    <n v="0"/>
    <n v="0"/>
    <n v="0"/>
    <n v="0"/>
    <n v="0"/>
    <n v="2"/>
    <n v="52224.983500000002"/>
    <n v="52224.983500000002"/>
    <n v="1"/>
    <n v="0"/>
    <n v="0"/>
    <n v="0"/>
    <n v="-52224.983500000002"/>
    <n v="0"/>
    <n v="0"/>
    <n v="0"/>
    <n v="447603.8337328175"/>
    <n v="0"/>
    <n v="0"/>
    <n v="0"/>
  </r>
  <r>
    <d v="2022-01-04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0"/>
    <n v="0"/>
    <n v="1"/>
    <n v="450"/>
    <n v="0"/>
    <n v="0"/>
    <n v="0"/>
    <n v="0"/>
    <n v="0"/>
    <n v="3"/>
    <n v="4500"/>
    <n v="4500"/>
    <n v="1"/>
    <n v="0"/>
    <n v="0"/>
    <n v="0"/>
    <n v="-4500"/>
    <n v="0"/>
    <n v="0"/>
    <n v="0"/>
    <n v="443003.8337328175"/>
    <n v="0"/>
    <n v="0"/>
    <n v="0"/>
  </r>
  <r>
    <d v="2022-01-04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1.23"/>
    <n v="0"/>
    <n v="1.2229509999999999"/>
    <n v="2051.23"/>
    <n v="0"/>
    <n v="0"/>
    <n v="0"/>
    <n v="0"/>
    <n v="0"/>
    <n v="4"/>
    <n v="-37628.306695949999"/>
    <n v="-37628.306695949999"/>
    <n v="1"/>
    <n v="0"/>
    <n v="0"/>
    <n v="0"/>
    <n v="-37628.306695949999"/>
    <n v="0"/>
    <n v="-6.3742671824624741"/>
    <n v="0"/>
    <n v="480729.50198281748"/>
    <n v="0"/>
    <n v="0"/>
    <n v="0"/>
  </r>
  <r>
    <d v="2022-01-04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44"/>
    <n v="0"/>
    <n v="8.7949999999999999"/>
    <n v="744"/>
    <n v="0"/>
    <n v="0"/>
    <n v="0"/>
    <n v="0"/>
    <n v="0"/>
    <n v="5"/>
    <n v="65434.8"/>
    <n v="32717.4"/>
    <n v="1"/>
    <n v="0"/>
    <n v="0"/>
    <n v="0"/>
    <n v="-65434.8"/>
    <n v="0"/>
    <n v="0"/>
    <n v="0"/>
    <n v="416005.29298281745"/>
    <n v="0"/>
    <n v="0"/>
    <n v="0"/>
  </r>
  <r>
    <d v="2022-01-04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44"/>
    <n v="1"/>
    <n v="8.7949999999999999"/>
    <n v="744"/>
    <n v="0"/>
    <n v="0"/>
    <n v="0"/>
    <n v="0"/>
    <n v="0"/>
    <n v="5"/>
    <n v="-32717.4"/>
    <n v="32717.4"/>
    <n v="0"/>
    <n v="89442.383499999996"/>
    <n v="-37628.306695949999"/>
    <n v="51814.076804049997"/>
    <n v="32717.4"/>
    <n v="0"/>
    <n v="0"/>
    <n v="0"/>
    <n v="448546.79298281745"/>
    <n v="448546.79298281745"/>
    <n v="0"/>
    <n v="500367.24405404995"/>
  </r>
  <r>
    <d v="2022-01-04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884808488"/>
    <n v="0"/>
    <n v="0"/>
    <n v="0"/>
  </r>
  <r>
    <d v="2022-01-04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1.23"/>
    <n v="0"/>
    <n v="1.2229509999999999"/>
    <n v="2051.23"/>
    <n v="0"/>
    <n v="0"/>
    <n v="0"/>
    <n v="0"/>
    <n v="0"/>
    <n v="2"/>
    <n v="50171.075594599992"/>
    <n v="25085.537797299996"/>
    <n v="1"/>
    <n v="0"/>
    <n v="0"/>
    <n v="0"/>
    <n v="-50171.075594599999"/>
    <n v="0"/>
    <n v="0"/>
    <n v="0"/>
    <n v="450189.46824808489"/>
    <n v="0"/>
    <n v="0"/>
    <n v="0"/>
  </r>
  <r>
    <d v="2022-01-04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0"/>
    <n v="0"/>
    <n v="1"/>
    <n v="450"/>
    <n v="0"/>
    <n v="0"/>
    <n v="0"/>
    <n v="0"/>
    <n v="0"/>
    <n v="3"/>
    <n v="-2250"/>
    <n v="4500"/>
    <n v="1"/>
    <n v="0"/>
    <n v="0"/>
    <n v="0"/>
    <n v="-2250"/>
    <n v="0"/>
    <n v="-0.38115191513744706"/>
    <n v="0"/>
    <n v="452489.46824808489"/>
    <n v="0"/>
    <n v="0"/>
    <n v="0"/>
  </r>
  <r>
    <d v="2022-01-04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51.23"/>
    <n v="0"/>
    <n v="1.2229509999999999"/>
    <n v="2051.23"/>
    <n v="0"/>
    <n v="0"/>
    <n v="0"/>
    <n v="0"/>
    <n v="0"/>
    <n v="3"/>
    <n v="-25085.537797299996"/>
    <n v="25085.537797299996"/>
    <n v="0"/>
    <n v="0"/>
    <n v="0"/>
    <n v="0"/>
    <n v="25085.5377973"/>
    <n v="0"/>
    <n v="0"/>
    <n v="0"/>
    <n v="477642.76324808487"/>
    <n v="0"/>
    <n v="0"/>
    <n v="0"/>
  </r>
  <r>
    <d v="2022-01-04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0"/>
    <n v="1"/>
    <n v="1"/>
    <n v="450"/>
    <n v="0"/>
    <n v="0"/>
    <n v="0"/>
    <n v="0"/>
    <n v="0"/>
    <n v="3"/>
    <n v="6750"/>
    <n v="4500"/>
    <n v="0"/>
    <n v="29585.537797299996"/>
    <n v="0"/>
    <n v="29585.537797299996"/>
    <n v="-2250"/>
    <n v="0"/>
    <n v="0"/>
    <n v="0"/>
    <n v="470742.76324808487"/>
    <n v="470742.76324808487"/>
    <n v="0"/>
    <n v="500328.68219729996"/>
  </r>
  <r>
    <d v="2022-01-04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4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4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1.29"/>
    <n v="0"/>
    <n v="7.7937500000000002"/>
    <n v="0"/>
    <n v="21.29"/>
    <n v="23.71"/>
    <n v="0"/>
    <n v="0"/>
    <n v="0"/>
    <n v="3"/>
    <n v="66371.574999999997"/>
    <n v="66371.574999999997"/>
    <n v="1"/>
    <n v="0"/>
    <n v="0"/>
    <n v="0"/>
    <n v="-70143.75"/>
    <n v="0"/>
    <n v="0"/>
    <n v="0"/>
    <n v="448804.72510231682"/>
    <n v="0"/>
    <n v="0"/>
    <n v="0"/>
  </r>
  <r>
    <d v="2022-01-04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4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0"/>
    <n v="0"/>
    <n v="1"/>
    <n v="450"/>
    <n v="0"/>
    <n v="0"/>
    <n v="0"/>
    <n v="0"/>
    <n v="0"/>
    <n v="4"/>
    <n v="4500"/>
    <n v="175500"/>
    <n v="1"/>
    <n v="0"/>
    <n v="0"/>
    <n v="0"/>
    <n v="-4500"/>
    <n v="0"/>
    <n v="0"/>
    <n v="0"/>
    <n v="424204.72510231682"/>
    <n v="0"/>
    <n v="0"/>
    <n v="0"/>
  </r>
  <r>
    <d v="2022-01-04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4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50"/>
    <n v="1"/>
    <n v="1"/>
    <n v="450"/>
    <n v="0"/>
    <n v="0"/>
    <n v="0"/>
    <n v="0"/>
    <n v="0"/>
    <n v="4"/>
    <n v="171000"/>
    <n v="175500"/>
    <n v="0"/>
    <n v="241871.57500000001"/>
    <n v="-5000"/>
    <n v="236871.57500000001"/>
    <n v="-171000"/>
    <n v="0"/>
    <n v="0"/>
    <n v="0"/>
    <n v="288204.72510231682"/>
    <n v="288204.72510231682"/>
    <n v="0"/>
    <n v="525076.98259999999"/>
  </r>
  <r>
    <d v="2022-01-04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4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407.48"/>
    <n v="0"/>
    <n v="7.7937500000000002"/>
    <n v="407.48"/>
    <n v="0"/>
    <n v="0"/>
    <n v="0"/>
    <n v="0"/>
    <n v="0"/>
    <n v="2"/>
    <n v="95273.91750000001"/>
    <n v="95273.91750000001"/>
    <n v="1"/>
    <n v="0"/>
    <n v="0"/>
    <n v="0"/>
    <n v="-95273.91750000001"/>
    <n v="0"/>
    <n v="0"/>
    <n v="0"/>
    <n v="409954.46750000003"/>
    <n v="0"/>
    <n v="0"/>
    <n v="0"/>
  </r>
  <r>
    <d v="2022-01-04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0"/>
    <n v="0"/>
    <n v="1"/>
    <n v="450"/>
    <n v="0"/>
    <n v="0"/>
    <n v="0"/>
    <n v="0"/>
    <n v="0"/>
    <n v="3"/>
    <n v="13500"/>
    <n v="13500"/>
    <n v="1"/>
    <n v="0"/>
    <n v="0"/>
    <n v="0"/>
    <n v="-13500"/>
    <n v="0"/>
    <n v="0"/>
    <n v="0"/>
    <n v="396154.46750000003"/>
    <n v="0"/>
    <n v="0"/>
    <n v="0"/>
  </r>
  <r>
    <d v="2022-01-04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1.29"/>
    <n v="0"/>
    <n v="7.7937500000000002"/>
    <n v="0"/>
    <n v="21.29"/>
    <n v="23.71"/>
    <n v="0"/>
    <n v="0"/>
    <n v="0"/>
    <n v="4"/>
    <n v="49778.681250000001"/>
    <n v="49778.681250000001"/>
    <n v="1"/>
    <n v="0"/>
    <n v="0"/>
    <n v="0"/>
    <n v="-52607.8125"/>
    <n v="0"/>
    <n v="0"/>
    <n v="0"/>
    <n v="365251.58795000002"/>
    <n v="0"/>
    <n v="0"/>
    <n v="0"/>
  </r>
  <r>
    <d v="2022-01-04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37500000000002"/>
    <n v="0"/>
    <n v="21.29"/>
    <n v="23.71"/>
    <n v="0"/>
    <n v="0"/>
    <n v="0"/>
    <n v="4"/>
    <n v="0"/>
    <n v="49778.681250000001"/>
    <n v="0"/>
    <n v="158552.59875"/>
    <n v="0"/>
    <n v="158552.59875"/>
    <n v="35071.875"/>
    <n v="0"/>
    <n v="0"/>
    <n v="0"/>
    <n v="382070.50044999999"/>
    <n v="382070.50044999999"/>
    <n v="0"/>
    <n v="540623.09920000006"/>
  </r>
  <r>
    <d v="2022-01-04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4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5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70101640833"/>
    <n v="0"/>
    <n v="0"/>
    <n v="0"/>
  </r>
  <r>
    <d v="2022-01-05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87.14"/>
    <n v="0"/>
    <n v="7.7952399999999997"/>
    <n v="3287.14"/>
    <n v="0"/>
    <n v="0"/>
    <n v="0"/>
    <n v="0"/>
    <n v="0"/>
    <n v="2"/>
    <n v="51248.090427199997"/>
    <n v="51248.090427199997"/>
    <n v="1"/>
    <n v="0"/>
    <n v="0"/>
    <n v="0"/>
    <n v="-51248.090427199997"/>
    <n v="0"/>
    <n v="0"/>
    <n v="0"/>
    <n v="447603.90901640832"/>
    <n v="0"/>
    <n v="0"/>
    <n v="0"/>
  </r>
  <r>
    <d v="2022-01-05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0.6"/>
    <n v="0"/>
    <n v="1"/>
    <n v="430.6"/>
    <n v="0"/>
    <n v="0"/>
    <n v="0"/>
    <n v="0"/>
    <n v="0"/>
    <n v="3"/>
    <n v="4306"/>
    <n v="4306"/>
    <n v="1"/>
    <n v="0"/>
    <n v="0"/>
    <n v="0"/>
    <n v="-4306"/>
    <n v="0"/>
    <n v="0"/>
    <n v="0"/>
    <n v="443003.90901640832"/>
    <n v="0"/>
    <n v="0"/>
    <n v="0"/>
  </r>
  <r>
    <d v="2022-01-05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24"/>
    <n v="0"/>
    <n v="1.224766"/>
    <n v="2024"/>
    <n v="0"/>
    <n v="0"/>
    <n v="0"/>
    <n v="0"/>
    <n v="0"/>
    <n v="4"/>
    <n v="-37183.895759999999"/>
    <n v="-37183.895759999999"/>
    <n v="1"/>
    <n v="0"/>
    <n v="0"/>
    <n v="0"/>
    <n v="-37183.895759999999"/>
    <n v="0"/>
    <n v="-6.29898359164231"/>
    <n v="0"/>
    <n v="480729.57726640831"/>
    <n v="0"/>
    <n v="0"/>
    <n v="0"/>
  </r>
  <r>
    <d v="2022-01-05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58"/>
    <n v="0"/>
    <n v="8.8180150000000008"/>
    <n v="758"/>
    <n v="0"/>
    <n v="0"/>
    <n v="0"/>
    <n v="0"/>
    <n v="0"/>
    <n v="5"/>
    <n v="66840.553700000004"/>
    <n v="60156.498330000002"/>
    <n v="1"/>
    <n v="0"/>
    <n v="0"/>
    <n v="0"/>
    <n v="-66840.553700000004"/>
    <n v="0"/>
    <n v="0"/>
    <n v="0"/>
    <n v="416005.36826640827"/>
    <n v="0"/>
    <n v="0"/>
    <n v="0"/>
  </r>
  <r>
    <d v="2022-01-05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58"/>
    <n v="0"/>
    <n v="8.8180150000000008"/>
    <n v="758"/>
    <n v="0"/>
    <n v="0"/>
    <n v="0"/>
    <n v="0"/>
    <n v="0"/>
    <n v="5"/>
    <n v="-33420.276850000002"/>
    <n v="60156.498330000002"/>
    <n v="0"/>
    <n v="0"/>
    <n v="0"/>
    <n v="0"/>
    <n v="33420.276850000002"/>
    <n v="0"/>
    <n v="0"/>
    <n v="0"/>
    <n v="448546.86826640827"/>
    <n v="0"/>
    <n v="0"/>
    <n v="0"/>
  </r>
  <r>
    <d v="2022-01-05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58"/>
    <n v="1"/>
    <n v="8.8180150000000008"/>
    <n v="758"/>
    <n v="0"/>
    <n v="0"/>
    <n v="0"/>
    <n v="0"/>
    <n v="0"/>
    <n v="5"/>
    <n v="26736.221480000004"/>
    <n v="60156.498330000002"/>
    <n v="0"/>
    <n v="115710.58875719999"/>
    <n v="-37183.895759999999"/>
    <n v="78526.692997199993"/>
    <n v="-26736.221480000004"/>
    <n v="0"/>
    <n v="0"/>
    <n v="0"/>
    <n v="422445.54386640829"/>
    <n v="422445.54386640829"/>
    <n v="0"/>
    <n v="500978.53584719996"/>
  </r>
  <r>
    <d v="2022-01-05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3527996745"/>
    <n v="0"/>
    <n v="0"/>
    <n v="0"/>
  </r>
  <r>
    <d v="2022-01-05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24"/>
    <n v="0"/>
    <n v="1.224766"/>
    <n v="2024"/>
    <n v="0"/>
    <n v="0"/>
    <n v="0"/>
    <n v="0"/>
    <n v="0"/>
    <n v="2"/>
    <n v="49578.527679999999"/>
    <n v="24789.26384"/>
    <n v="1"/>
    <n v="0"/>
    <n v="0"/>
    <n v="0"/>
    <n v="-49578.527679999999"/>
    <n v="0"/>
    <n v="0"/>
    <n v="0"/>
    <n v="450189.48467996746"/>
    <n v="0"/>
    <n v="0"/>
    <n v="0"/>
  </r>
  <r>
    <d v="2022-01-05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30.6"/>
    <n v="0"/>
    <n v="1"/>
    <n v="430.6"/>
    <n v="0"/>
    <n v="0"/>
    <n v="0"/>
    <n v="0"/>
    <n v="0"/>
    <n v="3"/>
    <n v="-2153"/>
    <n v="4306"/>
    <n v="1"/>
    <n v="0"/>
    <n v="0"/>
    <n v="0"/>
    <n v="-2153"/>
    <n v="0"/>
    <n v="-0.3647200325737438"/>
    <n v="0"/>
    <n v="452489.48467996746"/>
    <n v="0"/>
    <n v="0"/>
    <n v="0"/>
  </r>
  <r>
    <d v="2022-01-05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24"/>
    <n v="0"/>
    <n v="1.224766"/>
    <n v="2024"/>
    <n v="0"/>
    <n v="0"/>
    <n v="0"/>
    <n v="0"/>
    <n v="0"/>
    <n v="3"/>
    <n v="-24789.26384"/>
    <n v="24789.26384"/>
    <n v="0"/>
    <n v="0"/>
    <n v="0"/>
    <n v="0"/>
    <n v="24789.26384"/>
    <n v="0"/>
    <n v="0"/>
    <n v="0"/>
    <n v="477642.77967996744"/>
    <n v="0"/>
    <n v="0"/>
    <n v="0"/>
  </r>
  <r>
    <d v="2022-01-05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30.6"/>
    <n v="1"/>
    <n v="1"/>
    <n v="430.6"/>
    <n v="0"/>
    <n v="0"/>
    <n v="0"/>
    <n v="0"/>
    <n v="0"/>
    <n v="3"/>
    <n v="6459"/>
    <n v="4306"/>
    <n v="0"/>
    <n v="29095.26384"/>
    <n v="0"/>
    <n v="29095.26384"/>
    <n v="-2153"/>
    <n v="0"/>
    <n v="0"/>
    <n v="0"/>
    <n v="470742.77967996744"/>
    <n v="470742.77967996744"/>
    <n v="0"/>
    <n v="499838.40824000002"/>
  </r>
  <r>
    <d v="2022-01-05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5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5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0.29"/>
    <n v="0"/>
    <n v="7.7952399999999997"/>
    <n v="0"/>
    <n v="20.29"/>
    <n v="22.71"/>
    <n v="0"/>
    <n v="0"/>
    <n v="0"/>
    <n v="3"/>
    <n v="63266.167839999995"/>
    <n v="63266.167839999995"/>
    <n v="1"/>
    <n v="0"/>
    <n v="0"/>
    <n v="0"/>
    <n v="-67039.063999999998"/>
    <n v="0"/>
    <n v="0"/>
    <n v="0"/>
    <n v="448804.72510231682"/>
    <n v="0"/>
    <n v="0"/>
    <n v="0"/>
  </r>
  <r>
    <d v="2022-01-05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5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0.6"/>
    <n v="0"/>
    <n v="1"/>
    <n v="430.6"/>
    <n v="0"/>
    <n v="0"/>
    <n v="0"/>
    <n v="0"/>
    <n v="0"/>
    <n v="4"/>
    <n v="4306"/>
    <n v="167934"/>
    <n v="1"/>
    <n v="0"/>
    <n v="0"/>
    <n v="0"/>
    <n v="-4306"/>
    <n v="0"/>
    <n v="0"/>
    <n v="0"/>
    <n v="424204.72510231682"/>
    <n v="0"/>
    <n v="0"/>
    <n v="0"/>
  </r>
  <r>
    <d v="2022-01-05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5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30.6"/>
    <n v="1"/>
    <n v="1"/>
    <n v="430.6"/>
    <n v="0"/>
    <n v="0"/>
    <n v="0"/>
    <n v="0"/>
    <n v="0"/>
    <n v="4"/>
    <n v="163628"/>
    <n v="167934"/>
    <n v="0"/>
    <n v="231200.16784000001"/>
    <n v="-5000"/>
    <n v="226200.16784000001"/>
    <n v="-163628"/>
    <n v="0"/>
    <n v="0"/>
    <n v="0"/>
    <n v="288204.72510231682"/>
    <n v="288204.72510231682"/>
    <n v="0"/>
    <n v="514405.57543999999"/>
  </r>
  <r>
    <d v="2022-01-05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5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8.63"/>
    <n v="0"/>
    <n v="7.7952399999999997"/>
    <n v="398.63"/>
    <n v="0"/>
    <n v="0"/>
    <n v="0"/>
    <n v="0"/>
    <n v="0"/>
    <n v="2"/>
    <n v="93222.495635999992"/>
    <n v="93222.495635999992"/>
    <n v="1"/>
    <n v="0"/>
    <n v="0"/>
    <n v="0"/>
    <n v="-93222.495635999992"/>
    <n v="0"/>
    <n v="0"/>
    <n v="0"/>
    <n v="409954.46750000003"/>
    <n v="0"/>
    <n v="0"/>
    <n v="0"/>
  </r>
  <r>
    <d v="2022-01-05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30.6"/>
    <n v="0"/>
    <n v="1"/>
    <n v="430.6"/>
    <n v="0"/>
    <n v="0"/>
    <n v="0"/>
    <n v="0"/>
    <n v="0"/>
    <n v="3"/>
    <n v="12918"/>
    <n v="12918"/>
    <n v="1"/>
    <n v="0"/>
    <n v="0"/>
    <n v="0"/>
    <n v="-12918"/>
    <n v="0"/>
    <n v="0"/>
    <n v="0"/>
    <n v="396154.46750000003"/>
    <n v="0"/>
    <n v="0"/>
    <n v="0"/>
  </r>
  <r>
    <d v="2022-01-05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0.29"/>
    <n v="0"/>
    <n v="7.7952399999999997"/>
    <n v="0"/>
    <n v="20.29"/>
    <n v="22.71"/>
    <n v="0"/>
    <n v="0"/>
    <n v="0"/>
    <n v="4"/>
    <n v="47449.62588"/>
    <n v="47449.62588"/>
    <n v="1"/>
    <n v="0"/>
    <n v="0"/>
    <n v="0"/>
    <n v="-50279.297999999995"/>
    <n v="0"/>
    <n v="0"/>
    <n v="0"/>
    <n v="365251.58795000002"/>
    <n v="0"/>
    <n v="0"/>
    <n v="0"/>
  </r>
  <r>
    <d v="2022-01-05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52399999999997"/>
    <n v="0"/>
    <n v="20.29"/>
    <n v="22.71"/>
    <n v="0"/>
    <n v="0"/>
    <n v="0"/>
    <n v="4"/>
    <n v="0"/>
    <n v="47449.62588"/>
    <n v="0"/>
    <n v="153590.12151599998"/>
    <n v="0"/>
    <n v="153590.12151599998"/>
    <n v="33519.531999999999"/>
    <n v="0"/>
    <n v="0"/>
    <n v="0"/>
    <n v="382070.50044999999"/>
    <n v="382070.50044999999"/>
    <n v="0"/>
    <n v="535660.62196599995"/>
  </r>
  <r>
    <d v="2022-01-05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5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3999999999999986"/>
    <n v="0"/>
    <n v="7.7952399999999997"/>
    <n v="0"/>
    <n v="0"/>
    <n v="0"/>
    <n v="4.3999999999999986"/>
    <n v="45"/>
    <n v="0"/>
    <n v="2"/>
    <n v="-34299.055999999982"/>
    <n v="-34299.055999999982"/>
    <n v="1"/>
    <n v="0"/>
    <n v="0"/>
    <n v="0"/>
    <n v="0"/>
    <n v="0"/>
    <n v="0"/>
    <n v="0"/>
    <n v="527283.34"/>
    <n v="0"/>
    <n v="0"/>
    <n v="0"/>
  </r>
  <r>
    <d v="2022-01-05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4000000000000008"/>
    <n v="1"/>
    <n v="7.7952399999999997"/>
    <n v="0"/>
    <n v="0"/>
    <n v="0"/>
    <n v="3.4000000000000008"/>
    <n v="40"/>
    <n v="0"/>
    <n v="3"/>
    <n v="26503.816000000006"/>
    <n v="26503.816000000006"/>
    <n v="1"/>
    <n v="26503.816000000006"/>
    <n v="-34299.055999999982"/>
    <n v="-7795.2399999999761"/>
    <n v="0"/>
    <n v="0"/>
    <n v="0"/>
    <n v="0"/>
    <n v="507795.24"/>
    <n v="507795.24"/>
    <n v="0"/>
    <n v="500000"/>
  </r>
  <r>
    <d v="2022-01-05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6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84474209207"/>
    <n v="0"/>
    <n v="0"/>
    <n v="0"/>
  </r>
  <r>
    <d v="2022-01-06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65.08"/>
    <n v="0"/>
    <n v="7.8008199999999999"/>
    <n v="3265.08"/>
    <n v="0"/>
    <n v="0"/>
    <n v="0"/>
    <n v="0"/>
    <n v="0"/>
    <n v="2"/>
    <n v="50940.602731200001"/>
    <n v="50940.602731200001"/>
    <n v="1"/>
    <n v="0"/>
    <n v="0"/>
    <n v="0"/>
    <n v="-50940.602731200001"/>
    <n v="0"/>
    <n v="0"/>
    <n v="0"/>
    <n v="447604.05274209206"/>
    <n v="0"/>
    <n v="0"/>
    <n v="0"/>
  </r>
  <r>
    <d v="2022-01-06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7"/>
    <n v="0"/>
    <n v="1"/>
    <n v="437"/>
    <n v="0"/>
    <n v="0"/>
    <n v="0"/>
    <n v="0"/>
    <n v="0"/>
    <n v="3"/>
    <n v="4370"/>
    <n v="4370"/>
    <n v="1"/>
    <n v="0"/>
    <n v="0"/>
    <n v="0"/>
    <n v="-4370"/>
    <n v="0"/>
    <n v="0"/>
    <n v="0"/>
    <n v="443004.05274209206"/>
    <n v="0"/>
    <n v="0"/>
    <n v="0"/>
  </r>
  <r>
    <d v="2022-01-06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82.22"/>
    <n v="0"/>
    <n v="1.222046"/>
    <n v="1982.22"/>
    <n v="0"/>
    <n v="0"/>
    <n v="0"/>
    <n v="0"/>
    <n v="0"/>
    <n v="4"/>
    <n v="-36335.460331800001"/>
    <n v="-36335.460331800001"/>
    <n v="1"/>
    <n v="0"/>
    <n v="0"/>
    <n v="0"/>
    <n v="-36335.460331800001"/>
    <n v="0"/>
    <n v="-6.1552579079405811"/>
    <n v="0"/>
    <n v="480729.72099209204"/>
    <n v="0"/>
    <n v="0"/>
    <n v="0"/>
  </r>
  <r>
    <d v="2022-01-06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.1"/>
    <n v="0"/>
    <n v="8.8111949999999997"/>
    <n v="727.1"/>
    <n v="0"/>
    <n v="0"/>
    <n v="0"/>
    <n v="0"/>
    <n v="0"/>
    <n v="5"/>
    <n v="64066.198844999999"/>
    <n v="153758.877228"/>
    <n v="1"/>
    <n v="0"/>
    <n v="0"/>
    <n v="0"/>
    <n v="-64066.198844999999"/>
    <n v="0"/>
    <n v="0"/>
    <n v="0"/>
    <n v="416005.51199209201"/>
    <n v="0"/>
    <n v="0"/>
    <n v="0"/>
  </r>
  <r>
    <d v="2022-01-06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27.1"/>
    <n v="0"/>
    <n v="8.8111949999999997"/>
    <n v="727.1"/>
    <n v="0"/>
    <n v="0"/>
    <n v="0"/>
    <n v="0"/>
    <n v="0"/>
    <n v="5"/>
    <n v="-32033.099422499999"/>
    <n v="153758.877228"/>
    <n v="0"/>
    <n v="0"/>
    <n v="0"/>
    <n v="0"/>
    <n v="32033.099422499999"/>
    <n v="0"/>
    <n v="0"/>
    <n v="0"/>
    <n v="448547.01199209201"/>
    <n v="0"/>
    <n v="0"/>
    <n v="0"/>
  </r>
  <r>
    <d v="2022-01-06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27.1"/>
    <n v="0"/>
    <n v="8.8111949999999997"/>
    <n v="727.1"/>
    <n v="0"/>
    <n v="0"/>
    <n v="0"/>
    <n v="0"/>
    <n v="0"/>
    <n v="5"/>
    <n v="25626.479538"/>
    <n v="153758.877228"/>
    <n v="0"/>
    <n v="0"/>
    <n v="0"/>
    <n v="0"/>
    <n v="-25626.479538"/>
    <n v="0"/>
    <n v="0"/>
    <n v="0"/>
    <n v="422445.68759209203"/>
    <n v="0"/>
    <n v="0"/>
    <n v="0"/>
  </r>
  <r>
    <d v="2022-01-06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27.1"/>
    <n v="0"/>
    <n v="8.8111949999999997"/>
    <n v="727.1"/>
    <n v="0"/>
    <n v="0"/>
    <n v="0"/>
    <n v="0"/>
    <n v="0"/>
    <n v="5"/>
    <n v="76879.438613999999"/>
    <n v="153758.877228"/>
    <n v="0"/>
    <n v="0"/>
    <n v="0"/>
    <n v="0"/>
    <n v="-76879.438613999999"/>
    <n v="0"/>
    <n v="0"/>
    <n v="0"/>
    <n v="344202.27599209204"/>
    <n v="0"/>
    <n v="0"/>
    <n v="0"/>
  </r>
  <r>
    <d v="2022-01-06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27.1"/>
    <n v="1"/>
    <n v="8.8111949999999997"/>
    <n v="727.1"/>
    <n v="0"/>
    <n v="0"/>
    <n v="0"/>
    <n v="0"/>
    <n v="0"/>
    <n v="5"/>
    <n v="19219.8596535"/>
    <n v="153758.877228"/>
    <n v="0"/>
    <n v="209069.47995919999"/>
    <n v="-36335.460331800001"/>
    <n v="172734.01962739998"/>
    <n v="-19219.8596535"/>
    <n v="0"/>
    <n v="0"/>
    <n v="0"/>
    <n v="324641.42309209204"/>
    <n v="324641.42309209204"/>
    <n v="0"/>
    <n v="497381.59797739994"/>
  </r>
  <r>
    <d v="2022-01-06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98591402"/>
    <n v="0"/>
    <n v="0"/>
    <n v="0"/>
  </r>
  <r>
    <d v="2022-01-06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82.22"/>
    <n v="0"/>
    <n v="1.222046"/>
    <n v="1982.22"/>
    <n v="0"/>
    <n v="0"/>
    <n v="0"/>
    <n v="0"/>
    <n v="0"/>
    <n v="2"/>
    <n v="48447.280442399999"/>
    <n v="24223.640221199999"/>
    <n v="1"/>
    <n v="0"/>
    <n v="0"/>
    <n v="0"/>
    <n v="-48447.280442399999"/>
    <n v="0"/>
    <n v="0"/>
    <n v="0"/>
    <n v="450189.47925914021"/>
    <n v="0"/>
    <n v="0"/>
    <n v="0"/>
  </r>
  <r>
    <d v="2022-01-06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37"/>
    <n v="0"/>
    <n v="1"/>
    <n v="437"/>
    <n v="0"/>
    <n v="0"/>
    <n v="0"/>
    <n v="0"/>
    <n v="0"/>
    <n v="3"/>
    <n v="-2185"/>
    <n v="4370"/>
    <n v="1"/>
    <n v="0"/>
    <n v="0"/>
    <n v="0"/>
    <n v="-2185"/>
    <n v="0"/>
    <n v="-0.37014085981125416"/>
    <n v="0"/>
    <n v="452489.47925914021"/>
    <n v="0"/>
    <n v="0"/>
    <n v="0"/>
  </r>
  <r>
    <d v="2022-01-06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82.22"/>
    <n v="0"/>
    <n v="1.222046"/>
    <n v="1982.22"/>
    <n v="0"/>
    <n v="0"/>
    <n v="0"/>
    <n v="0"/>
    <n v="0"/>
    <n v="3"/>
    <n v="-24223.640221199999"/>
    <n v="24223.640221199999"/>
    <n v="0"/>
    <n v="0"/>
    <n v="0"/>
    <n v="0"/>
    <n v="24223.640221199999"/>
    <n v="0"/>
    <n v="0"/>
    <n v="0"/>
    <n v="477642.77425914019"/>
    <n v="0"/>
    <n v="0"/>
    <n v="0"/>
  </r>
  <r>
    <d v="2022-01-06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37"/>
    <n v="1"/>
    <n v="1"/>
    <n v="437"/>
    <n v="0"/>
    <n v="0"/>
    <n v="0"/>
    <n v="0"/>
    <n v="0"/>
    <n v="3"/>
    <n v="6555"/>
    <n v="4370"/>
    <n v="0"/>
    <n v="28593.640221199999"/>
    <n v="0"/>
    <n v="28593.640221199999"/>
    <n v="-2185"/>
    <n v="0"/>
    <n v="0"/>
    <n v="0"/>
    <n v="470742.77425914019"/>
    <n v="470742.77425914019"/>
    <n v="0"/>
    <n v="499336.7846212"/>
  </r>
  <r>
    <d v="2022-01-06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6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6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9.29"/>
    <n v="0"/>
    <n v="7.8008199999999999"/>
    <n v="0"/>
    <n v="19.29"/>
    <n v="21.71"/>
    <n v="0"/>
    <n v="0"/>
    <n v="0"/>
    <n v="3"/>
    <n v="60191.127119999997"/>
    <n v="60191.127119999997"/>
    <n v="1"/>
    <n v="0"/>
    <n v="0"/>
    <n v="0"/>
    <n v="-63966.724000000002"/>
    <n v="0"/>
    <n v="0"/>
    <n v="0"/>
    <n v="448804.72510231682"/>
    <n v="0"/>
    <n v="0"/>
    <n v="0"/>
  </r>
  <r>
    <d v="2022-01-06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6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7"/>
    <n v="0"/>
    <n v="1"/>
    <n v="437"/>
    <n v="0"/>
    <n v="0"/>
    <n v="0"/>
    <n v="0"/>
    <n v="0"/>
    <n v="4"/>
    <n v="4370"/>
    <n v="170430"/>
    <n v="1"/>
    <n v="0"/>
    <n v="0"/>
    <n v="0"/>
    <n v="-4370"/>
    <n v="0"/>
    <n v="0"/>
    <n v="0"/>
    <n v="424204.72510231682"/>
    <n v="0"/>
    <n v="0"/>
    <n v="0"/>
  </r>
  <r>
    <d v="2022-01-06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6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37"/>
    <n v="1"/>
    <n v="1"/>
    <n v="437"/>
    <n v="0"/>
    <n v="0"/>
    <n v="0"/>
    <n v="0"/>
    <n v="0"/>
    <n v="4"/>
    <n v="166060"/>
    <n v="170430"/>
    <n v="0"/>
    <n v="230621.12711999999"/>
    <n v="-5000"/>
    <n v="225621.12711999999"/>
    <n v="-166060"/>
    <n v="0"/>
    <n v="0"/>
    <n v="0"/>
    <n v="288204.72510231682"/>
    <n v="288204.72510231682"/>
    <n v="0"/>
    <n v="513826.53472"/>
  </r>
  <r>
    <d v="2022-01-06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6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6.93"/>
    <n v="0"/>
    <n v="7.8008199999999999"/>
    <n v="396.93"/>
    <n v="0"/>
    <n v="0"/>
    <n v="0"/>
    <n v="0"/>
    <n v="0"/>
    <n v="2"/>
    <n v="92891.384477999993"/>
    <n v="92891.384477999993"/>
    <n v="1"/>
    <n v="0"/>
    <n v="0"/>
    <n v="0"/>
    <n v="-92891.384477999993"/>
    <n v="0"/>
    <n v="0"/>
    <n v="0"/>
    <n v="409954.46750000003"/>
    <n v="0"/>
    <n v="0"/>
    <n v="0"/>
  </r>
  <r>
    <d v="2022-01-06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37"/>
    <n v="0"/>
    <n v="1"/>
    <n v="437"/>
    <n v="0"/>
    <n v="0"/>
    <n v="0"/>
    <n v="0"/>
    <n v="0"/>
    <n v="3"/>
    <n v="13110"/>
    <n v="13110"/>
    <n v="1"/>
    <n v="0"/>
    <n v="0"/>
    <n v="0"/>
    <n v="-13110"/>
    <n v="0"/>
    <n v="0"/>
    <n v="0"/>
    <n v="396154.46750000003"/>
    <n v="0"/>
    <n v="0"/>
    <n v="0"/>
  </r>
  <r>
    <d v="2022-01-06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9.29"/>
    <n v="0"/>
    <n v="7.8008199999999999"/>
    <n v="0"/>
    <n v="19.29"/>
    <n v="21.71"/>
    <n v="0"/>
    <n v="0"/>
    <n v="0"/>
    <n v="4"/>
    <n v="45143.34534"/>
    <n v="45143.34534"/>
    <n v="1"/>
    <n v="0"/>
    <n v="0"/>
    <n v="0"/>
    <n v="-47975.042999999998"/>
    <n v="0"/>
    <n v="0"/>
    <n v="0"/>
    <n v="365251.58795000002"/>
    <n v="0"/>
    <n v="0"/>
    <n v="0"/>
  </r>
  <r>
    <d v="2022-01-06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8008199999999999"/>
    <n v="0"/>
    <n v="19.29"/>
    <n v="21.71"/>
    <n v="0"/>
    <n v="0"/>
    <n v="0"/>
    <n v="4"/>
    <n v="0"/>
    <n v="45143.34534"/>
    <n v="0"/>
    <n v="151144.72981799999"/>
    <n v="0"/>
    <n v="151144.72981799999"/>
    <n v="31983.362000000001"/>
    <n v="0"/>
    <n v="0"/>
    <n v="0"/>
    <n v="382070.50044999999"/>
    <n v="382070.50044999999"/>
    <n v="0"/>
    <n v="533215.23026799993"/>
  </r>
  <r>
    <d v="2022-01-06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6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2999999999999989"/>
    <n v="0"/>
    <n v="7.8008199999999999"/>
    <n v="0"/>
    <n v="0"/>
    <n v="0"/>
    <n v="4.2999999999999989"/>
    <n v="45"/>
    <n v="0"/>
    <n v="2"/>
    <n v="-33543.525999999991"/>
    <n v="-33543.525999999991"/>
    <n v="1"/>
    <n v="0"/>
    <n v="0"/>
    <n v="0"/>
    <n v="0"/>
    <n v="0"/>
    <n v="0"/>
    <n v="0"/>
    <n v="527283.34"/>
    <n v="0"/>
    <n v="0"/>
    <n v="0"/>
  </r>
  <r>
    <d v="2022-01-06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3000000000000007"/>
    <n v="0"/>
    <n v="7.8008199999999999"/>
    <n v="0"/>
    <n v="0"/>
    <n v="0"/>
    <n v="3.3000000000000007"/>
    <n v="40"/>
    <n v="0"/>
    <n v="3"/>
    <n v="25742.706000000006"/>
    <n v="25742.706000000006"/>
    <n v="1"/>
    <n v="0"/>
    <n v="0"/>
    <n v="0"/>
    <n v="0"/>
    <n v="0"/>
    <n v="0"/>
    <n v="0"/>
    <n v="507795.24"/>
    <n v="0"/>
    <n v="0"/>
    <n v="0"/>
  </r>
  <r>
    <d v="2022-01-06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37"/>
    <n v="1"/>
    <n v="1"/>
    <n v="437"/>
    <n v="0"/>
    <n v="0"/>
    <n v="0"/>
    <n v="0"/>
    <n v="0"/>
    <n v="4"/>
    <n v="17480"/>
    <n v="17480"/>
    <n v="1"/>
    <n v="43222.706000000006"/>
    <n v="-33543.525999999991"/>
    <n v="9679.1800000000148"/>
    <n v="-17480"/>
    <n v="0"/>
    <n v="0"/>
    <n v="0"/>
    <n v="490595.24"/>
    <n v="490595.24"/>
    <n v="0"/>
    <n v="500274.42"/>
  </r>
  <r>
    <d v="2022-01-06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7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96566223254"/>
    <n v="0"/>
    <n v="0"/>
    <n v="0"/>
  </r>
  <r>
    <d v="2022-01-07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76700000000001"/>
    <n v="3251.08"/>
    <n v="0"/>
    <n v="0"/>
    <n v="0"/>
    <n v="0"/>
    <n v="0"/>
    <n v="2"/>
    <n v="50701.697967200002"/>
    <n v="50701.697967200002"/>
    <n v="1"/>
    <n v="0"/>
    <n v="0"/>
    <n v="0"/>
    <n v="-50701.697967200002"/>
    <n v="0"/>
    <n v="0"/>
    <n v="0"/>
    <n v="447604.17366223253"/>
    <n v="0"/>
    <n v="0"/>
    <n v="0"/>
  </r>
  <r>
    <d v="2022-01-07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4430"/>
    <n v="1"/>
    <n v="0"/>
    <n v="0"/>
    <n v="0"/>
    <n v="-4430"/>
    <n v="0"/>
    <n v="0"/>
    <n v="0"/>
    <n v="443004.17366223253"/>
    <n v="0"/>
    <n v="0"/>
    <n v="0"/>
  </r>
  <r>
    <d v="2022-01-07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28509999999999"/>
    <n v="1942"/>
    <n v="0"/>
    <n v="0"/>
    <n v="0"/>
    <n v="0"/>
    <n v="0"/>
    <n v="4"/>
    <n v="-35621.64963"/>
    <n v="-35621.64963"/>
    <n v="1"/>
    <n v="0"/>
    <n v="0"/>
    <n v="0"/>
    <n v="-35621.64963"/>
    <n v="0"/>
    <n v="-6.0343377674798369"/>
    <n v="0"/>
    <n v="480729.84191223251"/>
    <n v="0"/>
    <n v="0"/>
    <n v="0"/>
  </r>
  <r>
    <d v="2022-01-07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602000000000007"/>
    <n v="715.8"/>
    <n v="0"/>
    <n v="0"/>
    <n v="0"/>
    <n v="0"/>
    <n v="0"/>
    <n v="5"/>
    <n v="63421.311600000008"/>
    <n v="69763.442759999991"/>
    <n v="1"/>
    <n v="0"/>
    <n v="0"/>
    <n v="0"/>
    <n v="-63421.311600000001"/>
    <n v="0"/>
    <n v="0"/>
    <n v="0"/>
    <n v="416005.63291223248"/>
    <n v="0"/>
    <n v="0"/>
    <n v="0"/>
  </r>
  <r>
    <d v="2022-01-07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602000000000007"/>
    <n v="715.8"/>
    <n v="0"/>
    <n v="0"/>
    <n v="0"/>
    <n v="0"/>
    <n v="0"/>
    <n v="5"/>
    <n v="-31710.655800000004"/>
    <n v="69763.442759999991"/>
    <n v="0"/>
    <n v="0"/>
    <n v="0"/>
    <n v="0"/>
    <n v="31710.6558"/>
    <n v="0"/>
    <n v="0"/>
    <n v="0"/>
    <n v="448547.13291223248"/>
    <n v="0"/>
    <n v="0"/>
    <n v="0"/>
  </r>
  <r>
    <d v="2022-01-07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602000000000007"/>
    <n v="715.8"/>
    <n v="0"/>
    <n v="0"/>
    <n v="0"/>
    <n v="0"/>
    <n v="0"/>
    <n v="5"/>
    <n v="25368.52464"/>
    <n v="69763.442759999991"/>
    <n v="0"/>
    <n v="0"/>
    <n v="0"/>
    <n v="0"/>
    <n v="-25368.52464"/>
    <n v="0"/>
    <n v="0"/>
    <n v="0"/>
    <n v="422445.8085122325"/>
    <n v="0"/>
    <n v="0"/>
    <n v="0"/>
  </r>
  <r>
    <d v="2022-01-07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602000000000007"/>
    <n v="715.8"/>
    <n v="0"/>
    <n v="0"/>
    <n v="0"/>
    <n v="0"/>
    <n v="0"/>
    <n v="5"/>
    <n v="76105.573919999995"/>
    <n v="69763.442759999991"/>
    <n v="0"/>
    <n v="0"/>
    <n v="0"/>
    <n v="0"/>
    <n v="-76105.57392000001"/>
    <n v="0"/>
    <n v="0"/>
    <n v="0"/>
    <n v="344202.39691223251"/>
    <n v="0"/>
    <n v="0"/>
    <n v="0"/>
  </r>
  <r>
    <d v="2022-01-07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602000000000007"/>
    <n v="715.8"/>
    <n v="0"/>
    <n v="0"/>
    <n v="0"/>
    <n v="0"/>
    <n v="0"/>
    <n v="5"/>
    <n v="19026.393479999999"/>
    <n v="69763.442759999991"/>
    <n v="0"/>
    <n v="0"/>
    <n v="0"/>
    <n v="0"/>
    <n v="-19026.393480000002"/>
    <n v="0"/>
    <n v="0"/>
    <n v="0"/>
    <n v="324641.54401223251"/>
    <n v="0"/>
    <n v="0"/>
    <n v="0"/>
  </r>
  <r>
    <d v="2022-01-07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1"/>
    <n v="8.8602000000000007"/>
    <n v="715.8"/>
    <n v="0"/>
    <n v="0"/>
    <n v="0"/>
    <n v="0"/>
    <n v="0"/>
    <n v="5"/>
    <n v="-82447.70508"/>
    <n v="69763.442759999991"/>
    <n v="0"/>
    <n v="124895.14072719999"/>
    <n v="-35621.64963"/>
    <n v="89273.491097199993"/>
    <n v="82447.70508"/>
    <n v="0"/>
    <n v="0"/>
    <n v="0"/>
    <n v="407573.01601223252"/>
    <n v="407573.01601223252"/>
    <n v="0"/>
    <n v="496852.5414472"/>
  </r>
  <r>
    <d v="2022-01-07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7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28509999999999"/>
    <n v="1942"/>
    <n v="0"/>
    <n v="0"/>
    <n v="0"/>
    <n v="0"/>
    <n v="0"/>
    <n v="2"/>
    <n v="47495.53284"/>
    <n v="23747.76642"/>
    <n v="1"/>
    <n v="0"/>
    <n v="0"/>
    <n v="0"/>
    <n v="-47495.53284"/>
    <n v="0"/>
    <n v="0"/>
    <n v="0"/>
    <n v="450189.47417711467"/>
    <n v="0"/>
    <n v="0"/>
    <n v="0"/>
  </r>
  <r>
    <d v="2022-01-07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7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28509999999999"/>
    <n v="1942"/>
    <n v="0"/>
    <n v="0"/>
    <n v="0"/>
    <n v="0"/>
    <n v="0"/>
    <n v="3"/>
    <n v="-23747.76642"/>
    <n v="23747.76642"/>
    <n v="0"/>
    <n v="0"/>
    <n v="0"/>
    <n v="0"/>
    <n v="23747.76642"/>
    <n v="0"/>
    <n v="0"/>
    <n v="0"/>
    <n v="477642.76917711465"/>
    <n v="0"/>
    <n v="0"/>
    <n v="0"/>
  </r>
  <r>
    <d v="2022-01-07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77.76642"/>
    <n v="0"/>
    <n v="28177.76642"/>
    <n v="-2215"/>
    <n v="0"/>
    <n v="0"/>
    <n v="0"/>
    <n v="470742.76917711465"/>
    <n v="470742.76917711465"/>
    <n v="0"/>
    <n v="498920.91081999999"/>
  </r>
  <r>
    <d v="2022-01-07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7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7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8.29"/>
    <n v="0"/>
    <n v="7.7976700000000001"/>
    <n v="0"/>
    <n v="18.29"/>
    <n v="20.71"/>
    <n v="0"/>
    <n v="0"/>
    <n v="0"/>
    <n v="3"/>
    <n v="57047.753720000001"/>
    <n v="57047.753720000001"/>
    <n v="1"/>
    <n v="0"/>
    <n v="0"/>
    <n v="0"/>
    <n v="-60821.825999999994"/>
    <n v="0"/>
    <n v="0"/>
    <n v="0"/>
    <n v="448804.72510231682"/>
    <n v="0"/>
    <n v="0"/>
    <n v="0"/>
  </r>
  <r>
    <d v="2022-01-07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7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7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7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9817.75372000001"/>
    <n v="-5000"/>
    <n v="224817.75372000001"/>
    <n v="-168340"/>
    <n v="0"/>
    <n v="0"/>
    <n v="0"/>
    <n v="288204.72510231682"/>
    <n v="288204.72510231682"/>
    <n v="0"/>
    <n v="513023.16131999996"/>
  </r>
  <r>
    <d v="2022-01-07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7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76700000000001"/>
    <n v="397.51"/>
    <n v="0"/>
    <n v="0"/>
    <n v="0"/>
    <n v="0"/>
    <n v="0"/>
    <n v="2"/>
    <n v="92989.554050999999"/>
    <n v="92989.554050999999"/>
    <n v="1"/>
    <n v="0"/>
    <n v="0"/>
    <n v="0"/>
    <n v="-92989.554050999999"/>
    <n v="0"/>
    <n v="0"/>
    <n v="0"/>
    <n v="409954.46750000003"/>
    <n v="0"/>
    <n v="0"/>
    <n v="0"/>
  </r>
  <r>
    <d v="2022-01-07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7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8.29"/>
    <n v="0"/>
    <n v="7.7976700000000001"/>
    <n v="0"/>
    <n v="18.29"/>
    <n v="20.71"/>
    <n v="0"/>
    <n v="0"/>
    <n v="0"/>
    <n v="4"/>
    <n v="42785.815289999999"/>
    <n v="42785.815289999999"/>
    <n v="1"/>
    <n v="0"/>
    <n v="0"/>
    <n v="0"/>
    <n v="-45616.369500000001"/>
    <n v="0"/>
    <n v="0"/>
    <n v="0"/>
    <n v="365251.58795000002"/>
    <n v="0"/>
    <n v="0"/>
    <n v="0"/>
  </r>
  <r>
    <d v="2022-01-07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76700000000001"/>
    <n v="0"/>
    <n v="18.29"/>
    <n v="20.71"/>
    <n v="0"/>
    <n v="0"/>
    <n v="0"/>
    <n v="4"/>
    <n v="0"/>
    <n v="42785.815289999999"/>
    <n v="0"/>
    <n v="149065.36934099998"/>
    <n v="0"/>
    <n v="149065.36934099998"/>
    <n v="30410.912999999997"/>
    <n v="0"/>
    <n v="0"/>
    <n v="0"/>
    <n v="382070.50044999999"/>
    <n v="382070.50044999999"/>
    <n v="0"/>
    <n v="531135.86979099992"/>
  </r>
  <r>
    <d v="2022-01-07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7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1999999999999993"/>
    <n v="0"/>
    <n v="7.7976700000000001"/>
    <n v="0"/>
    <n v="0"/>
    <n v="0"/>
    <n v="4.1999999999999993"/>
    <n v="45"/>
    <n v="0"/>
    <n v="2"/>
    <n v="-32750.213999999993"/>
    <n v="-32750.213999999993"/>
    <n v="1"/>
    <n v="0"/>
    <n v="0"/>
    <n v="0"/>
    <n v="0"/>
    <n v="0"/>
    <n v="0"/>
    <n v="0"/>
    <n v="527282.58955422929"/>
    <n v="0"/>
    <n v="0"/>
    <n v="0"/>
  </r>
  <r>
    <d v="2022-01-07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2000000000000006"/>
    <n v="0"/>
    <n v="7.7976700000000001"/>
    <n v="0"/>
    <n v="0"/>
    <n v="0"/>
    <n v="3.2000000000000006"/>
    <n v="40"/>
    <n v="0"/>
    <n v="3"/>
    <n v="24952.544000000005"/>
    <n v="24952.544000000005"/>
    <n v="1"/>
    <n v="0"/>
    <n v="0"/>
    <n v="0"/>
    <n v="0"/>
    <n v="0"/>
    <n v="0"/>
    <n v="0"/>
    <n v="507794.48955422931"/>
    <n v="0"/>
    <n v="0"/>
    <n v="0"/>
  </r>
  <r>
    <d v="2022-01-07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7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7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76700000000001"/>
    <n v="0"/>
    <n v="18.29"/>
    <n v="20.71"/>
    <n v="0"/>
    <n v="0"/>
    <n v="0"/>
    <n v="5"/>
    <n v="0"/>
    <n v="0"/>
    <n v="1"/>
    <n v="24952.544000000005"/>
    <n v="-37180.213999999993"/>
    <n v="-12227.669999999987"/>
    <n v="-30410.912999999997"/>
    <n v="0"/>
    <n v="0"/>
    <n v="0"/>
    <n v="529421.86141422926"/>
    <n v="529421.86141422926"/>
    <n v="0"/>
    <n v="517194.94185999996"/>
  </r>
  <r>
    <d v="2022-01-07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8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99211373128"/>
    <n v="0"/>
    <n v="0"/>
    <n v="0"/>
  </r>
  <r>
    <d v="2022-01-08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81699999999998"/>
    <n v="3251.08"/>
    <n v="0"/>
    <n v="0"/>
    <n v="0"/>
    <n v="0"/>
    <n v="0"/>
    <n v="2"/>
    <n v="50704.949047199996"/>
    <n v="50704.949047199996"/>
    <n v="1"/>
    <n v="0"/>
    <n v="0"/>
    <n v="0"/>
    <n v="-50704.949047199996"/>
    <n v="0"/>
    <n v="0"/>
    <n v="0"/>
    <n v="447561.20011373126"/>
    <n v="0"/>
    <n v="0"/>
    <n v="0"/>
  </r>
  <r>
    <d v="2022-01-08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4430"/>
    <n v="1"/>
    <n v="0"/>
    <n v="0"/>
    <n v="0"/>
    <n v="-4430"/>
    <n v="0"/>
    <n v="0"/>
    <n v="0"/>
    <n v="442961.20011373126"/>
    <n v="0"/>
    <n v="0"/>
    <n v="0"/>
  </r>
  <r>
    <d v="2022-01-08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27079999999999"/>
    <n v="1942"/>
    <n v="0"/>
    <n v="0"/>
    <n v="0"/>
    <n v="0"/>
    <n v="0"/>
    <n v="4"/>
    <n v="-35617.484039999996"/>
    <n v="-35617.484039999996"/>
    <n v="1"/>
    <n v="0"/>
    <n v="0"/>
    <n v="0"/>
    <n v="-35617.484039999996"/>
    <n v="0"/>
    <n v="-6.0336321129882018"/>
    <n v="0"/>
    <n v="480686.86836373125"/>
    <n v="0"/>
    <n v="0"/>
    <n v="0"/>
  </r>
  <r>
    <d v="2022-01-08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601500000000009"/>
    <n v="715.8"/>
    <n v="0"/>
    <n v="0"/>
    <n v="0"/>
    <n v="0"/>
    <n v="0"/>
    <n v="5"/>
    <n v="63420.953700000005"/>
    <n v="-253683.81480000002"/>
    <n v="1"/>
    <n v="0"/>
    <n v="0"/>
    <n v="0"/>
    <n v="-63420.953700000005"/>
    <n v="0"/>
    <n v="0"/>
    <n v="0"/>
    <n v="415962.65936373122"/>
    <n v="0"/>
    <n v="0"/>
    <n v="0"/>
  </r>
  <r>
    <d v="2022-01-08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601500000000009"/>
    <n v="715.8"/>
    <n v="0"/>
    <n v="0"/>
    <n v="0"/>
    <n v="0"/>
    <n v="0"/>
    <n v="5"/>
    <n v="-31710.476850000003"/>
    <n v="-253683.81480000002"/>
    <n v="0"/>
    <n v="0"/>
    <n v="0"/>
    <n v="0"/>
    <n v="31710.476850000003"/>
    <n v="0"/>
    <n v="0"/>
    <n v="0"/>
    <n v="448504.15936373122"/>
    <n v="0"/>
    <n v="0"/>
    <n v="0"/>
  </r>
  <r>
    <d v="2022-01-08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601500000000009"/>
    <n v="715.8"/>
    <n v="0"/>
    <n v="0"/>
    <n v="0"/>
    <n v="0"/>
    <n v="0"/>
    <n v="5"/>
    <n v="25368.38148"/>
    <n v="-253683.81480000002"/>
    <n v="0"/>
    <n v="0"/>
    <n v="0"/>
    <n v="0"/>
    <n v="-25368.38148"/>
    <n v="0"/>
    <n v="0"/>
    <n v="0"/>
    <n v="422402.83496373123"/>
    <n v="0"/>
    <n v="0"/>
    <n v="0"/>
  </r>
  <r>
    <d v="2022-01-08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601500000000009"/>
    <n v="715.8"/>
    <n v="0"/>
    <n v="0"/>
    <n v="0"/>
    <n v="0"/>
    <n v="0"/>
    <n v="5"/>
    <n v="76105.144439999989"/>
    <n v="-253683.81480000002"/>
    <n v="0"/>
    <n v="0"/>
    <n v="0"/>
    <n v="0"/>
    <n v="-76105.144440000004"/>
    <n v="0"/>
    <n v="0"/>
    <n v="0"/>
    <n v="344159.42336373124"/>
    <n v="0"/>
    <n v="0"/>
    <n v="0"/>
  </r>
  <r>
    <d v="2022-01-08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601500000000009"/>
    <n v="715.8"/>
    <n v="0"/>
    <n v="0"/>
    <n v="0"/>
    <n v="0"/>
    <n v="0"/>
    <n v="5"/>
    <n v="19026.286109999997"/>
    <n v="-253683.81480000002"/>
    <n v="0"/>
    <n v="0"/>
    <n v="0"/>
    <n v="0"/>
    <n v="-19026.286110000001"/>
    <n v="0"/>
    <n v="0"/>
    <n v="0"/>
    <n v="324598.57046373124"/>
    <n v="0"/>
    <n v="0"/>
    <n v="0"/>
  </r>
  <r>
    <d v="2022-01-08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0"/>
    <n v="8.8601500000000009"/>
    <n v="715.8"/>
    <n v="0"/>
    <n v="0"/>
    <n v="0"/>
    <n v="0"/>
    <n v="0"/>
    <n v="5"/>
    <n v="-82447.239809999999"/>
    <n v="-253683.81480000002"/>
    <n v="0"/>
    <n v="0"/>
    <n v="0"/>
    <n v="0"/>
    <n v="82447.239809999999"/>
    <n v="0"/>
    <n v="0"/>
    <n v="0"/>
    <n v="407530.04246373125"/>
    <n v="0"/>
    <n v="0"/>
    <n v="0"/>
  </r>
  <r>
    <d v="2022-01-08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5.8"/>
    <n v="1"/>
    <n v="8.8601500000000009"/>
    <n v="715.8"/>
    <n v="0"/>
    <n v="0"/>
    <n v="0"/>
    <n v="0"/>
    <n v="0"/>
    <n v="5"/>
    <n v="-323446.86387"/>
    <n v="-253683.81480000002"/>
    <n v="0"/>
    <n v="55134.949047199996"/>
    <n v="-289301.29884"/>
    <n v="-234166.3497928"/>
    <n v="-183920.76573000001"/>
    <n v="0"/>
    <n v="-42.974254155730421"/>
    <n v="0"/>
    <n v="732874.75046373135"/>
    <n v="732874.75046373135"/>
    <n v="0"/>
    <n v="498757.40855719999"/>
  </r>
  <r>
    <d v="2022-01-08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8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27079999999999"/>
    <n v="1942"/>
    <n v="0"/>
    <n v="0"/>
    <n v="0"/>
    <n v="0"/>
    <n v="0"/>
    <n v="2"/>
    <n v="47489.978719999999"/>
    <n v="23744.98936"/>
    <n v="1"/>
    <n v="0"/>
    <n v="0"/>
    <n v="0"/>
    <n v="-47489.978719999999"/>
    <n v="0"/>
    <n v="0"/>
    <n v="0"/>
    <n v="450189.47417711467"/>
    <n v="0"/>
    <n v="0"/>
    <n v="0"/>
  </r>
  <r>
    <d v="2022-01-08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8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27079999999999"/>
    <n v="1942"/>
    <n v="0"/>
    <n v="0"/>
    <n v="0"/>
    <n v="0"/>
    <n v="0"/>
    <n v="3"/>
    <n v="-23744.98936"/>
    <n v="23744.98936"/>
    <n v="0"/>
    <n v="0"/>
    <n v="0"/>
    <n v="0"/>
    <n v="23744.98936"/>
    <n v="0"/>
    <n v="0"/>
    <n v="0"/>
    <n v="477642.76917711465"/>
    <n v="0"/>
    <n v="0"/>
    <n v="0"/>
  </r>
  <r>
    <d v="2022-01-08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74.98936"/>
    <n v="0"/>
    <n v="28174.98936"/>
    <n v="-2215"/>
    <n v="0"/>
    <n v="0"/>
    <n v="0"/>
    <n v="470742.76917711465"/>
    <n v="470742.76917711465"/>
    <n v="0"/>
    <n v="498918.13376"/>
  </r>
  <r>
    <d v="2022-01-08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8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8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7.29"/>
    <n v="0"/>
    <n v="7.7981699999999998"/>
    <n v="0"/>
    <n v="17.29"/>
    <n v="19.71"/>
    <n v="0"/>
    <n v="0"/>
    <n v="0"/>
    <n v="3"/>
    <n v="53932.14372"/>
    <n v="53932.14372"/>
    <n v="1"/>
    <n v="0"/>
    <n v="0"/>
    <n v="0"/>
    <n v="-57706.458000000006"/>
    <n v="0"/>
    <n v="0"/>
    <n v="0"/>
    <n v="448804.72510231682"/>
    <n v="0"/>
    <n v="0"/>
    <n v="0"/>
  </r>
  <r>
    <d v="2022-01-08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8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8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8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6702.14371999999"/>
    <n v="-5000"/>
    <n v="221702.14371999999"/>
    <n v="-168340"/>
    <n v="0"/>
    <n v="0"/>
    <n v="0"/>
    <n v="288204.72510231682"/>
    <n v="288204.72510231682"/>
    <n v="0"/>
    <n v="509907.55131999997"/>
  </r>
  <r>
    <d v="2022-01-08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8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81699999999998"/>
    <n v="397.51"/>
    <n v="0"/>
    <n v="0"/>
    <n v="0"/>
    <n v="0"/>
    <n v="0"/>
    <n v="2"/>
    <n v="92995.516700999986"/>
    <n v="92995.516700999986"/>
    <n v="1"/>
    <n v="0"/>
    <n v="0"/>
    <n v="0"/>
    <n v="-92995.516701"/>
    <n v="0"/>
    <n v="0"/>
    <n v="0"/>
    <n v="409954.46750000003"/>
    <n v="0"/>
    <n v="0"/>
    <n v="0"/>
  </r>
  <r>
    <d v="2022-01-08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8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7.29"/>
    <n v="0"/>
    <n v="7.7981699999999998"/>
    <n v="0"/>
    <n v="17.29"/>
    <n v="19.71"/>
    <n v="0"/>
    <n v="0"/>
    <n v="0"/>
    <n v="4"/>
    <n v="40449.107790000002"/>
    <n v="40449.107790000002"/>
    <n v="1"/>
    <n v="0"/>
    <n v="0"/>
    <n v="0"/>
    <n v="-43279.843500000003"/>
    <n v="0"/>
    <n v="0"/>
    <n v="0"/>
    <n v="365251.58795000002"/>
    <n v="0"/>
    <n v="0"/>
    <n v="0"/>
  </r>
  <r>
    <d v="2022-01-08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81699999999998"/>
    <n v="0"/>
    <n v="17.29"/>
    <n v="19.71"/>
    <n v="0"/>
    <n v="0"/>
    <n v="0"/>
    <n v="4"/>
    <n v="0"/>
    <n v="40449.107790000002"/>
    <n v="0"/>
    <n v="146734.624491"/>
    <n v="0"/>
    <n v="146734.624491"/>
    <n v="28853.229000000003"/>
    <n v="0"/>
    <n v="0"/>
    <n v="0"/>
    <n v="382070.50044999999"/>
    <n v="382070.50044999999"/>
    <n v="0"/>
    <n v="528805.12494100002"/>
  </r>
  <r>
    <d v="2022-01-08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8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0999999999999996"/>
    <n v="0"/>
    <n v="7.7981699999999998"/>
    <n v="0"/>
    <n v="0"/>
    <n v="0"/>
    <n v="4.0999999999999996"/>
    <n v="45"/>
    <n v="0"/>
    <n v="2"/>
    <n v="-31972.496999999999"/>
    <n v="-31972.496999999999"/>
    <n v="1"/>
    <n v="0"/>
    <n v="0"/>
    <n v="0"/>
    <n v="0"/>
    <n v="0"/>
    <n v="0"/>
    <n v="0"/>
    <n v="527282.58955422929"/>
    <n v="0"/>
    <n v="0"/>
    <n v="0"/>
  </r>
  <r>
    <d v="2022-01-08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1000000000000005"/>
    <n v="0"/>
    <n v="7.7981699999999998"/>
    <n v="0"/>
    <n v="0"/>
    <n v="0"/>
    <n v="3.1000000000000005"/>
    <n v="40"/>
    <n v="0"/>
    <n v="3"/>
    <n v="24174.327000000005"/>
    <n v="24174.327000000005"/>
    <n v="1"/>
    <n v="0"/>
    <n v="0"/>
    <n v="0"/>
    <n v="0"/>
    <n v="0"/>
    <n v="0"/>
    <n v="0"/>
    <n v="507794.48955422931"/>
    <n v="0"/>
    <n v="0"/>
    <n v="0"/>
  </r>
  <r>
    <d v="2022-01-08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8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8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81699999999998"/>
    <n v="0"/>
    <n v="17.29"/>
    <n v="19.71"/>
    <n v="0"/>
    <n v="0"/>
    <n v="0"/>
    <n v="5"/>
    <n v="0"/>
    <n v="0"/>
    <n v="1"/>
    <n v="24174.327000000005"/>
    <n v="-36402.497000000003"/>
    <n v="-12228.169999999998"/>
    <n v="-28853.229000000003"/>
    <n v="0"/>
    <n v="0"/>
    <n v="0"/>
    <n v="529421.86141422926"/>
    <n v="529421.86141422926"/>
    <n v="0"/>
    <n v="517194.44185999996"/>
  </r>
  <r>
    <d v="2022-01-08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9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65386786702"/>
    <n v="0"/>
    <n v="0"/>
    <n v="0"/>
  </r>
  <r>
    <d v="2022-01-09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81850000000001"/>
    <n v="3251.08"/>
    <n v="0"/>
    <n v="0"/>
    <n v="0"/>
    <n v="0"/>
    <n v="0"/>
    <n v="2"/>
    <n v="50705.046579599999"/>
    <n v="50705.046579599999"/>
    <n v="1"/>
    <n v="0"/>
    <n v="0"/>
    <n v="0"/>
    <n v="-50705.046579599999"/>
    <n v="0"/>
    <n v="0"/>
    <n v="0"/>
    <n v="447560.861867867"/>
    <n v="0"/>
    <n v="0"/>
    <n v="0"/>
  </r>
  <r>
    <d v="2022-01-09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-2215"/>
    <n v="1"/>
    <n v="0"/>
    <n v="0"/>
    <n v="0"/>
    <n v="-4430"/>
    <n v="0"/>
    <n v="0"/>
    <n v="0"/>
    <n v="442960.861867867"/>
    <n v="0"/>
    <n v="0"/>
    <n v="0"/>
  </r>
  <r>
    <d v="2022-01-09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18640000000001"/>
    <n v="1942"/>
    <n v="0"/>
    <n v="0"/>
    <n v="0"/>
    <n v="0"/>
    <n v="0"/>
    <n v="4"/>
    <n v="-35592.89832"/>
    <n v="-35592.89832"/>
    <n v="1"/>
    <n v="0"/>
    <n v="0"/>
    <n v="0"/>
    <n v="-35592.89832"/>
    <n v="0"/>
    <n v="-6.0294672710935204"/>
    <n v="0"/>
    <n v="480686.53011786699"/>
    <n v="0"/>
    <n v="0"/>
    <n v="0"/>
  </r>
  <r>
    <d v="2022-01-09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533849999999994"/>
    <n v="715.8"/>
    <n v="0"/>
    <n v="0"/>
    <n v="0"/>
    <n v="0"/>
    <n v="0"/>
    <n v="5"/>
    <n v="63372.529829999992"/>
    <n v="-253490.11932"/>
    <n v="1"/>
    <n v="0"/>
    <n v="0"/>
    <n v="0"/>
    <n v="-63372.529829999999"/>
    <n v="0"/>
    <n v="0"/>
    <n v="0"/>
    <n v="415962.32111786696"/>
    <n v="0"/>
    <n v="0"/>
    <n v="0"/>
  </r>
  <r>
    <d v="2022-01-09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533849999999994"/>
    <n v="715.8"/>
    <n v="0"/>
    <n v="0"/>
    <n v="0"/>
    <n v="0"/>
    <n v="0"/>
    <n v="5"/>
    <n v="-31686.264914999996"/>
    <n v="-253490.11932"/>
    <n v="0"/>
    <n v="0"/>
    <n v="0"/>
    <n v="0"/>
    <n v="31686.264915"/>
    <n v="0"/>
    <n v="0"/>
    <n v="0"/>
    <n v="448503.82111786696"/>
    <n v="0"/>
    <n v="0"/>
    <n v="0"/>
  </r>
  <r>
    <d v="2022-01-09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533849999999994"/>
    <n v="715.8"/>
    <n v="0"/>
    <n v="0"/>
    <n v="0"/>
    <n v="0"/>
    <n v="0"/>
    <n v="5"/>
    <n v="25349.011931999998"/>
    <n v="-253490.11932"/>
    <n v="0"/>
    <n v="0"/>
    <n v="0"/>
    <n v="0"/>
    <n v="-25349.011931999998"/>
    <n v="0"/>
    <n v="0"/>
    <n v="0"/>
    <n v="422402.49671786698"/>
    <n v="0"/>
    <n v="0"/>
    <n v="0"/>
  </r>
  <r>
    <d v="2022-01-09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533849999999994"/>
    <n v="715.8"/>
    <n v="0"/>
    <n v="0"/>
    <n v="0"/>
    <n v="0"/>
    <n v="0"/>
    <n v="5"/>
    <n v="76047.035795999982"/>
    <n v="-253490.11932"/>
    <n v="0"/>
    <n v="0"/>
    <n v="0"/>
    <n v="0"/>
    <n v="-76047.035795999996"/>
    <n v="0"/>
    <n v="0"/>
    <n v="0"/>
    <n v="344159.08511786698"/>
    <n v="0"/>
    <n v="0"/>
    <n v="0"/>
  </r>
  <r>
    <d v="2022-01-09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533849999999994"/>
    <n v="715.8"/>
    <n v="0"/>
    <n v="0"/>
    <n v="0"/>
    <n v="0"/>
    <n v="0"/>
    <n v="5"/>
    <n v="19011.758948999995"/>
    <n v="-253490.11932"/>
    <n v="0"/>
    <n v="0"/>
    <n v="0"/>
    <n v="0"/>
    <n v="-19011.758948999999"/>
    <n v="0"/>
    <n v="0"/>
    <n v="0"/>
    <n v="324598.23221786699"/>
    <n v="0"/>
    <n v="0"/>
    <n v="0"/>
  </r>
  <r>
    <d v="2022-01-09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0"/>
    <n v="8.8533849999999994"/>
    <n v="715.8"/>
    <n v="0"/>
    <n v="0"/>
    <n v="0"/>
    <n v="0"/>
    <n v="0"/>
    <n v="5"/>
    <n v="-82384.288778999995"/>
    <n v="-253490.11932"/>
    <n v="0"/>
    <n v="0"/>
    <n v="0"/>
    <n v="0"/>
    <n v="82384.288778999995"/>
    <n v="0"/>
    <n v="0"/>
    <n v="0"/>
    <n v="407529.70421786699"/>
    <n v="0"/>
    <n v="0"/>
    <n v="0"/>
  </r>
  <r>
    <d v="2022-01-09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5.8"/>
    <n v="0"/>
    <n v="8.8533849999999994"/>
    <n v="715.8"/>
    <n v="0"/>
    <n v="0"/>
    <n v="0"/>
    <n v="0"/>
    <n v="0"/>
    <n v="5"/>
    <n v="-323199.90213299997"/>
    <n v="-253490.11932"/>
    <n v="0"/>
    <n v="0"/>
    <n v="0"/>
    <n v="0"/>
    <n v="-183780.33650699997"/>
    <n v="0"/>
    <n v="-42.941441976550202"/>
    <n v="0"/>
    <n v="732874.41221786698"/>
    <n v="0"/>
    <n v="0"/>
    <n v="0"/>
  </r>
  <r>
    <d v="2022-01-09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43"/>
    <n v="1"/>
    <n v="1"/>
    <n v="443"/>
    <n v="0"/>
    <n v="0"/>
    <n v="0"/>
    <n v="0"/>
    <n v="0"/>
    <n v="5"/>
    <n v="-6645"/>
    <n v="-2215"/>
    <n v="0"/>
    <n v="50705.046579599999"/>
    <n v="-291298.01763999998"/>
    <n v="-240592.97106039998"/>
    <n v="2215"/>
    <n v="0"/>
    <n v="-0.37522288534642012"/>
    <n v="0"/>
    <n v="739549.41221786698"/>
    <n v="739549.41221786698"/>
    <n v="0"/>
    <n v="499005.7872896"/>
  </r>
  <r>
    <d v="2022-01-09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9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18640000000001"/>
    <n v="1942"/>
    <n v="0"/>
    <n v="0"/>
    <n v="0"/>
    <n v="0"/>
    <n v="0"/>
    <n v="2"/>
    <n v="47457.197760000003"/>
    <n v="23728.598880000001"/>
    <n v="1"/>
    <n v="0"/>
    <n v="0"/>
    <n v="0"/>
    <n v="-47457.197760000003"/>
    <n v="0"/>
    <n v="0"/>
    <n v="0"/>
    <n v="450189.47417711467"/>
    <n v="0"/>
    <n v="0"/>
    <n v="0"/>
  </r>
  <r>
    <d v="2022-01-09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9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18640000000001"/>
    <n v="1942"/>
    <n v="0"/>
    <n v="0"/>
    <n v="0"/>
    <n v="0"/>
    <n v="0"/>
    <n v="3"/>
    <n v="-23728.598880000001"/>
    <n v="23728.598880000001"/>
    <n v="0"/>
    <n v="0"/>
    <n v="0"/>
    <n v="0"/>
    <n v="23728.598880000001"/>
    <n v="0"/>
    <n v="0"/>
    <n v="0"/>
    <n v="477642.76917711465"/>
    <n v="0"/>
    <n v="0"/>
    <n v="0"/>
  </r>
  <r>
    <d v="2022-01-09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58.598880000001"/>
    <n v="0"/>
    <n v="28158.598880000001"/>
    <n v="-2215"/>
    <n v="0"/>
    <n v="0"/>
    <n v="0"/>
    <n v="470742.76917711465"/>
    <n v="470742.76917711465"/>
    <n v="0"/>
    <n v="498901.74328"/>
  </r>
  <r>
    <d v="2022-01-09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9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9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6.29"/>
    <n v="0"/>
    <n v="7.7981850000000001"/>
    <n v="0"/>
    <n v="16.29"/>
    <n v="18.71"/>
    <n v="0"/>
    <n v="0"/>
    <n v="0"/>
    <n v="3"/>
    <n v="50812.973460000001"/>
    <n v="50812.973460000001"/>
    <n v="1"/>
    <n v="0"/>
    <n v="0"/>
    <n v="0"/>
    <n v="-54587.295000000006"/>
    <n v="0"/>
    <n v="0"/>
    <n v="0"/>
    <n v="448804.72510231682"/>
    <n v="0"/>
    <n v="0"/>
    <n v="0"/>
  </r>
  <r>
    <d v="2022-01-09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9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9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9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3582.97346000001"/>
    <n v="-5000"/>
    <n v="218582.97346000001"/>
    <n v="-168340"/>
    <n v="0"/>
    <n v="0"/>
    <n v="0"/>
    <n v="288204.72510231682"/>
    <n v="288204.72510231682"/>
    <n v="0"/>
    <n v="506788.38105999999"/>
  </r>
  <r>
    <d v="2022-01-09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9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81850000000001"/>
    <n v="397.51"/>
    <n v="0"/>
    <n v="0"/>
    <n v="0"/>
    <n v="0"/>
    <n v="0"/>
    <n v="2"/>
    <n v="92995.695580499989"/>
    <n v="92995.695580499989"/>
    <n v="1"/>
    <n v="0"/>
    <n v="0"/>
    <n v="0"/>
    <n v="-92995.695580500003"/>
    <n v="0"/>
    <n v="0"/>
    <n v="0"/>
    <n v="409954.46750000003"/>
    <n v="0"/>
    <n v="0"/>
    <n v="0"/>
  </r>
  <r>
    <d v="2022-01-09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9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6.29"/>
    <n v="0"/>
    <n v="7.7981850000000001"/>
    <n v="0"/>
    <n v="16.29"/>
    <n v="18.71"/>
    <n v="0"/>
    <n v="0"/>
    <n v="0"/>
    <n v="4"/>
    <n v="38109.730094999999"/>
    <n v="38109.730094999999"/>
    <n v="1"/>
    <n v="0"/>
    <n v="0"/>
    <n v="0"/>
    <n v="-40940.471250000002"/>
    <n v="0"/>
    <n v="0"/>
    <n v="0"/>
    <n v="365251.58795000002"/>
    <n v="0"/>
    <n v="0"/>
    <n v="0"/>
  </r>
  <r>
    <d v="2022-01-09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81850000000001"/>
    <n v="0"/>
    <n v="16.29"/>
    <n v="18.71"/>
    <n v="0"/>
    <n v="0"/>
    <n v="0"/>
    <n v="4"/>
    <n v="0"/>
    <n v="38109.730094999999"/>
    <n v="0"/>
    <n v="144395.42567549998"/>
    <n v="0"/>
    <n v="144395.42567549998"/>
    <n v="27293.647500000003"/>
    <n v="0"/>
    <n v="0"/>
    <n v="0"/>
    <n v="382070.50044999999"/>
    <n v="382070.50044999999"/>
    <n v="0"/>
    <n v="526465.9261255"/>
  </r>
  <r>
    <d v="2022-01-09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9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"/>
    <n v="0"/>
    <n v="7.7981850000000001"/>
    <n v="0"/>
    <n v="0"/>
    <n v="0"/>
    <n v="4"/>
    <n v="45"/>
    <n v="0"/>
    <n v="2"/>
    <n v="-31192.74"/>
    <n v="-31192.74"/>
    <n v="1"/>
    <n v="0"/>
    <n v="0"/>
    <n v="0"/>
    <n v="0"/>
    <n v="0"/>
    <n v="0"/>
    <n v="0"/>
    <n v="527282.58955422929"/>
    <n v="0"/>
    <n v="0"/>
    <n v="0"/>
  </r>
  <r>
    <d v="2022-01-09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0000000000000004"/>
    <n v="0"/>
    <n v="7.7981850000000001"/>
    <n v="0"/>
    <n v="0"/>
    <n v="0"/>
    <n v="3.0000000000000004"/>
    <n v="40"/>
    <n v="0"/>
    <n v="3"/>
    <n v="23394.555000000004"/>
    <n v="23394.555000000004"/>
    <n v="1"/>
    <n v="0"/>
    <n v="0"/>
    <n v="0"/>
    <n v="0"/>
    <n v="0"/>
    <n v="0"/>
    <n v="0"/>
    <n v="507794.48955422931"/>
    <n v="0"/>
    <n v="0"/>
    <n v="0"/>
  </r>
  <r>
    <d v="2022-01-09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9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9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81850000000001"/>
    <n v="0"/>
    <n v="16.29"/>
    <n v="18.71"/>
    <n v="0"/>
    <n v="0"/>
    <n v="0"/>
    <n v="5"/>
    <n v="0"/>
    <n v="0"/>
    <n v="1"/>
    <n v="23394.555000000004"/>
    <n v="-35622.740000000005"/>
    <n v="-12228.185000000001"/>
    <n v="-27293.647500000003"/>
    <n v="0"/>
    <n v="0"/>
    <n v="0"/>
    <n v="529421.86141422926"/>
    <n v="529421.86141422926"/>
    <n v="0"/>
    <n v="517194.42685999995"/>
  </r>
  <r>
    <d v="2022-01-09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0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1.44929468975"/>
    <n v="0"/>
    <n v="0"/>
    <n v="0"/>
  </r>
  <r>
    <d v="2022-01-10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29.72"/>
    <n v="0"/>
    <n v="7.7958499999999997"/>
    <n v="3229.72"/>
    <n v="0"/>
    <n v="0"/>
    <n v="0"/>
    <n v="0"/>
    <n v="0"/>
    <n v="2"/>
    <n v="50356.825323999998"/>
    <n v="50356.825323999998"/>
    <n v="1"/>
    <n v="0"/>
    <n v="0"/>
    <n v="0"/>
    <n v="-50356.825323999998"/>
    <n v="0"/>
    <n v="0"/>
    <n v="0"/>
    <n v="447561.65729468974"/>
    <n v="0"/>
    <n v="0"/>
    <n v="0"/>
  </r>
  <r>
    <d v="2022-01-10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2"/>
    <n v="0"/>
    <n v="1"/>
    <n v="453.2"/>
    <n v="0"/>
    <n v="0"/>
    <n v="0"/>
    <n v="0"/>
    <n v="0"/>
    <n v="3"/>
    <n v="4532"/>
    <n v="-2266"/>
    <n v="1"/>
    <n v="0"/>
    <n v="0"/>
    <n v="0"/>
    <n v="-4532"/>
    <n v="0"/>
    <n v="0"/>
    <n v="0"/>
    <n v="442961.65729468974"/>
    <n v="0"/>
    <n v="0"/>
    <n v="0"/>
  </r>
  <r>
    <d v="2022-01-10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66"/>
    <n v="0"/>
    <n v="1.222642"/>
    <n v="1966"/>
    <n v="0"/>
    <n v="0"/>
    <n v="0"/>
    <n v="0"/>
    <n v="0"/>
    <n v="4"/>
    <n v="-36055.712579999999"/>
    <n v="-36055.712579999999"/>
    <n v="1"/>
    <n v="0"/>
    <n v="0"/>
    <n v="0"/>
    <n v="-36055.712579999999"/>
    <n v="0"/>
    <n v="-6.1078684006721522"/>
    <n v="0"/>
    <n v="480687.32554468972"/>
    <n v="0"/>
    <n v="0"/>
    <n v="0"/>
  </r>
  <r>
    <d v="2022-01-10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02.7"/>
    <n v="0"/>
    <n v="8.8331"/>
    <n v="702.7"/>
    <n v="0"/>
    <n v="0"/>
    <n v="0"/>
    <n v="0"/>
    <n v="0"/>
    <n v="5"/>
    <n v="62070.193699999996"/>
    <n v="-248280.77480000001"/>
    <n v="1"/>
    <n v="0"/>
    <n v="0"/>
    <n v="0"/>
    <n v="-62070.193700000003"/>
    <n v="0"/>
    <n v="0"/>
    <n v="0"/>
    <n v="415963.11654468969"/>
    <n v="0"/>
    <n v="0"/>
    <n v="0"/>
  </r>
  <r>
    <d v="2022-01-10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02.7"/>
    <n v="0"/>
    <n v="8.8331"/>
    <n v="702.7"/>
    <n v="0"/>
    <n v="0"/>
    <n v="0"/>
    <n v="0"/>
    <n v="0"/>
    <n v="5"/>
    <n v="-31035.096849999998"/>
    <n v="-248280.77480000001"/>
    <n v="0"/>
    <n v="0"/>
    <n v="0"/>
    <n v="0"/>
    <n v="31035.096850000002"/>
    <n v="0"/>
    <n v="0"/>
    <n v="0"/>
    <n v="448504.61654468969"/>
    <n v="0"/>
    <n v="0"/>
    <n v="0"/>
  </r>
  <r>
    <d v="2022-01-10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02.7"/>
    <n v="0"/>
    <n v="8.8331"/>
    <n v="702.7"/>
    <n v="0"/>
    <n v="0"/>
    <n v="0"/>
    <n v="0"/>
    <n v="0"/>
    <n v="5"/>
    <n v="24828.07748"/>
    <n v="-248280.77480000001"/>
    <n v="0"/>
    <n v="0"/>
    <n v="0"/>
    <n v="0"/>
    <n v="-24828.07748"/>
    <n v="0"/>
    <n v="0"/>
    <n v="0"/>
    <n v="422403.29214468971"/>
    <n v="0"/>
    <n v="0"/>
    <n v="0"/>
  </r>
  <r>
    <d v="2022-01-10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02.7"/>
    <n v="0"/>
    <n v="8.8331"/>
    <n v="702.7"/>
    <n v="0"/>
    <n v="0"/>
    <n v="0"/>
    <n v="0"/>
    <n v="0"/>
    <n v="5"/>
    <n v="74484.232440000007"/>
    <n v="-248280.77480000001"/>
    <n v="0"/>
    <n v="0"/>
    <n v="0"/>
    <n v="0"/>
    <n v="-74484.232439999992"/>
    <n v="0"/>
    <n v="0"/>
    <n v="0"/>
    <n v="344159.88054468972"/>
    <n v="0"/>
    <n v="0"/>
    <n v="0"/>
  </r>
  <r>
    <d v="2022-01-10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02.7"/>
    <n v="0"/>
    <n v="8.8331"/>
    <n v="702.7"/>
    <n v="0"/>
    <n v="0"/>
    <n v="0"/>
    <n v="0"/>
    <n v="0"/>
    <n v="5"/>
    <n v="18621.058110000002"/>
    <n v="-248280.77480000001"/>
    <n v="0"/>
    <n v="0"/>
    <n v="0"/>
    <n v="0"/>
    <n v="-18621.058109999998"/>
    <n v="0"/>
    <n v="0"/>
    <n v="0"/>
    <n v="324599.02764468972"/>
    <n v="0"/>
    <n v="0"/>
    <n v="0"/>
  </r>
  <r>
    <d v="2022-01-10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02.7"/>
    <n v="0"/>
    <n v="8.8331"/>
    <n v="702.7"/>
    <n v="0"/>
    <n v="0"/>
    <n v="0"/>
    <n v="0"/>
    <n v="0"/>
    <n v="5"/>
    <n v="-80691.251810000002"/>
    <n v="-248280.77480000001"/>
    <n v="0"/>
    <n v="0"/>
    <n v="0"/>
    <n v="0"/>
    <n v="80691.251810000002"/>
    <n v="0"/>
    <n v="0"/>
    <n v="0"/>
    <n v="407530.49964468973"/>
    <n v="0"/>
    <n v="0"/>
    <n v="0"/>
  </r>
  <r>
    <d v="2022-01-10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02.7"/>
    <n v="0"/>
    <n v="8.8331"/>
    <n v="702.7"/>
    <n v="0"/>
    <n v="0"/>
    <n v="0"/>
    <n v="0"/>
    <n v="0"/>
    <n v="5"/>
    <n v="-316557.98787000001"/>
    <n v="-248280.77480000001"/>
    <n v="0"/>
    <n v="0"/>
    <n v="0"/>
    <n v="0"/>
    <n v="-180003.56173000002"/>
    <n v="0"/>
    <n v="-42.058974580812979"/>
    <n v="0"/>
    <n v="732875.20764468983"/>
    <n v="0"/>
    <n v="0"/>
    <n v="0"/>
  </r>
  <r>
    <d v="2022-01-10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53.2"/>
    <n v="1"/>
    <n v="1"/>
    <n v="453.2"/>
    <n v="0"/>
    <n v="0"/>
    <n v="0"/>
    <n v="0"/>
    <n v="0"/>
    <n v="5"/>
    <n v="-6798"/>
    <n v="-2266"/>
    <n v="0"/>
    <n v="50356.825323999998"/>
    <n v="-286602.48738000001"/>
    <n v="-236245.662056"/>
    <n v="2266"/>
    <n v="0"/>
    <n v="-0.38386232875620224"/>
    <n v="0"/>
    <n v="739550.20764468983"/>
    <n v="739550.20764468983"/>
    <n v="0"/>
    <n v="503353.09629400005"/>
  </r>
  <r>
    <d v="2022-01-10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60.13121928176"/>
    <n v="0"/>
    <n v="0"/>
    <n v="0"/>
  </r>
  <r>
    <d v="2022-01-10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66"/>
    <n v="0"/>
    <n v="1.222642"/>
    <n v="1966"/>
    <n v="0"/>
    <n v="0"/>
    <n v="0"/>
    <n v="0"/>
    <n v="0"/>
    <n v="2"/>
    <n v="48074.283439999999"/>
    <n v="24037.14172"/>
    <n v="1"/>
    <n v="0"/>
    <n v="0"/>
    <n v="0"/>
    <n v="-48074.283440000007"/>
    <n v="0"/>
    <n v="0"/>
    <n v="0"/>
    <n v="450049.98061928176"/>
    <n v="0"/>
    <n v="0"/>
    <n v="0"/>
  </r>
  <r>
    <d v="2022-01-10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3.2"/>
    <n v="0"/>
    <n v="1"/>
    <n v="453.2"/>
    <n v="0"/>
    <n v="0"/>
    <n v="0"/>
    <n v="0"/>
    <n v="0"/>
    <n v="3"/>
    <n v="-2266"/>
    <n v="-675268"/>
    <n v="1"/>
    <n v="0"/>
    <n v="0"/>
    <n v="0"/>
    <n v="-2266"/>
    <n v="0"/>
    <n v="-0.38386232875620224"/>
    <n v="0"/>
    <n v="452349.98061928176"/>
    <n v="0"/>
    <n v="0"/>
    <n v="0"/>
  </r>
  <r>
    <d v="2022-01-10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66"/>
    <n v="0"/>
    <n v="1.222642"/>
    <n v="1966"/>
    <n v="0"/>
    <n v="0"/>
    <n v="0"/>
    <n v="0"/>
    <n v="0"/>
    <n v="3"/>
    <n v="-24037.14172"/>
    <n v="24037.14172"/>
    <n v="0"/>
    <n v="0"/>
    <n v="0"/>
    <n v="0"/>
    <n v="24037.141720000003"/>
    <n v="0"/>
    <n v="0"/>
    <n v="0"/>
    <n v="477503.27561928175"/>
    <n v="0"/>
    <n v="0"/>
    <n v="0"/>
  </r>
  <r>
    <d v="2022-01-10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3.2"/>
    <n v="0"/>
    <n v="1"/>
    <n v="453.2"/>
    <n v="0"/>
    <n v="0"/>
    <n v="0"/>
    <n v="0"/>
    <n v="0"/>
    <n v="3"/>
    <n v="6798"/>
    <n v="-675268"/>
    <n v="0"/>
    <n v="0"/>
    <n v="0"/>
    <n v="0"/>
    <n v="-2266"/>
    <n v="0"/>
    <n v="0"/>
    <n v="0"/>
    <n v="470603.27561928175"/>
    <n v="0"/>
    <n v="0"/>
    <n v="0"/>
  </r>
  <r>
    <d v="2022-01-10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53.2"/>
    <n v="1"/>
    <n v="1"/>
    <n v="453.2"/>
    <n v="0"/>
    <n v="0"/>
    <n v="0"/>
    <n v="0"/>
    <n v="0"/>
    <n v="3"/>
    <n v="-679800"/>
    <n v="-675268"/>
    <n v="0"/>
    <n v="24037.14172"/>
    <n v="-675268"/>
    <n v="-651230.85828000004"/>
    <n v="-670736"/>
    <n v="-25.093944420159584"/>
    <n v="-114.39097396934827"/>
    <n v="0"/>
    <n v="1138103.2756192819"/>
    <n v="1138103.2756192819"/>
    <n v="178656.85560000001"/>
    <n v="487012.28612000006"/>
  </r>
  <r>
    <d v="2022-01-10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0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0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5.29"/>
    <n v="0"/>
    <n v="7.7958499999999997"/>
    <n v="0"/>
    <n v="15.29"/>
    <n v="17.71"/>
    <n v="0"/>
    <n v="0"/>
    <n v="0"/>
    <n v="3"/>
    <n v="47679.418599999997"/>
    <n v="47679.418599999997"/>
    <n v="1"/>
    <n v="0"/>
    <n v="0"/>
    <n v="0"/>
    <n v="-51452.61"/>
    <n v="0"/>
    <n v="0"/>
    <n v="0"/>
    <n v="448804.72510231682"/>
    <n v="0"/>
    <n v="0"/>
    <n v="0"/>
  </r>
  <r>
    <d v="2022-01-10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0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2"/>
    <n v="0"/>
    <n v="1"/>
    <n v="453.2"/>
    <n v="0"/>
    <n v="0"/>
    <n v="0"/>
    <n v="0"/>
    <n v="0"/>
    <n v="4"/>
    <n v="4532"/>
    <n v="176748"/>
    <n v="1"/>
    <n v="0"/>
    <n v="0"/>
    <n v="0"/>
    <n v="-4532"/>
    <n v="0"/>
    <n v="0"/>
    <n v="0"/>
    <n v="424204.72510231682"/>
    <n v="0"/>
    <n v="0"/>
    <n v="0"/>
  </r>
  <r>
    <d v="2022-01-10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0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53.2"/>
    <n v="1"/>
    <n v="1"/>
    <n v="453.2"/>
    <n v="0"/>
    <n v="0"/>
    <n v="0"/>
    <n v="0"/>
    <n v="0"/>
    <n v="4"/>
    <n v="172216"/>
    <n v="176748"/>
    <n v="0"/>
    <n v="224427.4186"/>
    <n v="-5000"/>
    <n v="219427.4186"/>
    <n v="-172216"/>
    <n v="0"/>
    <n v="0"/>
    <n v="0"/>
    <n v="288204.72510231682"/>
    <n v="288204.72510231682"/>
    <n v="0"/>
    <n v="507632.82620000001"/>
  </r>
  <r>
    <d v="2022-01-10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0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9.17"/>
    <n v="0"/>
    <n v="7.7958499999999997"/>
    <n v="399.17"/>
    <n v="0"/>
    <n v="0"/>
    <n v="0"/>
    <n v="0"/>
    <n v="0"/>
    <n v="2"/>
    <n v="93356.083335000003"/>
    <n v="93356.083335000003"/>
    <n v="1"/>
    <n v="0"/>
    <n v="0"/>
    <n v="0"/>
    <n v="-93356.083335000003"/>
    <n v="0"/>
    <n v="0"/>
    <n v="0"/>
    <n v="409954.46750000003"/>
    <n v="0"/>
    <n v="0"/>
    <n v="0"/>
  </r>
  <r>
    <d v="2022-01-10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3.2"/>
    <n v="0"/>
    <n v="1"/>
    <n v="453.2"/>
    <n v="0"/>
    <n v="0"/>
    <n v="0"/>
    <n v="0"/>
    <n v="0"/>
    <n v="3"/>
    <n v="13596"/>
    <n v="13596"/>
    <n v="1"/>
    <n v="0"/>
    <n v="0"/>
    <n v="0"/>
    <n v="-13596"/>
    <n v="0"/>
    <n v="0"/>
    <n v="0"/>
    <n v="396154.46750000003"/>
    <n v="0"/>
    <n v="0"/>
    <n v="0"/>
  </r>
  <r>
    <d v="2022-01-10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5.29"/>
    <n v="0"/>
    <n v="7.7958499999999997"/>
    <n v="0"/>
    <n v="15.29"/>
    <n v="17.71"/>
    <n v="0"/>
    <n v="0"/>
    <n v="0"/>
    <n v="4"/>
    <n v="35759.563949999996"/>
    <n v="35759.563949999996"/>
    <n v="1"/>
    <n v="0"/>
    <n v="0"/>
    <n v="0"/>
    <n v="-38589.457499999997"/>
    <n v="0"/>
    <n v="0"/>
    <n v="0"/>
    <n v="365251.58795000002"/>
    <n v="0"/>
    <n v="0"/>
    <n v="0"/>
  </r>
  <r>
    <d v="2022-01-10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58499999999997"/>
    <n v="0"/>
    <n v="15.29"/>
    <n v="17.71"/>
    <n v="0"/>
    <n v="0"/>
    <n v="0"/>
    <n v="4"/>
    <n v="0"/>
    <n v="35759.563949999996"/>
    <n v="0"/>
    <n v="142711.64728500001"/>
    <n v="0"/>
    <n v="142711.64728500001"/>
    <n v="25726.305"/>
    <n v="0"/>
    <n v="0"/>
    <n v="0"/>
    <n v="382070.50044999999"/>
    <n v="382070.50044999999"/>
    <n v="0"/>
    <n v="524782.14773500001"/>
  </r>
  <r>
    <d v="2022-01-10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3227534251"/>
    <n v="0"/>
    <n v="0"/>
    <n v="0"/>
  </r>
  <r>
    <d v="2022-01-10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9000000000000004"/>
    <n v="0"/>
    <n v="7.7958499999999997"/>
    <n v="0"/>
    <n v="0"/>
    <n v="0"/>
    <n v="3.9000000000000004"/>
    <n v="45"/>
    <n v="0"/>
    <n v="2"/>
    <n v="-30403.815000000002"/>
    <n v="-30403.815000000002"/>
    <n v="1"/>
    <n v="0"/>
    <n v="0"/>
    <n v="0"/>
    <n v="0"/>
    <n v="0"/>
    <n v="0"/>
    <n v="0"/>
    <n v="527282.57227534242"/>
    <n v="0"/>
    <n v="0"/>
    <n v="0"/>
  </r>
  <r>
    <d v="2022-01-10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9000000000000004"/>
    <n v="0"/>
    <n v="7.7958499999999997"/>
    <n v="0"/>
    <n v="0"/>
    <n v="0"/>
    <n v="2.9000000000000004"/>
    <n v="40"/>
    <n v="0"/>
    <n v="3"/>
    <n v="22607.965000000004"/>
    <n v="22607.965000000004"/>
    <n v="1"/>
    <n v="0"/>
    <n v="0"/>
    <n v="0"/>
    <n v="0"/>
    <n v="0"/>
    <n v="0"/>
    <n v="0"/>
    <n v="507794.4722753425"/>
    <n v="0"/>
    <n v="0"/>
    <n v="0"/>
  </r>
  <r>
    <d v="2022-01-10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53.2"/>
    <n v="0"/>
    <n v="1"/>
    <n v="453.2"/>
    <n v="0"/>
    <n v="0"/>
    <n v="0"/>
    <n v="0"/>
    <n v="0"/>
    <n v="4"/>
    <n v="18128"/>
    <n v="-4532"/>
    <n v="1"/>
    <n v="0"/>
    <n v="0"/>
    <n v="0"/>
    <n v="-18128"/>
    <n v="0"/>
    <n v="0"/>
    <n v="0"/>
    <n v="490594.4722753425"/>
    <n v="0"/>
    <n v="0"/>
    <n v="0"/>
  </r>
  <r>
    <d v="2022-01-10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53.2"/>
    <n v="0"/>
    <n v="1"/>
    <n v="453.2"/>
    <n v="0"/>
    <n v="0"/>
    <n v="0"/>
    <n v="0"/>
    <n v="0"/>
    <n v="4"/>
    <n v="-22660"/>
    <n v="-4532"/>
    <n v="0"/>
    <n v="0"/>
    <n v="0"/>
    <n v="0"/>
    <n v="13596"/>
    <n v="0"/>
    <n v="-0.76772465751240448"/>
    <n v="0"/>
    <n v="512594.4722753425"/>
    <n v="0"/>
    <n v="0"/>
    <n v="0"/>
  </r>
  <r>
    <d v="2022-01-10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58499999999997"/>
    <n v="0"/>
    <n v="15.29"/>
    <n v="17.71"/>
    <n v="0"/>
    <n v="0"/>
    <n v="0"/>
    <n v="5"/>
    <n v="0"/>
    <n v="0"/>
    <n v="1"/>
    <n v="22607.965000000004"/>
    <n v="-34935.815000000002"/>
    <n v="-12327.849999999999"/>
    <n v="-25726.305"/>
    <n v="0"/>
    <n v="0"/>
    <n v="0"/>
    <n v="529421.8441353424"/>
    <n v="529421.8441353424"/>
    <n v="0"/>
    <n v="517094.76185999997"/>
  </r>
  <r>
    <d v="2022-01-10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94707269635"/>
    <n v="0"/>
    <n v="0"/>
    <n v="0"/>
  </r>
  <r>
    <d v="2022-01-11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07.24"/>
    <n v="0"/>
    <n v="7.7960950000000002"/>
    <n v="3307.24"/>
    <n v="0"/>
    <n v="0"/>
    <n v="0"/>
    <n v="0"/>
    <n v="0"/>
    <n v="2"/>
    <n v="51567.1144556"/>
    <n v="51567.1144556"/>
    <n v="1"/>
    <n v="0"/>
    <n v="0"/>
    <n v="0"/>
    <n v="-51567.1144556"/>
    <n v="0"/>
    <n v="0"/>
    <n v="0"/>
    <n v="447561.15507269633"/>
    <n v="0"/>
    <n v="0"/>
    <n v="0"/>
  </r>
  <r>
    <d v="2022-01-11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60"/>
    <n v="0"/>
    <n v="1"/>
    <n v="460"/>
    <n v="0"/>
    <n v="0"/>
    <n v="0"/>
    <n v="0"/>
    <n v="0"/>
    <n v="3"/>
    <n v="4600"/>
    <n v="-2300"/>
    <n v="1"/>
    <n v="0"/>
    <n v="0"/>
    <n v="0"/>
    <n v="-4600"/>
    <n v="0"/>
    <n v="0"/>
    <n v="0"/>
    <n v="442961.15507269633"/>
    <n v="0"/>
    <n v="0"/>
    <n v="0"/>
  </r>
  <r>
    <d v="2022-01-11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0.55"/>
    <n v="0"/>
    <n v="1.223041"/>
    <n v="1940.55"/>
    <n v="0"/>
    <n v="0"/>
    <n v="0"/>
    <n v="0"/>
    <n v="0"/>
    <n v="4"/>
    <n v="-35600.583188249999"/>
    <n v="-35600.583188249999"/>
    <n v="1"/>
    <n v="0"/>
    <n v="0"/>
    <n v="0"/>
    <n v="-35600.583188250006"/>
    <n v="0"/>
    <n v="-6.0307690943162164"/>
    <n v="0"/>
    <n v="480686.82332269632"/>
    <n v="0"/>
    <n v="0"/>
    <n v="0"/>
  </r>
  <r>
    <d v="2022-01-11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0"/>
    <n v="0"/>
    <n v="8.8614999999999995"/>
    <n v="710"/>
    <n v="0"/>
    <n v="0"/>
    <n v="0"/>
    <n v="0"/>
    <n v="0"/>
    <n v="5"/>
    <n v="62916.649999999994"/>
    <n v="-251666.59999999998"/>
    <n v="1"/>
    <n v="0"/>
    <n v="0"/>
    <n v="0"/>
    <n v="-62916.649999999994"/>
    <n v="0"/>
    <n v="0"/>
    <n v="0"/>
    <n v="415962.61432269629"/>
    <n v="0"/>
    <n v="0"/>
    <n v="0"/>
  </r>
  <r>
    <d v="2022-01-11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0"/>
    <n v="0"/>
    <n v="8.8614999999999995"/>
    <n v="710"/>
    <n v="0"/>
    <n v="0"/>
    <n v="0"/>
    <n v="0"/>
    <n v="0"/>
    <n v="5"/>
    <n v="-31458.324999999997"/>
    <n v="-251666.59999999998"/>
    <n v="0"/>
    <n v="0"/>
    <n v="0"/>
    <n v="0"/>
    <n v="31458.324999999997"/>
    <n v="0"/>
    <n v="0"/>
    <n v="0"/>
    <n v="448504.11432269629"/>
    <n v="0"/>
    <n v="0"/>
    <n v="0"/>
  </r>
  <r>
    <d v="2022-01-11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0"/>
    <n v="0"/>
    <n v="8.8614999999999995"/>
    <n v="710"/>
    <n v="0"/>
    <n v="0"/>
    <n v="0"/>
    <n v="0"/>
    <n v="0"/>
    <n v="5"/>
    <n v="25166.66"/>
    <n v="-251666.59999999998"/>
    <n v="0"/>
    <n v="0"/>
    <n v="0"/>
    <n v="0"/>
    <n v="-25166.66"/>
    <n v="0"/>
    <n v="0"/>
    <n v="0"/>
    <n v="422402.78992269631"/>
    <n v="0"/>
    <n v="0"/>
    <n v="0"/>
  </r>
  <r>
    <d v="2022-01-11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0"/>
    <n v="0"/>
    <n v="8.8614999999999995"/>
    <n v="710"/>
    <n v="0"/>
    <n v="0"/>
    <n v="0"/>
    <n v="0"/>
    <n v="0"/>
    <n v="5"/>
    <n v="75499.98"/>
    <n v="-251666.59999999998"/>
    <n v="0"/>
    <n v="0"/>
    <n v="0"/>
    <n v="0"/>
    <n v="-75499.98"/>
    <n v="0"/>
    <n v="0"/>
    <n v="0"/>
    <n v="344159.37832269631"/>
    <n v="0"/>
    <n v="0"/>
    <n v="0"/>
  </r>
  <r>
    <d v="2022-01-11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0"/>
    <n v="0"/>
    <n v="8.8614999999999995"/>
    <n v="710"/>
    <n v="0"/>
    <n v="0"/>
    <n v="0"/>
    <n v="0"/>
    <n v="0"/>
    <n v="5"/>
    <n v="18874.994999999999"/>
    <n v="-251666.59999999998"/>
    <n v="0"/>
    <n v="0"/>
    <n v="0"/>
    <n v="0"/>
    <n v="-18874.994999999999"/>
    <n v="0"/>
    <n v="0"/>
    <n v="0"/>
    <n v="324598.52542269632"/>
    <n v="0"/>
    <n v="0"/>
    <n v="0"/>
  </r>
  <r>
    <d v="2022-01-11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0"/>
    <n v="0"/>
    <n v="8.8614999999999995"/>
    <n v="710"/>
    <n v="0"/>
    <n v="0"/>
    <n v="0"/>
    <n v="0"/>
    <n v="0"/>
    <n v="5"/>
    <n v="-81791.64499999999"/>
    <n v="-251666.59999999998"/>
    <n v="0"/>
    <n v="0"/>
    <n v="0"/>
    <n v="0"/>
    <n v="81791.645000000004"/>
    <n v="0"/>
    <n v="0"/>
    <n v="0"/>
    <n v="407529.99742269632"/>
    <n v="0"/>
    <n v="0"/>
    <n v="0"/>
  </r>
  <r>
    <d v="2022-01-11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0"/>
    <n v="0"/>
    <n v="8.8614999999999995"/>
    <n v="710"/>
    <n v="0"/>
    <n v="0"/>
    <n v="0"/>
    <n v="0"/>
    <n v="0"/>
    <n v="5"/>
    <n v="-320874.91499999998"/>
    <n v="-251666.59999999998"/>
    <n v="0"/>
    <n v="0"/>
    <n v="0"/>
    <n v="0"/>
    <n v="-182458.285"/>
    <n v="0"/>
    <n v="-42.632536251613253"/>
    <n v="0"/>
    <n v="732874.70542269642"/>
    <n v="0"/>
    <n v="0"/>
    <n v="0"/>
  </r>
  <r>
    <d v="2022-01-11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60"/>
    <n v="1"/>
    <n v="1"/>
    <n v="460"/>
    <n v="0"/>
    <n v="0"/>
    <n v="0"/>
    <n v="0"/>
    <n v="0"/>
    <n v="5"/>
    <n v="-6900"/>
    <n v="-2300"/>
    <n v="0"/>
    <n v="51567.1144556"/>
    <n v="-289567.18318825"/>
    <n v="-238000.06873264999"/>
    <n v="2300"/>
    <n v="0"/>
    <n v="-0.38962195769605701"/>
    <n v="0"/>
    <n v="739549.70542269642"/>
    <n v="739549.70542269642"/>
    <n v="0"/>
    <n v="501598.68961735"/>
  </r>
  <r>
    <d v="2022-01-1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8.40909022873"/>
    <n v="0"/>
    <n v="0"/>
    <n v="0"/>
  </r>
  <r>
    <d v="2022-01-11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0.55"/>
    <n v="0"/>
    <n v="1.223041"/>
    <n v="1940.55"/>
    <n v="0"/>
    <n v="0"/>
    <n v="0"/>
    <n v="0"/>
    <n v="0"/>
    <n v="2"/>
    <n v="47467.444251000001"/>
    <n v="23733.7221255"/>
    <n v="1"/>
    <n v="0"/>
    <n v="0"/>
    <n v="0"/>
    <n v="-47467.444251000001"/>
    <n v="0"/>
    <n v="0"/>
    <n v="0"/>
    <n v="450048.25849022873"/>
    <n v="0"/>
    <n v="0"/>
    <n v="0"/>
  </r>
  <r>
    <d v="2022-01-11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60"/>
    <n v="0"/>
    <n v="1"/>
    <n v="460"/>
    <n v="0"/>
    <n v="0"/>
    <n v="0"/>
    <n v="0"/>
    <n v="0"/>
    <n v="3"/>
    <n v="-2300"/>
    <n v="-685400"/>
    <n v="1"/>
    <n v="0"/>
    <n v="0"/>
    <n v="0"/>
    <n v="-2300"/>
    <n v="0"/>
    <n v="-0.38962195769605701"/>
    <n v="0"/>
    <n v="452348.25849022873"/>
    <n v="0"/>
    <n v="0"/>
    <n v="0"/>
  </r>
  <r>
    <d v="2022-01-11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0.55"/>
    <n v="0"/>
    <n v="1.223041"/>
    <n v="1940.55"/>
    <n v="0"/>
    <n v="0"/>
    <n v="0"/>
    <n v="0"/>
    <n v="0"/>
    <n v="3"/>
    <n v="-23733.7221255"/>
    <n v="23733.7221255"/>
    <n v="0"/>
    <n v="0"/>
    <n v="0"/>
    <n v="0"/>
    <n v="23733.7221255"/>
    <n v="0"/>
    <n v="0"/>
    <n v="0"/>
    <n v="477501.55349022872"/>
    <n v="0"/>
    <n v="0"/>
    <n v="0"/>
  </r>
  <r>
    <d v="2022-01-11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60"/>
    <n v="0"/>
    <n v="1"/>
    <n v="460"/>
    <n v="0"/>
    <n v="0"/>
    <n v="0"/>
    <n v="0"/>
    <n v="0"/>
    <n v="3"/>
    <n v="6900"/>
    <n v="-685400"/>
    <n v="0"/>
    <n v="0"/>
    <n v="0"/>
    <n v="0"/>
    <n v="-2300"/>
    <n v="0"/>
    <n v="0"/>
    <n v="0"/>
    <n v="470601.55349022872"/>
    <n v="0"/>
    <n v="0"/>
    <n v="0"/>
  </r>
  <r>
    <d v="2022-01-11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60"/>
    <n v="1"/>
    <n v="1"/>
    <n v="460"/>
    <n v="0"/>
    <n v="0"/>
    <n v="0"/>
    <n v="0"/>
    <n v="0"/>
    <n v="3"/>
    <n v="-690000"/>
    <n v="-685400"/>
    <n v="0"/>
    <n v="23733.7221255"/>
    <n v="-685400"/>
    <n v="-661666.27787450003"/>
    <n v="-680800"/>
    <n v="-25.093944420159584"/>
    <n v="-116.10734339342498"/>
    <n v="0"/>
    <n v="1138101.5534902287"/>
    <n v="1138101.5534902287"/>
    <n v="178656.85560000001"/>
    <n v="476576.86652550008"/>
  </r>
  <r>
    <d v="2022-01-1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1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1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4.29"/>
    <n v="0"/>
    <n v="7.7960950000000002"/>
    <n v="0"/>
    <n v="14.29"/>
    <n v="16.71"/>
    <n v="0"/>
    <n v="0"/>
    <n v="0"/>
    <n v="3"/>
    <n v="44562.479019999999"/>
    <n v="44562.479019999999"/>
    <n v="1"/>
    <n v="0"/>
    <n v="0"/>
    <n v="0"/>
    <n v="-48335.788999999997"/>
    <n v="0"/>
    <n v="0"/>
    <n v="0"/>
    <n v="448804.72510231682"/>
    <n v="0"/>
    <n v="0"/>
    <n v="0"/>
  </r>
  <r>
    <d v="2022-01-11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1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60"/>
    <n v="0"/>
    <n v="1"/>
    <n v="460"/>
    <n v="0"/>
    <n v="0"/>
    <n v="0"/>
    <n v="0"/>
    <n v="0"/>
    <n v="4"/>
    <n v="4600"/>
    <n v="179400"/>
    <n v="1"/>
    <n v="0"/>
    <n v="0"/>
    <n v="0"/>
    <n v="-4600"/>
    <n v="0"/>
    <n v="0"/>
    <n v="0"/>
    <n v="424204.72510231682"/>
    <n v="0"/>
    <n v="0"/>
    <n v="0"/>
  </r>
  <r>
    <d v="2022-01-11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1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60"/>
    <n v="1"/>
    <n v="1"/>
    <n v="460"/>
    <n v="0"/>
    <n v="0"/>
    <n v="0"/>
    <n v="0"/>
    <n v="0"/>
    <n v="4"/>
    <n v="174800"/>
    <n v="179400"/>
    <n v="0"/>
    <n v="223962.47902"/>
    <n v="-5000"/>
    <n v="218962.47902"/>
    <n v="-174800"/>
    <n v="0"/>
    <n v="0"/>
    <n v="0"/>
    <n v="288204.72510231682"/>
    <n v="288204.72510231682"/>
    <n v="0"/>
    <n v="507167.88662"/>
  </r>
  <r>
    <d v="2022-01-1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1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403.05"/>
    <n v="0"/>
    <n v="7.7960950000000002"/>
    <n v="403.05"/>
    <n v="0"/>
    <n v="0"/>
    <n v="0"/>
    <n v="0"/>
    <n v="0"/>
    <n v="2"/>
    <n v="94266.482692500009"/>
    <n v="94266.482692500009"/>
    <n v="1"/>
    <n v="0"/>
    <n v="0"/>
    <n v="0"/>
    <n v="-94266.482692500009"/>
    <n v="0"/>
    <n v="0"/>
    <n v="0"/>
    <n v="409954.46750000003"/>
    <n v="0"/>
    <n v="0"/>
    <n v="0"/>
  </r>
  <r>
    <d v="2022-01-11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60"/>
    <n v="0"/>
    <n v="1"/>
    <n v="460"/>
    <n v="0"/>
    <n v="0"/>
    <n v="0"/>
    <n v="0"/>
    <n v="0"/>
    <n v="3"/>
    <n v="13800"/>
    <n v="13800"/>
    <n v="1"/>
    <n v="0"/>
    <n v="0"/>
    <n v="0"/>
    <n v="-13800"/>
    <n v="0"/>
    <n v="0"/>
    <n v="0"/>
    <n v="396154.46750000003"/>
    <n v="0"/>
    <n v="0"/>
    <n v="0"/>
  </r>
  <r>
    <d v="2022-01-11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4.29"/>
    <n v="0"/>
    <n v="7.7960950000000002"/>
    <n v="0"/>
    <n v="14.29"/>
    <n v="16.71"/>
    <n v="0"/>
    <n v="0"/>
    <n v="0"/>
    <n v="4"/>
    <n v="33421.859264999999"/>
    <n v="33421.859264999999"/>
    <n v="1"/>
    <n v="0"/>
    <n v="0"/>
    <n v="0"/>
    <n v="-36251.84175"/>
    <n v="0"/>
    <n v="0"/>
    <n v="0"/>
    <n v="365251.58795000002"/>
    <n v="0"/>
    <n v="0"/>
    <n v="0"/>
  </r>
  <r>
    <d v="2022-01-11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60950000000002"/>
    <n v="0"/>
    <n v="14.29"/>
    <n v="16.71"/>
    <n v="0"/>
    <n v="0"/>
    <n v="0"/>
    <n v="4"/>
    <n v="0"/>
    <n v="33421.859264999999"/>
    <n v="0"/>
    <n v="141488.3419575"/>
    <n v="0"/>
    <n v="141488.3419575"/>
    <n v="24167.894499999999"/>
    <n v="0"/>
    <n v="0"/>
    <n v="0"/>
    <n v="382070.50044999999"/>
    <n v="382070.50044999999"/>
    <n v="0"/>
    <n v="523558.84240750002"/>
  </r>
  <r>
    <d v="2022-01-1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207560846"/>
    <n v="0"/>
    <n v="0"/>
    <n v="0"/>
  </r>
  <r>
    <d v="2022-01-11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8000000000000003"/>
    <n v="0"/>
    <n v="7.7960950000000002"/>
    <n v="0"/>
    <n v="0"/>
    <n v="0"/>
    <n v="3.8000000000000003"/>
    <n v="45"/>
    <n v="0"/>
    <n v="2"/>
    <n v="-29625.161000000004"/>
    <n v="-29625.161000000004"/>
    <n v="1"/>
    <n v="0"/>
    <n v="0"/>
    <n v="0"/>
    <n v="0"/>
    <n v="0"/>
    <n v="0"/>
    <n v="0"/>
    <n v="527282.56075608463"/>
    <n v="0"/>
    <n v="0"/>
    <n v="0"/>
  </r>
  <r>
    <d v="2022-01-11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8000000000000003"/>
    <n v="0"/>
    <n v="7.7960950000000002"/>
    <n v="0"/>
    <n v="0"/>
    <n v="0"/>
    <n v="2.8000000000000003"/>
    <n v="40"/>
    <n v="0"/>
    <n v="3"/>
    <n v="21829.066000000003"/>
    <n v="21829.066000000003"/>
    <n v="1"/>
    <n v="0"/>
    <n v="0"/>
    <n v="0"/>
    <n v="0"/>
    <n v="0"/>
    <n v="0"/>
    <n v="0"/>
    <n v="507794.46075608459"/>
    <n v="0"/>
    <n v="0"/>
    <n v="0"/>
  </r>
  <r>
    <d v="2022-01-11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60"/>
    <n v="0"/>
    <n v="1"/>
    <n v="460"/>
    <n v="0"/>
    <n v="0"/>
    <n v="0"/>
    <n v="0"/>
    <n v="0"/>
    <n v="4"/>
    <n v="18400"/>
    <n v="-4600"/>
    <n v="1"/>
    <n v="0"/>
    <n v="0"/>
    <n v="0"/>
    <n v="-18400"/>
    <n v="0"/>
    <n v="0"/>
    <n v="0"/>
    <n v="490594.46075608459"/>
    <n v="0"/>
    <n v="0"/>
    <n v="0"/>
  </r>
  <r>
    <d v="2022-01-11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60"/>
    <n v="0"/>
    <n v="1"/>
    <n v="460"/>
    <n v="0"/>
    <n v="0"/>
    <n v="0"/>
    <n v="0"/>
    <n v="0"/>
    <n v="4"/>
    <n v="-23000"/>
    <n v="-4600"/>
    <n v="0"/>
    <n v="0"/>
    <n v="0"/>
    <n v="0"/>
    <n v="13800"/>
    <n v="0"/>
    <n v="-0.77924391539211402"/>
    <n v="0"/>
    <n v="512594.46075608459"/>
    <n v="0"/>
    <n v="0"/>
    <n v="0"/>
  </r>
  <r>
    <d v="2022-01-11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60950000000002"/>
    <n v="0"/>
    <n v="14.29"/>
    <n v="16.71"/>
    <n v="0"/>
    <n v="0"/>
    <n v="0"/>
    <n v="5"/>
    <n v="0"/>
    <n v="0"/>
    <n v="1"/>
    <n v="21829.066000000003"/>
    <n v="-34225.161000000007"/>
    <n v="-12396.095000000005"/>
    <n v="-24167.894499999999"/>
    <n v="0"/>
    <n v="0"/>
    <n v="0"/>
    <n v="529421.8326160846"/>
    <n v="529421.8326160846"/>
    <n v="0"/>
    <n v="517026.51685999992"/>
  </r>
  <r>
    <d v="2022-01-1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2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65747187095"/>
    <n v="0"/>
    <n v="0"/>
    <n v="0"/>
  </r>
  <r>
    <d v="2022-01-12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04.14"/>
    <n v="0"/>
    <n v="7.7920499999999997"/>
    <n v="3304.14"/>
    <n v="0"/>
    <n v="0"/>
    <n v="0"/>
    <n v="0"/>
    <n v="0"/>
    <n v="2"/>
    <n v="51492.048173999996"/>
    <n v="51492.048173999996"/>
    <n v="1"/>
    <n v="0"/>
    <n v="0"/>
    <n v="0"/>
    <n v="-51492.048173999996"/>
    <n v="0"/>
    <n v="0"/>
    <n v="0"/>
    <n v="447560.86547187093"/>
    <n v="0"/>
    <n v="0"/>
    <n v="0"/>
  </r>
  <r>
    <d v="2022-01-12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80.8"/>
    <n v="0"/>
    <n v="1"/>
    <n v="480.8"/>
    <n v="0"/>
    <n v="0"/>
    <n v="0"/>
    <n v="0"/>
    <n v="0"/>
    <n v="3"/>
    <n v="4808"/>
    <n v="-2404"/>
    <n v="1"/>
    <n v="0"/>
    <n v="0"/>
    <n v="0"/>
    <n v="-4808"/>
    <n v="0"/>
    <n v="0"/>
    <n v="0"/>
    <n v="442960.86547187093"/>
    <n v="0"/>
    <n v="0"/>
    <n v="0"/>
  </r>
  <r>
    <d v="2022-01-12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67"/>
    <n v="0"/>
    <n v="1.2252270000000001"/>
    <n v="1967"/>
    <n v="0"/>
    <n v="0"/>
    <n v="0"/>
    <n v="0"/>
    <n v="0"/>
    <n v="4"/>
    <n v="-36150.322635000004"/>
    <n v="-36150.322635000004"/>
    <n v="1"/>
    <n v="0"/>
    <n v="0"/>
    <n v="0"/>
    <n v="-36150.322635000004"/>
    <n v="0"/>
    <n v="-6.1238954245186017"/>
    <n v="0"/>
    <n v="480686.53372187092"/>
    <n v="0"/>
    <n v="0"/>
    <n v="0"/>
  </r>
  <r>
    <d v="2022-01-12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08.7"/>
    <n v="0"/>
    <n v="8.9149999999999991"/>
    <n v="708.7"/>
    <n v="0"/>
    <n v="0"/>
    <n v="0"/>
    <n v="0"/>
    <n v="0"/>
    <n v="5"/>
    <n v="63180.604999999996"/>
    <n v="-252722.41999999998"/>
    <n v="1"/>
    <n v="0"/>
    <n v="0"/>
    <n v="0"/>
    <n v="-63180.604999999996"/>
    <n v="0"/>
    <n v="0"/>
    <n v="0"/>
    <n v="415962.32472187089"/>
    <n v="0"/>
    <n v="0"/>
    <n v="0"/>
  </r>
  <r>
    <d v="2022-01-12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08.7"/>
    <n v="0"/>
    <n v="8.9149999999999991"/>
    <n v="708.7"/>
    <n v="0"/>
    <n v="0"/>
    <n v="0"/>
    <n v="0"/>
    <n v="0"/>
    <n v="5"/>
    <n v="-31590.302499999998"/>
    <n v="-252722.41999999998"/>
    <n v="0"/>
    <n v="0"/>
    <n v="0"/>
    <n v="0"/>
    <n v="31590.302499999998"/>
    <n v="0"/>
    <n v="0"/>
    <n v="0"/>
    <n v="448503.82472187089"/>
    <n v="0"/>
    <n v="0"/>
    <n v="0"/>
  </r>
  <r>
    <d v="2022-01-12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08.7"/>
    <n v="0"/>
    <n v="8.9149999999999991"/>
    <n v="708.7"/>
    <n v="0"/>
    <n v="0"/>
    <n v="0"/>
    <n v="0"/>
    <n v="0"/>
    <n v="5"/>
    <n v="25272.241999999998"/>
    <n v="-252722.41999999998"/>
    <n v="0"/>
    <n v="0"/>
    <n v="0"/>
    <n v="0"/>
    <n v="-25272.241999999998"/>
    <n v="0"/>
    <n v="0"/>
    <n v="0"/>
    <n v="422402.5003218709"/>
    <n v="0"/>
    <n v="0"/>
    <n v="0"/>
  </r>
  <r>
    <d v="2022-01-12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08.7"/>
    <n v="0"/>
    <n v="8.9149999999999991"/>
    <n v="708.7"/>
    <n v="0"/>
    <n v="0"/>
    <n v="0"/>
    <n v="0"/>
    <n v="0"/>
    <n v="5"/>
    <n v="75816.72600000001"/>
    <n v="-252722.41999999998"/>
    <n v="0"/>
    <n v="0"/>
    <n v="0"/>
    <n v="0"/>
    <n v="-75816.725999999995"/>
    <n v="0"/>
    <n v="0"/>
    <n v="0"/>
    <n v="344159.08872187091"/>
    <n v="0"/>
    <n v="0"/>
    <n v="0"/>
  </r>
  <r>
    <d v="2022-01-12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08.7"/>
    <n v="0"/>
    <n v="8.9149999999999991"/>
    <n v="708.7"/>
    <n v="0"/>
    <n v="0"/>
    <n v="0"/>
    <n v="0"/>
    <n v="0"/>
    <n v="5"/>
    <n v="18954.181500000002"/>
    <n v="-252722.41999999998"/>
    <n v="0"/>
    <n v="0"/>
    <n v="0"/>
    <n v="0"/>
    <n v="-18954.181499999999"/>
    <n v="0"/>
    <n v="0"/>
    <n v="0"/>
    <n v="324598.23582187091"/>
    <n v="0"/>
    <n v="0"/>
    <n v="0"/>
  </r>
  <r>
    <d v="2022-01-12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08.7"/>
    <n v="0"/>
    <n v="8.9149999999999991"/>
    <n v="708.7"/>
    <n v="0"/>
    <n v="0"/>
    <n v="0"/>
    <n v="0"/>
    <n v="0"/>
    <n v="5"/>
    <n v="-82134.786500000002"/>
    <n v="-252722.41999999998"/>
    <n v="0"/>
    <n v="0"/>
    <n v="0"/>
    <n v="0"/>
    <n v="82134.786499999987"/>
    <n v="0"/>
    <n v="0"/>
    <n v="0"/>
    <n v="407529.70782187092"/>
    <n v="0"/>
    <n v="0"/>
    <n v="0"/>
  </r>
  <r>
    <d v="2022-01-12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08.7"/>
    <n v="0"/>
    <n v="8.9149999999999991"/>
    <n v="708.7"/>
    <n v="0"/>
    <n v="0"/>
    <n v="0"/>
    <n v="0"/>
    <n v="0"/>
    <n v="5"/>
    <n v="-322221.08549999999"/>
    <n v="-252722.41999999998"/>
    <n v="0"/>
    <n v="0"/>
    <n v="0"/>
    <n v="0"/>
    <n v="-183223.75449999998"/>
    <n v="0"/>
    <n v="-42.811393058297888"/>
    <n v="0"/>
    <n v="732874.41582187102"/>
    <n v="0"/>
    <n v="0"/>
    <n v="0"/>
  </r>
  <r>
    <d v="2022-01-12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80.8"/>
    <n v="1"/>
    <n v="1"/>
    <n v="480.8"/>
    <n v="0"/>
    <n v="0"/>
    <n v="0"/>
    <n v="0"/>
    <n v="0"/>
    <n v="5"/>
    <n v="-7212"/>
    <n v="-2404"/>
    <n v="0"/>
    <n v="51492.048173999996"/>
    <n v="-291276.74263499997"/>
    <n v="-239784.69446099998"/>
    <n v="2404"/>
    <n v="0"/>
    <n v="-0.40723964621796566"/>
    <n v="0"/>
    <n v="739549.41582187102"/>
    <n v="739549.41582187102"/>
    <n v="0"/>
    <n v="499814.06388900004"/>
  </r>
  <r>
    <d v="2022-01-12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3.14140136068"/>
    <n v="0"/>
    <n v="0"/>
    <n v="0"/>
  </r>
  <r>
    <d v="2022-01-12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67"/>
    <n v="0"/>
    <n v="1.2252270000000001"/>
    <n v="1967"/>
    <n v="0"/>
    <n v="0"/>
    <n v="0"/>
    <n v="0"/>
    <n v="0"/>
    <n v="2"/>
    <n v="48200.430180000003"/>
    <n v="24100.215090000002"/>
    <n v="1"/>
    <n v="0"/>
    <n v="0"/>
    <n v="0"/>
    <n v="-48200.430180000003"/>
    <n v="0"/>
    <n v="0"/>
    <n v="0"/>
    <n v="450042.99080136069"/>
    <n v="0"/>
    <n v="0"/>
    <n v="0"/>
  </r>
  <r>
    <d v="2022-01-12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80.8"/>
    <n v="0"/>
    <n v="1"/>
    <n v="480.8"/>
    <n v="0"/>
    <n v="0"/>
    <n v="0"/>
    <n v="0"/>
    <n v="0"/>
    <n v="3"/>
    <n v="-2404"/>
    <n v="-716392"/>
    <n v="1"/>
    <n v="0"/>
    <n v="0"/>
    <n v="0"/>
    <n v="-2404"/>
    <n v="0"/>
    <n v="-0.40723964621796566"/>
    <n v="0"/>
    <n v="452342.99080136069"/>
    <n v="0"/>
    <n v="0"/>
    <n v="0"/>
  </r>
  <r>
    <d v="2022-01-12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67"/>
    <n v="0"/>
    <n v="1.2252270000000001"/>
    <n v="1967"/>
    <n v="0"/>
    <n v="0"/>
    <n v="0"/>
    <n v="0"/>
    <n v="0"/>
    <n v="3"/>
    <n v="-24100.215090000002"/>
    <n v="24100.215090000002"/>
    <n v="0"/>
    <n v="0"/>
    <n v="0"/>
    <n v="0"/>
    <n v="24100.215090000002"/>
    <n v="0"/>
    <n v="0"/>
    <n v="0"/>
    <n v="477496.28580136067"/>
    <n v="0"/>
    <n v="0"/>
    <n v="0"/>
  </r>
  <r>
    <d v="2022-01-12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80.8"/>
    <n v="0"/>
    <n v="1"/>
    <n v="480.8"/>
    <n v="0"/>
    <n v="0"/>
    <n v="0"/>
    <n v="0"/>
    <n v="0"/>
    <n v="3"/>
    <n v="7212"/>
    <n v="-716392"/>
    <n v="0"/>
    <n v="0"/>
    <n v="0"/>
    <n v="0"/>
    <n v="-2404"/>
    <n v="0"/>
    <n v="0"/>
    <n v="0"/>
    <n v="470596.28580136067"/>
    <n v="0"/>
    <n v="0"/>
    <n v="0"/>
  </r>
  <r>
    <d v="2022-01-12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80.8"/>
    <n v="1"/>
    <n v="1"/>
    <n v="480.8"/>
    <n v="0"/>
    <n v="0"/>
    <n v="0"/>
    <n v="0"/>
    <n v="0"/>
    <n v="3"/>
    <n v="-721200"/>
    <n v="-716392"/>
    <n v="0"/>
    <n v="24100.215090000002"/>
    <n v="-716392"/>
    <n v="-692291.78491000005"/>
    <n v="-711584"/>
    <n v="-25.093944420159584"/>
    <n v="-121.35741457295377"/>
    <n v="0"/>
    <n v="1138096.2858013608"/>
    <n v="1138096.2858013608"/>
    <n v="178656.85560000001"/>
    <n v="445951.35949000006"/>
  </r>
  <r>
    <d v="2022-01-12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2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2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3.29"/>
    <n v="0"/>
    <n v="7.7920499999999997"/>
    <n v="0"/>
    <n v="13.29"/>
    <n v="15.71"/>
    <n v="0"/>
    <n v="0"/>
    <n v="0"/>
    <n v="3"/>
    <n v="41422.537799999998"/>
    <n v="41422.537799999998"/>
    <n v="1"/>
    <n v="0"/>
    <n v="0"/>
    <n v="0"/>
    <n v="-45193.89"/>
    <n v="0"/>
    <n v="0"/>
    <n v="0"/>
    <n v="448804.72510231682"/>
    <n v="0"/>
    <n v="0"/>
    <n v="0"/>
  </r>
  <r>
    <d v="2022-01-12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2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80.8"/>
    <n v="0"/>
    <n v="1"/>
    <n v="480.8"/>
    <n v="0"/>
    <n v="0"/>
    <n v="0"/>
    <n v="0"/>
    <n v="0"/>
    <n v="4"/>
    <n v="4808"/>
    <n v="187512"/>
    <n v="1"/>
    <n v="0"/>
    <n v="0"/>
    <n v="0"/>
    <n v="-4808"/>
    <n v="0"/>
    <n v="0"/>
    <n v="0"/>
    <n v="424204.72510231682"/>
    <n v="0"/>
    <n v="0"/>
    <n v="0"/>
  </r>
  <r>
    <d v="2022-01-12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2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80.8"/>
    <n v="1"/>
    <n v="1"/>
    <n v="480.8"/>
    <n v="0"/>
    <n v="0"/>
    <n v="0"/>
    <n v="0"/>
    <n v="0"/>
    <n v="4"/>
    <n v="182704"/>
    <n v="187512"/>
    <n v="0"/>
    <n v="228934.53779999999"/>
    <n v="-5000"/>
    <n v="223934.53779999999"/>
    <n v="-182704"/>
    <n v="0"/>
    <n v="0"/>
    <n v="0"/>
    <n v="288204.72510231682"/>
    <n v="288204.72510231682"/>
    <n v="0"/>
    <n v="512139.94539999997"/>
  </r>
  <r>
    <d v="2022-01-12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2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0.31"/>
    <n v="0"/>
    <n v="7.7920499999999997"/>
    <n v="390.31"/>
    <n v="0"/>
    <n v="0"/>
    <n v="0"/>
    <n v="0"/>
    <n v="0"/>
    <n v="2"/>
    <n v="91239.451064999987"/>
    <n v="91239.451064999987"/>
    <n v="1"/>
    <n v="0"/>
    <n v="0"/>
    <n v="0"/>
    <n v="-91239.451065000001"/>
    <n v="0"/>
    <n v="0"/>
    <n v="0"/>
    <n v="409954.46750000003"/>
    <n v="0"/>
    <n v="0"/>
    <n v="0"/>
  </r>
  <r>
    <d v="2022-01-12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80.8"/>
    <n v="0"/>
    <n v="1"/>
    <n v="480.8"/>
    <n v="0"/>
    <n v="0"/>
    <n v="0"/>
    <n v="0"/>
    <n v="0"/>
    <n v="3"/>
    <n v="14424"/>
    <n v="14424"/>
    <n v="1"/>
    <n v="0"/>
    <n v="0"/>
    <n v="0"/>
    <n v="-14424"/>
    <n v="0"/>
    <n v="0"/>
    <n v="0"/>
    <n v="396154.46750000003"/>
    <n v="0"/>
    <n v="0"/>
    <n v="0"/>
  </r>
  <r>
    <d v="2022-01-12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3.29"/>
    <n v="0"/>
    <n v="7.7920499999999997"/>
    <n v="0"/>
    <n v="13.29"/>
    <n v="15.71"/>
    <n v="0"/>
    <n v="0"/>
    <n v="0"/>
    <n v="4"/>
    <n v="31066.903349999997"/>
    <n v="31066.903349999997"/>
    <n v="1"/>
    <n v="0"/>
    <n v="0"/>
    <n v="0"/>
    <n v="-33895.417499999996"/>
    <n v="0"/>
    <n v="0"/>
    <n v="0"/>
    <n v="365251.58795000002"/>
    <n v="0"/>
    <n v="0"/>
    <n v="0"/>
  </r>
  <r>
    <d v="2022-01-12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20499999999997"/>
    <n v="0"/>
    <n v="13.29"/>
    <n v="15.71"/>
    <n v="0"/>
    <n v="0"/>
    <n v="0"/>
    <n v="4"/>
    <n v="0"/>
    <n v="31066.903349999997"/>
    <n v="0"/>
    <n v="136730.35441499998"/>
    <n v="0"/>
    <n v="136730.35441499998"/>
    <n v="22596.945"/>
    <n v="0"/>
    <n v="0"/>
    <n v="0"/>
    <n v="382070.50044999999"/>
    <n v="382070.50044999999"/>
    <n v="0"/>
    <n v="518800.854865"/>
  </r>
  <r>
    <d v="2022-01-12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8552070757"/>
    <n v="0"/>
    <n v="0"/>
    <n v="0"/>
  </r>
  <r>
    <d v="2022-01-12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7"/>
    <n v="0"/>
    <n v="7.7920499999999997"/>
    <n v="0"/>
    <n v="0"/>
    <n v="0"/>
    <n v="3.7"/>
    <n v="45"/>
    <n v="0"/>
    <n v="2"/>
    <n v="-28830.584999999999"/>
    <n v="-28830.584999999999"/>
    <n v="1"/>
    <n v="0"/>
    <n v="0"/>
    <n v="0"/>
    <n v="0"/>
    <n v="0"/>
    <n v="0"/>
    <n v="0"/>
    <n v="527282.52552070748"/>
    <n v="0"/>
    <n v="0"/>
    <n v="0"/>
  </r>
  <r>
    <d v="2022-01-12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7"/>
    <n v="0"/>
    <n v="7.7920499999999997"/>
    <n v="0"/>
    <n v="0"/>
    <n v="0"/>
    <n v="2.7"/>
    <n v="40"/>
    <n v="0"/>
    <n v="3"/>
    <n v="21038.535"/>
    <n v="21038.535"/>
    <n v="1"/>
    <n v="0"/>
    <n v="0"/>
    <n v="0"/>
    <n v="0"/>
    <n v="0"/>
    <n v="0"/>
    <n v="0"/>
    <n v="507794.42552070756"/>
    <n v="0"/>
    <n v="0"/>
    <n v="0"/>
  </r>
  <r>
    <d v="2022-01-12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80.8"/>
    <n v="0"/>
    <n v="1"/>
    <n v="480.8"/>
    <n v="0"/>
    <n v="0"/>
    <n v="0"/>
    <n v="0"/>
    <n v="0"/>
    <n v="4"/>
    <n v="19232"/>
    <n v="-4808"/>
    <n v="1"/>
    <n v="0"/>
    <n v="0"/>
    <n v="0"/>
    <n v="-19232"/>
    <n v="0"/>
    <n v="0"/>
    <n v="0"/>
    <n v="490594.42552070756"/>
    <n v="0"/>
    <n v="0"/>
    <n v="0"/>
  </r>
  <r>
    <d v="2022-01-12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80.8"/>
    <n v="0"/>
    <n v="1"/>
    <n v="480.8"/>
    <n v="0"/>
    <n v="0"/>
    <n v="0"/>
    <n v="0"/>
    <n v="0"/>
    <n v="4"/>
    <n v="-24040"/>
    <n v="-4808"/>
    <n v="0"/>
    <n v="0"/>
    <n v="0"/>
    <n v="0"/>
    <n v="14424"/>
    <n v="0"/>
    <n v="-0.81447929243593131"/>
    <n v="0"/>
    <n v="512594.42552070756"/>
    <n v="0"/>
    <n v="0"/>
    <n v="0"/>
  </r>
  <r>
    <d v="2022-01-12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20499999999997"/>
    <n v="0"/>
    <n v="13.29"/>
    <n v="15.71"/>
    <n v="0"/>
    <n v="0"/>
    <n v="0"/>
    <n v="5"/>
    <n v="0"/>
    <n v="0"/>
    <n v="1"/>
    <n v="21038.535"/>
    <n v="-33638.584999999999"/>
    <n v="-12600.05"/>
    <n v="-22596.945"/>
    <n v="0"/>
    <n v="0"/>
    <n v="0"/>
    <n v="529421.79738070746"/>
    <n v="529421.79738070746"/>
    <n v="0"/>
    <n v="516822.56185999996"/>
  </r>
  <r>
    <d v="2022-01-12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3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2.04037306481"/>
    <n v="0"/>
    <n v="0"/>
    <n v="0"/>
  </r>
  <r>
    <d v="2022-01-13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24.28"/>
    <n v="0"/>
    <n v="7.7880500000000001"/>
    <n v="3224.28"/>
    <n v="0"/>
    <n v="0"/>
    <n v="0"/>
    <n v="0"/>
    <n v="0"/>
    <n v="2"/>
    <n v="50221.707708000002"/>
    <n v="50221.707708000002"/>
    <n v="1"/>
    <n v="0"/>
    <n v="0"/>
    <n v="0"/>
    <n v="-50221.707708000002"/>
    <n v="0"/>
    <n v="0"/>
    <n v="0"/>
    <n v="447562.24837306479"/>
    <n v="0"/>
    <n v="0"/>
    <n v="0"/>
  </r>
  <r>
    <d v="2022-01-13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5.2"/>
    <n v="0"/>
    <n v="1"/>
    <n v="475.2"/>
    <n v="0"/>
    <n v="0"/>
    <n v="0"/>
    <n v="0"/>
    <n v="0"/>
    <n v="3"/>
    <n v="4752"/>
    <n v="-2376"/>
    <n v="1"/>
    <n v="0"/>
    <n v="0"/>
    <n v="0"/>
    <n v="-4752"/>
    <n v="0"/>
    <n v="0"/>
    <n v="0"/>
    <n v="442962.24837306479"/>
    <n v="0"/>
    <n v="0"/>
    <n v="0"/>
  </r>
  <r>
    <d v="2022-01-13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877.39"/>
    <n v="0"/>
    <n v="1.2243599999999999"/>
    <n v="1877.39"/>
    <n v="0"/>
    <n v="0"/>
    <n v="0"/>
    <n v="0"/>
    <n v="0"/>
    <n v="4"/>
    <n v="-34479.018305999998"/>
    <n v="-34479.018305999998"/>
    <n v="1"/>
    <n v="0"/>
    <n v="0"/>
    <n v="0"/>
    <n v="-34479.018305999998"/>
    <n v="0"/>
    <n v="-5.8407750486182195"/>
    <n v="0"/>
    <n v="480687.91662306478"/>
    <n v="0"/>
    <n v="0"/>
    <n v="0"/>
  </r>
  <r>
    <d v="2022-01-13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690"/>
    <n v="0"/>
    <n v="8.9223999999999997"/>
    <n v="690"/>
    <n v="0"/>
    <n v="0"/>
    <n v="0"/>
    <n v="0"/>
    <n v="0"/>
    <n v="5"/>
    <n v="61564.56"/>
    <n v="-246258.24"/>
    <n v="1"/>
    <n v="0"/>
    <n v="0"/>
    <n v="0"/>
    <n v="-61564.55999999999"/>
    <n v="0"/>
    <n v="0"/>
    <n v="0"/>
    <n v="415963.70762306475"/>
    <n v="0"/>
    <n v="0"/>
    <n v="0"/>
  </r>
  <r>
    <d v="2022-01-13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690"/>
    <n v="0"/>
    <n v="8.9223999999999997"/>
    <n v="690"/>
    <n v="0"/>
    <n v="0"/>
    <n v="0"/>
    <n v="0"/>
    <n v="0"/>
    <n v="5"/>
    <n v="-30782.28"/>
    <n v="-246258.24"/>
    <n v="0"/>
    <n v="0"/>
    <n v="0"/>
    <n v="0"/>
    <n v="30782.279999999995"/>
    <n v="0"/>
    <n v="0"/>
    <n v="0"/>
    <n v="448505.20762306475"/>
    <n v="0"/>
    <n v="0"/>
    <n v="0"/>
  </r>
  <r>
    <d v="2022-01-13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690"/>
    <n v="0"/>
    <n v="8.9223999999999997"/>
    <n v="690"/>
    <n v="0"/>
    <n v="0"/>
    <n v="0"/>
    <n v="0"/>
    <n v="0"/>
    <n v="5"/>
    <n v="24625.824000000001"/>
    <n v="-246258.24"/>
    <n v="0"/>
    <n v="0"/>
    <n v="0"/>
    <n v="0"/>
    <n v="-24625.824000000001"/>
    <n v="0"/>
    <n v="0"/>
    <n v="0"/>
    <n v="422403.88322306477"/>
    <n v="0"/>
    <n v="0"/>
    <n v="0"/>
  </r>
  <r>
    <d v="2022-01-13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690"/>
    <n v="0"/>
    <n v="8.9223999999999997"/>
    <n v="690"/>
    <n v="0"/>
    <n v="0"/>
    <n v="0"/>
    <n v="0"/>
    <n v="0"/>
    <n v="5"/>
    <n v="73877.471999999994"/>
    <n v="-246258.24"/>
    <n v="0"/>
    <n v="0"/>
    <n v="0"/>
    <n v="0"/>
    <n v="-73877.471999999994"/>
    <n v="0"/>
    <n v="0"/>
    <n v="0"/>
    <n v="344160.47162306478"/>
    <n v="0"/>
    <n v="0"/>
    <n v="0"/>
  </r>
  <r>
    <d v="2022-01-13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690"/>
    <n v="0"/>
    <n v="8.9223999999999997"/>
    <n v="690"/>
    <n v="0"/>
    <n v="0"/>
    <n v="0"/>
    <n v="0"/>
    <n v="0"/>
    <n v="5"/>
    <n v="18469.367999999999"/>
    <n v="-246258.24"/>
    <n v="0"/>
    <n v="0"/>
    <n v="0"/>
    <n v="0"/>
    <n v="-18469.367999999999"/>
    <n v="0"/>
    <n v="0"/>
    <n v="0"/>
    <n v="324599.61872306478"/>
    <n v="0"/>
    <n v="0"/>
    <n v="0"/>
  </r>
  <r>
    <d v="2022-01-13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690"/>
    <n v="0"/>
    <n v="8.9223999999999997"/>
    <n v="690"/>
    <n v="0"/>
    <n v="0"/>
    <n v="0"/>
    <n v="0"/>
    <n v="0"/>
    <n v="5"/>
    <n v="-80033.928"/>
    <n v="-246258.24"/>
    <n v="0"/>
    <n v="0"/>
    <n v="0"/>
    <n v="0"/>
    <n v="80033.928"/>
    <n v="0"/>
    <n v="0"/>
    <n v="0"/>
    <n v="407531.09072306479"/>
    <n v="0"/>
    <n v="0"/>
    <n v="0"/>
  </r>
  <r>
    <d v="2022-01-13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690"/>
    <n v="0"/>
    <n v="8.9223999999999997"/>
    <n v="690"/>
    <n v="0"/>
    <n v="0"/>
    <n v="0"/>
    <n v="0"/>
    <n v="0"/>
    <n v="5"/>
    <n v="-313979.25599999999"/>
    <n v="-246258.24"/>
    <n v="0"/>
    <n v="0"/>
    <n v="0"/>
    <n v="0"/>
    <n v="-178537.22399999999"/>
    <n v="0"/>
    <n v="-41.716355464167584"/>
    <n v="0"/>
    <n v="732875.79872306483"/>
    <n v="0"/>
    <n v="0"/>
    <n v="0"/>
  </r>
  <r>
    <d v="2022-01-13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75.2"/>
    <n v="1"/>
    <n v="1"/>
    <n v="475.2"/>
    <n v="0"/>
    <n v="0"/>
    <n v="0"/>
    <n v="0"/>
    <n v="0"/>
    <n v="5"/>
    <n v="-7128"/>
    <n v="-2376"/>
    <n v="0"/>
    <n v="50221.707708000002"/>
    <n v="-283113.25830599997"/>
    <n v="-232891.55059799997"/>
    <n v="2376"/>
    <n v="0"/>
    <n v="-0.4024964223851441"/>
    <n v="0"/>
    <n v="739550.79872306483"/>
    <n v="739550.79872306483"/>
    <n v="0"/>
    <n v="506707.20775200007"/>
  </r>
  <r>
    <d v="2022-01-13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4.55962528667"/>
    <n v="0"/>
    <n v="0"/>
    <n v="0"/>
  </r>
  <r>
    <d v="2022-01-13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877.39"/>
    <n v="0"/>
    <n v="1.2243599999999999"/>
    <n v="1877.39"/>
    <n v="0"/>
    <n v="0"/>
    <n v="0"/>
    <n v="0"/>
    <n v="0"/>
    <n v="2"/>
    <n v="45972.024407999997"/>
    <n v="22986.012203999999"/>
    <n v="1"/>
    <n v="0"/>
    <n v="0"/>
    <n v="0"/>
    <n v="-45972.024407999997"/>
    <n v="0"/>
    <n v="0"/>
    <n v="0"/>
    <n v="450044.40902528667"/>
    <n v="0"/>
    <n v="0"/>
    <n v="0"/>
  </r>
  <r>
    <d v="2022-01-13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75.2"/>
    <n v="0"/>
    <n v="1"/>
    <n v="475.2"/>
    <n v="0"/>
    <n v="0"/>
    <n v="0"/>
    <n v="0"/>
    <n v="0"/>
    <n v="3"/>
    <n v="-2376"/>
    <n v="-708048"/>
    <n v="1"/>
    <n v="0"/>
    <n v="0"/>
    <n v="0"/>
    <n v="-2376"/>
    <n v="0"/>
    <n v="-0.4024964223851441"/>
    <n v="0"/>
    <n v="452344.40902528667"/>
    <n v="0"/>
    <n v="0"/>
    <n v="0"/>
  </r>
  <r>
    <d v="2022-01-13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877.39"/>
    <n v="0"/>
    <n v="1.2243599999999999"/>
    <n v="1877.39"/>
    <n v="0"/>
    <n v="0"/>
    <n v="0"/>
    <n v="0"/>
    <n v="0"/>
    <n v="3"/>
    <n v="-22986.012203999999"/>
    <n v="22986.012203999999"/>
    <n v="0"/>
    <n v="0"/>
    <n v="0"/>
    <n v="0"/>
    <n v="22986.012203999999"/>
    <n v="0"/>
    <n v="0"/>
    <n v="0"/>
    <n v="477497.70402528666"/>
    <n v="0"/>
    <n v="0"/>
    <n v="0"/>
  </r>
  <r>
    <d v="2022-01-13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75.2"/>
    <n v="0"/>
    <n v="1"/>
    <n v="475.2"/>
    <n v="0"/>
    <n v="0"/>
    <n v="0"/>
    <n v="0"/>
    <n v="0"/>
    <n v="3"/>
    <n v="7128"/>
    <n v="-708048"/>
    <n v="0"/>
    <n v="0"/>
    <n v="0"/>
    <n v="0"/>
    <n v="-2376"/>
    <n v="0"/>
    <n v="0"/>
    <n v="0"/>
    <n v="470597.70402528666"/>
    <n v="0"/>
    <n v="0"/>
    <n v="0"/>
  </r>
  <r>
    <d v="2022-01-13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75.2"/>
    <n v="1"/>
    <n v="1"/>
    <n v="475.2"/>
    <n v="0"/>
    <n v="0"/>
    <n v="0"/>
    <n v="0"/>
    <n v="0"/>
    <n v="3"/>
    <n v="-712800"/>
    <n v="-708048"/>
    <n v="0"/>
    <n v="22986.012203999999"/>
    <n v="-708048"/>
    <n v="-685061.98779599997"/>
    <n v="-703296"/>
    <n v="-25.093944420159584"/>
    <n v="-119.94393387077295"/>
    <n v="0"/>
    <n v="1138097.7040252867"/>
    <n v="1138097.7040252867"/>
    <n v="178656.85560000001"/>
    <n v="453181.15660400013"/>
  </r>
  <r>
    <d v="2022-01-13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3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3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2.29"/>
    <n v="0"/>
    <n v="7.7880500000000001"/>
    <n v="0"/>
    <n v="12.29"/>
    <n v="14.71"/>
    <n v="0"/>
    <n v="0"/>
    <n v="0"/>
    <n v="3"/>
    <n v="38286.053800000002"/>
    <n v="38286.053800000002"/>
    <n v="1"/>
    <n v="0"/>
    <n v="0"/>
    <n v="0"/>
    <n v="-42055.47"/>
    <n v="0"/>
    <n v="0"/>
    <n v="0"/>
    <n v="448804.72510231682"/>
    <n v="0"/>
    <n v="0"/>
    <n v="0"/>
  </r>
  <r>
    <d v="2022-01-13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3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5.2"/>
    <n v="0"/>
    <n v="1"/>
    <n v="475.2"/>
    <n v="0"/>
    <n v="0"/>
    <n v="0"/>
    <n v="0"/>
    <n v="0"/>
    <n v="4"/>
    <n v="4752"/>
    <n v="185328"/>
    <n v="1"/>
    <n v="0"/>
    <n v="0"/>
    <n v="0"/>
    <n v="-4752"/>
    <n v="0"/>
    <n v="0"/>
    <n v="0"/>
    <n v="424204.72510231682"/>
    <n v="0"/>
    <n v="0"/>
    <n v="0"/>
  </r>
  <r>
    <d v="2022-01-13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3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75.2"/>
    <n v="1"/>
    <n v="1"/>
    <n v="475.2"/>
    <n v="0"/>
    <n v="0"/>
    <n v="0"/>
    <n v="0"/>
    <n v="0"/>
    <n v="4"/>
    <n v="180576"/>
    <n v="185328"/>
    <n v="0"/>
    <n v="223614.05379999999"/>
    <n v="-5000"/>
    <n v="218614.05379999999"/>
    <n v="-180576"/>
    <n v="0"/>
    <n v="0"/>
    <n v="0"/>
    <n v="288204.72510231682"/>
    <n v="288204.72510231682"/>
    <n v="0"/>
    <n v="506819.46139999997"/>
  </r>
  <r>
    <d v="2022-01-13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3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0.8"/>
    <n v="0"/>
    <n v="7.7880500000000001"/>
    <n v="390.8"/>
    <n v="0"/>
    <n v="0"/>
    <n v="0"/>
    <n v="0"/>
    <n v="0"/>
    <n v="2"/>
    <n v="91307.098200000008"/>
    <n v="91307.098200000008"/>
    <n v="1"/>
    <n v="0"/>
    <n v="0"/>
    <n v="0"/>
    <n v="-91307.098200000008"/>
    <n v="0"/>
    <n v="0"/>
    <n v="0"/>
    <n v="409954.46750000003"/>
    <n v="0"/>
    <n v="0"/>
    <n v="0"/>
  </r>
  <r>
    <d v="2022-01-13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75.2"/>
    <n v="0"/>
    <n v="1"/>
    <n v="475.2"/>
    <n v="0"/>
    <n v="0"/>
    <n v="0"/>
    <n v="0"/>
    <n v="0"/>
    <n v="3"/>
    <n v="14256"/>
    <n v="14256"/>
    <n v="1"/>
    <n v="0"/>
    <n v="0"/>
    <n v="0"/>
    <n v="-14256"/>
    <n v="0"/>
    <n v="0"/>
    <n v="0"/>
    <n v="396154.46750000003"/>
    <n v="0"/>
    <n v="0"/>
    <n v="0"/>
  </r>
  <r>
    <d v="2022-01-13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2.29"/>
    <n v="0"/>
    <n v="7.7880500000000001"/>
    <n v="0"/>
    <n v="12.29"/>
    <n v="14.71"/>
    <n v="0"/>
    <n v="0"/>
    <n v="0"/>
    <n v="4"/>
    <n v="28714.540349999996"/>
    <n v="28714.540349999996"/>
    <n v="1"/>
    <n v="0"/>
    <n v="0"/>
    <n v="0"/>
    <n v="-31541.602500000001"/>
    <n v="0"/>
    <n v="0"/>
    <n v="0"/>
    <n v="365251.58795000002"/>
    <n v="0"/>
    <n v="0"/>
    <n v="0"/>
  </r>
  <r>
    <d v="2022-01-13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880500000000001"/>
    <n v="0"/>
    <n v="12.29"/>
    <n v="14.71"/>
    <n v="0"/>
    <n v="0"/>
    <n v="0"/>
    <n v="4"/>
    <n v="0"/>
    <n v="28714.540349999996"/>
    <n v="0"/>
    <n v="134277.63855"/>
    <n v="0"/>
    <n v="134277.63855"/>
    <n v="21027.735000000001"/>
    <n v="0"/>
    <n v="0"/>
    <n v="0"/>
    <n v="382070.50044999999"/>
    <n v="382070.50044999999"/>
    <n v="0"/>
    <n v="516348.13899999997"/>
  </r>
  <r>
    <d v="2022-01-13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9500715524"/>
    <n v="0"/>
    <n v="0"/>
    <n v="0"/>
  </r>
  <r>
    <d v="2022-01-13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6"/>
    <n v="0"/>
    <n v="7.7880500000000001"/>
    <n v="0"/>
    <n v="0"/>
    <n v="0"/>
    <n v="3.6"/>
    <n v="45"/>
    <n v="0"/>
    <n v="2"/>
    <n v="-28036.98"/>
    <n v="-28036.98"/>
    <n v="1"/>
    <n v="0"/>
    <n v="0"/>
    <n v="0"/>
    <n v="0"/>
    <n v="0"/>
    <n v="0"/>
    <n v="0"/>
    <n v="527282.53500715515"/>
    <n v="0"/>
    <n v="0"/>
    <n v="0"/>
  </r>
  <r>
    <d v="2022-01-13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6"/>
    <n v="0"/>
    <n v="7.7880500000000001"/>
    <n v="0"/>
    <n v="0"/>
    <n v="0"/>
    <n v="2.6"/>
    <n v="40"/>
    <n v="0"/>
    <n v="3"/>
    <n v="20248.93"/>
    <n v="20248.93"/>
    <n v="1"/>
    <n v="0"/>
    <n v="0"/>
    <n v="0"/>
    <n v="0"/>
    <n v="0"/>
    <n v="0"/>
    <n v="0"/>
    <n v="507794.43500715523"/>
    <n v="0"/>
    <n v="0"/>
    <n v="0"/>
  </r>
  <r>
    <d v="2022-01-13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75.2"/>
    <n v="0"/>
    <n v="1"/>
    <n v="475.2"/>
    <n v="0"/>
    <n v="0"/>
    <n v="0"/>
    <n v="0"/>
    <n v="0"/>
    <n v="4"/>
    <n v="19008"/>
    <n v="-4752"/>
    <n v="1"/>
    <n v="0"/>
    <n v="0"/>
    <n v="0"/>
    <n v="-19008"/>
    <n v="0"/>
    <n v="0"/>
    <n v="0"/>
    <n v="490594.43500715523"/>
    <n v="0"/>
    <n v="0"/>
    <n v="0"/>
  </r>
  <r>
    <d v="2022-01-13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75.2"/>
    <n v="0"/>
    <n v="1"/>
    <n v="475.2"/>
    <n v="0"/>
    <n v="0"/>
    <n v="0"/>
    <n v="0"/>
    <n v="0"/>
    <n v="4"/>
    <n v="-23760"/>
    <n v="-4752"/>
    <n v="0"/>
    <n v="0"/>
    <n v="0"/>
    <n v="0"/>
    <n v="14256"/>
    <n v="0"/>
    <n v="-0.80499284477028821"/>
    <n v="0"/>
    <n v="512594.43500715523"/>
    <n v="0"/>
    <n v="0"/>
    <n v="0"/>
  </r>
  <r>
    <d v="2022-01-13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880500000000001"/>
    <n v="0"/>
    <n v="12.29"/>
    <n v="14.71"/>
    <n v="0"/>
    <n v="0"/>
    <n v="0"/>
    <n v="5"/>
    <n v="0"/>
    <n v="0"/>
    <n v="1"/>
    <n v="20248.93"/>
    <n v="-32788.979999999996"/>
    <n v="-12540.049999999996"/>
    <n v="-21027.735000000001"/>
    <n v="0"/>
    <n v="0"/>
    <n v="0"/>
    <n v="529421.80686715513"/>
    <n v="529421.80686715513"/>
    <n v="0"/>
    <n v="516882.56185999996"/>
  </r>
  <r>
    <d v="2022-01-13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4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3.11695004639"/>
    <n v="0"/>
    <n v="0"/>
    <n v="0"/>
  </r>
  <r>
    <d v="2022-01-14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42.76"/>
    <n v="0"/>
    <n v="7.7849000000000004"/>
    <n v="3242.76"/>
    <n v="0"/>
    <n v="0"/>
    <n v="0"/>
    <n v="0"/>
    <n v="0"/>
    <n v="2"/>
    <n v="50489.124648000005"/>
    <n v="50489.124648000005"/>
    <n v="1"/>
    <n v="0"/>
    <n v="0"/>
    <n v="0"/>
    <n v="-50489.124648000005"/>
    <n v="0"/>
    <n v="0"/>
    <n v="0"/>
    <n v="447563.32495004637"/>
    <n v="0"/>
    <n v="0"/>
    <n v="0"/>
  </r>
  <r>
    <d v="2022-01-14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3.4"/>
    <n v="0"/>
    <n v="1"/>
    <n v="473.4"/>
    <n v="0"/>
    <n v="0"/>
    <n v="0"/>
    <n v="0"/>
    <n v="0"/>
    <n v="3"/>
    <n v="4734"/>
    <n v="-2367"/>
    <n v="1"/>
    <n v="0"/>
    <n v="0"/>
    <n v="0"/>
    <n v="-4734"/>
    <n v="0"/>
    <n v="0"/>
    <n v="0"/>
    <n v="442963.32495004637"/>
    <n v="0"/>
    <n v="0"/>
    <n v="0"/>
  </r>
  <r>
    <d v="2022-01-14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867"/>
    <n v="0"/>
    <n v="1.2255240000000001"/>
    <n v="1867"/>
    <n v="0"/>
    <n v="0"/>
    <n v="0"/>
    <n v="0"/>
    <n v="0"/>
    <n v="4"/>
    <n v="-34320.799620000005"/>
    <n v="-34320.799620000005"/>
    <n v="1"/>
    <n v="0"/>
    <n v="0"/>
    <n v="0"/>
    <n v="-34320.799620000005"/>
    <n v="0"/>
    <n v="-5.8139726685384741"/>
    <n v="0"/>
    <n v="480688.99320004636"/>
    <n v="0"/>
    <n v="0"/>
    <n v="0"/>
  </r>
  <r>
    <d v="2022-01-14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675.4"/>
    <n v="0"/>
    <n v="8.8862249999999996"/>
    <n v="675.4"/>
    <n v="0"/>
    <n v="0"/>
    <n v="0"/>
    <n v="0"/>
    <n v="0"/>
    <n v="5"/>
    <n v="60017.563649999996"/>
    <n v="-240070.25460000001"/>
    <n v="1"/>
    <n v="0"/>
    <n v="0"/>
    <n v="0"/>
    <n v="-60017.563649999989"/>
    <n v="0"/>
    <n v="0"/>
    <n v="0"/>
    <n v="415964.78420004633"/>
    <n v="0"/>
    <n v="0"/>
    <n v="0"/>
  </r>
  <r>
    <d v="2022-01-14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675.4"/>
    <n v="0"/>
    <n v="8.8862249999999996"/>
    <n v="675.4"/>
    <n v="0"/>
    <n v="0"/>
    <n v="0"/>
    <n v="0"/>
    <n v="0"/>
    <n v="5"/>
    <n v="-30008.781824999998"/>
    <n v="-240070.25460000001"/>
    <n v="0"/>
    <n v="0"/>
    <n v="0"/>
    <n v="0"/>
    <n v="30008.781824999995"/>
    <n v="0"/>
    <n v="0"/>
    <n v="0"/>
    <n v="448506.28420004633"/>
    <n v="0"/>
    <n v="0"/>
    <n v="0"/>
  </r>
  <r>
    <d v="2022-01-14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675.4"/>
    <n v="0"/>
    <n v="8.8862249999999996"/>
    <n v="675.4"/>
    <n v="0"/>
    <n v="0"/>
    <n v="0"/>
    <n v="0"/>
    <n v="0"/>
    <n v="5"/>
    <n v="24007.025459999997"/>
    <n v="-240070.25460000001"/>
    <n v="0"/>
    <n v="0"/>
    <n v="0"/>
    <n v="0"/>
    <n v="-24007.025459999997"/>
    <n v="0"/>
    <n v="0"/>
    <n v="0"/>
    <n v="422404.95980004634"/>
    <n v="0"/>
    <n v="0"/>
    <n v="0"/>
  </r>
  <r>
    <d v="2022-01-14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675.4"/>
    <n v="0"/>
    <n v="8.8862249999999996"/>
    <n v="675.4"/>
    <n v="0"/>
    <n v="0"/>
    <n v="0"/>
    <n v="0"/>
    <n v="0"/>
    <n v="5"/>
    <n v="72021.076379999984"/>
    <n v="-240070.25460000001"/>
    <n v="0"/>
    <n v="0"/>
    <n v="0"/>
    <n v="0"/>
    <n v="-72021.076379999999"/>
    <n v="0"/>
    <n v="0"/>
    <n v="0"/>
    <n v="344161.54820004635"/>
    <n v="0"/>
    <n v="0"/>
    <n v="0"/>
  </r>
  <r>
    <d v="2022-01-14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675.4"/>
    <n v="0"/>
    <n v="8.8862249999999996"/>
    <n v="675.4"/>
    <n v="0"/>
    <n v="0"/>
    <n v="0"/>
    <n v="0"/>
    <n v="0"/>
    <n v="5"/>
    <n v="18005.269094999996"/>
    <n v="-240070.25460000001"/>
    <n v="0"/>
    <n v="0"/>
    <n v="0"/>
    <n v="0"/>
    <n v="-18005.269095"/>
    <n v="0"/>
    <n v="0"/>
    <n v="0"/>
    <n v="324600.69530004635"/>
    <n v="0"/>
    <n v="0"/>
    <n v="0"/>
  </r>
  <r>
    <d v="2022-01-14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675.4"/>
    <n v="0"/>
    <n v="8.8862249999999996"/>
    <n v="675.4"/>
    <n v="0"/>
    <n v="0"/>
    <n v="0"/>
    <n v="0"/>
    <n v="0"/>
    <n v="5"/>
    <n v="-78022.832744999992"/>
    <n v="-240070.25460000001"/>
    <n v="0"/>
    <n v="0"/>
    <n v="0"/>
    <n v="0"/>
    <n v="78022.832744999992"/>
    <n v="0"/>
    <n v="0"/>
    <n v="0"/>
    <n v="407532.16730004636"/>
    <n v="0"/>
    <n v="0"/>
    <n v="0"/>
  </r>
  <r>
    <d v="2022-01-14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675.4"/>
    <n v="0"/>
    <n v="8.8862249999999996"/>
    <n v="675.4"/>
    <n v="0"/>
    <n v="0"/>
    <n v="0"/>
    <n v="0"/>
    <n v="0"/>
    <n v="5"/>
    <n v="-306089.57461499999"/>
    <n v="-240070.25460000001"/>
    <n v="0"/>
    <n v="0"/>
    <n v="0"/>
    <n v="0"/>
    <n v="-174050.93458499998"/>
    <n v="0"/>
    <n v="-40.668105470366449"/>
    <n v="0"/>
    <n v="732876.87530004641"/>
    <n v="0"/>
    <n v="0"/>
    <n v="0"/>
  </r>
  <r>
    <d v="2022-01-14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73.4"/>
    <n v="1"/>
    <n v="1"/>
    <n v="473.4"/>
    <n v="0"/>
    <n v="0"/>
    <n v="0"/>
    <n v="0"/>
    <n v="0"/>
    <n v="5"/>
    <n v="-7101"/>
    <n v="-2367"/>
    <n v="0"/>
    <n v="50489.124648000005"/>
    <n v="-276758.05422000005"/>
    <n v="-226268.92957200005"/>
    <n v="2367"/>
    <n v="0"/>
    <n v="-0.40097181472459431"/>
    <n v="0"/>
    <n v="739551.87530004641"/>
    <n v="739551.87530004641"/>
    <n v="0"/>
    <n v="513329.82877799997"/>
  </r>
  <r>
    <d v="2022-01-14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5.01548297721"/>
    <n v="0"/>
    <n v="0"/>
    <n v="0"/>
  </r>
  <r>
    <d v="2022-01-14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867"/>
    <n v="0"/>
    <n v="1.2255240000000001"/>
    <n v="1867"/>
    <n v="0"/>
    <n v="0"/>
    <n v="0"/>
    <n v="0"/>
    <n v="0"/>
    <n v="2"/>
    <n v="45761.066160000002"/>
    <n v="22880.533080000001"/>
    <n v="1"/>
    <n v="0"/>
    <n v="0"/>
    <n v="0"/>
    <n v="-45761.066160000002"/>
    <n v="0"/>
    <n v="0"/>
    <n v="0"/>
    <n v="450044.86488297721"/>
    <n v="0"/>
    <n v="0"/>
    <n v="0"/>
  </r>
  <r>
    <d v="2022-01-14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73.4"/>
    <n v="0"/>
    <n v="1"/>
    <n v="473.4"/>
    <n v="0"/>
    <n v="0"/>
    <n v="0"/>
    <n v="0"/>
    <n v="0"/>
    <n v="3"/>
    <n v="-2367"/>
    <n v="-705366"/>
    <n v="1"/>
    <n v="0"/>
    <n v="0"/>
    <n v="0"/>
    <n v="-2367"/>
    <n v="0"/>
    <n v="-0.40097181472459431"/>
    <n v="0"/>
    <n v="452344.86488297721"/>
    <n v="0"/>
    <n v="0"/>
    <n v="0"/>
  </r>
  <r>
    <d v="2022-01-14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867"/>
    <n v="0"/>
    <n v="1.2255240000000001"/>
    <n v="1867"/>
    <n v="0"/>
    <n v="0"/>
    <n v="0"/>
    <n v="0"/>
    <n v="0"/>
    <n v="3"/>
    <n v="-22880.533080000001"/>
    <n v="22880.533080000001"/>
    <n v="0"/>
    <n v="0"/>
    <n v="0"/>
    <n v="0"/>
    <n v="22880.533080000001"/>
    <n v="0"/>
    <n v="0"/>
    <n v="0"/>
    <n v="477498.1598829772"/>
    <n v="0"/>
    <n v="0"/>
    <n v="0"/>
  </r>
  <r>
    <d v="2022-01-14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73.4"/>
    <n v="0"/>
    <n v="1"/>
    <n v="473.4"/>
    <n v="0"/>
    <n v="0"/>
    <n v="0"/>
    <n v="0"/>
    <n v="0"/>
    <n v="3"/>
    <n v="7101"/>
    <n v="-705366"/>
    <n v="0"/>
    <n v="0"/>
    <n v="0"/>
    <n v="0"/>
    <n v="-2367"/>
    <n v="0"/>
    <n v="0"/>
    <n v="0"/>
    <n v="470598.1598829772"/>
    <n v="0"/>
    <n v="0"/>
    <n v="0"/>
  </r>
  <r>
    <d v="2022-01-14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73.4"/>
    <n v="1"/>
    <n v="1"/>
    <n v="473.4"/>
    <n v="0"/>
    <n v="0"/>
    <n v="0"/>
    <n v="0"/>
    <n v="0"/>
    <n v="3"/>
    <n v="-710100"/>
    <n v="-705366"/>
    <n v="0"/>
    <n v="22880.533080000001"/>
    <n v="-705366"/>
    <n v="-682485.46692000004"/>
    <n v="-700632"/>
    <n v="-25.093944420159584"/>
    <n v="-119.48960078792911"/>
    <n v="0"/>
    <n v="1138098.1598829774"/>
    <n v="1138098.1598829774"/>
    <n v="178656.85560000001"/>
    <n v="455757.67748000007"/>
  </r>
  <r>
    <d v="2022-01-14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4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4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1.29"/>
    <n v="0"/>
    <n v="7.7849000000000004"/>
    <n v="0"/>
    <n v="11.29"/>
    <n v="13.71"/>
    <n v="0"/>
    <n v="0"/>
    <n v="0"/>
    <n v="3"/>
    <n v="35156.608400000005"/>
    <n v="35156.608400000005"/>
    <n v="1"/>
    <n v="0"/>
    <n v="0"/>
    <n v="0"/>
    <n v="-38924.5"/>
    <n v="0"/>
    <n v="0"/>
    <n v="0"/>
    <n v="448804.72510231682"/>
    <n v="0"/>
    <n v="0"/>
    <n v="0"/>
  </r>
  <r>
    <d v="2022-01-14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4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3.4"/>
    <n v="0"/>
    <n v="1"/>
    <n v="473.4"/>
    <n v="0"/>
    <n v="0"/>
    <n v="0"/>
    <n v="0"/>
    <n v="0"/>
    <n v="4"/>
    <n v="4734"/>
    <n v="184626"/>
    <n v="1"/>
    <n v="0"/>
    <n v="0"/>
    <n v="0"/>
    <n v="-4734"/>
    <n v="0"/>
    <n v="0"/>
    <n v="0"/>
    <n v="424204.72510231682"/>
    <n v="0"/>
    <n v="0"/>
    <n v="0"/>
  </r>
  <r>
    <d v="2022-01-14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4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73.4"/>
    <n v="1"/>
    <n v="1"/>
    <n v="473.4"/>
    <n v="0"/>
    <n v="0"/>
    <n v="0"/>
    <n v="0"/>
    <n v="0"/>
    <n v="4"/>
    <n v="179892"/>
    <n v="184626"/>
    <n v="0"/>
    <n v="219782.6084"/>
    <n v="-5000"/>
    <n v="214782.6084"/>
    <n v="-179892"/>
    <n v="0"/>
    <n v="0"/>
    <n v="0"/>
    <n v="288204.72510231682"/>
    <n v="288204.72510231682"/>
    <n v="0"/>
    <n v="502988.01599999995"/>
  </r>
  <r>
    <d v="2022-01-14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4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0.94"/>
    <n v="0"/>
    <n v="7.7849000000000004"/>
    <n v="380.94"/>
    <n v="0"/>
    <n v="0"/>
    <n v="0"/>
    <n v="0"/>
    <n v="0"/>
    <n v="2"/>
    <n v="88967.394180000003"/>
    <n v="88967.394180000003"/>
    <n v="1"/>
    <n v="0"/>
    <n v="0"/>
    <n v="0"/>
    <n v="-88967.394180000003"/>
    <n v="0"/>
    <n v="0"/>
    <n v="0"/>
    <n v="409954.46750000003"/>
    <n v="0"/>
    <n v="0"/>
    <n v="0"/>
  </r>
  <r>
    <d v="2022-01-14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73.4"/>
    <n v="0"/>
    <n v="1"/>
    <n v="473.4"/>
    <n v="0"/>
    <n v="0"/>
    <n v="0"/>
    <n v="0"/>
    <n v="0"/>
    <n v="3"/>
    <n v="14202"/>
    <n v="14202"/>
    <n v="1"/>
    <n v="0"/>
    <n v="0"/>
    <n v="0"/>
    <n v="-14202"/>
    <n v="0"/>
    <n v="0"/>
    <n v="0"/>
    <n v="396154.46750000003"/>
    <n v="0"/>
    <n v="0"/>
    <n v="0"/>
  </r>
  <r>
    <d v="2022-01-14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1.29"/>
    <n v="0"/>
    <n v="7.7849000000000004"/>
    <n v="0"/>
    <n v="11.29"/>
    <n v="13.71"/>
    <n v="0"/>
    <n v="0"/>
    <n v="0"/>
    <n v="4"/>
    <n v="26367.456299999998"/>
    <n v="26367.456299999998"/>
    <n v="1"/>
    <n v="0"/>
    <n v="0"/>
    <n v="0"/>
    <n v="-29193.375000000004"/>
    <n v="0"/>
    <n v="0"/>
    <n v="0"/>
    <n v="365251.58795000002"/>
    <n v="0"/>
    <n v="0"/>
    <n v="0"/>
  </r>
  <r>
    <d v="2022-01-14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849000000000004"/>
    <n v="0"/>
    <n v="11.29"/>
    <n v="13.71"/>
    <n v="0"/>
    <n v="0"/>
    <n v="0"/>
    <n v="4"/>
    <n v="0"/>
    <n v="26367.456299999998"/>
    <n v="0"/>
    <n v="129536.85047999999"/>
    <n v="0"/>
    <n v="129536.85047999999"/>
    <n v="19462.25"/>
    <n v="0"/>
    <n v="0"/>
    <n v="0"/>
    <n v="382070.50044999999"/>
    <n v="382070.50044999999"/>
    <n v="0"/>
    <n v="511607.35092999996"/>
  </r>
  <r>
    <d v="2022-01-14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9805637054"/>
    <n v="0"/>
    <n v="0"/>
    <n v="0"/>
  </r>
  <r>
    <d v="2022-01-14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5"/>
    <n v="0"/>
    <n v="7.7849000000000004"/>
    <n v="0"/>
    <n v="0"/>
    <n v="0"/>
    <n v="3.5"/>
    <n v="45"/>
    <n v="0"/>
    <n v="2"/>
    <n v="-27247.15"/>
    <n v="-27247.15"/>
    <n v="1"/>
    <n v="0"/>
    <n v="0"/>
    <n v="0"/>
    <n v="0"/>
    <n v="0"/>
    <n v="0"/>
    <n v="0"/>
    <n v="527282.53805637057"/>
    <n v="0"/>
    <n v="0"/>
    <n v="0"/>
  </r>
  <r>
    <d v="2022-01-14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5"/>
    <n v="0"/>
    <n v="7.7849000000000004"/>
    <n v="0"/>
    <n v="0"/>
    <n v="0"/>
    <n v="2.5"/>
    <n v="40"/>
    <n v="0"/>
    <n v="3"/>
    <n v="19462.25"/>
    <n v="19462.25"/>
    <n v="1"/>
    <n v="0"/>
    <n v="0"/>
    <n v="0"/>
    <n v="0"/>
    <n v="0"/>
    <n v="0"/>
    <n v="0"/>
    <n v="507794.43805637053"/>
    <n v="0"/>
    <n v="0"/>
    <n v="0"/>
  </r>
  <r>
    <d v="2022-01-14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73.4"/>
    <n v="0"/>
    <n v="1"/>
    <n v="473.4"/>
    <n v="0"/>
    <n v="0"/>
    <n v="0"/>
    <n v="0"/>
    <n v="0"/>
    <n v="4"/>
    <n v="18936"/>
    <n v="-4734"/>
    <n v="1"/>
    <n v="0"/>
    <n v="0"/>
    <n v="0"/>
    <n v="-18936"/>
    <n v="0"/>
    <n v="0"/>
    <n v="0"/>
    <n v="490594.43805637053"/>
    <n v="0"/>
    <n v="0"/>
    <n v="0"/>
  </r>
  <r>
    <d v="2022-01-14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73.4"/>
    <n v="0"/>
    <n v="1"/>
    <n v="473.4"/>
    <n v="0"/>
    <n v="0"/>
    <n v="0"/>
    <n v="0"/>
    <n v="0"/>
    <n v="4"/>
    <n v="-23670"/>
    <n v="-4734"/>
    <n v="0"/>
    <n v="0"/>
    <n v="0"/>
    <n v="0"/>
    <n v="14202"/>
    <n v="0"/>
    <n v="-0.80194362944918862"/>
    <n v="0"/>
    <n v="512594.43805637053"/>
    <n v="0"/>
    <n v="0"/>
    <n v="0"/>
  </r>
  <r>
    <d v="2022-01-14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849000000000004"/>
    <n v="0"/>
    <n v="11.29"/>
    <n v="13.71"/>
    <n v="0"/>
    <n v="0"/>
    <n v="0"/>
    <n v="5"/>
    <n v="0"/>
    <n v="0"/>
    <n v="1"/>
    <n v="19462.25"/>
    <n v="-31981.15"/>
    <n v="-12518.900000000001"/>
    <n v="-19462.25"/>
    <n v="0"/>
    <n v="0"/>
    <n v="0"/>
    <n v="529421.80991637055"/>
    <n v="529421.80991637055"/>
    <n v="0"/>
    <n v="516903.71185999992"/>
  </r>
  <r>
    <d v="2022-01-14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76">
  <r>
    <x v="0"/>
    <x v="0"/>
    <s v="a1"/>
    <x v="0"/>
    <x v="0"/>
    <d v="2021-12-31T00:00:00"/>
    <x v="0"/>
    <x v="0"/>
    <x v="0"/>
    <x v="0"/>
    <x v="0"/>
    <x v="0"/>
    <x v="0"/>
    <x v="0"/>
    <s v="a1"/>
    <s v="sABCD0001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1"/>
    <x v="0"/>
    <d v="2021-12-31T00:00:00"/>
    <x v="0"/>
    <x v="0"/>
    <x v="0"/>
    <x v="0"/>
    <x v="0"/>
    <x v="0"/>
    <x v="0"/>
    <x v="0"/>
    <s v="a2"/>
    <s v="sABCD0002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"/>
    <x v="0"/>
    <d v="2021-12-31T00:00:00"/>
    <x v="0"/>
    <x v="0"/>
    <x v="0"/>
    <x v="0"/>
    <x v="0"/>
    <x v="0"/>
    <x v="0"/>
    <x v="0"/>
    <s v="a3"/>
    <s v="sABCD0003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"/>
    <x v="0"/>
    <d v="2021-12-31T00:00:00"/>
    <x v="0"/>
    <x v="0"/>
    <x v="0"/>
    <x v="0"/>
    <x v="0"/>
    <x v="0"/>
    <x v="0"/>
    <x v="0"/>
    <s v="a4"/>
    <s v="sABCD0004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4"/>
    <x v="0"/>
    <d v="2021-12-31T00:00:00"/>
    <x v="0"/>
    <x v="0"/>
    <x v="0"/>
    <x v="0"/>
    <x v="0"/>
    <x v="0"/>
    <x v="0"/>
    <x v="0"/>
    <s v="a5"/>
    <s v="sABCD0005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5"/>
    <x v="0"/>
    <d v="2021-12-31T00:00:00"/>
    <x v="0"/>
    <x v="0"/>
    <x v="0"/>
    <x v="0"/>
    <x v="0"/>
    <x v="0"/>
    <x v="0"/>
    <x v="0"/>
    <s v="a6"/>
    <s v="sABCD0006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6"/>
    <x v="1"/>
    <d v="2022-01-01T10:58:54"/>
    <x v="0"/>
    <x v="1"/>
    <x v="1"/>
    <x v="1"/>
    <x v="1"/>
    <x v="1"/>
    <x v="1"/>
    <x v="1"/>
    <s v="a1"/>
    <s v="sABCD0001@hkmu.edu.hk"/>
    <m/>
    <m/>
    <m/>
    <d v="2022-01-01T00:00:00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7"/>
    <x v="2"/>
    <d v="2022-01-02T11:00:04"/>
    <x v="0"/>
    <x v="2"/>
    <x v="1"/>
    <x v="2"/>
    <x v="1"/>
    <x v="1"/>
    <x v="1"/>
    <x v="2"/>
    <s v="a1"/>
    <s v="sABCD0001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8"/>
    <x v="2"/>
    <d v="2022-01-02T11:02:08"/>
    <x v="1"/>
    <x v="3"/>
    <x v="1"/>
    <x v="3"/>
    <x v="1"/>
    <x v="1"/>
    <x v="1"/>
    <x v="3"/>
    <s v="a1"/>
    <s v="sABCD0001@hkmu.edu.hk"/>
    <m/>
    <m/>
    <m/>
    <d v="2022-01-02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9"/>
    <x v="2"/>
    <d v="2022-01-02T12:50:18"/>
    <x v="0"/>
    <x v="4"/>
    <x v="1"/>
    <x v="2"/>
    <x v="1"/>
    <x v="1"/>
    <x v="1"/>
    <x v="4"/>
    <s v="a1"/>
    <s v="sABCD0001@hkmu.edu.hk"/>
    <m/>
    <m/>
    <m/>
    <d v="2022-01-02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2"/>
    <x v="10"/>
    <x v="3"/>
    <d v="2022-01-03T11:07:37"/>
    <x v="0"/>
    <x v="5"/>
    <x v="1"/>
    <x v="4"/>
    <x v="1"/>
    <x v="1"/>
    <x v="1"/>
    <x v="5"/>
    <s v="a2"/>
    <s v="sABCD0001@hkmu.edu.hk"/>
    <s v="rej due to pwd"/>
    <m/>
    <m/>
    <d v="2022-01-03T00:00:00"/>
    <x v="0"/>
    <x v="1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rej due to pwd"/>
    <m/>
    <n v="1"/>
    <n v="0"/>
    <m/>
    <x v="1"/>
  </r>
  <r>
    <x v="0"/>
    <x v="0"/>
    <s v="a1"/>
    <x v="11"/>
    <x v="4"/>
    <d v="2022-01-04T11:07:37"/>
    <x v="1"/>
    <x v="4"/>
    <x v="1"/>
    <x v="5"/>
    <x v="1"/>
    <x v="1"/>
    <x v="1"/>
    <x v="6"/>
    <s v="a1"/>
    <s v="sABCD0001@hkmu.edu.hk"/>
    <m/>
    <m/>
    <m/>
    <d v="2022-01-04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2"/>
    <x v="5"/>
    <d v="2022-01-05T11:07:37"/>
    <x v="0"/>
    <x v="4"/>
    <x v="1"/>
    <x v="6"/>
    <x v="1"/>
    <x v="1"/>
    <x v="1"/>
    <x v="6"/>
    <s v="a1"/>
    <s v="sABCD0001@hkmu.edu.hk"/>
    <m/>
    <m/>
    <m/>
    <d v="2022-01-05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3"/>
    <x v="6"/>
    <d v="2022-01-06T11:07:37"/>
    <x v="0"/>
    <x v="4"/>
    <x v="1"/>
    <x v="7"/>
    <x v="1"/>
    <x v="1"/>
    <x v="1"/>
    <x v="6"/>
    <s v="a1"/>
    <s v="sABCD0001@hkmu.edu.hk"/>
    <m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4"/>
    <x v="6"/>
    <d v="2022-01-06T11:07:37"/>
    <x v="1"/>
    <x v="4"/>
    <x v="1"/>
    <x v="8"/>
    <x v="1"/>
    <x v="1"/>
    <x v="1"/>
    <x v="6"/>
    <s v="a1"/>
    <s v="sABCD0001@hkmu.edu.hk"/>
    <s v="rej due to same day reverse trade"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5"/>
    <x v="6"/>
    <d v="2022-01-06T11:07:37"/>
    <x v="0"/>
    <x v="4"/>
    <x v="1"/>
    <x v="9"/>
    <x v="1"/>
    <x v="1"/>
    <x v="1"/>
    <x v="6"/>
    <s v="a1"/>
    <s v="sABCD0001@hkmu.edu.hk"/>
    <s v="should accept same day same side trade"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6"/>
    <x v="7"/>
    <d v="2022-01-07T11:07:37"/>
    <x v="1"/>
    <x v="4"/>
    <x v="1"/>
    <x v="10"/>
    <x v="1"/>
    <x v="1"/>
    <x v="1"/>
    <x v="7"/>
    <s v="a1"/>
    <s v="sABCD0001@hkmu.edu.hk"/>
    <m/>
    <m/>
    <m/>
    <d v="2022-01-07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7"/>
    <x v="8"/>
    <d v="2022-01-08T11:07:37"/>
    <x v="1"/>
    <x v="4"/>
    <x v="1"/>
    <x v="11"/>
    <x v="1"/>
    <x v="1"/>
    <x v="1"/>
    <x v="7"/>
    <s v="a1"/>
    <s v="sABCD0001@hkmu.edu.hk"/>
    <s v="short sell (margin count)"/>
    <m/>
    <m/>
    <d v="2022-01-08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8"/>
    <x v="9"/>
    <d v="2022-01-09T11:07:37"/>
    <x v="1"/>
    <x v="2"/>
    <x v="1"/>
    <x v="3"/>
    <x v="1"/>
    <x v="1"/>
    <x v="1"/>
    <x v="8"/>
    <s v="a1"/>
    <s v="sABCD0001@hkmu.edu.hk"/>
    <m/>
    <m/>
    <m/>
    <d v="2022-01-09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19"/>
    <x v="10"/>
    <d v="2022-01-10T11:07:37"/>
    <x v="1"/>
    <x v="2"/>
    <x v="1"/>
    <x v="12"/>
    <x v="1"/>
    <x v="1"/>
    <x v="1"/>
    <x v="8"/>
    <s v="a2"/>
    <s v="sABCD0002@hkmu.edu.hk"/>
    <m/>
    <m/>
    <m/>
    <d v="2022-01-10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0"/>
    <x v="2"/>
    <d v="2022-01-02T00:00:00"/>
    <x v="0"/>
    <x v="3"/>
    <x v="1"/>
    <x v="13"/>
    <x v="1"/>
    <x v="1"/>
    <x v="1"/>
    <x v="9"/>
    <s v="a2"/>
    <s v="sABCD0002@hkmu.edu.hk"/>
    <m/>
    <m/>
    <m/>
    <d v="2022-01-02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1"/>
    <x v="2"/>
    <d v="2022-01-02T00:00:00"/>
    <x v="1"/>
    <x v="2"/>
    <x v="1"/>
    <x v="5"/>
    <x v="1"/>
    <x v="1"/>
    <x v="1"/>
    <x v="2"/>
    <s v="a2"/>
    <s v="sABCD0002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2"/>
    <x v="3"/>
    <d v="2022-01-03T00:00:00"/>
    <x v="1"/>
    <x v="3"/>
    <x v="1"/>
    <x v="2"/>
    <x v="1"/>
    <x v="1"/>
    <x v="1"/>
    <x v="3"/>
    <s v="a2"/>
    <s v="sABCD0002@hkmu.edu.hk"/>
    <m/>
    <m/>
    <m/>
    <d v="2022-01-03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3"/>
    <x v="3"/>
    <d v="2022-01-03T00:00:00"/>
    <x v="0"/>
    <x v="2"/>
    <x v="1"/>
    <x v="3"/>
    <x v="1"/>
    <x v="1"/>
    <x v="1"/>
    <x v="2"/>
    <s v="a2"/>
    <s v="sABCD0002@hkmu.edu.hk"/>
    <m/>
    <m/>
    <m/>
    <d v="2022-01-03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4"/>
    <x v="1"/>
    <d v="2022-01-01T00:00:00"/>
    <x v="0"/>
    <x v="6"/>
    <x v="2"/>
    <x v="14"/>
    <x v="1"/>
    <x v="1"/>
    <x v="2"/>
    <x v="10"/>
    <s v="a3"/>
    <s v="sABCD0003@hkmu.edu.hk"/>
    <m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5"/>
    <x v="1"/>
    <d v="2022-01-01T00:00:00"/>
    <x v="0"/>
    <x v="7"/>
    <x v="3"/>
    <x v="14"/>
    <x v="2"/>
    <x v="1"/>
    <x v="1"/>
    <x v="11"/>
    <s v="a3"/>
    <s v="sABCD0003@hkmu.edu.hk"/>
    <m/>
    <m/>
    <m/>
    <d v="2022-01-01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6"/>
    <x v="1"/>
    <d v="2022-01-01T00:00:00"/>
    <x v="0"/>
    <x v="6"/>
    <x v="2"/>
    <x v="14"/>
    <x v="1"/>
    <x v="1"/>
    <x v="3"/>
    <x v="10"/>
    <s v="a3"/>
    <s v="sABCD0003@hkmu.edu.hk"/>
    <s v="rej due to OD"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7"/>
    <x v="2"/>
    <d v="2022-01-02T00:00:00"/>
    <x v="1"/>
    <x v="6"/>
    <x v="2"/>
    <x v="14"/>
    <x v="1"/>
    <x v="1"/>
    <x v="4"/>
    <x v="10"/>
    <s v="a3"/>
    <s v="sABCD0003@hkmu.edu.hk"/>
    <s v="shld allow as last trade rej"/>
    <m/>
    <m/>
    <d v="2022-01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2"/>
    <x v="28"/>
    <x v="1"/>
    <d v="2022-01-01T00:00:00"/>
    <x v="0"/>
    <x v="6"/>
    <x v="2"/>
    <x v="14"/>
    <x v="1"/>
    <x v="1"/>
    <x v="2"/>
    <x v="10"/>
    <s v="a2"/>
    <s v="sABCD0003@hkmu.edu.hk"/>
    <s v="rej due to unmatch asset class vs ticker"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1"/>
    <n v="0"/>
    <m/>
    <x v="1"/>
  </r>
  <r>
    <x v="2"/>
    <x v="2"/>
    <s v="a2"/>
    <x v="29"/>
    <x v="1"/>
    <d v="2022-01-01T00:00:00"/>
    <x v="1"/>
    <x v="6"/>
    <x v="2"/>
    <x v="14"/>
    <x v="1"/>
    <x v="1"/>
    <x v="5"/>
    <x v="10"/>
    <s v="a2"/>
    <s v="sABCD0003@hkmu.edu.hk"/>
    <m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1"/>
    <n v="0"/>
    <m/>
    <x v="1"/>
  </r>
  <r>
    <x v="2"/>
    <x v="2"/>
    <s v="a3"/>
    <x v="30"/>
    <x v="1"/>
    <d v="2022-01-01T00:00:00"/>
    <x v="0"/>
    <x v="2"/>
    <x v="1"/>
    <x v="2"/>
    <x v="1"/>
    <x v="1"/>
    <x v="1"/>
    <x v="2"/>
    <s v="a3"/>
    <s v="sABCD0003@hkmu.edu.hk"/>
    <s v="shld allow as last trade rej"/>
    <m/>
    <m/>
    <d v="2022-01-01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31"/>
    <x v="4"/>
    <d v="2022-01-04T00:00:00"/>
    <x v="0"/>
    <x v="2"/>
    <x v="1"/>
    <x v="15"/>
    <x v="1"/>
    <x v="1"/>
    <x v="1"/>
    <x v="12"/>
    <s v="a3"/>
    <s v="sABCD0003@hkmu.edu.hk"/>
    <s v="rej due to unmatch asset class vs ticker"/>
    <m/>
    <m/>
    <d v="2022-01-04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2"/>
    <x v="2"/>
    <d v="2022-01-02T00:00:00"/>
    <x v="0"/>
    <x v="5"/>
    <x v="1"/>
    <x v="16"/>
    <x v="1"/>
    <x v="1"/>
    <x v="1"/>
    <x v="5"/>
    <s v="a4"/>
    <s v="sABCD0004@hkmu.edu.hk"/>
    <m/>
    <m/>
    <m/>
    <d v="2022-01-02T00:00:00"/>
    <x v="0"/>
    <x v="1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3"/>
    <x v="2"/>
    <d v="2022-01-02T00:00:00"/>
    <x v="0"/>
    <x v="2"/>
    <x v="1"/>
    <x v="16"/>
    <x v="1"/>
    <x v="1"/>
    <x v="1"/>
    <x v="2"/>
    <s v="a4"/>
    <s v="sABCD0004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4"/>
    <x v="2"/>
    <d v="2022-01-02T00:00:00"/>
    <x v="1"/>
    <x v="2"/>
    <x v="1"/>
    <x v="13"/>
    <x v="1"/>
    <x v="1"/>
    <x v="1"/>
    <x v="2"/>
    <s v="a4"/>
    <s v="sABCD0004@hkmu.edu.hk"/>
    <s v="rej due to same day trade"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5"/>
    <x v="5"/>
    <d v="2022-01-05T00:00:00"/>
    <x v="1"/>
    <x v="8"/>
    <x v="4"/>
    <x v="14"/>
    <x v="1"/>
    <x v="2"/>
    <x v="1"/>
    <x v="13"/>
    <s v="a5"/>
    <s v="sABCD0005@hkmu.edu.hk"/>
    <m/>
    <m/>
    <m/>
    <d v="2022-01-05T00:00:00"/>
    <x v="0"/>
    <x v="1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0"/>
    <x v="0"/>
    <m/>
    <m/>
    <m/>
    <n v="0"/>
    <n v="0"/>
    <m/>
    <x v="0"/>
  </r>
  <r>
    <x v="4"/>
    <x v="4"/>
    <s v="a5"/>
    <x v="36"/>
    <x v="5"/>
    <d v="2022-01-05T00:00:00"/>
    <x v="0"/>
    <x v="9"/>
    <x v="4"/>
    <x v="14"/>
    <x v="1"/>
    <x v="2"/>
    <x v="1"/>
    <x v="14"/>
    <s v="a5"/>
    <s v="sABCD0005@hkmu.edu.hk"/>
    <m/>
    <m/>
    <m/>
    <d v="2022-01-05T00:00:00"/>
    <x v="0"/>
    <x v="1"/>
    <x v="6"/>
    <x v="6"/>
    <x v="6"/>
    <x v="6"/>
    <x v="6"/>
    <x v="6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0"/>
    <x v="0"/>
    <m/>
    <m/>
    <m/>
    <n v="0"/>
    <n v="0"/>
    <m/>
    <x v="0"/>
  </r>
  <r>
    <x v="4"/>
    <x v="4"/>
    <s v="a5"/>
    <x v="37"/>
    <x v="6"/>
    <d v="2022-01-06T00:00:00"/>
    <x v="0"/>
    <x v="2"/>
    <x v="1"/>
    <x v="17"/>
    <x v="1"/>
    <x v="1"/>
    <x v="1"/>
    <x v="15"/>
    <s v="a5"/>
    <s v="sABCD0005@hkmu.edu.hk"/>
    <m/>
    <m/>
    <m/>
    <d v="2022-01-06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8"/>
    <x v="7"/>
    <d v="2022-01-07T00:00:00"/>
    <x v="1"/>
    <x v="2"/>
    <x v="1"/>
    <x v="18"/>
    <x v="1"/>
    <x v="1"/>
    <x v="1"/>
    <x v="16"/>
    <s v="a5"/>
    <s v="sABCD0005@hkmu.edu.hk"/>
    <s v="allow same side 2 trades"/>
    <m/>
    <m/>
    <d v="2022-01-07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9"/>
    <x v="7"/>
    <d v="2022-01-07T00:00:00"/>
    <x v="1"/>
    <x v="7"/>
    <x v="3"/>
    <x v="14"/>
    <x v="3"/>
    <x v="1"/>
    <x v="1"/>
    <x v="17"/>
    <s v="a5"/>
    <s v="sABCD0005@hkmu.edu.hk"/>
    <s v="rej short sell bond"/>
    <m/>
    <m/>
    <d v="2022-01-07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40"/>
    <x v="3"/>
    <d v="2022-01-03T00:00:00"/>
    <x v="0"/>
    <x v="7"/>
    <x v="3"/>
    <x v="14"/>
    <x v="4"/>
    <x v="1"/>
    <x v="1"/>
    <x v="18"/>
    <s v="a4"/>
    <s v="sABCD0004@hkmu.edu.hk"/>
    <s v="allow same side 2 trades"/>
    <m/>
    <m/>
    <d v="2022-01-03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41"/>
    <x v="4"/>
    <d v="2022-01-04T00:00:00"/>
    <x v="1"/>
    <x v="7"/>
    <x v="3"/>
    <x v="14"/>
    <x v="3"/>
    <x v="1"/>
    <x v="1"/>
    <x v="19"/>
    <s v="a4"/>
    <s v="sABCD0004@hkmu.edu.hk"/>
    <s v="rej short sell bond"/>
    <m/>
    <m/>
    <d v="2022-01-04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42"/>
    <x v="11"/>
    <d v="2022-01-11T00:00:00"/>
    <x v="0"/>
    <x v="10"/>
    <x v="1"/>
    <x v="2"/>
    <x v="1"/>
    <x v="1"/>
    <x v="1"/>
    <x v="20"/>
    <s v="a6"/>
    <s v="sABCD0006@hkmu.edu.hk"/>
    <s v="rej short sell bond"/>
    <m/>
    <m/>
    <d v="2022-01-11T00:00:00"/>
    <x v="0"/>
    <x v="1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43"/>
    <x v="12"/>
    <d v="2022-01-11T00:00:00"/>
    <x v="0"/>
    <x v="10"/>
    <x v="1"/>
    <x v="2"/>
    <x v="1"/>
    <x v="1"/>
    <x v="1"/>
    <x v="20"/>
    <s v="a6"/>
    <s v="sABCD0006@hkmu.edu.hk"/>
    <m/>
    <m/>
    <m/>
    <m/>
    <x v="0"/>
    <x v="1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1"/>
    <x v="7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">
  <r>
    <x v="0"/>
    <s v="BUY (LONG)"/>
    <x v="0"/>
    <x v="0"/>
    <n v="2"/>
    <m/>
    <m/>
    <m/>
    <n v="3360"/>
    <s v="a1"/>
    <s v="sABCD0001@hkmu.edu.hk"/>
    <d v="2022-01-01T00:00:00"/>
    <n v="462"/>
    <n v="455.2"/>
    <n v="456.8"/>
  </r>
  <r>
    <x v="1"/>
    <s v="BUY (LONG)"/>
    <x v="1"/>
    <x v="0"/>
    <n v="10"/>
    <m/>
    <m/>
    <m/>
    <n v="460"/>
    <s v="a1"/>
    <s v="sABCD0001@hkmu.edu.hk"/>
    <d v="2022-01-02T00:00:00"/>
    <n v="2072.98"/>
    <n v="2028"/>
    <n v="2050"/>
  </r>
  <r>
    <x v="2"/>
    <s v="SELL (SHORT)"/>
    <x v="2"/>
    <x v="0"/>
    <n v="15"/>
    <m/>
    <m/>
    <m/>
    <n v="2050"/>
    <s v="a1"/>
    <s v="sABCD0001@hkmu.edu.hk"/>
    <d v="2022-01-02T00:00:00"/>
    <n v="731"/>
    <n v="724.1"/>
    <n v="727"/>
  </r>
  <r>
    <x v="3"/>
    <s v="BUY (LONG)"/>
    <x v="3"/>
    <x v="0"/>
    <n v="10"/>
    <m/>
    <m/>
    <m/>
    <n v="730"/>
    <s v="a1"/>
    <s v="sABCD0001@hkmu.edu.hk"/>
    <d v="2022-01-02T00:00:00"/>
    <n v="0"/>
    <n v="0"/>
    <n v="0"/>
  </r>
  <r>
    <x v="4"/>
    <s v="BUY (LONG)"/>
    <x v="4"/>
    <x v="0"/>
    <n v="6"/>
    <m/>
    <m/>
    <m/>
    <n v="385"/>
    <s v="a2"/>
    <s v="sABCD0001@hkmu.edu.hk"/>
    <d v="2022-01-03T00:00:00"/>
    <n v="0"/>
    <n v="0"/>
    <n v="5.35"/>
  </r>
  <r>
    <x v="5"/>
    <s v="SELL (SHORT)"/>
    <x v="3"/>
    <x v="0"/>
    <n v="5"/>
    <m/>
    <m/>
    <m/>
    <n v="740"/>
    <s v="a1"/>
    <s v="sABCD0001@hkmu.edu.hk"/>
    <d v="2022-01-04T00:00:00"/>
    <n v="0"/>
    <n v="0"/>
    <n v="0"/>
  </r>
  <r>
    <x v="6"/>
    <s v="BUY (LONG)"/>
    <x v="3"/>
    <x v="0"/>
    <n v="4"/>
    <m/>
    <m/>
    <m/>
    <n v="740"/>
    <s v="a1"/>
    <s v="sABCD0001@hkmu.edu.hk"/>
    <d v="2022-01-05T00:00:00"/>
    <n v="0"/>
    <n v="0"/>
    <n v="0"/>
  </r>
  <r>
    <x v="7"/>
    <s v="BUY (LONG)"/>
    <x v="3"/>
    <x v="0"/>
    <n v="12"/>
    <m/>
    <m/>
    <m/>
    <n v="740"/>
    <s v="a1"/>
    <s v="sABCD0001@hkmu.edu.hk"/>
    <d v="2022-01-06T00:00:00"/>
    <n v="0"/>
    <n v="0"/>
    <n v="0"/>
  </r>
  <r>
    <x v="7"/>
    <s v="SELL (SHORT)"/>
    <x v="3"/>
    <x v="0"/>
    <n v="1"/>
    <m/>
    <m/>
    <m/>
    <n v="740"/>
    <s v="a1"/>
    <s v="sABCD0001@hkmu.edu.hk"/>
    <d v="2022-01-06T00:00:00"/>
    <n v="0"/>
    <n v="0"/>
    <n v="0"/>
  </r>
  <r>
    <x v="7"/>
    <s v="BUY (LONG)"/>
    <x v="3"/>
    <x v="0"/>
    <n v="3"/>
    <m/>
    <m/>
    <m/>
    <n v="740"/>
    <s v="a1"/>
    <s v="sABCD0001@hkmu.edu.hk"/>
    <d v="2022-01-06T00:00:00"/>
    <n v="0"/>
    <n v="0"/>
    <n v="0"/>
  </r>
  <r>
    <x v="8"/>
    <s v="SELL (SHORT)"/>
    <x v="3"/>
    <x v="0"/>
    <n v="13"/>
    <m/>
    <m/>
    <m/>
    <n v="720"/>
    <s v="a1"/>
    <s v="sABCD0001@hkmu.edu.hk"/>
    <d v="2022-01-07T00:00:00"/>
    <n v="0"/>
    <n v="0"/>
    <n v="0"/>
  </r>
  <r>
    <x v="9"/>
    <s v="SELL (SHORT)"/>
    <x v="3"/>
    <x v="0"/>
    <n v="51"/>
    <m/>
    <m/>
    <m/>
    <n v="720"/>
    <s v="a1"/>
    <s v="sABCD0001@hkmu.edu.hk"/>
    <d v="2022-01-08T00:00:00"/>
    <n v="0"/>
    <n v="0"/>
    <n v="0"/>
  </r>
  <r>
    <x v="10"/>
    <s v="SELL (SHORT)"/>
    <x v="1"/>
    <x v="0"/>
    <n v="15"/>
    <m/>
    <m/>
    <m/>
    <n v="445"/>
    <s v="a1"/>
    <s v="sABCD0001@hkmu.edu.hk"/>
    <d v="2022-01-09T00:00:00"/>
    <n v="1988.88"/>
    <n v="1939.32"/>
    <n v="1942"/>
  </r>
  <r>
    <x v="11"/>
    <s v="SELL (SHORT)"/>
    <x v="1"/>
    <x v="0"/>
    <n v="1500"/>
    <m/>
    <m/>
    <m/>
    <n v="445"/>
    <s v="a2"/>
    <s v="sABCD0002@hkmu.edu.hk"/>
    <d v="2022-01-10T00:00:00"/>
    <n v="1977"/>
    <n v="1917.55"/>
    <n v="1966"/>
  </r>
  <r>
    <x v="12"/>
    <s v="BUY (LONG)"/>
    <x v="2"/>
    <x v="0"/>
    <n v="20"/>
    <m/>
    <m/>
    <m/>
    <n v="2030"/>
    <s v="a2"/>
    <s v="sABCD0002@hkmu.edu.hk"/>
    <d v="2022-01-02T00:00:00"/>
    <n v="731"/>
    <n v="724.1"/>
    <n v="727"/>
  </r>
  <r>
    <x v="12"/>
    <s v="SELL (SHORT)"/>
    <x v="1"/>
    <x v="0"/>
    <n v="5"/>
    <m/>
    <m/>
    <m/>
    <n v="460"/>
    <s v="a2"/>
    <s v="sABCD0002@hkmu.edu.hk"/>
    <d v="2022-01-02T00:00:00"/>
    <n v="2072.98"/>
    <n v="2028"/>
    <n v="2050"/>
  </r>
  <r>
    <x v="13"/>
    <s v="SELL (SHORT)"/>
    <x v="2"/>
    <x v="0"/>
    <n v="10"/>
    <m/>
    <m/>
    <m/>
    <n v="2050"/>
    <s v="a2"/>
    <s v="sABCD0002@hkmu.edu.hk"/>
    <d v="2022-01-03T00:00:00"/>
    <n v="737.5"/>
    <n v="727.8"/>
    <n v="731"/>
  </r>
  <r>
    <x v="13"/>
    <s v="BUY (LONG)"/>
    <x v="1"/>
    <x v="0"/>
    <n v="15"/>
    <m/>
    <m/>
    <m/>
    <n v="460"/>
    <s v="a2"/>
    <s v="sABCD0002@hkmu.edu.hk"/>
    <d v="2022-01-03T00:00:00"/>
    <n v="2072.98"/>
    <n v="2028"/>
    <n v="2050"/>
  </r>
  <r>
    <x v="14"/>
    <s v="BUY (LONG)"/>
    <x v="5"/>
    <x v="1"/>
    <m/>
    <m/>
    <m/>
    <n v="10000"/>
    <m/>
    <s v="a3"/>
    <s v="sABCD0003@hkmu.edu.hk"/>
    <d v="2022-01-01T00:00:00"/>
    <s v=""/>
    <s v=""/>
    <s v=""/>
  </r>
  <r>
    <x v="14"/>
    <s v="BUY (LONG)"/>
    <x v="6"/>
    <x v="2"/>
    <m/>
    <n v="40"/>
    <m/>
    <m/>
    <n v="25"/>
    <s v="a3"/>
    <s v="sABCD0003@hkmu.edu.hk"/>
    <d v="2022-01-01T00:00:00"/>
    <s v=""/>
    <s v=""/>
    <s v=""/>
  </r>
  <r>
    <x v="14"/>
    <s v="BUY (LONG)"/>
    <x v="5"/>
    <x v="1"/>
    <m/>
    <m/>
    <m/>
    <n v="20000"/>
    <m/>
    <s v="a3"/>
    <s v="sABCD0003@hkmu.edu.hk"/>
    <d v="2022-01-01T00:00:00"/>
    <s v=""/>
    <s v=""/>
    <s v=""/>
  </r>
  <r>
    <x v="12"/>
    <s v="SELL (SHORT)"/>
    <x v="5"/>
    <x v="1"/>
    <m/>
    <m/>
    <m/>
    <n v="35000"/>
    <m/>
    <s v="a3"/>
    <s v="sABCD0003@hkmu.edu.hk"/>
    <d v="2022-01-02T00:00:00"/>
    <s v=""/>
    <s v=""/>
    <s v=""/>
  </r>
  <r>
    <x v="14"/>
    <s v="BUY (LONG)"/>
    <x v="5"/>
    <x v="1"/>
    <m/>
    <m/>
    <m/>
    <n v="10000"/>
    <m/>
    <s v="a2"/>
    <s v="sABCD0003@hkmu.edu.hk"/>
    <d v="2022-01-01T00:00:00"/>
    <s v=""/>
    <s v=""/>
    <s v=""/>
  </r>
  <r>
    <x v="14"/>
    <s v="SELL (SHORT)"/>
    <x v="5"/>
    <x v="1"/>
    <m/>
    <m/>
    <m/>
    <n v="9000"/>
    <m/>
    <s v="a2"/>
    <s v="sABCD0003@hkmu.edu.hk"/>
    <d v="2022-01-01T00:00:00"/>
    <s v=""/>
    <s v=""/>
    <s v=""/>
  </r>
  <r>
    <x v="14"/>
    <s v="BUY (LONG)"/>
    <x v="1"/>
    <x v="0"/>
    <n v="10"/>
    <m/>
    <m/>
    <m/>
    <n v="460"/>
    <s v="a3"/>
    <s v="sABCD0003@hkmu.edu.hk"/>
    <d v="2022-01-01T00:00:00"/>
    <n v="2072.98"/>
    <n v="2028"/>
    <n v="2050"/>
  </r>
  <r>
    <x v="15"/>
    <s v="BUY (LONG)"/>
    <x v="1"/>
    <x v="0"/>
    <n v="380"/>
    <m/>
    <m/>
    <m/>
    <n v="450"/>
    <s v="a3"/>
    <s v="sABCD0003@hkmu.edu.hk"/>
    <d v="2022-01-04T00:00:00"/>
    <n v="2068.9499999999998"/>
    <n v="2014"/>
    <n v="2051.23"/>
  </r>
  <r>
    <x v="12"/>
    <s v="BUY (LONG)"/>
    <x v="4"/>
    <x v="0"/>
    <n v="30"/>
    <m/>
    <m/>
    <m/>
    <n v="385"/>
    <s v="a4"/>
    <s v="sABCD0004@hkmu.edu.hk"/>
    <d v="2022-01-02T00:00:00"/>
    <n v="0"/>
    <n v="0"/>
    <n v="5.45"/>
  </r>
  <r>
    <x v="12"/>
    <s v="BUY (LONG)"/>
    <x v="1"/>
    <x v="0"/>
    <n v="30"/>
    <m/>
    <m/>
    <m/>
    <n v="460"/>
    <s v="a4"/>
    <s v="sABCD0004@hkmu.edu.hk"/>
    <d v="2022-01-02T00:00:00"/>
    <n v="2072.98"/>
    <n v="2028"/>
    <n v="2050"/>
  </r>
  <r>
    <x v="12"/>
    <s v="SELL (SHORT)"/>
    <x v="1"/>
    <x v="0"/>
    <n v="20"/>
    <m/>
    <m/>
    <m/>
    <n v="460"/>
    <s v="a4"/>
    <s v="sABCD0004@hkmu.edu.hk"/>
    <d v="2022-01-02T00:00:00"/>
    <n v="2072.98"/>
    <n v="2028"/>
    <n v="2050"/>
  </r>
  <r>
    <x v="16"/>
    <s v="SELL (SHORT)"/>
    <x v="7"/>
    <x v="3"/>
    <m/>
    <m/>
    <n v="10"/>
    <m/>
    <n v="3.5"/>
    <s v="a5"/>
    <s v="sABCD0005@hkmu.edu.hk"/>
    <d v="2022-01-05T00:00:00"/>
    <s v=""/>
    <s v=""/>
    <n v="3.2500000000000004"/>
  </r>
  <r>
    <x v="16"/>
    <s v="BUY (LONG)"/>
    <x v="8"/>
    <x v="3"/>
    <m/>
    <m/>
    <n v="10"/>
    <m/>
    <n v="2.5"/>
    <s v="a5"/>
    <s v="sABCD0005@hkmu.edu.hk"/>
    <d v="2022-01-05T00:00:00"/>
    <s v=""/>
    <s v=""/>
    <n v="0"/>
  </r>
  <r>
    <x v="17"/>
    <s v="BUY (LONG)"/>
    <x v="1"/>
    <x v="0"/>
    <n v="40"/>
    <m/>
    <m/>
    <m/>
    <n v="430"/>
    <s v="a5"/>
    <s v="sABCD0005@hkmu.edu.hk"/>
    <d v="2022-01-06T00:00:00"/>
    <n v="2036"/>
    <n v="1938.51"/>
    <n v="1982.22"/>
  </r>
  <r>
    <x v="18"/>
    <s v="SELL (SHORT)"/>
    <x v="1"/>
    <x v="0"/>
    <n v="50"/>
    <m/>
    <m/>
    <m/>
    <n v="440"/>
    <s v="a5"/>
    <s v="sABCD0005@hkmu.edu.hk"/>
    <d v="2022-01-07T00:00:00"/>
    <n v="1988.88"/>
    <n v="1939.32"/>
    <n v="1942"/>
  </r>
  <r>
    <x v="18"/>
    <s v="SELL (SHORT)"/>
    <x v="6"/>
    <x v="2"/>
    <m/>
    <n v="20"/>
    <m/>
    <m/>
    <n v="19"/>
    <s v="a5"/>
    <s v="sABCD0005@hkmu.edu.hk"/>
    <d v="2022-01-07T00:00:00"/>
    <s v=""/>
    <s v=""/>
    <s v=""/>
  </r>
  <r>
    <x v="13"/>
    <s v="BUY (LONG)"/>
    <x v="6"/>
    <x v="2"/>
    <m/>
    <n v="30"/>
    <m/>
    <m/>
    <n v="23"/>
    <s v="a4"/>
    <s v="sABCD0004@hkmu.edu.hk"/>
    <d v="2022-01-03T00:00:00"/>
    <s v=""/>
    <s v=""/>
    <s v=""/>
  </r>
  <r>
    <x v="15"/>
    <s v="SELL (SHORT)"/>
    <x v="6"/>
    <x v="2"/>
    <m/>
    <n v="20"/>
    <m/>
    <m/>
    <n v="22"/>
    <s v="a4"/>
    <s v="sABCD0004@hkmu.edu.hk"/>
    <d v="2022-01-04T00:00:00"/>
    <s v=""/>
    <s v=""/>
    <s v=""/>
  </r>
  <r>
    <x v="19"/>
    <s v="BUY (LONG)"/>
    <x v="9"/>
    <x v="0"/>
    <n v="10"/>
    <m/>
    <m/>
    <m/>
    <n v="1050"/>
    <s v="a6"/>
    <s v="sABCD0006@hkmu.edu.hk"/>
    <d v="2022-01-11T00:00:00"/>
    <n v="1075.8499999999999"/>
    <n v="1038.82"/>
    <n v="1064.4000000000001"/>
  </r>
  <r>
    <x v="19"/>
    <s v="BUY (LONG)"/>
    <x v="9"/>
    <x v="0"/>
    <n v="10"/>
    <m/>
    <m/>
    <m/>
    <n v="1050"/>
    <s v="a6"/>
    <s v="sABCD0006@hkmu.edu.hk"/>
    <d v="2022-01-11T00:00:00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AllSec" cacheId="367" applyNumberFormats="0" applyBorderFormats="0" applyFontFormats="0" applyPatternFormats="0" applyAlignmentFormats="0" applyWidthHeightFormats="0" dataCaption="" updatedVersion="7" rowGrandTotals="0" compact="0" compactData="0">
  <location ref="A5:F16" firstHeaderRow="1" firstDataRow="2" firstDataCol="1" rowPageCount="1" colPageCount="1"/>
  <pivotFields count="15">
    <pivotField name="Timestamp" axis="axisPage" compact="0" numFmtId="167" outline="0" multipleItemSelectionAllowe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t="default"/>
      </items>
    </pivotField>
    <pivotField name="What do you want to do?" dataField="1" compact="0" outline="0" multipleItemSelectionAllowed="1" showAll="0"/>
    <pivotField name="Ticker Symbol (Security Code)" axis="axisRow" compact="0" outline="0" multipleItemSelectionAllowed="1" showAll="0" sortType="ascending">
      <items count="12">
        <item x="1"/>
        <item x="5"/>
        <item x="2"/>
        <item x="0"/>
        <item x="4"/>
        <item x="3"/>
        <item x="9"/>
        <item x="8"/>
        <item x="7"/>
        <item x="6"/>
        <item x="10"/>
        <item t="default"/>
      </items>
    </pivotField>
    <pivotField name="Select Asset Class" axis="axisCol" compact="0" outline="0" multipleItemSelectionAllowed="1" showAll="0" sortType="ascending">
      <items count="6">
        <item x="2"/>
        <item x="3"/>
        <item x="0"/>
        <item x="1"/>
        <item x="4"/>
        <item t="default"/>
      </items>
    </pivotField>
    <pivotField name="Stock: Number of shares" compact="0" outline="0" multipleItemSelectionAllowed="1" showAll="0"/>
    <pivotField name="Bond: Number of bonds?" compact="0" outline="0" multipleItemSelectionAllowed="1" showAll="0"/>
    <pivotField name="Option: Number of contracts?" compact="0" outline="0" multipleItemSelectionAllowed="1" showAll="0"/>
    <pivotField name="Time Deposit: Amount in HKD" compact="0" outline="0" multipleItemSelectionAllowed="1" showAll="0"/>
    <pivotField name="Limit Order's Limit Price (Market Order should leave blank)" compact="0" outline="0" multipleItemSelectionAllowed="1" showAll="0"/>
    <pivotField name="PASSWORD" compact="0" outline="0" multipleItemSelectionAllowed="1" showAll="0"/>
    <pivotField name="Email Address" compact="0" outline="0" multipleItemSelectionAllowed="1" showAll="0"/>
    <pivotField name="Date" compact="0" outline="0" multipleItemSelectionAllowed="1" showAll="0"/>
    <pivotField name="Stock: High/ Bond: Bid" compact="0" outline="0" multipleItemSelectionAllowed="1" showAll="0"/>
    <pivotField name="Stock: Low/ Bond: Ask" compact="0" outline="0" multipleItemSelectionAllowed="1" showAll="0"/>
    <pivotField name="Stock: Close/ Option: Close" compact="0" outline="0" multipleItemSelectionAllowe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0" hier="0"/>
  </pageFields>
  <dataFields count="1">
    <dataField name="SUM of What do you want to do?" fld="1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After1stCHK" cacheId="362" applyNumberFormats="0" applyBorderFormats="0" applyFontFormats="0" applyPatternFormats="0" applyAlignmentFormats="0" applyWidthHeightFormats="0" dataCaption="" updatedVersion="7" rowGrandTotals="0" compact="0" compactData="0">
  <location ref="B3:AO43" firstHeaderRow="1" firstDataRow="1" firstDataCol="40" rowPageCount="1" colPageCount="1"/>
  <pivotFields count="55">
    <pivotField name="Email" axis="axisRow" compact="0" outline="0" multipleItemSelectionAllowed="1" showAll="0" sortType="ascending" defaultSubtotal="0">
      <items count="7">
        <item x="0"/>
        <item x="1"/>
        <item x="2"/>
        <item x="3"/>
        <item x="4"/>
        <item x="5"/>
        <item x="6"/>
      </items>
    </pivotField>
    <pivotField name="Acct#" axis="axisRow" compact="0" outline="0" multipleItemSelectionAllowed="1" showAll="0" sortType="ascending" defaultSubtotal="0">
      <items count="7">
        <item x="0"/>
        <item x="1"/>
        <item x="2"/>
        <item x="3"/>
        <item x="4"/>
        <item x="5"/>
        <item x="6"/>
      </items>
    </pivotField>
    <pivotField name="Password" compact="0" outline="0" multipleItemSelectionAllowed="1" showAll="0"/>
    <pivotField name="Order #" axis="axisRow" compact="0" numFmtId="3" outline="0" multipleItemSelectionAllowed="1" showAll="0" sortType="ascending" defaultSubtotal="0">
      <items count="44">
        <item x="0"/>
        <item x="1"/>
        <item x="2"/>
        <item x="3"/>
        <item x="4"/>
        <item x="5"/>
        <item x="6"/>
        <item x="24"/>
        <item x="25"/>
        <item x="26"/>
        <item x="28"/>
        <item x="29"/>
        <item x="30"/>
        <item x="7"/>
        <item x="8"/>
        <item x="9"/>
        <item x="20"/>
        <item x="21"/>
        <item x="27"/>
        <item x="32"/>
        <item x="33"/>
        <item x="34"/>
        <item x="10"/>
        <item x="22"/>
        <item x="23"/>
        <item x="40"/>
        <item x="11"/>
        <item x="31"/>
        <item x="41"/>
        <item x="12"/>
        <item x="35"/>
        <item x="36"/>
        <item x="13"/>
        <item x="14"/>
        <item x="15"/>
        <item x="37"/>
        <item x="16"/>
        <item x="38"/>
        <item x="39"/>
        <item x="17"/>
        <item x="18"/>
        <item x="19"/>
        <item x="42"/>
        <item x="43"/>
      </items>
    </pivotField>
    <pivotField name="Date/ Time" axis="axisRow" compact="0" numFmtId="164" outline="0" multipleItemSelectionAllowed="1" showAll="0" sortType="ascending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name="Date Time Stamp" compact="0" numFmtId="164" outline="0" multipleItemSelectionAllowed="1" showAll="0"/>
    <pivotField name="Order Side" axis="axisRow" compact="0" outline="0" multipleItemSelectionAllowed="1" showAll="0" sortType="ascending" defaultSubtotal="0">
      <items count="3">
        <item x="0"/>
        <item x="1"/>
        <item x="2"/>
      </items>
    </pivotField>
    <pivotField name="Ticker Code" axis="axisRow" compact="0" outline="0" multipleItemSelectionAllowed="1" showAll="0" sortType="ascending" defaultSubtotal="0">
      <items count="12">
        <item x="2"/>
        <item x="6"/>
        <item x="3"/>
        <item x="1"/>
        <item x="0"/>
        <item x="5"/>
        <item x="4"/>
        <item x="10"/>
        <item x="9"/>
        <item x="8"/>
        <item x="7"/>
        <item x="11"/>
      </items>
    </pivotField>
    <pivotField name="Asset Class" axis="axisRow" compact="0" outline="0" multipleItemSelectionAllowed="1" showAll="0" sortType="ascending" defaultSubtotal="0">
      <items count="6">
        <item x="3"/>
        <item x="0"/>
        <item x="4"/>
        <item x="1"/>
        <item x="2"/>
        <item x="5"/>
      </items>
    </pivotField>
    <pivotField name="Stock (Shares)" axis="axisRow" compact="0" outline="0" multipleItemSelectionAllowed="1" showAll="0" sortType="ascending" defaultSubtotal="0">
      <items count="19">
        <item x="14"/>
        <item x="8"/>
        <item x="1"/>
        <item x="9"/>
        <item x="6"/>
        <item x="5"/>
        <item x="4"/>
        <item x="2"/>
        <item x="7"/>
        <item x="10"/>
        <item x="3"/>
        <item x="13"/>
        <item x="16"/>
        <item x="17"/>
        <item x="18"/>
        <item x="11"/>
        <item x="15"/>
        <item x="12"/>
        <item x="0"/>
      </items>
    </pivotField>
    <pivotField name="Bond (Contracts)" axis="axisRow" compact="0" outline="0" multipleItemSelectionAllowed="1" showAll="0" sortType="ascending" defaultSubtotal="0">
      <items count="5">
        <item x="1"/>
        <item x="3"/>
        <item x="4"/>
        <item x="2"/>
        <item x="0"/>
      </items>
    </pivotField>
    <pivotField name="Option (Contracts)" axis="axisRow" compact="0" outline="0" multipleItemSelectionAllowed="1" showAll="0" sortType="ascending" defaultSubtotal="0">
      <items count="3">
        <item x="1"/>
        <item x="2"/>
        <item x="0"/>
      </items>
    </pivotField>
    <pivotField name="TD (Notional)" axis="axisRow" compact="0" outline="0" multipleItemSelectionAllowed="1" showAll="0" sortType="ascending" defaultSubtotal="0">
      <items count="7">
        <item x="1"/>
        <item x="5"/>
        <item x="2"/>
        <item x="3"/>
        <item x="4"/>
        <item x="0"/>
        <item x="6"/>
      </items>
    </pivotField>
    <pivotField name="Limit Price/ Mkt Price (stk &amp; opt only)" axis="axisRow" compact="0" outline="0" multipleItemSelectionAllowed="1" showAll="0" sortType="ascending" defaultSubtotal="0">
      <items count="21">
        <item x="10"/>
        <item x="14"/>
        <item x="13"/>
        <item x="17"/>
        <item x="19"/>
        <item x="18"/>
        <item x="11"/>
        <item x="5"/>
        <item x="15"/>
        <item x="16"/>
        <item x="8"/>
        <item x="12"/>
        <item x="2"/>
        <item x="7"/>
        <item x="4"/>
        <item x="6"/>
        <item x="20"/>
        <item x="9"/>
        <item x="3"/>
        <item x="1"/>
        <item x="0"/>
      </items>
    </pivotField>
    <pivotField name="Password Input" compact="0" outline="0" multipleItemSelectionAllowed="1" showAll="0"/>
    <pivotField name="Email Input" compact="0" outline="0" multipleItemSelectionAllowed="1" showAll="0"/>
    <pivotField name="x" compact="0" outline="0" multipleItemSelectionAllowed="1" showAll="0"/>
    <pivotField name="x2" compact="0" outline="0" multipleItemSelectionAllowed="1" showAll="0"/>
    <pivotField name="x3" compact="0" outline="0" multipleItemSelectionAllowed="1" showAll="0"/>
    <pivotField name="Date" compact="0" numFmtId="14" outline="0" multipleItemSelectionAllowed="1" showAll="0"/>
    <pivotField name="Exchange" axis="axisRow" compact="0" outline="0" multipleItemSelectionAllowed="1" showAll="0" sortType="ascending" defaultSubtotal="0">
      <items count="1">
        <item x="0"/>
      </items>
    </pivotField>
    <pivotField name="Currency" axis="axisRow" compact="0" outline="0" multipleItemSelectionAllowed="1" showAll="0" sortType="ascending" defaultSubtotal="0">
      <items count="5">
        <item x="2"/>
        <item x="3"/>
        <item x="0"/>
        <item x="1"/>
        <item x="4"/>
      </items>
    </pivotField>
    <pivotField name="Stock (Ticker/ Code)" axis="axisRow" compact="0" outline="0" multipleItemSelectionAllowed="1" showAll="0" sortType="ascending" defaultSubtotal="0">
      <items count="8">
        <item x="6"/>
        <item x="2"/>
        <item x="3"/>
        <item x="1"/>
        <item x="5"/>
        <item x="4"/>
        <item x="7"/>
        <item x="0"/>
      </items>
    </pivotField>
    <pivotField name="Stock (Open)" axis="axisRow" compact="0" outline="0" multipleItemSelectionAllowed="1" showAll="0" sortType="ascending" defaultSubtotal="0">
      <items count="9">
        <item x="5"/>
        <item x="2"/>
        <item x="4"/>
        <item x="8"/>
        <item x="7"/>
        <item x="3"/>
        <item x="1"/>
        <item x="6"/>
        <item x="0"/>
      </items>
    </pivotField>
    <pivotField name="Stock (High)" axis="axisRow" compact="0" outline="0" multipleItemSelectionAllowed="1" showAll="0" sortType="ascending" defaultSubtotal="0">
      <items count="9">
        <item x="5"/>
        <item x="2"/>
        <item x="4"/>
        <item x="8"/>
        <item x="7"/>
        <item x="3"/>
        <item x="1"/>
        <item x="6"/>
        <item x="0"/>
      </items>
    </pivotField>
    <pivotField name="Stock (Low)" axis="axisRow" compact="0" outline="0" multipleItemSelectionAllowed="1" showAll="0" sortType="ascending" defaultSubtotal="0">
      <items count="9">
        <item x="5"/>
        <item x="2"/>
        <item x="4"/>
        <item x="8"/>
        <item x="7"/>
        <item x="3"/>
        <item x="1"/>
        <item x="6"/>
        <item x="0"/>
      </items>
    </pivotField>
    <pivotField name="Stock (Close)" axis="axisRow" compact="0" outline="0" multipleItemSelectionAllowed="1" showAll="0" sortType="ascending" defaultSubtotal="0">
      <items count="9">
        <item x="5"/>
        <item x="2"/>
        <item x="4"/>
        <item x="7"/>
        <item x="8"/>
        <item x="3"/>
        <item x="1"/>
        <item x="6"/>
        <item x="0"/>
      </items>
    </pivotField>
    <pivotField name="Stock (Volume)" axis="axisRow" compact="0" outline="0" multipleItemSelectionAllowed="1" showAll="0" sortType="ascending" defaultSubtotal="0">
      <items count="9">
        <item x="4"/>
        <item x="5"/>
        <item x="3"/>
        <item x="1"/>
        <item x="2"/>
        <item x="7"/>
        <item x="8"/>
        <item x="6"/>
        <item x="0"/>
      </items>
    </pivotField>
    <pivotField name="Bond (Bond Issuer name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Indicative Bid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Indicative Ask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Coupon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Maturity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Rating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YTM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Seniority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Typ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Underlying asset ticker cod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Open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High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Low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Clos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Strik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Expiration Date)" axis="axisRow" compact="0" outline="0" multipleItemSelectionAllowed="1" showAll="0" sortType="ascending" defaultSubtotal="0">
      <items count="2">
        <item x="1"/>
        <item x="0"/>
      </items>
    </pivotField>
    <pivotField name="Option (Put or Call)" axis="axisRow" compact="0" outline="0" multipleItemSelectionAllowed="1" showAll="0" sortType="ascending" defaultSubtotal="0">
      <items count="2">
        <item x="1"/>
        <item x="0"/>
      </items>
    </pivotField>
    <pivotField name="Option (Open Interest)" axis="axisRow" compact="0" outline="0" multipleItemSelectionAllowed="1" showAll="0" sortType="ascending" defaultSubtotal="0">
      <items count="2">
        <item x="1"/>
        <item x="0"/>
      </items>
    </pivotField>
    <pivotField name="TD" axis="axisRow" compact="0" outline="0" multipleItemSelectionAllowed="1" showAll="0" sortType="ascending" defaultSubtotal="0">
      <items count="1">
        <item x="0"/>
      </items>
    </pivotField>
    <pivotField name="TD2" axis="axisRow" compact="0" outline="0" multipleItemSelectionAllowed="1" showAll="0" sortType="ascending">
      <items count="2">
        <item x="0"/>
        <item t="default"/>
      </items>
    </pivotField>
    <pivotField name="Accept" compact="0" outline="0" multipleItemSelectionAllowed="1" showAll="0"/>
    <pivotField name="Comment" compact="0" outline="0" multipleItemSelectionAllowed="1" showAll="0"/>
    <pivotField name="x4" compact="0" outline="0" multipleItemSelectionAllowed="1" showAll="0"/>
    <pivotField name="Check - PWD" compact="0" outline="0" multipleItemSelectionAllowed="1" showAll="0"/>
    <pivotField name="Check - Ticker Code" compact="0" numFmtId="168" outline="0" multipleItemSelectionAllowed="1" showAll="0"/>
    <pivotField name="Check - Limit Order Acceptance" compact="0" outline="0" multipleItemSelectionAllowed="1" showAll="0"/>
    <pivotField name="Check - Prelim1" axis="axisPage" compact="0" numFmtId="168" outline="0" multipleItemSelectionAllowed="1" showAll="0">
      <items count="4">
        <item x="0"/>
        <item h="1" x="1"/>
        <item h="1" x="2"/>
        <item t="default"/>
      </items>
    </pivotField>
  </pivotFields>
  <rowFields count="40">
    <field x="3"/>
    <field x="1"/>
    <field x="0"/>
    <field x="4"/>
    <field x="6"/>
    <field x="7"/>
    <field x="8"/>
    <field x="9"/>
    <field x="10"/>
    <field x="11"/>
    <field x="12"/>
    <field x="13"/>
    <field x="20"/>
    <field x="21"/>
    <field x="22"/>
    <field x="23"/>
    <field x="24"/>
    <field x="25"/>
    <field x="26"/>
    <field x="27"/>
    <field x="28"/>
    <field x="29"/>
    <field x="30"/>
    <field x="31"/>
    <field x="32"/>
    <field x="33"/>
    <field x="34"/>
    <field x="35"/>
    <field x="36"/>
    <field x="37"/>
    <field x="38"/>
    <field x="39"/>
    <field x="40"/>
    <field x="41"/>
    <field x="42"/>
    <field x="43"/>
    <field x="44"/>
    <field x="45"/>
    <field x="46"/>
    <field x="47"/>
  </rowFields>
  <rowItems count="40">
    <i>
      <x/>
      <x/>
      <x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"/>
      <x v="1"/>
      <x v="1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"/>
      <x v="2"/>
      <x v="2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"/>
      <x v="3"/>
      <x v="3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"/>
      <x v="4"/>
      <x v="4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5"/>
      <x v="5"/>
      <x v="5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6"/>
      <x/>
      <x/>
      <x v="1"/>
      <x/>
      <x v="3"/>
      <x v="3"/>
      <x v="2"/>
      <x/>
      <x/>
      <x/>
      <x v="19"/>
      <x/>
      <x v="3"/>
      <x v="3"/>
      <x v="6"/>
      <x v="6"/>
      <x v="6"/>
      <x v="6"/>
      <x v="3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7"/>
      <x v="2"/>
      <x v="2"/>
      <x v="1"/>
      <x/>
      <x v="1"/>
      <x v="4"/>
      <x/>
      <x/>
      <x/>
      <x v="2"/>
      <x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8"/>
      <x v="2"/>
      <x v="2"/>
      <x v="1"/>
      <x/>
      <x v="10"/>
      <x/>
      <x/>
      <x v="3"/>
      <x/>
      <x/>
      <x v="6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9"/>
      <x v="2"/>
      <x v="2"/>
      <x v="1"/>
      <x/>
      <x v="1"/>
      <x v="4"/>
      <x/>
      <x/>
      <x/>
      <x v="3"/>
      <x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2"/>
      <x v="2"/>
      <x v="2"/>
      <x v="1"/>
      <x/>
      <x/>
      <x v="3"/>
      <x v="7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3"/>
      <x/>
      <x/>
      <x v="2"/>
      <x/>
      <x/>
      <x v="3"/>
      <x v="7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4"/>
      <x/>
      <x/>
      <x v="2"/>
      <x v="1"/>
      <x v="2"/>
      <x v="3"/>
      <x v="10"/>
      <x/>
      <x/>
      <x/>
      <x v="18"/>
      <x/>
      <x/>
      <x v="2"/>
      <x v="5"/>
      <x v="5"/>
      <x v="5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5"/>
      <x/>
      <x/>
      <x v="2"/>
      <x/>
      <x v="6"/>
      <x v="3"/>
      <x v="7"/>
      <x/>
      <x/>
      <x/>
      <x v="14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6"/>
      <x v="1"/>
      <x v="1"/>
      <x v="2"/>
      <x/>
      <x v="2"/>
      <x v="3"/>
      <x v="11"/>
      <x/>
      <x/>
      <x/>
      <x v="17"/>
      <x/>
      <x/>
      <x v="2"/>
      <x v="5"/>
      <x v="5"/>
      <x v="5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7"/>
      <x v="1"/>
      <x v="1"/>
      <x v="2"/>
      <x v="1"/>
      <x/>
      <x v="3"/>
      <x v="5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8"/>
      <x v="2"/>
      <x v="2"/>
      <x v="2"/>
      <x v="1"/>
      <x v="1"/>
      <x v="4"/>
      <x/>
      <x/>
      <x/>
      <x v="4"/>
      <x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9"/>
      <x v="3"/>
      <x v="3"/>
      <x v="2"/>
      <x/>
      <x v="5"/>
      <x v="3"/>
      <x v="12"/>
      <x/>
      <x/>
      <x/>
      <x v="7"/>
      <x/>
      <x v="3"/>
      <x v="4"/>
      <x/>
      <x/>
      <x/>
      <x/>
      <x v="1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0"/>
      <x v="3"/>
      <x v="3"/>
      <x v="2"/>
      <x/>
      <x/>
      <x v="3"/>
      <x v="12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1"/>
      <x v="3"/>
      <x v="3"/>
      <x v="2"/>
      <x v="1"/>
      <x/>
      <x v="3"/>
      <x v="11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3"/>
      <x v="1"/>
      <x v="1"/>
      <x v="3"/>
      <x v="1"/>
      <x v="2"/>
      <x v="3"/>
      <x v="7"/>
      <x/>
      <x/>
      <x/>
      <x v="18"/>
      <x/>
      <x/>
      <x v="2"/>
      <x v="5"/>
      <x v="5"/>
      <x v="5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4"/>
      <x v="1"/>
      <x v="1"/>
      <x v="3"/>
      <x/>
      <x/>
      <x v="3"/>
      <x v="10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5"/>
      <x v="3"/>
      <x v="3"/>
      <x v="3"/>
      <x/>
      <x v="10"/>
      <x/>
      <x/>
      <x v="2"/>
      <x/>
      <x/>
      <x v="5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26"/>
      <x/>
      <x/>
      <x v="4"/>
      <x v="1"/>
      <x v="6"/>
      <x v="3"/>
      <x v="5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7"/>
      <x v="2"/>
      <x v="2"/>
      <x v="4"/>
      <x/>
      <x/>
      <x v="3"/>
      <x v="16"/>
      <x/>
      <x/>
      <x/>
      <x v="11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8"/>
      <x v="3"/>
      <x v="3"/>
      <x v="4"/>
      <x v="1"/>
      <x v="10"/>
      <x/>
      <x/>
      <x v="1"/>
      <x/>
      <x/>
      <x v="4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29"/>
      <x/>
      <x/>
      <x v="5"/>
      <x/>
      <x v="6"/>
      <x v="3"/>
      <x v="4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0"/>
      <x v="4"/>
      <x v="4"/>
      <x v="5"/>
      <x v="1"/>
      <x v="9"/>
      <x v="2"/>
      <x/>
      <x/>
      <x v="1"/>
      <x/>
      <x v="2"/>
      <x/>
      <x v="3"/>
      <x/>
      <x v="7"/>
      <x v="7"/>
      <x v="7"/>
      <x v="7"/>
      <x v="7"/>
      <x/>
      <x v="1"/>
      <x v="1"/>
      <x v="1"/>
      <x/>
      <x/>
      <x v="1"/>
      <x/>
      <x/>
      <x v="1"/>
      <x v="1"/>
      <x v="1"/>
      <x v="1"/>
      <x v="1"/>
      <x v="1"/>
      <x/>
      <x/>
      <x/>
      <x/>
      <x/>
    </i>
    <i>
      <x v="31"/>
      <x v="4"/>
      <x v="4"/>
      <x v="5"/>
      <x/>
      <x v="8"/>
      <x v="2"/>
      <x/>
      <x/>
      <x v="1"/>
      <x/>
      <x v="1"/>
      <x/>
      <x v="3"/>
      <x/>
      <x v="7"/>
      <x v="7"/>
      <x v="7"/>
      <x v="7"/>
      <x v="7"/>
      <x/>
      <x v="1"/>
      <x v="1"/>
      <x v="1"/>
      <x/>
      <x/>
      <x v="1"/>
      <x/>
      <x/>
      <x/>
      <x/>
      <x/>
      <x/>
      <x/>
      <x/>
      <x/>
      <x/>
      <x/>
      <x/>
      <x/>
    </i>
    <i>
      <x v="32"/>
      <x/>
      <x/>
      <x v="6"/>
      <x/>
      <x v="6"/>
      <x v="3"/>
      <x v="8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3"/>
      <x/>
      <x/>
      <x v="6"/>
      <x v="1"/>
      <x v="6"/>
      <x v="3"/>
      <x v="1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4"/>
      <x/>
      <x/>
      <x v="6"/>
      <x/>
      <x v="6"/>
      <x v="3"/>
      <x v="3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5"/>
      <x v="4"/>
      <x v="4"/>
      <x v="6"/>
      <x/>
      <x/>
      <x v="3"/>
      <x v="13"/>
      <x/>
      <x/>
      <x/>
      <x v="8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6"/>
      <x/>
      <x/>
      <x v="7"/>
      <x v="1"/>
      <x v="6"/>
      <x v="3"/>
      <x v="9"/>
      <x/>
      <x/>
      <x/>
      <x v="13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7"/>
      <x v="4"/>
      <x v="4"/>
      <x v="7"/>
      <x v="1"/>
      <x/>
      <x v="3"/>
      <x v="14"/>
      <x/>
      <x/>
      <x/>
      <x v="9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8"/>
      <x v="4"/>
      <x v="4"/>
      <x v="7"/>
      <x v="1"/>
      <x v="10"/>
      <x/>
      <x/>
      <x v="1"/>
      <x/>
      <x/>
      <x v="3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39"/>
      <x/>
      <x/>
      <x v="8"/>
      <x v="1"/>
      <x v="6"/>
      <x v="3"/>
      <x v="15"/>
      <x/>
      <x/>
      <x/>
      <x v="13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0"/>
      <x/>
      <x/>
      <x v="9"/>
      <x v="1"/>
      <x/>
      <x v="3"/>
      <x v="10"/>
      <x/>
      <x/>
      <x/>
      <x v="10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1"/>
      <x v="1"/>
      <x v="1"/>
      <x v="10"/>
      <x v="1"/>
      <x/>
      <x v="3"/>
      <x v="17"/>
      <x/>
      <x/>
      <x/>
      <x v="10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2"/>
      <x v="5"/>
      <x v="5"/>
      <x v="11"/>
      <x/>
      <x v="7"/>
      <x v="3"/>
      <x v="7"/>
      <x/>
      <x/>
      <x/>
      <x v="16"/>
      <x/>
      <x v="3"/>
      <x v="6"/>
      <x v="4"/>
      <x v="4"/>
      <x v="4"/>
      <x v="3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</rowItems>
  <colItems count="1">
    <i/>
  </colItems>
  <pageFields count="1">
    <pageField fld="54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rade Record by acct" cacheId="319" applyNumberFormats="0" applyBorderFormats="0" applyFontFormats="0" applyPatternFormats="0" applyAlignmentFormats="0" applyWidthHeightFormats="0" dataCaption="" updatedVersion="7" rowGrandTotals="0" compact="0" compactData="0">
  <location ref="A3:I49" firstHeaderRow="1" firstDataRow="2" firstDataCol="6"/>
  <pivotFields count="57">
    <pivotField name="DateCum" compact="0" outline="0" multipleItemSelectionAllowed="1" showAll="0"/>
    <pivotField name="Acct#" axis="axisRow" compact="0" outline="0" multipleItemSelectionAllowed="1" showAll="0" sortType="ascending">
      <items count="8">
        <item x="1"/>
        <item x="2"/>
        <item x="3"/>
        <item x="4"/>
        <item x="5"/>
        <item x="6"/>
        <item x="0"/>
        <item t="default"/>
      </items>
    </pivotField>
    <pivotField name="Order #" compact="0" outline="0" multipleItemSelectionAllowed="1" showAll="0"/>
    <pivotField name="Asset Class" axis="axisRow" compact="0" outline="0" multipleItemSelectionAllowed="1" showAll="0" sortType="ascending" defaultSubtotal="0">
      <items count="6">
        <item x="4"/>
        <item x="1"/>
        <item x="5"/>
        <item x="2"/>
        <item x="3"/>
        <item x="0"/>
      </items>
    </pivotField>
    <pivotField name="Ticker Code" axis="axisRow" compact="0" outline="0" multipleItemSelectionAllowed="1" showAll="0" sortType="ascending" defaultSubtotal="0">
      <items count="11">
        <item x="5"/>
        <item x="3"/>
        <item x="6"/>
        <item x="2"/>
        <item x="1"/>
        <item x="8"/>
        <item x="7"/>
        <item x="10"/>
        <item x="9"/>
        <item x="4"/>
        <item x="0"/>
      </items>
    </pivotField>
    <pivotField name="Date/ Time" axis="axisRow" compact="0" outline="0" multipleItemSelectionAllowed="1" showAll="0" sortType="ascending" defaultSubtotal="0">
      <items count="12">
        <item x="1"/>
        <item x="2"/>
        <item x="3"/>
        <item x="4"/>
        <item x="5"/>
        <item x="6"/>
        <item x="7"/>
        <item x="8"/>
        <item x="9"/>
        <item x="10"/>
        <item x="11"/>
        <item x="0"/>
      </items>
    </pivotField>
    <pivotField name="Currency" axis="axisRow" compact="0" outline="0" multipleItemSelectionAllowed="1" showAll="0" sortType="ascending" defaultSubtotal="0">
      <items count="5">
        <item x="3"/>
        <item x="4"/>
        <item x="1"/>
        <item x="2"/>
        <item x="0"/>
      </items>
    </pivotField>
    <pivotField name="Post-Trade Cash Balance" compact="0" outline="0" multipleItemSelectionAllowed="1" showAll="0"/>
    <pivotField name="Post-Trade Total Securities Value Balance" compact="0" outline="0" multipleItemSelectionAllowed="1" showAll="0"/>
    <pivotField name="Post-Trade Total Asset Balance" compact="0" outline="0" multipleItemSelectionAllowed="1" showAll="0"/>
    <pivotField name="Post-Trade Ava Margin Balance" compact="0" outline="0" multipleItemSelectionAllowed="1" showAll="0"/>
    <pivotField name="Post-Trade Margin Loan Balance" compact="0" outline="0" multipleItemSelectionAllowed="1" showAll="0"/>
    <pivotField name="Proposed Total Traded Notional" compact="0" outline="0" multipleItemSelectionAllowed="1" showAll="0"/>
    <pivotField name="Proposed Total Margin Req" compact="0" outline="0" multipleItemSelectionAllowed="1" showAll="0"/>
    <pivotField name="Stock Traded (Long)" compact="0" outline="0" multipleItemSelectionAllowed="1" showAll="0"/>
    <pivotField name="Stock Traded (Short)" compact="0" outline="0" multipleItemSelectionAllowed="1" showAll="0"/>
    <pivotField name="Stock Price (Closing HKD)" compact="0" outline="0" multipleItemSelectionAllowed="1" showAll="0"/>
    <pivotField name="QTY Stock (# of shrs)" compact="0" outline="0" multipleItemSelectionAllowed="1" showAll="0"/>
    <pivotField name="Bond Price" compact="0" outline="0" multipleItemSelectionAllowed="1" showAll="0"/>
    <pivotField name="Bond Qty" compact="0" outline="0" multipleItemSelectionAllowed="1" showAll="0"/>
    <pivotField name="Option Price" compact="0" outline="0" multipleItemSelectionAllowed="1" showAll="0"/>
    <pivotField name="Option Qty" compact="0" outline="0" multipleItemSelectionAllowed="1" showAll="0"/>
    <pivotField name="TD Qty" compact="0" outline="0" multipleItemSelectionAllowed="1" showAll="0"/>
    <pivotField name="Stock Previous Cum Qty Balance" compact="0" outline="0" multipleItemSelectionAllowed="1" showAll="0"/>
    <pivotField name="Bond Previous Cum Qty Balance" compact="0" outline="0" multipleItemSelectionAllowed="1" showAll="0"/>
    <pivotField name="Option Previous Cum Qty Balance" compact="0" outline="0" multipleItemSelectionAllowed="1" showAll="0"/>
    <pivotField name="TD Previous Cum Qty Balance" compact="0" outline="0" multipleItemSelectionAllowed="1" showAll="0"/>
    <pivotField name="Stock Proposed Cumulative Qty" compact="0" outline="0" multipleItemSelectionAllowed="1" showAll="0"/>
    <pivotField name="Bond Proposed Cumulative Qty" compact="0" outline="0" multipleItemSelectionAllowed="1" showAll="0"/>
    <pivotField name="Option Proposed Trade Intention" compact="0" outline="0" multipleItemSelectionAllowed="1" showAll="0"/>
    <pivotField name="TD Proposed Trade Intention" compact="0" outline="0" multipleItemSelectionAllowed="1" showAll="0"/>
    <pivotField name="Margin QTY adj -(ABS(PropQ)-ABS(PrevQ))" compact="0" outline="0" multipleItemSelectionAllowed="1" showAll="0"/>
    <pivotField name="Qty Traded" axis="axisRow" compact="0" outline="0" multipleItemSelectionAllowed="1" showAll="0" sortType="ascending">
      <items count="24">
        <item x="10"/>
        <item x="22"/>
        <item x="21"/>
        <item x="20"/>
        <item x="15"/>
        <item x="7"/>
        <item x="19"/>
        <item x="12"/>
        <item x="9"/>
        <item x="1"/>
        <item x="2"/>
        <item x="18"/>
        <item x="16"/>
        <item x="6"/>
        <item x="17"/>
        <item x="13"/>
        <item x="8"/>
        <item x="11"/>
        <item x="4"/>
        <item x="14"/>
        <item x="3"/>
        <item x="5"/>
        <item x="0"/>
        <item t="default"/>
      </items>
    </pivotField>
    <pivotField name="EOD Closing Price" dataField="1" compact="0" outline="0" multipleItemSelectionAllowed="1" showAll="0"/>
    <pivotField name="Last Entry of the day" compact="0" outline="0" multipleItemSelectionAllowed="1" showAll="0"/>
    <pivotField name="FX" dataField="1" compact="0" outline="0" multipleItemSelectionAllowed="1" showAll="0"/>
    <pivotField name="Stock Closing P" compact="0" outline="0" multipleItemSelectionAllowed="1" showAll="0"/>
    <pivotField name="Bond (Bid)" compact="0" outline="0" multipleItemSelectionAllowed="1" showAll="0"/>
    <pivotField name="Bond (Ask)" compact="0" outline="0" multipleItemSelectionAllowed="1" showAll="0"/>
    <pivotField name="Option Closing P" compact="0" outline="0" multipleItemSelectionAllowed="1" showAll="0"/>
    <pivotField name="Option Base Sec Strike" compact="0" outline="0" multipleItemSelectionAllowed="1" showAll="0"/>
    <pivotField name="TD" compact="0" outline="0" multipleItemSelectionAllowed="1" showAll="0"/>
    <pivotField name="# of security" compact="0" outline="0" multipleItemSelectionAllowed="1" showAll="0"/>
    <pivotField name="Sec per Trade notional" dataField="1" compact="0" outline="0" multipleItemSelectionAllowed="1" showAll="0"/>
    <pivotField name="Per Sec Total Exposure" compact="0" outline="0" multipleItemSelectionAllowed="1" showAll="0"/>
    <pivotField name="Remove Duplicate" compact="0" outline="0" multipleItemSelectionAllowed="1" showAll="0"/>
    <pivotField name="Sec Long Exposure" compact="0" outline="0" multipleItemSelectionAllowed="1" showAll="0"/>
    <pivotField name="Sec Short Exposure" compact="0" outline="0" multipleItemSelectionAllowed="1" showAll="0"/>
    <pivotField name="Sec Net Exposure" compact="0" outline="0" multipleItemSelectionAllowed="1" showAll="0"/>
    <pivotField name="Margin Adj per Trade" compact="0" outline="0" multipleItemSelectionAllowed="1" showAll="0"/>
    <pivotField name="(Adj) Margin Fees" compact="0" outline="0" multipleItemSelectionAllowed="1" showAll="0"/>
    <pivotField name="(Adj) Short Sell Interest" compact="0" outline="0" multipleItemSelectionAllowed="1" showAll="0"/>
    <pivotField name="(Adj) TD Interest" compact="0" outline="0" multipleItemSelectionAllowed="1" showAll="0"/>
    <pivotField name="(End of Trade) Cash ava Bal" compact="0" outline="0" multipleItemSelectionAllowed="1" showAll="0"/>
    <pivotField name="(EOD) Cash ava Bal" compact="0" outline="0" multipleItemSelectionAllowed="1" showAll="0"/>
    <pivotField name="(EOD) Margin Loan Bal" compact="0" outline="0" multipleItemSelectionAllowed="1" showAll="0"/>
    <pivotField name="(EOD) AuM = Cash ava + Sec Net Bal" compact="0" outline="0" multipleItemSelectionAllowed="1" showAll="0"/>
  </pivotFields>
  <rowFields count="6">
    <field x="1"/>
    <field x="5"/>
    <field x="3"/>
    <field x="4"/>
    <field x="6"/>
    <field x="32"/>
  </rowFields>
  <rowItems count="45">
    <i>
      <x/>
      <x/>
      <x v="1"/>
      <x v="4"/>
      <x v="2"/>
      <x v="9"/>
    </i>
    <i r="1">
      <x v="1"/>
      <x v="3"/>
      <x v="3"/>
      <x v="3"/>
      <x v="10"/>
    </i>
    <i r="1">
      <x v="2"/>
      <x v="3"/>
      <x/>
      <x v="2"/>
      <x v="13"/>
    </i>
    <i r="3">
      <x v="2"/>
      <x/>
      <x v="5"/>
    </i>
    <i r="3">
      <x v="6"/>
      <x v="1"/>
      <x v="13"/>
    </i>
    <i r="1">
      <x v="4"/>
      <x v="3"/>
      <x v="6"/>
      <x v="1"/>
      <x v="8"/>
    </i>
    <i r="1">
      <x v="5"/>
      <x v="3"/>
      <x v="6"/>
      <x v="1"/>
      <x v="12"/>
    </i>
    <i r="1">
      <x v="6"/>
      <x v="3"/>
      <x v="6"/>
      <x v="1"/>
      <x v="11"/>
    </i>
    <i r="5">
      <x v="14"/>
    </i>
    <i r="1">
      <x v="7"/>
      <x v="3"/>
      <x v="6"/>
      <x v="1"/>
      <x v="6"/>
    </i>
    <i r="1">
      <x v="8"/>
      <x v="3"/>
      <x v="6"/>
      <x v="1"/>
      <x v="2"/>
    </i>
    <i r="1">
      <x v="9"/>
      <x v="3"/>
      <x/>
      <x v="2"/>
      <x v="5"/>
    </i>
    <i t="default">
      <x/>
    </i>
    <i>
      <x v="1"/>
      <x/>
      <x v="1"/>
      <x v="4"/>
      <x v="2"/>
      <x v="9"/>
    </i>
    <i r="1">
      <x v="2"/>
      <x v="3"/>
      <x/>
      <x v="2"/>
      <x v="8"/>
    </i>
    <i r="3">
      <x v="2"/>
      <x/>
      <x v="16"/>
    </i>
    <i r="1">
      <x v="3"/>
      <x v="3"/>
      <x/>
      <x v="2"/>
      <x v="15"/>
    </i>
    <i r="3">
      <x v="2"/>
      <x/>
      <x v="7"/>
    </i>
    <i r="1">
      <x v="10"/>
      <x v="3"/>
      <x/>
      <x v="2"/>
      <x v="1"/>
    </i>
    <i t="default">
      <x v="1"/>
    </i>
    <i>
      <x v="2"/>
      <x/>
      <x v="1"/>
      <x v="4"/>
      <x v="2"/>
      <x v="9"/>
    </i>
    <i r="1">
      <x v="1"/>
      <x/>
      <x v="9"/>
      <x v="3"/>
      <x v="18"/>
    </i>
    <i r="2">
      <x v="3"/>
      <x/>
      <x v="2"/>
      <x v="13"/>
    </i>
    <i r="2">
      <x v="4"/>
      <x v="1"/>
      <x v="2"/>
      <x v="20"/>
    </i>
    <i r="5">
      <x v="21"/>
    </i>
    <i r="1">
      <x v="2"/>
      <x v="4"/>
      <x v="1"/>
      <x v="2"/>
      <x/>
    </i>
    <i r="1">
      <x v="4"/>
      <x v="3"/>
      <x/>
      <x v="2"/>
      <x v="19"/>
    </i>
    <i t="default">
      <x v="2"/>
    </i>
    <i>
      <x v="3"/>
      <x/>
      <x v="1"/>
      <x v="4"/>
      <x v="2"/>
      <x v="9"/>
    </i>
    <i r="1">
      <x v="2"/>
      <x v="3"/>
      <x/>
      <x v="2"/>
      <x v="17"/>
    </i>
    <i r="3">
      <x v="5"/>
      <x v="3"/>
      <x v="17"/>
    </i>
    <i r="1">
      <x v="3"/>
      <x/>
      <x v="9"/>
      <x v="3"/>
      <x v="17"/>
    </i>
    <i r="1">
      <x v="4"/>
      <x/>
      <x v="9"/>
      <x v="3"/>
      <x v="4"/>
    </i>
    <i t="default">
      <x v="3"/>
    </i>
    <i>
      <x v="4"/>
      <x/>
      <x v="1"/>
      <x v="4"/>
      <x v="2"/>
      <x v="9"/>
    </i>
    <i r="1">
      <x v="5"/>
      <x v="2"/>
      <x v="7"/>
      <x v="3"/>
      <x v="13"/>
    </i>
    <i r="3">
      <x v="8"/>
      <x v="3"/>
      <x v="7"/>
    </i>
    <i r="1">
      <x v="6"/>
      <x v="3"/>
      <x/>
      <x v="2"/>
      <x v="18"/>
    </i>
    <i r="1">
      <x v="7"/>
      <x/>
      <x v="9"/>
      <x v="3"/>
      <x v="4"/>
    </i>
    <i r="2">
      <x v="3"/>
      <x/>
      <x v="2"/>
      <x v="3"/>
    </i>
    <i t="default">
      <x v="4"/>
    </i>
    <i>
      <x v="5"/>
      <x/>
      <x v="1"/>
      <x v="4"/>
      <x v="2"/>
      <x v="9"/>
    </i>
    <i t="default">
      <x v="5"/>
    </i>
    <i>
      <x v="6"/>
      <x v="11"/>
      <x v="5"/>
      <x v="10"/>
      <x v="4"/>
      <x v="22"/>
    </i>
    <i t="default">
      <x v="6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X" fld="35" subtotal="average" baseField="0"/>
    <dataField name="MAX of EOD Closing Price" fld="33" subtotal="max" baseField="0"/>
    <dataField name="SUM of Sec per Trade notional" fld="43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nL" cacheId="311" applyNumberFormats="0" applyBorderFormats="0" applyFontFormats="0" applyPatternFormats="0" applyAlignmentFormats="0" applyWidthHeightFormats="0" dataCaption="" updatedVersion="7" rowGrandTotals="0" compact="0" compactData="0">
  <location ref="A5:G11" firstHeaderRow="1" firstDataRow="1" firstDataCol="7" rowPageCount="1" colPageCount="1"/>
  <pivotFields count="18">
    <pivotField name="Acct#" axis="axisRow" compact="0" outline="0" multipleItemSelectionAllowed="1" showAll="0" sortType="ascending" defaultSubtotal="0">
      <items count="9">
        <item x="1"/>
        <item x="0"/>
        <item x="2"/>
        <item x="3"/>
        <item x="4"/>
        <item x="5"/>
        <item x="6"/>
        <item x="7"/>
        <item x="8"/>
      </items>
    </pivotField>
    <pivotField name="DateCum" axis="axisPage" compact="0" outline="0" multipleItemSelectionAllowed="1" showAll="0">
      <items count="1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t="default"/>
      </items>
    </pivotField>
    <pivotField name="Sec Long Exposure" compact="0" outline="0" multipleItemSelectionAllowed="1" showAll="0"/>
    <pivotField name="Sec Short Exposure" axis="axisRow" compact="0" outline="0" multipleItemSelectionAllowed="1" showAll="0" sortType="ascending" defaultSubtotal="0">
      <items count="33">
        <item x="18"/>
        <item x="19"/>
        <item x="20"/>
        <item x="17"/>
        <item x="16"/>
        <item x="9"/>
        <item x="12"/>
        <item x="11"/>
        <item x="8"/>
        <item x="10"/>
        <item x="13"/>
        <item x="14"/>
        <item x="3"/>
        <item x="2"/>
        <item x="4"/>
        <item x="5"/>
        <item x="24"/>
        <item x="25"/>
        <item x="6"/>
        <item x="26"/>
        <item x="7"/>
        <item x="27"/>
        <item x="22"/>
        <item x="28"/>
        <item x="29"/>
        <item x="23"/>
        <item x="30"/>
        <item x="31"/>
        <item x="21"/>
        <item x="15"/>
        <item x="1"/>
        <item x="0"/>
        <item x="32"/>
      </items>
    </pivotField>
    <pivotField name="Sec Net Exposure" axis="axisRow" compact="0" outline="0" multipleItemSelectionAllowed="1" showAll="0" sortType="ascending" defaultSubtotal="0">
      <items count="67">
        <item x="26"/>
        <item x="27"/>
        <item x="28"/>
        <item x="25"/>
        <item x="24"/>
        <item x="10"/>
        <item x="13"/>
        <item x="12"/>
        <item x="11"/>
        <item x="9"/>
        <item x="14"/>
        <item x="15"/>
        <item x="63"/>
        <item x="64"/>
        <item x="65"/>
        <item x="62"/>
        <item x="61"/>
        <item x="60"/>
        <item x="59"/>
        <item x="58"/>
        <item x="56"/>
        <item x="1"/>
        <item x="57"/>
        <item x="23"/>
        <item x="22"/>
        <item x="21"/>
        <item x="20"/>
        <item x="19"/>
        <item x="18"/>
        <item x="17"/>
        <item x="16"/>
        <item x="5"/>
        <item x="2"/>
        <item x="31"/>
        <item x="30"/>
        <item x="6"/>
        <item x="4"/>
        <item x="3"/>
        <item x="8"/>
        <item x="43"/>
        <item x="29"/>
        <item x="55"/>
        <item x="54"/>
        <item x="53"/>
        <item x="52"/>
        <item x="51"/>
        <item x="50"/>
        <item x="49"/>
        <item x="48"/>
        <item x="47"/>
        <item x="46"/>
        <item x="44"/>
        <item x="45"/>
        <item x="7"/>
        <item x="42"/>
        <item x="37"/>
        <item x="41"/>
        <item x="39"/>
        <item x="38"/>
        <item x="36"/>
        <item x="40"/>
        <item x="35"/>
        <item x="34"/>
        <item x="33"/>
        <item x="32"/>
        <item x="0"/>
        <item x="66"/>
      </items>
    </pivotField>
    <pivotField name="Margin Adj per Trade" compact="0" outline="0" multipleItemSelectionAllowed="1" showAll="0"/>
    <pivotField name="(Adj) Margin Fees" compact="0" outline="0" multipleItemSelectionAllowed="1" showAll="0"/>
    <pivotField name="(Adj) Short Sell Interest" compact="0" outline="0" multipleItemSelectionAllowed="1" showAll="0"/>
    <pivotField name="(Adj) TD Interest" compact="0" outline="0" multipleItemSelectionAllowed="1" showAll="0"/>
    <pivotField name="(EOD) Cash ava Bal" axis="axisRow" compact="0" outline="0" multipleItemSelectionAllowed="1" showAll="0" sortType="ascending" defaultSubtotal="0">
      <items count="43">
        <item x="1"/>
        <item x="30"/>
        <item x="8"/>
        <item x="32"/>
        <item x="33"/>
        <item x="31"/>
        <item x="9"/>
        <item x="5"/>
        <item x="4"/>
        <item x="7"/>
        <item x="28"/>
        <item x="3"/>
        <item x="6"/>
        <item x="17"/>
        <item x="29"/>
        <item x="18"/>
        <item x="19"/>
        <item x="22"/>
        <item x="21"/>
        <item x="20"/>
        <item x="35"/>
        <item x="2"/>
        <item x="34"/>
        <item x="39"/>
        <item x="40"/>
        <item x="41"/>
        <item x="38"/>
        <item x="37"/>
        <item x="36"/>
        <item x="10"/>
        <item x="11"/>
        <item x="14"/>
        <item x="13"/>
        <item x="12"/>
        <item x="15"/>
        <item x="16"/>
        <item x="25"/>
        <item x="26"/>
        <item x="27"/>
        <item x="24"/>
        <item x="23"/>
        <item x="0"/>
        <item x="42"/>
      </items>
    </pivotField>
    <pivotField name="(EOD) Margin Loan Bal" axis="axisRow" compact="0" outline="0" multipleItemSelectionAllowed="1" showAll="0" sortType="ascending" defaultSubtotal="0">
      <items count="4">
        <item x="1"/>
        <item x="2"/>
        <item x="0"/>
        <item x="3"/>
      </items>
    </pivotField>
    <pivotField name="(EOD) AuM = Cash ava + Sec Net Bal" axis="axisRow" compact="0" outline="0" multipleItemSelectionAllowed="1" showAll="0" sortType="ascending" defaultSubtotal="0">
      <items count="67">
        <item x="1"/>
        <item x="27"/>
        <item x="28"/>
        <item x="29"/>
        <item x="26"/>
        <item x="25"/>
        <item x="9"/>
        <item x="8"/>
        <item x="10"/>
        <item x="5"/>
        <item x="24"/>
        <item x="23"/>
        <item x="22"/>
        <item x="11"/>
        <item x="4"/>
        <item x="44"/>
        <item x="21"/>
        <item x="3"/>
        <item x="14"/>
        <item x="20"/>
        <item x="2"/>
        <item x="57"/>
        <item x="19"/>
        <item x="6"/>
        <item x="18"/>
        <item x="17"/>
        <item x="7"/>
        <item x="13"/>
        <item x="43"/>
        <item x="12"/>
        <item x="15"/>
        <item x="38"/>
        <item x="42"/>
        <item x="40"/>
        <item x="39"/>
        <item x="37"/>
        <item x="56"/>
        <item x="41"/>
        <item x="36"/>
        <item x="16"/>
        <item x="35"/>
        <item x="34"/>
        <item x="55"/>
        <item x="63"/>
        <item x="64"/>
        <item x="65"/>
        <item x="62"/>
        <item x="61"/>
        <item x="60"/>
        <item x="59"/>
        <item x="58"/>
        <item x="54"/>
        <item x="45"/>
        <item x="53"/>
        <item x="52"/>
        <item x="33"/>
        <item x="51"/>
        <item x="32"/>
        <item x="50"/>
        <item x="49"/>
        <item x="31"/>
        <item x="48"/>
        <item x="30"/>
        <item x="47"/>
        <item x="46"/>
        <item x="0"/>
        <item x="66"/>
      </items>
    </pivotField>
    <pivotField name="x" compact="0" outline="0" multipleItemSelectionAllowed="1" showAll="0"/>
    <pivotField name="AuM" compact="0" outline="0" multipleItemSelectionAllowed="1" showAll="0"/>
    <pivotField name="Daily Return (%)" compact="0" outline="0" multipleItemSelectionAllowed="1" showAll="0"/>
    <pivotField name="Geo Metric Rtn" compact="0" outline="0" multipleItemSelectionAllowed="1" showAll="0"/>
    <pivotField name="Cumulative Rtns" compact="0" outline="0" multipleItemSelectionAllowed="1" showAll="0"/>
    <pivotField name="YTD return" axis="axisRow" compact="0" outline="0" multipleItemSelectionAllowed="1" showAll="0" sortType="ascending">
      <items count="10">
        <item x="4"/>
        <item x="8"/>
        <item x="5"/>
        <item x="6"/>
        <item x="3"/>
        <item x="7"/>
        <item x="2"/>
        <item x="0"/>
        <item x="1"/>
        <item t="default"/>
      </items>
    </pivotField>
  </pivotFields>
  <rowFields count="7">
    <field x="0"/>
    <field x="3"/>
    <field x="4"/>
    <field x="9"/>
    <field x="10"/>
    <field x="11"/>
    <field x="17"/>
  </rowFields>
  <rowItems count="6">
    <i>
      <x v="2"/>
      <x v="11"/>
      <x v="11"/>
      <x v="35"/>
      <x/>
      <x v="39"/>
      <x v="4"/>
    </i>
    <i>
      <x v="3"/>
      <x v="2"/>
      <x v="2"/>
      <x v="38"/>
      <x v="1"/>
      <x v="3"/>
      <x/>
    </i>
    <i>
      <x v="4"/>
      <x v="28"/>
      <x v="54"/>
      <x v="1"/>
      <x/>
      <x v="28"/>
      <x v="2"/>
    </i>
    <i>
      <x v="5"/>
      <x v="30"/>
      <x v="41"/>
      <x v="4"/>
      <x/>
      <x v="36"/>
      <x v="3"/>
    </i>
    <i>
      <x v="6"/>
      <x v="27"/>
      <x v="14"/>
      <x v="25"/>
      <x/>
      <x v="45"/>
      <x v="5"/>
    </i>
    <i>
      <x v="7"/>
      <x v="30"/>
      <x v="21"/>
      <x v="21"/>
      <x/>
      <x v="20"/>
      <x v="1"/>
    </i>
  </rowItems>
  <colItems count="1">
    <i/>
  </colItems>
  <pageFields count="1">
    <pageField fld="1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oBeExpired" cacheId="301" applyNumberFormats="0" applyBorderFormats="0" applyFontFormats="0" applyPatternFormats="0" applyAlignmentFormats="0" applyWidthHeightFormats="0" dataCaption="" updatedVersion="7" rowGrandTotals="0" compact="0" compactData="0">
  <location ref="A6:F6" firstHeaderRow="1" firstDataRow="1" firstDataCol="5"/>
  <pivotFields count="50">
    <pivotField name="Cumulative Date" compact="0" outline="0" multipleItemSelectionAllowed="1" showAll="0"/>
    <pivotField name="Order #" compact="0" numFmtId="3" outline="0" multipleItemSelectionAllowed="1" showAll="0"/>
    <pivotField name="Acct#" axis="axisRow" dataField="1" compact="0" outline="0" multipleItemSelectionAllowed="1" showAll="0" sortType="ascending" defaultSubtotal="0">
      <items count="8">
        <item x="0"/>
        <item m="1" x="7"/>
        <item m="1" x="6"/>
        <item m="1" x="5"/>
        <item m="1" x="4"/>
        <item m="1" x="3"/>
        <item m="1" x="2"/>
        <item x="1"/>
      </items>
    </pivotField>
    <pivotField name="Email" axis="axisRow" compact="0" numFmtId="3" outline="0" multipleItemSelectionAllowed="1" showAll="0" sortType="ascending">
      <items count="9">
        <item x="0"/>
        <item m="1" x="2"/>
        <item m="1" x="3"/>
        <item m="1" x="4"/>
        <item m="1" x="5"/>
        <item m="1" x="6"/>
        <item m="1" x="7"/>
        <item x="1"/>
        <item t="default"/>
      </items>
    </pivotField>
    <pivotField name="Date/ Time" compact="0" numFmtId="164" outline="0" multipleItemSelectionAllowed="1" showAll="0"/>
    <pivotField name="Date Time Stamp" compact="0" outline="0" multipleItemSelectionAllowed="1" showAll="0"/>
    <pivotField name="Order Side" compact="0" outline="0" multipleItemSelectionAllowed="1" showAll="0"/>
    <pivotField name="Ticker Code" axis="axisRow" compact="0" outline="0" multipleItemSelectionAllowed="1" showAll="0" sortType="ascending" defaultSubtotal="0">
      <items count="12">
        <item x="1"/>
        <item m="1" x="9"/>
        <item m="1" x="7"/>
        <item m="1" x="5"/>
        <item m="1" x="6"/>
        <item x="0"/>
        <item m="1" x="4"/>
        <item m="1" x="11"/>
        <item m="1" x="8"/>
        <item m="1" x="10"/>
        <item m="1" x="3"/>
        <item x="2"/>
      </items>
    </pivotField>
    <pivotField name="Asset Class" axis="axisRow" compact="0" outline="0" multipleItemSelectionAllowed="1" showAll="0" sortType="ascending" defaultSubtotal="0">
      <items count="7">
        <item h="1" x="0"/>
        <item m="1" x="4"/>
        <item h="1" m="1" x="3"/>
        <item m="1" x="2"/>
        <item h="1" m="1" x="5"/>
        <item m="1" x="6"/>
        <item h="1" x="1"/>
      </items>
    </pivotField>
    <pivotField name="Stock (Shares)" compact="0" outline="0" multipleItemSelectionAllowed="1" showAll="0"/>
    <pivotField name="Bond (Contracts)" compact="0" outline="0" multipleItemSelectionAllowed="1" showAll="0"/>
    <pivotField name="Option (Contracts)" compact="0" outline="0" multipleItemSelectionAllowed="1" showAll="0"/>
    <pivotField name="TD (Notional)" compact="0" outline="0" multipleItemSelectionAllowed="1" showAll="0"/>
    <pivotField name="Limit Price/ Mkt Price (stk &amp; opt only)" compact="0" outline="0" multipleItemSelectionAllowed="1" showAll="0"/>
    <pivotField name="Password Input" compact="0" outline="0" multipleItemSelectionAllowed="1" showAll="0"/>
    <pivotField name="Email Input" compact="0" outline="0" multipleItemSelectionAllowed="1" showAll="0"/>
    <pivotField name="x" compact="0" outline="0" multipleItemSelectionAllowed="1" showAll="0"/>
    <pivotField name="x2" compact="0" outline="0" multipleItemSelectionAllowed="1" showAll="0"/>
    <pivotField name="x3" compact="0" outline="0" multipleItemSelectionAllowed="1" showAll="0"/>
    <pivotField name="Date" compact="0" numFmtId="14" outline="0" multipleItemSelectionAllowed="1" showAll="0"/>
    <pivotField name="Exchange" compact="0" outline="0" multipleItemSelectionAllowed="1" showAll="0"/>
    <pivotField name="Currency" compact="0" outline="0" multipleItemSelectionAllowed="1" showAll="0"/>
    <pivotField name="Stock (Ticker/ Code)" compact="0" outline="0" multipleItemSelectionAllowed="1" showAll="0"/>
    <pivotField name="Stock (Open)" compact="0" outline="0" multipleItemSelectionAllowed="1" showAll="0"/>
    <pivotField name="Stock (High)" compact="0" outline="0" multipleItemSelectionAllowed="1" showAll="0"/>
    <pivotField name="Stock (Low)" compact="0" outline="0" multipleItemSelectionAllowed="1" showAll="0"/>
    <pivotField name="Stock (Close)" compact="0" outline="0" multipleItemSelectionAllowed="1" showAll="0"/>
    <pivotField name="Stock (Volume)" compact="0" outline="0" multipleItemSelectionAllowed="1" showAll="0"/>
    <pivotField name="Bond (Bond Issuer name)" compact="0" outline="0" multipleItemSelectionAllowed="1" showAll="0"/>
    <pivotField name="Bond (Indicative Bid)" compact="0" outline="0" multipleItemSelectionAllowed="1" showAll="0"/>
    <pivotField name="Bond (Indicative Ask)" compact="0" outline="0" multipleItemSelectionAllowed="1" showAll="0"/>
    <pivotField name="Bond (Coupon)" compact="0" outline="0" multipleItemSelectionAllowed="1" showAll="0"/>
    <pivotField name="Bond (Maturity)" compact="0" outline="0" multipleItemSelectionAllowed="1" showAll="0"/>
    <pivotField name="Bond (Rating)" compact="0" outline="0" multipleItemSelectionAllowed="1" showAll="0"/>
    <pivotField name="Bond (YTM)" compact="0" outline="0" multipleItemSelectionAllowed="1" showAll="0"/>
    <pivotField name="Bond (Seniority)" compact="0" outline="0" multipleItemSelectionAllowed="1" showAll="0"/>
    <pivotField name="Bond (Type)" compact="0" outline="0" multipleItemSelectionAllowed="1" showAll="0"/>
    <pivotField name="Option (Underlying asset ticker code)" compact="0" outline="0" multipleItemSelectionAllowed="1" showAll="0"/>
    <pivotField name="Option (Open)" compact="0" outline="0" multipleItemSelectionAllowed="1" showAll="0"/>
    <pivotField name="Option (High)" compact="0" outline="0" multipleItemSelectionAllowed="1" showAll="0"/>
    <pivotField name="Option (Low)" compact="0" outline="0" multipleItemSelectionAllowed="1" showAll="0"/>
    <pivotField name="Option (Close)" compact="0" outline="0" multipleItemSelectionAllowed="1" showAll="0"/>
    <pivotField name="Option (Strike)" compact="0" outline="0" multipleItemSelectionAllowed="1" showAll="0"/>
    <pivotField name="Option (Expiration Date)" compact="0" outline="0" multipleItemSelectionAllowed="1" showAll="0"/>
    <pivotField name="Option (Put or Call)" compact="0" outline="0" multipleItemSelectionAllowed="1" showAll="0"/>
    <pivotField name="Option (Open Interest)" compact="0" outline="0" multipleItemSelectionAllowed="1" showAll="0"/>
    <pivotField name="TD" compact="0" outline="0" multipleItemSelectionAllowed="1" showAll="0"/>
    <pivotField name="Expiration date" axis="axisRow" compact="0" outline="0" multipleItemSelectionAllowed="1" showAll="0" sortType="ascending" defaultSubtotal="0">
      <items count="6">
        <item x="0"/>
        <item m="1" x="3"/>
        <item m="1" x="5"/>
        <item m="1" x="2"/>
        <item m="1" x="4"/>
        <item x="1"/>
      </items>
    </pivotField>
    <pivotField name="Accept" compact="0" outline="0" multipleItemSelectionAllowed="1" showAll="0"/>
    <pivotField name="Comment" compact="0" outline="0" multipleItemSelectionAllowed="1" showAll="0"/>
  </pivotFields>
  <rowFields count="5">
    <field x="47"/>
    <field x="8"/>
    <field x="7"/>
    <field x="2"/>
    <field x="3"/>
  </rowFields>
  <colItems count="1">
    <i/>
  </colItems>
  <dataFields count="1">
    <dataField name="COUNTA of Acct#" fld="2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://mc.pa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pivotTable" Target="../pivotTables/pivotTable1.xml"/><Relationship Id="rId4" Type="http://schemas.openxmlformats.org/officeDocument/2006/relationships/hyperlink" Target="http://mc.pa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mc.pa/" TargetMode="External"/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21" Type="http://schemas.openxmlformats.org/officeDocument/2006/relationships/hyperlink" Target="http://0700.hk/" TargetMode="External"/><Relationship Id="rId7" Type="http://schemas.openxmlformats.org/officeDocument/2006/relationships/hyperlink" Target="http://mc.pa/" TargetMode="External"/><Relationship Id="rId12" Type="http://schemas.openxmlformats.org/officeDocument/2006/relationships/hyperlink" Target="http://0700.hk/" TargetMode="External"/><Relationship Id="rId17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600519.ss/" TargetMode="External"/><Relationship Id="rId20" Type="http://schemas.openxmlformats.org/officeDocument/2006/relationships/hyperlink" Target="http://0700.hk/" TargetMode="External"/><Relationship Id="rId1" Type="http://schemas.openxmlformats.org/officeDocument/2006/relationships/hyperlink" Target="http://angold.tpddns.cn:7125/" TargetMode="Externa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mc.pa/" TargetMode="External"/><Relationship Id="rId5" Type="http://schemas.openxmlformats.org/officeDocument/2006/relationships/hyperlink" Target="http://mc.pa/" TargetMode="External"/><Relationship Id="rId15" Type="http://schemas.openxmlformats.org/officeDocument/2006/relationships/hyperlink" Target="http://0700.hk/" TargetMode="External"/><Relationship Id="rId23" Type="http://schemas.openxmlformats.org/officeDocument/2006/relationships/hyperlink" Target="http://0700.hk/" TargetMode="External"/><Relationship Id="rId10" Type="http://schemas.openxmlformats.org/officeDocument/2006/relationships/hyperlink" Target="http://mc.pa/" TargetMode="External"/><Relationship Id="rId19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600519.ss/" TargetMode="External"/><Relationship Id="rId22" Type="http://schemas.openxmlformats.org/officeDocument/2006/relationships/hyperlink" Target="http://0700.hk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://angold.tpddns.cn:7124/" TargetMode="External"/><Relationship Id="rId4" Type="http://schemas.openxmlformats.org/officeDocument/2006/relationships/hyperlink" Target="http://mc.pa/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600519.ss/" TargetMode="External"/><Relationship Id="rId26" Type="http://schemas.openxmlformats.org/officeDocument/2006/relationships/hyperlink" Target="http://mc.pa/" TargetMode="External"/><Relationship Id="rId39" Type="http://schemas.openxmlformats.org/officeDocument/2006/relationships/hyperlink" Target="http://0700.hk/" TargetMode="External"/><Relationship Id="rId21" Type="http://schemas.openxmlformats.org/officeDocument/2006/relationships/hyperlink" Target="http://0700.hk/" TargetMode="External"/><Relationship Id="rId34" Type="http://schemas.openxmlformats.org/officeDocument/2006/relationships/hyperlink" Target="http://0700.hk/" TargetMode="External"/><Relationship Id="rId42" Type="http://schemas.openxmlformats.org/officeDocument/2006/relationships/hyperlink" Target="http://0700.hk/" TargetMode="External"/><Relationship Id="rId7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0700.hk/" TargetMode="External"/><Relationship Id="rId29" Type="http://schemas.openxmlformats.org/officeDocument/2006/relationships/hyperlink" Target="http://mc.pa/" TargetMode="External"/><Relationship Id="rId1" Type="http://schemas.openxmlformats.org/officeDocument/2006/relationships/pivotTable" Target="../pivotTables/pivotTable2.xml"/><Relationship Id="rId6" Type="http://schemas.openxmlformats.org/officeDocument/2006/relationships/hyperlink" Target="http://600519.ss/" TargetMode="External"/><Relationship Id="rId11" Type="http://schemas.openxmlformats.org/officeDocument/2006/relationships/hyperlink" Target="http://600519.ss/" TargetMode="External"/><Relationship Id="rId24" Type="http://schemas.openxmlformats.org/officeDocument/2006/relationships/hyperlink" Target="http://0700.hk/" TargetMode="External"/><Relationship Id="rId32" Type="http://schemas.openxmlformats.org/officeDocument/2006/relationships/hyperlink" Target="http://mc.pa/" TargetMode="External"/><Relationship Id="rId37" Type="http://schemas.openxmlformats.org/officeDocument/2006/relationships/hyperlink" Target="http://mc.pa/" TargetMode="External"/><Relationship Id="rId40" Type="http://schemas.openxmlformats.org/officeDocument/2006/relationships/hyperlink" Target="http://mc.pa/" TargetMode="External"/><Relationship Id="rId45" Type="http://schemas.openxmlformats.org/officeDocument/2006/relationships/hyperlink" Target="http://0700.hk/" TargetMode="External"/><Relationship Id="rId5" Type="http://schemas.openxmlformats.org/officeDocument/2006/relationships/hyperlink" Target="http://0700.hk/" TargetMode="External"/><Relationship Id="rId15" Type="http://schemas.openxmlformats.org/officeDocument/2006/relationships/hyperlink" Target="http://0700.hk/" TargetMode="External"/><Relationship Id="rId23" Type="http://schemas.openxmlformats.org/officeDocument/2006/relationships/hyperlink" Target="http://mc.pa/" TargetMode="External"/><Relationship Id="rId28" Type="http://schemas.openxmlformats.org/officeDocument/2006/relationships/hyperlink" Target="http://mc.pa/" TargetMode="External"/><Relationship Id="rId36" Type="http://schemas.openxmlformats.org/officeDocument/2006/relationships/hyperlink" Target="http://mc.pa/" TargetMode="External"/><Relationship Id="rId10" Type="http://schemas.openxmlformats.org/officeDocument/2006/relationships/hyperlink" Target="http://600519.ss/" TargetMode="External"/><Relationship Id="rId19" Type="http://schemas.openxmlformats.org/officeDocument/2006/relationships/hyperlink" Target="http://600519.ss/" TargetMode="External"/><Relationship Id="rId31" Type="http://schemas.openxmlformats.org/officeDocument/2006/relationships/hyperlink" Target="http://mc.pa/" TargetMode="External"/><Relationship Id="rId44" Type="http://schemas.openxmlformats.org/officeDocument/2006/relationships/hyperlink" Target="http://0700.hk/" TargetMode="External"/><Relationship Id="rId4" Type="http://schemas.openxmlformats.org/officeDocument/2006/relationships/hyperlink" Target="http://0700.hk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0700.hk/" TargetMode="External"/><Relationship Id="rId22" Type="http://schemas.openxmlformats.org/officeDocument/2006/relationships/hyperlink" Target="http://mc.pa/" TargetMode="External"/><Relationship Id="rId27" Type="http://schemas.openxmlformats.org/officeDocument/2006/relationships/hyperlink" Target="http://mc.pa/" TargetMode="External"/><Relationship Id="rId30" Type="http://schemas.openxmlformats.org/officeDocument/2006/relationships/hyperlink" Target="http://mc.pa/" TargetMode="External"/><Relationship Id="rId35" Type="http://schemas.openxmlformats.org/officeDocument/2006/relationships/hyperlink" Target="http://0700.hk/" TargetMode="External"/><Relationship Id="rId43" Type="http://schemas.openxmlformats.org/officeDocument/2006/relationships/hyperlink" Target="http://0700.hk/" TargetMode="External"/><Relationship Id="rId8" Type="http://schemas.openxmlformats.org/officeDocument/2006/relationships/hyperlink" Target="http://mc.pa/" TargetMode="External"/><Relationship Id="rId3" Type="http://schemas.openxmlformats.org/officeDocument/2006/relationships/hyperlink" Target="http://0700.hk/" TargetMode="External"/><Relationship Id="rId12" Type="http://schemas.openxmlformats.org/officeDocument/2006/relationships/hyperlink" Target="http://0700.hk/" TargetMode="External"/><Relationship Id="rId17" Type="http://schemas.openxmlformats.org/officeDocument/2006/relationships/hyperlink" Target="http://0700.hk/" TargetMode="External"/><Relationship Id="rId25" Type="http://schemas.openxmlformats.org/officeDocument/2006/relationships/hyperlink" Target="http://0700.hk/" TargetMode="External"/><Relationship Id="rId33" Type="http://schemas.openxmlformats.org/officeDocument/2006/relationships/hyperlink" Target="http://mc.pa/" TargetMode="External"/><Relationship Id="rId38" Type="http://schemas.openxmlformats.org/officeDocument/2006/relationships/hyperlink" Target="http://0700.hk/" TargetMode="External"/><Relationship Id="rId20" Type="http://schemas.openxmlformats.org/officeDocument/2006/relationships/hyperlink" Target="http://0700.hk/" TargetMode="External"/><Relationship Id="rId41" Type="http://schemas.openxmlformats.org/officeDocument/2006/relationships/hyperlink" Target="http://mc.pa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://angold.tpddns.cn:8080/" TargetMode="External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0700.hk/" TargetMode="External"/><Relationship Id="rId13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7" Type="http://schemas.openxmlformats.org/officeDocument/2006/relationships/hyperlink" Target="http://600519.ss/" TargetMode="External"/><Relationship Id="rId12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s://www.interactivebrokers.com/en/trading/margin-rates.php" TargetMode="Externa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0700.hk/" TargetMode="External"/><Relationship Id="rId5" Type="http://schemas.openxmlformats.org/officeDocument/2006/relationships/hyperlink" Target="http://mc.pa/" TargetMode="External"/><Relationship Id="rId10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600519.ss/" TargetMode="External"/><Relationship Id="rId14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mc.pa/" TargetMode="External"/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7" Type="http://schemas.openxmlformats.org/officeDocument/2006/relationships/hyperlink" Target="http://mc.pa/" TargetMode="External"/><Relationship Id="rId12" Type="http://schemas.openxmlformats.org/officeDocument/2006/relationships/hyperlink" Target="http://600519.ss/" TargetMode="External"/><Relationship Id="rId17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0700.hk/" TargetMode="External"/><Relationship Id="rId20" Type="http://schemas.openxmlformats.org/officeDocument/2006/relationships/hyperlink" Target="http://0700.hk/" TargetMode="External"/><Relationship Id="rId1" Type="http://schemas.openxmlformats.org/officeDocument/2006/relationships/pivotTable" Target="../pivotTables/pivotTable3.xm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0700.hk/" TargetMode="External"/><Relationship Id="rId5" Type="http://schemas.openxmlformats.org/officeDocument/2006/relationships/hyperlink" Target="http://mc.pa/" TargetMode="External"/><Relationship Id="rId15" Type="http://schemas.openxmlformats.org/officeDocument/2006/relationships/hyperlink" Target="http://0700.hk/" TargetMode="External"/><Relationship Id="rId10" Type="http://schemas.openxmlformats.org/officeDocument/2006/relationships/hyperlink" Target="http://0700.hk/" TargetMode="External"/><Relationship Id="rId19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600519.ss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Q918"/>
  <sheetViews>
    <sheetView workbookViewId="0"/>
  </sheetViews>
  <sheetFormatPr baseColWidth="10" defaultColWidth="14.5" defaultRowHeight="15.75" customHeight="1"/>
  <cols>
    <col min="11" max="11" width="4.33203125" customWidth="1"/>
  </cols>
  <sheetData>
    <row r="2" spans="1:17" ht="15.75" customHeight="1">
      <c r="B2" s="1" t="s">
        <v>0</v>
      </c>
      <c r="C2" s="2" t="str">
        <f ca="1">"https://finance.yahoo.com/quote/"&amp;B2&amp;"/history?period1="&amp;C3&amp;"&amp;period2="&amp;C4&amp;"&amp;interval=1d&amp;filter=history&amp;frequency=1d&amp;includeAdjustedClose=true"</f>
        <v>https://finance.yahoo.com/quote/GS/history?period1=1640217600&amp;period2=1643673600&amp;interval=1d&amp;filter=history&amp;frequency=1d&amp;includeAdjustedClose=true</v>
      </c>
      <c r="N2" s="3" t="s">
        <v>1</v>
      </c>
      <c r="Q2" s="2" t="str">
        <f>"https://finance.yahoo.com/quote/"&amp;N2&amp;"?p="&amp;N2</f>
        <v>https://finance.yahoo.com/quote/NDXP220128P13700000?p=NDXP220128P13700000</v>
      </c>
    </row>
    <row r="3" spans="1:17" ht="15.75" customHeight="1">
      <c r="A3" s="3" t="s">
        <v>2</v>
      </c>
      <c r="B3" s="4">
        <v>44553</v>
      </c>
      <c r="C3" s="5">
        <f t="shared" ref="C3:C4" si="0">(DATE(YEAR(B3),MONTH(B3),DAY(B3))-DATE(1970,1,1))*86400+TIME(0,0,0)</f>
        <v>1640217600</v>
      </c>
      <c r="O3" s="6">
        <f ca="1">B4</f>
        <v>44593</v>
      </c>
    </row>
    <row r="4" spans="1:17" ht="15.75" customHeight="1">
      <c r="A4" s="3" t="s">
        <v>3</v>
      </c>
      <c r="B4" s="6">
        <f ca="1">TODAY()</f>
        <v>44593</v>
      </c>
      <c r="C4" s="5">
        <f t="shared" ca="1" si="0"/>
        <v>1643673600</v>
      </c>
      <c r="N4" s="7" t="s">
        <v>4</v>
      </c>
      <c r="O4" s="8">
        <v>2.75</v>
      </c>
      <c r="Q4" s="2" t="str">
        <f t="shared" ref="Q4:Q5" si="1">"https://finance.yahoo.com/quote/"&amp;N4&amp;"?p="&amp;N4</f>
        <v>https://finance.yahoo.com/quote/UGI220414P00045000?p=UGI220414P00045000</v>
      </c>
    </row>
    <row r="5" spans="1:17" ht="15.75" customHeight="1">
      <c r="N5" s="7" t="s">
        <v>5</v>
      </c>
      <c r="O5" s="8">
        <v>0.85</v>
      </c>
      <c r="Q5" s="2" t="str">
        <f t="shared" si="1"/>
        <v>https://finance.yahoo.com/quote/UGI220414P00040000?p=UGI220414P00040000</v>
      </c>
    </row>
    <row r="6" spans="1:17" ht="15.75" customHeight="1">
      <c r="B6" s="9" t="s">
        <v>6</v>
      </c>
      <c r="N6" s="10" t="s">
        <v>7</v>
      </c>
      <c r="O6" s="8">
        <v>10.79</v>
      </c>
      <c r="P6" s="8">
        <v>13.21</v>
      </c>
      <c r="Q6" s="2" t="str">
        <f>"https://www.bondsupermart.com/bsm/bond-factsheet/"&amp;N6</f>
        <v>https://www.bondsupermart.com/bsm/bond-factsheet/XS2106834299</v>
      </c>
    </row>
    <row r="7" spans="1:17" ht="15.75" customHeight="1">
      <c r="B7" s="3">
        <v>1</v>
      </c>
      <c r="C7" s="3">
        <f t="shared" ref="C7:H7" si="2">B7+1</f>
        <v>2</v>
      </c>
      <c r="D7" s="3">
        <f t="shared" si="2"/>
        <v>3</v>
      </c>
      <c r="E7" s="3">
        <f t="shared" si="2"/>
        <v>4</v>
      </c>
      <c r="F7" s="3">
        <f t="shared" si="2"/>
        <v>5</v>
      </c>
      <c r="G7" s="3">
        <f t="shared" si="2"/>
        <v>6</v>
      </c>
      <c r="H7" s="3">
        <f t="shared" si="2"/>
        <v>7</v>
      </c>
    </row>
    <row r="8" spans="1:17" ht="15.75" customHeight="1">
      <c r="B8" s="11" t="s">
        <v>8</v>
      </c>
      <c r="C8" s="12" t="s">
        <v>9</v>
      </c>
      <c r="D8" s="12" t="s">
        <v>10</v>
      </c>
      <c r="E8" s="12" t="s">
        <v>11</v>
      </c>
      <c r="F8" s="12" t="s">
        <v>12</v>
      </c>
      <c r="G8" s="12" t="s">
        <v>13</v>
      </c>
      <c r="H8" s="12" t="s">
        <v>14</v>
      </c>
      <c r="J8" s="13" t="s">
        <v>8</v>
      </c>
      <c r="K8" s="14"/>
      <c r="L8" s="14" t="str">
        <f>B2</f>
        <v>GS</v>
      </c>
      <c r="M8" s="14" t="str">
        <f>N4</f>
        <v>UGI220414P00045000</v>
      </c>
      <c r="N8" s="14" t="str">
        <f>N5</f>
        <v>UGI220414P00040000</v>
      </c>
      <c r="O8" s="15" t="s">
        <v>7</v>
      </c>
    </row>
    <row r="9" spans="1:17" ht="15.75" customHeight="1">
      <c r="B9" s="16">
        <v>44589</v>
      </c>
      <c r="C9" s="17">
        <v>337.73</v>
      </c>
      <c r="D9" s="17">
        <v>347.14</v>
      </c>
      <c r="E9" s="17">
        <v>333.45</v>
      </c>
      <c r="F9" s="17">
        <v>347.01</v>
      </c>
      <c r="G9" s="17">
        <v>347.01</v>
      </c>
      <c r="H9" s="18">
        <v>3661942</v>
      </c>
      <c r="J9" s="19">
        <v>44557</v>
      </c>
      <c r="K9" s="3">
        <v>2</v>
      </c>
      <c r="L9" s="20">
        <f t="shared" ref="L9:L918" ca="1" si="3">IF(OR(TODAY()&lt;J9,K9="",K9="x"),"",IF(ISERROR(VLOOKUP(J9,$B$9:$H$104,K9,FALSE)),L2,VLOOKUP(J9,$B$9:$H$104,K9,FALSE)))</f>
        <v>386.99</v>
      </c>
      <c r="M9" s="21"/>
      <c r="N9" s="21"/>
      <c r="O9" s="22"/>
    </row>
    <row r="10" spans="1:17" ht="15.75" customHeight="1">
      <c r="B10" s="16">
        <v>44588</v>
      </c>
      <c r="C10" s="17">
        <v>345.67</v>
      </c>
      <c r="D10" s="17">
        <v>348.77</v>
      </c>
      <c r="E10" s="17">
        <v>337.72</v>
      </c>
      <c r="F10" s="17">
        <v>341.03</v>
      </c>
      <c r="G10" s="17">
        <v>341.03</v>
      </c>
      <c r="H10" s="18">
        <v>2573400</v>
      </c>
      <c r="J10" s="19">
        <v>44557</v>
      </c>
      <c r="K10" s="3">
        <v>3</v>
      </c>
      <c r="L10" s="20">
        <f t="shared" ca="1" si="3"/>
        <v>389.11</v>
      </c>
      <c r="M10" s="21"/>
      <c r="N10" s="21"/>
      <c r="O10" s="22"/>
    </row>
    <row r="11" spans="1:17" ht="15.75" customHeight="1">
      <c r="B11" s="16">
        <v>44587</v>
      </c>
      <c r="C11" s="17">
        <v>346.6</v>
      </c>
      <c r="D11" s="17">
        <v>350.48</v>
      </c>
      <c r="E11" s="17">
        <v>338.41</v>
      </c>
      <c r="F11" s="17">
        <v>342.68</v>
      </c>
      <c r="G11" s="17">
        <v>342.68</v>
      </c>
      <c r="H11" s="18">
        <v>3740700</v>
      </c>
      <c r="J11" s="19">
        <v>44557</v>
      </c>
      <c r="K11" s="3">
        <v>4</v>
      </c>
      <c r="L11" s="20">
        <f t="shared" ca="1" si="3"/>
        <v>385</v>
      </c>
      <c r="M11" s="21"/>
      <c r="N11" s="21"/>
      <c r="O11" s="22"/>
    </row>
    <row r="12" spans="1:17" ht="15.75" customHeight="1">
      <c r="B12" s="16">
        <v>44586</v>
      </c>
      <c r="C12" s="17">
        <v>337.86</v>
      </c>
      <c r="D12" s="17">
        <v>342.93</v>
      </c>
      <c r="E12" s="17">
        <v>330.91</v>
      </c>
      <c r="F12" s="17">
        <v>341.55</v>
      </c>
      <c r="G12" s="17">
        <v>341.55</v>
      </c>
      <c r="H12" s="18">
        <v>3959300</v>
      </c>
      <c r="J12" s="19">
        <v>44557</v>
      </c>
      <c r="K12" s="3">
        <v>6</v>
      </c>
      <c r="L12" s="20">
        <f t="shared" ca="1" si="3"/>
        <v>388.04</v>
      </c>
      <c r="M12" s="21">
        <f ca="1">IF(TODAY()&lt;$J12,"",IF(($O$3-$J12)*0.1+$O$4&lt;0,0,($O$3-$J12)*0.1+$O$4))</f>
        <v>6.35</v>
      </c>
      <c r="N12" s="21">
        <f ca="1">IF(TODAY()&lt;$J12,"",IF(($O$3-$J12)*0.1+$O$5&lt;0,0,($O$3-$J12)*0.1+$O$5))</f>
        <v>4.45</v>
      </c>
      <c r="O12" s="22"/>
    </row>
    <row r="13" spans="1:17" ht="15.75" customHeight="1">
      <c r="B13" s="16">
        <v>44585</v>
      </c>
      <c r="C13" s="17">
        <v>337.32</v>
      </c>
      <c r="D13" s="17">
        <v>344.07</v>
      </c>
      <c r="E13" s="17">
        <v>326.23</v>
      </c>
      <c r="F13" s="17">
        <v>343.39</v>
      </c>
      <c r="G13" s="17">
        <v>343.39</v>
      </c>
      <c r="H13" s="18">
        <v>6573800</v>
      </c>
      <c r="J13" s="19">
        <v>44557</v>
      </c>
      <c r="K13" s="3">
        <v>7</v>
      </c>
      <c r="L13" s="23">
        <f t="shared" ca="1" si="3"/>
        <v>1430400</v>
      </c>
      <c r="M13" s="21"/>
      <c r="N13" s="21"/>
      <c r="O13" s="22"/>
    </row>
    <row r="14" spans="1:17" ht="15.75" customHeight="1">
      <c r="B14" s="16">
        <v>44582</v>
      </c>
      <c r="C14" s="17">
        <v>345.54</v>
      </c>
      <c r="D14" s="17">
        <v>348.99</v>
      </c>
      <c r="E14" s="17">
        <v>340.72</v>
      </c>
      <c r="F14" s="17">
        <v>343.91</v>
      </c>
      <c r="G14" s="17">
        <v>343.91</v>
      </c>
      <c r="H14" s="18">
        <v>4896100</v>
      </c>
      <c r="J14" s="19">
        <v>44557</v>
      </c>
      <c r="K14" s="3" t="s">
        <v>15</v>
      </c>
      <c r="L14" s="24" t="str">
        <f t="shared" ca="1" si="3"/>
        <v/>
      </c>
      <c r="M14" s="21"/>
      <c r="N14" s="21"/>
      <c r="O14" s="22">
        <f ca="1">IF(TODAY()&lt;$J14,"",($O$3-$J14)*0.05+$O$6)</f>
        <v>12.59</v>
      </c>
    </row>
    <row r="15" spans="1:17" ht="15.75" customHeight="1">
      <c r="B15" s="25">
        <v>44581</v>
      </c>
      <c r="C15" s="17">
        <v>348.9</v>
      </c>
      <c r="D15" s="17">
        <v>357.18</v>
      </c>
      <c r="E15" s="17">
        <v>346.14</v>
      </c>
      <c r="F15" s="17">
        <v>348.1</v>
      </c>
      <c r="G15" s="17">
        <v>348.1</v>
      </c>
      <c r="H15" s="18">
        <v>4599900</v>
      </c>
      <c r="J15" s="19">
        <v>44557</v>
      </c>
      <c r="K15" s="3" t="s">
        <v>15</v>
      </c>
      <c r="L15" s="24" t="str">
        <f t="shared" ca="1" si="3"/>
        <v/>
      </c>
      <c r="M15" s="21"/>
      <c r="N15" s="21"/>
      <c r="O15" s="22">
        <f ca="1">IF(TODAY()&lt;$J15,"",($O$3-$J14)*0.05+$P$6)</f>
        <v>15.010000000000002</v>
      </c>
    </row>
    <row r="16" spans="1:17" ht="15.75" customHeight="1">
      <c r="B16" s="25">
        <v>44580</v>
      </c>
      <c r="C16" s="17">
        <v>358.34</v>
      </c>
      <c r="D16" s="17">
        <v>359.71</v>
      </c>
      <c r="E16" s="17">
        <v>346.39</v>
      </c>
      <c r="F16" s="17">
        <v>347.32</v>
      </c>
      <c r="G16" s="17">
        <v>347.32</v>
      </c>
      <c r="H16" s="18">
        <v>7426100</v>
      </c>
      <c r="J16" s="26">
        <f t="shared" ref="J16:J918" si="4">J9+1</f>
        <v>44558</v>
      </c>
      <c r="K16" s="3">
        <v>2</v>
      </c>
      <c r="L16" s="20">
        <f t="shared" ca="1" si="3"/>
        <v>388.93</v>
      </c>
      <c r="M16" s="21"/>
      <c r="N16" s="21"/>
      <c r="O16" s="22"/>
    </row>
    <row r="17" spans="2:15" ht="15.75" customHeight="1">
      <c r="B17" s="25">
        <v>44579</v>
      </c>
      <c r="C17" s="17">
        <v>360.04</v>
      </c>
      <c r="D17" s="17">
        <v>361.57</v>
      </c>
      <c r="E17" s="17">
        <v>347.23</v>
      </c>
      <c r="F17" s="17">
        <v>354.4</v>
      </c>
      <c r="G17" s="17">
        <v>354.4</v>
      </c>
      <c r="H17" s="18">
        <v>13123500</v>
      </c>
      <c r="J17" s="26">
        <f t="shared" si="4"/>
        <v>44558</v>
      </c>
      <c r="K17" s="3">
        <v>3</v>
      </c>
      <c r="L17" s="20">
        <f t="shared" ca="1" si="3"/>
        <v>391.33</v>
      </c>
      <c r="M17" s="21"/>
      <c r="N17" s="21"/>
      <c r="O17" s="22"/>
    </row>
    <row r="18" spans="2:15" ht="15.75" customHeight="1">
      <c r="B18" s="25">
        <v>44575</v>
      </c>
      <c r="C18" s="17">
        <v>382.13</v>
      </c>
      <c r="D18" s="17">
        <v>384.39</v>
      </c>
      <c r="E18" s="17">
        <v>375</v>
      </c>
      <c r="F18" s="17">
        <v>380.94</v>
      </c>
      <c r="G18" s="17">
        <v>380.94</v>
      </c>
      <c r="H18" s="18">
        <v>4682000</v>
      </c>
      <c r="J18" s="26">
        <f t="shared" si="4"/>
        <v>44558</v>
      </c>
      <c r="K18" s="3">
        <v>4</v>
      </c>
      <c r="L18" s="20">
        <f t="shared" ca="1" si="3"/>
        <v>386.24</v>
      </c>
      <c r="M18" s="21"/>
      <c r="N18" s="21"/>
      <c r="O18" s="22"/>
    </row>
    <row r="19" spans="2:15" ht="15.75" customHeight="1">
      <c r="B19" s="25">
        <v>44574</v>
      </c>
      <c r="C19" s="17">
        <v>394.05</v>
      </c>
      <c r="D19" s="17">
        <v>396.87</v>
      </c>
      <c r="E19" s="17">
        <v>389.75</v>
      </c>
      <c r="F19" s="17">
        <v>390.8</v>
      </c>
      <c r="G19" s="17">
        <v>390.8</v>
      </c>
      <c r="H19" s="18">
        <v>2497800</v>
      </c>
      <c r="J19" s="26">
        <f t="shared" si="4"/>
        <v>44558</v>
      </c>
      <c r="K19" s="3">
        <v>6</v>
      </c>
      <c r="L19" s="20">
        <f t="shared" ca="1" si="3"/>
        <v>387.61</v>
      </c>
      <c r="M19" s="21">
        <f ca="1">IF(TODAY()&lt;$J19,"",IF(($O$3-$J19)*0.1+$O$4&lt;0,0,($O$3-$J19)*0.1+$O$4))</f>
        <v>6.25</v>
      </c>
      <c r="N19" s="21">
        <f ca="1">IF(TODAY()&lt;$J19,"",IF(($O$3-$J19)*0.1+$O$5&lt;0,0,($O$3-$J19)*0.1+$O$5))</f>
        <v>4.3499999999999996</v>
      </c>
      <c r="O19" s="22"/>
    </row>
    <row r="20" spans="2:15" ht="15.75" customHeight="1">
      <c r="B20" s="25">
        <v>44573</v>
      </c>
      <c r="C20" s="17">
        <v>403.24</v>
      </c>
      <c r="D20" s="17">
        <v>404.12</v>
      </c>
      <c r="E20" s="17">
        <v>388.56</v>
      </c>
      <c r="F20" s="17">
        <v>390.31</v>
      </c>
      <c r="G20" s="17">
        <v>390.31</v>
      </c>
      <c r="H20" s="18">
        <v>4158000</v>
      </c>
      <c r="J20" s="26">
        <f t="shared" si="4"/>
        <v>44558</v>
      </c>
      <c r="K20" s="3">
        <v>7</v>
      </c>
      <c r="L20" s="23">
        <f t="shared" ca="1" si="3"/>
        <v>1528200</v>
      </c>
      <c r="M20" s="21"/>
      <c r="N20" s="21"/>
      <c r="O20" s="22"/>
    </row>
    <row r="21" spans="2:15" ht="15.75" customHeight="1">
      <c r="B21" s="16">
        <v>44572</v>
      </c>
      <c r="C21" s="17">
        <v>400.25</v>
      </c>
      <c r="D21" s="17">
        <v>403.34</v>
      </c>
      <c r="E21" s="17">
        <v>396.31</v>
      </c>
      <c r="F21" s="17">
        <v>403.05</v>
      </c>
      <c r="G21" s="17">
        <v>403.05</v>
      </c>
      <c r="H21" s="18">
        <v>1748800</v>
      </c>
      <c r="J21" s="26">
        <f t="shared" si="4"/>
        <v>44558</v>
      </c>
      <c r="K21" s="3" t="s">
        <v>15</v>
      </c>
      <c r="L21" s="24" t="str">
        <f t="shared" ca="1" si="3"/>
        <v/>
      </c>
      <c r="M21" s="21"/>
      <c r="N21" s="21"/>
      <c r="O21" s="22">
        <f ca="1">IF(TODAY()&lt;$J21,"",($O$3-$J21)*0.05+$O$6)</f>
        <v>12.54</v>
      </c>
    </row>
    <row r="22" spans="2:15" ht="15.75" customHeight="1">
      <c r="B22" s="16">
        <v>44571</v>
      </c>
      <c r="C22" s="17">
        <v>401.32</v>
      </c>
      <c r="D22" s="17">
        <v>404.37</v>
      </c>
      <c r="E22" s="17">
        <v>394.22</v>
      </c>
      <c r="F22" s="17">
        <v>399.17</v>
      </c>
      <c r="G22" s="17">
        <v>399.17</v>
      </c>
      <c r="H22" s="18">
        <v>3009400</v>
      </c>
      <c r="J22" s="26">
        <f t="shared" si="4"/>
        <v>44558</v>
      </c>
      <c r="K22" s="3" t="s">
        <v>15</v>
      </c>
      <c r="L22" s="24" t="str">
        <f t="shared" ca="1" si="3"/>
        <v/>
      </c>
      <c r="M22" s="21"/>
      <c r="N22" s="21"/>
      <c r="O22" s="22">
        <f ca="1">IF(TODAY()&lt;$J22,"",($O$3-$J21)*0.05+$P$6)</f>
        <v>14.96</v>
      </c>
    </row>
    <row r="23" spans="2:15" ht="15.75" customHeight="1">
      <c r="B23" s="16">
        <v>44568</v>
      </c>
      <c r="C23" s="17">
        <v>397.67</v>
      </c>
      <c r="D23" s="17">
        <v>400.55</v>
      </c>
      <c r="E23" s="17">
        <v>394.53</v>
      </c>
      <c r="F23" s="17">
        <v>397.51</v>
      </c>
      <c r="G23" s="17">
        <v>397.51</v>
      </c>
      <c r="H23" s="18">
        <v>2359800</v>
      </c>
      <c r="J23" s="26">
        <f t="shared" si="4"/>
        <v>44559</v>
      </c>
      <c r="K23" s="3">
        <v>2</v>
      </c>
      <c r="L23" s="20">
        <f t="shared" ca="1" si="3"/>
        <v>387.97</v>
      </c>
      <c r="M23" s="21"/>
      <c r="N23" s="21"/>
      <c r="O23" s="22"/>
    </row>
    <row r="24" spans="2:15" ht="15.75" customHeight="1">
      <c r="B24" s="16">
        <v>44567</v>
      </c>
      <c r="C24" s="17">
        <v>401</v>
      </c>
      <c r="D24" s="17">
        <v>401.2</v>
      </c>
      <c r="E24" s="17">
        <v>386.43</v>
      </c>
      <c r="F24" s="17">
        <v>396.93</v>
      </c>
      <c r="G24" s="17">
        <v>396.93</v>
      </c>
      <c r="H24" s="18">
        <v>2960900</v>
      </c>
      <c r="J24" s="26">
        <f t="shared" si="4"/>
        <v>44559</v>
      </c>
      <c r="K24" s="3">
        <v>3</v>
      </c>
      <c r="L24" s="20">
        <f t="shared" ca="1" si="3"/>
        <v>389.46</v>
      </c>
      <c r="M24" s="21"/>
      <c r="N24" s="21"/>
      <c r="O24" s="22"/>
    </row>
    <row r="25" spans="2:15" ht="15.75" customHeight="1">
      <c r="B25" s="16">
        <v>44566</v>
      </c>
      <c r="C25" s="17">
        <v>409.8</v>
      </c>
      <c r="D25" s="17">
        <v>412.66</v>
      </c>
      <c r="E25" s="17">
        <v>397.89</v>
      </c>
      <c r="F25" s="17">
        <v>398.63</v>
      </c>
      <c r="G25" s="17">
        <v>398.63</v>
      </c>
      <c r="H25" s="18">
        <v>3469600</v>
      </c>
      <c r="J25" s="26">
        <f t="shared" si="4"/>
        <v>44559</v>
      </c>
      <c r="K25" s="3">
        <v>4</v>
      </c>
      <c r="L25" s="20">
        <f t="shared" ca="1" si="3"/>
        <v>384.42</v>
      </c>
      <c r="M25" s="21"/>
      <c r="N25" s="21"/>
      <c r="O25" s="22"/>
    </row>
    <row r="26" spans="2:15" ht="15.75" customHeight="1">
      <c r="B26" s="16">
        <v>44565</v>
      </c>
      <c r="C26" s="17">
        <v>402.23</v>
      </c>
      <c r="D26" s="17">
        <v>410.28</v>
      </c>
      <c r="E26" s="17">
        <v>401.18</v>
      </c>
      <c r="F26" s="17">
        <v>407.48</v>
      </c>
      <c r="G26" s="17">
        <v>407.48</v>
      </c>
      <c r="H26" s="18">
        <v>3916400</v>
      </c>
      <c r="J26" s="26">
        <f t="shared" si="4"/>
        <v>44559</v>
      </c>
      <c r="K26" s="3">
        <v>6</v>
      </c>
      <c r="L26" s="20">
        <f t="shared" ca="1" si="3"/>
        <v>386.2</v>
      </c>
      <c r="M26" s="21">
        <f ca="1">IF(TODAY()&lt;$J26,"",IF(($O$3-$J26)*0.1+$O$4&lt;0,0,($O$3-$J26)*0.1+$O$4))</f>
        <v>6.15</v>
      </c>
      <c r="N26" s="21">
        <f ca="1">IF(TODAY()&lt;$J26,"",IF(($O$3-$J26)*0.1+$O$5&lt;0,0,($O$3-$J26)*0.1+$O$5))</f>
        <v>4.25</v>
      </c>
      <c r="O26" s="22"/>
    </row>
    <row r="27" spans="2:15" ht="15.75" customHeight="1">
      <c r="B27" s="16">
        <v>44564</v>
      </c>
      <c r="C27" s="17">
        <v>389</v>
      </c>
      <c r="D27" s="17">
        <v>399.3</v>
      </c>
      <c r="E27" s="17">
        <v>387.34</v>
      </c>
      <c r="F27" s="17">
        <v>395.33</v>
      </c>
      <c r="G27" s="17">
        <v>395.33</v>
      </c>
      <c r="H27" s="18">
        <v>3334300</v>
      </c>
      <c r="J27" s="26">
        <f t="shared" si="4"/>
        <v>44559</v>
      </c>
      <c r="K27" s="3">
        <v>7</v>
      </c>
      <c r="L27" s="23">
        <f t="shared" ca="1" si="3"/>
        <v>1327800</v>
      </c>
      <c r="M27" s="21"/>
      <c r="N27" s="21"/>
      <c r="O27" s="22"/>
    </row>
    <row r="28" spans="2:15" ht="15.75" customHeight="1">
      <c r="B28" s="16">
        <v>44561</v>
      </c>
      <c r="C28" s="17">
        <v>385</v>
      </c>
      <c r="D28" s="17">
        <v>387</v>
      </c>
      <c r="E28" s="17">
        <v>380.84</v>
      </c>
      <c r="F28" s="17">
        <v>382.55</v>
      </c>
      <c r="G28" s="17">
        <v>382.55</v>
      </c>
      <c r="H28" s="18">
        <v>1601300</v>
      </c>
      <c r="J28" s="26">
        <f t="shared" si="4"/>
        <v>44559</v>
      </c>
      <c r="K28" s="3" t="s">
        <v>15</v>
      </c>
      <c r="L28" s="24" t="str">
        <f t="shared" ca="1" si="3"/>
        <v/>
      </c>
      <c r="M28" s="21"/>
      <c r="N28" s="21"/>
      <c r="O28" s="22">
        <f ca="1">IF(TODAY()&lt;$J28,"",($O$3-$J28)*0.05+$O$6)</f>
        <v>12.489999999999998</v>
      </c>
    </row>
    <row r="29" spans="2:15" ht="15.75" customHeight="1">
      <c r="B29" s="16">
        <v>44560</v>
      </c>
      <c r="C29" s="17">
        <v>387.75</v>
      </c>
      <c r="D29" s="17">
        <v>389.78</v>
      </c>
      <c r="E29" s="17">
        <v>385.2</v>
      </c>
      <c r="F29" s="17">
        <v>385.52</v>
      </c>
      <c r="G29" s="17">
        <v>385.52</v>
      </c>
      <c r="H29" s="18">
        <v>1160100</v>
      </c>
      <c r="J29" s="26">
        <f t="shared" si="4"/>
        <v>44559</v>
      </c>
      <c r="K29" s="3" t="s">
        <v>15</v>
      </c>
      <c r="L29" s="24" t="str">
        <f t="shared" ca="1" si="3"/>
        <v/>
      </c>
      <c r="M29" s="21"/>
      <c r="N29" s="21"/>
      <c r="O29" s="22">
        <f ca="1">IF(TODAY()&lt;$J29,"",($O$3-$J28)*0.05+$P$6)</f>
        <v>14.91</v>
      </c>
    </row>
    <row r="30" spans="2:15" ht="15.75" customHeight="1">
      <c r="B30" s="16">
        <v>44559</v>
      </c>
      <c r="C30" s="17">
        <v>387.97</v>
      </c>
      <c r="D30" s="17">
        <v>389.46</v>
      </c>
      <c r="E30" s="17">
        <v>384.42</v>
      </c>
      <c r="F30" s="17">
        <v>386.2</v>
      </c>
      <c r="G30" s="17">
        <v>386.2</v>
      </c>
      <c r="H30" s="18">
        <v>1327800</v>
      </c>
      <c r="J30" s="26">
        <f t="shared" si="4"/>
        <v>44560</v>
      </c>
      <c r="K30" s="3">
        <v>2</v>
      </c>
      <c r="L30" s="20">
        <f t="shared" ca="1" si="3"/>
        <v>387.75</v>
      </c>
      <c r="M30" s="21"/>
      <c r="N30" s="21"/>
      <c r="O30" s="22"/>
    </row>
    <row r="31" spans="2:15" ht="15.75" customHeight="1">
      <c r="B31" s="16">
        <v>44558</v>
      </c>
      <c r="C31" s="17">
        <v>388.93</v>
      </c>
      <c r="D31" s="17">
        <v>391.33</v>
      </c>
      <c r="E31" s="17">
        <v>386.24</v>
      </c>
      <c r="F31" s="17">
        <v>387.61</v>
      </c>
      <c r="G31" s="17">
        <v>387.61</v>
      </c>
      <c r="H31" s="18">
        <v>1528200</v>
      </c>
      <c r="J31" s="26">
        <f t="shared" si="4"/>
        <v>44560</v>
      </c>
      <c r="K31" s="3">
        <v>3</v>
      </c>
      <c r="L31" s="20">
        <f t="shared" ca="1" si="3"/>
        <v>389.78</v>
      </c>
      <c r="M31" s="21"/>
      <c r="N31" s="21"/>
      <c r="O31" s="22"/>
    </row>
    <row r="32" spans="2:15" ht="15.75" customHeight="1">
      <c r="B32" s="16">
        <v>44557</v>
      </c>
      <c r="C32" s="17">
        <v>386.99</v>
      </c>
      <c r="D32" s="17">
        <v>389.11</v>
      </c>
      <c r="E32" s="17">
        <v>385</v>
      </c>
      <c r="F32" s="17">
        <v>388.04</v>
      </c>
      <c r="G32" s="17">
        <v>388.04</v>
      </c>
      <c r="H32" s="18">
        <v>1430400</v>
      </c>
      <c r="J32" s="26">
        <f t="shared" si="4"/>
        <v>44560</v>
      </c>
      <c r="K32" s="3">
        <v>4</v>
      </c>
      <c r="L32" s="20">
        <f t="shared" ca="1" si="3"/>
        <v>385.2</v>
      </c>
      <c r="M32" s="21"/>
      <c r="N32" s="21"/>
      <c r="O32" s="22"/>
    </row>
    <row r="33" spans="2:15" ht="15.75" customHeight="1">
      <c r="B33" s="27">
        <v>44553</v>
      </c>
      <c r="C33" s="28">
        <v>383.79</v>
      </c>
      <c r="D33" s="28">
        <v>387.61</v>
      </c>
      <c r="E33" s="28">
        <v>383.57</v>
      </c>
      <c r="F33" s="28">
        <v>385.04</v>
      </c>
      <c r="G33" s="28">
        <v>385.04</v>
      </c>
      <c r="H33" s="29">
        <v>1624000</v>
      </c>
      <c r="J33" s="26">
        <f t="shared" si="4"/>
        <v>44560</v>
      </c>
      <c r="K33" s="3">
        <v>6</v>
      </c>
      <c r="L33" s="20">
        <f t="shared" ca="1" si="3"/>
        <v>385.52</v>
      </c>
      <c r="M33" s="21">
        <f ca="1">IF(TODAY()&lt;$J33,"",IF(($O$3-$J33)*0.1+$O$4&lt;0,0,($O$3-$J33)*0.1+$O$4))</f>
        <v>6.0500000000000007</v>
      </c>
      <c r="N33" s="21">
        <f ca="1">IF(TODAY()&lt;$J33,"",IF(($O$3-$J33)*0.1+$O$5&lt;0,0,($O$3-$J33)*0.1+$O$5))</f>
        <v>4.1500000000000004</v>
      </c>
      <c r="O33" s="22"/>
    </row>
    <row r="34" spans="2:15" ht="15.75" customHeight="1">
      <c r="B34" s="27">
        <v>44554</v>
      </c>
      <c r="C34" s="28">
        <v>720.9</v>
      </c>
      <c r="D34" s="28">
        <v>724.6</v>
      </c>
      <c r="E34" s="28">
        <v>717.4</v>
      </c>
      <c r="F34" s="28">
        <v>717.4</v>
      </c>
      <c r="G34" s="28">
        <v>717.4</v>
      </c>
      <c r="H34" s="29">
        <v>48392</v>
      </c>
      <c r="J34" s="26">
        <f t="shared" si="4"/>
        <v>44560</v>
      </c>
      <c r="K34" s="3">
        <v>7</v>
      </c>
      <c r="L34" s="23">
        <f t="shared" ca="1" si="3"/>
        <v>1160100</v>
      </c>
      <c r="M34" s="21"/>
      <c r="N34" s="21"/>
      <c r="O34" s="22"/>
    </row>
    <row r="35" spans="2:15" ht="15.75" customHeight="1">
      <c r="B35" s="27">
        <v>44553</v>
      </c>
      <c r="C35" s="3">
        <v>715</v>
      </c>
      <c r="D35" s="3">
        <v>722.9</v>
      </c>
      <c r="E35" s="3">
        <v>710.1</v>
      </c>
      <c r="F35" s="3">
        <v>722</v>
      </c>
      <c r="G35" s="3">
        <v>722</v>
      </c>
      <c r="H35" s="29">
        <v>315889</v>
      </c>
      <c r="J35" s="26">
        <f t="shared" si="4"/>
        <v>44560</v>
      </c>
      <c r="K35" s="3" t="s">
        <v>15</v>
      </c>
      <c r="L35" s="24" t="str">
        <f t="shared" ca="1" si="3"/>
        <v/>
      </c>
      <c r="M35" s="21"/>
      <c r="N35" s="21"/>
      <c r="O35" s="22">
        <f ca="1">IF(TODAY()&lt;$J35,"",($O$3-$J35)*0.05+$O$6)</f>
        <v>12.44</v>
      </c>
    </row>
    <row r="36" spans="2:15" ht="15.75" customHeight="1">
      <c r="J36" s="26">
        <f t="shared" si="4"/>
        <v>44560</v>
      </c>
      <c r="K36" s="3" t="s">
        <v>15</v>
      </c>
      <c r="L36" s="24" t="str">
        <f t="shared" ca="1" si="3"/>
        <v/>
      </c>
      <c r="M36" s="21"/>
      <c r="N36" s="21"/>
      <c r="O36" s="22">
        <f ca="1">IF(TODAY()&lt;$J36,"",($O$3-$J35)*0.05+$P$6)</f>
        <v>14.860000000000001</v>
      </c>
    </row>
    <row r="37" spans="2:15" ht="15.75" customHeight="1">
      <c r="J37" s="26">
        <f t="shared" si="4"/>
        <v>44561</v>
      </c>
      <c r="K37" s="3">
        <v>2</v>
      </c>
      <c r="L37" s="20">
        <f t="shared" ca="1" si="3"/>
        <v>385</v>
      </c>
      <c r="M37" s="21"/>
      <c r="N37" s="21"/>
      <c r="O37" s="22"/>
    </row>
    <row r="38" spans="2:15" ht="15.75" customHeight="1">
      <c r="J38" s="26">
        <f t="shared" si="4"/>
        <v>44561</v>
      </c>
      <c r="K38" s="3">
        <v>3</v>
      </c>
      <c r="L38" s="20">
        <f t="shared" ca="1" si="3"/>
        <v>387</v>
      </c>
      <c r="M38" s="21"/>
      <c r="N38" s="21"/>
      <c r="O38" s="22"/>
    </row>
    <row r="39" spans="2:15" ht="15.75" customHeight="1">
      <c r="J39" s="26">
        <f t="shared" si="4"/>
        <v>44561</v>
      </c>
      <c r="K39" s="3">
        <v>4</v>
      </c>
      <c r="L39" s="20">
        <f t="shared" ca="1" si="3"/>
        <v>380.84</v>
      </c>
      <c r="M39" s="21"/>
      <c r="N39" s="21"/>
      <c r="O39" s="22"/>
    </row>
    <row r="40" spans="2:15" ht="15.75" customHeight="1">
      <c r="J40" s="26">
        <f t="shared" si="4"/>
        <v>44561</v>
      </c>
      <c r="K40" s="3">
        <v>6</v>
      </c>
      <c r="L40" s="20">
        <f t="shared" ca="1" si="3"/>
        <v>382.55</v>
      </c>
      <c r="M40" s="21">
        <f ca="1">IF(TODAY()&lt;$J40,"",IF(($O$3-$J40)*0.1+$O$4&lt;0,0,($O$3-$J40)*0.1+$O$4))</f>
        <v>5.95</v>
      </c>
      <c r="N40" s="21">
        <f ca="1">IF(TODAY()&lt;$J40,"",IF(($O$3-$J40)*0.1+$O$5&lt;0,0,($O$3-$J40)*0.1+$O$5))</f>
        <v>4.05</v>
      </c>
      <c r="O40" s="22"/>
    </row>
    <row r="41" spans="2:15" ht="15.75" customHeight="1">
      <c r="J41" s="26">
        <f t="shared" si="4"/>
        <v>44561</v>
      </c>
      <c r="K41" s="3">
        <v>7</v>
      </c>
      <c r="L41" s="23">
        <f t="shared" ca="1" si="3"/>
        <v>1601300</v>
      </c>
      <c r="M41" s="21"/>
      <c r="N41" s="21"/>
      <c r="O41" s="22"/>
    </row>
    <row r="42" spans="2:15" ht="15.75" customHeight="1">
      <c r="J42" s="26">
        <f t="shared" si="4"/>
        <v>44561</v>
      </c>
      <c r="K42" s="3" t="s">
        <v>15</v>
      </c>
      <c r="L42" s="24" t="str">
        <f t="shared" ca="1" si="3"/>
        <v/>
      </c>
      <c r="M42" s="21"/>
      <c r="N42" s="21"/>
      <c r="O42" s="22">
        <f ca="1">IF(TODAY()&lt;$J42,"",($O$3-$J42)*0.05+$O$6)</f>
        <v>12.389999999999999</v>
      </c>
    </row>
    <row r="43" spans="2:15" ht="15.75" customHeight="1">
      <c r="J43" s="26">
        <f t="shared" si="4"/>
        <v>44561</v>
      </c>
      <c r="K43" s="3" t="s">
        <v>15</v>
      </c>
      <c r="L43" s="24" t="str">
        <f t="shared" ca="1" si="3"/>
        <v/>
      </c>
      <c r="M43" s="21"/>
      <c r="N43" s="21"/>
      <c r="O43" s="22">
        <f ca="1">IF(TODAY()&lt;$J43,"",($O$3-$J42)*0.05+$P$6)</f>
        <v>14.81</v>
      </c>
    </row>
    <row r="44" spans="2:15" ht="15.75" customHeight="1">
      <c r="J44" s="26">
        <f t="shared" si="4"/>
        <v>44562</v>
      </c>
      <c r="K44" s="3">
        <v>2</v>
      </c>
      <c r="L44" s="20">
        <f t="shared" ca="1" si="3"/>
        <v>385</v>
      </c>
      <c r="M44" s="21"/>
      <c r="N44" s="21"/>
      <c r="O44" s="22"/>
    </row>
    <row r="45" spans="2:15" ht="15.75" customHeight="1">
      <c r="J45" s="26">
        <f t="shared" si="4"/>
        <v>44562</v>
      </c>
      <c r="K45" s="3">
        <v>3</v>
      </c>
      <c r="L45" s="20">
        <f t="shared" ca="1" si="3"/>
        <v>387</v>
      </c>
      <c r="M45" s="21"/>
      <c r="N45" s="21"/>
      <c r="O45" s="22"/>
    </row>
    <row r="46" spans="2:15" ht="15.75" customHeight="1">
      <c r="J46" s="26">
        <f t="shared" si="4"/>
        <v>44562</v>
      </c>
      <c r="K46" s="3">
        <v>4</v>
      </c>
      <c r="L46" s="20">
        <f t="shared" ca="1" si="3"/>
        <v>380.84</v>
      </c>
      <c r="M46" s="21"/>
      <c r="N46" s="21"/>
      <c r="O46" s="22"/>
    </row>
    <row r="47" spans="2:15" ht="15.75" customHeight="1">
      <c r="J47" s="26">
        <f t="shared" si="4"/>
        <v>44562</v>
      </c>
      <c r="K47" s="3">
        <v>6</v>
      </c>
      <c r="L47" s="20">
        <f t="shared" ca="1" si="3"/>
        <v>382.55</v>
      </c>
      <c r="M47" s="21">
        <f ca="1">IF(TODAY()&lt;$J47,"",IF(($O$3-$J47)*0.1+$O$4&lt;0,0,($O$3-$J47)*0.1+$O$4))</f>
        <v>5.85</v>
      </c>
      <c r="N47" s="21">
        <f ca="1">IF(TODAY()&lt;$J47,"",IF(($O$3-$J47)*0.1+$O$5&lt;0,0,($O$3-$J47)*0.1+$O$5))</f>
        <v>3.95</v>
      </c>
      <c r="O47" s="22"/>
    </row>
    <row r="48" spans="2:15" ht="15.75" customHeight="1">
      <c r="J48" s="26">
        <f t="shared" si="4"/>
        <v>44562</v>
      </c>
      <c r="K48" s="3">
        <v>7</v>
      </c>
      <c r="L48" s="23">
        <f t="shared" ca="1" si="3"/>
        <v>1601300</v>
      </c>
      <c r="M48" s="21"/>
      <c r="N48" s="21"/>
      <c r="O48" s="22"/>
    </row>
    <row r="49" spans="10:15" ht="15.75" customHeight="1">
      <c r="J49" s="26">
        <f t="shared" si="4"/>
        <v>44562</v>
      </c>
      <c r="K49" s="3" t="s">
        <v>15</v>
      </c>
      <c r="L49" s="24" t="str">
        <f t="shared" ca="1" si="3"/>
        <v/>
      </c>
      <c r="M49" s="21"/>
      <c r="N49" s="21"/>
      <c r="O49" s="22">
        <f ca="1">IF(TODAY()&lt;$J49,"",($O$3-$J49)*0.05+$O$6)</f>
        <v>12.34</v>
      </c>
    </row>
    <row r="50" spans="10:15" ht="15.75" customHeight="1">
      <c r="J50" s="26">
        <f t="shared" si="4"/>
        <v>44562</v>
      </c>
      <c r="K50" s="3" t="s">
        <v>15</v>
      </c>
      <c r="L50" s="24" t="str">
        <f t="shared" ca="1" si="3"/>
        <v/>
      </c>
      <c r="M50" s="21"/>
      <c r="N50" s="21"/>
      <c r="O50" s="22">
        <f ca="1">IF(TODAY()&lt;$J50,"",($O$3-$J49)*0.05+$P$6)</f>
        <v>14.760000000000002</v>
      </c>
    </row>
    <row r="51" spans="10:15" ht="15.75" customHeight="1">
      <c r="J51" s="26">
        <f t="shared" si="4"/>
        <v>44563</v>
      </c>
      <c r="K51" s="3">
        <v>2</v>
      </c>
      <c r="L51" s="20">
        <f t="shared" ca="1" si="3"/>
        <v>385</v>
      </c>
      <c r="M51" s="21"/>
      <c r="N51" s="21"/>
      <c r="O51" s="22"/>
    </row>
    <row r="52" spans="10:15" ht="15.75" customHeight="1">
      <c r="J52" s="26">
        <f t="shared" si="4"/>
        <v>44563</v>
      </c>
      <c r="K52" s="3">
        <v>3</v>
      </c>
      <c r="L52" s="20">
        <f t="shared" ca="1" si="3"/>
        <v>387</v>
      </c>
      <c r="M52" s="21"/>
      <c r="N52" s="21"/>
      <c r="O52" s="22"/>
    </row>
    <row r="53" spans="10:15" ht="15.75" customHeight="1">
      <c r="J53" s="26">
        <f t="shared" si="4"/>
        <v>44563</v>
      </c>
      <c r="K53" s="3">
        <v>4</v>
      </c>
      <c r="L53" s="20">
        <f t="shared" ca="1" si="3"/>
        <v>380.84</v>
      </c>
      <c r="M53" s="21"/>
      <c r="N53" s="21"/>
      <c r="O53" s="22"/>
    </row>
    <row r="54" spans="10:15" ht="15.75" customHeight="1">
      <c r="J54" s="26">
        <f t="shared" si="4"/>
        <v>44563</v>
      </c>
      <c r="K54" s="3">
        <v>6</v>
      </c>
      <c r="L54" s="20">
        <f t="shared" ca="1" si="3"/>
        <v>382.55</v>
      </c>
      <c r="M54" s="21">
        <f ca="1">IF(TODAY()&lt;$J54,"",IF(($O$3-$J54)*0.1+$O$4&lt;0,0,($O$3-$J54)*0.1+$O$4))</f>
        <v>5.75</v>
      </c>
      <c r="N54" s="21">
        <f ca="1">IF(TODAY()&lt;$J54,"",IF(($O$3-$J54)*0.1+$O$5&lt;0,0,($O$3-$J54)*0.1+$O$5))</f>
        <v>3.85</v>
      </c>
      <c r="O54" s="22"/>
    </row>
    <row r="55" spans="10:15" ht="15.75" customHeight="1">
      <c r="J55" s="26">
        <f t="shared" si="4"/>
        <v>44563</v>
      </c>
      <c r="K55" s="3">
        <v>7</v>
      </c>
      <c r="L55" s="23">
        <f t="shared" ca="1" si="3"/>
        <v>1601300</v>
      </c>
      <c r="M55" s="21"/>
      <c r="N55" s="21"/>
      <c r="O55" s="22"/>
    </row>
    <row r="56" spans="10:15" ht="15.75" customHeight="1">
      <c r="J56" s="26">
        <f t="shared" si="4"/>
        <v>44563</v>
      </c>
      <c r="K56" s="3" t="s">
        <v>15</v>
      </c>
      <c r="L56" s="24" t="str">
        <f t="shared" ca="1" si="3"/>
        <v/>
      </c>
      <c r="M56" s="21"/>
      <c r="N56" s="21"/>
      <c r="O56" s="22">
        <f ca="1">IF(TODAY()&lt;$J56,"",($O$3-$J56)*0.05+$O$6)</f>
        <v>12.29</v>
      </c>
    </row>
    <row r="57" spans="10:15" ht="15.75" customHeight="1">
      <c r="J57" s="26">
        <f t="shared" si="4"/>
        <v>44563</v>
      </c>
      <c r="K57" s="3" t="s">
        <v>15</v>
      </c>
      <c r="L57" s="24" t="str">
        <f t="shared" ca="1" si="3"/>
        <v/>
      </c>
      <c r="M57" s="21"/>
      <c r="N57" s="21"/>
      <c r="O57" s="22">
        <f ca="1">IF(TODAY()&lt;$J57,"",($O$3-$J56)*0.05+$P$6)</f>
        <v>14.71</v>
      </c>
    </row>
    <row r="58" spans="10:15" ht="15.75" customHeight="1">
      <c r="J58" s="26">
        <f t="shared" si="4"/>
        <v>44564</v>
      </c>
      <c r="K58" s="3">
        <v>2</v>
      </c>
      <c r="L58" s="20">
        <f t="shared" ca="1" si="3"/>
        <v>389</v>
      </c>
      <c r="M58" s="21"/>
      <c r="N58" s="21"/>
      <c r="O58" s="22"/>
    </row>
    <row r="59" spans="10:15" ht="15.75" customHeight="1">
      <c r="J59" s="26">
        <f t="shared" si="4"/>
        <v>44564</v>
      </c>
      <c r="K59" s="3">
        <v>3</v>
      </c>
      <c r="L59" s="20">
        <f t="shared" ca="1" si="3"/>
        <v>399.3</v>
      </c>
      <c r="M59" s="21"/>
      <c r="N59" s="21"/>
      <c r="O59" s="22"/>
    </row>
    <row r="60" spans="10:15" ht="15.75" customHeight="1">
      <c r="J60" s="26">
        <f t="shared" si="4"/>
        <v>44564</v>
      </c>
      <c r="K60" s="3">
        <v>4</v>
      </c>
      <c r="L60" s="20">
        <f t="shared" ca="1" si="3"/>
        <v>387.34</v>
      </c>
      <c r="M60" s="21"/>
      <c r="N60" s="21"/>
      <c r="O60" s="22"/>
    </row>
    <row r="61" spans="10:15" ht="15.75" customHeight="1">
      <c r="J61" s="26">
        <f t="shared" si="4"/>
        <v>44564</v>
      </c>
      <c r="K61" s="3">
        <v>6</v>
      </c>
      <c r="L61" s="20">
        <f t="shared" ca="1" si="3"/>
        <v>395.33</v>
      </c>
      <c r="M61" s="21">
        <f ca="1">IF(TODAY()&lt;$J61,"",IF(($O$3-$J61)*0.1+$O$4&lt;0,0,($O$3-$J61)*0.1+$O$4))</f>
        <v>5.65</v>
      </c>
      <c r="N61" s="21">
        <f ca="1">IF(TODAY()&lt;$J61,"",IF(($O$3-$J61)*0.1+$O$5&lt;0,0,($O$3-$J61)*0.1+$O$5))</f>
        <v>3.7500000000000004</v>
      </c>
      <c r="O61" s="22"/>
    </row>
    <row r="62" spans="10:15" ht="15.75" customHeight="1">
      <c r="J62" s="26">
        <f t="shared" si="4"/>
        <v>44564</v>
      </c>
      <c r="K62" s="3">
        <v>7</v>
      </c>
      <c r="L62" s="23">
        <f t="shared" ca="1" si="3"/>
        <v>3334300</v>
      </c>
      <c r="M62" s="21"/>
      <c r="N62" s="21"/>
      <c r="O62" s="22"/>
    </row>
    <row r="63" spans="10:15" ht="15.75" customHeight="1">
      <c r="J63" s="26">
        <f t="shared" si="4"/>
        <v>44564</v>
      </c>
      <c r="K63" s="3" t="s">
        <v>15</v>
      </c>
      <c r="L63" s="24" t="str">
        <f t="shared" ca="1" si="3"/>
        <v/>
      </c>
      <c r="M63" s="21"/>
      <c r="N63" s="21"/>
      <c r="O63" s="22">
        <f ca="1">IF(TODAY()&lt;$J63,"",($O$3-$J63)*0.05+$O$6)</f>
        <v>12.239999999999998</v>
      </c>
    </row>
    <row r="64" spans="10:15" ht="15.75" customHeight="1">
      <c r="J64" s="26">
        <f t="shared" si="4"/>
        <v>44564</v>
      </c>
      <c r="K64" s="3" t="s">
        <v>15</v>
      </c>
      <c r="L64" s="24" t="str">
        <f t="shared" ca="1" si="3"/>
        <v/>
      </c>
      <c r="M64" s="21"/>
      <c r="N64" s="21"/>
      <c r="O64" s="22">
        <f ca="1">IF(TODAY()&lt;$J64,"",($O$3-$J63)*0.05+$P$6)</f>
        <v>14.66</v>
      </c>
    </row>
    <row r="65" spans="10:15" ht="15.75" customHeight="1">
      <c r="J65" s="26">
        <f t="shared" si="4"/>
        <v>44565</v>
      </c>
      <c r="K65" s="3">
        <v>2</v>
      </c>
      <c r="L65" s="20">
        <f t="shared" ca="1" si="3"/>
        <v>402.23</v>
      </c>
      <c r="M65" s="21"/>
      <c r="N65" s="21"/>
      <c r="O65" s="22"/>
    </row>
    <row r="66" spans="10:15" ht="15.75" customHeight="1">
      <c r="J66" s="26">
        <f t="shared" si="4"/>
        <v>44565</v>
      </c>
      <c r="K66" s="3">
        <v>3</v>
      </c>
      <c r="L66" s="20">
        <f t="shared" ca="1" si="3"/>
        <v>410.28</v>
      </c>
      <c r="M66" s="21"/>
      <c r="N66" s="21"/>
      <c r="O66" s="22"/>
    </row>
    <row r="67" spans="10:15" ht="15.75" customHeight="1">
      <c r="J67" s="26">
        <f t="shared" si="4"/>
        <v>44565</v>
      </c>
      <c r="K67" s="3">
        <v>4</v>
      </c>
      <c r="L67" s="20">
        <f t="shared" ca="1" si="3"/>
        <v>401.18</v>
      </c>
      <c r="M67" s="21"/>
      <c r="N67" s="21"/>
      <c r="O67" s="22"/>
    </row>
    <row r="68" spans="10:15" ht="15.75" customHeight="1">
      <c r="J68" s="26">
        <f t="shared" si="4"/>
        <v>44565</v>
      </c>
      <c r="K68" s="3">
        <v>6</v>
      </c>
      <c r="L68" s="20">
        <f t="shared" ca="1" si="3"/>
        <v>407.48</v>
      </c>
      <c r="M68" s="21">
        <f ca="1">IF(TODAY()&lt;$J68,"",IF(($O$3-$J68)*0.1+$O$4&lt;0,0,($O$3-$J68)*0.1+$O$4))</f>
        <v>5.5500000000000007</v>
      </c>
      <c r="N68" s="21">
        <f ca="1">IF(TODAY()&lt;$J68,"",IF(($O$3-$J68)*0.1+$O$5&lt;0,0,($O$3-$J68)*0.1+$O$5))</f>
        <v>3.6500000000000004</v>
      </c>
      <c r="O68" s="22"/>
    </row>
    <row r="69" spans="10:15" ht="15.75" customHeight="1">
      <c r="J69" s="26">
        <f t="shared" si="4"/>
        <v>44565</v>
      </c>
      <c r="K69" s="3">
        <v>7</v>
      </c>
      <c r="L69" s="23">
        <f t="shared" ca="1" si="3"/>
        <v>3916400</v>
      </c>
      <c r="M69" s="21"/>
      <c r="N69" s="21"/>
      <c r="O69" s="22"/>
    </row>
    <row r="70" spans="10:15" ht="15.75" customHeight="1">
      <c r="J70" s="26">
        <f t="shared" si="4"/>
        <v>44565</v>
      </c>
      <c r="K70" s="3" t="s">
        <v>15</v>
      </c>
      <c r="L70" s="24" t="str">
        <f t="shared" ca="1" si="3"/>
        <v/>
      </c>
      <c r="M70" s="21"/>
      <c r="N70" s="21"/>
      <c r="O70" s="22">
        <f ca="1">IF(TODAY()&lt;$J70,"",($O$3-$J70)*0.05+$O$6)</f>
        <v>12.19</v>
      </c>
    </row>
    <row r="71" spans="10:15" ht="15.75" customHeight="1">
      <c r="J71" s="26">
        <f t="shared" si="4"/>
        <v>44565</v>
      </c>
      <c r="K71" s="3" t="s">
        <v>15</v>
      </c>
      <c r="L71" s="24" t="str">
        <f t="shared" ca="1" si="3"/>
        <v/>
      </c>
      <c r="M71" s="21"/>
      <c r="N71" s="21"/>
      <c r="O71" s="22">
        <f ca="1">IF(TODAY()&lt;$J71,"",($O$3-$J70)*0.05+$P$6)</f>
        <v>14.610000000000001</v>
      </c>
    </row>
    <row r="72" spans="10:15" ht="15.75" customHeight="1">
      <c r="J72" s="26">
        <f t="shared" si="4"/>
        <v>44566</v>
      </c>
      <c r="K72" s="3">
        <v>2</v>
      </c>
      <c r="L72" s="20">
        <f t="shared" ca="1" si="3"/>
        <v>409.8</v>
      </c>
      <c r="M72" s="21"/>
      <c r="N72" s="21"/>
      <c r="O72" s="22"/>
    </row>
    <row r="73" spans="10:15" ht="15.75" customHeight="1">
      <c r="J73" s="26">
        <f t="shared" si="4"/>
        <v>44566</v>
      </c>
      <c r="K73" s="3">
        <v>3</v>
      </c>
      <c r="L73" s="20">
        <f t="shared" ca="1" si="3"/>
        <v>412.66</v>
      </c>
      <c r="M73" s="21"/>
      <c r="N73" s="21"/>
      <c r="O73" s="22"/>
    </row>
    <row r="74" spans="10:15" ht="15.75" customHeight="1">
      <c r="J74" s="26">
        <f t="shared" si="4"/>
        <v>44566</v>
      </c>
      <c r="K74" s="3">
        <v>4</v>
      </c>
      <c r="L74" s="20">
        <f t="shared" ca="1" si="3"/>
        <v>397.89</v>
      </c>
      <c r="M74" s="21"/>
      <c r="N74" s="21"/>
      <c r="O74" s="22"/>
    </row>
    <row r="75" spans="10:15" ht="15.75" customHeight="1">
      <c r="J75" s="26">
        <f t="shared" si="4"/>
        <v>44566</v>
      </c>
      <c r="K75" s="3">
        <v>6</v>
      </c>
      <c r="L75" s="20">
        <f t="shared" ca="1" si="3"/>
        <v>398.63</v>
      </c>
      <c r="M75" s="21">
        <f ca="1">IF(TODAY()&lt;$J75,"",IF(($O$3-$J75)*0.1+$O$4&lt;0,0,($O$3-$J75)*0.1+$O$4))</f>
        <v>5.45</v>
      </c>
      <c r="N75" s="21">
        <f ca="1">IF(TODAY()&lt;$J75,"",IF(($O$3-$J75)*0.1+$O$5&lt;0,0,($O$3-$J75)*0.1+$O$5))</f>
        <v>3.5500000000000003</v>
      </c>
      <c r="O75" s="22"/>
    </row>
    <row r="76" spans="10:15" ht="15.75" customHeight="1">
      <c r="J76" s="26">
        <f t="shared" si="4"/>
        <v>44566</v>
      </c>
      <c r="K76" s="3">
        <v>7</v>
      </c>
      <c r="L76" s="23">
        <f t="shared" ca="1" si="3"/>
        <v>3469600</v>
      </c>
      <c r="M76" s="21"/>
      <c r="N76" s="21"/>
      <c r="O76" s="22"/>
    </row>
    <row r="77" spans="10:15" ht="15.75" customHeight="1">
      <c r="J77" s="26">
        <f t="shared" si="4"/>
        <v>44566</v>
      </c>
      <c r="K77" s="3" t="s">
        <v>15</v>
      </c>
      <c r="L77" s="24" t="str">
        <f t="shared" ca="1" si="3"/>
        <v/>
      </c>
      <c r="M77" s="21"/>
      <c r="N77" s="21"/>
      <c r="O77" s="22">
        <f ca="1">IF(TODAY()&lt;$J77,"",($O$3-$J77)*0.05+$O$6)</f>
        <v>12.139999999999999</v>
      </c>
    </row>
    <row r="78" spans="10:15" ht="15.75" customHeight="1">
      <c r="J78" s="26">
        <f t="shared" si="4"/>
        <v>44566</v>
      </c>
      <c r="K78" s="3" t="s">
        <v>15</v>
      </c>
      <c r="L78" s="24" t="str">
        <f t="shared" ca="1" si="3"/>
        <v/>
      </c>
      <c r="M78" s="21"/>
      <c r="N78" s="21"/>
      <c r="O78" s="22">
        <f ca="1">IF(TODAY()&lt;$J78,"",($O$3-$J77)*0.05+$P$6)</f>
        <v>14.56</v>
      </c>
    </row>
    <row r="79" spans="10:15" ht="15.75" customHeight="1">
      <c r="J79" s="26">
        <f t="shared" si="4"/>
        <v>44567</v>
      </c>
      <c r="K79" s="3">
        <v>2</v>
      </c>
      <c r="L79" s="20">
        <f t="shared" ca="1" si="3"/>
        <v>401</v>
      </c>
      <c r="M79" s="21"/>
      <c r="N79" s="21"/>
      <c r="O79" s="22"/>
    </row>
    <row r="80" spans="10:15" ht="15.75" customHeight="1">
      <c r="J80" s="26">
        <f t="shared" si="4"/>
        <v>44567</v>
      </c>
      <c r="K80" s="3">
        <v>3</v>
      </c>
      <c r="L80" s="20">
        <f t="shared" ca="1" si="3"/>
        <v>401.2</v>
      </c>
      <c r="M80" s="21"/>
      <c r="N80" s="21"/>
      <c r="O80" s="22"/>
    </row>
    <row r="81" spans="10:15" ht="15.75" customHeight="1">
      <c r="J81" s="26">
        <f t="shared" si="4"/>
        <v>44567</v>
      </c>
      <c r="K81" s="3">
        <v>4</v>
      </c>
      <c r="L81" s="20">
        <f t="shared" ca="1" si="3"/>
        <v>386.43</v>
      </c>
      <c r="M81" s="21"/>
      <c r="N81" s="21"/>
      <c r="O81" s="22"/>
    </row>
    <row r="82" spans="10:15" ht="15.75" customHeight="1">
      <c r="J82" s="26">
        <f t="shared" si="4"/>
        <v>44567</v>
      </c>
      <c r="K82" s="3">
        <v>6</v>
      </c>
      <c r="L82" s="20">
        <f t="shared" ca="1" si="3"/>
        <v>396.93</v>
      </c>
      <c r="M82" s="21">
        <f ca="1">IF(TODAY()&lt;$J82,"",IF(($O$3-$J82)*0.1+$O$4&lt;0,0,($O$3-$J82)*0.1+$O$4))</f>
        <v>5.35</v>
      </c>
      <c r="N82" s="21">
        <f ca="1">IF(TODAY()&lt;$J82,"",IF(($O$3-$J82)*0.1+$O$5&lt;0,0,($O$3-$J82)*0.1+$O$5))</f>
        <v>3.45</v>
      </c>
      <c r="O82" s="22"/>
    </row>
    <row r="83" spans="10:15" ht="15.75" customHeight="1">
      <c r="J83" s="26">
        <f t="shared" si="4"/>
        <v>44567</v>
      </c>
      <c r="K83" s="3">
        <v>7</v>
      </c>
      <c r="L83" s="23">
        <f t="shared" ca="1" si="3"/>
        <v>2960900</v>
      </c>
      <c r="M83" s="21"/>
      <c r="N83" s="21"/>
      <c r="O83" s="22"/>
    </row>
    <row r="84" spans="10:15" ht="15.75" customHeight="1">
      <c r="J84" s="26">
        <f t="shared" si="4"/>
        <v>44567</v>
      </c>
      <c r="K84" s="3" t="s">
        <v>15</v>
      </c>
      <c r="L84" s="24" t="str">
        <f t="shared" ca="1" si="3"/>
        <v/>
      </c>
      <c r="M84" s="21"/>
      <c r="N84" s="21"/>
      <c r="O84" s="22">
        <f ca="1">IF(TODAY()&lt;$J84,"",($O$3-$J84)*0.05+$O$6)</f>
        <v>12.09</v>
      </c>
    </row>
    <row r="85" spans="10:15" ht="15.75" customHeight="1">
      <c r="J85" s="26">
        <f t="shared" si="4"/>
        <v>44567</v>
      </c>
      <c r="K85" s="3" t="s">
        <v>15</v>
      </c>
      <c r="L85" s="24" t="str">
        <f t="shared" ca="1" si="3"/>
        <v/>
      </c>
      <c r="M85" s="21"/>
      <c r="N85" s="21"/>
      <c r="O85" s="22">
        <f ca="1">IF(TODAY()&lt;$J85,"",($O$3-$J84)*0.05+$P$6)</f>
        <v>14.510000000000002</v>
      </c>
    </row>
    <row r="86" spans="10:15" ht="15.75" customHeight="1">
      <c r="J86" s="26">
        <f t="shared" si="4"/>
        <v>44568</v>
      </c>
      <c r="K86" s="3">
        <v>2</v>
      </c>
      <c r="L86" s="20">
        <f t="shared" ca="1" si="3"/>
        <v>397.67</v>
      </c>
      <c r="M86" s="21"/>
      <c r="N86" s="21"/>
      <c r="O86" s="22"/>
    </row>
    <row r="87" spans="10:15" ht="15.75" customHeight="1">
      <c r="J87" s="26">
        <f t="shared" si="4"/>
        <v>44568</v>
      </c>
      <c r="K87" s="3">
        <v>3</v>
      </c>
      <c r="L87" s="20">
        <f t="shared" ca="1" si="3"/>
        <v>400.55</v>
      </c>
      <c r="M87" s="21"/>
      <c r="N87" s="21"/>
      <c r="O87" s="22"/>
    </row>
    <row r="88" spans="10:15" ht="15.75" customHeight="1">
      <c r="J88" s="26">
        <f t="shared" si="4"/>
        <v>44568</v>
      </c>
      <c r="K88" s="3">
        <v>4</v>
      </c>
      <c r="L88" s="20">
        <f t="shared" ca="1" si="3"/>
        <v>394.53</v>
      </c>
      <c r="M88" s="21"/>
      <c r="N88" s="21"/>
      <c r="O88" s="22"/>
    </row>
    <row r="89" spans="10:15" ht="13">
      <c r="J89" s="26">
        <f t="shared" si="4"/>
        <v>44568</v>
      </c>
      <c r="K89" s="3">
        <v>6</v>
      </c>
      <c r="L89" s="20">
        <f t="shared" ca="1" si="3"/>
        <v>397.51</v>
      </c>
      <c r="M89" s="21">
        <f ca="1">IF(TODAY()&lt;$J89,"",IF(($O$3-$J89)*0.1+$O$4&lt;0,0,($O$3-$J89)*0.1+$O$4))</f>
        <v>5.25</v>
      </c>
      <c r="N89" s="21">
        <f ca="1">IF(TODAY()&lt;$J89,"",IF(($O$3-$J89)*0.1+$O$5&lt;0,0,($O$3-$J89)*0.1+$O$5))</f>
        <v>3.35</v>
      </c>
      <c r="O89" s="22"/>
    </row>
    <row r="90" spans="10:15" ht="13">
      <c r="J90" s="26">
        <f t="shared" si="4"/>
        <v>44568</v>
      </c>
      <c r="K90" s="3">
        <v>7</v>
      </c>
      <c r="L90" s="23">
        <f t="shared" ca="1" si="3"/>
        <v>2359800</v>
      </c>
      <c r="M90" s="21"/>
      <c r="N90" s="21"/>
      <c r="O90" s="22"/>
    </row>
    <row r="91" spans="10:15" ht="13">
      <c r="J91" s="26">
        <f t="shared" si="4"/>
        <v>44568</v>
      </c>
      <c r="K91" s="3" t="s">
        <v>15</v>
      </c>
      <c r="L91" s="24" t="str">
        <f t="shared" ca="1" si="3"/>
        <v/>
      </c>
      <c r="M91" s="21"/>
      <c r="N91" s="21"/>
      <c r="O91" s="22">
        <f ca="1">IF(TODAY()&lt;$J91,"",($O$3-$J91)*0.05+$O$6)</f>
        <v>12.04</v>
      </c>
    </row>
    <row r="92" spans="10:15" ht="13">
      <c r="J92" s="26">
        <f t="shared" si="4"/>
        <v>44568</v>
      </c>
      <c r="K92" s="3" t="s">
        <v>15</v>
      </c>
      <c r="L92" s="24" t="str">
        <f t="shared" ca="1" si="3"/>
        <v/>
      </c>
      <c r="M92" s="21"/>
      <c r="N92" s="21"/>
      <c r="O92" s="22">
        <f ca="1">IF(TODAY()&lt;$J92,"",($O$3-$J91)*0.05+$P$6)</f>
        <v>14.46</v>
      </c>
    </row>
    <row r="93" spans="10:15" ht="13">
      <c r="J93" s="26">
        <f t="shared" si="4"/>
        <v>44569</v>
      </c>
      <c r="K93" s="3">
        <v>2</v>
      </c>
      <c r="L93" s="20">
        <f t="shared" ca="1" si="3"/>
        <v>397.67</v>
      </c>
      <c r="M93" s="21"/>
      <c r="N93" s="21"/>
      <c r="O93" s="22"/>
    </row>
    <row r="94" spans="10:15" ht="13">
      <c r="J94" s="26">
        <f t="shared" si="4"/>
        <v>44569</v>
      </c>
      <c r="K94" s="3">
        <v>3</v>
      </c>
      <c r="L94" s="20">
        <f t="shared" ca="1" si="3"/>
        <v>400.55</v>
      </c>
      <c r="M94" s="21"/>
      <c r="N94" s="21"/>
      <c r="O94" s="22"/>
    </row>
    <row r="95" spans="10:15" ht="13">
      <c r="J95" s="26">
        <f t="shared" si="4"/>
        <v>44569</v>
      </c>
      <c r="K95" s="3">
        <v>4</v>
      </c>
      <c r="L95" s="20">
        <f t="shared" ca="1" si="3"/>
        <v>394.53</v>
      </c>
      <c r="M95" s="21"/>
      <c r="N95" s="21"/>
      <c r="O95" s="22"/>
    </row>
    <row r="96" spans="10:15" ht="13">
      <c r="J96" s="26">
        <f t="shared" si="4"/>
        <v>44569</v>
      </c>
      <c r="K96" s="3">
        <v>6</v>
      </c>
      <c r="L96" s="20">
        <f t="shared" ca="1" si="3"/>
        <v>397.51</v>
      </c>
      <c r="M96" s="21">
        <f ca="1">IF(TODAY()&lt;$J96,"",IF(($O$3-$J96)*0.1+$O$4&lt;0,0,($O$3-$J96)*0.1+$O$4))</f>
        <v>5.15</v>
      </c>
      <c r="N96" s="21">
        <f ca="1">IF(TODAY()&lt;$J96,"",IF(($O$3-$J96)*0.1+$O$5&lt;0,0,($O$3-$J96)*0.1+$O$5))</f>
        <v>3.2500000000000004</v>
      </c>
      <c r="O96" s="22"/>
    </row>
    <row r="97" spans="10:15" ht="13">
      <c r="J97" s="26">
        <f t="shared" si="4"/>
        <v>44569</v>
      </c>
      <c r="K97" s="3">
        <v>7</v>
      </c>
      <c r="L97" s="23">
        <f t="shared" ca="1" si="3"/>
        <v>2359800</v>
      </c>
      <c r="M97" s="21"/>
      <c r="N97" s="21"/>
      <c r="O97" s="22"/>
    </row>
    <row r="98" spans="10:15" ht="13">
      <c r="J98" s="26">
        <f t="shared" si="4"/>
        <v>44569</v>
      </c>
      <c r="K98" s="3" t="s">
        <v>15</v>
      </c>
      <c r="L98" s="24" t="str">
        <f t="shared" ca="1" si="3"/>
        <v/>
      </c>
      <c r="M98" s="21"/>
      <c r="N98" s="21"/>
      <c r="O98" s="22">
        <f ca="1">IF(TODAY()&lt;$J98,"",($O$3-$J98)*0.05+$O$6)</f>
        <v>11.989999999999998</v>
      </c>
    </row>
    <row r="99" spans="10:15" ht="13">
      <c r="J99" s="26">
        <f t="shared" si="4"/>
        <v>44569</v>
      </c>
      <c r="K99" s="3" t="s">
        <v>15</v>
      </c>
      <c r="L99" s="24" t="str">
        <f t="shared" ca="1" si="3"/>
        <v/>
      </c>
      <c r="M99" s="21"/>
      <c r="N99" s="21"/>
      <c r="O99" s="22">
        <f ca="1">IF(TODAY()&lt;$J99,"",($O$3-$J98)*0.05+$P$6)</f>
        <v>14.41</v>
      </c>
    </row>
    <row r="100" spans="10:15" ht="13">
      <c r="J100" s="26">
        <f t="shared" si="4"/>
        <v>44570</v>
      </c>
      <c r="K100" s="3">
        <v>2</v>
      </c>
      <c r="L100" s="20">
        <f t="shared" ca="1" si="3"/>
        <v>397.67</v>
      </c>
      <c r="M100" s="21"/>
      <c r="N100" s="21"/>
      <c r="O100" s="22"/>
    </row>
    <row r="101" spans="10:15" ht="13">
      <c r="J101" s="26">
        <f t="shared" si="4"/>
        <v>44570</v>
      </c>
      <c r="K101" s="3">
        <v>3</v>
      </c>
      <c r="L101" s="20">
        <f t="shared" ca="1" si="3"/>
        <v>400.55</v>
      </c>
      <c r="M101" s="21"/>
      <c r="N101" s="21"/>
      <c r="O101" s="22"/>
    </row>
    <row r="102" spans="10:15" ht="13">
      <c r="J102" s="26">
        <f t="shared" si="4"/>
        <v>44570</v>
      </c>
      <c r="K102" s="3">
        <v>4</v>
      </c>
      <c r="L102" s="20">
        <f t="shared" ca="1" si="3"/>
        <v>394.53</v>
      </c>
      <c r="M102" s="21"/>
      <c r="N102" s="21"/>
      <c r="O102" s="22"/>
    </row>
    <row r="103" spans="10:15" ht="13">
      <c r="J103" s="26">
        <f t="shared" si="4"/>
        <v>44570</v>
      </c>
      <c r="K103" s="3">
        <v>6</v>
      </c>
      <c r="L103" s="20">
        <f t="shared" ca="1" si="3"/>
        <v>397.51</v>
      </c>
      <c r="M103" s="21">
        <f ca="1">IF(TODAY()&lt;$J103,"",IF(($O$3-$J103)*0.1+$O$4&lt;0,0,($O$3-$J103)*0.1+$O$4))</f>
        <v>5.0500000000000007</v>
      </c>
      <c r="N103" s="21">
        <f ca="1">IF(TODAY()&lt;$J103,"",IF(($O$3-$J103)*0.1+$O$5&lt;0,0,($O$3-$J103)*0.1+$O$5))</f>
        <v>3.1500000000000004</v>
      </c>
      <c r="O103" s="22"/>
    </row>
    <row r="104" spans="10:15" ht="13">
      <c r="J104" s="26">
        <f t="shared" si="4"/>
        <v>44570</v>
      </c>
      <c r="K104" s="3">
        <v>7</v>
      </c>
      <c r="L104" s="23">
        <f t="shared" ca="1" si="3"/>
        <v>2359800</v>
      </c>
      <c r="M104" s="21"/>
      <c r="N104" s="21"/>
      <c r="O104" s="22"/>
    </row>
    <row r="105" spans="10:15" ht="13">
      <c r="J105" s="26">
        <f t="shared" si="4"/>
        <v>44570</v>
      </c>
      <c r="K105" s="3" t="s">
        <v>15</v>
      </c>
      <c r="L105" s="24" t="str">
        <f t="shared" ca="1" si="3"/>
        <v/>
      </c>
      <c r="M105" s="21"/>
      <c r="N105" s="21"/>
      <c r="O105" s="22">
        <f ca="1">IF(TODAY()&lt;$J105,"",($O$3-$J105)*0.05+$O$6)</f>
        <v>11.94</v>
      </c>
    </row>
    <row r="106" spans="10:15" ht="13">
      <c r="J106" s="26">
        <f t="shared" si="4"/>
        <v>44570</v>
      </c>
      <c r="K106" s="3" t="s">
        <v>15</v>
      </c>
      <c r="L106" s="24" t="str">
        <f t="shared" ca="1" si="3"/>
        <v/>
      </c>
      <c r="M106" s="21"/>
      <c r="N106" s="21"/>
      <c r="O106" s="22">
        <f ca="1">IF(TODAY()&lt;$J106,"",($O$3-$J105)*0.05+$P$6)</f>
        <v>14.360000000000001</v>
      </c>
    </row>
    <row r="107" spans="10:15" ht="13">
      <c r="J107" s="26">
        <f t="shared" si="4"/>
        <v>44571</v>
      </c>
      <c r="K107" s="3">
        <v>2</v>
      </c>
      <c r="L107" s="20">
        <f t="shared" ca="1" si="3"/>
        <v>401.32</v>
      </c>
      <c r="M107" s="21"/>
      <c r="N107" s="21"/>
      <c r="O107" s="22"/>
    </row>
    <row r="108" spans="10:15" ht="13">
      <c r="J108" s="26">
        <f t="shared" si="4"/>
        <v>44571</v>
      </c>
      <c r="K108" s="3">
        <v>3</v>
      </c>
      <c r="L108" s="20">
        <f t="shared" ca="1" si="3"/>
        <v>404.37</v>
      </c>
      <c r="M108" s="21"/>
      <c r="N108" s="21"/>
      <c r="O108" s="22"/>
    </row>
    <row r="109" spans="10:15" ht="13">
      <c r="J109" s="26">
        <f t="shared" si="4"/>
        <v>44571</v>
      </c>
      <c r="K109" s="3">
        <v>4</v>
      </c>
      <c r="L109" s="20">
        <f t="shared" ca="1" si="3"/>
        <v>394.22</v>
      </c>
      <c r="M109" s="21"/>
      <c r="N109" s="21"/>
      <c r="O109" s="22"/>
    </row>
    <row r="110" spans="10:15" ht="13">
      <c r="J110" s="26">
        <f t="shared" si="4"/>
        <v>44571</v>
      </c>
      <c r="K110" s="3">
        <v>6</v>
      </c>
      <c r="L110" s="20">
        <f t="shared" ca="1" si="3"/>
        <v>399.17</v>
      </c>
      <c r="M110" s="21">
        <f ca="1">IF(TODAY()&lt;$J110,"",IF(($O$3-$J110)*0.1+$O$4&lt;0,0,($O$3-$J110)*0.1+$O$4))</f>
        <v>4.95</v>
      </c>
      <c r="N110" s="21">
        <f ca="1">IF(TODAY()&lt;$J110,"",IF(($O$3-$J110)*0.1+$O$5&lt;0,0,($O$3-$J110)*0.1+$O$5))</f>
        <v>3.0500000000000003</v>
      </c>
      <c r="O110" s="22"/>
    </row>
    <row r="111" spans="10:15" ht="13">
      <c r="J111" s="26">
        <f t="shared" si="4"/>
        <v>44571</v>
      </c>
      <c r="K111" s="3">
        <v>7</v>
      </c>
      <c r="L111" s="23">
        <f t="shared" ca="1" si="3"/>
        <v>3009400</v>
      </c>
      <c r="M111" s="21"/>
      <c r="N111" s="21"/>
      <c r="O111" s="22"/>
    </row>
    <row r="112" spans="10:15" ht="13">
      <c r="J112" s="26">
        <f t="shared" si="4"/>
        <v>44571</v>
      </c>
      <c r="K112" s="3" t="s">
        <v>15</v>
      </c>
      <c r="L112" s="24" t="str">
        <f t="shared" ca="1" si="3"/>
        <v/>
      </c>
      <c r="M112" s="21"/>
      <c r="N112" s="21"/>
      <c r="O112" s="22">
        <f ca="1">IF(TODAY()&lt;$J112,"",($O$3-$J112)*0.05+$O$6)</f>
        <v>11.889999999999999</v>
      </c>
    </row>
    <row r="113" spans="10:15" ht="13">
      <c r="J113" s="26">
        <f t="shared" si="4"/>
        <v>44571</v>
      </c>
      <c r="K113" s="3" t="s">
        <v>15</v>
      </c>
      <c r="L113" s="24" t="str">
        <f t="shared" ca="1" si="3"/>
        <v/>
      </c>
      <c r="M113" s="21"/>
      <c r="N113" s="21"/>
      <c r="O113" s="22">
        <f ca="1">IF(TODAY()&lt;$J113,"",($O$3-$J112)*0.05+$P$6)</f>
        <v>14.31</v>
      </c>
    </row>
    <row r="114" spans="10:15" ht="13">
      <c r="J114" s="26">
        <f t="shared" si="4"/>
        <v>44572</v>
      </c>
      <c r="K114" s="3">
        <v>2</v>
      </c>
      <c r="L114" s="20">
        <f t="shared" ca="1" si="3"/>
        <v>400.25</v>
      </c>
      <c r="M114" s="21"/>
      <c r="N114" s="21"/>
      <c r="O114" s="22"/>
    </row>
    <row r="115" spans="10:15" ht="13">
      <c r="J115" s="26">
        <f t="shared" si="4"/>
        <v>44572</v>
      </c>
      <c r="K115" s="3">
        <v>3</v>
      </c>
      <c r="L115" s="20">
        <f t="shared" ca="1" si="3"/>
        <v>403.34</v>
      </c>
      <c r="M115" s="21"/>
      <c r="N115" s="21"/>
      <c r="O115" s="22"/>
    </row>
    <row r="116" spans="10:15" ht="13">
      <c r="J116" s="26">
        <f t="shared" si="4"/>
        <v>44572</v>
      </c>
      <c r="K116" s="3">
        <v>4</v>
      </c>
      <c r="L116" s="20">
        <f t="shared" ca="1" si="3"/>
        <v>396.31</v>
      </c>
      <c r="M116" s="21"/>
      <c r="N116" s="21"/>
      <c r="O116" s="22"/>
    </row>
    <row r="117" spans="10:15" ht="13">
      <c r="J117" s="26">
        <f t="shared" si="4"/>
        <v>44572</v>
      </c>
      <c r="K117" s="3">
        <v>6</v>
      </c>
      <c r="L117" s="20">
        <f t="shared" ca="1" si="3"/>
        <v>403.05</v>
      </c>
      <c r="M117" s="21">
        <f ca="1">IF(TODAY()&lt;$J117,"",IF(($O$3-$J117)*0.1+$O$4&lt;0,0,($O$3-$J117)*0.1+$O$4))</f>
        <v>4.8499999999999996</v>
      </c>
      <c r="N117" s="21">
        <f ca="1">IF(TODAY()&lt;$J117,"",IF(($O$3-$J117)*0.1+$O$5&lt;0,0,($O$3-$J117)*0.1+$O$5))</f>
        <v>2.95</v>
      </c>
      <c r="O117" s="22"/>
    </row>
    <row r="118" spans="10:15" ht="13">
      <c r="J118" s="26">
        <f t="shared" si="4"/>
        <v>44572</v>
      </c>
      <c r="K118" s="3">
        <v>7</v>
      </c>
      <c r="L118" s="23">
        <f t="shared" ca="1" si="3"/>
        <v>1748800</v>
      </c>
      <c r="M118" s="21"/>
      <c r="N118" s="21"/>
      <c r="O118" s="22"/>
    </row>
    <row r="119" spans="10:15" ht="13">
      <c r="J119" s="26">
        <f t="shared" si="4"/>
        <v>44572</v>
      </c>
      <c r="K119" s="3" t="s">
        <v>15</v>
      </c>
      <c r="L119" s="24" t="str">
        <f t="shared" ca="1" si="3"/>
        <v/>
      </c>
      <c r="M119" s="21"/>
      <c r="N119" s="21"/>
      <c r="O119" s="22">
        <f ca="1">IF(TODAY()&lt;$J119,"",($O$3-$J119)*0.05+$O$6)</f>
        <v>11.84</v>
      </c>
    </row>
    <row r="120" spans="10:15" ht="13">
      <c r="J120" s="26">
        <f t="shared" si="4"/>
        <v>44572</v>
      </c>
      <c r="K120" s="3" t="s">
        <v>15</v>
      </c>
      <c r="L120" s="24" t="str">
        <f t="shared" ca="1" si="3"/>
        <v/>
      </c>
      <c r="M120" s="21"/>
      <c r="N120" s="21"/>
      <c r="O120" s="22">
        <f ca="1">IF(TODAY()&lt;$J120,"",($O$3-$J119)*0.05+$P$6)</f>
        <v>14.260000000000002</v>
      </c>
    </row>
    <row r="121" spans="10:15" ht="13">
      <c r="J121" s="26">
        <f t="shared" si="4"/>
        <v>44573</v>
      </c>
      <c r="K121" s="3">
        <v>2</v>
      </c>
      <c r="L121" s="20">
        <f t="shared" ca="1" si="3"/>
        <v>403.24</v>
      </c>
      <c r="M121" s="21"/>
      <c r="N121" s="21"/>
      <c r="O121" s="22"/>
    </row>
    <row r="122" spans="10:15" ht="13">
      <c r="J122" s="26">
        <f t="shared" si="4"/>
        <v>44573</v>
      </c>
      <c r="K122" s="3">
        <v>3</v>
      </c>
      <c r="L122" s="20">
        <f t="shared" ca="1" si="3"/>
        <v>404.12</v>
      </c>
      <c r="M122" s="21"/>
      <c r="N122" s="21"/>
      <c r="O122" s="22"/>
    </row>
    <row r="123" spans="10:15" ht="13">
      <c r="J123" s="26">
        <f t="shared" si="4"/>
        <v>44573</v>
      </c>
      <c r="K123" s="3">
        <v>4</v>
      </c>
      <c r="L123" s="20">
        <f t="shared" ca="1" si="3"/>
        <v>388.56</v>
      </c>
      <c r="M123" s="21"/>
      <c r="N123" s="21"/>
      <c r="O123" s="22"/>
    </row>
    <row r="124" spans="10:15" ht="13">
      <c r="J124" s="26">
        <f t="shared" si="4"/>
        <v>44573</v>
      </c>
      <c r="K124" s="3">
        <v>6</v>
      </c>
      <c r="L124" s="20">
        <f t="shared" ca="1" si="3"/>
        <v>390.31</v>
      </c>
      <c r="M124" s="21">
        <f ca="1">IF(TODAY()&lt;$J124,"",IF(($O$3-$J124)*0.1+$O$4&lt;0,0,($O$3-$J124)*0.1+$O$4))</f>
        <v>4.75</v>
      </c>
      <c r="N124" s="21">
        <f ca="1">IF(TODAY()&lt;$J124,"",IF(($O$3-$J124)*0.1+$O$5&lt;0,0,($O$3-$J124)*0.1+$O$5))</f>
        <v>2.85</v>
      </c>
      <c r="O124" s="22"/>
    </row>
    <row r="125" spans="10:15" ht="13">
      <c r="J125" s="26">
        <f t="shared" si="4"/>
        <v>44573</v>
      </c>
      <c r="K125" s="3">
        <v>7</v>
      </c>
      <c r="L125" s="23">
        <f t="shared" ca="1" si="3"/>
        <v>4158000</v>
      </c>
      <c r="M125" s="21"/>
      <c r="N125" s="21"/>
      <c r="O125" s="22"/>
    </row>
    <row r="126" spans="10:15" ht="13">
      <c r="J126" s="26">
        <f t="shared" si="4"/>
        <v>44573</v>
      </c>
      <c r="K126" s="3" t="s">
        <v>15</v>
      </c>
      <c r="L126" s="24" t="str">
        <f t="shared" ca="1" si="3"/>
        <v/>
      </c>
      <c r="M126" s="21"/>
      <c r="N126" s="21"/>
      <c r="O126" s="22">
        <f ca="1">IF(TODAY()&lt;$J126,"",($O$3-$J126)*0.05+$O$6)</f>
        <v>11.79</v>
      </c>
    </row>
    <row r="127" spans="10:15" ht="13">
      <c r="J127" s="26">
        <f t="shared" si="4"/>
        <v>44573</v>
      </c>
      <c r="K127" s="3" t="s">
        <v>15</v>
      </c>
      <c r="L127" s="24" t="str">
        <f t="shared" ca="1" si="3"/>
        <v/>
      </c>
      <c r="M127" s="21"/>
      <c r="N127" s="21"/>
      <c r="O127" s="22">
        <f ca="1">IF(TODAY()&lt;$J127,"",($O$3-$J126)*0.05+$P$6)</f>
        <v>14.21</v>
      </c>
    </row>
    <row r="128" spans="10:15" ht="13">
      <c r="J128" s="26">
        <f t="shared" si="4"/>
        <v>44574</v>
      </c>
      <c r="K128" s="3">
        <v>2</v>
      </c>
      <c r="L128" s="20">
        <f t="shared" ca="1" si="3"/>
        <v>394.05</v>
      </c>
      <c r="M128" s="21"/>
      <c r="N128" s="21"/>
      <c r="O128" s="22"/>
    </row>
    <row r="129" spans="10:15" ht="13">
      <c r="J129" s="26">
        <f t="shared" si="4"/>
        <v>44574</v>
      </c>
      <c r="K129" s="3">
        <v>3</v>
      </c>
      <c r="L129" s="20">
        <f t="shared" ca="1" si="3"/>
        <v>396.87</v>
      </c>
      <c r="M129" s="21"/>
      <c r="N129" s="21"/>
      <c r="O129" s="22"/>
    </row>
    <row r="130" spans="10:15" ht="13">
      <c r="J130" s="26">
        <f t="shared" si="4"/>
        <v>44574</v>
      </c>
      <c r="K130" s="3">
        <v>4</v>
      </c>
      <c r="L130" s="20">
        <f t="shared" ca="1" si="3"/>
        <v>389.75</v>
      </c>
      <c r="M130" s="21"/>
      <c r="N130" s="21"/>
      <c r="O130" s="22"/>
    </row>
    <row r="131" spans="10:15" ht="13">
      <c r="J131" s="26">
        <f t="shared" si="4"/>
        <v>44574</v>
      </c>
      <c r="K131" s="3">
        <v>6</v>
      </c>
      <c r="L131" s="20">
        <f t="shared" ca="1" si="3"/>
        <v>390.8</v>
      </c>
      <c r="M131" s="21">
        <f ca="1">IF(TODAY()&lt;$J131,"",IF(($O$3-$J131)*0.1+$O$4&lt;0,0,($O$3-$J131)*0.1+$O$4))</f>
        <v>4.6500000000000004</v>
      </c>
      <c r="N131" s="21">
        <f ca="1">IF(TODAY()&lt;$J131,"",IF(($O$3-$J131)*0.1+$O$5&lt;0,0,($O$3-$J131)*0.1+$O$5))</f>
        <v>2.75</v>
      </c>
      <c r="O131" s="22"/>
    </row>
    <row r="132" spans="10:15" ht="13">
      <c r="J132" s="26">
        <f t="shared" si="4"/>
        <v>44574</v>
      </c>
      <c r="K132" s="3">
        <v>7</v>
      </c>
      <c r="L132" s="23">
        <f t="shared" ca="1" si="3"/>
        <v>2497800</v>
      </c>
      <c r="M132" s="21"/>
      <c r="N132" s="21"/>
      <c r="O132" s="22"/>
    </row>
    <row r="133" spans="10:15" ht="13">
      <c r="J133" s="26">
        <f t="shared" si="4"/>
        <v>44574</v>
      </c>
      <c r="K133" s="3" t="s">
        <v>15</v>
      </c>
      <c r="L133" s="24" t="str">
        <f t="shared" ca="1" si="3"/>
        <v/>
      </c>
      <c r="M133" s="21"/>
      <c r="N133" s="21"/>
      <c r="O133" s="22">
        <f ca="1">IF(TODAY()&lt;$J133,"",($O$3-$J133)*0.05+$O$6)</f>
        <v>11.739999999999998</v>
      </c>
    </row>
    <row r="134" spans="10:15" ht="13">
      <c r="J134" s="26">
        <f t="shared" si="4"/>
        <v>44574</v>
      </c>
      <c r="K134" s="3" t="s">
        <v>15</v>
      </c>
      <c r="L134" s="24" t="str">
        <f t="shared" ca="1" si="3"/>
        <v/>
      </c>
      <c r="M134" s="21"/>
      <c r="N134" s="21"/>
      <c r="O134" s="22">
        <f ca="1">IF(TODAY()&lt;$J134,"",($O$3-$J133)*0.05+$P$6)</f>
        <v>14.16</v>
      </c>
    </row>
    <row r="135" spans="10:15" ht="13">
      <c r="J135" s="26">
        <f t="shared" si="4"/>
        <v>44575</v>
      </c>
      <c r="K135" s="3">
        <v>2</v>
      </c>
      <c r="L135" s="20">
        <f t="shared" ca="1" si="3"/>
        <v>382.13</v>
      </c>
      <c r="M135" s="21"/>
      <c r="N135" s="21"/>
      <c r="O135" s="22"/>
    </row>
    <row r="136" spans="10:15" ht="13">
      <c r="J136" s="26">
        <f t="shared" si="4"/>
        <v>44575</v>
      </c>
      <c r="K136" s="3">
        <v>3</v>
      </c>
      <c r="L136" s="20">
        <f t="shared" ca="1" si="3"/>
        <v>384.39</v>
      </c>
      <c r="M136" s="21"/>
      <c r="N136" s="21"/>
      <c r="O136" s="22"/>
    </row>
    <row r="137" spans="10:15" ht="13">
      <c r="J137" s="26">
        <f t="shared" si="4"/>
        <v>44575</v>
      </c>
      <c r="K137" s="3">
        <v>4</v>
      </c>
      <c r="L137" s="20">
        <f t="shared" ca="1" si="3"/>
        <v>375</v>
      </c>
      <c r="M137" s="21"/>
      <c r="N137" s="21"/>
      <c r="O137" s="22"/>
    </row>
    <row r="138" spans="10:15" ht="13">
      <c r="J138" s="26">
        <f t="shared" si="4"/>
        <v>44575</v>
      </c>
      <c r="K138" s="3">
        <v>6</v>
      </c>
      <c r="L138" s="20">
        <f t="shared" ca="1" si="3"/>
        <v>380.94</v>
      </c>
      <c r="M138" s="21">
        <f ca="1">IF(TODAY()&lt;$J138,"",IF(($O$3-$J138)*0.1+$O$4&lt;0,0,($O$3-$J138)*0.1+$O$4))</f>
        <v>4.55</v>
      </c>
      <c r="N138" s="21">
        <f ca="1">IF(TODAY()&lt;$J138,"",IF(($O$3-$J138)*0.1+$O$5&lt;0,0,($O$3-$J138)*0.1+$O$5))</f>
        <v>2.65</v>
      </c>
      <c r="O138" s="22"/>
    </row>
    <row r="139" spans="10:15" ht="13">
      <c r="J139" s="26">
        <f t="shared" si="4"/>
        <v>44575</v>
      </c>
      <c r="K139" s="3">
        <v>7</v>
      </c>
      <c r="L139" s="23">
        <f t="shared" ca="1" si="3"/>
        <v>4682000</v>
      </c>
      <c r="M139" s="21"/>
      <c r="N139" s="21"/>
      <c r="O139" s="22"/>
    </row>
    <row r="140" spans="10:15" ht="13">
      <c r="J140" s="26">
        <f t="shared" si="4"/>
        <v>44575</v>
      </c>
      <c r="K140" s="3" t="s">
        <v>15</v>
      </c>
      <c r="L140" s="24" t="str">
        <f t="shared" ca="1" si="3"/>
        <v/>
      </c>
      <c r="M140" s="21"/>
      <c r="N140" s="21"/>
      <c r="O140" s="22">
        <f ca="1">IF(TODAY()&lt;$J140,"",($O$3-$J140)*0.05+$O$6)</f>
        <v>11.69</v>
      </c>
    </row>
    <row r="141" spans="10:15" ht="13">
      <c r="J141" s="26">
        <f t="shared" si="4"/>
        <v>44575</v>
      </c>
      <c r="K141" s="3" t="s">
        <v>15</v>
      </c>
      <c r="L141" s="24" t="str">
        <f t="shared" ca="1" si="3"/>
        <v/>
      </c>
      <c r="M141" s="21"/>
      <c r="N141" s="21"/>
      <c r="O141" s="22">
        <f ca="1">IF(TODAY()&lt;$J141,"",($O$3-$J140)*0.05+$P$6)</f>
        <v>14.110000000000001</v>
      </c>
    </row>
    <row r="142" spans="10:15" ht="13">
      <c r="J142" s="26">
        <f t="shared" si="4"/>
        <v>44576</v>
      </c>
      <c r="K142" s="3">
        <v>2</v>
      </c>
      <c r="L142" s="20">
        <f t="shared" ca="1" si="3"/>
        <v>382.13</v>
      </c>
      <c r="M142" s="21"/>
      <c r="N142" s="21"/>
      <c r="O142" s="22"/>
    </row>
    <row r="143" spans="10:15" ht="13">
      <c r="J143" s="26">
        <f t="shared" si="4"/>
        <v>44576</v>
      </c>
      <c r="K143" s="3">
        <v>3</v>
      </c>
      <c r="L143" s="20">
        <f t="shared" ca="1" si="3"/>
        <v>384.39</v>
      </c>
      <c r="M143" s="21"/>
      <c r="N143" s="21"/>
      <c r="O143" s="22"/>
    </row>
    <row r="144" spans="10:15" ht="13">
      <c r="J144" s="26">
        <f t="shared" si="4"/>
        <v>44576</v>
      </c>
      <c r="K144" s="3">
        <v>4</v>
      </c>
      <c r="L144" s="20">
        <f t="shared" ca="1" si="3"/>
        <v>375</v>
      </c>
      <c r="M144" s="21"/>
      <c r="N144" s="21"/>
      <c r="O144" s="22"/>
    </row>
    <row r="145" spans="10:15" ht="13">
      <c r="J145" s="26">
        <f t="shared" si="4"/>
        <v>44576</v>
      </c>
      <c r="K145" s="3">
        <v>6</v>
      </c>
      <c r="L145" s="20">
        <f t="shared" ca="1" si="3"/>
        <v>380.94</v>
      </c>
      <c r="M145" s="21">
        <f ca="1">IF(TODAY()&lt;$J145,"",IF(($O$3-$J145)*0.1+$O$4&lt;0,0,($O$3-$J145)*0.1+$O$4))</f>
        <v>4.45</v>
      </c>
      <c r="N145" s="21">
        <f ca="1">IF(TODAY()&lt;$J145,"",IF(($O$3-$J145)*0.1+$O$5&lt;0,0,($O$3-$J145)*0.1+$O$5))</f>
        <v>2.5500000000000003</v>
      </c>
      <c r="O145" s="22"/>
    </row>
    <row r="146" spans="10:15" ht="13">
      <c r="J146" s="26">
        <f t="shared" si="4"/>
        <v>44576</v>
      </c>
      <c r="K146" s="3">
        <v>7</v>
      </c>
      <c r="L146" s="23">
        <f t="shared" ca="1" si="3"/>
        <v>4682000</v>
      </c>
      <c r="M146" s="21"/>
      <c r="N146" s="21"/>
      <c r="O146" s="22"/>
    </row>
    <row r="147" spans="10:15" ht="13">
      <c r="J147" s="26">
        <f t="shared" si="4"/>
        <v>44576</v>
      </c>
      <c r="K147" s="3" t="s">
        <v>15</v>
      </c>
      <c r="L147" s="24" t="str">
        <f t="shared" ca="1" si="3"/>
        <v/>
      </c>
      <c r="M147" s="21"/>
      <c r="N147" s="21"/>
      <c r="O147" s="22">
        <f ca="1">IF(TODAY()&lt;$J147,"",($O$3-$J147)*0.05+$O$6)</f>
        <v>11.639999999999999</v>
      </c>
    </row>
    <row r="148" spans="10:15" ht="13">
      <c r="J148" s="26">
        <f t="shared" si="4"/>
        <v>44576</v>
      </c>
      <c r="K148" s="3" t="s">
        <v>15</v>
      </c>
      <c r="L148" s="24" t="str">
        <f t="shared" ca="1" si="3"/>
        <v/>
      </c>
      <c r="M148" s="21"/>
      <c r="N148" s="21"/>
      <c r="O148" s="22">
        <f ca="1">IF(TODAY()&lt;$J148,"",($O$3-$J147)*0.05+$P$6)</f>
        <v>14.06</v>
      </c>
    </row>
    <row r="149" spans="10:15" ht="13">
      <c r="J149" s="26">
        <f t="shared" si="4"/>
        <v>44577</v>
      </c>
      <c r="K149" s="3">
        <v>2</v>
      </c>
      <c r="L149" s="20">
        <f t="shared" ca="1" si="3"/>
        <v>382.13</v>
      </c>
      <c r="M149" s="21"/>
      <c r="N149" s="21"/>
      <c r="O149" s="22"/>
    </row>
    <row r="150" spans="10:15" ht="13">
      <c r="J150" s="26">
        <f t="shared" si="4"/>
        <v>44577</v>
      </c>
      <c r="K150" s="3">
        <v>3</v>
      </c>
      <c r="L150" s="20">
        <f t="shared" ca="1" si="3"/>
        <v>384.39</v>
      </c>
      <c r="M150" s="21"/>
      <c r="N150" s="21"/>
      <c r="O150" s="22"/>
    </row>
    <row r="151" spans="10:15" ht="13">
      <c r="J151" s="26">
        <f t="shared" si="4"/>
        <v>44577</v>
      </c>
      <c r="K151" s="3">
        <v>4</v>
      </c>
      <c r="L151" s="20">
        <f t="shared" ca="1" si="3"/>
        <v>375</v>
      </c>
      <c r="M151" s="21"/>
      <c r="N151" s="21"/>
      <c r="O151" s="22"/>
    </row>
    <row r="152" spans="10:15" ht="13">
      <c r="J152" s="26">
        <f t="shared" si="4"/>
        <v>44577</v>
      </c>
      <c r="K152" s="3">
        <v>6</v>
      </c>
      <c r="L152" s="20">
        <f t="shared" ca="1" si="3"/>
        <v>380.94</v>
      </c>
      <c r="M152" s="21">
        <f ca="1">IF(TODAY()&lt;$J152,"",IF(($O$3-$J152)*0.1+$O$4&lt;0,0,($O$3-$J152)*0.1+$O$4))</f>
        <v>4.3499999999999996</v>
      </c>
      <c r="N152" s="21">
        <f ca="1">IF(TODAY()&lt;$J152,"",IF(($O$3-$J152)*0.1+$O$5&lt;0,0,($O$3-$J152)*0.1+$O$5))</f>
        <v>2.4500000000000002</v>
      </c>
      <c r="O152" s="22"/>
    </row>
    <row r="153" spans="10:15" ht="13">
      <c r="J153" s="26">
        <f t="shared" si="4"/>
        <v>44577</v>
      </c>
      <c r="K153" s="3">
        <v>7</v>
      </c>
      <c r="L153" s="23">
        <f t="shared" ca="1" si="3"/>
        <v>4682000</v>
      </c>
      <c r="M153" s="21"/>
      <c r="N153" s="21"/>
      <c r="O153" s="22"/>
    </row>
    <row r="154" spans="10:15" ht="13">
      <c r="J154" s="26">
        <f t="shared" si="4"/>
        <v>44577</v>
      </c>
      <c r="K154" s="3" t="s">
        <v>15</v>
      </c>
      <c r="L154" s="24" t="str">
        <f t="shared" ca="1" si="3"/>
        <v/>
      </c>
      <c r="M154" s="21"/>
      <c r="N154" s="21"/>
      <c r="O154" s="22">
        <f ca="1">IF(TODAY()&lt;$J154,"",($O$3-$J154)*0.05+$O$6)</f>
        <v>11.59</v>
      </c>
    </row>
    <row r="155" spans="10:15" ht="13">
      <c r="J155" s="26">
        <f t="shared" si="4"/>
        <v>44577</v>
      </c>
      <c r="K155" s="3" t="s">
        <v>15</v>
      </c>
      <c r="L155" s="24" t="str">
        <f t="shared" ca="1" si="3"/>
        <v/>
      </c>
      <c r="M155" s="21"/>
      <c r="N155" s="21"/>
      <c r="O155" s="22">
        <f ca="1">IF(TODAY()&lt;$J155,"",($O$3-$J154)*0.05+$P$6)</f>
        <v>14.010000000000002</v>
      </c>
    </row>
    <row r="156" spans="10:15" ht="13">
      <c r="J156" s="26">
        <f t="shared" si="4"/>
        <v>44578</v>
      </c>
      <c r="K156" s="3">
        <v>2</v>
      </c>
      <c r="L156" s="20">
        <f t="shared" ca="1" si="3"/>
        <v>382.13</v>
      </c>
      <c r="M156" s="21"/>
      <c r="N156" s="21"/>
      <c r="O156" s="22"/>
    </row>
    <row r="157" spans="10:15" ht="13">
      <c r="J157" s="26">
        <f t="shared" si="4"/>
        <v>44578</v>
      </c>
      <c r="K157" s="3">
        <v>3</v>
      </c>
      <c r="L157" s="20">
        <f t="shared" ca="1" si="3"/>
        <v>384.39</v>
      </c>
      <c r="M157" s="21"/>
      <c r="N157" s="21"/>
      <c r="O157" s="22"/>
    </row>
    <row r="158" spans="10:15" ht="13">
      <c r="J158" s="26">
        <f t="shared" si="4"/>
        <v>44578</v>
      </c>
      <c r="K158" s="3">
        <v>4</v>
      </c>
      <c r="L158" s="20">
        <f t="shared" ca="1" si="3"/>
        <v>375</v>
      </c>
      <c r="M158" s="21"/>
      <c r="N158" s="21"/>
      <c r="O158" s="22"/>
    </row>
    <row r="159" spans="10:15" ht="13">
      <c r="J159" s="26">
        <f t="shared" si="4"/>
        <v>44578</v>
      </c>
      <c r="K159" s="3">
        <v>6</v>
      </c>
      <c r="L159" s="20">
        <f t="shared" ca="1" si="3"/>
        <v>380.94</v>
      </c>
      <c r="M159" s="21">
        <f ca="1">IF(TODAY()&lt;$J159,"",IF(($O$3-$J159)*0.1+$O$4&lt;0,0,($O$3-$J159)*0.1+$O$4))</f>
        <v>4.25</v>
      </c>
      <c r="N159" s="21">
        <f ca="1">IF(TODAY()&lt;$J159,"",IF(($O$3-$J159)*0.1+$O$5&lt;0,0,($O$3-$J159)*0.1+$O$5))</f>
        <v>2.35</v>
      </c>
      <c r="O159" s="22"/>
    </row>
    <row r="160" spans="10:15" ht="13">
      <c r="J160" s="26">
        <f t="shared" si="4"/>
        <v>44578</v>
      </c>
      <c r="K160" s="3">
        <v>7</v>
      </c>
      <c r="L160" s="23">
        <f t="shared" ca="1" si="3"/>
        <v>4682000</v>
      </c>
      <c r="M160" s="21"/>
      <c r="N160" s="21"/>
      <c r="O160" s="22"/>
    </row>
    <row r="161" spans="10:15" ht="13">
      <c r="J161" s="26">
        <f t="shared" si="4"/>
        <v>44578</v>
      </c>
      <c r="K161" s="3" t="s">
        <v>15</v>
      </c>
      <c r="L161" s="24" t="str">
        <f t="shared" ca="1" si="3"/>
        <v/>
      </c>
      <c r="M161" s="21"/>
      <c r="N161" s="21"/>
      <c r="O161" s="22">
        <f ca="1">IF(TODAY()&lt;$J161,"",($O$3-$J161)*0.05+$O$6)</f>
        <v>11.54</v>
      </c>
    </row>
    <row r="162" spans="10:15" ht="13">
      <c r="J162" s="26">
        <f t="shared" si="4"/>
        <v>44578</v>
      </c>
      <c r="K162" s="3" t="s">
        <v>15</v>
      </c>
      <c r="L162" s="24" t="str">
        <f t="shared" ca="1" si="3"/>
        <v/>
      </c>
      <c r="M162" s="21"/>
      <c r="N162" s="21"/>
      <c r="O162" s="22">
        <f ca="1">IF(TODAY()&lt;$J162,"",($O$3-$J161)*0.05+$P$6)</f>
        <v>13.96</v>
      </c>
    </row>
    <row r="163" spans="10:15" ht="13">
      <c r="J163" s="26">
        <f t="shared" si="4"/>
        <v>44579</v>
      </c>
      <c r="K163" s="3">
        <v>2</v>
      </c>
      <c r="L163" s="20">
        <f t="shared" ca="1" si="3"/>
        <v>360.04</v>
      </c>
      <c r="M163" s="21"/>
      <c r="N163" s="21"/>
      <c r="O163" s="22"/>
    </row>
    <row r="164" spans="10:15" ht="13">
      <c r="J164" s="26">
        <f t="shared" si="4"/>
        <v>44579</v>
      </c>
      <c r="K164" s="3">
        <v>3</v>
      </c>
      <c r="L164" s="20">
        <f t="shared" ca="1" si="3"/>
        <v>361.57</v>
      </c>
      <c r="M164" s="21"/>
      <c r="N164" s="21"/>
      <c r="O164" s="22"/>
    </row>
    <row r="165" spans="10:15" ht="13">
      <c r="J165" s="26">
        <f t="shared" si="4"/>
        <v>44579</v>
      </c>
      <c r="K165" s="3">
        <v>4</v>
      </c>
      <c r="L165" s="20">
        <f t="shared" ca="1" si="3"/>
        <v>347.23</v>
      </c>
      <c r="M165" s="21"/>
      <c r="N165" s="21"/>
      <c r="O165" s="22"/>
    </row>
    <row r="166" spans="10:15" ht="13">
      <c r="J166" s="26">
        <f t="shared" si="4"/>
        <v>44579</v>
      </c>
      <c r="K166" s="3">
        <v>6</v>
      </c>
      <c r="L166" s="20">
        <f t="shared" ca="1" si="3"/>
        <v>354.4</v>
      </c>
      <c r="M166" s="21">
        <f ca="1">IF(TODAY()&lt;$J166,"",IF(($O$3-$J166)*0.1+$O$4&lt;0,0,($O$3-$J166)*0.1+$O$4))</f>
        <v>4.1500000000000004</v>
      </c>
      <c r="N166" s="21">
        <f ca="1">IF(TODAY()&lt;$J166,"",IF(($O$3-$J166)*0.1+$O$5&lt;0,0,($O$3-$J166)*0.1+$O$5))</f>
        <v>2.25</v>
      </c>
      <c r="O166" s="22"/>
    </row>
    <row r="167" spans="10:15" ht="13">
      <c r="J167" s="26">
        <f t="shared" si="4"/>
        <v>44579</v>
      </c>
      <c r="K167" s="3">
        <v>7</v>
      </c>
      <c r="L167" s="23">
        <f t="shared" ca="1" si="3"/>
        <v>13123500</v>
      </c>
      <c r="M167" s="21"/>
      <c r="N167" s="21"/>
      <c r="O167" s="22"/>
    </row>
    <row r="168" spans="10:15" ht="13">
      <c r="J168" s="26">
        <f t="shared" si="4"/>
        <v>44579</v>
      </c>
      <c r="K168" s="3" t="s">
        <v>15</v>
      </c>
      <c r="L168" s="24" t="str">
        <f t="shared" ca="1" si="3"/>
        <v/>
      </c>
      <c r="M168" s="21"/>
      <c r="N168" s="21"/>
      <c r="O168" s="22">
        <f ca="1">IF(TODAY()&lt;$J168,"",($O$3-$J168)*0.05+$O$6)</f>
        <v>11.489999999999998</v>
      </c>
    </row>
    <row r="169" spans="10:15" ht="13">
      <c r="J169" s="26">
        <f t="shared" si="4"/>
        <v>44579</v>
      </c>
      <c r="K169" s="3" t="s">
        <v>15</v>
      </c>
      <c r="L169" s="24" t="str">
        <f t="shared" ca="1" si="3"/>
        <v/>
      </c>
      <c r="M169" s="21"/>
      <c r="N169" s="21"/>
      <c r="O169" s="22">
        <f ca="1">IF(TODAY()&lt;$J169,"",($O$3-$J168)*0.05+$P$6)</f>
        <v>13.91</v>
      </c>
    </row>
    <row r="170" spans="10:15" ht="13">
      <c r="J170" s="26">
        <f t="shared" si="4"/>
        <v>44580</v>
      </c>
      <c r="K170" s="3">
        <v>2</v>
      </c>
      <c r="L170" s="20">
        <f t="shared" ca="1" si="3"/>
        <v>358.34</v>
      </c>
      <c r="M170" s="21"/>
      <c r="N170" s="21"/>
      <c r="O170" s="22"/>
    </row>
    <row r="171" spans="10:15" ht="13">
      <c r="J171" s="26">
        <f t="shared" si="4"/>
        <v>44580</v>
      </c>
      <c r="K171" s="3">
        <v>3</v>
      </c>
      <c r="L171" s="20">
        <f t="shared" ca="1" si="3"/>
        <v>359.71</v>
      </c>
      <c r="M171" s="21"/>
      <c r="N171" s="21"/>
      <c r="O171" s="22"/>
    </row>
    <row r="172" spans="10:15" ht="13">
      <c r="J172" s="26">
        <f t="shared" si="4"/>
        <v>44580</v>
      </c>
      <c r="K172" s="3">
        <v>4</v>
      </c>
      <c r="L172" s="20">
        <f t="shared" ca="1" si="3"/>
        <v>346.39</v>
      </c>
      <c r="M172" s="21"/>
      <c r="N172" s="21"/>
      <c r="O172" s="22"/>
    </row>
    <row r="173" spans="10:15" ht="13">
      <c r="J173" s="26">
        <f t="shared" si="4"/>
        <v>44580</v>
      </c>
      <c r="K173" s="3">
        <v>6</v>
      </c>
      <c r="L173" s="20">
        <f t="shared" ca="1" si="3"/>
        <v>347.32</v>
      </c>
      <c r="M173" s="21">
        <f ca="1">IF(TODAY()&lt;$J173,"",IF(($O$3-$J173)*0.1+$O$4&lt;0,0,($O$3-$J173)*0.1+$O$4))</f>
        <v>4.05</v>
      </c>
      <c r="N173" s="21">
        <f ca="1">IF(TODAY()&lt;$J173,"",IF(($O$3-$J173)*0.1+$O$5&lt;0,0,($O$3-$J173)*0.1+$O$5))</f>
        <v>2.15</v>
      </c>
      <c r="O173" s="22"/>
    </row>
    <row r="174" spans="10:15" ht="13">
      <c r="J174" s="26">
        <f t="shared" si="4"/>
        <v>44580</v>
      </c>
      <c r="K174" s="3">
        <v>7</v>
      </c>
      <c r="L174" s="23">
        <f t="shared" ca="1" si="3"/>
        <v>7426100</v>
      </c>
      <c r="M174" s="21"/>
      <c r="N174" s="21"/>
      <c r="O174" s="22"/>
    </row>
    <row r="175" spans="10:15" ht="13">
      <c r="J175" s="26">
        <f t="shared" si="4"/>
        <v>44580</v>
      </c>
      <c r="K175" s="3" t="s">
        <v>15</v>
      </c>
      <c r="L175" s="24" t="str">
        <f t="shared" ca="1" si="3"/>
        <v/>
      </c>
      <c r="M175" s="21"/>
      <c r="N175" s="21"/>
      <c r="O175" s="22">
        <f ca="1">IF(TODAY()&lt;$J175,"",($O$3-$J175)*0.05+$O$6)</f>
        <v>11.44</v>
      </c>
    </row>
    <row r="176" spans="10:15" ht="13">
      <c r="J176" s="26">
        <f t="shared" si="4"/>
        <v>44580</v>
      </c>
      <c r="K176" s="3" t="s">
        <v>15</v>
      </c>
      <c r="L176" s="24" t="str">
        <f t="shared" ca="1" si="3"/>
        <v/>
      </c>
      <c r="M176" s="21"/>
      <c r="N176" s="21"/>
      <c r="O176" s="22">
        <f ca="1">IF(TODAY()&lt;$J176,"",($O$3-$J175)*0.05+$P$6)</f>
        <v>13.860000000000001</v>
      </c>
    </row>
    <row r="177" spans="10:15" ht="13">
      <c r="J177" s="26">
        <f t="shared" si="4"/>
        <v>44581</v>
      </c>
      <c r="K177" s="3">
        <v>2</v>
      </c>
      <c r="L177" s="20">
        <f t="shared" ca="1" si="3"/>
        <v>348.9</v>
      </c>
      <c r="M177" s="21"/>
      <c r="N177" s="21"/>
      <c r="O177" s="22"/>
    </row>
    <row r="178" spans="10:15" ht="13">
      <c r="J178" s="26">
        <f t="shared" si="4"/>
        <v>44581</v>
      </c>
      <c r="K178" s="3">
        <v>3</v>
      </c>
      <c r="L178" s="20">
        <f t="shared" ca="1" si="3"/>
        <v>357.18</v>
      </c>
      <c r="M178" s="21"/>
      <c r="N178" s="21"/>
      <c r="O178" s="22"/>
    </row>
    <row r="179" spans="10:15" ht="13">
      <c r="J179" s="26">
        <f t="shared" si="4"/>
        <v>44581</v>
      </c>
      <c r="K179" s="3">
        <v>4</v>
      </c>
      <c r="L179" s="20">
        <f t="shared" ca="1" si="3"/>
        <v>346.14</v>
      </c>
      <c r="M179" s="21"/>
      <c r="N179" s="21"/>
      <c r="O179" s="22"/>
    </row>
    <row r="180" spans="10:15" ht="13">
      <c r="J180" s="26">
        <f t="shared" si="4"/>
        <v>44581</v>
      </c>
      <c r="K180" s="3">
        <v>6</v>
      </c>
      <c r="L180" s="20">
        <f t="shared" ca="1" si="3"/>
        <v>348.1</v>
      </c>
      <c r="M180" s="21">
        <f ca="1">IF(TODAY()&lt;$J180,"",IF(($O$3-$J180)*0.1+$O$4&lt;0,0,($O$3-$J180)*0.1+$O$4))</f>
        <v>3.95</v>
      </c>
      <c r="N180" s="21">
        <f ca="1">IF(TODAY()&lt;$J180,"",IF(($O$3-$J180)*0.1+$O$5&lt;0,0,($O$3-$J180)*0.1+$O$5))</f>
        <v>2.0500000000000003</v>
      </c>
      <c r="O180" s="22"/>
    </row>
    <row r="181" spans="10:15" ht="13">
      <c r="J181" s="26">
        <f t="shared" si="4"/>
        <v>44581</v>
      </c>
      <c r="K181" s="3">
        <v>7</v>
      </c>
      <c r="L181" s="23">
        <f t="shared" ca="1" si="3"/>
        <v>4599900</v>
      </c>
      <c r="M181" s="21"/>
      <c r="N181" s="21"/>
      <c r="O181" s="22"/>
    </row>
    <row r="182" spans="10:15" ht="13">
      <c r="J182" s="26">
        <f t="shared" si="4"/>
        <v>44581</v>
      </c>
      <c r="K182" s="3" t="s">
        <v>15</v>
      </c>
      <c r="L182" s="24" t="str">
        <f t="shared" ca="1" si="3"/>
        <v/>
      </c>
      <c r="M182" s="21"/>
      <c r="N182" s="21"/>
      <c r="O182" s="22">
        <f ca="1">IF(TODAY()&lt;$J182,"",($O$3-$J182)*0.05+$O$6)</f>
        <v>11.389999999999999</v>
      </c>
    </row>
    <row r="183" spans="10:15" ht="13">
      <c r="J183" s="26">
        <f t="shared" si="4"/>
        <v>44581</v>
      </c>
      <c r="K183" s="3" t="s">
        <v>15</v>
      </c>
      <c r="L183" s="24" t="str">
        <f t="shared" ca="1" si="3"/>
        <v/>
      </c>
      <c r="M183" s="21"/>
      <c r="N183" s="21"/>
      <c r="O183" s="22">
        <f ca="1">IF(TODAY()&lt;$J183,"",($O$3-$J182)*0.05+$P$6)</f>
        <v>13.81</v>
      </c>
    </row>
    <row r="184" spans="10:15" ht="13">
      <c r="J184" s="26">
        <f t="shared" si="4"/>
        <v>44582</v>
      </c>
      <c r="K184" s="3">
        <v>2</v>
      </c>
      <c r="L184" s="20">
        <f t="shared" ca="1" si="3"/>
        <v>345.54</v>
      </c>
      <c r="M184" s="21"/>
      <c r="N184" s="21"/>
      <c r="O184" s="22"/>
    </row>
    <row r="185" spans="10:15" ht="13">
      <c r="J185" s="26">
        <f t="shared" si="4"/>
        <v>44582</v>
      </c>
      <c r="K185" s="3">
        <v>3</v>
      </c>
      <c r="L185" s="20">
        <f t="shared" ca="1" si="3"/>
        <v>348.99</v>
      </c>
      <c r="M185" s="21"/>
      <c r="N185" s="21"/>
      <c r="O185" s="22"/>
    </row>
    <row r="186" spans="10:15" ht="13">
      <c r="J186" s="26">
        <f t="shared" si="4"/>
        <v>44582</v>
      </c>
      <c r="K186" s="3">
        <v>4</v>
      </c>
      <c r="L186" s="20">
        <f t="shared" ca="1" si="3"/>
        <v>340.72</v>
      </c>
      <c r="M186" s="21"/>
      <c r="N186" s="21"/>
      <c r="O186" s="22"/>
    </row>
    <row r="187" spans="10:15" ht="13">
      <c r="J187" s="26">
        <f t="shared" si="4"/>
        <v>44582</v>
      </c>
      <c r="K187" s="3">
        <v>6</v>
      </c>
      <c r="L187" s="20">
        <f t="shared" ca="1" si="3"/>
        <v>343.91</v>
      </c>
      <c r="M187" s="21">
        <f ca="1">IF(TODAY()&lt;$J187,"",IF(($O$3-$J187)*0.1+$O$4&lt;0,0,($O$3-$J187)*0.1+$O$4))</f>
        <v>3.85</v>
      </c>
      <c r="N187" s="21">
        <f ca="1">IF(TODAY()&lt;$J187,"",IF(($O$3-$J187)*0.1+$O$5&lt;0,0,($O$3-$J187)*0.1+$O$5))</f>
        <v>1.9500000000000002</v>
      </c>
      <c r="O187" s="22"/>
    </row>
    <row r="188" spans="10:15" ht="13">
      <c r="J188" s="26">
        <f t="shared" si="4"/>
        <v>44582</v>
      </c>
      <c r="K188" s="3">
        <v>7</v>
      </c>
      <c r="L188" s="23">
        <f t="shared" ca="1" si="3"/>
        <v>4896100</v>
      </c>
      <c r="M188" s="21"/>
      <c r="N188" s="21"/>
      <c r="O188" s="22"/>
    </row>
    <row r="189" spans="10:15" ht="13">
      <c r="J189" s="26">
        <f t="shared" si="4"/>
        <v>44582</v>
      </c>
      <c r="K189" s="3" t="s">
        <v>15</v>
      </c>
      <c r="L189" s="24" t="str">
        <f t="shared" ca="1" si="3"/>
        <v/>
      </c>
      <c r="M189" s="21"/>
      <c r="N189" s="21"/>
      <c r="O189" s="22">
        <f ca="1">IF(TODAY()&lt;$J189,"",($O$3-$J189)*0.05+$O$6)</f>
        <v>11.34</v>
      </c>
    </row>
    <row r="190" spans="10:15" ht="13">
      <c r="J190" s="26">
        <f t="shared" si="4"/>
        <v>44582</v>
      </c>
      <c r="K190" s="3" t="s">
        <v>15</v>
      </c>
      <c r="L190" s="24" t="str">
        <f t="shared" ca="1" si="3"/>
        <v/>
      </c>
      <c r="M190" s="21"/>
      <c r="N190" s="21"/>
      <c r="O190" s="22">
        <f ca="1">IF(TODAY()&lt;$J190,"",($O$3-$J189)*0.05+$P$6)</f>
        <v>13.760000000000002</v>
      </c>
    </row>
    <row r="191" spans="10:15" ht="13">
      <c r="J191" s="26">
        <f t="shared" si="4"/>
        <v>44583</v>
      </c>
      <c r="K191" s="3">
        <v>2</v>
      </c>
      <c r="L191" s="20">
        <f t="shared" ca="1" si="3"/>
        <v>345.54</v>
      </c>
      <c r="M191" s="21"/>
      <c r="N191" s="21"/>
      <c r="O191" s="22"/>
    </row>
    <row r="192" spans="10:15" ht="13">
      <c r="J192" s="26">
        <f t="shared" si="4"/>
        <v>44583</v>
      </c>
      <c r="K192" s="3">
        <v>3</v>
      </c>
      <c r="L192" s="20">
        <f t="shared" ca="1" si="3"/>
        <v>348.99</v>
      </c>
      <c r="M192" s="21"/>
      <c r="N192" s="21"/>
      <c r="O192" s="22"/>
    </row>
    <row r="193" spans="10:15" ht="13">
      <c r="J193" s="26">
        <f t="shared" si="4"/>
        <v>44583</v>
      </c>
      <c r="K193" s="3">
        <v>4</v>
      </c>
      <c r="L193" s="20">
        <f t="shared" ca="1" si="3"/>
        <v>340.72</v>
      </c>
      <c r="M193" s="21"/>
      <c r="N193" s="21"/>
      <c r="O193" s="22"/>
    </row>
    <row r="194" spans="10:15" ht="13">
      <c r="J194" s="26">
        <f t="shared" si="4"/>
        <v>44583</v>
      </c>
      <c r="K194" s="3">
        <v>6</v>
      </c>
      <c r="L194" s="20">
        <f t="shared" ca="1" si="3"/>
        <v>343.91</v>
      </c>
      <c r="M194" s="21">
        <f ca="1">IF(TODAY()&lt;$J194,"",IF(($O$3-$J194)*0.1+$O$4&lt;0,0,($O$3-$J194)*0.1+$O$4))</f>
        <v>3.75</v>
      </c>
      <c r="N194" s="21">
        <f ca="1">IF(TODAY()&lt;$J194,"",IF(($O$3-$J194)*0.1+$O$5&lt;0,0,($O$3-$J194)*0.1+$O$5))</f>
        <v>1.85</v>
      </c>
      <c r="O194" s="22"/>
    </row>
    <row r="195" spans="10:15" ht="13">
      <c r="J195" s="26">
        <f t="shared" si="4"/>
        <v>44583</v>
      </c>
      <c r="K195" s="3">
        <v>7</v>
      </c>
      <c r="L195" s="23">
        <f t="shared" ca="1" si="3"/>
        <v>4896100</v>
      </c>
      <c r="M195" s="21"/>
      <c r="N195" s="21"/>
      <c r="O195" s="22"/>
    </row>
    <row r="196" spans="10:15" ht="13">
      <c r="J196" s="26">
        <f t="shared" si="4"/>
        <v>44583</v>
      </c>
      <c r="K196" s="3" t="s">
        <v>15</v>
      </c>
      <c r="L196" s="24" t="str">
        <f t="shared" ca="1" si="3"/>
        <v/>
      </c>
      <c r="M196" s="21"/>
      <c r="N196" s="21"/>
      <c r="O196" s="22">
        <f ca="1">IF(TODAY()&lt;$J196,"",($O$3-$J196)*0.05+$O$6)</f>
        <v>11.29</v>
      </c>
    </row>
    <row r="197" spans="10:15" ht="13">
      <c r="J197" s="26">
        <f t="shared" si="4"/>
        <v>44583</v>
      </c>
      <c r="K197" s="3" t="s">
        <v>15</v>
      </c>
      <c r="L197" s="24" t="str">
        <f t="shared" ca="1" si="3"/>
        <v/>
      </c>
      <c r="M197" s="21"/>
      <c r="N197" s="21"/>
      <c r="O197" s="22">
        <f ca="1">IF(TODAY()&lt;$J197,"",($O$3-$J196)*0.05+$P$6)</f>
        <v>13.71</v>
      </c>
    </row>
    <row r="198" spans="10:15" ht="13">
      <c r="J198" s="26">
        <f t="shared" si="4"/>
        <v>44584</v>
      </c>
      <c r="K198" s="3">
        <v>2</v>
      </c>
      <c r="L198" s="20">
        <f t="shared" ca="1" si="3"/>
        <v>345.54</v>
      </c>
      <c r="M198" s="21"/>
      <c r="N198" s="21"/>
      <c r="O198" s="22"/>
    </row>
    <row r="199" spans="10:15" ht="13">
      <c r="J199" s="26">
        <f t="shared" si="4"/>
        <v>44584</v>
      </c>
      <c r="K199" s="3">
        <v>3</v>
      </c>
      <c r="L199" s="20">
        <f t="shared" ca="1" si="3"/>
        <v>348.99</v>
      </c>
      <c r="M199" s="21"/>
      <c r="N199" s="21"/>
      <c r="O199" s="22"/>
    </row>
    <row r="200" spans="10:15" ht="13">
      <c r="J200" s="26">
        <f t="shared" si="4"/>
        <v>44584</v>
      </c>
      <c r="K200" s="3">
        <v>4</v>
      </c>
      <c r="L200" s="20">
        <f t="shared" ca="1" si="3"/>
        <v>340.72</v>
      </c>
      <c r="M200" s="21"/>
      <c r="N200" s="21"/>
      <c r="O200" s="22"/>
    </row>
    <row r="201" spans="10:15" ht="13">
      <c r="J201" s="26">
        <f t="shared" si="4"/>
        <v>44584</v>
      </c>
      <c r="K201" s="3">
        <v>6</v>
      </c>
      <c r="L201" s="20">
        <f t="shared" ca="1" si="3"/>
        <v>343.91</v>
      </c>
      <c r="M201" s="21">
        <f ca="1">IF(TODAY()&lt;$J201,"",IF(($O$3-$J201)*0.1+$O$4&lt;0,0,($O$3-$J201)*0.1+$O$4))</f>
        <v>3.65</v>
      </c>
      <c r="N201" s="21">
        <f ca="1">IF(TODAY()&lt;$J201,"",IF(($O$3-$J201)*0.1+$O$5&lt;0,0,($O$3-$J201)*0.1+$O$5))</f>
        <v>1.75</v>
      </c>
      <c r="O201" s="22"/>
    </row>
    <row r="202" spans="10:15" ht="13">
      <c r="J202" s="26">
        <f t="shared" si="4"/>
        <v>44584</v>
      </c>
      <c r="K202" s="3">
        <v>7</v>
      </c>
      <c r="L202" s="23">
        <f t="shared" ca="1" si="3"/>
        <v>4896100</v>
      </c>
      <c r="M202" s="21"/>
      <c r="N202" s="21"/>
      <c r="O202" s="22"/>
    </row>
    <row r="203" spans="10:15" ht="13">
      <c r="J203" s="26">
        <f t="shared" si="4"/>
        <v>44584</v>
      </c>
      <c r="K203" s="3" t="s">
        <v>15</v>
      </c>
      <c r="L203" s="24" t="str">
        <f t="shared" ca="1" si="3"/>
        <v/>
      </c>
      <c r="M203" s="21"/>
      <c r="N203" s="21"/>
      <c r="O203" s="22">
        <f ca="1">IF(TODAY()&lt;$J203,"",($O$3-$J203)*0.05+$O$6)</f>
        <v>11.239999999999998</v>
      </c>
    </row>
    <row r="204" spans="10:15" ht="13">
      <c r="J204" s="26">
        <f t="shared" si="4"/>
        <v>44584</v>
      </c>
      <c r="K204" s="3" t="s">
        <v>15</v>
      </c>
      <c r="L204" s="24" t="str">
        <f t="shared" ca="1" si="3"/>
        <v/>
      </c>
      <c r="M204" s="21"/>
      <c r="N204" s="21"/>
      <c r="O204" s="22">
        <f ca="1">IF(TODAY()&lt;$J204,"",($O$3-$J203)*0.05+$P$6)</f>
        <v>13.66</v>
      </c>
    </row>
    <row r="205" spans="10:15" ht="13">
      <c r="J205" s="26">
        <f t="shared" si="4"/>
        <v>44585</v>
      </c>
      <c r="K205" s="3">
        <v>2</v>
      </c>
      <c r="L205" s="20">
        <f t="shared" ca="1" si="3"/>
        <v>337.32</v>
      </c>
      <c r="M205" s="21"/>
      <c r="N205" s="21"/>
      <c r="O205" s="22"/>
    </row>
    <row r="206" spans="10:15" ht="13">
      <c r="J206" s="26">
        <f t="shared" si="4"/>
        <v>44585</v>
      </c>
      <c r="K206" s="3">
        <v>3</v>
      </c>
      <c r="L206" s="20">
        <f t="shared" ca="1" si="3"/>
        <v>344.07</v>
      </c>
      <c r="M206" s="21"/>
      <c r="N206" s="21"/>
      <c r="O206" s="22"/>
    </row>
    <row r="207" spans="10:15" ht="13">
      <c r="J207" s="26">
        <f t="shared" si="4"/>
        <v>44585</v>
      </c>
      <c r="K207" s="3">
        <v>4</v>
      </c>
      <c r="L207" s="20">
        <f t="shared" ca="1" si="3"/>
        <v>326.23</v>
      </c>
      <c r="M207" s="21"/>
      <c r="N207" s="21"/>
      <c r="O207" s="22"/>
    </row>
    <row r="208" spans="10:15" ht="13">
      <c r="J208" s="26">
        <f t="shared" si="4"/>
        <v>44585</v>
      </c>
      <c r="K208" s="3">
        <v>6</v>
      </c>
      <c r="L208" s="20">
        <f t="shared" ca="1" si="3"/>
        <v>343.39</v>
      </c>
      <c r="M208" s="21">
        <f ca="1">IF(TODAY()&lt;$J208,"",IF(($O$3-$J208)*0.1+$O$4&lt;0,0,($O$3-$J208)*0.1+$O$4))</f>
        <v>3.55</v>
      </c>
      <c r="N208" s="21">
        <f ca="1">IF(TODAY()&lt;$J208,"",IF(($O$3-$J208)*0.1+$O$5&lt;0,0,($O$3-$J208)*0.1+$O$5))</f>
        <v>1.65</v>
      </c>
      <c r="O208" s="22"/>
    </row>
    <row r="209" spans="10:15" ht="13">
      <c r="J209" s="26">
        <f t="shared" si="4"/>
        <v>44585</v>
      </c>
      <c r="K209" s="3">
        <v>7</v>
      </c>
      <c r="L209" s="23">
        <f t="shared" ca="1" si="3"/>
        <v>6573800</v>
      </c>
      <c r="M209" s="21"/>
      <c r="N209" s="21"/>
      <c r="O209" s="22"/>
    </row>
    <row r="210" spans="10:15" ht="13">
      <c r="J210" s="26">
        <f t="shared" si="4"/>
        <v>44585</v>
      </c>
      <c r="K210" s="3" t="s">
        <v>15</v>
      </c>
      <c r="L210" s="24" t="str">
        <f t="shared" ca="1" si="3"/>
        <v/>
      </c>
      <c r="M210" s="21"/>
      <c r="N210" s="21"/>
      <c r="O210" s="22">
        <f ca="1">IF(TODAY()&lt;$J210,"",($O$3-$J210)*0.05+$O$6)</f>
        <v>11.19</v>
      </c>
    </row>
    <row r="211" spans="10:15" ht="13">
      <c r="J211" s="26">
        <f t="shared" si="4"/>
        <v>44585</v>
      </c>
      <c r="K211" s="3" t="s">
        <v>15</v>
      </c>
      <c r="L211" s="24" t="str">
        <f t="shared" ca="1" si="3"/>
        <v/>
      </c>
      <c r="M211" s="21"/>
      <c r="N211" s="21"/>
      <c r="O211" s="22">
        <f ca="1">IF(TODAY()&lt;$J211,"",($O$3-$J210)*0.05+$P$6)</f>
        <v>13.610000000000001</v>
      </c>
    </row>
    <row r="212" spans="10:15" ht="13">
      <c r="J212" s="26">
        <f t="shared" si="4"/>
        <v>44586</v>
      </c>
      <c r="K212" s="3">
        <v>2</v>
      </c>
      <c r="L212" s="20">
        <f t="shared" ca="1" si="3"/>
        <v>337.86</v>
      </c>
      <c r="M212" s="21"/>
      <c r="N212" s="21"/>
      <c r="O212" s="22"/>
    </row>
    <row r="213" spans="10:15" ht="13">
      <c r="J213" s="26">
        <f t="shared" si="4"/>
        <v>44586</v>
      </c>
      <c r="K213" s="3">
        <v>3</v>
      </c>
      <c r="L213" s="20">
        <f t="shared" ca="1" si="3"/>
        <v>342.93</v>
      </c>
      <c r="M213" s="21"/>
      <c r="N213" s="21"/>
      <c r="O213" s="22"/>
    </row>
    <row r="214" spans="10:15" ht="13">
      <c r="J214" s="26">
        <f t="shared" si="4"/>
        <v>44586</v>
      </c>
      <c r="K214" s="3">
        <v>4</v>
      </c>
      <c r="L214" s="20">
        <f t="shared" ca="1" si="3"/>
        <v>330.91</v>
      </c>
      <c r="M214" s="21"/>
      <c r="N214" s="21"/>
      <c r="O214" s="22"/>
    </row>
    <row r="215" spans="10:15" ht="13">
      <c r="J215" s="26">
        <f t="shared" si="4"/>
        <v>44586</v>
      </c>
      <c r="K215" s="3">
        <v>6</v>
      </c>
      <c r="L215" s="20">
        <f t="shared" ca="1" si="3"/>
        <v>341.55</v>
      </c>
      <c r="M215" s="21">
        <f ca="1">IF(TODAY()&lt;$J215,"",IF(($O$3-$J215)*0.1+$O$4&lt;0,0,($O$3-$J215)*0.1+$O$4))</f>
        <v>3.45</v>
      </c>
      <c r="N215" s="21">
        <f ca="1">IF(TODAY()&lt;$J215,"",IF(($O$3-$J215)*0.1+$O$5&lt;0,0,($O$3-$J215)*0.1+$O$5))</f>
        <v>1.55</v>
      </c>
      <c r="O215" s="22"/>
    </row>
    <row r="216" spans="10:15" ht="13">
      <c r="J216" s="26">
        <f t="shared" si="4"/>
        <v>44586</v>
      </c>
      <c r="K216" s="3">
        <v>7</v>
      </c>
      <c r="L216" s="23">
        <f t="shared" ca="1" si="3"/>
        <v>3959300</v>
      </c>
      <c r="M216" s="21"/>
      <c r="N216" s="21"/>
      <c r="O216" s="22"/>
    </row>
    <row r="217" spans="10:15" ht="13">
      <c r="J217" s="26">
        <f t="shared" si="4"/>
        <v>44586</v>
      </c>
      <c r="K217" s="3" t="s">
        <v>15</v>
      </c>
      <c r="L217" s="24" t="str">
        <f t="shared" ca="1" si="3"/>
        <v/>
      </c>
      <c r="M217" s="21"/>
      <c r="N217" s="21"/>
      <c r="O217" s="22">
        <f ca="1">IF(TODAY()&lt;$J217,"",($O$3-$J217)*0.05+$O$6)</f>
        <v>11.139999999999999</v>
      </c>
    </row>
    <row r="218" spans="10:15" ht="13">
      <c r="J218" s="26">
        <f t="shared" si="4"/>
        <v>44586</v>
      </c>
      <c r="K218" s="3" t="s">
        <v>15</v>
      </c>
      <c r="L218" s="24" t="str">
        <f t="shared" ca="1" si="3"/>
        <v/>
      </c>
      <c r="M218" s="21"/>
      <c r="N218" s="21"/>
      <c r="O218" s="22">
        <f ca="1">IF(TODAY()&lt;$J218,"",($O$3-$J217)*0.05+$P$6)</f>
        <v>13.56</v>
      </c>
    </row>
    <row r="219" spans="10:15" ht="13">
      <c r="J219" s="26">
        <f t="shared" si="4"/>
        <v>44587</v>
      </c>
      <c r="K219" s="3">
        <v>2</v>
      </c>
      <c r="L219" s="20">
        <f t="shared" ca="1" si="3"/>
        <v>346.6</v>
      </c>
      <c r="M219" s="21"/>
      <c r="N219" s="21"/>
      <c r="O219" s="22"/>
    </row>
    <row r="220" spans="10:15" ht="13">
      <c r="J220" s="26">
        <f t="shared" si="4"/>
        <v>44587</v>
      </c>
      <c r="K220" s="3">
        <v>3</v>
      </c>
      <c r="L220" s="20">
        <f t="shared" ca="1" si="3"/>
        <v>350.48</v>
      </c>
      <c r="M220" s="21"/>
      <c r="N220" s="21"/>
      <c r="O220" s="22"/>
    </row>
    <row r="221" spans="10:15" ht="13">
      <c r="J221" s="26">
        <f t="shared" si="4"/>
        <v>44587</v>
      </c>
      <c r="K221" s="3">
        <v>4</v>
      </c>
      <c r="L221" s="20">
        <f t="shared" ca="1" si="3"/>
        <v>338.41</v>
      </c>
      <c r="M221" s="21"/>
      <c r="N221" s="21"/>
      <c r="O221" s="22"/>
    </row>
    <row r="222" spans="10:15" ht="13">
      <c r="J222" s="26">
        <f t="shared" si="4"/>
        <v>44587</v>
      </c>
      <c r="K222" s="3">
        <v>6</v>
      </c>
      <c r="L222" s="20">
        <f t="shared" ca="1" si="3"/>
        <v>342.68</v>
      </c>
      <c r="M222" s="21">
        <f ca="1">IF(TODAY()&lt;$J222,"",IF(($O$3-$J222)*0.1+$O$4&lt;0,0,($O$3-$J222)*0.1+$O$4))</f>
        <v>3.35</v>
      </c>
      <c r="N222" s="21">
        <f ca="1">IF(TODAY()&lt;$J222,"",IF(($O$3-$J222)*0.1+$O$5&lt;0,0,($O$3-$J222)*0.1+$O$5))</f>
        <v>1.4500000000000002</v>
      </c>
      <c r="O222" s="22"/>
    </row>
    <row r="223" spans="10:15" ht="13">
      <c r="J223" s="26">
        <f t="shared" si="4"/>
        <v>44587</v>
      </c>
      <c r="K223" s="3">
        <v>7</v>
      </c>
      <c r="L223" s="23">
        <f t="shared" ca="1" si="3"/>
        <v>3740700</v>
      </c>
      <c r="M223" s="21"/>
      <c r="N223" s="21"/>
      <c r="O223" s="22"/>
    </row>
    <row r="224" spans="10:15" ht="13">
      <c r="J224" s="26">
        <f t="shared" si="4"/>
        <v>44587</v>
      </c>
      <c r="K224" s="3" t="s">
        <v>15</v>
      </c>
      <c r="L224" s="24" t="str">
        <f t="shared" ca="1" si="3"/>
        <v/>
      </c>
      <c r="M224" s="21"/>
      <c r="N224" s="21"/>
      <c r="O224" s="22">
        <f ca="1">IF(TODAY()&lt;$J224,"",($O$3-$J224)*0.05+$O$6)</f>
        <v>11.09</v>
      </c>
    </row>
    <row r="225" spans="10:15" ht="13">
      <c r="J225" s="26">
        <f t="shared" si="4"/>
        <v>44587</v>
      </c>
      <c r="K225" s="3" t="s">
        <v>15</v>
      </c>
      <c r="L225" s="24" t="str">
        <f t="shared" ca="1" si="3"/>
        <v/>
      </c>
      <c r="M225" s="21"/>
      <c r="N225" s="21"/>
      <c r="O225" s="22">
        <f ca="1">IF(TODAY()&lt;$J225,"",($O$3-$J224)*0.05+$P$6)</f>
        <v>13.510000000000002</v>
      </c>
    </row>
    <row r="226" spans="10:15" ht="13">
      <c r="J226" s="26">
        <f t="shared" si="4"/>
        <v>44588</v>
      </c>
      <c r="K226" s="3">
        <v>2</v>
      </c>
      <c r="L226" s="20">
        <f t="shared" ca="1" si="3"/>
        <v>345.67</v>
      </c>
      <c r="M226" s="21"/>
      <c r="N226" s="21"/>
      <c r="O226" s="22"/>
    </row>
    <row r="227" spans="10:15" ht="13">
      <c r="J227" s="26">
        <f t="shared" si="4"/>
        <v>44588</v>
      </c>
      <c r="K227" s="3">
        <v>3</v>
      </c>
      <c r="L227" s="20">
        <f t="shared" ca="1" si="3"/>
        <v>348.77</v>
      </c>
      <c r="M227" s="21"/>
      <c r="N227" s="21"/>
      <c r="O227" s="22"/>
    </row>
    <row r="228" spans="10:15" ht="13">
      <c r="J228" s="26">
        <f t="shared" si="4"/>
        <v>44588</v>
      </c>
      <c r="K228" s="3">
        <v>4</v>
      </c>
      <c r="L228" s="20">
        <f t="shared" ca="1" si="3"/>
        <v>337.72</v>
      </c>
      <c r="M228" s="21"/>
      <c r="N228" s="21"/>
      <c r="O228" s="22"/>
    </row>
    <row r="229" spans="10:15" ht="13">
      <c r="J229" s="26">
        <f t="shared" si="4"/>
        <v>44588</v>
      </c>
      <c r="K229" s="3">
        <v>6</v>
      </c>
      <c r="L229" s="20">
        <f t="shared" ca="1" si="3"/>
        <v>341.03</v>
      </c>
      <c r="M229" s="21">
        <f ca="1">IF(TODAY()&lt;$J229,"",IF(($O$3-$J229)*0.1+$O$4&lt;0,0,($O$3-$J229)*0.1+$O$4))</f>
        <v>3.25</v>
      </c>
      <c r="N229" s="21">
        <f ca="1">IF(TODAY()&lt;$J229,"",IF(($O$3-$J229)*0.1+$O$5&lt;0,0,($O$3-$J229)*0.1+$O$5))</f>
        <v>1.35</v>
      </c>
      <c r="O229" s="22"/>
    </row>
    <row r="230" spans="10:15" ht="13">
      <c r="J230" s="26">
        <f t="shared" si="4"/>
        <v>44588</v>
      </c>
      <c r="K230" s="3">
        <v>7</v>
      </c>
      <c r="L230" s="23">
        <f t="shared" ca="1" si="3"/>
        <v>2573400</v>
      </c>
      <c r="M230" s="21"/>
      <c r="N230" s="21"/>
      <c r="O230" s="22"/>
    </row>
    <row r="231" spans="10:15" ht="13">
      <c r="J231" s="26">
        <f t="shared" si="4"/>
        <v>44588</v>
      </c>
      <c r="K231" s="3" t="s">
        <v>15</v>
      </c>
      <c r="L231" s="24" t="str">
        <f t="shared" ca="1" si="3"/>
        <v/>
      </c>
      <c r="M231" s="21"/>
      <c r="N231" s="21"/>
      <c r="O231" s="22">
        <f ca="1">IF(TODAY()&lt;$J231,"",($O$3-$J231)*0.05+$O$6)</f>
        <v>11.04</v>
      </c>
    </row>
    <row r="232" spans="10:15" ht="13">
      <c r="J232" s="26">
        <f t="shared" si="4"/>
        <v>44588</v>
      </c>
      <c r="K232" s="3" t="s">
        <v>15</v>
      </c>
      <c r="L232" s="24" t="str">
        <f t="shared" ca="1" si="3"/>
        <v/>
      </c>
      <c r="M232" s="21"/>
      <c r="N232" s="21"/>
      <c r="O232" s="22">
        <f ca="1">IF(TODAY()&lt;$J232,"",($O$3-$J231)*0.05+$P$6)</f>
        <v>13.46</v>
      </c>
    </row>
    <row r="233" spans="10:15" ht="13">
      <c r="J233" s="26">
        <f t="shared" si="4"/>
        <v>44589</v>
      </c>
      <c r="K233" s="3">
        <v>2</v>
      </c>
      <c r="L233" s="20">
        <f t="shared" ca="1" si="3"/>
        <v>337.73</v>
      </c>
      <c r="M233" s="21"/>
      <c r="N233" s="21"/>
      <c r="O233" s="22"/>
    </row>
    <row r="234" spans="10:15" ht="13">
      <c r="J234" s="26">
        <f t="shared" si="4"/>
        <v>44589</v>
      </c>
      <c r="K234" s="3">
        <v>3</v>
      </c>
      <c r="L234" s="20">
        <f t="shared" ca="1" si="3"/>
        <v>347.14</v>
      </c>
      <c r="M234" s="21"/>
      <c r="N234" s="21"/>
      <c r="O234" s="22"/>
    </row>
    <row r="235" spans="10:15" ht="13">
      <c r="J235" s="26">
        <f t="shared" si="4"/>
        <v>44589</v>
      </c>
      <c r="K235" s="3">
        <v>4</v>
      </c>
      <c r="L235" s="20">
        <f t="shared" ca="1" si="3"/>
        <v>333.45</v>
      </c>
      <c r="M235" s="21"/>
      <c r="N235" s="21"/>
      <c r="O235" s="22"/>
    </row>
    <row r="236" spans="10:15" ht="13">
      <c r="J236" s="26">
        <f t="shared" si="4"/>
        <v>44589</v>
      </c>
      <c r="K236" s="3">
        <v>6</v>
      </c>
      <c r="L236" s="20">
        <f t="shared" ca="1" si="3"/>
        <v>347.01</v>
      </c>
      <c r="M236" s="21">
        <f ca="1">IF(TODAY()&lt;$J236,"",IF(($O$3-$J236)*0.1+$O$4&lt;0,0,($O$3-$J236)*0.1+$O$4))</f>
        <v>3.15</v>
      </c>
      <c r="N236" s="21">
        <f ca="1">IF(TODAY()&lt;$J236,"",IF(($O$3-$J236)*0.1+$O$5&lt;0,0,($O$3-$J236)*0.1+$O$5))</f>
        <v>1.25</v>
      </c>
      <c r="O236" s="22"/>
    </row>
    <row r="237" spans="10:15" ht="13">
      <c r="J237" s="26">
        <f t="shared" si="4"/>
        <v>44589</v>
      </c>
      <c r="K237" s="3">
        <v>7</v>
      </c>
      <c r="L237" s="23">
        <f t="shared" ca="1" si="3"/>
        <v>3661942</v>
      </c>
      <c r="M237" s="21"/>
      <c r="N237" s="21"/>
      <c r="O237" s="22"/>
    </row>
    <row r="238" spans="10:15" ht="13">
      <c r="J238" s="26">
        <f t="shared" si="4"/>
        <v>44589</v>
      </c>
      <c r="K238" s="3" t="s">
        <v>15</v>
      </c>
      <c r="L238" s="24" t="str">
        <f t="shared" ca="1" si="3"/>
        <v/>
      </c>
      <c r="M238" s="21"/>
      <c r="N238" s="21"/>
      <c r="O238" s="22">
        <f ca="1">IF(TODAY()&lt;$J238,"",($O$3-$J238)*0.05+$O$6)</f>
        <v>10.989999999999998</v>
      </c>
    </row>
    <row r="239" spans="10:15" ht="13">
      <c r="J239" s="26">
        <f t="shared" si="4"/>
        <v>44589</v>
      </c>
      <c r="K239" s="3" t="s">
        <v>15</v>
      </c>
      <c r="L239" s="24" t="str">
        <f t="shared" ca="1" si="3"/>
        <v/>
      </c>
      <c r="M239" s="21"/>
      <c r="N239" s="21"/>
      <c r="O239" s="22">
        <f ca="1">IF(TODAY()&lt;$J239,"",($O$3-$J238)*0.05+$P$6)</f>
        <v>13.41</v>
      </c>
    </row>
    <row r="240" spans="10:15" ht="13">
      <c r="J240" s="26">
        <f t="shared" si="4"/>
        <v>44590</v>
      </c>
      <c r="K240" s="3">
        <v>2</v>
      </c>
      <c r="L240" s="20">
        <f t="shared" ca="1" si="3"/>
        <v>337.73</v>
      </c>
      <c r="M240" s="21"/>
      <c r="N240" s="21"/>
      <c r="O240" s="22"/>
    </row>
    <row r="241" spans="10:15" ht="13">
      <c r="J241" s="26">
        <f t="shared" si="4"/>
        <v>44590</v>
      </c>
      <c r="K241" s="3">
        <v>3</v>
      </c>
      <c r="L241" s="20">
        <f t="shared" ca="1" si="3"/>
        <v>347.14</v>
      </c>
      <c r="M241" s="21"/>
      <c r="N241" s="21"/>
      <c r="O241" s="22"/>
    </row>
    <row r="242" spans="10:15" ht="13">
      <c r="J242" s="26">
        <f t="shared" si="4"/>
        <v>44590</v>
      </c>
      <c r="K242" s="3">
        <v>4</v>
      </c>
      <c r="L242" s="20">
        <f t="shared" ca="1" si="3"/>
        <v>333.45</v>
      </c>
      <c r="M242" s="21"/>
      <c r="N242" s="21"/>
      <c r="O242" s="22"/>
    </row>
    <row r="243" spans="10:15" ht="13">
      <c r="J243" s="26">
        <f t="shared" si="4"/>
        <v>44590</v>
      </c>
      <c r="K243" s="3">
        <v>6</v>
      </c>
      <c r="L243" s="20">
        <f t="shared" ca="1" si="3"/>
        <v>347.01</v>
      </c>
      <c r="M243" s="21">
        <f ca="1">IF(TODAY()&lt;$J243,"",IF(($O$3-$J243)*0.1+$O$4&lt;0,0,($O$3-$J243)*0.1+$O$4))</f>
        <v>3.05</v>
      </c>
      <c r="N243" s="21">
        <f ca="1">IF(TODAY()&lt;$J243,"",IF(($O$3-$J243)*0.1+$O$5&lt;0,0,($O$3-$J243)*0.1+$O$5))</f>
        <v>1.1499999999999999</v>
      </c>
      <c r="O243" s="22"/>
    </row>
    <row r="244" spans="10:15" ht="13">
      <c r="J244" s="26">
        <f t="shared" si="4"/>
        <v>44590</v>
      </c>
      <c r="K244" s="3">
        <v>7</v>
      </c>
      <c r="L244" s="23">
        <f t="shared" ca="1" si="3"/>
        <v>3661942</v>
      </c>
      <c r="M244" s="21"/>
      <c r="N244" s="21"/>
      <c r="O244" s="22"/>
    </row>
    <row r="245" spans="10:15" ht="13">
      <c r="J245" s="26">
        <f t="shared" si="4"/>
        <v>44590</v>
      </c>
      <c r="K245" s="3" t="s">
        <v>15</v>
      </c>
      <c r="L245" s="24" t="str">
        <f t="shared" ca="1" si="3"/>
        <v/>
      </c>
      <c r="M245" s="21"/>
      <c r="N245" s="21"/>
      <c r="O245" s="22">
        <f ca="1">IF(TODAY()&lt;$J245,"",($O$3-$J245)*0.05+$O$6)</f>
        <v>10.94</v>
      </c>
    </row>
    <row r="246" spans="10:15" ht="13">
      <c r="J246" s="26">
        <f t="shared" si="4"/>
        <v>44590</v>
      </c>
      <c r="K246" s="3" t="s">
        <v>15</v>
      </c>
      <c r="L246" s="24" t="str">
        <f t="shared" ca="1" si="3"/>
        <v/>
      </c>
      <c r="M246" s="21"/>
      <c r="N246" s="21"/>
      <c r="O246" s="22">
        <f ca="1">IF(TODAY()&lt;$J246,"",($O$3-$J245)*0.05+$P$6)</f>
        <v>13.360000000000001</v>
      </c>
    </row>
    <row r="247" spans="10:15" ht="13">
      <c r="J247" s="26">
        <f t="shared" si="4"/>
        <v>44591</v>
      </c>
      <c r="K247" s="3">
        <v>2</v>
      </c>
      <c r="L247" s="20">
        <f t="shared" ca="1" si="3"/>
        <v>337.73</v>
      </c>
      <c r="O247" s="30"/>
    </row>
    <row r="248" spans="10:15" ht="13">
      <c r="J248" s="26">
        <f t="shared" si="4"/>
        <v>44591</v>
      </c>
      <c r="K248" s="3">
        <v>3</v>
      </c>
      <c r="L248" s="20">
        <f t="shared" ca="1" si="3"/>
        <v>347.14</v>
      </c>
      <c r="O248" s="30"/>
    </row>
    <row r="249" spans="10:15" ht="13">
      <c r="J249" s="26">
        <f t="shared" si="4"/>
        <v>44591</v>
      </c>
      <c r="K249" s="3">
        <v>4</v>
      </c>
      <c r="L249" s="20">
        <f t="shared" ca="1" si="3"/>
        <v>333.45</v>
      </c>
      <c r="O249" s="30"/>
    </row>
    <row r="250" spans="10:15" ht="13">
      <c r="J250" s="26">
        <f t="shared" si="4"/>
        <v>44591</v>
      </c>
      <c r="K250" s="3">
        <v>6</v>
      </c>
      <c r="L250" s="20">
        <f t="shared" ca="1" si="3"/>
        <v>347.01</v>
      </c>
      <c r="M250" s="10">
        <f ca="1">IF(TODAY()&lt;$J250,"",IF(($O$3-$J250)*0.1+$O$4&lt;0,0,($O$3-$J250)*0.1+$O$4))</f>
        <v>2.95</v>
      </c>
      <c r="N250" s="10">
        <f ca="1">IF(TODAY()&lt;$J250,"",IF(($O$3-$J250)*0.1+$O$5&lt;0,0,($O$3-$J250)*0.1+$O$5))</f>
        <v>1.05</v>
      </c>
      <c r="O250" s="30"/>
    </row>
    <row r="251" spans="10:15" ht="13">
      <c r="J251" s="26">
        <f t="shared" si="4"/>
        <v>44591</v>
      </c>
      <c r="K251" s="3">
        <v>7</v>
      </c>
      <c r="L251" s="23">
        <f t="shared" ca="1" si="3"/>
        <v>3661942</v>
      </c>
      <c r="O251" s="30"/>
    </row>
    <row r="252" spans="10:15" ht="13">
      <c r="J252" s="26">
        <f t="shared" si="4"/>
        <v>44591</v>
      </c>
      <c r="K252" s="3" t="s">
        <v>15</v>
      </c>
      <c r="L252" s="24" t="str">
        <f t="shared" ca="1" si="3"/>
        <v/>
      </c>
      <c r="O252" s="30">
        <f ca="1">IF(TODAY()&lt;$J252,"",($O$3-$J252)*0.05+$O$6)</f>
        <v>10.889999999999999</v>
      </c>
    </row>
    <row r="253" spans="10:15" ht="13">
      <c r="J253" s="26">
        <f t="shared" si="4"/>
        <v>44591</v>
      </c>
      <c r="K253" s="3" t="s">
        <v>15</v>
      </c>
      <c r="L253" s="24" t="str">
        <f t="shared" ca="1" si="3"/>
        <v/>
      </c>
      <c r="O253" s="30">
        <f ca="1">IF(TODAY()&lt;$J253,"",($O$3-$J252)*0.05+$P$6)</f>
        <v>13.31</v>
      </c>
    </row>
    <row r="254" spans="10:15" ht="13">
      <c r="J254" s="26">
        <f t="shared" si="4"/>
        <v>44592</v>
      </c>
      <c r="K254" s="3">
        <v>2</v>
      </c>
      <c r="L254" s="24">
        <f t="shared" ca="1" si="3"/>
        <v>337.73</v>
      </c>
      <c r="O254" s="30"/>
    </row>
    <row r="255" spans="10:15" ht="13">
      <c r="J255" s="26">
        <f t="shared" si="4"/>
        <v>44592</v>
      </c>
      <c r="K255" s="3">
        <v>3</v>
      </c>
      <c r="L255" s="24">
        <f t="shared" ca="1" si="3"/>
        <v>347.14</v>
      </c>
      <c r="O255" s="30"/>
    </row>
    <row r="256" spans="10:15" ht="13">
      <c r="J256" s="26">
        <f t="shared" si="4"/>
        <v>44592</v>
      </c>
      <c r="K256" s="3">
        <v>4</v>
      </c>
      <c r="L256" s="24">
        <f t="shared" ca="1" si="3"/>
        <v>333.45</v>
      </c>
      <c r="O256" s="30"/>
    </row>
    <row r="257" spans="10:15" ht="13">
      <c r="J257" s="26">
        <f t="shared" si="4"/>
        <v>44592</v>
      </c>
      <c r="K257" s="3">
        <v>6</v>
      </c>
      <c r="L257" s="24">
        <f t="shared" ca="1" si="3"/>
        <v>347.01</v>
      </c>
      <c r="M257" s="10">
        <f ca="1">IF(TODAY()&lt;$J257,"",IF(($O$3-$J257)*0.1+$O$4&lt;0,0,($O$3-$J257)*0.1+$O$4))</f>
        <v>2.85</v>
      </c>
      <c r="N257" s="10">
        <f ca="1">IF(TODAY()&lt;$J257,"",IF(($O$3-$J257)*0.1+$O$5&lt;0,0,($O$3-$J257)*0.1+$O$5))</f>
        <v>0.95</v>
      </c>
      <c r="O257" s="30"/>
    </row>
    <row r="258" spans="10:15" ht="13">
      <c r="J258" s="26">
        <f t="shared" si="4"/>
        <v>44592</v>
      </c>
      <c r="K258" s="3">
        <v>7</v>
      </c>
      <c r="L258" s="24">
        <f t="shared" ca="1" si="3"/>
        <v>3661942</v>
      </c>
      <c r="O258" s="30"/>
    </row>
    <row r="259" spans="10:15" ht="13">
      <c r="J259" s="26">
        <f t="shared" si="4"/>
        <v>44592</v>
      </c>
      <c r="K259" s="3" t="s">
        <v>15</v>
      </c>
      <c r="L259" s="24" t="str">
        <f t="shared" ca="1" si="3"/>
        <v/>
      </c>
      <c r="O259" s="30">
        <f ca="1">IF(TODAY()&lt;$J259,"",($O$3-$J259)*0.05+$O$6)</f>
        <v>10.84</v>
      </c>
    </row>
    <row r="260" spans="10:15" ht="13">
      <c r="J260" s="26">
        <f t="shared" si="4"/>
        <v>44592</v>
      </c>
      <c r="K260" s="3" t="s">
        <v>15</v>
      </c>
      <c r="L260" s="24" t="str">
        <f t="shared" ca="1" si="3"/>
        <v/>
      </c>
      <c r="O260" s="30">
        <f ca="1">IF(TODAY()&lt;$J260,"",($O$3-$J259)*0.05+$P$6)</f>
        <v>13.260000000000002</v>
      </c>
    </row>
    <row r="261" spans="10:15" ht="13">
      <c r="J261" s="26">
        <f t="shared" si="4"/>
        <v>44593</v>
      </c>
      <c r="K261" s="3">
        <v>2</v>
      </c>
      <c r="L261" s="24">
        <f t="shared" ca="1" si="3"/>
        <v>337.73</v>
      </c>
      <c r="O261" s="30"/>
    </row>
    <row r="262" spans="10:15" ht="13">
      <c r="J262" s="26">
        <f t="shared" si="4"/>
        <v>44593</v>
      </c>
      <c r="K262" s="3">
        <v>3</v>
      </c>
      <c r="L262" s="24">
        <f t="shared" ca="1" si="3"/>
        <v>347.14</v>
      </c>
      <c r="O262" s="30"/>
    </row>
    <row r="263" spans="10:15" ht="13">
      <c r="J263" s="26">
        <f t="shared" si="4"/>
        <v>44593</v>
      </c>
      <c r="K263" s="3">
        <v>4</v>
      </c>
      <c r="L263" s="24">
        <f t="shared" ca="1" si="3"/>
        <v>333.45</v>
      </c>
      <c r="O263" s="30"/>
    </row>
    <row r="264" spans="10:15" ht="13">
      <c r="J264" s="26">
        <f t="shared" si="4"/>
        <v>44593</v>
      </c>
      <c r="K264" s="3">
        <v>6</v>
      </c>
      <c r="L264" s="24">
        <f t="shared" ca="1" si="3"/>
        <v>347.01</v>
      </c>
      <c r="M264" s="10">
        <f ca="1">IF(TODAY()&lt;$J264,"",IF(($O$3-$J264)*0.1+$O$4&lt;0,0,($O$3-$J264)*0.1+$O$4))</f>
        <v>2.75</v>
      </c>
      <c r="N264" s="10">
        <f ca="1">IF(TODAY()&lt;$J264,"",IF(($O$3-$J264)*0.1+$O$5&lt;0,0,($O$3-$J264)*0.1+$O$5))</f>
        <v>0.85</v>
      </c>
      <c r="O264" s="30"/>
    </row>
    <row r="265" spans="10:15" ht="13">
      <c r="J265" s="26">
        <f t="shared" si="4"/>
        <v>44593</v>
      </c>
      <c r="K265" s="3">
        <v>7</v>
      </c>
      <c r="L265" s="24">
        <f t="shared" ca="1" si="3"/>
        <v>3661942</v>
      </c>
      <c r="O265" s="30"/>
    </row>
    <row r="266" spans="10:15" ht="13">
      <c r="J266" s="26">
        <f t="shared" si="4"/>
        <v>44593</v>
      </c>
      <c r="K266" s="3" t="s">
        <v>15</v>
      </c>
      <c r="L266" s="24" t="str">
        <f t="shared" ca="1" si="3"/>
        <v/>
      </c>
      <c r="O266" s="30">
        <f ca="1">IF(TODAY()&lt;$J266,"",($O$3-$J266)*0.05+$O$6)</f>
        <v>10.79</v>
      </c>
    </row>
    <row r="267" spans="10:15" ht="13">
      <c r="J267" s="26">
        <f t="shared" si="4"/>
        <v>44593</v>
      </c>
      <c r="K267" s="3" t="s">
        <v>15</v>
      </c>
      <c r="L267" s="24" t="str">
        <f t="shared" ca="1" si="3"/>
        <v/>
      </c>
      <c r="O267" s="30">
        <f ca="1">IF(TODAY()&lt;$J267,"",($O$3-$J266)*0.05+$P$6)</f>
        <v>13.21</v>
      </c>
    </row>
    <row r="268" spans="10:15" ht="13">
      <c r="J268" s="26">
        <f t="shared" si="4"/>
        <v>44594</v>
      </c>
      <c r="K268" s="3">
        <v>2</v>
      </c>
      <c r="L268" s="24" t="str">
        <f t="shared" ca="1" si="3"/>
        <v/>
      </c>
      <c r="O268" s="30"/>
    </row>
    <row r="269" spans="10:15" ht="13">
      <c r="J269" s="26">
        <f t="shared" si="4"/>
        <v>44594</v>
      </c>
      <c r="K269" s="3">
        <v>3</v>
      </c>
      <c r="L269" s="24" t="str">
        <f t="shared" ca="1" si="3"/>
        <v/>
      </c>
      <c r="O269" s="30"/>
    </row>
    <row r="270" spans="10:15" ht="13">
      <c r="J270" s="26">
        <f t="shared" si="4"/>
        <v>44594</v>
      </c>
      <c r="K270" s="3">
        <v>4</v>
      </c>
      <c r="L270" s="24" t="str">
        <f t="shared" ca="1" si="3"/>
        <v/>
      </c>
      <c r="O270" s="30"/>
    </row>
    <row r="271" spans="10:15" ht="13">
      <c r="J271" s="26">
        <f t="shared" si="4"/>
        <v>44594</v>
      </c>
      <c r="K271" s="3">
        <v>6</v>
      </c>
      <c r="L271" s="24" t="str">
        <f t="shared" ca="1" si="3"/>
        <v/>
      </c>
      <c r="M271" s="10" t="str">
        <f ca="1">IF(TODAY()&lt;$J271,"",IF(($O$3-$J271)*0.1+$O$4&lt;0,0,($O$3-$J271)*0.1+$O$4))</f>
        <v/>
      </c>
      <c r="N271" s="10" t="str">
        <f ca="1">IF(TODAY()&lt;$J271,"",IF(($O$3-$J271)*0.1+$O$5&lt;0,0,($O$3-$J271)*0.1+$O$5))</f>
        <v/>
      </c>
      <c r="O271" s="30"/>
    </row>
    <row r="272" spans="10:15" ht="13">
      <c r="J272" s="26">
        <f t="shared" si="4"/>
        <v>44594</v>
      </c>
      <c r="K272" s="3">
        <v>7</v>
      </c>
      <c r="L272" s="24" t="str">
        <f t="shared" ca="1" si="3"/>
        <v/>
      </c>
      <c r="O272" s="30"/>
    </row>
    <row r="273" spans="10:15" ht="13">
      <c r="J273" s="26">
        <f t="shared" si="4"/>
        <v>44594</v>
      </c>
      <c r="K273" s="3" t="s">
        <v>15</v>
      </c>
      <c r="L273" s="24" t="str">
        <f t="shared" ca="1" si="3"/>
        <v/>
      </c>
      <c r="O273" s="30" t="str">
        <f ca="1">IF(TODAY()&lt;$J273,"",($O$3-$J273)*0.05+$O$6)</f>
        <v/>
      </c>
    </row>
    <row r="274" spans="10:15" ht="13">
      <c r="J274" s="26">
        <f t="shared" si="4"/>
        <v>44594</v>
      </c>
      <c r="K274" s="3" t="s">
        <v>15</v>
      </c>
      <c r="L274" s="24" t="str">
        <f t="shared" ca="1" si="3"/>
        <v/>
      </c>
      <c r="O274" s="30" t="str">
        <f ca="1">IF(TODAY()&lt;$J274,"",($O$3-$J273)*0.05+$P$6)</f>
        <v/>
      </c>
    </row>
    <row r="275" spans="10:15" ht="13">
      <c r="J275" s="26">
        <f t="shared" si="4"/>
        <v>44595</v>
      </c>
      <c r="K275" s="3">
        <v>2</v>
      </c>
      <c r="L275" s="24" t="str">
        <f t="shared" ca="1" si="3"/>
        <v/>
      </c>
      <c r="O275" s="30"/>
    </row>
    <row r="276" spans="10:15" ht="13">
      <c r="J276" s="26">
        <f t="shared" si="4"/>
        <v>44595</v>
      </c>
      <c r="K276" s="3">
        <v>3</v>
      </c>
      <c r="L276" s="24" t="str">
        <f t="shared" ca="1" si="3"/>
        <v/>
      </c>
      <c r="O276" s="30"/>
    </row>
    <row r="277" spans="10:15" ht="13">
      <c r="J277" s="26">
        <f t="shared" si="4"/>
        <v>44595</v>
      </c>
      <c r="K277" s="3">
        <v>4</v>
      </c>
      <c r="L277" s="24" t="str">
        <f t="shared" ca="1" si="3"/>
        <v/>
      </c>
      <c r="O277" s="30"/>
    </row>
    <row r="278" spans="10:15" ht="13">
      <c r="J278" s="26">
        <f t="shared" si="4"/>
        <v>44595</v>
      </c>
      <c r="K278" s="3">
        <v>6</v>
      </c>
      <c r="L278" s="24" t="str">
        <f t="shared" ca="1" si="3"/>
        <v/>
      </c>
      <c r="M278" s="10" t="str">
        <f ca="1">IF(TODAY()&lt;$J278,"",IF(($O$3-$J278)*0.1+$O$4&lt;0,0,($O$3-$J278)*0.1+$O$4))</f>
        <v/>
      </c>
      <c r="N278" s="10" t="str">
        <f ca="1">IF(TODAY()&lt;$J278,"",IF(($O$3-$J278)*0.1+$O$5&lt;0,0,($O$3-$J278)*0.1+$O$5))</f>
        <v/>
      </c>
      <c r="O278" s="30"/>
    </row>
    <row r="279" spans="10:15" ht="13">
      <c r="J279" s="26">
        <f t="shared" si="4"/>
        <v>44595</v>
      </c>
      <c r="K279" s="3">
        <v>7</v>
      </c>
      <c r="L279" s="24" t="str">
        <f t="shared" ca="1" si="3"/>
        <v/>
      </c>
      <c r="O279" s="30"/>
    </row>
    <row r="280" spans="10:15" ht="13">
      <c r="J280" s="26">
        <f t="shared" si="4"/>
        <v>44595</v>
      </c>
      <c r="K280" s="3" t="s">
        <v>15</v>
      </c>
      <c r="L280" s="24" t="str">
        <f t="shared" ca="1" si="3"/>
        <v/>
      </c>
      <c r="O280" s="30" t="str">
        <f ca="1">IF(TODAY()&lt;$J280,"",($O$3-$J280)*0.05+$O$6)</f>
        <v/>
      </c>
    </row>
    <row r="281" spans="10:15" ht="13">
      <c r="J281" s="26">
        <f t="shared" si="4"/>
        <v>44595</v>
      </c>
      <c r="K281" s="3" t="s">
        <v>15</v>
      </c>
      <c r="L281" s="24" t="str">
        <f t="shared" ca="1" si="3"/>
        <v/>
      </c>
      <c r="O281" s="30" t="str">
        <f ca="1">IF(TODAY()&lt;$J281,"",($O$3-$J280)*0.05+$P$6)</f>
        <v/>
      </c>
    </row>
    <row r="282" spans="10:15" ht="13">
      <c r="J282" s="26">
        <f t="shared" si="4"/>
        <v>44596</v>
      </c>
      <c r="K282" s="3">
        <v>2</v>
      </c>
      <c r="L282" s="24" t="str">
        <f t="shared" ca="1" si="3"/>
        <v/>
      </c>
      <c r="O282" s="30"/>
    </row>
    <row r="283" spans="10:15" ht="13">
      <c r="J283" s="26">
        <f t="shared" si="4"/>
        <v>44596</v>
      </c>
      <c r="K283" s="3">
        <v>3</v>
      </c>
      <c r="L283" s="24" t="str">
        <f t="shared" ca="1" si="3"/>
        <v/>
      </c>
      <c r="O283" s="30"/>
    </row>
    <row r="284" spans="10:15" ht="13">
      <c r="J284" s="26">
        <f t="shared" si="4"/>
        <v>44596</v>
      </c>
      <c r="K284" s="3">
        <v>4</v>
      </c>
      <c r="L284" s="24" t="str">
        <f t="shared" ca="1" si="3"/>
        <v/>
      </c>
      <c r="O284" s="30"/>
    </row>
    <row r="285" spans="10:15" ht="13">
      <c r="J285" s="26">
        <f t="shared" si="4"/>
        <v>44596</v>
      </c>
      <c r="K285" s="3">
        <v>6</v>
      </c>
      <c r="L285" s="24" t="str">
        <f t="shared" ca="1" si="3"/>
        <v/>
      </c>
      <c r="M285" s="10" t="str">
        <f ca="1">IF(TODAY()&lt;$J285,"",IF(($O$3-$J285)*0.1+$O$4&lt;0,0,($O$3-$J285)*0.1+$O$4))</f>
        <v/>
      </c>
      <c r="N285" s="10" t="str">
        <f ca="1">IF(TODAY()&lt;$J285,"",IF(($O$3-$J285)*0.1+$O$5&lt;0,0,($O$3-$J285)*0.1+$O$5))</f>
        <v/>
      </c>
      <c r="O285" s="30"/>
    </row>
    <row r="286" spans="10:15" ht="13">
      <c r="J286" s="26">
        <f t="shared" si="4"/>
        <v>44596</v>
      </c>
      <c r="K286" s="3">
        <v>7</v>
      </c>
      <c r="L286" s="24" t="str">
        <f t="shared" ca="1" si="3"/>
        <v/>
      </c>
      <c r="O286" s="30"/>
    </row>
    <row r="287" spans="10:15" ht="13">
      <c r="J287" s="26">
        <f t="shared" si="4"/>
        <v>44596</v>
      </c>
      <c r="K287" s="3" t="s">
        <v>15</v>
      </c>
      <c r="L287" s="24" t="str">
        <f t="shared" ca="1" si="3"/>
        <v/>
      </c>
      <c r="O287" s="30" t="str">
        <f ca="1">IF(TODAY()&lt;$J287,"",($O$3-$J287)*0.05+$O$6)</f>
        <v/>
      </c>
    </row>
    <row r="288" spans="10:15" ht="13">
      <c r="J288" s="26">
        <f t="shared" si="4"/>
        <v>44596</v>
      </c>
      <c r="K288" s="3" t="s">
        <v>15</v>
      </c>
      <c r="L288" s="24" t="str">
        <f t="shared" ca="1" si="3"/>
        <v/>
      </c>
      <c r="O288" s="30" t="str">
        <f ca="1">IF(TODAY()&lt;$J288,"",($O$3-$J287)*0.05+$P$6)</f>
        <v/>
      </c>
    </row>
    <row r="289" spans="10:15" ht="13">
      <c r="J289" s="26">
        <f t="shared" si="4"/>
        <v>44597</v>
      </c>
      <c r="K289" s="3">
        <v>2</v>
      </c>
      <c r="L289" s="24" t="str">
        <f t="shared" ca="1" si="3"/>
        <v/>
      </c>
      <c r="O289" s="30"/>
    </row>
    <row r="290" spans="10:15" ht="13">
      <c r="J290" s="26">
        <f t="shared" si="4"/>
        <v>44597</v>
      </c>
      <c r="K290" s="3">
        <v>3</v>
      </c>
      <c r="L290" s="24" t="str">
        <f t="shared" ca="1" si="3"/>
        <v/>
      </c>
      <c r="O290" s="30"/>
    </row>
    <row r="291" spans="10:15" ht="13">
      <c r="J291" s="26">
        <f t="shared" si="4"/>
        <v>44597</v>
      </c>
      <c r="K291" s="3">
        <v>4</v>
      </c>
      <c r="L291" s="24" t="str">
        <f t="shared" ca="1" si="3"/>
        <v/>
      </c>
      <c r="O291" s="30"/>
    </row>
    <row r="292" spans="10:15" ht="13">
      <c r="J292" s="26">
        <f t="shared" si="4"/>
        <v>44597</v>
      </c>
      <c r="K292" s="3">
        <v>6</v>
      </c>
      <c r="L292" s="24" t="str">
        <f t="shared" ca="1" si="3"/>
        <v/>
      </c>
      <c r="M292" s="10" t="str">
        <f ca="1">IF(TODAY()&lt;$J292,"",IF(($O$3-$J292)*0.1+$O$4&lt;0,0,($O$3-$J292)*0.1+$O$4))</f>
        <v/>
      </c>
      <c r="N292" s="10" t="str">
        <f ca="1">IF(TODAY()&lt;$J292,"",IF(($O$3-$J292)*0.1+$O$5&lt;0,0,($O$3-$J292)*0.1+$O$5))</f>
        <v/>
      </c>
      <c r="O292" s="30"/>
    </row>
    <row r="293" spans="10:15" ht="13">
      <c r="J293" s="26">
        <f t="shared" si="4"/>
        <v>44597</v>
      </c>
      <c r="K293" s="3">
        <v>7</v>
      </c>
      <c r="L293" s="24" t="str">
        <f t="shared" ca="1" si="3"/>
        <v/>
      </c>
      <c r="O293" s="30"/>
    </row>
    <row r="294" spans="10:15" ht="13">
      <c r="J294" s="26">
        <f t="shared" si="4"/>
        <v>44597</v>
      </c>
      <c r="K294" s="3" t="s">
        <v>15</v>
      </c>
      <c r="L294" s="24" t="str">
        <f t="shared" ca="1" si="3"/>
        <v/>
      </c>
      <c r="O294" s="30" t="str">
        <f ca="1">IF(TODAY()&lt;$J294,"",($O$3-$J294)*0.05+$O$6)</f>
        <v/>
      </c>
    </row>
    <row r="295" spans="10:15" ht="13">
      <c r="J295" s="26">
        <f t="shared" si="4"/>
        <v>44597</v>
      </c>
      <c r="K295" s="3" t="s">
        <v>15</v>
      </c>
      <c r="L295" s="24" t="str">
        <f t="shared" ca="1" si="3"/>
        <v/>
      </c>
      <c r="O295" s="30" t="str">
        <f ca="1">IF(TODAY()&lt;$J295,"",($O$3-$J294)*0.05+$P$6)</f>
        <v/>
      </c>
    </row>
    <row r="296" spans="10:15" ht="13">
      <c r="J296" s="26">
        <f t="shared" si="4"/>
        <v>44598</v>
      </c>
      <c r="K296" s="3">
        <v>2</v>
      </c>
      <c r="L296" s="24" t="str">
        <f t="shared" ca="1" si="3"/>
        <v/>
      </c>
      <c r="O296" s="30"/>
    </row>
    <row r="297" spans="10:15" ht="13">
      <c r="J297" s="26">
        <f t="shared" si="4"/>
        <v>44598</v>
      </c>
      <c r="K297" s="3">
        <v>3</v>
      </c>
      <c r="L297" s="24" t="str">
        <f t="shared" ca="1" si="3"/>
        <v/>
      </c>
      <c r="O297" s="30"/>
    </row>
    <row r="298" spans="10:15" ht="13">
      <c r="J298" s="26">
        <f t="shared" si="4"/>
        <v>44598</v>
      </c>
      <c r="K298" s="3">
        <v>4</v>
      </c>
      <c r="L298" s="24" t="str">
        <f t="shared" ca="1" si="3"/>
        <v/>
      </c>
      <c r="O298" s="30"/>
    </row>
    <row r="299" spans="10:15" ht="13">
      <c r="J299" s="26">
        <f t="shared" si="4"/>
        <v>44598</v>
      </c>
      <c r="K299" s="3">
        <v>6</v>
      </c>
      <c r="L299" s="24" t="str">
        <f t="shared" ca="1" si="3"/>
        <v/>
      </c>
      <c r="M299" s="10" t="str">
        <f ca="1">IF(TODAY()&lt;$J299,"",IF(($O$3-$J299)*0.1+$O$4&lt;0,0,($O$3-$J299)*0.1+$O$4))</f>
        <v/>
      </c>
      <c r="N299" s="10" t="str">
        <f ca="1">IF(TODAY()&lt;$J299,"",IF(($O$3-$J299)*0.1+$O$5&lt;0,0,($O$3-$J299)*0.1+$O$5))</f>
        <v/>
      </c>
      <c r="O299" s="30"/>
    </row>
    <row r="300" spans="10:15" ht="13">
      <c r="J300" s="26">
        <f t="shared" si="4"/>
        <v>44598</v>
      </c>
      <c r="K300" s="3">
        <v>7</v>
      </c>
      <c r="L300" s="24" t="str">
        <f t="shared" ca="1" si="3"/>
        <v/>
      </c>
      <c r="O300" s="30"/>
    </row>
    <row r="301" spans="10:15" ht="13">
      <c r="J301" s="26">
        <f t="shared" si="4"/>
        <v>44598</v>
      </c>
      <c r="K301" s="3" t="s">
        <v>15</v>
      </c>
      <c r="L301" s="24" t="str">
        <f t="shared" ca="1" si="3"/>
        <v/>
      </c>
      <c r="O301" s="30" t="str">
        <f ca="1">IF(TODAY()&lt;$J301,"",($O$3-$J301)*0.05+$O$6)</f>
        <v/>
      </c>
    </row>
    <row r="302" spans="10:15" ht="13">
      <c r="J302" s="26">
        <f t="shared" si="4"/>
        <v>44598</v>
      </c>
      <c r="K302" s="3" t="s">
        <v>15</v>
      </c>
      <c r="L302" s="24" t="str">
        <f t="shared" ca="1" si="3"/>
        <v/>
      </c>
      <c r="O302" s="30" t="str">
        <f ca="1">IF(TODAY()&lt;$J302,"",($O$3-$J301)*0.05+$P$6)</f>
        <v/>
      </c>
    </row>
    <row r="303" spans="10:15" ht="13">
      <c r="J303" s="26">
        <f t="shared" si="4"/>
        <v>44599</v>
      </c>
      <c r="K303" s="3">
        <v>2</v>
      </c>
      <c r="L303" s="24" t="str">
        <f t="shared" ca="1" si="3"/>
        <v/>
      </c>
      <c r="O303" s="30"/>
    </row>
    <row r="304" spans="10:15" ht="13">
      <c r="J304" s="26">
        <f t="shared" si="4"/>
        <v>44599</v>
      </c>
      <c r="K304" s="3">
        <v>3</v>
      </c>
      <c r="L304" s="24" t="str">
        <f t="shared" ca="1" si="3"/>
        <v/>
      </c>
      <c r="O304" s="30"/>
    </row>
    <row r="305" spans="10:15" ht="13">
      <c r="J305" s="26">
        <f t="shared" si="4"/>
        <v>44599</v>
      </c>
      <c r="K305" s="3">
        <v>4</v>
      </c>
      <c r="L305" s="24" t="str">
        <f t="shared" ca="1" si="3"/>
        <v/>
      </c>
      <c r="O305" s="30"/>
    </row>
    <row r="306" spans="10:15" ht="13">
      <c r="J306" s="26">
        <f t="shared" si="4"/>
        <v>44599</v>
      </c>
      <c r="K306" s="3">
        <v>6</v>
      </c>
      <c r="L306" s="24" t="str">
        <f t="shared" ca="1" si="3"/>
        <v/>
      </c>
      <c r="M306" s="10" t="str">
        <f ca="1">IF(TODAY()&lt;$J306,"",IF(($O$3-$J306)*0.1+$O$4&lt;0,0,($O$3-$J306)*0.1+$O$4))</f>
        <v/>
      </c>
      <c r="N306" s="10" t="str">
        <f ca="1">IF(TODAY()&lt;$J306,"",IF(($O$3-$J306)*0.1+$O$5&lt;0,0,($O$3-$J306)*0.1+$O$5))</f>
        <v/>
      </c>
      <c r="O306" s="30"/>
    </row>
    <row r="307" spans="10:15" ht="13">
      <c r="J307" s="26">
        <f t="shared" si="4"/>
        <v>44599</v>
      </c>
      <c r="K307" s="3">
        <v>7</v>
      </c>
      <c r="L307" s="24" t="str">
        <f t="shared" ca="1" si="3"/>
        <v/>
      </c>
      <c r="O307" s="30"/>
    </row>
    <row r="308" spans="10:15" ht="13">
      <c r="J308" s="26">
        <f t="shared" si="4"/>
        <v>44599</v>
      </c>
      <c r="K308" s="3" t="s">
        <v>15</v>
      </c>
      <c r="L308" s="24" t="str">
        <f t="shared" ca="1" si="3"/>
        <v/>
      </c>
      <c r="O308" s="30" t="str">
        <f ca="1">IF(TODAY()&lt;$J308,"",($O$3-$J308)*0.05+$O$6)</f>
        <v/>
      </c>
    </row>
    <row r="309" spans="10:15" ht="13">
      <c r="J309" s="26">
        <f t="shared" si="4"/>
        <v>44599</v>
      </c>
      <c r="K309" s="3" t="s">
        <v>15</v>
      </c>
      <c r="L309" s="24" t="str">
        <f t="shared" ca="1" si="3"/>
        <v/>
      </c>
      <c r="O309" s="30" t="str">
        <f ca="1">IF(TODAY()&lt;$J309,"",($O$3-$J308)*0.05+$P$6)</f>
        <v/>
      </c>
    </row>
    <row r="310" spans="10:15" ht="13">
      <c r="J310" s="26">
        <f t="shared" si="4"/>
        <v>44600</v>
      </c>
      <c r="K310" s="3">
        <v>2</v>
      </c>
      <c r="L310" s="24" t="str">
        <f t="shared" ca="1" si="3"/>
        <v/>
      </c>
      <c r="O310" s="30"/>
    </row>
    <row r="311" spans="10:15" ht="13">
      <c r="J311" s="26">
        <f t="shared" si="4"/>
        <v>44600</v>
      </c>
      <c r="K311" s="3">
        <v>3</v>
      </c>
      <c r="L311" s="24" t="str">
        <f t="shared" ca="1" si="3"/>
        <v/>
      </c>
      <c r="O311" s="30"/>
    </row>
    <row r="312" spans="10:15" ht="13">
      <c r="J312" s="26">
        <f t="shared" si="4"/>
        <v>44600</v>
      </c>
      <c r="K312" s="3">
        <v>4</v>
      </c>
      <c r="L312" s="24" t="str">
        <f t="shared" ca="1" si="3"/>
        <v/>
      </c>
      <c r="O312" s="30"/>
    </row>
    <row r="313" spans="10:15" ht="13">
      <c r="J313" s="26">
        <f t="shared" si="4"/>
        <v>44600</v>
      </c>
      <c r="K313" s="3">
        <v>6</v>
      </c>
      <c r="L313" s="24" t="str">
        <f t="shared" ca="1" si="3"/>
        <v/>
      </c>
      <c r="M313" s="10" t="str">
        <f ca="1">IF(TODAY()&lt;$J313,"",IF(($O$3-$J313)*0.1+$O$4&lt;0,0,($O$3-$J313)*0.1+$O$4))</f>
        <v/>
      </c>
      <c r="N313" s="10" t="str">
        <f ca="1">IF(TODAY()&lt;$J313,"",IF(($O$3-$J313)*0.1+$O$5&lt;0,0,($O$3-$J313)*0.1+$O$5))</f>
        <v/>
      </c>
      <c r="O313" s="30"/>
    </row>
    <row r="314" spans="10:15" ht="13">
      <c r="J314" s="26">
        <f t="shared" si="4"/>
        <v>44600</v>
      </c>
      <c r="K314" s="3">
        <v>7</v>
      </c>
      <c r="L314" s="24" t="str">
        <f t="shared" ca="1" si="3"/>
        <v/>
      </c>
      <c r="O314" s="30"/>
    </row>
    <row r="315" spans="10:15" ht="13">
      <c r="J315" s="26">
        <f t="shared" si="4"/>
        <v>44600</v>
      </c>
      <c r="K315" s="3" t="s">
        <v>15</v>
      </c>
      <c r="L315" s="24" t="str">
        <f t="shared" ca="1" si="3"/>
        <v/>
      </c>
      <c r="O315" s="30" t="str">
        <f ca="1">IF(TODAY()&lt;$J315,"",($O$3-$J315)*0.05+$O$6)</f>
        <v/>
      </c>
    </row>
    <row r="316" spans="10:15" ht="13">
      <c r="J316" s="26">
        <f t="shared" si="4"/>
        <v>44600</v>
      </c>
      <c r="K316" s="3" t="s">
        <v>15</v>
      </c>
      <c r="L316" s="24" t="str">
        <f t="shared" ca="1" si="3"/>
        <v/>
      </c>
      <c r="O316" s="30" t="str">
        <f ca="1">IF(TODAY()&lt;$J316,"",($O$3-$J315)*0.05+$P$6)</f>
        <v/>
      </c>
    </row>
    <row r="317" spans="10:15" ht="13">
      <c r="J317" s="26">
        <f t="shared" si="4"/>
        <v>44601</v>
      </c>
      <c r="K317" s="3">
        <v>2</v>
      </c>
      <c r="L317" s="24" t="str">
        <f t="shared" ca="1" si="3"/>
        <v/>
      </c>
      <c r="O317" s="30"/>
    </row>
    <row r="318" spans="10:15" ht="13">
      <c r="J318" s="26">
        <f t="shared" si="4"/>
        <v>44601</v>
      </c>
      <c r="K318" s="3">
        <v>3</v>
      </c>
      <c r="L318" s="24" t="str">
        <f t="shared" ca="1" si="3"/>
        <v/>
      </c>
      <c r="O318" s="30"/>
    </row>
    <row r="319" spans="10:15" ht="13">
      <c r="J319" s="26">
        <f t="shared" si="4"/>
        <v>44601</v>
      </c>
      <c r="K319" s="3">
        <v>4</v>
      </c>
      <c r="L319" s="24" t="str">
        <f t="shared" ca="1" si="3"/>
        <v/>
      </c>
      <c r="O319" s="30"/>
    </row>
    <row r="320" spans="10:15" ht="13">
      <c r="J320" s="26">
        <f t="shared" si="4"/>
        <v>44601</v>
      </c>
      <c r="K320" s="3">
        <v>6</v>
      </c>
      <c r="L320" s="24" t="str">
        <f t="shared" ca="1" si="3"/>
        <v/>
      </c>
      <c r="M320" s="10" t="str">
        <f ca="1">IF(TODAY()&lt;$J320,"",IF(($O$3-$J320)*0.1+$O$4&lt;0,0,($O$3-$J320)*0.1+$O$4))</f>
        <v/>
      </c>
      <c r="N320" s="10" t="str">
        <f ca="1">IF(TODAY()&lt;$J320,"",IF(($O$3-$J320)*0.1+$O$5&lt;0,0,($O$3-$J320)*0.1+$O$5))</f>
        <v/>
      </c>
      <c r="O320" s="30"/>
    </row>
    <row r="321" spans="10:15" ht="13">
      <c r="J321" s="26">
        <f t="shared" si="4"/>
        <v>44601</v>
      </c>
      <c r="K321" s="3">
        <v>7</v>
      </c>
      <c r="L321" s="24" t="str">
        <f t="shared" ca="1" si="3"/>
        <v/>
      </c>
      <c r="O321" s="30"/>
    </row>
    <row r="322" spans="10:15" ht="13">
      <c r="J322" s="26">
        <f t="shared" si="4"/>
        <v>44601</v>
      </c>
      <c r="K322" s="3" t="s">
        <v>15</v>
      </c>
      <c r="L322" s="24" t="str">
        <f t="shared" ca="1" si="3"/>
        <v/>
      </c>
      <c r="O322" s="30" t="str">
        <f ca="1">IF(TODAY()&lt;$J322,"",($O$3-$J322)*0.05+$O$6)</f>
        <v/>
      </c>
    </row>
    <row r="323" spans="10:15" ht="13">
      <c r="J323" s="26">
        <f t="shared" si="4"/>
        <v>44601</v>
      </c>
      <c r="K323" s="3" t="s">
        <v>15</v>
      </c>
      <c r="L323" s="24" t="str">
        <f t="shared" ca="1" si="3"/>
        <v/>
      </c>
      <c r="O323" s="30" t="str">
        <f ca="1">IF(TODAY()&lt;$J323,"",($O$3-$J322)*0.05+$P$6)</f>
        <v/>
      </c>
    </row>
    <row r="324" spans="10:15" ht="13">
      <c r="J324" s="26">
        <f t="shared" si="4"/>
        <v>44602</v>
      </c>
      <c r="K324" s="3">
        <v>2</v>
      </c>
      <c r="L324" s="24" t="str">
        <f t="shared" ca="1" si="3"/>
        <v/>
      </c>
      <c r="O324" s="30"/>
    </row>
    <row r="325" spans="10:15" ht="13">
      <c r="J325" s="26">
        <f t="shared" si="4"/>
        <v>44602</v>
      </c>
      <c r="K325" s="3">
        <v>3</v>
      </c>
      <c r="L325" s="24" t="str">
        <f t="shared" ca="1" si="3"/>
        <v/>
      </c>
      <c r="O325" s="30"/>
    </row>
    <row r="326" spans="10:15" ht="13">
      <c r="J326" s="26">
        <f t="shared" si="4"/>
        <v>44602</v>
      </c>
      <c r="K326" s="3">
        <v>4</v>
      </c>
      <c r="L326" s="24" t="str">
        <f t="shared" ca="1" si="3"/>
        <v/>
      </c>
      <c r="O326" s="30"/>
    </row>
    <row r="327" spans="10:15" ht="13">
      <c r="J327" s="26">
        <f t="shared" si="4"/>
        <v>44602</v>
      </c>
      <c r="K327" s="3">
        <v>6</v>
      </c>
      <c r="L327" s="24" t="str">
        <f t="shared" ca="1" si="3"/>
        <v/>
      </c>
      <c r="M327" s="10" t="str">
        <f ca="1">IF(TODAY()&lt;$J327,"",IF(($O$3-$J327)*0.1+$O$4&lt;0,0,($O$3-$J327)*0.1+$O$4))</f>
        <v/>
      </c>
      <c r="N327" s="10" t="str">
        <f ca="1">IF(TODAY()&lt;$J327,"",IF(($O$3-$J327)*0.1+$O$5&lt;0,0,($O$3-$J327)*0.1+$O$5))</f>
        <v/>
      </c>
      <c r="O327" s="30"/>
    </row>
    <row r="328" spans="10:15" ht="13">
      <c r="J328" s="26">
        <f t="shared" si="4"/>
        <v>44602</v>
      </c>
      <c r="K328" s="3">
        <v>7</v>
      </c>
      <c r="L328" s="24" t="str">
        <f t="shared" ca="1" si="3"/>
        <v/>
      </c>
      <c r="O328" s="30"/>
    </row>
    <row r="329" spans="10:15" ht="13">
      <c r="J329" s="26">
        <f t="shared" si="4"/>
        <v>44602</v>
      </c>
      <c r="K329" s="3" t="s">
        <v>15</v>
      </c>
      <c r="L329" s="24" t="str">
        <f t="shared" ca="1" si="3"/>
        <v/>
      </c>
      <c r="O329" s="30" t="str">
        <f ca="1">IF(TODAY()&lt;$J329,"",($O$3-$J329)*0.05+$O$6)</f>
        <v/>
      </c>
    </row>
    <row r="330" spans="10:15" ht="13">
      <c r="J330" s="26">
        <f t="shared" si="4"/>
        <v>44602</v>
      </c>
      <c r="K330" s="3" t="s">
        <v>15</v>
      </c>
      <c r="L330" s="24" t="str">
        <f t="shared" ca="1" si="3"/>
        <v/>
      </c>
      <c r="O330" s="30" t="str">
        <f ca="1">IF(TODAY()&lt;$J330,"",($O$3-$J329)*0.05+$P$6)</f>
        <v/>
      </c>
    </row>
    <row r="331" spans="10:15" ht="13">
      <c r="J331" s="26">
        <f t="shared" si="4"/>
        <v>44603</v>
      </c>
      <c r="K331" s="3">
        <v>2</v>
      </c>
      <c r="L331" s="24" t="str">
        <f t="shared" ca="1" si="3"/>
        <v/>
      </c>
      <c r="O331" s="30"/>
    </row>
    <row r="332" spans="10:15" ht="13">
      <c r="J332" s="26">
        <f t="shared" si="4"/>
        <v>44603</v>
      </c>
      <c r="K332" s="3">
        <v>3</v>
      </c>
      <c r="L332" s="24" t="str">
        <f t="shared" ca="1" si="3"/>
        <v/>
      </c>
      <c r="O332" s="30"/>
    </row>
    <row r="333" spans="10:15" ht="13">
      <c r="J333" s="26">
        <f t="shared" si="4"/>
        <v>44603</v>
      </c>
      <c r="K333" s="3">
        <v>4</v>
      </c>
      <c r="L333" s="24" t="str">
        <f t="shared" ca="1" si="3"/>
        <v/>
      </c>
      <c r="O333" s="30"/>
    </row>
    <row r="334" spans="10:15" ht="13">
      <c r="J334" s="26">
        <f t="shared" si="4"/>
        <v>44603</v>
      </c>
      <c r="K334" s="3">
        <v>6</v>
      </c>
      <c r="L334" s="24" t="str">
        <f t="shared" ca="1" si="3"/>
        <v/>
      </c>
      <c r="M334" s="10" t="str">
        <f ca="1">IF(TODAY()&lt;$J334,"",IF(($O$3-$J334)*0.1+$O$4&lt;0,0,($O$3-$J334)*0.1+$O$4))</f>
        <v/>
      </c>
      <c r="N334" s="10" t="str">
        <f ca="1">IF(TODAY()&lt;$J334,"",IF(($O$3-$J334)*0.1+$O$5&lt;0,0,($O$3-$J334)*0.1+$O$5))</f>
        <v/>
      </c>
      <c r="O334" s="30"/>
    </row>
    <row r="335" spans="10:15" ht="13">
      <c r="J335" s="26">
        <f t="shared" si="4"/>
        <v>44603</v>
      </c>
      <c r="K335" s="3">
        <v>7</v>
      </c>
      <c r="L335" s="24" t="str">
        <f t="shared" ca="1" si="3"/>
        <v/>
      </c>
      <c r="O335" s="30"/>
    </row>
    <row r="336" spans="10:15" ht="13">
      <c r="J336" s="26">
        <f t="shared" si="4"/>
        <v>44603</v>
      </c>
      <c r="K336" s="3" t="s">
        <v>15</v>
      </c>
      <c r="L336" s="24" t="str">
        <f t="shared" ca="1" si="3"/>
        <v/>
      </c>
      <c r="O336" s="30" t="str">
        <f ca="1">IF(TODAY()&lt;$J336,"",($O$3-$J336)*0.05+$O$6)</f>
        <v/>
      </c>
    </row>
    <row r="337" spans="10:15" ht="13">
      <c r="J337" s="26">
        <f t="shared" si="4"/>
        <v>44603</v>
      </c>
      <c r="K337" s="3" t="s">
        <v>15</v>
      </c>
      <c r="L337" s="24" t="str">
        <f t="shared" ca="1" si="3"/>
        <v/>
      </c>
      <c r="O337" s="30" t="str">
        <f ca="1">IF(TODAY()&lt;$J337,"",($O$3-$J336)*0.05+$P$6)</f>
        <v/>
      </c>
    </row>
    <row r="338" spans="10:15" ht="13">
      <c r="J338" s="26">
        <f t="shared" si="4"/>
        <v>44604</v>
      </c>
      <c r="K338" s="3">
        <v>2</v>
      </c>
      <c r="L338" s="24" t="str">
        <f t="shared" ca="1" si="3"/>
        <v/>
      </c>
      <c r="O338" s="30"/>
    </row>
    <row r="339" spans="10:15" ht="13">
      <c r="J339" s="26">
        <f t="shared" si="4"/>
        <v>44604</v>
      </c>
      <c r="K339" s="3">
        <v>3</v>
      </c>
      <c r="L339" s="24" t="str">
        <f t="shared" ca="1" si="3"/>
        <v/>
      </c>
      <c r="O339" s="30"/>
    </row>
    <row r="340" spans="10:15" ht="13">
      <c r="J340" s="26">
        <f t="shared" si="4"/>
        <v>44604</v>
      </c>
      <c r="K340" s="3">
        <v>4</v>
      </c>
      <c r="L340" s="24" t="str">
        <f t="shared" ca="1" si="3"/>
        <v/>
      </c>
      <c r="O340" s="30"/>
    </row>
    <row r="341" spans="10:15" ht="13">
      <c r="J341" s="26">
        <f t="shared" si="4"/>
        <v>44604</v>
      </c>
      <c r="K341" s="3">
        <v>6</v>
      </c>
      <c r="L341" s="24" t="str">
        <f t="shared" ca="1" si="3"/>
        <v/>
      </c>
      <c r="M341" s="10" t="str">
        <f ca="1">IF(TODAY()&lt;$J341,"",IF(($O$3-$J341)*0.1+$O$4&lt;0,0,($O$3-$J341)*0.1+$O$4))</f>
        <v/>
      </c>
      <c r="N341" s="10" t="str">
        <f ca="1">IF(TODAY()&lt;$J341,"",IF(($O$3-$J341)*0.1+$O$5&lt;0,0,($O$3-$J341)*0.1+$O$5))</f>
        <v/>
      </c>
      <c r="O341" s="30"/>
    </row>
    <row r="342" spans="10:15" ht="13">
      <c r="J342" s="26">
        <f t="shared" si="4"/>
        <v>44604</v>
      </c>
      <c r="K342" s="3">
        <v>7</v>
      </c>
      <c r="L342" s="24" t="str">
        <f t="shared" ca="1" si="3"/>
        <v/>
      </c>
      <c r="O342" s="30"/>
    </row>
    <row r="343" spans="10:15" ht="13">
      <c r="J343" s="26">
        <f t="shared" si="4"/>
        <v>44604</v>
      </c>
      <c r="K343" s="3" t="s">
        <v>15</v>
      </c>
      <c r="L343" s="24" t="str">
        <f t="shared" ca="1" si="3"/>
        <v/>
      </c>
      <c r="O343" s="30" t="str">
        <f ca="1">IF(TODAY()&lt;$J343,"",($O$3-$J343)*0.05+$O$6)</f>
        <v/>
      </c>
    </row>
    <row r="344" spans="10:15" ht="13">
      <c r="J344" s="26">
        <f t="shared" si="4"/>
        <v>44604</v>
      </c>
      <c r="K344" s="3" t="s">
        <v>15</v>
      </c>
      <c r="L344" s="24" t="str">
        <f t="shared" ca="1" si="3"/>
        <v/>
      </c>
      <c r="O344" s="30" t="str">
        <f ca="1">IF(TODAY()&lt;$J344,"",($O$3-$J343)*0.05+$P$6)</f>
        <v/>
      </c>
    </row>
    <row r="345" spans="10:15" ht="13">
      <c r="J345" s="26">
        <f t="shared" si="4"/>
        <v>44605</v>
      </c>
      <c r="K345" s="3">
        <v>2</v>
      </c>
      <c r="L345" s="24" t="str">
        <f t="shared" ca="1" si="3"/>
        <v/>
      </c>
      <c r="O345" s="30"/>
    </row>
    <row r="346" spans="10:15" ht="13">
      <c r="J346" s="26">
        <f t="shared" si="4"/>
        <v>44605</v>
      </c>
      <c r="K346" s="3">
        <v>3</v>
      </c>
      <c r="L346" s="24" t="str">
        <f t="shared" ca="1" si="3"/>
        <v/>
      </c>
      <c r="O346" s="30"/>
    </row>
    <row r="347" spans="10:15" ht="13">
      <c r="J347" s="26">
        <f t="shared" si="4"/>
        <v>44605</v>
      </c>
      <c r="K347" s="3">
        <v>4</v>
      </c>
      <c r="L347" s="24" t="str">
        <f t="shared" ca="1" si="3"/>
        <v/>
      </c>
      <c r="O347" s="30"/>
    </row>
    <row r="348" spans="10:15" ht="13">
      <c r="J348" s="26">
        <f t="shared" si="4"/>
        <v>44605</v>
      </c>
      <c r="K348" s="3">
        <v>6</v>
      </c>
      <c r="L348" s="24" t="str">
        <f t="shared" ca="1" si="3"/>
        <v/>
      </c>
      <c r="M348" s="10" t="str">
        <f ca="1">IF(TODAY()&lt;$J348,"",IF(($O$3-$J348)*0.1+$O$4&lt;0,0,($O$3-$J348)*0.1+$O$4))</f>
        <v/>
      </c>
      <c r="N348" s="10" t="str">
        <f ca="1">IF(TODAY()&lt;$J348,"",IF(($O$3-$J348)*0.1+$O$5&lt;0,0,($O$3-$J348)*0.1+$O$5))</f>
        <v/>
      </c>
      <c r="O348" s="30"/>
    </row>
    <row r="349" spans="10:15" ht="13">
      <c r="J349" s="26">
        <f t="shared" si="4"/>
        <v>44605</v>
      </c>
      <c r="K349" s="3">
        <v>7</v>
      </c>
      <c r="L349" s="24" t="str">
        <f t="shared" ca="1" si="3"/>
        <v/>
      </c>
      <c r="O349" s="30"/>
    </row>
    <row r="350" spans="10:15" ht="13">
      <c r="J350" s="26">
        <f t="shared" si="4"/>
        <v>44605</v>
      </c>
      <c r="K350" s="3" t="s">
        <v>15</v>
      </c>
      <c r="L350" s="24" t="str">
        <f t="shared" ca="1" si="3"/>
        <v/>
      </c>
      <c r="O350" s="30" t="str">
        <f ca="1">IF(TODAY()&lt;$J350,"",($O$3-$J350)*0.05+$O$6)</f>
        <v/>
      </c>
    </row>
    <row r="351" spans="10:15" ht="13">
      <c r="J351" s="26">
        <f t="shared" si="4"/>
        <v>44605</v>
      </c>
      <c r="K351" s="3" t="s">
        <v>15</v>
      </c>
      <c r="L351" s="24" t="str">
        <f t="shared" ca="1" si="3"/>
        <v/>
      </c>
      <c r="O351" s="30" t="str">
        <f ca="1">IF(TODAY()&lt;$J351,"",($O$3-$J350)*0.05+$P$6)</f>
        <v/>
      </c>
    </row>
    <row r="352" spans="10:15" ht="13">
      <c r="J352" s="26">
        <f t="shared" si="4"/>
        <v>44606</v>
      </c>
      <c r="K352" s="3">
        <v>2</v>
      </c>
      <c r="L352" s="24" t="str">
        <f t="shared" ca="1" si="3"/>
        <v/>
      </c>
      <c r="O352" s="30"/>
    </row>
    <row r="353" spans="10:15" ht="13">
      <c r="J353" s="26">
        <f t="shared" si="4"/>
        <v>44606</v>
      </c>
      <c r="K353" s="3">
        <v>3</v>
      </c>
      <c r="L353" s="24" t="str">
        <f t="shared" ca="1" si="3"/>
        <v/>
      </c>
      <c r="O353" s="30"/>
    </row>
    <row r="354" spans="10:15" ht="13">
      <c r="J354" s="26">
        <f t="shared" si="4"/>
        <v>44606</v>
      </c>
      <c r="K354" s="3">
        <v>4</v>
      </c>
      <c r="L354" s="24" t="str">
        <f t="shared" ca="1" si="3"/>
        <v/>
      </c>
      <c r="O354" s="30"/>
    </row>
    <row r="355" spans="10:15" ht="13">
      <c r="J355" s="26">
        <f t="shared" si="4"/>
        <v>44606</v>
      </c>
      <c r="K355" s="3">
        <v>6</v>
      </c>
      <c r="L355" s="24" t="str">
        <f t="shared" ca="1" si="3"/>
        <v/>
      </c>
      <c r="M355" s="10" t="str">
        <f ca="1">IF(TODAY()&lt;$J355,"",IF(($O$3-$J355)*0.1+$O$4&lt;0,0,($O$3-$J355)*0.1+$O$4))</f>
        <v/>
      </c>
      <c r="N355" s="10" t="str">
        <f ca="1">IF(TODAY()&lt;$J355,"",IF(($O$3-$J355)*0.1+$O$5&lt;0,0,($O$3-$J355)*0.1+$O$5))</f>
        <v/>
      </c>
      <c r="O355" s="30"/>
    </row>
    <row r="356" spans="10:15" ht="13">
      <c r="J356" s="26">
        <f t="shared" si="4"/>
        <v>44606</v>
      </c>
      <c r="K356" s="3">
        <v>7</v>
      </c>
      <c r="L356" s="24" t="str">
        <f t="shared" ca="1" si="3"/>
        <v/>
      </c>
      <c r="O356" s="30"/>
    </row>
    <row r="357" spans="10:15" ht="13">
      <c r="J357" s="26">
        <f t="shared" si="4"/>
        <v>44606</v>
      </c>
      <c r="K357" s="3" t="s">
        <v>15</v>
      </c>
      <c r="L357" s="24" t="str">
        <f t="shared" ca="1" si="3"/>
        <v/>
      </c>
      <c r="O357" s="30" t="str">
        <f ca="1">IF(TODAY()&lt;$J357,"",($O$3-$J357)*0.05+$O$6)</f>
        <v/>
      </c>
    </row>
    <row r="358" spans="10:15" ht="13">
      <c r="J358" s="26">
        <f t="shared" si="4"/>
        <v>44606</v>
      </c>
      <c r="K358" s="3" t="s">
        <v>15</v>
      </c>
      <c r="L358" s="24" t="str">
        <f t="shared" ca="1" si="3"/>
        <v/>
      </c>
      <c r="O358" s="30" t="str">
        <f ca="1">IF(TODAY()&lt;$J358,"",($O$3-$J357)*0.05+$P$6)</f>
        <v/>
      </c>
    </row>
    <row r="359" spans="10:15" ht="13">
      <c r="J359" s="26">
        <f t="shared" si="4"/>
        <v>44607</v>
      </c>
      <c r="K359" s="3">
        <v>2</v>
      </c>
      <c r="L359" s="24" t="str">
        <f t="shared" ca="1" si="3"/>
        <v/>
      </c>
      <c r="O359" s="30"/>
    </row>
    <row r="360" spans="10:15" ht="13">
      <c r="J360" s="26">
        <f t="shared" si="4"/>
        <v>44607</v>
      </c>
      <c r="K360" s="3">
        <v>3</v>
      </c>
      <c r="L360" s="24" t="str">
        <f t="shared" ca="1" si="3"/>
        <v/>
      </c>
      <c r="O360" s="30"/>
    </row>
    <row r="361" spans="10:15" ht="13">
      <c r="J361" s="26">
        <f t="shared" si="4"/>
        <v>44607</v>
      </c>
      <c r="K361" s="3">
        <v>4</v>
      </c>
      <c r="L361" s="24" t="str">
        <f t="shared" ca="1" si="3"/>
        <v/>
      </c>
      <c r="O361" s="30"/>
    </row>
    <row r="362" spans="10:15" ht="13">
      <c r="J362" s="26">
        <f t="shared" si="4"/>
        <v>44607</v>
      </c>
      <c r="K362" s="3">
        <v>6</v>
      </c>
      <c r="L362" s="24" t="str">
        <f t="shared" ca="1" si="3"/>
        <v/>
      </c>
      <c r="M362" s="10" t="str">
        <f ca="1">IF(TODAY()&lt;$J362,"",IF(($O$3-$J362)*0.1+$O$4&lt;0,0,($O$3-$J362)*0.1+$O$4))</f>
        <v/>
      </c>
      <c r="N362" s="10" t="str">
        <f ca="1">IF(TODAY()&lt;$J362,"",IF(($O$3-$J362)*0.1+$O$5&lt;0,0,($O$3-$J362)*0.1+$O$5))</f>
        <v/>
      </c>
      <c r="O362" s="30"/>
    </row>
    <row r="363" spans="10:15" ht="13">
      <c r="J363" s="26">
        <f t="shared" si="4"/>
        <v>44607</v>
      </c>
      <c r="K363" s="3">
        <v>7</v>
      </c>
      <c r="L363" s="24" t="str">
        <f t="shared" ca="1" si="3"/>
        <v/>
      </c>
      <c r="O363" s="30"/>
    </row>
    <row r="364" spans="10:15" ht="13">
      <c r="J364" s="26">
        <f t="shared" si="4"/>
        <v>44607</v>
      </c>
      <c r="K364" s="3" t="s">
        <v>15</v>
      </c>
      <c r="L364" s="24" t="str">
        <f t="shared" ca="1" si="3"/>
        <v/>
      </c>
      <c r="O364" s="30" t="str">
        <f ca="1">IF(TODAY()&lt;$J364,"",($O$3-$J364)*0.05+$O$6)</f>
        <v/>
      </c>
    </row>
    <row r="365" spans="10:15" ht="13">
      <c r="J365" s="26">
        <f t="shared" si="4"/>
        <v>44607</v>
      </c>
      <c r="K365" s="3" t="s">
        <v>15</v>
      </c>
      <c r="L365" s="24" t="str">
        <f t="shared" ca="1" si="3"/>
        <v/>
      </c>
      <c r="O365" s="30" t="str">
        <f ca="1">IF(TODAY()&lt;$J365,"",($O$3-$J364)*0.05+$P$6)</f>
        <v/>
      </c>
    </row>
    <row r="366" spans="10:15" ht="13">
      <c r="J366" s="26">
        <f t="shared" si="4"/>
        <v>44608</v>
      </c>
      <c r="K366" s="3">
        <v>2</v>
      </c>
      <c r="L366" s="24" t="str">
        <f t="shared" ca="1" si="3"/>
        <v/>
      </c>
      <c r="O366" s="30"/>
    </row>
    <row r="367" spans="10:15" ht="13">
      <c r="J367" s="26">
        <f t="shared" si="4"/>
        <v>44608</v>
      </c>
      <c r="K367" s="3">
        <v>3</v>
      </c>
      <c r="L367" s="24" t="str">
        <f t="shared" ca="1" si="3"/>
        <v/>
      </c>
      <c r="O367" s="30"/>
    </row>
    <row r="368" spans="10:15" ht="13">
      <c r="J368" s="26">
        <f t="shared" si="4"/>
        <v>44608</v>
      </c>
      <c r="K368" s="3">
        <v>4</v>
      </c>
      <c r="L368" s="24" t="str">
        <f t="shared" ca="1" si="3"/>
        <v/>
      </c>
      <c r="O368" s="30"/>
    </row>
    <row r="369" spans="10:15" ht="13">
      <c r="J369" s="26">
        <f t="shared" si="4"/>
        <v>44608</v>
      </c>
      <c r="K369" s="3">
        <v>6</v>
      </c>
      <c r="L369" s="24" t="str">
        <f t="shared" ca="1" si="3"/>
        <v/>
      </c>
      <c r="M369" s="10" t="str">
        <f ca="1">IF(TODAY()&lt;$J369,"",IF(($O$3-$J369)*0.1+$O$4&lt;0,0,($O$3-$J369)*0.1+$O$4))</f>
        <v/>
      </c>
      <c r="N369" s="10" t="str">
        <f ca="1">IF(TODAY()&lt;$J369,"",IF(($O$3-$J369)*0.1+$O$5&lt;0,0,($O$3-$J369)*0.1+$O$5))</f>
        <v/>
      </c>
      <c r="O369" s="30"/>
    </row>
    <row r="370" spans="10:15" ht="13">
      <c r="J370" s="26">
        <f t="shared" si="4"/>
        <v>44608</v>
      </c>
      <c r="K370" s="3">
        <v>7</v>
      </c>
      <c r="L370" s="24" t="str">
        <f t="shared" ca="1" si="3"/>
        <v/>
      </c>
      <c r="O370" s="30"/>
    </row>
    <row r="371" spans="10:15" ht="13">
      <c r="J371" s="26">
        <f t="shared" si="4"/>
        <v>44608</v>
      </c>
      <c r="K371" s="3" t="s">
        <v>15</v>
      </c>
      <c r="L371" s="24" t="str">
        <f t="shared" ca="1" si="3"/>
        <v/>
      </c>
      <c r="O371" s="30" t="str">
        <f ca="1">IF(TODAY()&lt;$J371,"",($O$3-$J371)*0.05+$O$6)</f>
        <v/>
      </c>
    </row>
    <row r="372" spans="10:15" ht="13">
      <c r="J372" s="26">
        <f t="shared" si="4"/>
        <v>44608</v>
      </c>
      <c r="K372" s="3" t="s">
        <v>15</v>
      </c>
      <c r="L372" s="24" t="str">
        <f t="shared" ca="1" si="3"/>
        <v/>
      </c>
      <c r="O372" s="30" t="str">
        <f ca="1">IF(TODAY()&lt;$J372,"",($O$3-$J371)*0.05+$P$6)</f>
        <v/>
      </c>
    </row>
    <row r="373" spans="10:15" ht="13">
      <c r="J373" s="26">
        <f t="shared" si="4"/>
        <v>44609</v>
      </c>
      <c r="K373" s="3">
        <v>2</v>
      </c>
      <c r="L373" s="24" t="str">
        <f t="shared" ca="1" si="3"/>
        <v/>
      </c>
      <c r="O373" s="30"/>
    </row>
    <row r="374" spans="10:15" ht="13">
      <c r="J374" s="26">
        <f t="shared" si="4"/>
        <v>44609</v>
      </c>
      <c r="K374" s="3">
        <v>3</v>
      </c>
      <c r="L374" s="24" t="str">
        <f t="shared" ca="1" si="3"/>
        <v/>
      </c>
      <c r="O374" s="30"/>
    </row>
    <row r="375" spans="10:15" ht="13">
      <c r="J375" s="26">
        <f t="shared" si="4"/>
        <v>44609</v>
      </c>
      <c r="K375" s="3">
        <v>4</v>
      </c>
      <c r="L375" s="24" t="str">
        <f t="shared" ca="1" si="3"/>
        <v/>
      </c>
      <c r="O375" s="30"/>
    </row>
    <row r="376" spans="10:15" ht="13">
      <c r="J376" s="26">
        <f t="shared" si="4"/>
        <v>44609</v>
      </c>
      <c r="K376" s="3">
        <v>6</v>
      </c>
      <c r="L376" s="24" t="str">
        <f t="shared" ca="1" si="3"/>
        <v/>
      </c>
      <c r="M376" s="10" t="str">
        <f ca="1">IF(TODAY()&lt;$J376,"",IF(($O$3-$J376)*0.1+$O$4&lt;0,0,($O$3-$J376)*0.1+$O$4))</f>
        <v/>
      </c>
      <c r="N376" s="10" t="str">
        <f ca="1">IF(TODAY()&lt;$J376,"",IF(($O$3-$J376)*0.1+$O$5&lt;0,0,($O$3-$J376)*0.1+$O$5))</f>
        <v/>
      </c>
      <c r="O376" s="30"/>
    </row>
    <row r="377" spans="10:15" ht="13">
      <c r="J377" s="26">
        <f t="shared" si="4"/>
        <v>44609</v>
      </c>
      <c r="K377" s="3">
        <v>7</v>
      </c>
      <c r="L377" s="24" t="str">
        <f t="shared" ca="1" si="3"/>
        <v/>
      </c>
      <c r="O377" s="30"/>
    </row>
    <row r="378" spans="10:15" ht="13">
      <c r="J378" s="26">
        <f t="shared" si="4"/>
        <v>44609</v>
      </c>
      <c r="K378" s="3" t="s">
        <v>15</v>
      </c>
      <c r="L378" s="24" t="str">
        <f t="shared" ca="1" si="3"/>
        <v/>
      </c>
      <c r="O378" s="30" t="str">
        <f ca="1">IF(TODAY()&lt;$J378,"",($O$3-$J378)*0.05+$O$6)</f>
        <v/>
      </c>
    </row>
    <row r="379" spans="10:15" ht="13">
      <c r="J379" s="26">
        <f t="shared" si="4"/>
        <v>44609</v>
      </c>
      <c r="K379" s="3" t="s">
        <v>15</v>
      </c>
      <c r="L379" s="24" t="str">
        <f t="shared" ca="1" si="3"/>
        <v/>
      </c>
      <c r="O379" s="30" t="str">
        <f ca="1">IF(TODAY()&lt;$J379,"",($O$3-$J378)*0.05+$P$6)</f>
        <v/>
      </c>
    </row>
    <row r="380" spans="10:15" ht="13">
      <c r="J380" s="26">
        <f t="shared" si="4"/>
        <v>44610</v>
      </c>
      <c r="K380" s="3">
        <v>2</v>
      </c>
      <c r="L380" s="24" t="str">
        <f t="shared" ca="1" si="3"/>
        <v/>
      </c>
      <c r="O380" s="30"/>
    </row>
    <row r="381" spans="10:15" ht="13">
      <c r="J381" s="26">
        <f t="shared" si="4"/>
        <v>44610</v>
      </c>
      <c r="K381" s="3">
        <v>3</v>
      </c>
      <c r="L381" s="24" t="str">
        <f t="shared" ca="1" si="3"/>
        <v/>
      </c>
      <c r="O381" s="30"/>
    </row>
    <row r="382" spans="10:15" ht="13">
      <c r="J382" s="26">
        <f t="shared" si="4"/>
        <v>44610</v>
      </c>
      <c r="K382" s="3">
        <v>4</v>
      </c>
      <c r="L382" s="24" t="str">
        <f t="shared" ca="1" si="3"/>
        <v/>
      </c>
      <c r="O382" s="30"/>
    </row>
    <row r="383" spans="10:15" ht="13">
      <c r="J383" s="26">
        <f t="shared" si="4"/>
        <v>44610</v>
      </c>
      <c r="K383" s="3">
        <v>6</v>
      </c>
      <c r="L383" s="24" t="str">
        <f t="shared" ca="1" si="3"/>
        <v/>
      </c>
      <c r="M383" s="10" t="str">
        <f ca="1">IF(TODAY()&lt;$J383,"",IF(($O$3-$J383)*0.1+$O$4&lt;0,0,($O$3-$J383)*0.1+$O$4))</f>
        <v/>
      </c>
      <c r="N383" s="10" t="str">
        <f ca="1">IF(TODAY()&lt;$J383,"",IF(($O$3-$J383)*0.1+$O$5&lt;0,0,($O$3-$J383)*0.1+$O$5))</f>
        <v/>
      </c>
      <c r="O383" s="30"/>
    </row>
    <row r="384" spans="10:15" ht="13">
      <c r="J384" s="26">
        <f t="shared" si="4"/>
        <v>44610</v>
      </c>
      <c r="K384" s="3">
        <v>7</v>
      </c>
      <c r="L384" s="24" t="str">
        <f t="shared" ca="1" si="3"/>
        <v/>
      </c>
      <c r="O384" s="30"/>
    </row>
    <row r="385" spans="10:15" ht="13">
      <c r="J385" s="26">
        <f t="shared" si="4"/>
        <v>44610</v>
      </c>
      <c r="K385" s="3" t="s">
        <v>15</v>
      </c>
      <c r="L385" s="24" t="str">
        <f t="shared" ca="1" si="3"/>
        <v/>
      </c>
      <c r="O385" s="30" t="str">
        <f ca="1">IF(TODAY()&lt;$J385,"",($O$3-$J385)*0.05+$O$6)</f>
        <v/>
      </c>
    </row>
    <row r="386" spans="10:15" ht="13">
      <c r="J386" s="26">
        <f t="shared" si="4"/>
        <v>44610</v>
      </c>
      <c r="K386" s="3" t="s">
        <v>15</v>
      </c>
      <c r="L386" s="24" t="str">
        <f t="shared" ca="1" si="3"/>
        <v/>
      </c>
      <c r="O386" s="30" t="str">
        <f ca="1">IF(TODAY()&lt;$J386,"",($O$3-$J385)*0.05+$P$6)</f>
        <v/>
      </c>
    </row>
    <row r="387" spans="10:15" ht="13">
      <c r="J387" s="26">
        <f t="shared" si="4"/>
        <v>44611</v>
      </c>
      <c r="K387" s="3">
        <v>2</v>
      </c>
      <c r="L387" s="24" t="str">
        <f t="shared" ca="1" si="3"/>
        <v/>
      </c>
      <c r="O387" s="30"/>
    </row>
    <row r="388" spans="10:15" ht="13">
      <c r="J388" s="26">
        <f t="shared" si="4"/>
        <v>44611</v>
      </c>
      <c r="K388" s="3">
        <v>3</v>
      </c>
      <c r="L388" s="24" t="str">
        <f t="shared" ca="1" si="3"/>
        <v/>
      </c>
      <c r="O388" s="30"/>
    </row>
    <row r="389" spans="10:15" ht="13">
      <c r="J389" s="26">
        <f t="shared" si="4"/>
        <v>44611</v>
      </c>
      <c r="K389" s="3">
        <v>4</v>
      </c>
      <c r="L389" s="24" t="str">
        <f t="shared" ca="1" si="3"/>
        <v/>
      </c>
      <c r="O389" s="30"/>
    </row>
    <row r="390" spans="10:15" ht="13">
      <c r="J390" s="26">
        <f t="shared" si="4"/>
        <v>44611</v>
      </c>
      <c r="K390" s="3">
        <v>6</v>
      </c>
      <c r="L390" s="24" t="str">
        <f t="shared" ca="1" si="3"/>
        <v/>
      </c>
      <c r="M390" s="10" t="str">
        <f ca="1">IF(TODAY()&lt;$J390,"",IF(($O$3-$J390)*0.1+$O$4&lt;0,0,($O$3-$J390)*0.1+$O$4))</f>
        <v/>
      </c>
      <c r="N390" s="10" t="str">
        <f ca="1">IF(TODAY()&lt;$J390,"",IF(($O$3-$J390)*0.1+$O$5&lt;0,0,($O$3-$J390)*0.1+$O$5))</f>
        <v/>
      </c>
      <c r="O390" s="30"/>
    </row>
    <row r="391" spans="10:15" ht="13">
      <c r="J391" s="26">
        <f t="shared" si="4"/>
        <v>44611</v>
      </c>
      <c r="K391" s="3">
        <v>7</v>
      </c>
      <c r="L391" s="24" t="str">
        <f t="shared" ca="1" si="3"/>
        <v/>
      </c>
      <c r="O391" s="30"/>
    </row>
    <row r="392" spans="10:15" ht="13">
      <c r="J392" s="26">
        <f t="shared" si="4"/>
        <v>44611</v>
      </c>
      <c r="K392" s="3" t="s">
        <v>15</v>
      </c>
      <c r="L392" s="24" t="str">
        <f t="shared" ca="1" si="3"/>
        <v/>
      </c>
      <c r="O392" s="30" t="str">
        <f ca="1">IF(TODAY()&lt;$J392,"",($O$3-$J392)*0.05+$O$6)</f>
        <v/>
      </c>
    </row>
    <row r="393" spans="10:15" ht="13">
      <c r="J393" s="26">
        <f t="shared" si="4"/>
        <v>44611</v>
      </c>
      <c r="K393" s="3" t="s">
        <v>15</v>
      </c>
      <c r="L393" s="24" t="str">
        <f t="shared" ca="1" si="3"/>
        <v/>
      </c>
      <c r="O393" s="30" t="str">
        <f ca="1">IF(TODAY()&lt;$J393,"",($O$3-$J392)*0.05+$P$6)</f>
        <v/>
      </c>
    </row>
    <row r="394" spans="10:15" ht="13">
      <c r="J394" s="26">
        <f t="shared" si="4"/>
        <v>44612</v>
      </c>
      <c r="K394" s="3">
        <v>2</v>
      </c>
      <c r="L394" s="24" t="str">
        <f t="shared" ca="1" si="3"/>
        <v/>
      </c>
      <c r="O394" s="30"/>
    </row>
    <row r="395" spans="10:15" ht="13">
      <c r="J395" s="26">
        <f t="shared" si="4"/>
        <v>44612</v>
      </c>
      <c r="K395" s="3">
        <v>3</v>
      </c>
      <c r="L395" s="24" t="str">
        <f t="shared" ca="1" si="3"/>
        <v/>
      </c>
      <c r="O395" s="30"/>
    </row>
    <row r="396" spans="10:15" ht="13">
      <c r="J396" s="26">
        <f t="shared" si="4"/>
        <v>44612</v>
      </c>
      <c r="K396" s="3">
        <v>4</v>
      </c>
      <c r="L396" s="24" t="str">
        <f t="shared" ca="1" si="3"/>
        <v/>
      </c>
      <c r="O396" s="30"/>
    </row>
    <row r="397" spans="10:15" ht="13">
      <c r="J397" s="26">
        <f t="shared" si="4"/>
        <v>44612</v>
      </c>
      <c r="K397" s="3">
        <v>6</v>
      </c>
      <c r="L397" s="24" t="str">
        <f t="shared" ca="1" si="3"/>
        <v/>
      </c>
      <c r="M397" s="10" t="str">
        <f ca="1">IF(TODAY()&lt;$J397,"",IF(($O$3-$J397)*0.1+$O$4&lt;0,0,($O$3-$J397)*0.1+$O$4))</f>
        <v/>
      </c>
      <c r="N397" s="10" t="str">
        <f ca="1">IF(TODAY()&lt;$J397,"",IF(($O$3-$J397)*0.1+$O$5&lt;0,0,($O$3-$J397)*0.1+$O$5))</f>
        <v/>
      </c>
      <c r="O397" s="30"/>
    </row>
    <row r="398" spans="10:15" ht="13">
      <c r="J398" s="26">
        <f t="shared" si="4"/>
        <v>44612</v>
      </c>
      <c r="K398" s="3">
        <v>7</v>
      </c>
      <c r="L398" s="24" t="str">
        <f t="shared" ca="1" si="3"/>
        <v/>
      </c>
      <c r="O398" s="30"/>
    </row>
    <row r="399" spans="10:15" ht="13">
      <c r="J399" s="26">
        <f t="shared" si="4"/>
        <v>44612</v>
      </c>
      <c r="K399" s="3" t="s">
        <v>15</v>
      </c>
      <c r="L399" s="24" t="str">
        <f t="shared" ca="1" si="3"/>
        <v/>
      </c>
      <c r="O399" s="30" t="str">
        <f ca="1">IF(TODAY()&lt;$J399,"",($O$3-$J399)*0.05+$O$6)</f>
        <v/>
      </c>
    </row>
    <row r="400" spans="10:15" ht="13">
      <c r="J400" s="26">
        <f t="shared" si="4"/>
        <v>44612</v>
      </c>
      <c r="K400" s="3" t="s">
        <v>15</v>
      </c>
      <c r="L400" s="24" t="str">
        <f t="shared" ca="1" si="3"/>
        <v/>
      </c>
      <c r="O400" s="30" t="str">
        <f ca="1">IF(TODAY()&lt;$J400,"",($O$3-$J399)*0.05+$P$6)</f>
        <v/>
      </c>
    </row>
    <row r="401" spans="10:15" ht="13">
      <c r="J401" s="26">
        <f t="shared" si="4"/>
        <v>44613</v>
      </c>
      <c r="K401" s="3">
        <v>2</v>
      </c>
      <c r="L401" s="24" t="str">
        <f t="shared" ca="1" si="3"/>
        <v/>
      </c>
      <c r="O401" s="30"/>
    </row>
    <row r="402" spans="10:15" ht="13">
      <c r="J402" s="26">
        <f t="shared" si="4"/>
        <v>44613</v>
      </c>
      <c r="K402" s="3">
        <v>3</v>
      </c>
      <c r="L402" s="24" t="str">
        <f t="shared" ca="1" si="3"/>
        <v/>
      </c>
      <c r="O402" s="30"/>
    </row>
    <row r="403" spans="10:15" ht="13">
      <c r="J403" s="26">
        <f t="shared" si="4"/>
        <v>44613</v>
      </c>
      <c r="K403" s="3">
        <v>4</v>
      </c>
      <c r="L403" s="24" t="str">
        <f t="shared" ca="1" si="3"/>
        <v/>
      </c>
      <c r="O403" s="30"/>
    </row>
    <row r="404" spans="10:15" ht="13">
      <c r="J404" s="26">
        <f t="shared" si="4"/>
        <v>44613</v>
      </c>
      <c r="K404" s="3">
        <v>6</v>
      </c>
      <c r="L404" s="24" t="str">
        <f t="shared" ca="1" si="3"/>
        <v/>
      </c>
      <c r="M404" s="10" t="str">
        <f ca="1">IF(TODAY()&lt;$J404,"",IF(($O$3-$J404)*0.1+$O$4&lt;0,0,($O$3-$J404)*0.1+$O$4))</f>
        <v/>
      </c>
      <c r="N404" s="10" t="str">
        <f ca="1">IF(TODAY()&lt;$J404,"",IF(($O$3-$J404)*0.1+$O$5&lt;0,0,($O$3-$J404)*0.1+$O$5))</f>
        <v/>
      </c>
      <c r="O404" s="30"/>
    </row>
    <row r="405" spans="10:15" ht="13">
      <c r="J405" s="26">
        <f t="shared" si="4"/>
        <v>44613</v>
      </c>
      <c r="K405" s="3">
        <v>7</v>
      </c>
      <c r="L405" s="24" t="str">
        <f t="shared" ca="1" si="3"/>
        <v/>
      </c>
      <c r="O405" s="30"/>
    </row>
    <row r="406" spans="10:15" ht="13">
      <c r="J406" s="26">
        <f t="shared" si="4"/>
        <v>44613</v>
      </c>
      <c r="K406" s="3" t="s">
        <v>15</v>
      </c>
      <c r="L406" s="24" t="str">
        <f t="shared" ca="1" si="3"/>
        <v/>
      </c>
      <c r="O406" s="30" t="str">
        <f ca="1">IF(TODAY()&lt;$J406,"",($O$3-$J406)*0.05+$O$6)</f>
        <v/>
      </c>
    </row>
    <row r="407" spans="10:15" ht="13">
      <c r="J407" s="26">
        <f t="shared" si="4"/>
        <v>44613</v>
      </c>
      <c r="K407" s="3" t="s">
        <v>15</v>
      </c>
      <c r="L407" s="24" t="str">
        <f t="shared" ca="1" si="3"/>
        <v/>
      </c>
      <c r="O407" s="30" t="str">
        <f ca="1">IF(TODAY()&lt;$J407,"",($O$3-$J406)*0.05+$P$6)</f>
        <v/>
      </c>
    </row>
    <row r="408" spans="10:15" ht="13">
      <c r="J408" s="26">
        <f t="shared" si="4"/>
        <v>44614</v>
      </c>
      <c r="K408" s="3">
        <v>2</v>
      </c>
      <c r="L408" s="24" t="str">
        <f t="shared" ca="1" si="3"/>
        <v/>
      </c>
      <c r="O408" s="30"/>
    </row>
    <row r="409" spans="10:15" ht="13">
      <c r="J409" s="26">
        <f t="shared" si="4"/>
        <v>44614</v>
      </c>
      <c r="K409" s="3">
        <v>3</v>
      </c>
      <c r="L409" s="24" t="str">
        <f t="shared" ca="1" si="3"/>
        <v/>
      </c>
      <c r="O409" s="30"/>
    </row>
    <row r="410" spans="10:15" ht="13">
      <c r="J410" s="26">
        <f t="shared" si="4"/>
        <v>44614</v>
      </c>
      <c r="K410" s="3">
        <v>4</v>
      </c>
      <c r="L410" s="24" t="str">
        <f t="shared" ca="1" si="3"/>
        <v/>
      </c>
      <c r="O410" s="30"/>
    </row>
    <row r="411" spans="10:15" ht="13">
      <c r="J411" s="26">
        <f t="shared" si="4"/>
        <v>44614</v>
      </c>
      <c r="K411" s="3">
        <v>6</v>
      </c>
      <c r="L411" s="24" t="str">
        <f t="shared" ca="1" si="3"/>
        <v/>
      </c>
      <c r="M411" s="10" t="str">
        <f ca="1">IF(TODAY()&lt;$J411,"",IF(($O$3-$J411)*0.1+$O$4&lt;0,0,($O$3-$J411)*0.1+$O$4))</f>
        <v/>
      </c>
      <c r="N411" s="10" t="str">
        <f ca="1">IF(TODAY()&lt;$J411,"",IF(($O$3-$J411)*0.1+$O$5&lt;0,0,($O$3-$J411)*0.1+$O$5))</f>
        <v/>
      </c>
      <c r="O411" s="30"/>
    </row>
    <row r="412" spans="10:15" ht="13">
      <c r="J412" s="26">
        <f t="shared" si="4"/>
        <v>44614</v>
      </c>
      <c r="K412" s="3">
        <v>7</v>
      </c>
      <c r="L412" s="24" t="str">
        <f t="shared" ca="1" si="3"/>
        <v/>
      </c>
      <c r="O412" s="30"/>
    </row>
    <row r="413" spans="10:15" ht="13">
      <c r="J413" s="26">
        <f t="shared" si="4"/>
        <v>44614</v>
      </c>
      <c r="K413" s="3" t="s">
        <v>15</v>
      </c>
      <c r="L413" s="24" t="str">
        <f t="shared" ca="1" si="3"/>
        <v/>
      </c>
      <c r="O413" s="30" t="str">
        <f ca="1">IF(TODAY()&lt;$J413,"",($O$3-$J413)*0.05+$O$6)</f>
        <v/>
      </c>
    </row>
    <row r="414" spans="10:15" ht="13">
      <c r="J414" s="26">
        <f t="shared" si="4"/>
        <v>44614</v>
      </c>
      <c r="K414" s="3" t="s">
        <v>15</v>
      </c>
      <c r="L414" s="24" t="str">
        <f t="shared" ca="1" si="3"/>
        <v/>
      </c>
      <c r="O414" s="30" t="str">
        <f ca="1">IF(TODAY()&lt;$J414,"",($O$3-$J413)*0.05+$P$6)</f>
        <v/>
      </c>
    </row>
    <row r="415" spans="10:15" ht="13">
      <c r="J415" s="26">
        <f t="shared" si="4"/>
        <v>44615</v>
      </c>
      <c r="K415" s="3">
        <v>2</v>
      </c>
      <c r="L415" s="24" t="str">
        <f t="shared" ca="1" si="3"/>
        <v/>
      </c>
      <c r="O415" s="30"/>
    </row>
    <row r="416" spans="10:15" ht="13">
      <c r="J416" s="26">
        <f t="shared" si="4"/>
        <v>44615</v>
      </c>
      <c r="K416" s="3">
        <v>3</v>
      </c>
      <c r="L416" s="24" t="str">
        <f t="shared" ca="1" si="3"/>
        <v/>
      </c>
      <c r="O416" s="30"/>
    </row>
    <row r="417" spans="10:15" ht="13">
      <c r="J417" s="26">
        <f t="shared" si="4"/>
        <v>44615</v>
      </c>
      <c r="K417" s="3">
        <v>4</v>
      </c>
      <c r="L417" s="24" t="str">
        <f t="shared" ca="1" si="3"/>
        <v/>
      </c>
      <c r="O417" s="30"/>
    </row>
    <row r="418" spans="10:15" ht="13">
      <c r="J418" s="26">
        <f t="shared" si="4"/>
        <v>44615</v>
      </c>
      <c r="K418" s="3">
        <v>6</v>
      </c>
      <c r="L418" s="24" t="str">
        <f t="shared" ca="1" si="3"/>
        <v/>
      </c>
      <c r="M418" s="10" t="str">
        <f ca="1">IF(TODAY()&lt;$J418,"",IF(($O$3-$J418)*0.1+$O$4&lt;0,0,($O$3-$J418)*0.1+$O$4))</f>
        <v/>
      </c>
      <c r="N418" s="10" t="str">
        <f ca="1">IF(TODAY()&lt;$J418,"",IF(($O$3-$J418)*0.1+$O$5&lt;0,0,($O$3-$J418)*0.1+$O$5))</f>
        <v/>
      </c>
      <c r="O418" s="30"/>
    </row>
    <row r="419" spans="10:15" ht="13">
      <c r="J419" s="26">
        <f t="shared" si="4"/>
        <v>44615</v>
      </c>
      <c r="K419" s="3">
        <v>7</v>
      </c>
      <c r="L419" s="24" t="str">
        <f t="shared" ca="1" si="3"/>
        <v/>
      </c>
      <c r="O419" s="30"/>
    </row>
    <row r="420" spans="10:15" ht="13">
      <c r="J420" s="26">
        <f t="shared" si="4"/>
        <v>44615</v>
      </c>
      <c r="K420" s="3" t="s">
        <v>15</v>
      </c>
      <c r="L420" s="24" t="str">
        <f t="shared" ca="1" si="3"/>
        <v/>
      </c>
      <c r="O420" s="30" t="str">
        <f ca="1">IF(TODAY()&lt;$J420,"",($O$3-$J420)*0.05+$O$6)</f>
        <v/>
      </c>
    </row>
    <row r="421" spans="10:15" ht="13">
      <c r="J421" s="26">
        <f t="shared" si="4"/>
        <v>44615</v>
      </c>
      <c r="K421" s="3" t="s">
        <v>15</v>
      </c>
      <c r="L421" s="24" t="str">
        <f t="shared" ca="1" si="3"/>
        <v/>
      </c>
      <c r="O421" s="30" t="str">
        <f ca="1">IF(TODAY()&lt;$J421,"",($O$3-$J420)*0.05+$P$6)</f>
        <v/>
      </c>
    </row>
    <row r="422" spans="10:15" ht="13">
      <c r="J422" s="26">
        <f t="shared" si="4"/>
        <v>44616</v>
      </c>
      <c r="K422" s="3">
        <v>2</v>
      </c>
      <c r="L422" s="24" t="str">
        <f t="shared" ca="1" si="3"/>
        <v/>
      </c>
      <c r="O422" s="30"/>
    </row>
    <row r="423" spans="10:15" ht="13">
      <c r="J423" s="26">
        <f t="shared" si="4"/>
        <v>44616</v>
      </c>
      <c r="K423" s="3">
        <v>3</v>
      </c>
      <c r="L423" s="24" t="str">
        <f t="shared" ca="1" si="3"/>
        <v/>
      </c>
      <c r="O423" s="30"/>
    </row>
    <row r="424" spans="10:15" ht="13">
      <c r="J424" s="26">
        <f t="shared" si="4"/>
        <v>44616</v>
      </c>
      <c r="K424" s="3">
        <v>4</v>
      </c>
      <c r="L424" s="24" t="str">
        <f t="shared" ca="1" si="3"/>
        <v/>
      </c>
      <c r="O424" s="30"/>
    </row>
    <row r="425" spans="10:15" ht="13">
      <c r="J425" s="26">
        <f t="shared" si="4"/>
        <v>44616</v>
      </c>
      <c r="K425" s="3">
        <v>6</v>
      </c>
      <c r="L425" s="24" t="str">
        <f t="shared" ca="1" si="3"/>
        <v/>
      </c>
      <c r="M425" s="10" t="str">
        <f ca="1">IF(TODAY()&lt;$J425,"",IF(($O$3-$J425)*0.1+$O$4&lt;0,0,($O$3-$J425)*0.1+$O$4))</f>
        <v/>
      </c>
      <c r="N425" s="10" t="str">
        <f ca="1">IF(TODAY()&lt;$J425,"",IF(($O$3-$J425)*0.1+$O$5&lt;0,0,($O$3-$J425)*0.1+$O$5))</f>
        <v/>
      </c>
      <c r="O425" s="30"/>
    </row>
    <row r="426" spans="10:15" ht="13">
      <c r="J426" s="26">
        <f t="shared" si="4"/>
        <v>44616</v>
      </c>
      <c r="K426" s="3">
        <v>7</v>
      </c>
      <c r="L426" s="24" t="str">
        <f t="shared" ca="1" si="3"/>
        <v/>
      </c>
      <c r="O426" s="30"/>
    </row>
    <row r="427" spans="10:15" ht="13">
      <c r="J427" s="26">
        <f t="shared" si="4"/>
        <v>44616</v>
      </c>
      <c r="K427" s="3" t="s">
        <v>15</v>
      </c>
      <c r="L427" s="24" t="str">
        <f t="shared" ca="1" si="3"/>
        <v/>
      </c>
      <c r="O427" s="30" t="str">
        <f ca="1">IF(TODAY()&lt;$J427,"",($O$3-$J427)*0.05+$O$6)</f>
        <v/>
      </c>
    </row>
    <row r="428" spans="10:15" ht="13">
      <c r="J428" s="26">
        <f t="shared" si="4"/>
        <v>44616</v>
      </c>
      <c r="K428" s="3" t="s">
        <v>15</v>
      </c>
      <c r="L428" s="24" t="str">
        <f t="shared" ca="1" si="3"/>
        <v/>
      </c>
      <c r="O428" s="30" t="str">
        <f ca="1">IF(TODAY()&lt;$J428,"",($O$3-$J427)*0.05+$P$6)</f>
        <v/>
      </c>
    </row>
    <row r="429" spans="10:15" ht="13">
      <c r="J429" s="26">
        <f t="shared" si="4"/>
        <v>44617</v>
      </c>
      <c r="K429" s="3">
        <v>2</v>
      </c>
      <c r="L429" s="24" t="str">
        <f t="shared" ca="1" si="3"/>
        <v/>
      </c>
      <c r="O429" s="30"/>
    </row>
    <row r="430" spans="10:15" ht="13">
      <c r="J430" s="26">
        <f t="shared" si="4"/>
        <v>44617</v>
      </c>
      <c r="K430" s="3">
        <v>3</v>
      </c>
      <c r="L430" s="24" t="str">
        <f t="shared" ca="1" si="3"/>
        <v/>
      </c>
      <c r="O430" s="30"/>
    </row>
    <row r="431" spans="10:15" ht="13">
      <c r="J431" s="26">
        <f t="shared" si="4"/>
        <v>44617</v>
      </c>
      <c r="K431" s="3">
        <v>4</v>
      </c>
      <c r="L431" s="24" t="str">
        <f t="shared" ca="1" si="3"/>
        <v/>
      </c>
      <c r="O431" s="30"/>
    </row>
    <row r="432" spans="10:15" ht="13">
      <c r="J432" s="26">
        <f t="shared" si="4"/>
        <v>44617</v>
      </c>
      <c r="K432" s="3">
        <v>6</v>
      </c>
      <c r="L432" s="24" t="str">
        <f t="shared" ca="1" si="3"/>
        <v/>
      </c>
      <c r="M432" s="10" t="str">
        <f ca="1">IF(TODAY()&lt;$J432,"",IF(($O$3-$J432)*0.1+$O$4&lt;0,0,($O$3-$J432)*0.1+$O$4))</f>
        <v/>
      </c>
      <c r="N432" s="10" t="str">
        <f ca="1">IF(TODAY()&lt;$J432,"",IF(($O$3-$J432)*0.1+$O$5&lt;0,0,($O$3-$J432)*0.1+$O$5))</f>
        <v/>
      </c>
      <c r="O432" s="30"/>
    </row>
    <row r="433" spans="10:15" ht="13">
      <c r="J433" s="26">
        <f t="shared" si="4"/>
        <v>44617</v>
      </c>
      <c r="K433" s="3">
        <v>7</v>
      </c>
      <c r="L433" s="24" t="str">
        <f t="shared" ca="1" si="3"/>
        <v/>
      </c>
      <c r="O433" s="30"/>
    </row>
    <row r="434" spans="10:15" ht="13">
      <c r="J434" s="26">
        <f t="shared" si="4"/>
        <v>44617</v>
      </c>
      <c r="K434" s="3" t="s">
        <v>15</v>
      </c>
      <c r="L434" s="24" t="str">
        <f t="shared" ca="1" si="3"/>
        <v/>
      </c>
      <c r="O434" s="30" t="str">
        <f ca="1">IF(TODAY()&lt;$J434,"",($O$3-$J434)*0.05+$O$6)</f>
        <v/>
      </c>
    </row>
    <row r="435" spans="10:15" ht="13">
      <c r="J435" s="26">
        <f t="shared" si="4"/>
        <v>44617</v>
      </c>
      <c r="K435" s="3" t="s">
        <v>15</v>
      </c>
      <c r="L435" s="24" t="str">
        <f t="shared" ca="1" si="3"/>
        <v/>
      </c>
      <c r="O435" s="30" t="str">
        <f ca="1">IF(TODAY()&lt;$J435,"",($O$3-$J434)*0.05+$P$6)</f>
        <v/>
      </c>
    </row>
    <row r="436" spans="10:15" ht="13">
      <c r="J436" s="26">
        <f t="shared" si="4"/>
        <v>44618</v>
      </c>
      <c r="K436" s="3">
        <v>2</v>
      </c>
      <c r="L436" s="24" t="str">
        <f t="shared" ca="1" si="3"/>
        <v/>
      </c>
      <c r="O436" s="30"/>
    </row>
    <row r="437" spans="10:15" ht="13">
      <c r="J437" s="26">
        <f t="shared" si="4"/>
        <v>44618</v>
      </c>
      <c r="K437" s="3">
        <v>3</v>
      </c>
      <c r="L437" s="24" t="str">
        <f t="shared" ca="1" si="3"/>
        <v/>
      </c>
      <c r="O437" s="30"/>
    </row>
    <row r="438" spans="10:15" ht="13">
      <c r="J438" s="26">
        <f t="shared" si="4"/>
        <v>44618</v>
      </c>
      <c r="K438" s="3">
        <v>4</v>
      </c>
      <c r="L438" s="24" t="str">
        <f t="shared" ca="1" si="3"/>
        <v/>
      </c>
      <c r="O438" s="30"/>
    </row>
    <row r="439" spans="10:15" ht="13">
      <c r="J439" s="26">
        <f t="shared" si="4"/>
        <v>44618</v>
      </c>
      <c r="K439" s="3">
        <v>6</v>
      </c>
      <c r="L439" s="24" t="str">
        <f t="shared" ca="1" si="3"/>
        <v/>
      </c>
      <c r="M439" s="10" t="str">
        <f ca="1">IF(TODAY()&lt;$J439,"",IF(($O$3-$J439)*0.1+$O$4&lt;0,0,($O$3-$J439)*0.1+$O$4))</f>
        <v/>
      </c>
      <c r="N439" s="10" t="str">
        <f ca="1">IF(TODAY()&lt;$J439,"",IF(($O$3-$J439)*0.1+$O$5&lt;0,0,($O$3-$J439)*0.1+$O$5))</f>
        <v/>
      </c>
      <c r="O439" s="30"/>
    </row>
    <row r="440" spans="10:15" ht="13">
      <c r="J440" s="26">
        <f t="shared" si="4"/>
        <v>44618</v>
      </c>
      <c r="K440" s="3">
        <v>7</v>
      </c>
      <c r="L440" s="24" t="str">
        <f t="shared" ca="1" si="3"/>
        <v/>
      </c>
      <c r="O440" s="30"/>
    </row>
    <row r="441" spans="10:15" ht="13">
      <c r="J441" s="26">
        <f t="shared" si="4"/>
        <v>44618</v>
      </c>
      <c r="K441" s="3" t="s">
        <v>15</v>
      </c>
      <c r="L441" s="24" t="str">
        <f t="shared" ca="1" si="3"/>
        <v/>
      </c>
      <c r="O441" s="30" t="str">
        <f ca="1">IF(TODAY()&lt;$J441,"",($O$3-$J441)*0.05+$O$6)</f>
        <v/>
      </c>
    </row>
    <row r="442" spans="10:15" ht="13">
      <c r="J442" s="26">
        <f t="shared" si="4"/>
        <v>44618</v>
      </c>
      <c r="K442" s="3" t="s">
        <v>15</v>
      </c>
      <c r="L442" s="24" t="str">
        <f t="shared" ca="1" si="3"/>
        <v/>
      </c>
      <c r="O442" s="30" t="str">
        <f ca="1">IF(TODAY()&lt;$J442,"",($O$3-$J441)*0.05+$P$6)</f>
        <v/>
      </c>
    </row>
    <row r="443" spans="10:15" ht="13">
      <c r="J443" s="26">
        <f t="shared" si="4"/>
        <v>44619</v>
      </c>
      <c r="K443" s="3">
        <v>2</v>
      </c>
      <c r="L443" s="24" t="str">
        <f t="shared" ca="1" si="3"/>
        <v/>
      </c>
      <c r="O443" s="30"/>
    </row>
    <row r="444" spans="10:15" ht="13">
      <c r="J444" s="26">
        <f t="shared" si="4"/>
        <v>44619</v>
      </c>
      <c r="K444" s="3">
        <v>3</v>
      </c>
      <c r="L444" s="24" t="str">
        <f t="shared" ca="1" si="3"/>
        <v/>
      </c>
      <c r="O444" s="30"/>
    </row>
    <row r="445" spans="10:15" ht="13">
      <c r="J445" s="26">
        <f t="shared" si="4"/>
        <v>44619</v>
      </c>
      <c r="K445" s="3">
        <v>4</v>
      </c>
      <c r="L445" s="24" t="str">
        <f t="shared" ca="1" si="3"/>
        <v/>
      </c>
      <c r="O445" s="30"/>
    </row>
    <row r="446" spans="10:15" ht="13">
      <c r="J446" s="26">
        <f t="shared" si="4"/>
        <v>44619</v>
      </c>
      <c r="K446" s="3">
        <v>6</v>
      </c>
      <c r="L446" s="24" t="str">
        <f t="shared" ca="1" si="3"/>
        <v/>
      </c>
      <c r="M446" s="10" t="str">
        <f ca="1">IF(TODAY()&lt;$J446,"",IF(($O$3-$J446)*0.1+$O$4&lt;0,0,($O$3-$J446)*0.1+$O$4))</f>
        <v/>
      </c>
      <c r="N446" s="10" t="str">
        <f ca="1">IF(TODAY()&lt;$J446,"",IF(($O$3-$J446)*0.1+$O$5&lt;0,0,($O$3-$J446)*0.1+$O$5))</f>
        <v/>
      </c>
      <c r="O446" s="30"/>
    </row>
    <row r="447" spans="10:15" ht="13">
      <c r="J447" s="26">
        <f t="shared" si="4"/>
        <v>44619</v>
      </c>
      <c r="K447" s="3">
        <v>7</v>
      </c>
      <c r="L447" s="24" t="str">
        <f t="shared" ca="1" si="3"/>
        <v/>
      </c>
      <c r="O447" s="30"/>
    </row>
    <row r="448" spans="10:15" ht="13">
      <c r="J448" s="26">
        <f t="shared" si="4"/>
        <v>44619</v>
      </c>
      <c r="K448" s="3" t="s">
        <v>15</v>
      </c>
      <c r="L448" s="24" t="str">
        <f t="shared" ca="1" si="3"/>
        <v/>
      </c>
      <c r="O448" s="30" t="str">
        <f ca="1">IF(TODAY()&lt;$J448,"",($O$3-$J448)*0.05+$O$6)</f>
        <v/>
      </c>
    </row>
    <row r="449" spans="10:15" ht="13">
      <c r="J449" s="26">
        <f t="shared" si="4"/>
        <v>44619</v>
      </c>
      <c r="K449" s="3" t="s">
        <v>15</v>
      </c>
      <c r="L449" s="24" t="str">
        <f t="shared" ca="1" si="3"/>
        <v/>
      </c>
      <c r="O449" s="30" t="str">
        <f ca="1">IF(TODAY()&lt;$J449,"",($O$3-$J448)*0.05+$P$6)</f>
        <v/>
      </c>
    </row>
    <row r="450" spans="10:15" ht="13">
      <c r="J450" s="26">
        <f t="shared" si="4"/>
        <v>44620</v>
      </c>
      <c r="K450" s="3">
        <v>2</v>
      </c>
      <c r="L450" s="24" t="str">
        <f t="shared" ca="1" si="3"/>
        <v/>
      </c>
      <c r="O450" s="30"/>
    </row>
    <row r="451" spans="10:15" ht="13">
      <c r="J451" s="26">
        <f t="shared" si="4"/>
        <v>44620</v>
      </c>
      <c r="K451" s="3">
        <v>3</v>
      </c>
      <c r="L451" s="24" t="str">
        <f t="shared" ca="1" si="3"/>
        <v/>
      </c>
      <c r="O451" s="30"/>
    </row>
    <row r="452" spans="10:15" ht="13">
      <c r="J452" s="26">
        <f t="shared" si="4"/>
        <v>44620</v>
      </c>
      <c r="K452" s="3">
        <v>4</v>
      </c>
      <c r="L452" s="24" t="str">
        <f t="shared" ca="1" si="3"/>
        <v/>
      </c>
      <c r="O452" s="30"/>
    </row>
    <row r="453" spans="10:15" ht="13">
      <c r="J453" s="26">
        <f t="shared" si="4"/>
        <v>44620</v>
      </c>
      <c r="K453" s="3">
        <v>6</v>
      </c>
      <c r="L453" s="24" t="str">
        <f t="shared" ca="1" si="3"/>
        <v/>
      </c>
      <c r="M453" s="10" t="str">
        <f ca="1">IF(TODAY()&lt;$J453,"",IF(($O$3-$J453)*0.1+$O$4&lt;0,0,($O$3-$J453)*0.1+$O$4))</f>
        <v/>
      </c>
      <c r="N453" s="10" t="str">
        <f ca="1">IF(TODAY()&lt;$J453,"",IF(($O$3-$J453)*0.1+$O$5&lt;0,0,($O$3-$J453)*0.1+$O$5))</f>
        <v/>
      </c>
      <c r="O453" s="30"/>
    </row>
    <row r="454" spans="10:15" ht="13">
      <c r="J454" s="26">
        <f t="shared" si="4"/>
        <v>44620</v>
      </c>
      <c r="K454" s="3">
        <v>7</v>
      </c>
      <c r="L454" s="24" t="str">
        <f t="shared" ca="1" si="3"/>
        <v/>
      </c>
      <c r="O454" s="30"/>
    </row>
    <row r="455" spans="10:15" ht="13">
      <c r="J455" s="26">
        <f t="shared" si="4"/>
        <v>44620</v>
      </c>
      <c r="K455" s="3" t="s">
        <v>15</v>
      </c>
      <c r="L455" s="24" t="str">
        <f t="shared" ca="1" si="3"/>
        <v/>
      </c>
      <c r="O455" s="30" t="str">
        <f ca="1">IF(TODAY()&lt;$J455,"",($O$3-$J455)*0.05+$O$6)</f>
        <v/>
      </c>
    </row>
    <row r="456" spans="10:15" ht="13">
      <c r="J456" s="26">
        <f t="shared" si="4"/>
        <v>44620</v>
      </c>
      <c r="K456" s="3" t="s">
        <v>15</v>
      </c>
      <c r="L456" s="24" t="str">
        <f t="shared" ca="1" si="3"/>
        <v/>
      </c>
      <c r="O456" s="30" t="str">
        <f ca="1">IF(TODAY()&lt;$J456,"",($O$3-$J455)*0.05+$P$6)</f>
        <v/>
      </c>
    </row>
    <row r="457" spans="10:15" ht="13">
      <c r="J457" s="26">
        <f t="shared" si="4"/>
        <v>44621</v>
      </c>
      <c r="K457" s="3">
        <v>2</v>
      </c>
      <c r="L457" s="24" t="str">
        <f t="shared" ca="1" si="3"/>
        <v/>
      </c>
      <c r="O457" s="30"/>
    </row>
    <row r="458" spans="10:15" ht="13">
      <c r="J458" s="26">
        <f t="shared" si="4"/>
        <v>44621</v>
      </c>
      <c r="K458" s="3">
        <v>3</v>
      </c>
      <c r="L458" s="24" t="str">
        <f t="shared" ca="1" si="3"/>
        <v/>
      </c>
      <c r="O458" s="30"/>
    </row>
    <row r="459" spans="10:15" ht="13">
      <c r="J459" s="26">
        <f t="shared" si="4"/>
        <v>44621</v>
      </c>
      <c r="K459" s="3">
        <v>4</v>
      </c>
      <c r="L459" s="24" t="str">
        <f t="shared" ca="1" si="3"/>
        <v/>
      </c>
      <c r="O459" s="30"/>
    </row>
    <row r="460" spans="10:15" ht="13">
      <c r="J460" s="26">
        <f t="shared" si="4"/>
        <v>44621</v>
      </c>
      <c r="K460" s="3">
        <v>6</v>
      </c>
      <c r="L460" s="24" t="str">
        <f t="shared" ca="1" si="3"/>
        <v/>
      </c>
      <c r="M460" s="10" t="str">
        <f ca="1">IF(TODAY()&lt;$J460,"",IF(($O$3-$J460)*0.1+$O$4&lt;0,0,($O$3-$J460)*0.1+$O$4))</f>
        <v/>
      </c>
      <c r="N460" s="10" t="str">
        <f ca="1">IF(TODAY()&lt;$J460,"",IF(($O$3-$J460)*0.1+$O$5&lt;0,0,($O$3-$J460)*0.1+$O$5))</f>
        <v/>
      </c>
      <c r="O460" s="30"/>
    </row>
    <row r="461" spans="10:15" ht="13">
      <c r="J461" s="26">
        <f t="shared" si="4"/>
        <v>44621</v>
      </c>
      <c r="K461" s="3">
        <v>7</v>
      </c>
      <c r="L461" s="24" t="str">
        <f t="shared" ca="1" si="3"/>
        <v/>
      </c>
      <c r="O461" s="30"/>
    </row>
    <row r="462" spans="10:15" ht="13">
      <c r="J462" s="26">
        <f t="shared" si="4"/>
        <v>44621</v>
      </c>
      <c r="K462" s="3" t="s">
        <v>15</v>
      </c>
      <c r="L462" s="24" t="str">
        <f t="shared" ca="1" si="3"/>
        <v/>
      </c>
      <c r="O462" s="30" t="str">
        <f ca="1">IF(TODAY()&lt;$J462,"",($O$3-$J462)*0.05+$O$6)</f>
        <v/>
      </c>
    </row>
    <row r="463" spans="10:15" ht="13">
      <c r="J463" s="26">
        <f t="shared" si="4"/>
        <v>44621</v>
      </c>
      <c r="K463" s="3" t="s">
        <v>15</v>
      </c>
      <c r="L463" s="24" t="str">
        <f t="shared" ca="1" si="3"/>
        <v/>
      </c>
      <c r="O463" s="30" t="str">
        <f ca="1">IF(TODAY()&lt;$J463,"",($O$3-$J462)*0.05+$P$6)</f>
        <v/>
      </c>
    </row>
    <row r="464" spans="10:15" ht="13">
      <c r="J464" s="26">
        <f t="shared" si="4"/>
        <v>44622</v>
      </c>
      <c r="K464" s="3">
        <v>2</v>
      </c>
      <c r="L464" s="24" t="str">
        <f t="shared" ca="1" si="3"/>
        <v/>
      </c>
      <c r="O464" s="30"/>
    </row>
    <row r="465" spans="10:15" ht="13">
      <c r="J465" s="26">
        <f t="shared" si="4"/>
        <v>44622</v>
      </c>
      <c r="K465" s="3">
        <v>3</v>
      </c>
      <c r="L465" s="24" t="str">
        <f t="shared" ca="1" si="3"/>
        <v/>
      </c>
      <c r="O465" s="30"/>
    </row>
    <row r="466" spans="10:15" ht="13">
      <c r="J466" s="26">
        <f t="shared" si="4"/>
        <v>44622</v>
      </c>
      <c r="K466" s="3">
        <v>4</v>
      </c>
      <c r="L466" s="24" t="str">
        <f t="shared" ca="1" si="3"/>
        <v/>
      </c>
      <c r="O466" s="30"/>
    </row>
    <row r="467" spans="10:15" ht="13">
      <c r="J467" s="26">
        <f t="shared" si="4"/>
        <v>44622</v>
      </c>
      <c r="K467" s="3">
        <v>6</v>
      </c>
      <c r="L467" s="24" t="str">
        <f t="shared" ca="1" si="3"/>
        <v/>
      </c>
      <c r="M467" s="10" t="str">
        <f ca="1">IF(TODAY()&lt;$J467,"",IF(($O$3-$J467)*0.1+$O$4&lt;0,0,($O$3-$J467)*0.1+$O$4))</f>
        <v/>
      </c>
      <c r="N467" s="10" t="str">
        <f ca="1">IF(TODAY()&lt;$J467,"",IF(($O$3-$J467)*0.1+$O$5&lt;0,0,($O$3-$J467)*0.1+$O$5))</f>
        <v/>
      </c>
      <c r="O467" s="30"/>
    </row>
    <row r="468" spans="10:15" ht="13">
      <c r="J468" s="26">
        <f t="shared" si="4"/>
        <v>44622</v>
      </c>
      <c r="K468" s="3">
        <v>7</v>
      </c>
      <c r="L468" s="24" t="str">
        <f t="shared" ca="1" si="3"/>
        <v/>
      </c>
      <c r="O468" s="30"/>
    </row>
    <row r="469" spans="10:15" ht="13">
      <c r="J469" s="26">
        <f t="shared" si="4"/>
        <v>44622</v>
      </c>
      <c r="K469" s="3" t="s">
        <v>15</v>
      </c>
      <c r="L469" s="24" t="str">
        <f t="shared" ca="1" si="3"/>
        <v/>
      </c>
      <c r="O469" s="30" t="str">
        <f ca="1">IF(TODAY()&lt;$J469,"",($O$3-$J469)*0.05+$O$6)</f>
        <v/>
      </c>
    </row>
    <row r="470" spans="10:15" ht="13">
      <c r="J470" s="26">
        <f t="shared" si="4"/>
        <v>44622</v>
      </c>
      <c r="K470" s="3" t="s">
        <v>15</v>
      </c>
      <c r="L470" s="24" t="str">
        <f t="shared" ca="1" si="3"/>
        <v/>
      </c>
      <c r="O470" s="30" t="str">
        <f ca="1">IF(TODAY()&lt;$J470,"",($O$3-$J469)*0.05+$P$6)</f>
        <v/>
      </c>
    </row>
    <row r="471" spans="10:15" ht="13">
      <c r="J471" s="26">
        <f t="shared" si="4"/>
        <v>44623</v>
      </c>
      <c r="K471" s="3">
        <v>2</v>
      </c>
      <c r="L471" s="24" t="str">
        <f t="shared" ca="1" si="3"/>
        <v/>
      </c>
      <c r="O471" s="30"/>
    </row>
    <row r="472" spans="10:15" ht="13">
      <c r="J472" s="26">
        <f t="shared" si="4"/>
        <v>44623</v>
      </c>
      <c r="K472" s="3">
        <v>3</v>
      </c>
      <c r="L472" s="24" t="str">
        <f t="shared" ca="1" si="3"/>
        <v/>
      </c>
      <c r="O472" s="30"/>
    </row>
    <row r="473" spans="10:15" ht="13">
      <c r="J473" s="26">
        <f t="shared" si="4"/>
        <v>44623</v>
      </c>
      <c r="K473" s="3">
        <v>4</v>
      </c>
      <c r="L473" s="24" t="str">
        <f t="shared" ca="1" si="3"/>
        <v/>
      </c>
      <c r="O473" s="30"/>
    </row>
    <row r="474" spans="10:15" ht="13">
      <c r="J474" s="26">
        <f t="shared" si="4"/>
        <v>44623</v>
      </c>
      <c r="K474" s="3">
        <v>6</v>
      </c>
      <c r="L474" s="24" t="str">
        <f t="shared" ca="1" si="3"/>
        <v/>
      </c>
      <c r="M474" s="10" t="str">
        <f ca="1">IF(TODAY()&lt;$J474,"",IF(($O$3-$J474)*0.1+$O$4&lt;0,0,($O$3-$J474)*0.1+$O$4))</f>
        <v/>
      </c>
      <c r="N474" s="10" t="str">
        <f ca="1">IF(TODAY()&lt;$J474,"",IF(($O$3-$J474)*0.1+$O$5&lt;0,0,($O$3-$J474)*0.1+$O$5))</f>
        <v/>
      </c>
      <c r="O474" s="30"/>
    </row>
    <row r="475" spans="10:15" ht="13">
      <c r="J475" s="26">
        <f t="shared" si="4"/>
        <v>44623</v>
      </c>
      <c r="K475" s="3">
        <v>7</v>
      </c>
      <c r="L475" s="24" t="str">
        <f t="shared" ca="1" si="3"/>
        <v/>
      </c>
      <c r="O475" s="30"/>
    </row>
    <row r="476" spans="10:15" ht="13">
      <c r="J476" s="26">
        <f t="shared" si="4"/>
        <v>44623</v>
      </c>
      <c r="K476" s="3" t="s">
        <v>15</v>
      </c>
      <c r="L476" s="24" t="str">
        <f t="shared" ca="1" si="3"/>
        <v/>
      </c>
      <c r="O476" s="30" t="str">
        <f ca="1">IF(TODAY()&lt;$J476,"",($O$3-$J476)*0.05+$O$6)</f>
        <v/>
      </c>
    </row>
    <row r="477" spans="10:15" ht="13">
      <c r="J477" s="26">
        <f t="shared" si="4"/>
        <v>44623</v>
      </c>
      <c r="K477" s="3" t="s">
        <v>15</v>
      </c>
      <c r="L477" s="24" t="str">
        <f t="shared" ca="1" si="3"/>
        <v/>
      </c>
      <c r="O477" s="30" t="str">
        <f ca="1">IF(TODAY()&lt;$J477,"",($O$3-$J476)*0.05+$P$6)</f>
        <v/>
      </c>
    </row>
    <row r="478" spans="10:15" ht="13">
      <c r="J478" s="26">
        <f t="shared" si="4"/>
        <v>44624</v>
      </c>
      <c r="K478" s="3">
        <v>2</v>
      </c>
      <c r="L478" s="24" t="str">
        <f t="shared" ca="1" si="3"/>
        <v/>
      </c>
      <c r="O478" s="30"/>
    </row>
    <row r="479" spans="10:15" ht="13">
      <c r="J479" s="26">
        <f t="shared" si="4"/>
        <v>44624</v>
      </c>
      <c r="K479" s="3">
        <v>3</v>
      </c>
      <c r="L479" s="24" t="str">
        <f t="shared" ca="1" si="3"/>
        <v/>
      </c>
      <c r="O479" s="30"/>
    </row>
    <row r="480" spans="10:15" ht="13">
      <c r="J480" s="26">
        <f t="shared" si="4"/>
        <v>44624</v>
      </c>
      <c r="K480" s="3">
        <v>4</v>
      </c>
      <c r="L480" s="24" t="str">
        <f t="shared" ca="1" si="3"/>
        <v/>
      </c>
      <c r="O480" s="30"/>
    </row>
    <row r="481" spans="10:15" ht="13">
      <c r="J481" s="26">
        <f t="shared" si="4"/>
        <v>44624</v>
      </c>
      <c r="K481" s="3">
        <v>6</v>
      </c>
      <c r="L481" s="24" t="str">
        <f t="shared" ca="1" si="3"/>
        <v/>
      </c>
      <c r="M481" s="10" t="str">
        <f ca="1">IF(TODAY()&lt;$J481,"",IF(($O$3-$J481)*0.1+$O$4&lt;0,0,($O$3-$J481)*0.1+$O$4))</f>
        <v/>
      </c>
      <c r="N481" s="10" t="str">
        <f ca="1">IF(TODAY()&lt;$J481,"",IF(($O$3-$J481)*0.1+$O$5&lt;0,0,($O$3-$J481)*0.1+$O$5))</f>
        <v/>
      </c>
      <c r="O481" s="30"/>
    </row>
    <row r="482" spans="10:15" ht="13">
      <c r="J482" s="26">
        <f t="shared" si="4"/>
        <v>44624</v>
      </c>
      <c r="K482" s="3">
        <v>7</v>
      </c>
      <c r="L482" s="24" t="str">
        <f t="shared" ca="1" si="3"/>
        <v/>
      </c>
      <c r="O482" s="30"/>
    </row>
    <row r="483" spans="10:15" ht="13">
      <c r="J483" s="26">
        <f t="shared" si="4"/>
        <v>44624</v>
      </c>
      <c r="K483" s="3" t="s">
        <v>15</v>
      </c>
      <c r="L483" s="24" t="str">
        <f t="shared" ca="1" si="3"/>
        <v/>
      </c>
      <c r="O483" s="30" t="str">
        <f ca="1">IF(TODAY()&lt;$J483,"",($O$3-$J483)*0.05+$O$6)</f>
        <v/>
      </c>
    </row>
    <row r="484" spans="10:15" ht="13">
      <c r="J484" s="26">
        <f t="shared" si="4"/>
        <v>44624</v>
      </c>
      <c r="K484" s="3" t="s">
        <v>15</v>
      </c>
      <c r="L484" s="24" t="str">
        <f t="shared" ca="1" si="3"/>
        <v/>
      </c>
      <c r="O484" s="30" t="str">
        <f ca="1">IF(TODAY()&lt;$J484,"",($O$3-$J483)*0.05+$P$6)</f>
        <v/>
      </c>
    </row>
    <row r="485" spans="10:15" ht="13">
      <c r="J485" s="26">
        <f t="shared" si="4"/>
        <v>44625</v>
      </c>
      <c r="K485" s="3">
        <v>2</v>
      </c>
      <c r="L485" s="24" t="str">
        <f t="shared" ca="1" si="3"/>
        <v/>
      </c>
      <c r="O485" s="30"/>
    </row>
    <row r="486" spans="10:15" ht="13">
      <c r="J486" s="26">
        <f t="shared" si="4"/>
        <v>44625</v>
      </c>
      <c r="K486" s="3">
        <v>3</v>
      </c>
      <c r="L486" s="24" t="str">
        <f t="shared" ca="1" si="3"/>
        <v/>
      </c>
      <c r="O486" s="30"/>
    </row>
    <row r="487" spans="10:15" ht="13">
      <c r="J487" s="26">
        <f t="shared" si="4"/>
        <v>44625</v>
      </c>
      <c r="K487" s="3">
        <v>4</v>
      </c>
      <c r="L487" s="24" t="str">
        <f t="shared" ca="1" si="3"/>
        <v/>
      </c>
      <c r="O487" s="30"/>
    </row>
    <row r="488" spans="10:15" ht="13">
      <c r="J488" s="26">
        <f t="shared" si="4"/>
        <v>44625</v>
      </c>
      <c r="K488" s="3">
        <v>6</v>
      </c>
      <c r="L488" s="24" t="str">
        <f t="shared" ca="1" si="3"/>
        <v/>
      </c>
      <c r="M488" s="10" t="str">
        <f ca="1">IF(TODAY()&lt;$J488,"",IF(($O$3-$J488)*0.1+$O$4&lt;0,0,($O$3-$J488)*0.1+$O$4))</f>
        <v/>
      </c>
      <c r="N488" s="10" t="str">
        <f ca="1">IF(TODAY()&lt;$J488,"",IF(($O$3-$J488)*0.1+$O$5&lt;0,0,($O$3-$J488)*0.1+$O$5))</f>
        <v/>
      </c>
      <c r="O488" s="30"/>
    </row>
    <row r="489" spans="10:15" ht="13">
      <c r="J489" s="26">
        <f t="shared" si="4"/>
        <v>44625</v>
      </c>
      <c r="K489" s="3">
        <v>7</v>
      </c>
      <c r="L489" s="24" t="str">
        <f t="shared" ca="1" si="3"/>
        <v/>
      </c>
      <c r="O489" s="30"/>
    </row>
    <row r="490" spans="10:15" ht="13">
      <c r="J490" s="26">
        <f t="shared" si="4"/>
        <v>44625</v>
      </c>
      <c r="K490" s="3" t="s">
        <v>15</v>
      </c>
      <c r="L490" s="24" t="str">
        <f t="shared" ca="1" si="3"/>
        <v/>
      </c>
      <c r="O490" s="30" t="str">
        <f ca="1">IF(TODAY()&lt;$J490,"",($O$3-$J490)*0.05+$O$6)</f>
        <v/>
      </c>
    </row>
    <row r="491" spans="10:15" ht="13">
      <c r="J491" s="26">
        <f t="shared" si="4"/>
        <v>44625</v>
      </c>
      <c r="K491" s="3" t="s">
        <v>15</v>
      </c>
      <c r="L491" s="24" t="str">
        <f t="shared" ca="1" si="3"/>
        <v/>
      </c>
      <c r="O491" s="30" t="str">
        <f ca="1">IF(TODAY()&lt;$J491,"",($O$3-$J490)*0.05+$P$6)</f>
        <v/>
      </c>
    </row>
    <row r="492" spans="10:15" ht="13">
      <c r="J492" s="26">
        <f t="shared" si="4"/>
        <v>44626</v>
      </c>
      <c r="K492" s="3">
        <v>2</v>
      </c>
      <c r="L492" s="24" t="str">
        <f t="shared" ca="1" si="3"/>
        <v/>
      </c>
      <c r="O492" s="30"/>
    </row>
    <row r="493" spans="10:15" ht="13">
      <c r="J493" s="26">
        <f t="shared" si="4"/>
        <v>44626</v>
      </c>
      <c r="K493" s="3">
        <v>3</v>
      </c>
      <c r="L493" s="24" t="str">
        <f t="shared" ca="1" si="3"/>
        <v/>
      </c>
      <c r="O493" s="30"/>
    </row>
    <row r="494" spans="10:15" ht="13">
      <c r="J494" s="26">
        <f t="shared" si="4"/>
        <v>44626</v>
      </c>
      <c r="K494" s="3">
        <v>4</v>
      </c>
      <c r="L494" s="24" t="str">
        <f t="shared" ca="1" si="3"/>
        <v/>
      </c>
      <c r="O494" s="30"/>
    </row>
    <row r="495" spans="10:15" ht="13">
      <c r="J495" s="26">
        <f t="shared" si="4"/>
        <v>44626</v>
      </c>
      <c r="K495" s="3">
        <v>6</v>
      </c>
      <c r="L495" s="24" t="str">
        <f t="shared" ca="1" si="3"/>
        <v/>
      </c>
      <c r="M495" s="10" t="str">
        <f ca="1">IF(TODAY()&lt;$J495,"",IF(($O$3-$J495)*0.1+$O$4&lt;0,0,($O$3-$J495)*0.1+$O$4))</f>
        <v/>
      </c>
      <c r="N495" s="10" t="str">
        <f ca="1">IF(TODAY()&lt;$J495,"",IF(($O$3-$J495)*0.1+$O$5&lt;0,0,($O$3-$J495)*0.1+$O$5))</f>
        <v/>
      </c>
      <c r="O495" s="30"/>
    </row>
    <row r="496" spans="10:15" ht="13">
      <c r="J496" s="26">
        <f t="shared" si="4"/>
        <v>44626</v>
      </c>
      <c r="K496" s="3">
        <v>7</v>
      </c>
      <c r="L496" s="24" t="str">
        <f t="shared" ca="1" si="3"/>
        <v/>
      </c>
      <c r="O496" s="30"/>
    </row>
    <row r="497" spans="10:15" ht="13">
      <c r="J497" s="26">
        <f t="shared" si="4"/>
        <v>44626</v>
      </c>
      <c r="K497" s="3" t="s">
        <v>15</v>
      </c>
      <c r="L497" s="24" t="str">
        <f t="shared" ca="1" si="3"/>
        <v/>
      </c>
      <c r="O497" s="30" t="str">
        <f ca="1">IF(TODAY()&lt;$J497,"",($O$3-$J497)*0.05+$O$6)</f>
        <v/>
      </c>
    </row>
    <row r="498" spans="10:15" ht="13">
      <c r="J498" s="26">
        <f t="shared" si="4"/>
        <v>44626</v>
      </c>
      <c r="K498" s="3" t="s">
        <v>15</v>
      </c>
      <c r="L498" s="24" t="str">
        <f t="shared" ca="1" si="3"/>
        <v/>
      </c>
      <c r="O498" s="30" t="str">
        <f ca="1">IF(TODAY()&lt;$J498,"",($O$3-$J497)*0.05+$P$6)</f>
        <v/>
      </c>
    </row>
    <row r="499" spans="10:15" ht="13">
      <c r="J499" s="26">
        <f t="shared" si="4"/>
        <v>44627</v>
      </c>
      <c r="K499" s="3">
        <v>2</v>
      </c>
      <c r="L499" s="24" t="str">
        <f t="shared" ca="1" si="3"/>
        <v/>
      </c>
      <c r="O499" s="30"/>
    </row>
    <row r="500" spans="10:15" ht="13">
      <c r="J500" s="26">
        <f t="shared" si="4"/>
        <v>44627</v>
      </c>
      <c r="K500" s="3">
        <v>3</v>
      </c>
      <c r="L500" s="24" t="str">
        <f t="shared" ca="1" si="3"/>
        <v/>
      </c>
      <c r="O500" s="30"/>
    </row>
    <row r="501" spans="10:15" ht="13">
      <c r="J501" s="26">
        <f t="shared" si="4"/>
        <v>44627</v>
      </c>
      <c r="K501" s="3">
        <v>4</v>
      </c>
      <c r="L501" s="24" t="str">
        <f t="shared" ca="1" si="3"/>
        <v/>
      </c>
      <c r="O501" s="30"/>
    </row>
    <row r="502" spans="10:15" ht="13">
      <c r="J502" s="26">
        <f t="shared" si="4"/>
        <v>44627</v>
      </c>
      <c r="K502" s="3">
        <v>6</v>
      </c>
      <c r="L502" s="24" t="str">
        <f t="shared" ca="1" si="3"/>
        <v/>
      </c>
      <c r="M502" s="10" t="str">
        <f ca="1">IF(TODAY()&lt;$J502,"",IF(($O$3-$J502)*0.1+$O$4&lt;0,0,($O$3-$J502)*0.1+$O$4))</f>
        <v/>
      </c>
      <c r="N502" s="10" t="str">
        <f ca="1">IF(TODAY()&lt;$J502,"",IF(($O$3-$J502)*0.1+$O$5&lt;0,0,($O$3-$J502)*0.1+$O$5))</f>
        <v/>
      </c>
      <c r="O502" s="30"/>
    </row>
    <row r="503" spans="10:15" ht="13">
      <c r="J503" s="26">
        <f t="shared" si="4"/>
        <v>44627</v>
      </c>
      <c r="K503" s="3">
        <v>7</v>
      </c>
      <c r="L503" s="24" t="str">
        <f t="shared" ca="1" si="3"/>
        <v/>
      </c>
      <c r="O503" s="30"/>
    </row>
    <row r="504" spans="10:15" ht="13">
      <c r="J504" s="26">
        <f t="shared" si="4"/>
        <v>44627</v>
      </c>
      <c r="K504" s="3" t="s">
        <v>15</v>
      </c>
      <c r="L504" s="24" t="str">
        <f t="shared" ca="1" si="3"/>
        <v/>
      </c>
      <c r="O504" s="30" t="str">
        <f ca="1">IF(TODAY()&lt;$J504,"",($O$3-$J504)*0.05+$O$6)</f>
        <v/>
      </c>
    </row>
    <row r="505" spans="10:15" ht="13">
      <c r="J505" s="26">
        <f t="shared" si="4"/>
        <v>44627</v>
      </c>
      <c r="K505" s="3" t="s">
        <v>15</v>
      </c>
      <c r="L505" s="24" t="str">
        <f t="shared" ca="1" si="3"/>
        <v/>
      </c>
      <c r="O505" s="30" t="str">
        <f ca="1">IF(TODAY()&lt;$J505,"",($O$3-$J504)*0.05+$P$6)</f>
        <v/>
      </c>
    </row>
    <row r="506" spans="10:15" ht="13">
      <c r="J506" s="26">
        <f t="shared" si="4"/>
        <v>44628</v>
      </c>
      <c r="K506" s="3">
        <v>2</v>
      </c>
      <c r="L506" s="24" t="str">
        <f t="shared" ca="1" si="3"/>
        <v/>
      </c>
      <c r="O506" s="30"/>
    </row>
    <row r="507" spans="10:15" ht="13">
      <c r="J507" s="26">
        <f t="shared" si="4"/>
        <v>44628</v>
      </c>
      <c r="K507" s="3">
        <v>3</v>
      </c>
      <c r="L507" s="24" t="str">
        <f t="shared" ca="1" si="3"/>
        <v/>
      </c>
      <c r="O507" s="30"/>
    </row>
    <row r="508" spans="10:15" ht="13">
      <c r="J508" s="26">
        <f t="shared" si="4"/>
        <v>44628</v>
      </c>
      <c r="K508" s="3">
        <v>4</v>
      </c>
      <c r="L508" s="24" t="str">
        <f t="shared" ca="1" si="3"/>
        <v/>
      </c>
      <c r="O508" s="30"/>
    </row>
    <row r="509" spans="10:15" ht="13">
      <c r="J509" s="26">
        <f t="shared" si="4"/>
        <v>44628</v>
      </c>
      <c r="K509" s="3">
        <v>6</v>
      </c>
      <c r="L509" s="24" t="str">
        <f t="shared" ca="1" si="3"/>
        <v/>
      </c>
      <c r="M509" s="10" t="str">
        <f ca="1">IF(TODAY()&lt;$J509,"",IF(($O$3-$J509)*0.1+$O$4&lt;0,0,($O$3-$J509)*0.1+$O$4))</f>
        <v/>
      </c>
      <c r="N509" s="10" t="str">
        <f ca="1">IF(TODAY()&lt;$J509,"",IF(($O$3-$J509)*0.1+$O$5&lt;0,0,($O$3-$J509)*0.1+$O$5))</f>
        <v/>
      </c>
      <c r="O509" s="30"/>
    </row>
    <row r="510" spans="10:15" ht="13">
      <c r="J510" s="26">
        <f t="shared" si="4"/>
        <v>44628</v>
      </c>
      <c r="K510" s="3">
        <v>7</v>
      </c>
      <c r="L510" s="24" t="str">
        <f t="shared" ca="1" si="3"/>
        <v/>
      </c>
      <c r="O510" s="30"/>
    </row>
    <row r="511" spans="10:15" ht="13">
      <c r="J511" s="26">
        <f t="shared" si="4"/>
        <v>44628</v>
      </c>
      <c r="K511" s="3" t="s">
        <v>15</v>
      </c>
      <c r="L511" s="24" t="str">
        <f t="shared" ca="1" si="3"/>
        <v/>
      </c>
      <c r="O511" s="30" t="str">
        <f ca="1">IF(TODAY()&lt;$J511,"",($O$3-$J511)*0.05+$O$6)</f>
        <v/>
      </c>
    </row>
    <row r="512" spans="10:15" ht="13">
      <c r="J512" s="26">
        <f t="shared" si="4"/>
        <v>44628</v>
      </c>
      <c r="K512" s="3" t="s">
        <v>15</v>
      </c>
      <c r="L512" s="24" t="str">
        <f t="shared" ca="1" si="3"/>
        <v/>
      </c>
      <c r="O512" s="30" t="str">
        <f ca="1">IF(TODAY()&lt;$J512,"",($O$3-$J511)*0.05+$P$6)</f>
        <v/>
      </c>
    </row>
    <row r="513" spans="10:15" ht="13">
      <c r="J513" s="26">
        <f t="shared" si="4"/>
        <v>44629</v>
      </c>
      <c r="K513" s="3">
        <v>2</v>
      </c>
      <c r="L513" s="24" t="str">
        <f t="shared" ca="1" si="3"/>
        <v/>
      </c>
      <c r="O513" s="30"/>
    </row>
    <row r="514" spans="10:15" ht="13">
      <c r="J514" s="26">
        <f t="shared" si="4"/>
        <v>44629</v>
      </c>
      <c r="K514" s="3">
        <v>3</v>
      </c>
      <c r="L514" s="24" t="str">
        <f t="shared" ca="1" si="3"/>
        <v/>
      </c>
      <c r="O514" s="30"/>
    </row>
    <row r="515" spans="10:15" ht="13">
      <c r="J515" s="26">
        <f t="shared" si="4"/>
        <v>44629</v>
      </c>
      <c r="K515" s="3">
        <v>4</v>
      </c>
      <c r="L515" s="24" t="str">
        <f t="shared" ca="1" si="3"/>
        <v/>
      </c>
      <c r="O515" s="30"/>
    </row>
    <row r="516" spans="10:15" ht="13">
      <c r="J516" s="26">
        <f t="shared" si="4"/>
        <v>44629</v>
      </c>
      <c r="K516" s="3">
        <v>6</v>
      </c>
      <c r="L516" s="24" t="str">
        <f t="shared" ca="1" si="3"/>
        <v/>
      </c>
      <c r="M516" s="10" t="str">
        <f ca="1">IF(TODAY()&lt;$J516,"",IF(($O$3-$J516)*0.1+$O$4&lt;0,0,($O$3-$J516)*0.1+$O$4))</f>
        <v/>
      </c>
      <c r="N516" s="10" t="str">
        <f ca="1">IF(TODAY()&lt;$J516,"",IF(($O$3-$J516)*0.1+$O$5&lt;0,0,($O$3-$J516)*0.1+$O$5))</f>
        <v/>
      </c>
      <c r="O516" s="30"/>
    </row>
    <row r="517" spans="10:15" ht="13">
      <c r="J517" s="26">
        <f t="shared" si="4"/>
        <v>44629</v>
      </c>
      <c r="K517" s="3">
        <v>7</v>
      </c>
      <c r="L517" s="24" t="str">
        <f t="shared" ca="1" si="3"/>
        <v/>
      </c>
      <c r="O517" s="30"/>
    </row>
    <row r="518" spans="10:15" ht="13">
      <c r="J518" s="26">
        <f t="shared" si="4"/>
        <v>44629</v>
      </c>
      <c r="K518" s="3" t="s">
        <v>15</v>
      </c>
      <c r="L518" s="24" t="str">
        <f t="shared" ca="1" si="3"/>
        <v/>
      </c>
      <c r="O518" s="30" t="str">
        <f ca="1">IF(TODAY()&lt;$J518,"",($O$3-$J518)*0.05+$O$6)</f>
        <v/>
      </c>
    </row>
    <row r="519" spans="10:15" ht="13">
      <c r="J519" s="26">
        <f t="shared" si="4"/>
        <v>44629</v>
      </c>
      <c r="K519" s="3" t="s">
        <v>15</v>
      </c>
      <c r="L519" s="24" t="str">
        <f t="shared" ca="1" si="3"/>
        <v/>
      </c>
      <c r="O519" s="30" t="str">
        <f ca="1">IF(TODAY()&lt;$J519,"",($O$3-$J518)*0.05+$P$6)</f>
        <v/>
      </c>
    </row>
    <row r="520" spans="10:15" ht="13">
      <c r="J520" s="26">
        <f t="shared" si="4"/>
        <v>44630</v>
      </c>
      <c r="K520" s="3">
        <v>2</v>
      </c>
      <c r="L520" s="24" t="str">
        <f t="shared" ca="1" si="3"/>
        <v/>
      </c>
      <c r="O520" s="30"/>
    </row>
    <row r="521" spans="10:15" ht="13">
      <c r="J521" s="26">
        <f t="shared" si="4"/>
        <v>44630</v>
      </c>
      <c r="K521" s="3">
        <v>3</v>
      </c>
      <c r="L521" s="24" t="str">
        <f t="shared" ca="1" si="3"/>
        <v/>
      </c>
      <c r="O521" s="30"/>
    </row>
    <row r="522" spans="10:15" ht="13">
      <c r="J522" s="26">
        <f t="shared" si="4"/>
        <v>44630</v>
      </c>
      <c r="K522" s="3">
        <v>4</v>
      </c>
      <c r="L522" s="24" t="str">
        <f t="shared" ca="1" si="3"/>
        <v/>
      </c>
      <c r="O522" s="30"/>
    </row>
    <row r="523" spans="10:15" ht="13">
      <c r="J523" s="26">
        <f t="shared" si="4"/>
        <v>44630</v>
      </c>
      <c r="K523" s="3">
        <v>6</v>
      </c>
      <c r="L523" s="24" t="str">
        <f t="shared" ca="1" si="3"/>
        <v/>
      </c>
      <c r="M523" s="10" t="str">
        <f ca="1">IF(TODAY()&lt;$J523,"",IF(($O$3-$J523)*0.1+$O$4&lt;0,0,($O$3-$J523)*0.1+$O$4))</f>
        <v/>
      </c>
      <c r="N523" s="10" t="str">
        <f ca="1">IF(TODAY()&lt;$J523,"",IF(($O$3-$J523)*0.1+$O$5&lt;0,0,($O$3-$J523)*0.1+$O$5))</f>
        <v/>
      </c>
      <c r="O523" s="30"/>
    </row>
    <row r="524" spans="10:15" ht="13">
      <c r="J524" s="26">
        <f t="shared" si="4"/>
        <v>44630</v>
      </c>
      <c r="K524" s="3">
        <v>7</v>
      </c>
      <c r="L524" s="24" t="str">
        <f t="shared" ca="1" si="3"/>
        <v/>
      </c>
      <c r="O524" s="30"/>
    </row>
    <row r="525" spans="10:15" ht="13">
      <c r="J525" s="26">
        <f t="shared" si="4"/>
        <v>44630</v>
      </c>
      <c r="K525" s="3" t="s">
        <v>15</v>
      </c>
      <c r="L525" s="24" t="str">
        <f t="shared" ca="1" si="3"/>
        <v/>
      </c>
      <c r="O525" s="30" t="str">
        <f ca="1">IF(TODAY()&lt;$J525,"",($O$3-$J525)*0.05+$O$6)</f>
        <v/>
      </c>
    </row>
    <row r="526" spans="10:15" ht="13">
      <c r="J526" s="26">
        <f t="shared" si="4"/>
        <v>44630</v>
      </c>
      <c r="K526" s="3" t="s">
        <v>15</v>
      </c>
      <c r="L526" s="24" t="str">
        <f t="shared" ca="1" si="3"/>
        <v/>
      </c>
      <c r="O526" s="30" t="str">
        <f ca="1">IF(TODAY()&lt;$J526,"",($O$3-$J525)*0.05+$P$6)</f>
        <v/>
      </c>
    </row>
    <row r="527" spans="10:15" ht="13">
      <c r="J527" s="26">
        <f t="shared" si="4"/>
        <v>44631</v>
      </c>
      <c r="K527" s="3">
        <v>2</v>
      </c>
      <c r="L527" s="24" t="str">
        <f t="shared" ca="1" si="3"/>
        <v/>
      </c>
      <c r="O527" s="30"/>
    </row>
    <row r="528" spans="10:15" ht="13">
      <c r="J528" s="26">
        <f t="shared" si="4"/>
        <v>44631</v>
      </c>
      <c r="K528" s="3">
        <v>3</v>
      </c>
      <c r="L528" s="24" t="str">
        <f t="shared" ca="1" si="3"/>
        <v/>
      </c>
      <c r="O528" s="30"/>
    </row>
    <row r="529" spans="10:15" ht="13">
      <c r="J529" s="26">
        <f t="shared" si="4"/>
        <v>44631</v>
      </c>
      <c r="K529" s="3">
        <v>4</v>
      </c>
      <c r="L529" s="24" t="str">
        <f t="shared" ca="1" si="3"/>
        <v/>
      </c>
      <c r="O529" s="30"/>
    </row>
    <row r="530" spans="10:15" ht="13">
      <c r="J530" s="26">
        <f t="shared" si="4"/>
        <v>44631</v>
      </c>
      <c r="K530" s="3">
        <v>6</v>
      </c>
      <c r="L530" s="24" t="str">
        <f t="shared" ca="1" si="3"/>
        <v/>
      </c>
      <c r="M530" s="10" t="str">
        <f ca="1">IF(TODAY()&lt;$J530,"",IF(($O$3-$J530)*0.1+$O$4&lt;0,0,($O$3-$J530)*0.1+$O$4))</f>
        <v/>
      </c>
      <c r="N530" s="10" t="str">
        <f ca="1">IF(TODAY()&lt;$J530,"",IF(($O$3-$J530)*0.1+$O$5&lt;0,0,($O$3-$J530)*0.1+$O$5))</f>
        <v/>
      </c>
      <c r="O530" s="30"/>
    </row>
    <row r="531" spans="10:15" ht="13">
      <c r="J531" s="26">
        <f t="shared" si="4"/>
        <v>44631</v>
      </c>
      <c r="K531" s="3">
        <v>7</v>
      </c>
      <c r="L531" s="24" t="str">
        <f t="shared" ca="1" si="3"/>
        <v/>
      </c>
      <c r="O531" s="30"/>
    </row>
    <row r="532" spans="10:15" ht="13">
      <c r="J532" s="26">
        <f t="shared" si="4"/>
        <v>44631</v>
      </c>
      <c r="K532" s="3" t="s">
        <v>15</v>
      </c>
      <c r="L532" s="24" t="str">
        <f t="shared" ca="1" si="3"/>
        <v/>
      </c>
      <c r="O532" s="30" t="str">
        <f ca="1">IF(TODAY()&lt;$J532,"",($O$3-$J532)*0.05+$O$6)</f>
        <v/>
      </c>
    </row>
    <row r="533" spans="10:15" ht="13">
      <c r="J533" s="26">
        <f t="shared" si="4"/>
        <v>44631</v>
      </c>
      <c r="K533" s="3" t="s">
        <v>15</v>
      </c>
      <c r="L533" s="24" t="str">
        <f t="shared" ca="1" si="3"/>
        <v/>
      </c>
      <c r="O533" s="30" t="str">
        <f ca="1">IF(TODAY()&lt;$J533,"",($O$3-$J532)*0.05+$P$6)</f>
        <v/>
      </c>
    </row>
    <row r="534" spans="10:15" ht="13">
      <c r="J534" s="26">
        <f t="shared" si="4"/>
        <v>44632</v>
      </c>
      <c r="K534" s="3">
        <v>2</v>
      </c>
      <c r="L534" s="24" t="str">
        <f t="shared" ca="1" si="3"/>
        <v/>
      </c>
      <c r="O534" s="30"/>
    </row>
    <row r="535" spans="10:15" ht="13">
      <c r="J535" s="26">
        <f t="shared" si="4"/>
        <v>44632</v>
      </c>
      <c r="K535" s="3">
        <v>3</v>
      </c>
      <c r="L535" s="24" t="str">
        <f t="shared" ca="1" si="3"/>
        <v/>
      </c>
      <c r="O535" s="30"/>
    </row>
    <row r="536" spans="10:15" ht="13">
      <c r="J536" s="26">
        <f t="shared" si="4"/>
        <v>44632</v>
      </c>
      <c r="K536" s="3">
        <v>4</v>
      </c>
      <c r="L536" s="24" t="str">
        <f t="shared" ca="1" si="3"/>
        <v/>
      </c>
      <c r="O536" s="30"/>
    </row>
    <row r="537" spans="10:15" ht="13">
      <c r="J537" s="26">
        <f t="shared" si="4"/>
        <v>44632</v>
      </c>
      <c r="K537" s="3">
        <v>6</v>
      </c>
      <c r="L537" s="24" t="str">
        <f t="shared" ca="1" si="3"/>
        <v/>
      </c>
      <c r="M537" s="10" t="str">
        <f ca="1">IF(TODAY()&lt;$J537,"",IF(($O$3-$J537)*0.1+$O$4&lt;0,0,($O$3-$J537)*0.1+$O$4))</f>
        <v/>
      </c>
      <c r="N537" s="10" t="str">
        <f ca="1">IF(TODAY()&lt;$J537,"",IF(($O$3-$J537)*0.1+$O$5&lt;0,0,($O$3-$J537)*0.1+$O$5))</f>
        <v/>
      </c>
      <c r="O537" s="30"/>
    </row>
    <row r="538" spans="10:15" ht="13">
      <c r="J538" s="26">
        <f t="shared" si="4"/>
        <v>44632</v>
      </c>
      <c r="K538" s="3">
        <v>7</v>
      </c>
      <c r="L538" s="24" t="str">
        <f t="shared" ca="1" si="3"/>
        <v/>
      </c>
      <c r="O538" s="30"/>
    </row>
    <row r="539" spans="10:15" ht="13">
      <c r="J539" s="26">
        <f t="shared" si="4"/>
        <v>44632</v>
      </c>
      <c r="K539" s="3" t="s">
        <v>15</v>
      </c>
      <c r="L539" s="24" t="str">
        <f t="shared" ca="1" si="3"/>
        <v/>
      </c>
      <c r="O539" s="30" t="str">
        <f ca="1">IF(TODAY()&lt;$J539,"",($O$3-$J539)*0.05+$O$6)</f>
        <v/>
      </c>
    </row>
    <row r="540" spans="10:15" ht="13">
      <c r="J540" s="26">
        <f t="shared" si="4"/>
        <v>44632</v>
      </c>
      <c r="K540" s="3" t="s">
        <v>15</v>
      </c>
      <c r="L540" s="24" t="str">
        <f t="shared" ca="1" si="3"/>
        <v/>
      </c>
      <c r="O540" s="30" t="str">
        <f ca="1">IF(TODAY()&lt;$J540,"",($O$3-$J539)*0.05+$P$6)</f>
        <v/>
      </c>
    </row>
    <row r="541" spans="10:15" ht="13">
      <c r="J541" s="26">
        <f t="shared" si="4"/>
        <v>44633</v>
      </c>
      <c r="K541" s="3">
        <v>2</v>
      </c>
      <c r="L541" s="24" t="str">
        <f t="shared" ca="1" si="3"/>
        <v/>
      </c>
      <c r="O541" s="30"/>
    </row>
    <row r="542" spans="10:15" ht="13">
      <c r="J542" s="26">
        <f t="shared" si="4"/>
        <v>44633</v>
      </c>
      <c r="K542" s="3">
        <v>3</v>
      </c>
      <c r="L542" s="24" t="str">
        <f t="shared" ca="1" si="3"/>
        <v/>
      </c>
      <c r="O542" s="30"/>
    </row>
    <row r="543" spans="10:15" ht="13">
      <c r="J543" s="26">
        <f t="shared" si="4"/>
        <v>44633</v>
      </c>
      <c r="K543" s="3">
        <v>4</v>
      </c>
      <c r="L543" s="24" t="str">
        <f t="shared" ca="1" si="3"/>
        <v/>
      </c>
      <c r="O543" s="30"/>
    </row>
    <row r="544" spans="10:15" ht="13">
      <c r="J544" s="26">
        <f t="shared" si="4"/>
        <v>44633</v>
      </c>
      <c r="K544" s="3">
        <v>6</v>
      </c>
      <c r="L544" s="24" t="str">
        <f t="shared" ca="1" si="3"/>
        <v/>
      </c>
      <c r="M544" s="10" t="str">
        <f ca="1">IF(TODAY()&lt;$J544,"",IF(($O$3-$J544)*0.1+$O$4&lt;0,0,($O$3-$J544)*0.1+$O$4))</f>
        <v/>
      </c>
      <c r="N544" s="10" t="str">
        <f ca="1">IF(TODAY()&lt;$J544,"",IF(($O$3-$J544)*0.1+$O$5&lt;0,0,($O$3-$J544)*0.1+$O$5))</f>
        <v/>
      </c>
      <c r="O544" s="30"/>
    </row>
    <row r="545" spans="10:15" ht="13">
      <c r="J545" s="26">
        <f t="shared" si="4"/>
        <v>44633</v>
      </c>
      <c r="K545" s="3">
        <v>7</v>
      </c>
      <c r="L545" s="24" t="str">
        <f t="shared" ca="1" si="3"/>
        <v/>
      </c>
      <c r="O545" s="30"/>
    </row>
    <row r="546" spans="10:15" ht="13">
      <c r="J546" s="26">
        <f t="shared" si="4"/>
        <v>44633</v>
      </c>
      <c r="K546" s="3" t="s">
        <v>15</v>
      </c>
      <c r="L546" s="24" t="str">
        <f t="shared" ca="1" si="3"/>
        <v/>
      </c>
      <c r="O546" s="30" t="str">
        <f ca="1">IF(TODAY()&lt;$J546,"",($O$3-$J546)*0.05+$O$6)</f>
        <v/>
      </c>
    </row>
    <row r="547" spans="10:15" ht="13">
      <c r="J547" s="26">
        <f t="shared" si="4"/>
        <v>44633</v>
      </c>
      <c r="K547" s="3" t="s">
        <v>15</v>
      </c>
      <c r="L547" s="24" t="str">
        <f t="shared" ca="1" si="3"/>
        <v/>
      </c>
      <c r="O547" s="30" t="str">
        <f ca="1">IF(TODAY()&lt;$J547,"",($O$3-$J546)*0.05+$P$6)</f>
        <v/>
      </c>
    </row>
    <row r="548" spans="10:15" ht="13">
      <c r="J548" s="26">
        <f t="shared" si="4"/>
        <v>44634</v>
      </c>
      <c r="K548" s="3">
        <v>2</v>
      </c>
      <c r="L548" s="24" t="str">
        <f t="shared" ca="1" si="3"/>
        <v/>
      </c>
      <c r="O548" s="30"/>
    </row>
    <row r="549" spans="10:15" ht="13">
      <c r="J549" s="26">
        <f t="shared" si="4"/>
        <v>44634</v>
      </c>
      <c r="K549" s="3">
        <v>3</v>
      </c>
      <c r="L549" s="24" t="str">
        <f t="shared" ca="1" si="3"/>
        <v/>
      </c>
      <c r="O549" s="30"/>
    </row>
    <row r="550" spans="10:15" ht="13">
      <c r="J550" s="26">
        <f t="shared" si="4"/>
        <v>44634</v>
      </c>
      <c r="K550" s="3">
        <v>4</v>
      </c>
      <c r="L550" s="24" t="str">
        <f t="shared" ca="1" si="3"/>
        <v/>
      </c>
      <c r="O550" s="30"/>
    </row>
    <row r="551" spans="10:15" ht="13">
      <c r="J551" s="26">
        <f t="shared" si="4"/>
        <v>44634</v>
      </c>
      <c r="K551" s="3">
        <v>6</v>
      </c>
      <c r="L551" s="24" t="str">
        <f t="shared" ca="1" si="3"/>
        <v/>
      </c>
      <c r="M551" s="10" t="str">
        <f ca="1">IF(TODAY()&lt;$J551,"",IF(($O$3-$J551)*0.1+$O$4&lt;0,0,($O$3-$J551)*0.1+$O$4))</f>
        <v/>
      </c>
      <c r="N551" s="10" t="str">
        <f ca="1">IF(TODAY()&lt;$J551,"",IF(($O$3-$J551)*0.1+$O$5&lt;0,0,($O$3-$J551)*0.1+$O$5))</f>
        <v/>
      </c>
      <c r="O551" s="30"/>
    </row>
    <row r="552" spans="10:15" ht="13">
      <c r="J552" s="26">
        <f t="shared" si="4"/>
        <v>44634</v>
      </c>
      <c r="K552" s="3">
        <v>7</v>
      </c>
      <c r="L552" s="24" t="str">
        <f t="shared" ca="1" si="3"/>
        <v/>
      </c>
      <c r="O552" s="30"/>
    </row>
    <row r="553" spans="10:15" ht="13">
      <c r="J553" s="26">
        <f t="shared" si="4"/>
        <v>44634</v>
      </c>
      <c r="K553" s="3" t="s">
        <v>15</v>
      </c>
      <c r="L553" s="24" t="str">
        <f t="shared" ca="1" si="3"/>
        <v/>
      </c>
      <c r="O553" s="30" t="str">
        <f ca="1">IF(TODAY()&lt;$J553,"",($O$3-$J553)*0.05+$O$6)</f>
        <v/>
      </c>
    </row>
    <row r="554" spans="10:15" ht="13">
      <c r="J554" s="26">
        <f t="shared" si="4"/>
        <v>44634</v>
      </c>
      <c r="K554" s="3" t="s">
        <v>15</v>
      </c>
      <c r="L554" s="24" t="str">
        <f t="shared" ca="1" si="3"/>
        <v/>
      </c>
      <c r="O554" s="30" t="str">
        <f ca="1">IF(TODAY()&lt;$J554,"",($O$3-$J553)*0.05+$P$6)</f>
        <v/>
      </c>
    </row>
    <row r="555" spans="10:15" ht="13">
      <c r="J555" s="26">
        <f t="shared" si="4"/>
        <v>44635</v>
      </c>
      <c r="K555" s="3">
        <v>2</v>
      </c>
      <c r="L555" s="24" t="str">
        <f t="shared" ca="1" si="3"/>
        <v/>
      </c>
      <c r="O555" s="30"/>
    </row>
    <row r="556" spans="10:15" ht="13">
      <c r="J556" s="26">
        <f t="shared" si="4"/>
        <v>44635</v>
      </c>
      <c r="K556" s="3">
        <v>3</v>
      </c>
      <c r="L556" s="24" t="str">
        <f t="shared" ca="1" si="3"/>
        <v/>
      </c>
      <c r="O556" s="30"/>
    </row>
    <row r="557" spans="10:15" ht="13">
      <c r="J557" s="26">
        <f t="shared" si="4"/>
        <v>44635</v>
      </c>
      <c r="K557" s="3">
        <v>4</v>
      </c>
      <c r="L557" s="24" t="str">
        <f t="shared" ca="1" si="3"/>
        <v/>
      </c>
      <c r="O557" s="30"/>
    </row>
    <row r="558" spans="10:15" ht="13">
      <c r="J558" s="26">
        <f t="shared" si="4"/>
        <v>44635</v>
      </c>
      <c r="K558" s="3">
        <v>6</v>
      </c>
      <c r="L558" s="24" t="str">
        <f t="shared" ca="1" si="3"/>
        <v/>
      </c>
      <c r="M558" s="10" t="str">
        <f ca="1">IF(TODAY()&lt;$J558,"",IF(($O$3-$J558)*0.1+$O$4&lt;0,0,($O$3-$J558)*0.1+$O$4))</f>
        <v/>
      </c>
      <c r="N558" s="10" t="str">
        <f ca="1">IF(TODAY()&lt;$J558,"",IF(($O$3-$J558)*0.1+$O$5&lt;0,0,($O$3-$J558)*0.1+$O$5))</f>
        <v/>
      </c>
      <c r="O558" s="30"/>
    </row>
    <row r="559" spans="10:15" ht="13">
      <c r="J559" s="26">
        <f t="shared" si="4"/>
        <v>44635</v>
      </c>
      <c r="K559" s="3">
        <v>7</v>
      </c>
      <c r="L559" s="24" t="str">
        <f t="shared" ca="1" si="3"/>
        <v/>
      </c>
      <c r="O559" s="30"/>
    </row>
    <row r="560" spans="10:15" ht="13">
      <c r="J560" s="26">
        <f t="shared" si="4"/>
        <v>44635</v>
      </c>
      <c r="K560" s="3" t="s">
        <v>15</v>
      </c>
      <c r="L560" s="24" t="str">
        <f t="shared" ca="1" si="3"/>
        <v/>
      </c>
      <c r="O560" s="30" t="str">
        <f ca="1">IF(TODAY()&lt;$J560,"",($O$3-$J560)*0.05+$O$6)</f>
        <v/>
      </c>
    </row>
    <row r="561" spans="10:15" ht="13">
      <c r="J561" s="26">
        <f t="shared" si="4"/>
        <v>44635</v>
      </c>
      <c r="K561" s="3" t="s">
        <v>15</v>
      </c>
      <c r="L561" s="24" t="str">
        <f t="shared" ca="1" si="3"/>
        <v/>
      </c>
      <c r="O561" s="30" t="str">
        <f ca="1">IF(TODAY()&lt;$J561,"",($O$3-$J560)*0.05+$P$6)</f>
        <v/>
      </c>
    </row>
    <row r="562" spans="10:15" ht="13">
      <c r="J562" s="26">
        <f t="shared" si="4"/>
        <v>44636</v>
      </c>
      <c r="K562" s="3">
        <v>2</v>
      </c>
      <c r="L562" s="24" t="str">
        <f t="shared" ca="1" si="3"/>
        <v/>
      </c>
      <c r="O562" s="30"/>
    </row>
    <row r="563" spans="10:15" ht="13">
      <c r="J563" s="26">
        <f t="shared" si="4"/>
        <v>44636</v>
      </c>
      <c r="K563" s="3">
        <v>3</v>
      </c>
      <c r="L563" s="24" t="str">
        <f t="shared" ca="1" si="3"/>
        <v/>
      </c>
      <c r="O563" s="30"/>
    </row>
    <row r="564" spans="10:15" ht="13">
      <c r="J564" s="26">
        <f t="shared" si="4"/>
        <v>44636</v>
      </c>
      <c r="K564" s="3">
        <v>4</v>
      </c>
      <c r="L564" s="24" t="str">
        <f t="shared" ca="1" si="3"/>
        <v/>
      </c>
      <c r="O564" s="30"/>
    </row>
    <row r="565" spans="10:15" ht="13">
      <c r="J565" s="26">
        <f t="shared" si="4"/>
        <v>44636</v>
      </c>
      <c r="K565" s="3">
        <v>6</v>
      </c>
      <c r="L565" s="24" t="str">
        <f t="shared" ca="1" si="3"/>
        <v/>
      </c>
      <c r="M565" s="10" t="str">
        <f ca="1">IF(TODAY()&lt;$J565,"",IF(($O$3-$J565)*0.1+$O$4&lt;0,0,($O$3-$J565)*0.1+$O$4))</f>
        <v/>
      </c>
      <c r="N565" s="10" t="str">
        <f ca="1">IF(TODAY()&lt;$J565,"",IF(($O$3-$J565)*0.1+$O$5&lt;0,0,($O$3-$J565)*0.1+$O$5))</f>
        <v/>
      </c>
      <c r="O565" s="30"/>
    </row>
    <row r="566" spans="10:15" ht="13">
      <c r="J566" s="26">
        <f t="shared" si="4"/>
        <v>44636</v>
      </c>
      <c r="K566" s="3">
        <v>7</v>
      </c>
      <c r="L566" s="24" t="str">
        <f t="shared" ca="1" si="3"/>
        <v/>
      </c>
      <c r="O566" s="30"/>
    </row>
    <row r="567" spans="10:15" ht="13">
      <c r="J567" s="26">
        <f t="shared" si="4"/>
        <v>44636</v>
      </c>
      <c r="K567" s="3" t="s">
        <v>15</v>
      </c>
      <c r="L567" s="24" t="str">
        <f t="shared" ca="1" si="3"/>
        <v/>
      </c>
      <c r="O567" s="30" t="str">
        <f ca="1">IF(TODAY()&lt;$J567,"",($O$3-$J567)*0.05+$O$6)</f>
        <v/>
      </c>
    </row>
    <row r="568" spans="10:15" ht="13">
      <c r="J568" s="26">
        <f t="shared" si="4"/>
        <v>44636</v>
      </c>
      <c r="K568" s="3" t="s">
        <v>15</v>
      </c>
      <c r="L568" s="24" t="str">
        <f t="shared" ca="1" si="3"/>
        <v/>
      </c>
      <c r="O568" s="30" t="str">
        <f ca="1">IF(TODAY()&lt;$J568,"",($O$3-$J567)*0.05+$P$6)</f>
        <v/>
      </c>
    </row>
    <row r="569" spans="10:15" ht="13">
      <c r="J569" s="26">
        <f t="shared" si="4"/>
        <v>44637</v>
      </c>
      <c r="K569" s="3">
        <v>2</v>
      </c>
      <c r="L569" s="24" t="str">
        <f t="shared" ca="1" si="3"/>
        <v/>
      </c>
      <c r="O569" s="30"/>
    </row>
    <row r="570" spans="10:15" ht="13">
      <c r="J570" s="26">
        <f t="shared" si="4"/>
        <v>44637</v>
      </c>
      <c r="K570" s="3">
        <v>3</v>
      </c>
      <c r="L570" s="24" t="str">
        <f t="shared" ca="1" si="3"/>
        <v/>
      </c>
      <c r="O570" s="30"/>
    </row>
    <row r="571" spans="10:15" ht="13">
      <c r="J571" s="26">
        <f t="shared" si="4"/>
        <v>44637</v>
      </c>
      <c r="K571" s="3">
        <v>4</v>
      </c>
      <c r="L571" s="24" t="str">
        <f t="shared" ca="1" si="3"/>
        <v/>
      </c>
      <c r="O571" s="30"/>
    </row>
    <row r="572" spans="10:15" ht="13">
      <c r="J572" s="26">
        <f t="shared" si="4"/>
        <v>44637</v>
      </c>
      <c r="K572" s="3">
        <v>6</v>
      </c>
      <c r="L572" s="24" t="str">
        <f t="shared" ca="1" si="3"/>
        <v/>
      </c>
      <c r="M572" s="10" t="str">
        <f ca="1">IF(TODAY()&lt;$J572,"",IF(($O$3-$J572)*0.1+$O$4&lt;0,0,($O$3-$J572)*0.1+$O$4))</f>
        <v/>
      </c>
      <c r="N572" s="10" t="str">
        <f ca="1">IF(TODAY()&lt;$J572,"",IF(($O$3-$J572)*0.1+$O$5&lt;0,0,($O$3-$J572)*0.1+$O$5))</f>
        <v/>
      </c>
      <c r="O572" s="30"/>
    </row>
    <row r="573" spans="10:15" ht="13">
      <c r="J573" s="26">
        <f t="shared" si="4"/>
        <v>44637</v>
      </c>
      <c r="K573" s="3">
        <v>7</v>
      </c>
      <c r="L573" s="24" t="str">
        <f t="shared" ca="1" si="3"/>
        <v/>
      </c>
      <c r="O573" s="30"/>
    </row>
    <row r="574" spans="10:15" ht="13">
      <c r="J574" s="26">
        <f t="shared" si="4"/>
        <v>44637</v>
      </c>
      <c r="K574" s="3" t="s">
        <v>15</v>
      </c>
      <c r="L574" s="24" t="str">
        <f t="shared" ca="1" si="3"/>
        <v/>
      </c>
      <c r="O574" s="30" t="str">
        <f ca="1">IF(TODAY()&lt;$J574,"",($O$3-$J574)*0.05+$O$6)</f>
        <v/>
      </c>
    </row>
    <row r="575" spans="10:15" ht="13">
      <c r="J575" s="26">
        <f t="shared" si="4"/>
        <v>44637</v>
      </c>
      <c r="K575" s="3" t="s">
        <v>15</v>
      </c>
      <c r="L575" s="24" t="str">
        <f t="shared" ca="1" si="3"/>
        <v/>
      </c>
      <c r="O575" s="30" t="str">
        <f ca="1">IF(TODAY()&lt;$J575,"",($O$3-$J574)*0.05+$P$6)</f>
        <v/>
      </c>
    </row>
    <row r="576" spans="10:15" ht="13">
      <c r="J576" s="26">
        <f t="shared" si="4"/>
        <v>44638</v>
      </c>
      <c r="K576" s="3">
        <v>2</v>
      </c>
      <c r="L576" s="24" t="str">
        <f t="shared" ca="1" si="3"/>
        <v/>
      </c>
      <c r="O576" s="30"/>
    </row>
    <row r="577" spans="10:15" ht="13">
      <c r="J577" s="26">
        <f t="shared" si="4"/>
        <v>44638</v>
      </c>
      <c r="K577" s="3">
        <v>3</v>
      </c>
      <c r="L577" s="24" t="str">
        <f t="shared" ca="1" si="3"/>
        <v/>
      </c>
      <c r="O577" s="30"/>
    </row>
    <row r="578" spans="10:15" ht="13">
      <c r="J578" s="26">
        <f t="shared" si="4"/>
        <v>44638</v>
      </c>
      <c r="K578" s="3">
        <v>4</v>
      </c>
      <c r="L578" s="24" t="str">
        <f t="shared" ca="1" si="3"/>
        <v/>
      </c>
      <c r="O578" s="30"/>
    </row>
    <row r="579" spans="10:15" ht="13">
      <c r="J579" s="26">
        <f t="shared" si="4"/>
        <v>44638</v>
      </c>
      <c r="K579" s="3">
        <v>6</v>
      </c>
      <c r="L579" s="24" t="str">
        <f t="shared" ca="1" si="3"/>
        <v/>
      </c>
      <c r="M579" s="10" t="str">
        <f ca="1">IF(TODAY()&lt;$J579,"",IF(($O$3-$J579)*0.1+$O$4&lt;0,0,($O$3-$J579)*0.1+$O$4))</f>
        <v/>
      </c>
      <c r="N579" s="10" t="str">
        <f ca="1">IF(TODAY()&lt;$J579,"",IF(($O$3-$J579)*0.1+$O$5&lt;0,0,($O$3-$J579)*0.1+$O$5))</f>
        <v/>
      </c>
      <c r="O579" s="30"/>
    </row>
    <row r="580" spans="10:15" ht="13">
      <c r="J580" s="26">
        <f t="shared" si="4"/>
        <v>44638</v>
      </c>
      <c r="K580" s="3">
        <v>7</v>
      </c>
      <c r="L580" s="24" t="str">
        <f t="shared" ca="1" si="3"/>
        <v/>
      </c>
      <c r="O580" s="30"/>
    </row>
    <row r="581" spans="10:15" ht="13">
      <c r="J581" s="26">
        <f t="shared" si="4"/>
        <v>44638</v>
      </c>
      <c r="K581" s="3" t="s">
        <v>15</v>
      </c>
      <c r="L581" s="24" t="str">
        <f t="shared" ca="1" si="3"/>
        <v/>
      </c>
      <c r="O581" s="30" t="str">
        <f ca="1">IF(TODAY()&lt;$J581,"",($O$3-$J581)*0.05+$O$6)</f>
        <v/>
      </c>
    </row>
    <row r="582" spans="10:15" ht="13">
      <c r="J582" s="26">
        <f t="shared" si="4"/>
        <v>44638</v>
      </c>
      <c r="K582" s="3" t="s">
        <v>15</v>
      </c>
      <c r="L582" s="24" t="str">
        <f t="shared" ca="1" si="3"/>
        <v/>
      </c>
      <c r="O582" s="30" t="str">
        <f ca="1">IF(TODAY()&lt;$J582,"",($O$3-$J581)*0.05+$P$6)</f>
        <v/>
      </c>
    </row>
    <row r="583" spans="10:15" ht="13">
      <c r="J583" s="26">
        <f t="shared" si="4"/>
        <v>44639</v>
      </c>
      <c r="K583" s="3">
        <v>2</v>
      </c>
      <c r="L583" s="24" t="str">
        <f t="shared" ca="1" si="3"/>
        <v/>
      </c>
      <c r="O583" s="30"/>
    </row>
    <row r="584" spans="10:15" ht="13">
      <c r="J584" s="26">
        <f t="shared" si="4"/>
        <v>44639</v>
      </c>
      <c r="K584" s="3">
        <v>3</v>
      </c>
      <c r="L584" s="24" t="str">
        <f t="shared" ca="1" si="3"/>
        <v/>
      </c>
      <c r="O584" s="30"/>
    </row>
    <row r="585" spans="10:15" ht="13">
      <c r="J585" s="26">
        <f t="shared" si="4"/>
        <v>44639</v>
      </c>
      <c r="K585" s="3">
        <v>4</v>
      </c>
      <c r="L585" s="24" t="str">
        <f t="shared" ca="1" si="3"/>
        <v/>
      </c>
      <c r="O585" s="30"/>
    </row>
    <row r="586" spans="10:15" ht="13">
      <c r="J586" s="26">
        <f t="shared" si="4"/>
        <v>44639</v>
      </c>
      <c r="K586" s="3">
        <v>6</v>
      </c>
      <c r="L586" s="24" t="str">
        <f t="shared" ca="1" si="3"/>
        <v/>
      </c>
      <c r="M586" s="10" t="str">
        <f ca="1">IF(TODAY()&lt;$J586,"",IF(($O$3-$J586)*0.1+$O$4&lt;0,0,($O$3-$J586)*0.1+$O$4))</f>
        <v/>
      </c>
      <c r="N586" s="10" t="str">
        <f ca="1">IF(TODAY()&lt;$J586,"",IF(($O$3-$J586)*0.1+$O$5&lt;0,0,($O$3-$J586)*0.1+$O$5))</f>
        <v/>
      </c>
      <c r="O586" s="30"/>
    </row>
    <row r="587" spans="10:15" ht="13">
      <c r="J587" s="26">
        <f t="shared" si="4"/>
        <v>44639</v>
      </c>
      <c r="K587" s="3">
        <v>7</v>
      </c>
      <c r="L587" s="24" t="str">
        <f t="shared" ca="1" si="3"/>
        <v/>
      </c>
      <c r="O587" s="30"/>
    </row>
    <row r="588" spans="10:15" ht="13">
      <c r="J588" s="26">
        <f t="shared" si="4"/>
        <v>44639</v>
      </c>
      <c r="K588" s="3" t="s">
        <v>15</v>
      </c>
      <c r="L588" s="24" t="str">
        <f t="shared" ca="1" si="3"/>
        <v/>
      </c>
      <c r="O588" s="30" t="str">
        <f ca="1">IF(TODAY()&lt;$J588,"",($O$3-$J588)*0.05+$O$6)</f>
        <v/>
      </c>
    </row>
    <row r="589" spans="10:15" ht="13">
      <c r="J589" s="26">
        <f t="shared" si="4"/>
        <v>44639</v>
      </c>
      <c r="K589" s="3" t="s">
        <v>15</v>
      </c>
      <c r="L589" s="24" t="str">
        <f t="shared" ca="1" si="3"/>
        <v/>
      </c>
      <c r="O589" s="30" t="str">
        <f ca="1">IF(TODAY()&lt;$J589,"",($O$3-$J588)*0.05+$P$6)</f>
        <v/>
      </c>
    </row>
    <row r="590" spans="10:15" ht="13">
      <c r="J590" s="26">
        <f t="shared" si="4"/>
        <v>44640</v>
      </c>
      <c r="K590" s="3">
        <v>2</v>
      </c>
      <c r="L590" s="24" t="str">
        <f t="shared" ca="1" si="3"/>
        <v/>
      </c>
      <c r="O590" s="30"/>
    </row>
    <row r="591" spans="10:15" ht="13">
      <c r="J591" s="26">
        <f t="shared" si="4"/>
        <v>44640</v>
      </c>
      <c r="K591" s="3">
        <v>3</v>
      </c>
      <c r="L591" s="24" t="str">
        <f t="shared" ca="1" si="3"/>
        <v/>
      </c>
      <c r="O591" s="30"/>
    </row>
    <row r="592" spans="10:15" ht="13">
      <c r="J592" s="26">
        <f t="shared" si="4"/>
        <v>44640</v>
      </c>
      <c r="K592" s="3">
        <v>4</v>
      </c>
      <c r="L592" s="24" t="str">
        <f t="shared" ca="1" si="3"/>
        <v/>
      </c>
      <c r="O592" s="30"/>
    </row>
    <row r="593" spans="10:15" ht="13">
      <c r="J593" s="26">
        <f t="shared" si="4"/>
        <v>44640</v>
      </c>
      <c r="K593" s="3">
        <v>6</v>
      </c>
      <c r="L593" s="24" t="str">
        <f t="shared" ca="1" si="3"/>
        <v/>
      </c>
      <c r="M593" s="10" t="str">
        <f ca="1">IF(TODAY()&lt;$J593,"",IF(($O$3-$J593)*0.1+$O$4&lt;0,0,($O$3-$J593)*0.1+$O$4))</f>
        <v/>
      </c>
      <c r="N593" s="10" t="str">
        <f ca="1">IF(TODAY()&lt;$J593,"",IF(($O$3-$J593)*0.1+$O$5&lt;0,0,($O$3-$J593)*0.1+$O$5))</f>
        <v/>
      </c>
      <c r="O593" s="30"/>
    </row>
    <row r="594" spans="10:15" ht="13">
      <c r="J594" s="26">
        <f t="shared" si="4"/>
        <v>44640</v>
      </c>
      <c r="K594" s="3">
        <v>7</v>
      </c>
      <c r="L594" s="24" t="str">
        <f t="shared" ca="1" si="3"/>
        <v/>
      </c>
      <c r="O594" s="30"/>
    </row>
    <row r="595" spans="10:15" ht="13">
      <c r="J595" s="26">
        <f t="shared" si="4"/>
        <v>44640</v>
      </c>
      <c r="K595" s="3" t="s">
        <v>15</v>
      </c>
      <c r="L595" s="24" t="str">
        <f t="shared" ca="1" si="3"/>
        <v/>
      </c>
      <c r="O595" s="30" t="str">
        <f ca="1">IF(TODAY()&lt;$J595,"",($O$3-$J595)*0.05+$O$6)</f>
        <v/>
      </c>
    </row>
    <row r="596" spans="10:15" ht="13">
      <c r="J596" s="26">
        <f t="shared" si="4"/>
        <v>44640</v>
      </c>
      <c r="K596" s="3" t="s">
        <v>15</v>
      </c>
      <c r="L596" s="24" t="str">
        <f t="shared" ca="1" si="3"/>
        <v/>
      </c>
      <c r="O596" s="30" t="str">
        <f ca="1">IF(TODAY()&lt;$J596,"",($O$3-$J595)*0.05+$P$6)</f>
        <v/>
      </c>
    </row>
    <row r="597" spans="10:15" ht="13">
      <c r="J597" s="26">
        <f t="shared" si="4"/>
        <v>44641</v>
      </c>
      <c r="K597" s="3">
        <v>2</v>
      </c>
      <c r="L597" s="24" t="str">
        <f t="shared" ca="1" si="3"/>
        <v/>
      </c>
      <c r="O597" s="30"/>
    </row>
    <row r="598" spans="10:15" ht="13">
      <c r="J598" s="26">
        <f t="shared" si="4"/>
        <v>44641</v>
      </c>
      <c r="K598" s="3">
        <v>3</v>
      </c>
      <c r="L598" s="24" t="str">
        <f t="shared" ca="1" si="3"/>
        <v/>
      </c>
      <c r="O598" s="30"/>
    </row>
    <row r="599" spans="10:15" ht="13">
      <c r="J599" s="26">
        <f t="shared" si="4"/>
        <v>44641</v>
      </c>
      <c r="K599" s="3">
        <v>4</v>
      </c>
      <c r="L599" s="24" t="str">
        <f t="shared" ca="1" si="3"/>
        <v/>
      </c>
      <c r="O599" s="30"/>
    </row>
    <row r="600" spans="10:15" ht="13">
      <c r="J600" s="26">
        <f t="shared" si="4"/>
        <v>44641</v>
      </c>
      <c r="K600" s="3">
        <v>6</v>
      </c>
      <c r="L600" s="24" t="str">
        <f t="shared" ca="1" si="3"/>
        <v/>
      </c>
      <c r="M600" s="10" t="str">
        <f ca="1">IF(TODAY()&lt;$J600,"",IF(($O$3-$J600)*0.1+$O$4&lt;0,0,($O$3-$J600)*0.1+$O$4))</f>
        <v/>
      </c>
      <c r="N600" s="10" t="str">
        <f ca="1">IF(TODAY()&lt;$J600,"",IF(($O$3-$J600)*0.1+$O$5&lt;0,0,($O$3-$J600)*0.1+$O$5))</f>
        <v/>
      </c>
      <c r="O600" s="30"/>
    </row>
    <row r="601" spans="10:15" ht="13">
      <c r="J601" s="26">
        <f t="shared" si="4"/>
        <v>44641</v>
      </c>
      <c r="K601" s="3">
        <v>7</v>
      </c>
      <c r="L601" s="24" t="str">
        <f t="shared" ca="1" si="3"/>
        <v/>
      </c>
      <c r="O601" s="30"/>
    </row>
    <row r="602" spans="10:15" ht="13">
      <c r="J602" s="26">
        <f t="shared" si="4"/>
        <v>44641</v>
      </c>
      <c r="K602" s="3" t="s">
        <v>15</v>
      </c>
      <c r="L602" s="24" t="str">
        <f t="shared" ca="1" si="3"/>
        <v/>
      </c>
      <c r="O602" s="30" t="str">
        <f ca="1">IF(TODAY()&lt;$J602,"",($O$3-$J602)*0.05+$O$6)</f>
        <v/>
      </c>
    </row>
    <row r="603" spans="10:15" ht="13">
      <c r="J603" s="26">
        <f t="shared" si="4"/>
        <v>44641</v>
      </c>
      <c r="K603" s="3" t="s">
        <v>15</v>
      </c>
      <c r="L603" s="24" t="str">
        <f t="shared" ca="1" si="3"/>
        <v/>
      </c>
      <c r="O603" s="30" t="str">
        <f ca="1">IF(TODAY()&lt;$J603,"",($O$3-$J602)*0.05+$P$6)</f>
        <v/>
      </c>
    </row>
    <row r="604" spans="10:15" ht="13">
      <c r="J604" s="26">
        <f t="shared" si="4"/>
        <v>44642</v>
      </c>
      <c r="K604" s="3">
        <v>2</v>
      </c>
      <c r="L604" s="24" t="str">
        <f t="shared" ca="1" si="3"/>
        <v/>
      </c>
      <c r="O604" s="30"/>
    </row>
    <row r="605" spans="10:15" ht="13">
      <c r="J605" s="26">
        <f t="shared" si="4"/>
        <v>44642</v>
      </c>
      <c r="K605" s="3">
        <v>3</v>
      </c>
      <c r="L605" s="24" t="str">
        <f t="shared" ca="1" si="3"/>
        <v/>
      </c>
      <c r="O605" s="30"/>
    </row>
    <row r="606" spans="10:15" ht="13">
      <c r="J606" s="26">
        <f t="shared" si="4"/>
        <v>44642</v>
      </c>
      <c r="K606" s="3">
        <v>4</v>
      </c>
      <c r="L606" s="24" t="str">
        <f t="shared" ca="1" si="3"/>
        <v/>
      </c>
      <c r="O606" s="30"/>
    </row>
    <row r="607" spans="10:15" ht="13">
      <c r="J607" s="26">
        <f t="shared" si="4"/>
        <v>44642</v>
      </c>
      <c r="K607" s="3">
        <v>6</v>
      </c>
      <c r="L607" s="24" t="str">
        <f t="shared" ca="1" si="3"/>
        <v/>
      </c>
      <c r="M607" s="10" t="str">
        <f ca="1">IF(TODAY()&lt;$J607,"",IF(($O$3-$J607)*0.1+$O$4&lt;0,0,($O$3-$J607)*0.1+$O$4))</f>
        <v/>
      </c>
      <c r="N607" s="10" t="str">
        <f ca="1">IF(TODAY()&lt;$J607,"",IF(($O$3-$J607)*0.1+$O$5&lt;0,0,($O$3-$J607)*0.1+$O$5))</f>
        <v/>
      </c>
      <c r="O607" s="30"/>
    </row>
    <row r="608" spans="10:15" ht="13">
      <c r="J608" s="26">
        <f t="shared" si="4"/>
        <v>44642</v>
      </c>
      <c r="K608" s="3">
        <v>7</v>
      </c>
      <c r="L608" s="24" t="str">
        <f t="shared" ca="1" si="3"/>
        <v/>
      </c>
      <c r="O608" s="30"/>
    </row>
    <row r="609" spans="10:15" ht="13">
      <c r="J609" s="26">
        <f t="shared" si="4"/>
        <v>44642</v>
      </c>
      <c r="K609" s="3" t="s">
        <v>15</v>
      </c>
      <c r="L609" s="24" t="str">
        <f t="shared" ca="1" si="3"/>
        <v/>
      </c>
      <c r="O609" s="30" t="str">
        <f ca="1">IF(TODAY()&lt;$J609,"",($O$3-$J609)*0.05+$O$6)</f>
        <v/>
      </c>
    </row>
    <row r="610" spans="10:15" ht="13">
      <c r="J610" s="26">
        <f t="shared" si="4"/>
        <v>44642</v>
      </c>
      <c r="K610" s="3" t="s">
        <v>15</v>
      </c>
      <c r="L610" s="24" t="str">
        <f t="shared" ca="1" si="3"/>
        <v/>
      </c>
      <c r="O610" s="30" t="str">
        <f ca="1">IF(TODAY()&lt;$J610,"",($O$3-$J609)*0.05+$P$6)</f>
        <v/>
      </c>
    </row>
    <row r="611" spans="10:15" ht="13">
      <c r="J611" s="26">
        <f t="shared" si="4"/>
        <v>44643</v>
      </c>
      <c r="K611" s="3">
        <v>2</v>
      </c>
      <c r="L611" s="24" t="str">
        <f t="shared" ca="1" si="3"/>
        <v/>
      </c>
      <c r="O611" s="30"/>
    </row>
    <row r="612" spans="10:15" ht="13">
      <c r="J612" s="26">
        <f t="shared" si="4"/>
        <v>44643</v>
      </c>
      <c r="K612" s="3">
        <v>3</v>
      </c>
      <c r="L612" s="24" t="str">
        <f t="shared" ca="1" si="3"/>
        <v/>
      </c>
      <c r="O612" s="30"/>
    </row>
    <row r="613" spans="10:15" ht="13">
      <c r="J613" s="26">
        <f t="shared" si="4"/>
        <v>44643</v>
      </c>
      <c r="K613" s="3">
        <v>4</v>
      </c>
      <c r="L613" s="24" t="str">
        <f t="shared" ca="1" si="3"/>
        <v/>
      </c>
      <c r="O613" s="30"/>
    </row>
    <row r="614" spans="10:15" ht="13">
      <c r="J614" s="26">
        <f t="shared" si="4"/>
        <v>44643</v>
      </c>
      <c r="K614" s="3">
        <v>6</v>
      </c>
      <c r="L614" s="24" t="str">
        <f t="shared" ca="1" si="3"/>
        <v/>
      </c>
      <c r="M614" s="10" t="str">
        <f ca="1">IF(TODAY()&lt;$J614,"",IF(($O$3-$J614)*0.1+$O$4&lt;0,0,($O$3-$J614)*0.1+$O$4))</f>
        <v/>
      </c>
      <c r="N614" s="10" t="str">
        <f ca="1">IF(TODAY()&lt;$J614,"",IF(($O$3-$J614)*0.1+$O$5&lt;0,0,($O$3-$J614)*0.1+$O$5))</f>
        <v/>
      </c>
      <c r="O614" s="30"/>
    </row>
    <row r="615" spans="10:15" ht="13">
      <c r="J615" s="26">
        <f t="shared" si="4"/>
        <v>44643</v>
      </c>
      <c r="K615" s="3">
        <v>7</v>
      </c>
      <c r="L615" s="24" t="str">
        <f t="shared" ca="1" si="3"/>
        <v/>
      </c>
      <c r="O615" s="30"/>
    </row>
    <row r="616" spans="10:15" ht="13">
      <c r="J616" s="26">
        <f t="shared" si="4"/>
        <v>44643</v>
      </c>
      <c r="K616" s="3" t="s">
        <v>15</v>
      </c>
      <c r="L616" s="24" t="str">
        <f t="shared" ca="1" si="3"/>
        <v/>
      </c>
      <c r="O616" s="30" t="str">
        <f ca="1">IF(TODAY()&lt;$J616,"",($O$3-$J616)*0.05+$O$6)</f>
        <v/>
      </c>
    </row>
    <row r="617" spans="10:15" ht="13">
      <c r="J617" s="26">
        <f t="shared" si="4"/>
        <v>44643</v>
      </c>
      <c r="K617" s="3" t="s">
        <v>15</v>
      </c>
      <c r="L617" s="24" t="str">
        <f t="shared" ca="1" si="3"/>
        <v/>
      </c>
      <c r="O617" s="30" t="str">
        <f ca="1">IF(TODAY()&lt;$J617,"",($O$3-$J616)*0.05+$P$6)</f>
        <v/>
      </c>
    </row>
    <row r="618" spans="10:15" ht="13">
      <c r="J618" s="26">
        <f t="shared" si="4"/>
        <v>44644</v>
      </c>
      <c r="K618" s="3">
        <v>2</v>
      </c>
      <c r="L618" s="24" t="str">
        <f t="shared" ca="1" si="3"/>
        <v/>
      </c>
      <c r="O618" s="30"/>
    </row>
    <row r="619" spans="10:15" ht="13">
      <c r="J619" s="26">
        <f t="shared" si="4"/>
        <v>44644</v>
      </c>
      <c r="K619" s="3">
        <v>3</v>
      </c>
      <c r="L619" s="24" t="str">
        <f t="shared" ca="1" si="3"/>
        <v/>
      </c>
      <c r="O619" s="30"/>
    </row>
    <row r="620" spans="10:15" ht="13">
      <c r="J620" s="26">
        <f t="shared" si="4"/>
        <v>44644</v>
      </c>
      <c r="K620" s="3">
        <v>4</v>
      </c>
      <c r="L620" s="24" t="str">
        <f t="shared" ca="1" si="3"/>
        <v/>
      </c>
      <c r="O620" s="30"/>
    </row>
    <row r="621" spans="10:15" ht="13">
      <c r="J621" s="26">
        <f t="shared" si="4"/>
        <v>44644</v>
      </c>
      <c r="K621" s="3">
        <v>6</v>
      </c>
      <c r="L621" s="24" t="str">
        <f t="shared" ca="1" si="3"/>
        <v/>
      </c>
      <c r="M621" s="10" t="str">
        <f ca="1">IF(TODAY()&lt;$J621,"",IF(($O$3-$J621)*0.1+$O$4&lt;0,0,($O$3-$J621)*0.1+$O$4))</f>
        <v/>
      </c>
      <c r="N621" s="10" t="str">
        <f ca="1">IF(TODAY()&lt;$J621,"",IF(($O$3-$J621)*0.1+$O$5&lt;0,0,($O$3-$J621)*0.1+$O$5))</f>
        <v/>
      </c>
      <c r="O621" s="30"/>
    </row>
    <row r="622" spans="10:15" ht="13">
      <c r="J622" s="26">
        <f t="shared" si="4"/>
        <v>44644</v>
      </c>
      <c r="K622" s="3">
        <v>7</v>
      </c>
      <c r="L622" s="24" t="str">
        <f t="shared" ca="1" si="3"/>
        <v/>
      </c>
      <c r="O622" s="30"/>
    </row>
    <row r="623" spans="10:15" ht="13">
      <c r="J623" s="26">
        <f t="shared" si="4"/>
        <v>44644</v>
      </c>
      <c r="K623" s="3" t="s">
        <v>15</v>
      </c>
      <c r="L623" s="24" t="str">
        <f t="shared" ca="1" si="3"/>
        <v/>
      </c>
      <c r="O623" s="30" t="str">
        <f ca="1">IF(TODAY()&lt;$J623,"",($O$3-$J623)*0.05+$O$6)</f>
        <v/>
      </c>
    </row>
    <row r="624" spans="10:15" ht="13">
      <c r="J624" s="26">
        <f t="shared" si="4"/>
        <v>44644</v>
      </c>
      <c r="K624" s="3" t="s">
        <v>15</v>
      </c>
      <c r="L624" s="24" t="str">
        <f t="shared" ca="1" si="3"/>
        <v/>
      </c>
      <c r="O624" s="30" t="str">
        <f ca="1">IF(TODAY()&lt;$J624,"",($O$3-$J623)*0.05+$P$6)</f>
        <v/>
      </c>
    </row>
    <row r="625" spans="10:15" ht="13">
      <c r="J625" s="26">
        <f t="shared" si="4"/>
        <v>44645</v>
      </c>
      <c r="K625" s="3">
        <v>2</v>
      </c>
      <c r="L625" s="24" t="str">
        <f t="shared" ca="1" si="3"/>
        <v/>
      </c>
      <c r="O625" s="30"/>
    </row>
    <row r="626" spans="10:15" ht="13">
      <c r="J626" s="26">
        <f t="shared" si="4"/>
        <v>44645</v>
      </c>
      <c r="K626" s="3">
        <v>3</v>
      </c>
      <c r="L626" s="24" t="str">
        <f t="shared" ca="1" si="3"/>
        <v/>
      </c>
      <c r="O626" s="30"/>
    </row>
    <row r="627" spans="10:15" ht="13">
      <c r="J627" s="26">
        <f t="shared" si="4"/>
        <v>44645</v>
      </c>
      <c r="K627" s="3">
        <v>4</v>
      </c>
      <c r="L627" s="24" t="str">
        <f t="shared" ca="1" si="3"/>
        <v/>
      </c>
      <c r="O627" s="30"/>
    </row>
    <row r="628" spans="10:15" ht="13">
      <c r="J628" s="26">
        <f t="shared" si="4"/>
        <v>44645</v>
      </c>
      <c r="K628" s="3">
        <v>6</v>
      </c>
      <c r="L628" s="24" t="str">
        <f t="shared" ca="1" si="3"/>
        <v/>
      </c>
      <c r="M628" s="10" t="str">
        <f ca="1">IF(TODAY()&lt;$J628,"",IF(($O$3-$J628)*0.1+$O$4&lt;0,0,($O$3-$J628)*0.1+$O$4))</f>
        <v/>
      </c>
      <c r="N628" s="10" t="str">
        <f ca="1">IF(TODAY()&lt;$J628,"",IF(($O$3-$J628)*0.1+$O$5&lt;0,0,($O$3-$J628)*0.1+$O$5))</f>
        <v/>
      </c>
      <c r="O628" s="30"/>
    </row>
    <row r="629" spans="10:15" ht="13">
      <c r="J629" s="26">
        <f t="shared" si="4"/>
        <v>44645</v>
      </c>
      <c r="K629" s="3">
        <v>7</v>
      </c>
      <c r="L629" s="24" t="str">
        <f t="shared" ca="1" si="3"/>
        <v/>
      </c>
      <c r="O629" s="30"/>
    </row>
    <row r="630" spans="10:15" ht="13">
      <c r="J630" s="26">
        <f t="shared" si="4"/>
        <v>44645</v>
      </c>
      <c r="K630" s="3" t="s">
        <v>15</v>
      </c>
      <c r="L630" s="24" t="str">
        <f t="shared" ca="1" si="3"/>
        <v/>
      </c>
      <c r="O630" s="30" t="str">
        <f ca="1">IF(TODAY()&lt;$J630,"",($O$3-$J630)*0.05+$O$6)</f>
        <v/>
      </c>
    </row>
    <row r="631" spans="10:15" ht="13">
      <c r="J631" s="26">
        <f t="shared" si="4"/>
        <v>44645</v>
      </c>
      <c r="K631" s="3" t="s">
        <v>15</v>
      </c>
      <c r="L631" s="24" t="str">
        <f t="shared" ca="1" si="3"/>
        <v/>
      </c>
      <c r="O631" s="30" t="str">
        <f ca="1">IF(TODAY()&lt;$J631,"",($O$3-$J630)*0.05+$P$6)</f>
        <v/>
      </c>
    </row>
    <row r="632" spans="10:15" ht="13">
      <c r="J632" s="26">
        <f t="shared" si="4"/>
        <v>44646</v>
      </c>
      <c r="K632" s="3">
        <v>2</v>
      </c>
      <c r="L632" s="24" t="str">
        <f t="shared" ca="1" si="3"/>
        <v/>
      </c>
      <c r="O632" s="30"/>
    </row>
    <row r="633" spans="10:15" ht="13">
      <c r="J633" s="26">
        <f t="shared" si="4"/>
        <v>44646</v>
      </c>
      <c r="K633" s="3">
        <v>3</v>
      </c>
      <c r="L633" s="24" t="str">
        <f t="shared" ca="1" si="3"/>
        <v/>
      </c>
      <c r="O633" s="30"/>
    </row>
    <row r="634" spans="10:15" ht="13">
      <c r="J634" s="26">
        <f t="shared" si="4"/>
        <v>44646</v>
      </c>
      <c r="K634" s="3">
        <v>4</v>
      </c>
      <c r="L634" s="24" t="str">
        <f t="shared" ca="1" si="3"/>
        <v/>
      </c>
      <c r="O634" s="30"/>
    </row>
    <row r="635" spans="10:15" ht="13">
      <c r="J635" s="26">
        <f t="shared" si="4"/>
        <v>44646</v>
      </c>
      <c r="K635" s="3">
        <v>6</v>
      </c>
      <c r="L635" s="24" t="str">
        <f t="shared" ca="1" si="3"/>
        <v/>
      </c>
      <c r="M635" s="10" t="str">
        <f ca="1">IF(TODAY()&lt;$J635,"",IF(($O$3-$J635)*0.1+$O$4&lt;0,0,($O$3-$J635)*0.1+$O$4))</f>
        <v/>
      </c>
      <c r="N635" s="10" t="str">
        <f ca="1">IF(TODAY()&lt;$J635,"",IF(($O$3-$J635)*0.1+$O$5&lt;0,0,($O$3-$J635)*0.1+$O$5))</f>
        <v/>
      </c>
      <c r="O635" s="30"/>
    </row>
    <row r="636" spans="10:15" ht="13">
      <c r="J636" s="26">
        <f t="shared" si="4"/>
        <v>44646</v>
      </c>
      <c r="K636" s="3">
        <v>7</v>
      </c>
      <c r="L636" s="24" t="str">
        <f t="shared" ca="1" si="3"/>
        <v/>
      </c>
      <c r="O636" s="30"/>
    </row>
    <row r="637" spans="10:15" ht="13">
      <c r="J637" s="26">
        <f t="shared" si="4"/>
        <v>44646</v>
      </c>
      <c r="K637" s="3" t="s">
        <v>15</v>
      </c>
      <c r="L637" s="24" t="str">
        <f t="shared" ca="1" si="3"/>
        <v/>
      </c>
      <c r="O637" s="30" t="str">
        <f ca="1">IF(TODAY()&lt;$J637,"",($O$3-$J637)*0.05+$O$6)</f>
        <v/>
      </c>
    </row>
    <row r="638" spans="10:15" ht="13">
      <c r="J638" s="26">
        <f t="shared" si="4"/>
        <v>44646</v>
      </c>
      <c r="K638" s="3" t="s">
        <v>15</v>
      </c>
      <c r="L638" s="24" t="str">
        <f t="shared" ca="1" si="3"/>
        <v/>
      </c>
      <c r="O638" s="30" t="str">
        <f ca="1">IF(TODAY()&lt;$J638,"",($O$3-$J637)*0.05+$P$6)</f>
        <v/>
      </c>
    </row>
    <row r="639" spans="10:15" ht="13">
      <c r="J639" s="26">
        <f t="shared" si="4"/>
        <v>44647</v>
      </c>
      <c r="K639" s="3">
        <v>2</v>
      </c>
      <c r="L639" s="24" t="str">
        <f t="shared" ca="1" si="3"/>
        <v/>
      </c>
      <c r="O639" s="30"/>
    </row>
    <row r="640" spans="10:15" ht="13">
      <c r="J640" s="26">
        <f t="shared" si="4"/>
        <v>44647</v>
      </c>
      <c r="K640" s="3">
        <v>3</v>
      </c>
      <c r="L640" s="24" t="str">
        <f t="shared" ca="1" si="3"/>
        <v/>
      </c>
      <c r="O640" s="30"/>
    </row>
    <row r="641" spans="10:15" ht="13">
      <c r="J641" s="26">
        <f t="shared" si="4"/>
        <v>44647</v>
      </c>
      <c r="K641" s="3">
        <v>4</v>
      </c>
      <c r="L641" s="24" t="str">
        <f t="shared" ca="1" si="3"/>
        <v/>
      </c>
      <c r="O641" s="30"/>
    </row>
    <row r="642" spans="10:15" ht="13">
      <c r="J642" s="26">
        <f t="shared" si="4"/>
        <v>44647</v>
      </c>
      <c r="K642" s="3">
        <v>6</v>
      </c>
      <c r="L642" s="24" t="str">
        <f t="shared" ca="1" si="3"/>
        <v/>
      </c>
      <c r="M642" s="10" t="str">
        <f ca="1">IF(TODAY()&lt;$J642,"",IF(($O$3-$J642)*0.1+$O$4&lt;0,0,($O$3-$J642)*0.1+$O$4))</f>
        <v/>
      </c>
      <c r="N642" s="10" t="str">
        <f ca="1">IF(TODAY()&lt;$J642,"",IF(($O$3-$J642)*0.1+$O$5&lt;0,0,($O$3-$J642)*0.1+$O$5))</f>
        <v/>
      </c>
      <c r="O642" s="30"/>
    </row>
    <row r="643" spans="10:15" ht="13">
      <c r="J643" s="26">
        <f t="shared" si="4"/>
        <v>44647</v>
      </c>
      <c r="K643" s="3">
        <v>7</v>
      </c>
      <c r="L643" s="24" t="str">
        <f t="shared" ca="1" si="3"/>
        <v/>
      </c>
      <c r="O643" s="30"/>
    </row>
    <row r="644" spans="10:15" ht="13">
      <c r="J644" s="26">
        <f t="shared" si="4"/>
        <v>44647</v>
      </c>
      <c r="K644" s="3" t="s">
        <v>15</v>
      </c>
      <c r="L644" s="24" t="str">
        <f t="shared" ca="1" si="3"/>
        <v/>
      </c>
      <c r="O644" s="30" t="str">
        <f ca="1">IF(TODAY()&lt;$J644,"",($O$3-$J644)*0.05+$O$6)</f>
        <v/>
      </c>
    </row>
    <row r="645" spans="10:15" ht="13">
      <c r="J645" s="26">
        <f t="shared" si="4"/>
        <v>44647</v>
      </c>
      <c r="K645" s="3" t="s">
        <v>15</v>
      </c>
      <c r="L645" s="24" t="str">
        <f t="shared" ca="1" si="3"/>
        <v/>
      </c>
      <c r="O645" s="30" t="str">
        <f ca="1">IF(TODAY()&lt;$J645,"",($O$3-$J644)*0.05+$P$6)</f>
        <v/>
      </c>
    </row>
    <row r="646" spans="10:15" ht="13">
      <c r="J646" s="26">
        <f t="shared" si="4"/>
        <v>44648</v>
      </c>
      <c r="K646" s="3">
        <v>2</v>
      </c>
      <c r="L646" s="24" t="str">
        <f t="shared" ca="1" si="3"/>
        <v/>
      </c>
      <c r="O646" s="30"/>
    </row>
    <row r="647" spans="10:15" ht="13">
      <c r="J647" s="26">
        <f t="shared" si="4"/>
        <v>44648</v>
      </c>
      <c r="K647" s="3">
        <v>3</v>
      </c>
      <c r="L647" s="24" t="str">
        <f t="shared" ca="1" si="3"/>
        <v/>
      </c>
      <c r="O647" s="30"/>
    </row>
    <row r="648" spans="10:15" ht="13">
      <c r="J648" s="26">
        <f t="shared" si="4"/>
        <v>44648</v>
      </c>
      <c r="K648" s="3">
        <v>4</v>
      </c>
      <c r="L648" s="24" t="str">
        <f t="shared" ca="1" si="3"/>
        <v/>
      </c>
      <c r="O648" s="30"/>
    </row>
    <row r="649" spans="10:15" ht="13">
      <c r="J649" s="26">
        <f t="shared" si="4"/>
        <v>44648</v>
      </c>
      <c r="K649" s="3">
        <v>6</v>
      </c>
      <c r="L649" s="24" t="str">
        <f t="shared" ca="1" si="3"/>
        <v/>
      </c>
      <c r="M649" s="10" t="str">
        <f ca="1">IF(TODAY()&lt;$J649,"",IF(($O$3-$J649)*0.1+$O$4&lt;0,0,($O$3-$J649)*0.1+$O$4))</f>
        <v/>
      </c>
      <c r="N649" s="10" t="str">
        <f ca="1">IF(TODAY()&lt;$J649,"",IF(($O$3-$J649)*0.1+$O$5&lt;0,0,($O$3-$J649)*0.1+$O$5))</f>
        <v/>
      </c>
      <c r="O649" s="30"/>
    </row>
    <row r="650" spans="10:15" ht="13">
      <c r="J650" s="26">
        <f t="shared" si="4"/>
        <v>44648</v>
      </c>
      <c r="K650" s="3">
        <v>7</v>
      </c>
      <c r="L650" s="24" t="str">
        <f t="shared" ca="1" si="3"/>
        <v/>
      </c>
      <c r="O650" s="30"/>
    </row>
    <row r="651" spans="10:15" ht="13">
      <c r="J651" s="26">
        <f t="shared" si="4"/>
        <v>44648</v>
      </c>
      <c r="K651" s="3" t="s">
        <v>15</v>
      </c>
      <c r="L651" s="24" t="str">
        <f t="shared" ca="1" si="3"/>
        <v/>
      </c>
      <c r="O651" s="30" t="str">
        <f ca="1">IF(TODAY()&lt;$J651,"",($O$3-$J651)*0.05+$O$6)</f>
        <v/>
      </c>
    </row>
    <row r="652" spans="10:15" ht="13">
      <c r="J652" s="26">
        <f t="shared" si="4"/>
        <v>44648</v>
      </c>
      <c r="K652" s="3" t="s">
        <v>15</v>
      </c>
      <c r="L652" s="24" t="str">
        <f t="shared" ca="1" si="3"/>
        <v/>
      </c>
      <c r="O652" s="30" t="str">
        <f ca="1">IF(TODAY()&lt;$J652,"",($O$3-$J651)*0.05+$P$6)</f>
        <v/>
      </c>
    </row>
    <row r="653" spans="10:15" ht="13">
      <c r="J653" s="26">
        <f t="shared" si="4"/>
        <v>44649</v>
      </c>
      <c r="K653" s="3">
        <v>2</v>
      </c>
      <c r="L653" s="24" t="str">
        <f t="shared" ca="1" si="3"/>
        <v/>
      </c>
      <c r="O653" s="30"/>
    </row>
    <row r="654" spans="10:15" ht="13">
      <c r="J654" s="26">
        <f t="shared" si="4"/>
        <v>44649</v>
      </c>
      <c r="K654" s="3">
        <v>3</v>
      </c>
      <c r="L654" s="24" t="str">
        <f t="shared" ca="1" si="3"/>
        <v/>
      </c>
      <c r="O654" s="30"/>
    </row>
    <row r="655" spans="10:15" ht="13">
      <c r="J655" s="26">
        <f t="shared" si="4"/>
        <v>44649</v>
      </c>
      <c r="K655" s="3">
        <v>4</v>
      </c>
      <c r="L655" s="24" t="str">
        <f t="shared" ca="1" si="3"/>
        <v/>
      </c>
      <c r="O655" s="30"/>
    </row>
    <row r="656" spans="10:15" ht="13">
      <c r="J656" s="26">
        <f t="shared" si="4"/>
        <v>44649</v>
      </c>
      <c r="K656" s="3">
        <v>6</v>
      </c>
      <c r="L656" s="24" t="str">
        <f t="shared" ca="1" si="3"/>
        <v/>
      </c>
      <c r="M656" s="10" t="str">
        <f ca="1">IF(TODAY()&lt;$J656,"",IF(($O$3-$J656)*0.1+$O$4&lt;0,0,($O$3-$J656)*0.1+$O$4))</f>
        <v/>
      </c>
      <c r="N656" s="10" t="str">
        <f ca="1">IF(TODAY()&lt;$J656,"",IF(($O$3-$J656)*0.1+$O$5&lt;0,0,($O$3-$J656)*0.1+$O$5))</f>
        <v/>
      </c>
      <c r="O656" s="30"/>
    </row>
    <row r="657" spans="10:15" ht="13">
      <c r="J657" s="26">
        <f t="shared" si="4"/>
        <v>44649</v>
      </c>
      <c r="K657" s="3">
        <v>7</v>
      </c>
      <c r="L657" s="24" t="str">
        <f t="shared" ca="1" si="3"/>
        <v/>
      </c>
      <c r="O657" s="30"/>
    </row>
    <row r="658" spans="10:15" ht="13">
      <c r="J658" s="26">
        <f t="shared" si="4"/>
        <v>44649</v>
      </c>
      <c r="K658" s="3" t="s">
        <v>15</v>
      </c>
      <c r="L658" s="24" t="str">
        <f t="shared" ca="1" si="3"/>
        <v/>
      </c>
      <c r="O658" s="30" t="str">
        <f ca="1">IF(TODAY()&lt;$J658,"",($O$3-$J658)*0.05+$O$6)</f>
        <v/>
      </c>
    </row>
    <row r="659" spans="10:15" ht="13">
      <c r="J659" s="26">
        <f t="shared" si="4"/>
        <v>44649</v>
      </c>
      <c r="K659" s="3" t="s">
        <v>15</v>
      </c>
      <c r="L659" s="24" t="str">
        <f t="shared" ca="1" si="3"/>
        <v/>
      </c>
      <c r="O659" s="30" t="str">
        <f ca="1">IF(TODAY()&lt;$J659,"",($O$3-$J658)*0.05+$P$6)</f>
        <v/>
      </c>
    </row>
    <row r="660" spans="10:15" ht="13">
      <c r="J660" s="26">
        <f t="shared" si="4"/>
        <v>44650</v>
      </c>
      <c r="K660" s="3">
        <v>2</v>
      </c>
      <c r="L660" s="24" t="str">
        <f t="shared" ca="1" si="3"/>
        <v/>
      </c>
      <c r="O660" s="30"/>
    </row>
    <row r="661" spans="10:15" ht="13">
      <c r="J661" s="26">
        <f t="shared" si="4"/>
        <v>44650</v>
      </c>
      <c r="K661" s="3">
        <v>3</v>
      </c>
      <c r="L661" s="24" t="str">
        <f t="shared" ca="1" si="3"/>
        <v/>
      </c>
      <c r="O661" s="30"/>
    </row>
    <row r="662" spans="10:15" ht="13">
      <c r="J662" s="26">
        <f t="shared" si="4"/>
        <v>44650</v>
      </c>
      <c r="K662" s="3">
        <v>4</v>
      </c>
      <c r="L662" s="24" t="str">
        <f t="shared" ca="1" si="3"/>
        <v/>
      </c>
      <c r="O662" s="30"/>
    </row>
    <row r="663" spans="10:15" ht="13">
      <c r="J663" s="26">
        <f t="shared" si="4"/>
        <v>44650</v>
      </c>
      <c r="K663" s="3">
        <v>6</v>
      </c>
      <c r="L663" s="24" t="str">
        <f t="shared" ca="1" si="3"/>
        <v/>
      </c>
      <c r="M663" s="10" t="str">
        <f ca="1">IF(TODAY()&lt;$J663,"",IF(($O$3-$J663)*0.1+$O$4&lt;0,0,($O$3-$J663)*0.1+$O$4))</f>
        <v/>
      </c>
      <c r="N663" s="10" t="str">
        <f ca="1">IF(TODAY()&lt;$J663,"",IF(($O$3-$J663)*0.1+$O$5&lt;0,0,($O$3-$J663)*0.1+$O$5))</f>
        <v/>
      </c>
      <c r="O663" s="30"/>
    </row>
    <row r="664" spans="10:15" ht="13">
      <c r="J664" s="26">
        <f t="shared" si="4"/>
        <v>44650</v>
      </c>
      <c r="K664" s="3">
        <v>7</v>
      </c>
      <c r="L664" s="24" t="str">
        <f t="shared" ca="1" si="3"/>
        <v/>
      </c>
      <c r="O664" s="30"/>
    </row>
    <row r="665" spans="10:15" ht="13">
      <c r="J665" s="26">
        <f t="shared" si="4"/>
        <v>44650</v>
      </c>
      <c r="K665" s="3" t="s">
        <v>15</v>
      </c>
      <c r="L665" s="24" t="str">
        <f t="shared" ca="1" si="3"/>
        <v/>
      </c>
      <c r="O665" s="30" t="str">
        <f ca="1">IF(TODAY()&lt;$J665,"",($O$3-$J665)*0.05+$O$6)</f>
        <v/>
      </c>
    </row>
    <row r="666" spans="10:15" ht="13">
      <c r="J666" s="26">
        <f t="shared" si="4"/>
        <v>44650</v>
      </c>
      <c r="K666" s="3" t="s">
        <v>15</v>
      </c>
      <c r="L666" s="24" t="str">
        <f t="shared" ca="1" si="3"/>
        <v/>
      </c>
      <c r="O666" s="30" t="str">
        <f ca="1">IF(TODAY()&lt;$J666,"",($O$3-$J665)*0.05+$P$6)</f>
        <v/>
      </c>
    </row>
    <row r="667" spans="10:15" ht="13">
      <c r="J667" s="26">
        <f t="shared" si="4"/>
        <v>44651</v>
      </c>
      <c r="K667" s="3">
        <v>2</v>
      </c>
      <c r="L667" s="24" t="str">
        <f t="shared" ca="1" si="3"/>
        <v/>
      </c>
      <c r="O667" s="30"/>
    </row>
    <row r="668" spans="10:15" ht="13">
      <c r="J668" s="26">
        <f t="shared" si="4"/>
        <v>44651</v>
      </c>
      <c r="K668" s="3">
        <v>3</v>
      </c>
      <c r="L668" s="24" t="str">
        <f t="shared" ca="1" si="3"/>
        <v/>
      </c>
      <c r="O668" s="30"/>
    </row>
    <row r="669" spans="10:15" ht="13">
      <c r="J669" s="26">
        <f t="shared" si="4"/>
        <v>44651</v>
      </c>
      <c r="K669" s="3">
        <v>4</v>
      </c>
      <c r="L669" s="24" t="str">
        <f t="shared" ca="1" si="3"/>
        <v/>
      </c>
      <c r="O669" s="30"/>
    </row>
    <row r="670" spans="10:15" ht="13">
      <c r="J670" s="26">
        <f t="shared" si="4"/>
        <v>44651</v>
      </c>
      <c r="K670" s="3">
        <v>6</v>
      </c>
      <c r="L670" s="24" t="str">
        <f t="shared" ca="1" si="3"/>
        <v/>
      </c>
      <c r="M670" s="10" t="str">
        <f ca="1">IF(TODAY()&lt;$J670,"",IF(($O$3-$J670)*0.1+$O$4&lt;0,0,($O$3-$J670)*0.1+$O$4))</f>
        <v/>
      </c>
      <c r="N670" s="10" t="str">
        <f ca="1">IF(TODAY()&lt;$J670,"",IF(($O$3-$J670)*0.1+$O$5&lt;0,0,($O$3-$J670)*0.1+$O$5))</f>
        <v/>
      </c>
      <c r="O670" s="30"/>
    </row>
    <row r="671" spans="10:15" ht="13">
      <c r="J671" s="26">
        <f t="shared" si="4"/>
        <v>44651</v>
      </c>
      <c r="K671" s="3">
        <v>7</v>
      </c>
      <c r="L671" s="24" t="str">
        <f t="shared" ca="1" si="3"/>
        <v/>
      </c>
      <c r="O671" s="30"/>
    </row>
    <row r="672" spans="10:15" ht="13">
      <c r="J672" s="26">
        <f t="shared" si="4"/>
        <v>44651</v>
      </c>
      <c r="K672" s="3" t="s">
        <v>15</v>
      </c>
      <c r="L672" s="24" t="str">
        <f t="shared" ca="1" si="3"/>
        <v/>
      </c>
      <c r="O672" s="30" t="str">
        <f ca="1">IF(TODAY()&lt;$J672,"",($O$3-$J672)*0.05+$O$6)</f>
        <v/>
      </c>
    </row>
    <row r="673" spans="10:15" ht="13">
      <c r="J673" s="26">
        <f t="shared" si="4"/>
        <v>44651</v>
      </c>
      <c r="K673" s="3" t="s">
        <v>15</v>
      </c>
      <c r="L673" s="24" t="str">
        <f t="shared" ca="1" si="3"/>
        <v/>
      </c>
      <c r="O673" s="30" t="str">
        <f ca="1">IF(TODAY()&lt;$J673,"",($O$3-$J672)*0.05+$P$6)</f>
        <v/>
      </c>
    </row>
    <row r="674" spans="10:15" ht="13">
      <c r="J674" s="26">
        <f t="shared" si="4"/>
        <v>44652</v>
      </c>
      <c r="K674" s="3">
        <v>2</v>
      </c>
      <c r="L674" s="24" t="str">
        <f t="shared" ca="1" si="3"/>
        <v/>
      </c>
      <c r="O674" s="30"/>
    </row>
    <row r="675" spans="10:15" ht="13">
      <c r="J675" s="26">
        <f t="shared" si="4"/>
        <v>44652</v>
      </c>
      <c r="K675" s="3">
        <v>3</v>
      </c>
      <c r="L675" s="24" t="str">
        <f t="shared" ca="1" si="3"/>
        <v/>
      </c>
      <c r="O675" s="30"/>
    </row>
    <row r="676" spans="10:15" ht="13">
      <c r="J676" s="26">
        <f t="shared" si="4"/>
        <v>44652</v>
      </c>
      <c r="K676" s="3">
        <v>4</v>
      </c>
      <c r="L676" s="24" t="str">
        <f t="shared" ca="1" si="3"/>
        <v/>
      </c>
      <c r="O676" s="30"/>
    </row>
    <row r="677" spans="10:15" ht="13">
      <c r="J677" s="26">
        <f t="shared" si="4"/>
        <v>44652</v>
      </c>
      <c r="K677" s="3">
        <v>6</v>
      </c>
      <c r="L677" s="24" t="str">
        <f t="shared" ca="1" si="3"/>
        <v/>
      </c>
      <c r="M677" s="10" t="str">
        <f ca="1">IF(TODAY()&lt;$J677,"",IF(($O$3-$J677)*0.1+$O$4&lt;0,0,($O$3-$J677)*0.1+$O$4))</f>
        <v/>
      </c>
      <c r="N677" s="10" t="str">
        <f ca="1">IF(TODAY()&lt;$J677,"",IF(($O$3-$J677)*0.1+$O$5&lt;0,0,($O$3-$J677)*0.1+$O$5))</f>
        <v/>
      </c>
      <c r="O677" s="30"/>
    </row>
    <row r="678" spans="10:15" ht="13">
      <c r="J678" s="26">
        <f t="shared" si="4"/>
        <v>44652</v>
      </c>
      <c r="K678" s="3">
        <v>7</v>
      </c>
      <c r="L678" s="24" t="str">
        <f t="shared" ca="1" si="3"/>
        <v/>
      </c>
      <c r="O678" s="30"/>
    </row>
    <row r="679" spans="10:15" ht="13">
      <c r="J679" s="26">
        <f t="shared" si="4"/>
        <v>44652</v>
      </c>
      <c r="K679" s="3" t="s">
        <v>15</v>
      </c>
      <c r="L679" s="24" t="str">
        <f t="shared" ca="1" si="3"/>
        <v/>
      </c>
      <c r="O679" s="30" t="str">
        <f ca="1">IF(TODAY()&lt;$J679,"",($O$3-$J679)*0.05+$O$6)</f>
        <v/>
      </c>
    </row>
    <row r="680" spans="10:15" ht="13">
      <c r="J680" s="26">
        <f t="shared" si="4"/>
        <v>44652</v>
      </c>
      <c r="K680" s="3" t="s">
        <v>15</v>
      </c>
      <c r="L680" s="24" t="str">
        <f t="shared" ca="1" si="3"/>
        <v/>
      </c>
      <c r="O680" s="30" t="str">
        <f ca="1">IF(TODAY()&lt;$J680,"",($O$3-$J679)*0.05+$P$6)</f>
        <v/>
      </c>
    </row>
    <row r="681" spans="10:15" ht="13">
      <c r="J681" s="26">
        <f t="shared" si="4"/>
        <v>44653</v>
      </c>
      <c r="K681" s="3">
        <v>2</v>
      </c>
      <c r="L681" s="24" t="str">
        <f t="shared" ca="1" si="3"/>
        <v/>
      </c>
      <c r="O681" s="30"/>
    </row>
    <row r="682" spans="10:15" ht="13">
      <c r="J682" s="26">
        <f t="shared" si="4"/>
        <v>44653</v>
      </c>
      <c r="K682" s="3">
        <v>3</v>
      </c>
      <c r="L682" s="24" t="str">
        <f t="shared" ca="1" si="3"/>
        <v/>
      </c>
      <c r="O682" s="30"/>
    </row>
    <row r="683" spans="10:15" ht="13">
      <c r="J683" s="26">
        <f t="shared" si="4"/>
        <v>44653</v>
      </c>
      <c r="K683" s="3">
        <v>4</v>
      </c>
      <c r="L683" s="24" t="str">
        <f t="shared" ca="1" si="3"/>
        <v/>
      </c>
      <c r="O683" s="30"/>
    </row>
    <row r="684" spans="10:15" ht="13">
      <c r="J684" s="26">
        <f t="shared" si="4"/>
        <v>44653</v>
      </c>
      <c r="K684" s="3">
        <v>6</v>
      </c>
      <c r="L684" s="24" t="str">
        <f t="shared" ca="1" si="3"/>
        <v/>
      </c>
      <c r="M684" s="10" t="str">
        <f ca="1">IF(TODAY()&lt;$J684,"",IF(($O$3-$J684)*0.1+$O$4&lt;0,0,($O$3-$J684)*0.1+$O$4))</f>
        <v/>
      </c>
      <c r="N684" s="10" t="str">
        <f ca="1">IF(TODAY()&lt;$J684,"",IF(($O$3-$J684)*0.1+$O$5&lt;0,0,($O$3-$J684)*0.1+$O$5))</f>
        <v/>
      </c>
      <c r="O684" s="30"/>
    </row>
    <row r="685" spans="10:15" ht="13">
      <c r="J685" s="26">
        <f t="shared" si="4"/>
        <v>44653</v>
      </c>
      <c r="K685" s="3">
        <v>7</v>
      </c>
      <c r="L685" s="24" t="str">
        <f t="shared" ca="1" si="3"/>
        <v/>
      </c>
      <c r="O685" s="30"/>
    </row>
    <row r="686" spans="10:15" ht="13">
      <c r="J686" s="26">
        <f t="shared" si="4"/>
        <v>44653</v>
      </c>
      <c r="K686" s="3" t="s">
        <v>15</v>
      </c>
      <c r="L686" s="24" t="str">
        <f t="shared" ca="1" si="3"/>
        <v/>
      </c>
      <c r="O686" s="30" t="str">
        <f ca="1">IF(TODAY()&lt;$J686,"",($O$3-$J686)*0.05+$O$6)</f>
        <v/>
      </c>
    </row>
    <row r="687" spans="10:15" ht="13">
      <c r="J687" s="26">
        <f t="shared" si="4"/>
        <v>44653</v>
      </c>
      <c r="K687" s="3" t="s">
        <v>15</v>
      </c>
      <c r="L687" s="24" t="str">
        <f t="shared" ca="1" si="3"/>
        <v/>
      </c>
      <c r="O687" s="30" t="str">
        <f ca="1">IF(TODAY()&lt;$J687,"",($O$3-$J686)*0.05+$P$6)</f>
        <v/>
      </c>
    </row>
    <row r="688" spans="10:15" ht="13">
      <c r="J688" s="26">
        <f t="shared" si="4"/>
        <v>44654</v>
      </c>
      <c r="K688" s="3">
        <v>2</v>
      </c>
      <c r="L688" s="24" t="str">
        <f t="shared" ca="1" si="3"/>
        <v/>
      </c>
      <c r="O688" s="30"/>
    </row>
    <row r="689" spans="10:15" ht="13">
      <c r="J689" s="26">
        <f t="shared" si="4"/>
        <v>44654</v>
      </c>
      <c r="K689" s="3">
        <v>3</v>
      </c>
      <c r="L689" s="24" t="str">
        <f t="shared" ca="1" si="3"/>
        <v/>
      </c>
      <c r="O689" s="30"/>
    </row>
    <row r="690" spans="10:15" ht="13">
      <c r="J690" s="26">
        <f t="shared" si="4"/>
        <v>44654</v>
      </c>
      <c r="K690" s="3">
        <v>4</v>
      </c>
      <c r="L690" s="24" t="str">
        <f t="shared" ca="1" si="3"/>
        <v/>
      </c>
      <c r="O690" s="30"/>
    </row>
    <row r="691" spans="10:15" ht="13">
      <c r="J691" s="26">
        <f t="shared" si="4"/>
        <v>44654</v>
      </c>
      <c r="K691" s="3">
        <v>6</v>
      </c>
      <c r="L691" s="24" t="str">
        <f t="shared" ca="1" si="3"/>
        <v/>
      </c>
      <c r="M691" s="10" t="str">
        <f ca="1">IF(TODAY()&lt;$J691,"",IF(($O$3-$J691)*0.1+$O$4&lt;0,0,($O$3-$J691)*0.1+$O$4))</f>
        <v/>
      </c>
      <c r="N691" s="10" t="str">
        <f ca="1">IF(TODAY()&lt;$J691,"",IF(($O$3-$J691)*0.1+$O$5&lt;0,0,($O$3-$J691)*0.1+$O$5))</f>
        <v/>
      </c>
      <c r="O691" s="30"/>
    </row>
    <row r="692" spans="10:15" ht="13">
      <c r="J692" s="26">
        <f t="shared" si="4"/>
        <v>44654</v>
      </c>
      <c r="K692" s="3">
        <v>7</v>
      </c>
      <c r="L692" s="24" t="str">
        <f t="shared" ca="1" si="3"/>
        <v/>
      </c>
      <c r="O692" s="30"/>
    </row>
    <row r="693" spans="10:15" ht="13">
      <c r="J693" s="26">
        <f t="shared" si="4"/>
        <v>44654</v>
      </c>
      <c r="K693" s="3" t="s">
        <v>15</v>
      </c>
      <c r="L693" s="24" t="str">
        <f t="shared" ca="1" si="3"/>
        <v/>
      </c>
      <c r="O693" s="30" t="str">
        <f ca="1">IF(TODAY()&lt;$J693,"",($O$3-$J693)*0.05+$O$6)</f>
        <v/>
      </c>
    </row>
    <row r="694" spans="10:15" ht="13">
      <c r="J694" s="26">
        <f t="shared" si="4"/>
        <v>44654</v>
      </c>
      <c r="K694" s="3" t="s">
        <v>15</v>
      </c>
      <c r="L694" s="24" t="str">
        <f t="shared" ca="1" si="3"/>
        <v/>
      </c>
      <c r="O694" s="30" t="str">
        <f ca="1">IF(TODAY()&lt;$J694,"",($O$3-$J693)*0.05+$P$6)</f>
        <v/>
      </c>
    </row>
    <row r="695" spans="10:15" ht="13">
      <c r="J695" s="26">
        <f t="shared" si="4"/>
        <v>44655</v>
      </c>
      <c r="K695" s="3">
        <v>2</v>
      </c>
      <c r="L695" s="24" t="str">
        <f t="shared" ca="1" si="3"/>
        <v/>
      </c>
      <c r="O695" s="30"/>
    </row>
    <row r="696" spans="10:15" ht="13">
      <c r="J696" s="26">
        <f t="shared" si="4"/>
        <v>44655</v>
      </c>
      <c r="K696" s="3">
        <v>3</v>
      </c>
      <c r="L696" s="24" t="str">
        <f t="shared" ca="1" si="3"/>
        <v/>
      </c>
      <c r="O696" s="30"/>
    </row>
    <row r="697" spans="10:15" ht="13">
      <c r="J697" s="26">
        <f t="shared" si="4"/>
        <v>44655</v>
      </c>
      <c r="K697" s="3">
        <v>4</v>
      </c>
      <c r="L697" s="24" t="str">
        <f t="shared" ca="1" si="3"/>
        <v/>
      </c>
      <c r="O697" s="30"/>
    </row>
    <row r="698" spans="10:15" ht="13">
      <c r="J698" s="26">
        <f t="shared" si="4"/>
        <v>44655</v>
      </c>
      <c r="K698" s="3">
        <v>6</v>
      </c>
      <c r="L698" s="24" t="str">
        <f t="shared" ca="1" si="3"/>
        <v/>
      </c>
      <c r="M698" s="10" t="str">
        <f ca="1">IF(TODAY()&lt;$J698,"",IF(($O$3-$J698)*0.1+$O$4&lt;0,0,($O$3-$J698)*0.1+$O$4))</f>
        <v/>
      </c>
      <c r="N698" s="10" t="str">
        <f ca="1">IF(TODAY()&lt;$J698,"",IF(($O$3-$J698)*0.1+$O$5&lt;0,0,($O$3-$J698)*0.1+$O$5))</f>
        <v/>
      </c>
      <c r="O698" s="30"/>
    </row>
    <row r="699" spans="10:15" ht="13">
      <c r="J699" s="26">
        <f t="shared" si="4"/>
        <v>44655</v>
      </c>
      <c r="K699" s="3">
        <v>7</v>
      </c>
      <c r="L699" s="24" t="str">
        <f t="shared" ca="1" si="3"/>
        <v/>
      </c>
      <c r="O699" s="30"/>
    </row>
    <row r="700" spans="10:15" ht="13">
      <c r="J700" s="26">
        <f t="shared" si="4"/>
        <v>44655</v>
      </c>
      <c r="K700" s="3" t="s">
        <v>15</v>
      </c>
      <c r="L700" s="24" t="str">
        <f t="shared" ca="1" si="3"/>
        <v/>
      </c>
      <c r="O700" s="30" t="str">
        <f ca="1">IF(TODAY()&lt;$J700,"",($O$3-$J700)*0.05+$O$6)</f>
        <v/>
      </c>
    </row>
    <row r="701" spans="10:15" ht="13">
      <c r="J701" s="26">
        <f t="shared" si="4"/>
        <v>44655</v>
      </c>
      <c r="K701" s="3" t="s">
        <v>15</v>
      </c>
      <c r="L701" s="24" t="str">
        <f t="shared" ca="1" si="3"/>
        <v/>
      </c>
      <c r="O701" s="30" t="str">
        <f ca="1">IF(TODAY()&lt;$J701,"",($O$3-$J700)*0.05+$P$6)</f>
        <v/>
      </c>
    </row>
    <row r="702" spans="10:15" ht="13">
      <c r="J702" s="26">
        <f t="shared" si="4"/>
        <v>44656</v>
      </c>
      <c r="K702" s="3">
        <v>2</v>
      </c>
      <c r="L702" s="24" t="str">
        <f t="shared" ca="1" si="3"/>
        <v/>
      </c>
      <c r="O702" s="30"/>
    </row>
    <row r="703" spans="10:15" ht="13">
      <c r="J703" s="26">
        <f t="shared" si="4"/>
        <v>44656</v>
      </c>
      <c r="K703" s="3">
        <v>3</v>
      </c>
      <c r="L703" s="24" t="str">
        <f t="shared" ca="1" si="3"/>
        <v/>
      </c>
      <c r="O703" s="30"/>
    </row>
    <row r="704" spans="10:15" ht="13">
      <c r="J704" s="26">
        <f t="shared" si="4"/>
        <v>44656</v>
      </c>
      <c r="K704" s="3">
        <v>4</v>
      </c>
      <c r="L704" s="24" t="str">
        <f t="shared" ca="1" si="3"/>
        <v/>
      </c>
      <c r="O704" s="30"/>
    </row>
    <row r="705" spans="10:15" ht="13">
      <c r="J705" s="26">
        <f t="shared" si="4"/>
        <v>44656</v>
      </c>
      <c r="K705" s="3">
        <v>6</v>
      </c>
      <c r="L705" s="24" t="str">
        <f t="shared" ca="1" si="3"/>
        <v/>
      </c>
      <c r="M705" s="10" t="str">
        <f ca="1">IF(TODAY()&lt;$J705,"",IF(($O$3-$J705)*0.1+$O$4&lt;0,0,($O$3-$J705)*0.1+$O$4))</f>
        <v/>
      </c>
      <c r="N705" s="10" t="str">
        <f ca="1">IF(TODAY()&lt;$J705,"",IF(($O$3-$J705)*0.1+$O$5&lt;0,0,($O$3-$J705)*0.1+$O$5))</f>
        <v/>
      </c>
      <c r="O705" s="30"/>
    </row>
    <row r="706" spans="10:15" ht="13">
      <c r="J706" s="26">
        <f t="shared" si="4"/>
        <v>44656</v>
      </c>
      <c r="K706" s="3">
        <v>7</v>
      </c>
      <c r="L706" s="24" t="str">
        <f t="shared" ca="1" si="3"/>
        <v/>
      </c>
      <c r="O706" s="30"/>
    </row>
    <row r="707" spans="10:15" ht="13">
      <c r="J707" s="26">
        <f t="shared" si="4"/>
        <v>44656</v>
      </c>
      <c r="K707" s="3" t="s">
        <v>15</v>
      </c>
      <c r="L707" s="24" t="str">
        <f t="shared" ca="1" si="3"/>
        <v/>
      </c>
      <c r="O707" s="30" t="str">
        <f ca="1">IF(TODAY()&lt;$J707,"",($O$3-$J707)*0.05+$O$6)</f>
        <v/>
      </c>
    </row>
    <row r="708" spans="10:15" ht="13">
      <c r="J708" s="26">
        <f t="shared" si="4"/>
        <v>44656</v>
      </c>
      <c r="K708" s="3" t="s">
        <v>15</v>
      </c>
      <c r="L708" s="24" t="str">
        <f t="shared" ca="1" si="3"/>
        <v/>
      </c>
      <c r="O708" s="30" t="str">
        <f ca="1">IF(TODAY()&lt;$J708,"",($O$3-$J707)*0.05+$P$6)</f>
        <v/>
      </c>
    </row>
    <row r="709" spans="10:15" ht="13">
      <c r="J709" s="26">
        <f t="shared" si="4"/>
        <v>44657</v>
      </c>
      <c r="K709" s="3">
        <v>2</v>
      </c>
      <c r="L709" s="24" t="str">
        <f t="shared" ca="1" si="3"/>
        <v/>
      </c>
      <c r="O709" s="30"/>
    </row>
    <row r="710" spans="10:15" ht="13">
      <c r="J710" s="26">
        <f t="shared" si="4"/>
        <v>44657</v>
      </c>
      <c r="K710" s="3">
        <v>3</v>
      </c>
      <c r="L710" s="24" t="str">
        <f t="shared" ca="1" si="3"/>
        <v/>
      </c>
      <c r="O710" s="30"/>
    </row>
    <row r="711" spans="10:15" ht="13">
      <c r="J711" s="26">
        <f t="shared" si="4"/>
        <v>44657</v>
      </c>
      <c r="K711" s="3">
        <v>4</v>
      </c>
      <c r="L711" s="24" t="str">
        <f t="shared" ca="1" si="3"/>
        <v/>
      </c>
      <c r="O711" s="30"/>
    </row>
    <row r="712" spans="10:15" ht="13">
      <c r="J712" s="26">
        <f t="shared" si="4"/>
        <v>44657</v>
      </c>
      <c r="K712" s="3">
        <v>6</v>
      </c>
      <c r="L712" s="24" t="str">
        <f t="shared" ca="1" si="3"/>
        <v/>
      </c>
      <c r="M712" s="10" t="str">
        <f ca="1">IF(TODAY()&lt;$J712,"",IF(($O$3-$J712)*0.1+$O$4&lt;0,0,($O$3-$J712)*0.1+$O$4))</f>
        <v/>
      </c>
      <c r="N712" s="10" t="str">
        <f ca="1">IF(TODAY()&lt;$J712,"",IF(($O$3-$J712)*0.1+$O$5&lt;0,0,($O$3-$J712)*0.1+$O$5))</f>
        <v/>
      </c>
      <c r="O712" s="30"/>
    </row>
    <row r="713" spans="10:15" ht="13">
      <c r="J713" s="26">
        <f t="shared" si="4"/>
        <v>44657</v>
      </c>
      <c r="K713" s="3">
        <v>7</v>
      </c>
      <c r="L713" s="24" t="str">
        <f t="shared" ca="1" si="3"/>
        <v/>
      </c>
      <c r="O713" s="30"/>
    </row>
    <row r="714" spans="10:15" ht="13">
      <c r="J714" s="26">
        <f t="shared" si="4"/>
        <v>44657</v>
      </c>
      <c r="K714" s="3" t="s">
        <v>15</v>
      </c>
      <c r="L714" s="24" t="str">
        <f t="shared" ca="1" si="3"/>
        <v/>
      </c>
      <c r="O714" s="30" t="str">
        <f ca="1">IF(TODAY()&lt;$J714,"",($O$3-$J714)*0.05+$O$6)</f>
        <v/>
      </c>
    </row>
    <row r="715" spans="10:15" ht="13">
      <c r="J715" s="26">
        <f t="shared" si="4"/>
        <v>44657</v>
      </c>
      <c r="K715" s="3" t="s">
        <v>15</v>
      </c>
      <c r="L715" s="24" t="str">
        <f t="shared" ca="1" si="3"/>
        <v/>
      </c>
      <c r="O715" s="30" t="str">
        <f ca="1">IF(TODAY()&lt;$J715,"",($O$3-$J714)*0.05+$P$6)</f>
        <v/>
      </c>
    </row>
    <row r="716" spans="10:15" ht="13">
      <c r="J716" s="26">
        <f t="shared" si="4"/>
        <v>44658</v>
      </c>
      <c r="K716" s="3">
        <v>2</v>
      </c>
      <c r="L716" s="24" t="str">
        <f t="shared" ca="1" si="3"/>
        <v/>
      </c>
      <c r="O716" s="30"/>
    </row>
    <row r="717" spans="10:15" ht="13">
      <c r="J717" s="26">
        <f t="shared" si="4"/>
        <v>44658</v>
      </c>
      <c r="K717" s="3">
        <v>3</v>
      </c>
      <c r="L717" s="24" t="str">
        <f t="shared" ca="1" si="3"/>
        <v/>
      </c>
      <c r="O717" s="30"/>
    </row>
    <row r="718" spans="10:15" ht="13">
      <c r="J718" s="26">
        <f t="shared" si="4"/>
        <v>44658</v>
      </c>
      <c r="K718" s="3">
        <v>4</v>
      </c>
      <c r="L718" s="24" t="str">
        <f t="shared" ca="1" si="3"/>
        <v/>
      </c>
      <c r="O718" s="30"/>
    </row>
    <row r="719" spans="10:15" ht="13">
      <c r="J719" s="26">
        <f t="shared" si="4"/>
        <v>44658</v>
      </c>
      <c r="K719" s="3">
        <v>6</v>
      </c>
      <c r="L719" s="24" t="str">
        <f t="shared" ca="1" si="3"/>
        <v/>
      </c>
      <c r="M719" s="10" t="str">
        <f ca="1">IF(TODAY()&lt;$J719,"",IF(($O$3-$J719)*0.1+$O$4&lt;0,0,($O$3-$J719)*0.1+$O$4))</f>
        <v/>
      </c>
      <c r="N719" s="10" t="str">
        <f ca="1">IF(TODAY()&lt;$J719,"",IF(($O$3-$J719)*0.1+$O$5&lt;0,0,($O$3-$J719)*0.1+$O$5))</f>
        <v/>
      </c>
      <c r="O719" s="30"/>
    </row>
    <row r="720" spans="10:15" ht="13">
      <c r="J720" s="26">
        <f t="shared" si="4"/>
        <v>44658</v>
      </c>
      <c r="K720" s="3">
        <v>7</v>
      </c>
      <c r="L720" s="24" t="str">
        <f t="shared" ca="1" si="3"/>
        <v/>
      </c>
      <c r="O720" s="30"/>
    </row>
    <row r="721" spans="10:15" ht="13">
      <c r="J721" s="26">
        <f t="shared" si="4"/>
        <v>44658</v>
      </c>
      <c r="K721" s="3" t="s">
        <v>15</v>
      </c>
      <c r="L721" s="24" t="str">
        <f t="shared" ca="1" si="3"/>
        <v/>
      </c>
      <c r="O721" s="30" t="str">
        <f ca="1">IF(TODAY()&lt;$J721,"",($O$3-$J721)*0.05+$O$6)</f>
        <v/>
      </c>
    </row>
    <row r="722" spans="10:15" ht="13">
      <c r="J722" s="26">
        <f t="shared" si="4"/>
        <v>44658</v>
      </c>
      <c r="K722" s="3" t="s">
        <v>15</v>
      </c>
      <c r="L722" s="24" t="str">
        <f t="shared" ca="1" si="3"/>
        <v/>
      </c>
      <c r="O722" s="30" t="str">
        <f ca="1">IF(TODAY()&lt;$J722,"",($O$3-$J721)*0.05+$P$6)</f>
        <v/>
      </c>
    </row>
    <row r="723" spans="10:15" ht="13">
      <c r="J723" s="26">
        <f t="shared" si="4"/>
        <v>44659</v>
      </c>
      <c r="K723" s="3">
        <v>2</v>
      </c>
      <c r="L723" s="24" t="str">
        <f t="shared" ca="1" si="3"/>
        <v/>
      </c>
      <c r="O723" s="30"/>
    </row>
    <row r="724" spans="10:15" ht="13">
      <c r="J724" s="26">
        <f t="shared" si="4"/>
        <v>44659</v>
      </c>
      <c r="K724" s="3">
        <v>3</v>
      </c>
      <c r="L724" s="24" t="str">
        <f t="shared" ca="1" si="3"/>
        <v/>
      </c>
      <c r="O724" s="30"/>
    </row>
    <row r="725" spans="10:15" ht="13">
      <c r="J725" s="26">
        <f t="shared" si="4"/>
        <v>44659</v>
      </c>
      <c r="K725" s="3">
        <v>4</v>
      </c>
      <c r="L725" s="24" t="str">
        <f t="shared" ca="1" si="3"/>
        <v/>
      </c>
      <c r="O725" s="30"/>
    </row>
    <row r="726" spans="10:15" ht="13">
      <c r="J726" s="26">
        <f t="shared" si="4"/>
        <v>44659</v>
      </c>
      <c r="K726" s="3">
        <v>6</v>
      </c>
      <c r="L726" s="24" t="str">
        <f t="shared" ca="1" si="3"/>
        <v/>
      </c>
      <c r="M726" s="10" t="str">
        <f ca="1">IF(TODAY()&lt;$J726,"",IF(($O$3-$J726)*0.1+$O$4&lt;0,0,($O$3-$J726)*0.1+$O$4))</f>
        <v/>
      </c>
      <c r="N726" s="10" t="str">
        <f ca="1">IF(TODAY()&lt;$J726,"",IF(($O$3-$J726)*0.1+$O$5&lt;0,0,($O$3-$J726)*0.1+$O$5))</f>
        <v/>
      </c>
      <c r="O726" s="30"/>
    </row>
    <row r="727" spans="10:15" ht="13">
      <c r="J727" s="26">
        <f t="shared" si="4"/>
        <v>44659</v>
      </c>
      <c r="K727" s="3">
        <v>7</v>
      </c>
      <c r="L727" s="24" t="str">
        <f t="shared" ca="1" si="3"/>
        <v/>
      </c>
      <c r="O727" s="30"/>
    </row>
    <row r="728" spans="10:15" ht="13">
      <c r="J728" s="26">
        <f t="shared" si="4"/>
        <v>44659</v>
      </c>
      <c r="K728" s="3" t="s">
        <v>15</v>
      </c>
      <c r="L728" s="24" t="str">
        <f t="shared" ca="1" si="3"/>
        <v/>
      </c>
      <c r="O728" s="30" t="str">
        <f ca="1">IF(TODAY()&lt;$J728,"",($O$3-$J728)*0.05+$O$6)</f>
        <v/>
      </c>
    </row>
    <row r="729" spans="10:15" ht="13">
      <c r="J729" s="26">
        <f t="shared" si="4"/>
        <v>44659</v>
      </c>
      <c r="K729" s="3" t="s">
        <v>15</v>
      </c>
      <c r="L729" s="24" t="str">
        <f t="shared" ca="1" si="3"/>
        <v/>
      </c>
      <c r="O729" s="30" t="str">
        <f ca="1">IF(TODAY()&lt;$J729,"",($O$3-$J728)*0.05+$P$6)</f>
        <v/>
      </c>
    </row>
    <row r="730" spans="10:15" ht="13">
      <c r="J730" s="26">
        <f t="shared" si="4"/>
        <v>44660</v>
      </c>
      <c r="K730" s="3">
        <v>2</v>
      </c>
      <c r="L730" s="24" t="str">
        <f t="shared" ca="1" si="3"/>
        <v/>
      </c>
      <c r="O730" s="30"/>
    </row>
    <row r="731" spans="10:15" ht="13">
      <c r="J731" s="26">
        <f t="shared" si="4"/>
        <v>44660</v>
      </c>
      <c r="K731" s="3">
        <v>3</v>
      </c>
      <c r="L731" s="24" t="str">
        <f t="shared" ca="1" si="3"/>
        <v/>
      </c>
      <c r="O731" s="30"/>
    </row>
    <row r="732" spans="10:15" ht="13">
      <c r="J732" s="26">
        <f t="shared" si="4"/>
        <v>44660</v>
      </c>
      <c r="K732" s="3">
        <v>4</v>
      </c>
      <c r="L732" s="24" t="str">
        <f t="shared" ca="1" si="3"/>
        <v/>
      </c>
      <c r="O732" s="30"/>
    </row>
    <row r="733" spans="10:15" ht="13">
      <c r="J733" s="26">
        <f t="shared" si="4"/>
        <v>44660</v>
      </c>
      <c r="K733" s="3">
        <v>6</v>
      </c>
      <c r="L733" s="24" t="str">
        <f t="shared" ca="1" si="3"/>
        <v/>
      </c>
      <c r="M733" s="10" t="str">
        <f ca="1">IF(TODAY()&lt;$J733,"",IF(($O$3-$J733)*0.1+$O$4&lt;0,0,($O$3-$J733)*0.1+$O$4))</f>
        <v/>
      </c>
      <c r="N733" s="10" t="str">
        <f ca="1">IF(TODAY()&lt;$J733,"",IF(($O$3-$J733)*0.1+$O$5&lt;0,0,($O$3-$J733)*0.1+$O$5))</f>
        <v/>
      </c>
      <c r="O733" s="30"/>
    </row>
    <row r="734" spans="10:15" ht="13">
      <c r="J734" s="26">
        <f t="shared" si="4"/>
        <v>44660</v>
      </c>
      <c r="K734" s="3">
        <v>7</v>
      </c>
      <c r="L734" s="24" t="str">
        <f t="shared" ca="1" si="3"/>
        <v/>
      </c>
      <c r="O734" s="30"/>
    </row>
    <row r="735" spans="10:15" ht="13">
      <c r="J735" s="26">
        <f t="shared" si="4"/>
        <v>44660</v>
      </c>
      <c r="K735" s="3" t="s">
        <v>15</v>
      </c>
      <c r="L735" s="24" t="str">
        <f t="shared" ca="1" si="3"/>
        <v/>
      </c>
      <c r="O735" s="30" t="str">
        <f ca="1">IF(TODAY()&lt;$J735,"",($O$3-$J735)*0.05+$O$6)</f>
        <v/>
      </c>
    </row>
    <row r="736" spans="10:15" ht="13">
      <c r="J736" s="26">
        <f t="shared" si="4"/>
        <v>44660</v>
      </c>
      <c r="K736" s="3" t="s">
        <v>15</v>
      </c>
      <c r="L736" s="24" t="str">
        <f t="shared" ca="1" si="3"/>
        <v/>
      </c>
      <c r="O736" s="30" t="str">
        <f ca="1">IF(TODAY()&lt;$J736,"",($O$3-$J735)*0.05+$P$6)</f>
        <v/>
      </c>
    </row>
    <row r="737" spans="10:15" ht="13">
      <c r="J737" s="26">
        <f t="shared" si="4"/>
        <v>44661</v>
      </c>
      <c r="K737" s="3">
        <v>2</v>
      </c>
      <c r="L737" s="24" t="str">
        <f t="shared" ca="1" si="3"/>
        <v/>
      </c>
      <c r="O737" s="30"/>
    </row>
    <row r="738" spans="10:15" ht="13">
      <c r="J738" s="26">
        <f t="shared" si="4"/>
        <v>44661</v>
      </c>
      <c r="K738" s="3">
        <v>3</v>
      </c>
      <c r="L738" s="24" t="str">
        <f t="shared" ca="1" si="3"/>
        <v/>
      </c>
      <c r="O738" s="30"/>
    </row>
    <row r="739" spans="10:15" ht="13">
      <c r="J739" s="26">
        <f t="shared" si="4"/>
        <v>44661</v>
      </c>
      <c r="K739" s="3">
        <v>4</v>
      </c>
      <c r="L739" s="24" t="str">
        <f t="shared" ca="1" si="3"/>
        <v/>
      </c>
      <c r="O739" s="30"/>
    </row>
    <row r="740" spans="10:15" ht="13">
      <c r="J740" s="26">
        <f t="shared" si="4"/>
        <v>44661</v>
      </c>
      <c r="K740" s="3">
        <v>6</v>
      </c>
      <c r="L740" s="24" t="str">
        <f t="shared" ca="1" si="3"/>
        <v/>
      </c>
      <c r="M740" s="10" t="str">
        <f ca="1">IF(TODAY()&lt;$J740,"",IF(($O$3-$J740)*0.1+$O$4&lt;0,0,($O$3-$J740)*0.1+$O$4))</f>
        <v/>
      </c>
      <c r="N740" s="10" t="str">
        <f ca="1">IF(TODAY()&lt;$J740,"",IF(($O$3-$J740)*0.1+$O$5&lt;0,0,($O$3-$J740)*0.1+$O$5))</f>
        <v/>
      </c>
      <c r="O740" s="30"/>
    </row>
    <row r="741" spans="10:15" ht="13">
      <c r="J741" s="26">
        <f t="shared" si="4"/>
        <v>44661</v>
      </c>
      <c r="K741" s="3">
        <v>7</v>
      </c>
      <c r="L741" s="24" t="str">
        <f t="shared" ca="1" si="3"/>
        <v/>
      </c>
      <c r="O741" s="30"/>
    </row>
    <row r="742" spans="10:15" ht="13">
      <c r="J742" s="26">
        <f t="shared" si="4"/>
        <v>44661</v>
      </c>
      <c r="K742" s="3" t="s">
        <v>15</v>
      </c>
      <c r="L742" s="24" t="str">
        <f t="shared" ca="1" si="3"/>
        <v/>
      </c>
      <c r="O742" s="30" t="str">
        <f ca="1">IF(TODAY()&lt;$J742,"",($O$3-$J742)*0.05+$O$6)</f>
        <v/>
      </c>
    </row>
    <row r="743" spans="10:15" ht="13">
      <c r="J743" s="26">
        <f t="shared" si="4"/>
        <v>44661</v>
      </c>
      <c r="K743" s="3" t="s">
        <v>15</v>
      </c>
      <c r="L743" s="24" t="str">
        <f t="shared" ca="1" si="3"/>
        <v/>
      </c>
      <c r="O743" s="30" t="str">
        <f ca="1">IF(TODAY()&lt;$J743,"",($O$3-$J742)*0.05+$P$6)</f>
        <v/>
      </c>
    </row>
    <row r="744" spans="10:15" ht="13">
      <c r="J744" s="26">
        <f t="shared" si="4"/>
        <v>44662</v>
      </c>
      <c r="K744" s="3">
        <v>2</v>
      </c>
      <c r="L744" s="24" t="str">
        <f t="shared" ca="1" si="3"/>
        <v/>
      </c>
      <c r="O744" s="30"/>
    </row>
    <row r="745" spans="10:15" ht="13">
      <c r="J745" s="26">
        <f t="shared" si="4"/>
        <v>44662</v>
      </c>
      <c r="K745" s="3">
        <v>3</v>
      </c>
      <c r="L745" s="24" t="str">
        <f t="shared" ca="1" si="3"/>
        <v/>
      </c>
      <c r="O745" s="30"/>
    </row>
    <row r="746" spans="10:15" ht="13">
      <c r="J746" s="26">
        <f t="shared" si="4"/>
        <v>44662</v>
      </c>
      <c r="K746" s="3">
        <v>4</v>
      </c>
      <c r="L746" s="24" t="str">
        <f t="shared" ca="1" si="3"/>
        <v/>
      </c>
      <c r="O746" s="30"/>
    </row>
    <row r="747" spans="10:15" ht="13">
      <c r="J747" s="26">
        <f t="shared" si="4"/>
        <v>44662</v>
      </c>
      <c r="K747" s="3">
        <v>6</v>
      </c>
      <c r="L747" s="24" t="str">
        <f t="shared" ca="1" si="3"/>
        <v/>
      </c>
      <c r="M747" s="10" t="str">
        <f ca="1">IF(TODAY()&lt;$J747,"",IF(($O$3-$J747)*0.1+$O$4&lt;0,0,($O$3-$J747)*0.1+$O$4))</f>
        <v/>
      </c>
      <c r="N747" s="10" t="str">
        <f ca="1">IF(TODAY()&lt;$J747,"",IF(($O$3-$J747)*0.1+$O$5&lt;0,0,($O$3-$J747)*0.1+$O$5))</f>
        <v/>
      </c>
      <c r="O747" s="30"/>
    </row>
    <row r="748" spans="10:15" ht="13">
      <c r="J748" s="26">
        <f t="shared" si="4"/>
        <v>44662</v>
      </c>
      <c r="K748" s="3">
        <v>7</v>
      </c>
      <c r="L748" s="24" t="str">
        <f t="shared" ca="1" si="3"/>
        <v/>
      </c>
      <c r="O748" s="30"/>
    </row>
    <row r="749" spans="10:15" ht="13">
      <c r="J749" s="26">
        <f t="shared" si="4"/>
        <v>44662</v>
      </c>
      <c r="K749" s="3" t="s">
        <v>15</v>
      </c>
      <c r="L749" s="24" t="str">
        <f t="shared" ca="1" si="3"/>
        <v/>
      </c>
      <c r="O749" s="30" t="str">
        <f ca="1">IF(TODAY()&lt;$J749,"",($O$3-$J749)*0.05+$O$6)</f>
        <v/>
      </c>
    </row>
    <row r="750" spans="10:15" ht="13">
      <c r="J750" s="26">
        <f t="shared" si="4"/>
        <v>44662</v>
      </c>
      <c r="K750" s="3" t="s">
        <v>15</v>
      </c>
      <c r="L750" s="24" t="str">
        <f t="shared" ca="1" si="3"/>
        <v/>
      </c>
      <c r="O750" s="30" t="str">
        <f ca="1">IF(TODAY()&lt;$J750,"",($O$3-$J749)*0.05+$P$6)</f>
        <v/>
      </c>
    </row>
    <row r="751" spans="10:15" ht="13">
      <c r="J751" s="26">
        <f t="shared" si="4"/>
        <v>44663</v>
      </c>
      <c r="K751" s="3">
        <v>2</v>
      </c>
      <c r="L751" s="24" t="str">
        <f t="shared" ca="1" si="3"/>
        <v/>
      </c>
      <c r="O751" s="30"/>
    </row>
    <row r="752" spans="10:15" ht="13">
      <c r="J752" s="26">
        <f t="shared" si="4"/>
        <v>44663</v>
      </c>
      <c r="K752" s="3">
        <v>3</v>
      </c>
      <c r="L752" s="24" t="str">
        <f t="shared" ca="1" si="3"/>
        <v/>
      </c>
      <c r="O752" s="30"/>
    </row>
    <row r="753" spans="10:15" ht="13">
      <c r="J753" s="26">
        <f t="shared" si="4"/>
        <v>44663</v>
      </c>
      <c r="K753" s="3">
        <v>4</v>
      </c>
      <c r="L753" s="24" t="str">
        <f t="shared" ca="1" si="3"/>
        <v/>
      </c>
      <c r="O753" s="30"/>
    </row>
    <row r="754" spans="10:15" ht="13">
      <c r="J754" s="26">
        <f t="shared" si="4"/>
        <v>44663</v>
      </c>
      <c r="K754" s="3">
        <v>6</v>
      </c>
      <c r="L754" s="24" t="str">
        <f t="shared" ca="1" si="3"/>
        <v/>
      </c>
      <c r="M754" s="10" t="str">
        <f ca="1">IF(TODAY()&lt;$J754,"",IF(($O$3-$J754)*0.1+$O$4&lt;0,0,($O$3-$J754)*0.1+$O$4))</f>
        <v/>
      </c>
      <c r="N754" s="10" t="str">
        <f ca="1">IF(TODAY()&lt;$J754,"",IF(($O$3-$J754)*0.1+$O$5&lt;0,0,($O$3-$J754)*0.1+$O$5))</f>
        <v/>
      </c>
      <c r="O754" s="30"/>
    </row>
    <row r="755" spans="10:15" ht="13">
      <c r="J755" s="26">
        <f t="shared" si="4"/>
        <v>44663</v>
      </c>
      <c r="K755" s="3">
        <v>7</v>
      </c>
      <c r="L755" s="24" t="str">
        <f t="shared" ca="1" si="3"/>
        <v/>
      </c>
      <c r="O755" s="30"/>
    </row>
    <row r="756" spans="10:15" ht="13">
      <c r="J756" s="26">
        <f t="shared" si="4"/>
        <v>44663</v>
      </c>
      <c r="K756" s="3" t="s">
        <v>15</v>
      </c>
      <c r="L756" s="24" t="str">
        <f t="shared" ca="1" si="3"/>
        <v/>
      </c>
      <c r="O756" s="30" t="str">
        <f ca="1">IF(TODAY()&lt;$J756,"",($O$3-$J756)*0.05+$O$6)</f>
        <v/>
      </c>
    </row>
    <row r="757" spans="10:15" ht="13">
      <c r="J757" s="26">
        <f t="shared" si="4"/>
        <v>44663</v>
      </c>
      <c r="K757" s="3" t="s">
        <v>15</v>
      </c>
      <c r="L757" s="24" t="str">
        <f t="shared" ca="1" si="3"/>
        <v/>
      </c>
      <c r="O757" s="30" t="str">
        <f ca="1">IF(TODAY()&lt;$J757,"",($O$3-$J756)*0.05+$P$6)</f>
        <v/>
      </c>
    </row>
    <row r="758" spans="10:15" ht="13">
      <c r="J758" s="26">
        <f t="shared" si="4"/>
        <v>44664</v>
      </c>
      <c r="K758" s="3">
        <v>2</v>
      </c>
      <c r="L758" s="24" t="str">
        <f t="shared" ca="1" si="3"/>
        <v/>
      </c>
      <c r="O758" s="30"/>
    </row>
    <row r="759" spans="10:15" ht="13">
      <c r="J759" s="26">
        <f t="shared" si="4"/>
        <v>44664</v>
      </c>
      <c r="K759" s="3">
        <v>3</v>
      </c>
      <c r="L759" s="24" t="str">
        <f t="shared" ca="1" si="3"/>
        <v/>
      </c>
      <c r="O759" s="30"/>
    </row>
    <row r="760" spans="10:15" ht="13">
      <c r="J760" s="26">
        <f t="shared" si="4"/>
        <v>44664</v>
      </c>
      <c r="K760" s="3">
        <v>4</v>
      </c>
      <c r="L760" s="24" t="str">
        <f t="shared" ca="1" si="3"/>
        <v/>
      </c>
      <c r="O760" s="30"/>
    </row>
    <row r="761" spans="10:15" ht="13">
      <c r="J761" s="26">
        <f t="shared" si="4"/>
        <v>44664</v>
      </c>
      <c r="K761" s="3">
        <v>6</v>
      </c>
      <c r="L761" s="24" t="str">
        <f t="shared" ca="1" si="3"/>
        <v/>
      </c>
      <c r="M761" s="10" t="str">
        <f ca="1">IF(TODAY()&lt;$J761,"",IF(($O$3-$J761)*0.1+$O$4&lt;0,0,($O$3-$J761)*0.1+$O$4))</f>
        <v/>
      </c>
      <c r="N761" s="10" t="str">
        <f ca="1">IF(TODAY()&lt;$J761,"",IF(($O$3-$J761)*0.1+$O$5&lt;0,0,($O$3-$J761)*0.1+$O$5))</f>
        <v/>
      </c>
      <c r="O761" s="30"/>
    </row>
    <row r="762" spans="10:15" ht="13">
      <c r="J762" s="26">
        <f t="shared" si="4"/>
        <v>44664</v>
      </c>
      <c r="K762" s="3">
        <v>7</v>
      </c>
      <c r="L762" s="24" t="str">
        <f t="shared" ca="1" si="3"/>
        <v/>
      </c>
      <c r="O762" s="30"/>
    </row>
    <row r="763" spans="10:15" ht="13">
      <c r="J763" s="26">
        <f t="shared" si="4"/>
        <v>44664</v>
      </c>
      <c r="K763" s="3" t="s">
        <v>15</v>
      </c>
      <c r="L763" s="24" t="str">
        <f t="shared" ca="1" si="3"/>
        <v/>
      </c>
      <c r="O763" s="30" t="str">
        <f ca="1">IF(TODAY()&lt;$J763,"",($O$3-$J763)*0.05+$O$6)</f>
        <v/>
      </c>
    </row>
    <row r="764" spans="10:15" ht="13">
      <c r="J764" s="26">
        <f t="shared" si="4"/>
        <v>44664</v>
      </c>
      <c r="K764" s="3" t="s">
        <v>15</v>
      </c>
      <c r="L764" s="24" t="str">
        <f t="shared" ca="1" si="3"/>
        <v/>
      </c>
      <c r="O764" s="30" t="str">
        <f ca="1">IF(TODAY()&lt;$J764,"",($O$3-$J763)*0.05+$P$6)</f>
        <v/>
      </c>
    </row>
    <row r="765" spans="10:15" ht="13">
      <c r="J765" s="26">
        <f t="shared" si="4"/>
        <v>44665</v>
      </c>
      <c r="K765" s="3">
        <v>2</v>
      </c>
      <c r="L765" s="24" t="str">
        <f t="shared" ca="1" si="3"/>
        <v/>
      </c>
      <c r="O765" s="30"/>
    </row>
    <row r="766" spans="10:15" ht="13">
      <c r="J766" s="26">
        <f t="shared" si="4"/>
        <v>44665</v>
      </c>
      <c r="K766" s="3">
        <v>3</v>
      </c>
      <c r="L766" s="24" t="str">
        <f t="shared" ca="1" si="3"/>
        <v/>
      </c>
      <c r="O766" s="30"/>
    </row>
    <row r="767" spans="10:15" ht="13">
      <c r="J767" s="26">
        <f t="shared" si="4"/>
        <v>44665</v>
      </c>
      <c r="K767" s="3">
        <v>4</v>
      </c>
      <c r="L767" s="24" t="str">
        <f t="shared" ca="1" si="3"/>
        <v/>
      </c>
      <c r="O767" s="30"/>
    </row>
    <row r="768" spans="10:15" ht="13">
      <c r="J768" s="26">
        <f t="shared" si="4"/>
        <v>44665</v>
      </c>
      <c r="K768" s="3">
        <v>6</v>
      </c>
      <c r="L768" s="24" t="str">
        <f t="shared" ca="1" si="3"/>
        <v/>
      </c>
      <c r="M768" s="10" t="str">
        <f ca="1">IF(TODAY()&lt;$J768,"",IF(($O$3-$J768)*0.1+$O$4&lt;0,0,($O$3-$J768)*0.1+$O$4))</f>
        <v/>
      </c>
      <c r="N768" s="10" t="str">
        <f ca="1">IF(TODAY()&lt;$J768,"",IF(($O$3-$J768)*0.1+$O$5&lt;0,0,($O$3-$J768)*0.1+$O$5))</f>
        <v/>
      </c>
      <c r="O768" s="30"/>
    </row>
    <row r="769" spans="10:15" ht="13">
      <c r="J769" s="26">
        <f t="shared" si="4"/>
        <v>44665</v>
      </c>
      <c r="K769" s="3">
        <v>7</v>
      </c>
      <c r="L769" s="24" t="str">
        <f t="shared" ca="1" si="3"/>
        <v/>
      </c>
      <c r="O769" s="30"/>
    </row>
    <row r="770" spans="10:15" ht="13">
      <c r="J770" s="26">
        <f t="shared" si="4"/>
        <v>44665</v>
      </c>
      <c r="K770" s="3" t="s">
        <v>15</v>
      </c>
      <c r="L770" s="24" t="str">
        <f t="shared" ca="1" si="3"/>
        <v/>
      </c>
      <c r="O770" s="30" t="str">
        <f ca="1">IF(TODAY()&lt;$J770,"",($O$3-$J770)*0.05+$O$6)</f>
        <v/>
      </c>
    </row>
    <row r="771" spans="10:15" ht="13">
      <c r="J771" s="26">
        <f t="shared" si="4"/>
        <v>44665</v>
      </c>
      <c r="K771" s="3" t="s">
        <v>15</v>
      </c>
      <c r="L771" s="24" t="str">
        <f t="shared" ca="1" si="3"/>
        <v/>
      </c>
      <c r="O771" s="30" t="str">
        <f ca="1">IF(TODAY()&lt;$J771,"",($O$3-$J770)*0.05+$P$6)</f>
        <v/>
      </c>
    </row>
    <row r="772" spans="10:15" ht="13">
      <c r="J772" s="26">
        <f t="shared" si="4"/>
        <v>44666</v>
      </c>
      <c r="K772" s="3">
        <v>2</v>
      </c>
      <c r="L772" s="24" t="str">
        <f t="shared" ca="1" si="3"/>
        <v/>
      </c>
      <c r="O772" s="30"/>
    </row>
    <row r="773" spans="10:15" ht="13">
      <c r="J773" s="26">
        <f t="shared" si="4"/>
        <v>44666</v>
      </c>
      <c r="K773" s="3">
        <v>3</v>
      </c>
      <c r="L773" s="24" t="str">
        <f t="shared" ca="1" si="3"/>
        <v/>
      </c>
      <c r="O773" s="30"/>
    </row>
    <row r="774" spans="10:15" ht="13">
      <c r="J774" s="26">
        <f t="shared" si="4"/>
        <v>44666</v>
      </c>
      <c r="K774" s="3">
        <v>4</v>
      </c>
      <c r="L774" s="24" t="str">
        <f t="shared" ca="1" si="3"/>
        <v/>
      </c>
      <c r="O774" s="30"/>
    </row>
    <row r="775" spans="10:15" ht="13">
      <c r="J775" s="26">
        <f t="shared" si="4"/>
        <v>44666</v>
      </c>
      <c r="K775" s="3">
        <v>6</v>
      </c>
      <c r="L775" s="24" t="str">
        <f t="shared" ca="1" si="3"/>
        <v/>
      </c>
      <c r="M775" s="10" t="str">
        <f ca="1">IF(TODAY()&lt;$J775,"",IF(($O$3-$J775)*0.1+$O$4&lt;0,0,($O$3-$J775)*0.1+$O$4))</f>
        <v/>
      </c>
      <c r="N775" s="10" t="str">
        <f ca="1">IF(TODAY()&lt;$J775,"",IF(($O$3-$J775)*0.1+$O$5&lt;0,0,($O$3-$J775)*0.1+$O$5))</f>
        <v/>
      </c>
      <c r="O775" s="30"/>
    </row>
    <row r="776" spans="10:15" ht="13">
      <c r="J776" s="26">
        <f t="shared" si="4"/>
        <v>44666</v>
      </c>
      <c r="K776" s="3">
        <v>7</v>
      </c>
      <c r="L776" s="24" t="str">
        <f t="shared" ca="1" si="3"/>
        <v/>
      </c>
      <c r="O776" s="30"/>
    </row>
    <row r="777" spans="10:15" ht="13">
      <c r="J777" s="26">
        <f t="shared" si="4"/>
        <v>44666</v>
      </c>
      <c r="K777" s="3" t="s">
        <v>15</v>
      </c>
      <c r="L777" s="24" t="str">
        <f t="shared" ca="1" si="3"/>
        <v/>
      </c>
      <c r="O777" s="30" t="str">
        <f ca="1">IF(TODAY()&lt;$J777,"",($O$3-$J777)*0.05+$O$6)</f>
        <v/>
      </c>
    </row>
    <row r="778" spans="10:15" ht="13">
      <c r="J778" s="26">
        <f t="shared" si="4"/>
        <v>44666</v>
      </c>
      <c r="K778" s="3" t="s">
        <v>15</v>
      </c>
      <c r="L778" s="24" t="str">
        <f t="shared" ca="1" si="3"/>
        <v/>
      </c>
      <c r="O778" s="30" t="str">
        <f ca="1">IF(TODAY()&lt;$J778,"",($O$3-$J777)*0.05+$P$6)</f>
        <v/>
      </c>
    </row>
    <row r="779" spans="10:15" ht="13">
      <c r="J779" s="26">
        <f t="shared" si="4"/>
        <v>44667</v>
      </c>
      <c r="K779" s="3">
        <v>2</v>
      </c>
      <c r="L779" s="24" t="str">
        <f t="shared" ca="1" si="3"/>
        <v/>
      </c>
      <c r="O779" s="30"/>
    </row>
    <row r="780" spans="10:15" ht="13">
      <c r="J780" s="26">
        <f t="shared" si="4"/>
        <v>44667</v>
      </c>
      <c r="K780" s="3">
        <v>3</v>
      </c>
      <c r="L780" s="24" t="str">
        <f t="shared" ca="1" si="3"/>
        <v/>
      </c>
      <c r="O780" s="30"/>
    </row>
    <row r="781" spans="10:15" ht="13">
      <c r="J781" s="26">
        <f t="shared" si="4"/>
        <v>44667</v>
      </c>
      <c r="K781" s="3">
        <v>4</v>
      </c>
      <c r="L781" s="24" t="str">
        <f t="shared" ca="1" si="3"/>
        <v/>
      </c>
      <c r="O781" s="30"/>
    </row>
    <row r="782" spans="10:15" ht="13">
      <c r="J782" s="26">
        <f t="shared" si="4"/>
        <v>44667</v>
      </c>
      <c r="K782" s="3">
        <v>6</v>
      </c>
      <c r="L782" s="24" t="str">
        <f t="shared" ca="1" si="3"/>
        <v/>
      </c>
      <c r="M782" s="10" t="str">
        <f ca="1">IF(TODAY()&lt;$J782,"",IF(($O$3-$J782)*0.1+$O$4&lt;0,0,($O$3-$J782)*0.1+$O$4))</f>
        <v/>
      </c>
      <c r="N782" s="10" t="str">
        <f ca="1">IF(TODAY()&lt;$J782,"",IF(($O$3-$J782)*0.1+$O$5&lt;0,0,($O$3-$J782)*0.1+$O$5))</f>
        <v/>
      </c>
      <c r="O782" s="30"/>
    </row>
    <row r="783" spans="10:15" ht="13">
      <c r="J783" s="26">
        <f t="shared" si="4"/>
        <v>44667</v>
      </c>
      <c r="K783" s="3">
        <v>7</v>
      </c>
      <c r="L783" s="24" t="str">
        <f t="shared" ca="1" si="3"/>
        <v/>
      </c>
      <c r="O783" s="30"/>
    </row>
    <row r="784" spans="10:15" ht="13">
      <c r="J784" s="26">
        <f t="shared" si="4"/>
        <v>44667</v>
      </c>
      <c r="K784" s="3" t="s">
        <v>15</v>
      </c>
      <c r="L784" s="24" t="str">
        <f t="shared" ca="1" si="3"/>
        <v/>
      </c>
      <c r="O784" s="30" t="str">
        <f ca="1">IF(TODAY()&lt;$J784,"",($O$3-$J784)*0.05+$O$6)</f>
        <v/>
      </c>
    </row>
    <row r="785" spans="10:15" ht="13">
      <c r="J785" s="26">
        <f t="shared" si="4"/>
        <v>44667</v>
      </c>
      <c r="K785" s="3" t="s">
        <v>15</v>
      </c>
      <c r="L785" s="24" t="str">
        <f t="shared" ca="1" si="3"/>
        <v/>
      </c>
      <c r="O785" s="30" t="str">
        <f ca="1">IF(TODAY()&lt;$J785,"",($O$3-$J784)*0.05+$P$6)</f>
        <v/>
      </c>
    </row>
    <row r="786" spans="10:15" ht="13">
      <c r="J786" s="26">
        <f t="shared" si="4"/>
        <v>44668</v>
      </c>
      <c r="K786" s="3">
        <v>2</v>
      </c>
      <c r="L786" s="24" t="str">
        <f t="shared" ca="1" si="3"/>
        <v/>
      </c>
      <c r="O786" s="30"/>
    </row>
    <row r="787" spans="10:15" ht="13">
      <c r="J787" s="26">
        <f t="shared" si="4"/>
        <v>44668</v>
      </c>
      <c r="K787" s="3">
        <v>3</v>
      </c>
      <c r="L787" s="24" t="str">
        <f t="shared" ca="1" si="3"/>
        <v/>
      </c>
      <c r="O787" s="30"/>
    </row>
    <row r="788" spans="10:15" ht="13">
      <c r="J788" s="26">
        <f t="shared" si="4"/>
        <v>44668</v>
      </c>
      <c r="K788" s="3">
        <v>4</v>
      </c>
      <c r="L788" s="24" t="str">
        <f t="shared" ca="1" si="3"/>
        <v/>
      </c>
      <c r="O788" s="30"/>
    </row>
    <row r="789" spans="10:15" ht="13">
      <c r="J789" s="26">
        <f t="shared" si="4"/>
        <v>44668</v>
      </c>
      <c r="K789" s="3">
        <v>6</v>
      </c>
      <c r="L789" s="24" t="str">
        <f t="shared" ca="1" si="3"/>
        <v/>
      </c>
      <c r="M789" s="10" t="str">
        <f ca="1">IF(TODAY()&lt;$J789,"",IF(($O$3-$J789)*0.1+$O$4&lt;0,0,($O$3-$J789)*0.1+$O$4))</f>
        <v/>
      </c>
      <c r="N789" s="10" t="str">
        <f ca="1">IF(TODAY()&lt;$J789,"",IF(($O$3-$J789)*0.1+$O$5&lt;0,0,($O$3-$J789)*0.1+$O$5))</f>
        <v/>
      </c>
      <c r="O789" s="30"/>
    </row>
    <row r="790" spans="10:15" ht="13">
      <c r="J790" s="26">
        <f t="shared" si="4"/>
        <v>44668</v>
      </c>
      <c r="K790" s="3">
        <v>7</v>
      </c>
      <c r="L790" s="24" t="str">
        <f t="shared" ca="1" si="3"/>
        <v/>
      </c>
      <c r="O790" s="30"/>
    </row>
    <row r="791" spans="10:15" ht="13">
      <c r="J791" s="26">
        <f t="shared" si="4"/>
        <v>44668</v>
      </c>
      <c r="K791" s="3" t="s">
        <v>15</v>
      </c>
      <c r="L791" s="24" t="str">
        <f t="shared" ca="1" si="3"/>
        <v/>
      </c>
      <c r="O791" s="30" t="str">
        <f ca="1">IF(TODAY()&lt;$J791,"",($O$3-$J791)*0.05+$O$6)</f>
        <v/>
      </c>
    </row>
    <row r="792" spans="10:15" ht="13">
      <c r="J792" s="26">
        <f t="shared" si="4"/>
        <v>44668</v>
      </c>
      <c r="K792" s="3" t="s">
        <v>15</v>
      </c>
      <c r="L792" s="24" t="str">
        <f t="shared" ca="1" si="3"/>
        <v/>
      </c>
      <c r="O792" s="30" t="str">
        <f ca="1">IF(TODAY()&lt;$J792,"",($O$3-$J791)*0.05+$P$6)</f>
        <v/>
      </c>
    </row>
    <row r="793" spans="10:15" ht="13">
      <c r="J793" s="26">
        <f t="shared" si="4"/>
        <v>44669</v>
      </c>
      <c r="K793" s="3">
        <v>2</v>
      </c>
      <c r="L793" s="24" t="str">
        <f t="shared" ca="1" si="3"/>
        <v/>
      </c>
      <c r="O793" s="30"/>
    </row>
    <row r="794" spans="10:15" ht="13">
      <c r="J794" s="26">
        <f t="shared" si="4"/>
        <v>44669</v>
      </c>
      <c r="K794" s="3">
        <v>3</v>
      </c>
      <c r="L794" s="24" t="str">
        <f t="shared" ca="1" si="3"/>
        <v/>
      </c>
      <c r="O794" s="30"/>
    </row>
    <row r="795" spans="10:15" ht="13">
      <c r="J795" s="26">
        <f t="shared" si="4"/>
        <v>44669</v>
      </c>
      <c r="K795" s="3">
        <v>4</v>
      </c>
      <c r="L795" s="24" t="str">
        <f t="shared" ca="1" si="3"/>
        <v/>
      </c>
      <c r="O795" s="30"/>
    </row>
    <row r="796" spans="10:15" ht="13">
      <c r="J796" s="26">
        <f t="shared" si="4"/>
        <v>44669</v>
      </c>
      <c r="K796" s="3">
        <v>6</v>
      </c>
      <c r="L796" s="24" t="str">
        <f t="shared" ca="1" si="3"/>
        <v/>
      </c>
      <c r="M796" s="10" t="str">
        <f ca="1">IF(TODAY()&lt;$J796,"",IF(($O$3-$J796)*0.1+$O$4&lt;0,0,($O$3-$J796)*0.1+$O$4))</f>
        <v/>
      </c>
      <c r="N796" s="10" t="str">
        <f ca="1">IF(TODAY()&lt;$J796,"",IF(($O$3-$J796)*0.1+$O$5&lt;0,0,($O$3-$J796)*0.1+$O$5))</f>
        <v/>
      </c>
      <c r="O796" s="30"/>
    </row>
    <row r="797" spans="10:15" ht="13">
      <c r="J797" s="26">
        <f t="shared" si="4"/>
        <v>44669</v>
      </c>
      <c r="K797" s="3">
        <v>7</v>
      </c>
      <c r="L797" s="24" t="str">
        <f t="shared" ca="1" si="3"/>
        <v/>
      </c>
      <c r="O797" s="30"/>
    </row>
    <row r="798" spans="10:15" ht="13">
      <c r="J798" s="26">
        <f t="shared" si="4"/>
        <v>44669</v>
      </c>
      <c r="K798" s="3" t="s">
        <v>15</v>
      </c>
      <c r="L798" s="24" t="str">
        <f t="shared" ca="1" si="3"/>
        <v/>
      </c>
      <c r="O798" s="30" t="str">
        <f ca="1">IF(TODAY()&lt;$J798,"",($O$3-$J798)*0.05+$O$6)</f>
        <v/>
      </c>
    </row>
    <row r="799" spans="10:15" ht="13">
      <c r="J799" s="26">
        <f t="shared" si="4"/>
        <v>44669</v>
      </c>
      <c r="K799" s="3" t="s">
        <v>15</v>
      </c>
      <c r="L799" s="24" t="str">
        <f t="shared" ca="1" si="3"/>
        <v/>
      </c>
      <c r="O799" s="30" t="str">
        <f ca="1">IF(TODAY()&lt;$J799,"",($O$3-$J798)*0.05+$P$6)</f>
        <v/>
      </c>
    </row>
    <row r="800" spans="10:15" ht="13">
      <c r="J800" s="26">
        <f t="shared" si="4"/>
        <v>44670</v>
      </c>
      <c r="K800" s="3">
        <v>2</v>
      </c>
      <c r="L800" s="24" t="str">
        <f t="shared" ca="1" si="3"/>
        <v/>
      </c>
      <c r="O800" s="30"/>
    </row>
    <row r="801" spans="10:15" ht="13">
      <c r="J801" s="26">
        <f t="shared" si="4"/>
        <v>44670</v>
      </c>
      <c r="K801" s="3">
        <v>3</v>
      </c>
      <c r="L801" s="24" t="str">
        <f t="shared" ca="1" si="3"/>
        <v/>
      </c>
      <c r="O801" s="30"/>
    </row>
    <row r="802" spans="10:15" ht="13">
      <c r="J802" s="26">
        <f t="shared" si="4"/>
        <v>44670</v>
      </c>
      <c r="K802" s="3">
        <v>4</v>
      </c>
      <c r="L802" s="24" t="str">
        <f t="shared" ca="1" si="3"/>
        <v/>
      </c>
      <c r="O802" s="30"/>
    </row>
    <row r="803" spans="10:15" ht="13">
      <c r="J803" s="26">
        <f t="shared" si="4"/>
        <v>44670</v>
      </c>
      <c r="K803" s="3">
        <v>6</v>
      </c>
      <c r="L803" s="24" t="str">
        <f t="shared" ca="1" si="3"/>
        <v/>
      </c>
      <c r="M803" s="10" t="str">
        <f ca="1">IF(TODAY()&lt;$J803,"",IF(($O$3-$J803)*0.1+$O$4&lt;0,0,($O$3-$J803)*0.1+$O$4))</f>
        <v/>
      </c>
      <c r="N803" s="10" t="str">
        <f ca="1">IF(TODAY()&lt;$J803,"",IF(($O$3-$J803)*0.1+$O$5&lt;0,0,($O$3-$J803)*0.1+$O$5))</f>
        <v/>
      </c>
      <c r="O803" s="30"/>
    </row>
    <row r="804" spans="10:15" ht="13">
      <c r="J804" s="26">
        <f t="shared" si="4"/>
        <v>44670</v>
      </c>
      <c r="K804" s="3">
        <v>7</v>
      </c>
      <c r="L804" s="24" t="str">
        <f t="shared" ca="1" si="3"/>
        <v/>
      </c>
      <c r="O804" s="30"/>
    </row>
    <row r="805" spans="10:15" ht="13">
      <c r="J805" s="26">
        <f t="shared" si="4"/>
        <v>44670</v>
      </c>
      <c r="K805" s="3" t="s">
        <v>15</v>
      </c>
      <c r="L805" s="24" t="str">
        <f t="shared" ca="1" si="3"/>
        <v/>
      </c>
      <c r="O805" s="30" t="str">
        <f ca="1">IF(TODAY()&lt;$J805,"",($O$3-$J805)*0.05+$O$6)</f>
        <v/>
      </c>
    </row>
    <row r="806" spans="10:15" ht="13">
      <c r="J806" s="26">
        <f t="shared" si="4"/>
        <v>44670</v>
      </c>
      <c r="K806" s="3" t="s">
        <v>15</v>
      </c>
      <c r="L806" s="24" t="str">
        <f t="shared" ca="1" si="3"/>
        <v/>
      </c>
      <c r="O806" s="30" t="str">
        <f ca="1">IF(TODAY()&lt;$J806,"",($O$3-$J805)*0.05+$P$6)</f>
        <v/>
      </c>
    </row>
    <row r="807" spans="10:15" ht="13">
      <c r="J807" s="26">
        <f t="shared" si="4"/>
        <v>44671</v>
      </c>
      <c r="K807" s="3">
        <v>2</v>
      </c>
      <c r="L807" s="24" t="str">
        <f t="shared" ca="1" si="3"/>
        <v/>
      </c>
      <c r="O807" s="30"/>
    </row>
    <row r="808" spans="10:15" ht="13">
      <c r="J808" s="26">
        <f t="shared" si="4"/>
        <v>44671</v>
      </c>
      <c r="K808" s="3">
        <v>3</v>
      </c>
      <c r="L808" s="24" t="str">
        <f t="shared" ca="1" si="3"/>
        <v/>
      </c>
      <c r="O808" s="30"/>
    </row>
    <row r="809" spans="10:15" ht="13">
      <c r="J809" s="26">
        <f t="shared" si="4"/>
        <v>44671</v>
      </c>
      <c r="K809" s="3">
        <v>4</v>
      </c>
      <c r="L809" s="24" t="str">
        <f t="shared" ca="1" si="3"/>
        <v/>
      </c>
      <c r="O809" s="30"/>
    </row>
    <row r="810" spans="10:15" ht="13">
      <c r="J810" s="26">
        <f t="shared" si="4"/>
        <v>44671</v>
      </c>
      <c r="K810" s="3">
        <v>6</v>
      </c>
      <c r="L810" s="24" t="str">
        <f t="shared" ca="1" si="3"/>
        <v/>
      </c>
      <c r="M810" s="10" t="str">
        <f ca="1">IF(TODAY()&lt;$J810,"",IF(($O$3-$J810)*0.1+$O$4&lt;0,0,($O$3-$J810)*0.1+$O$4))</f>
        <v/>
      </c>
      <c r="N810" s="10" t="str">
        <f ca="1">IF(TODAY()&lt;$J810,"",IF(($O$3-$J810)*0.1+$O$5&lt;0,0,($O$3-$J810)*0.1+$O$5))</f>
        <v/>
      </c>
      <c r="O810" s="30"/>
    </row>
    <row r="811" spans="10:15" ht="13">
      <c r="J811" s="26">
        <f t="shared" si="4"/>
        <v>44671</v>
      </c>
      <c r="K811" s="3">
        <v>7</v>
      </c>
      <c r="L811" s="24" t="str">
        <f t="shared" ca="1" si="3"/>
        <v/>
      </c>
      <c r="O811" s="30"/>
    </row>
    <row r="812" spans="10:15" ht="13">
      <c r="J812" s="26">
        <f t="shared" si="4"/>
        <v>44671</v>
      </c>
      <c r="K812" s="3" t="s">
        <v>15</v>
      </c>
      <c r="L812" s="24" t="str">
        <f t="shared" ca="1" si="3"/>
        <v/>
      </c>
      <c r="O812" s="30" t="str">
        <f ca="1">IF(TODAY()&lt;$J812,"",($O$3-$J812)*0.05+$O$6)</f>
        <v/>
      </c>
    </row>
    <row r="813" spans="10:15" ht="13">
      <c r="J813" s="26">
        <f t="shared" si="4"/>
        <v>44671</v>
      </c>
      <c r="K813" s="3" t="s">
        <v>15</v>
      </c>
      <c r="L813" s="24" t="str">
        <f t="shared" ca="1" si="3"/>
        <v/>
      </c>
      <c r="O813" s="30" t="str">
        <f ca="1">IF(TODAY()&lt;$J813,"",($O$3-$J812)*0.05+$P$6)</f>
        <v/>
      </c>
    </row>
    <row r="814" spans="10:15" ht="13">
      <c r="J814" s="26">
        <f t="shared" si="4"/>
        <v>44672</v>
      </c>
      <c r="K814" s="3">
        <v>2</v>
      </c>
      <c r="L814" s="24" t="str">
        <f t="shared" ca="1" si="3"/>
        <v/>
      </c>
      <c r="O814" s="30"/>
    </row>
    <row r="815" spans="10:15" ht="13">
      <c r="J815" s="26">
        <f t="shared" si="4"/>
        <v>44672</v>
      </c>
      <c r="K815" s="3">
        <v>3</v>
      </c>
      <c r="L815" s="24" t="str">
        <f t="shared" ca="1" si="3"/>
        <v/>
      </c>
      <c r="O815" s="30"/>
    </row>
    <row r="816" spans="10:15" ht="13">
      <c r="J816" s="26">
        <f t="shared" si="4"/>
        <v>44672</v>
      </c>
      <c r="K816" s="3">
        <v>4</v>
      </c>
      <c r="L816" s="24" t="str">
        <f t="shared" ca="1" si="3"/>
        <v/>
      </c>
      <c r="O816" s="30"/>
    </row>
    <row r="817" spans="10:15" ht="13">
      <c r="J817" s="26">
        <f t="shared" si="4"/>
        <v>44672</v>
      </c>
      <c r="K817" s="3">
        <v>6</v>
      </c>
      <c r="L817" s="24" t="str">
        <f t="shared" ca="1" si="3"/>
        <v/>
      </c>
      <c r="M817" s="10" t="str">
        <f ca="1">IF(TODAY()&lt;$J817,"",IF(($O$3-$J817)*0.1+$O$4&lt;0,0,($O$3-$J817)*0.1+$O$4))</f>
        <v/>
      </c>
      <c r="N817" s="10" t="str">
        <f ca="1">IF(TODAY()&lt;$J817,"",IF(($O$3-$J817)*0.1+$O$5&lt;0,0,($O$3-$J817)*0.1+$O$5))</f>
        <v/>
      </c>
      <c r="O817" s="30"/>
    </row>
    <row r="818" spans="10:15" ht="13">
      <c r="J818" s="26">
        <f t="shared" si="4"/>
        <v>44672</v>
      </c>
      <c r="K818" s="3">
        <v>7</v>
      </c>
      <c r="L818" s="24" t="str">
        <f t="shared" ca="1" si="3"/>
        <v/>
      </c>
      <c r="O818" s="30"/>
    </row>
    <row r="819" spans="10:15" ht="13">
      <c r="J819" s="26">
        <f t="shared" si="4"/>
        <v>44672</v>
      </c>
      <c r="K819" s="3" t="s">
        <v>15</v>
      </c>
      <c r="L819" s="24" t="str">
        <f t="shared" ca="1" si="3"/>
        <v/>
      </c>
      <c r="O819" s="30" t="str">
        <f ca="1">IF(TODAY()&lt;$J819,"",($O$3-$J819)*0.05+$O$6)</f>
        <v/>
      </c>
    </row>
    <row r="820" spans="10:15" ht="13">
      <c r="J820" s="26">
        <f t="shared" si="4"/>
        <v>44672</v>
      </c>
      <c r="K820" s="3" t="s">
        <v>15</v>
      </c>
      <c r="L820" s="24" t="str">
        <f t="shared" ca="1" si="3"/>
        <v/>
      </c>
      <c r="O820" s="30" t="str">
        <f ca="1">IF(TODAY()&lt;$J820,"",($O$3-$J819)*0.05+$P$6)</f>
        <v/>
      </c>
    </row>
    <row r="821" spans="10:15" ht="13">
      <c r="J821" s="26">
        <f t="shared" si="4"/>
        <v>44673</v>
      </c>
      <c r="K821" s="3">
        <v>2</v>
      </c>
      <c r="L821" s="24" t="str">
        <f t="shared" ca="1" si="3"/>
        <v/>
      </c>
      <c r="O821" s="30"/>
    </row>
    <row r="822" spans="10:15" ht="13">
      <c r="J822" s="26">
        <f t="shared" si="4"/>
        <v>44673</v>
      </c>
      <c r="K822" s="3">
        <v>3</v>
      </c>
      <c r="L822" s="24" t="str">
        <f t="shared" ca="1" si="3"/>
        <v/>
      </c>
      <c r="O822" s="30"/>
    </row>
    <row r="823" spans="10:15" ht="13">
      <c r="J823" s="26">
        <f t="shared" si="4"/>
        <v>44673</v>
      </c>
      <c r="K823" s="3">
        <v>4</v>
      </c>
      <c r="L823" s="24" t="str">
        <f t="shared" ca="1" si="3"/>
        <v/>
      </c>
      <c r="O823" s="30"/>
    </row>
    <row r="824" spans="10:15" ht="13">
      <c r="J824" s="26">
        <f t="shared" si="4"/>
        <v>44673</v>
      </c>
      <c r="K824" s="3">
        <v>6</v>
      </c>
      <c r="L824" s="24" t="str">
        <f t="shared" ca="1" si="3"/>
        <v/>
      </c>
      <c r="M824" s="10" t="str">
        <f ca="1">IF(TODAY()&lt;$J824,"",IF(($O$3-$J824)*0.1+$O$4&lt;0,0,($O$3-$J824)*0.1+$O$4))</f>
        <v/>
      </c>
      <c r="N824" s="10" t="str">
        <f ca="1">IF(TODAY()&lt;$J824,"",IF(($O$3-$J824)*0.1+$O$5&lt;0,0,($O$3-$J824)*0.1+$O$5))</f>
        <v/>
      </c>
      <c r="O824" s="30"/>
    </row>
    <row r="825" spans="10:15" ht="13">
      <c r="J825" s="26">
        <f t="shared" si="4"/>
        <v>44673</v>
      </c>
      <c r="K825" s="3">
        <v>7</v>
      </c>
      <c r="L825" s="24" t="str">
        <f t="shared" ca="1" si="3"/>
        <v/>
      </c>
      <c r="O825" s="30"/>
    </row>
    <row r="826" spans="10:15" ht="13">
      <c r="J826" s="26">
        <f t="shared" si="4"/>
        <v>44673</v>
      </c>
      <c r="K826" s="3" t="s">
        <v>15</v>
      </c>
      <c r="L826" s="24" t="str">
        <f t="shared" ca="1" si="3"/>
        <v/>
      </c>
      <c r="O826" s="30" t="str">
        <f ca="1">IF(TODAY()&lt;$J826,"",($O$3-$J826)*0.05+$O$6)</f>
        <v/>
      </c>
    </row>
    <row r="827" spans="10:15" ht="13">
      <c r="J827" s="26">
        <f t="shared" si="4"/>
        <v>44673</v>
      </c>
      <c r="K827" s="3" t="s">
        <v>15</v>
      </c>
      <c r="L827" s="24" t="str">
        <f t="shared" ca="1" si="3"/>
        <v/>
      </c>
      <c r="O827" s="30" t="str">
        <f ca="1">IF(TODAY()&lt;$J827,"",($O$3-$J826)*0.05+$P$6)</f>
        <v/>
      </c>
    </row>
    <row r="828" spans="10:15" ht="13">
      <c r="J828" s="26">
        <f t="shared" si="4"/>
        <v>44674</v>
      </c>
      <c r="K828" s="3">
        <v>2</v>
      </c>
      <c r="L828" s="24" t="str">
        <f t="shared" ca="1" si="3"/>
        <v/>
      </c>
      <c r="O828" s="30"/>
    </row>
    <row r="829" spans="10:15" ht="13">
      <c r="J829" s="26">
        <f t="shared" si="4"/>
        <v>44674</v>
      </c>
      <c r="K829" s="3">
        <v>3</v>
      </c>
      <c r="L829" s="24" t="str">
        <f t="shared" ca="1" si="3"/>
        <v/>
      </c>
      <c r="O829" s="30"/>
    </row>
    <row r="830" spans="10:15" ht="13">
      <c r="J830" s="26">
        <f t="shared" si="4"/>
        <v>44674</v>
      </c>
      <c r="K830" s="3">
        <v>4</v>
      </c>
      <c r="L830" s="24" t="str">
        <f t="shared" ca="1" si="3"/>
        <v/>
      </c>
      <c r="O830" s="30"/>
    </row>
    <row r="831" spans="10:15" ht="13">
      <c r="J831" s="26">
        <f t="shared" si="4"/>
        <v>44674</v>
      </c>
      <c r="K831" s="3">
        <v>6</v>
      </c>
      <c r="L831" s="24" t="str">
        <f t="shared" ca="1" si="3"/>
        <v/>
      </c>
      <c r="M831" s="10" t="str">
        <f ca="1">IF(TODAY()&lt;$J831,"",IF(($O$3-$J831)*0.1+$O$4&lt;0,0,($O$3-$J831)*0.1+$O$4))</f>
        <v/>
      </c>
      <c r="N831" s="10" t="str">
        <f ca="1">IF(TODAY()&lt;$J831,"",IF(($O$3-$J831)*0.1+$O$5&lt;0,0,($O$3-$J831)*0.1+$O$5))</f>
        <v/>
      </c>
      <c r="O831" s="30"/>
    </row>
    <row r="832" spans="10:15" ht="13">
      <c r="J832" s="26">
        <f t="shared" si="4"/>
        <v>44674</v>
      </c>
      <c r="K832" s="3">
        <v>7</v>
      </c>
      <c r="L832" s="24" t="str">
        <f t="shared" ca="1" si="3"/>
        <v/>
      </c>
      <c r="O832" s="30"/>
    </row>
    <row r="833" spans="10:15" ht="13">
      <c r="J833" s="26">
        <f t="shared" si="4"/>
        <v>44674</v>
      </c>
      <c r="K833" s="3" t="s">
        <v>15</v>
      </c>
      <c r="L833" s="24" t="str">
        <f t="shared" ca="1" si="3"/>
        <v/>
      </c>
      <c r="O833" s="30" t="str">
        <f ca="1">IF(TODAY()&lt;$J833,"",($O$3-$J833)*0.05+$O$6)</f>
        <v/>
      </c>
    </row>
    <row r="834" spans="10:15" ht="13">
      <c r="J834" s="26">
        <f t="shared" si="4"/>
        <v>44674</v>
      </c>
      <c r="K834" s="3" t="s">
        <v>15</v>
      </c>
      <c r="L834" s="24" t="str">
        <f t="shared" ca="1" si="3"/>
        <v/>
      </c>
      <c r="O834" s="30" t="str">
        <f ca="1">IF(TODAY()&lt;$J834,"",($O$3-$J833)*0.05+$P$6)</f>
        <v/>
      </c>
    </row>
    <row r="835" spans="10:15" ht="13">
      <c r="J835" s="26">
        <f t="shared" si="4"/>
        <v>44675</v>
      </c>
      <c r="K835" s="3">
        <v>2</v>
      </c>
      <c r="L835" s="24" t="str">
        <f t="shared" ca="1" si="3"/>
        <v/>
      </c>
      <c r="O835" s="30"/>
    </row>
    <row r="836" spans="10:15" ht="13">
      <c r="J836" s="26">
        <f t="shared" si="4"/>
        <v>44675</v>
      </c>
      <c r="K836" s="3">
        <v>3</v>
      </c>
      <c r="L836" s="24" t="str">
        <f t="shared" ca="1" si="3"/>
        <v/>
      </c>
      <c r="O836" s="30"/>
    </row>
    <row r="837" spans="10:15" ht="13">
      <c r="J837" s="26">
        <f t="shared" si="4"/>
        <v>44675</v>
      </c>
      <c r="K837" s="3">
        <v>4</v>
      </c>
      <c r="L837" s="24" t="str">
        <f t="shared" ca="1" si="3"/>
        <v/>
      </c>
      <c r="O837" s="30"/>
    </row>
    <row r="838" spans="10:15" ht="13">
      <c r="J838" s="26">
        <f t="shared" si="4"/>
        <v>44675</v>
      </c>
      <c r="K838" s="3">
        <v>6</v>
      </c>
      <c r="L838" s="24" t="str">
        <f t="shared" ca="1" si="3"/>
        <v/>
      </c>
      <c r="M838" s="10" t="str">
        <f ca="1">IF(TODAY()&lt;$J838,"",IF(($O$3-$J838)*0.1+$O$4&lt;0,0,($O$3-$J838)*0.1+$O$4))</f>
        <v/>
      </c>
      <c r="N838" s="10" t="str">
        <f ca="1">IF(TODAY()&lt;$J838,"",IF(($O$3-$J838)*0.1+$O$5&lt;0,0,($O$3-$J838)*0.1+$O$5))</f>
        <v/>
      </c>
      <c r="O838" s="30"/>
    </row>
    <row r="839" spans="10:15" ht="13">
      <c r="J839" s="26">
        <f t="shared" si="4"/>
        <v>44675</v>
      </c>
      <c r="K839" s="3">
        <v>7</v>
      </c>
      <c r="L839" s="24" t="str">
        <f t="shared" ca="1" si="3"/>
        <v/>
      </c>
      <c r="O839" s="30"/>
    </row>
    <row r="840" spans="10:15" ht="13">
      <c r="J840" s="26">
        <f t="shared" si="4"/>
        <v>44675</v>
      </c>
      <c r="K840" s="3" t="s">
        <v>15</v>
      </c>
      <c r="L840" s="24" t="str">
        <f t="shared" ca="1" si="3"/>
        <v/>
      </c>
      <c r="O840" s="30" t="str">
        <f ca="1">IF(TODAY()&lt;$J840,"",($O$3-$J840)*0.05+$O$6)</f>
        <v/>
      </c>
    </row>
    <row r="841" spans="10:15" ht="13">
      <c r="J841" s="26">
        <f t="shared" si="4"/>
        <v>44675</v>
      </c>
      <c r="K841" s="3" t="s">
        <v>15</v>
      </c>
      <c r="L841" s="24" t="str">
        <f t="shared" ca="1" si="3"/>
        <v/>
      </c>
      <c r="O841" s="30" t="str">
        <f ca="1">IF(TODAY()&lt;$J841,"",($O$3-$J840)*0.05+$P$6)</f>
        <v/>
      </c>
    </row>
    <row r="842" spans="10:15" ht="13">
      <c r="J842" s="26">
        <f t="shared" si="4"/>
        <v>44676</v>
      </c>
      <c r="K842" s="3">
        <v>2</v>
      </c>
      <c r="L842" s="24" t="str">
        <f t="shared" ca="1" si="3"/>
        <v/>
      </c>
      <c r="O842" s="30"/>
    </row>
    <row r="843" spans="10:15" ht="13">
      <c r="J843" s="26">
        <f t="shared" si="4"/>
        <v>44676</v>
      </c>
      <c r="K843" s="3">
        <v>3</v>
      </c>
      <c r="L843" s="24" t="str">
        <f t="shared" ca="1" si="3"/>
        <v/>
      </c>
      <c r="O843" s="30"/>
    </row>
    <row r="844" spans="10:15" ht="13">
      <c r="J844" s="26">
        <f t="shared" si="4"/>
        <v>44676</v>
      </c>
      <c r="K844" s="3">
        <v>4</v>
      </c>
      <c r="L844" s="24" t="str">
        <f t="shared" ca="1" si="3"/>
        <v/>
      </c>
      <c r="O844" s="30"/>
    </row>
    <row r="845" spans="10:15" ht="13">
      <c r="J845" s="26">
        <f t="shared" si="4"/>
        <v>44676</v>
      </c>
      <c r="K845" s="3">
        <v>6</v>
      </c>
      <c r="L845" s="24" t="str">
        <f t="shared" ca="1" si="3"/>
        <v/>
      </c>
      <c r="M845" s="10" t="str">
        <f ca="1">IF(TODAY()&lt;$J845,"",IF(($O$3-$J845)*0.1+$O$4&lt;0,0,($O$3-$J845)*0.1+$O$4))</f>
        <v/>
      </c>
      <c r="N845" s="10" t="str">
        <f ca="1">IF(TODAY()&lt;$J845,"",IF(($O$3-$J845)*0.1+$O$5&lt;0,0,($O$3-$J845)*0.1+$O$5))</f>
        <v/>
      </c>
      <c r="O845" s="30"/>
    </row>
    <row r="846" spans="10:15" ht="13">
      <c r="J846" s="26">
        <f t="shared" si="4"/>
        <v>44676</v>
      </c>
      <c r="K846" s="3">
        <v>7</v>
      </c>
      <c r="L846" s="24" t="str">
        <f t="shared" ca="1" si="3"/>
        <v/>
      </c>
      <c r="O846" s="30"/>
    </row>
    <row r="847" spans="10:15" ht="13">
      <c r="J847" s="26">
        <f t="shared" si="4"/>
        <v>44676</v>
      </c>
      <c r="K847" s="3" t="s">
        <v>15</v>
      </c>
      <c r="L847" s="24" t="str">
        <f t="shared" ca="1" si="3"/>
        <v/>
      </c>
      <c r="O847" s="30" t="str">
        <f ca="1">IF(TODAY()&lt;$J847,"",($O$3-$J847)*0.05+$O$6)</f>
        <v/>
      </c>
    </row>
    <row r="848" spans="10:15" ht="13">
      <c r="J848" s="26">
        <f t="shared" si="4"/>
        <v>44676</v>
      </c>
      <c r="K848" s="3" t="s">
        <v>15</v>
      </c>
      <c r="L848" s="24" t="str">
        <f t="shared" ca="1" si="3"/>
        <v/>
      </c>
      <c r="O848" s="30" t="str">
        <f ca="1">IF(TODAY()&lt;$J848,"",($O$3-$J847)*0.05+$P$6)</f>
        <v/>
      </c>
    </row>
    <row r="849" spans="10:15" ht="13">
      <c r="J849" s="26">
        <f t="shared" si="4"/>
        <v>44677</v>
      </c>
      <c r="K849" s="3">
        <v>2</v>
      </c>
      <c r="L849" s="24" t="str">
        <f t="shared" ca="1" si="3"/>
        <v/>
      </c>
      <c r="O849" s="30"/>
    </row>
    <row r="850" spans="10:15" ht="13">
      <c r="J850" s="26">
        <f t="shared" si="4"/>
        <v>44677</v>
      </c>
      <c r="K850" s="3">
        <v>3</v>
      </c>
      <c r="L850" s="24" t="str">
        <f t="shared" ca="1" si="3"/>
        <v/>
      </c>
      <c r="O850" s="30"/>
    </row>
    <row r="851" spans="10:15" ht="13">
      <c r="J851" s="26">
        <f t="shared" si="4"/>
        <v>44677</v>
      </c>
      <c r="K851" s="3">
        <v>4</v>
      </c>
      <c r="L851" s="24" t="str">
        <f t="shared" ca="1" si="3"/>
        <v/>
      </c>
      <c r="O851" s="30"/>
    </row>
    <row r="852" spans="10:15" ht="13">
      <c r="J852" s="26">
        <f t="shared" si="4"/>
        <v>44677</v>
      </c>
      <c r="K852" s="3">
        <v>6</v>
      </c>
      <c r="L852" s="24" t="str">
        <f t="shared" ca="1" si="3"/>
        <v/>
      </c>
      <c r="M852" s="10" t="str">
        <f ca="1">IF(TODAY()&lt;$J852,"",IF(($O$3-$J852)*0.1+$O$4&lt;0,0,($O$3-$J852)*0.1+$O$4))</f>
        <v/>
      </c>
      <c r="N852" s="10" t="str">
        <f ca="1">IF(TODAY()&lt;$J852,"",IF(($O$3-$J852)*0.1+$O$5&lt;0,0,($O$3-$J852)*0.1+$O$5))</f>
        <v/>
      </c>
      <c r="O852" s="30"/>
    </row>
    <row r="853" spans="10:15" ht="13">
      <c r="J853" s="26">
        <f t="shared" si="4"/>
        <v>44677</v>
      </c>
      <c r="K853" s="3">
        <v>7</v>
      </c>
      <c r="L853" s="24" t="str">
        <f t="shared" ca="1" si="3"/>
        <v/>
      </c>
      <c r="O853" s="30"/>
    </row>
    <row r="854" spans="10:15" ht="13">
      <c r="J854" s="26">
        <f t="shared" si="4"/>
        <v>44677</v>
      </c>
      <c r="K854" s="3" t="s">
        <v>15</v>
      </c>
      <c r="L854" s="24" t="str">
        <f t="shared" ca="1" si="3"/>
        <v/>
      </c>
      <c r="O854" s="30" t="str">
        <f ca="1">IF(TODAY()&lt;$J854,"",($O$3-$J854)*0.05+$O$6)</f>
        <v/>
      </c>
    </row>
    <row r="855" spans="10:15" ht="13">
      <c r="J855" s="26">
        <f t="shared" si="4"/>
        <v>44677</v>
      </c>
      <c r="K855" s="3" t="s">
        <v>15</v>
      </c>
      <c r="L855" s="24" t="str">
        <f t="shared" ca="1" si="3"/>
        <v/>
      </c>
      <c r="O855" s="30" t="str">
        <f ca="1">IF(TODAY()&lt;$J855,"",($O$3-$J854)*0.05+$P$6)</f>
        <v/>
      </c>
    </row>
    <row r="856" spans="10:15" ht="13">
      <c r="J856" s="26">
        <f t="shared" si="4"/>
        <v>44678</v>
      </c>
      <c r="K856" s="3">
        <v>2</v>
      </c>
      <c r="L856" s="24" t="str">
        <f t="shared" ca="1" si="3"/>
        <v/>
      </c>
      <c r="O856" s="30"/>
    </row>
    <row r="857" spans="10:15" ht="13">
      <c r="J857" s="26">
        <f t="shared" si="4"/>
        <v>44678</v>
      </c>
      <c r="K857" s="3">
        <v>3</v>
      </c>
      <c r="L857" s="24" t="str">
        <f t="shared" ca="1" si="3"/>
        <v/>
      </c>
      <c r="O857" s="30"/>
    </row>
    <row r="858" spans="10:15" ht="13">
      <c r="J858" s="26">
        <f t="shared" si="4"/>
        <v>44678</v>
      </c>
      <c r="K858" s="3">
        <v>4</v>
      </c>
      <c r="L858" s="24" t="str">
        <f t="shared" ca="1" si="3"/>
        <v/>
      </c>
      <c r="O858" s="30"/>
    </row>
    <row r="859" spans="10:15" ht="13">
      <c r="J859" s="26">
        <f t="shared" si="4"/>
        <v>44678</v>
      </c>
      <c r="K859" s="3">
        <v>6</v>
      </c>
      <c r="L859" s="24" t="str">
        <f t="shared" ca="1" si="3"/>
        <v/>
      </c>
      <c r="M859" s="10" t="str">
        <f ca="1">IF(TODAY()&lt;$J859,"",IF(($O$3-$J859)*0.1+$O$4&lt;0,0,($O$3-$J859)*0.1+$O$4))</f>
        <v/>
      </c>
      <c r="N859" s="10" t="str">
        <f ca="1">IF(TODAY()&lt;$J859,"",IF(($O$3-$J859)*0.1+$O$5&lt;0,0,($O$3-$J859)*0.1+$O$5))</f>
        <v/>
      </c>
      <c r="O859" s="30"/>
    </row>
    <row r="860" spans="10:15" ht="13">
      <c r="J860" s="26">
        <f t="shared" si="4"/>
        <v>44678</v>
      </c>
      <c r="K860" s="3">
        <v>7</v>
      </c>
      <c r="L860" s="24" t="str">
        <f t="shared" ca="1" si="3"/>
        <v/>
      </c>
      <c r="O860" s="30"/>
    </row>
    <row r="861" spans="10:15" ht="13">
      <c r="J861" s="26">
        <f t="shared" si="4"/>
        <v>44678</v>
      </c>
      <c r="K861" s="3" t="s">
        <v>15</v>
      </c>
      <c r="L861" s="24" t="str">
        <f t="shared" ca="1" si="3"/>
        <v/>
      </c>
      <c r="O861" s="30" t="str">
        <f ca="1">IF(TODAY()&lt;$J861,"",($O$3-$J861)*0.05+$O$6)</f>
        <v/>
      </c>
    </row>
    <row r="862" spans="10:15" ht="13">
      <c r="J862" s="26">
        <f t="shared" si="4"/>
        <v>44678</v>
      </c>
      <c r="K862" s="3" t="s">
        <v>15</v>
      </c>
      <c r="L862" s="24" t="str">
        <f t="shared" ca="1" si="3"/>
        <v/>
      </c>
      <c r="O862" s="30" t="str">
        <f ca="1">IF(TODAY()&lt;$J862,"",($O$3-$J861)*0.05+$P$6)</f>
        <v/>
      </c>
    </row>
    <row r="863" spans="10:15" ht="13">
      <c r="J863" s="26">
        <f t="shared" si="4"/>
        <v>44679</v>
      </c>
      <c r="K863" s="3">
        <v>2</v>
      </c>
      <c r="L863" s="24" t="str">
        <f t="shared" ca="1" si="3"/>
        <v/>
      </c>
      <c r="O863" s="30"/>
    </row>
    <row r="864" spans="10:15" ht="13">
      <c r="J864" s="26">
        <f t="shared" si="4"/>
        <v>44679</v>
      </c>
      <c r="K864" s="3">
        <v>3</v>
      </c>
      <c r="L864" s="24" t="str">
        <f t="shared" ca="1" si="3"/>
        <v/>
      </c>
      <c r="O864" s="30"/>
    </row>
    <row r="865" spans="10:15" ht="13">
      <c r="J865" s="26">
        <f t="shared" si="4"/>
        <v>44679</v>
      </c>
      <c r="K865" s="3">
        <v>4</v>
      </c>
      <c r="L865" s="24" t="str">
        <f t="shared" ca="1" si="3"/>
        <v/>
      </c>
      <c r="O865" s="30"/>
    </row>
    <row r="866" spans="10:15" ht="13">
      <c r="J866" s="26">
        <f t="shared" si="4"/>
        <v>44679</v>
      </c>
      <c r="K866" s="3">
        <v>6</v>
      </c>
      <c r="L866" s="24" t="str">
        <f t="shared" ca="1" si="3"/>
        <v/>
      </c>
      <c r="M866" s="10" t="str">
        <f ca="1">IF(TODAY()&lt;$J866,"",IF(($O$3-$J866)*0.1+$O$4&lt;0,0,($O$3-$J866)*0.1+$O$4))</f>
        <v/>
      </c>
      <c r="N866" s="10" t="str">
        <f ca="1">IF(TODAY()&lt;$J866,"",IF(($O$3-$J866)*0.1+$O$5&lt;0,0,($O$3-$J866)*0.1+$O$5))</f>
        <v/>
      </c>
      <c r="O866" s="30"/>
    </row>
    <row r="867" spans="10:15" ht="13">
      <c r="J867" s="26">
        <f t="shared" si="4"/>
        <v>44679</v>
      </c>
      <c r="K867" s="3">
        <v>7</v>
      </c>
      <c r="L867" s="24" t="str">
        <f t="shared" ca="1" si="3"/>
        <v/>
      </c>
      <c r="O867" s="30"/>
    </row>
    <row r="868" spans="10:15" ht="13">
      <c r="J868" s="26">
        <f t="shared" si="4"/>
        <v>44679</v>
      </c>
      <c r="K868" s="3" t="s">
        <v>15</v>
      </c>
      <c r="L868" s="24" t="str">
        <f t="shared" ca="1" si="3"/>
        <v/>
      </c>
      <c r="O868" s="30" t="str">
        <f ca="1">IF(TODAY()&lt;$J868,"",($O$3-$J868)*0.05+$O$6)</f>
        <v/>
      </c>
    </row>
    <row r="869" spans="10:15" ht="13">
      <c r="J869" s="26">
        <f t="shared" si="4"/>
        <v>44679</v>
      </c>
      <c r="K869" s="3" t="s">
        <v>15</v>
      </c>
      <c r="L869" s="24" t="str">
        <f t="shared" ca="1" si="3"/>
        <v/>
      </c>
      <c r="O869" s="30" t="str">
        <f ca="1">IF(TODAY()&lt;$J869,"",($O$3-$J868)*0.05+$P$6)</f>
        <v/>
      </c>
    </row>
    <row r="870" spans="10:15" ht="13">
      <c r="J870" s="26">
        <f t="shared" si="4"/>
        <v>44680</v>
      </c>
      <c r="K870" s="3">
        <v>2</v>
      </c>
      <c r="L870" s="24" t="str">
        <f t="shared" ca="1" si="3"/>
        <v/>
      </c>
      <c r="O870" s="30"/>
    </row>
    <row r="871" spans="10:15" ht="13">
      <c r="J871" s="26">
        <f t="shared" si="4"/>
        <v>44680</v>
      </c>
      <c r="K871" s="3">
        <v>3</v>
      </c>
      <c r="L871" s="24" t="str">
        <f t="shared" ca="1" si="3"/>
        <v/>
      </c>
      <c r="O871" s="30"/>
    </row>
    <row r="872" spans="10:15" ht="13">
      <c r="J872" s="26">
        <f t="shared" si="4"/>
        <v>44680</v>
      </c>
      <c r="K872" s="3">
        <v>4</v>
      </c>
      <c r="L872" s="24" t="str">
        <f t="shared" ca="1" si="3"/>
        <v/>
      </c>
      <c r="O872" s="30"/>
    </row>
    <row r="873" spans="10:15" ht="13">
      <c r="J873" s="26">
        <f t="shared" si="4"/>
        <v>44680</v>
      </c>
      <c r="K873" s="3">
        <v>6</v>
      </c>
      <c r="L873" s="24" t="str">
        <f t="shared" ca="1" si="3"/>
        <v/>
      </c>
      <c r="M873" s="10" t="str">
        <f ca="1">IF(TODAY()&lt;$J873,"",IF(($O$3-$J873)*0.1+$O$4&lt;0,0,($O$3-$J873)*0.1+$O$4))</f>
        <v/>
      </c>
      <c r="N873" s="10" t="str">
        <f ca="1">IF(TODAY()&lt;$J873,"",IF(($O$3-$J873)*0.1+$O$5&lt;0,0,($O$3-$J873)*0.1+$O$5))</f>
        <v/>
      </c>
      <c r="O873" s="30"/>
    </row>
    <row r="874" spans="10:15" ht="13">
      <c r="J874" s="26">
        <f t="shared" si="4"/>
        <v>44680</v>
      </c>
      <c r="K874" s="3">
        <v>7</v>
      </c>
      <c r="L874" s="24" t="str">
        <f t="shared" ca="1" si="3"/>
        <v/>
      </c>
      <c r="O874" s="30"/>
    </row>
    <row r="875" spans="10:15" ht="13">
      <c r="J875" s="26">
        <f t="shared" si="4"/>
        <v>44680</v>
      </c>
      <c r="K875" s="3" t="s">
        <v>15</v>
      </c>
      <c r="L875" s="24" t="str">
        <f t="shared" ca="1" si="3"/>
        <v/>
      </c>
      <c r="O875" s="30" t="str">
        <f ca="1">IF(TODAY()&lt;$J875,"",($O$3-$J875)*0.05+$O$6)</f>
        <v/>
      </c>
    </row>
    <row r="876" spans="10:15" ht="13">
      <c r="J876" s="26">
        <f t="shared" si="4"/>
        <v>44680</v>
      </c>
      <c r="K876" s="3" t="s">
        <v>15</v>
      </c>
      <c r="L876" s="24" t="str">
        <f t="shared" ca="1" si="3"/>
        <v/>
      </c>
      <c r="O876" s="30" t="str">
        <f ca="1">IF(TODAY()&lt;$J876,"",($O$3-$J875)*0.05+$P$6)</f>
        <v/>
      </c>
    </row>
    <row r="877" spans="10:15" ht="13">
      <c r="J877" s="26">
        <f t="shared" si="4"/>
        <v>44681</v>
      </c>
      <c r="K877" s="3">
        <v>2</v>
      </c>
      <c r="L877" s="24" t="str">
        <f t="shared" ca="1" si="3"/>
        <v/>
      </c>
      <c r="O877" s="30"/>
    </row>
    <row r="878" spans="10:15" ht="13">
      <c r="J878" s="26">
        <f t="shared" si="4"/>
        <v>44681</v>
      </c>
      <c r="K878" s="3">
        <v>3</v>
      </c>
      <c r="L878" s="24" t="str">
        <f t="shared" ca="1" si="3"/>
        <v/>
      </c>
      <c r="O878" s="30"/>
    </row>
    <row r="879" spans="10:15" ht="13">
      <c r="J879" s="26">
        <f t="shared" si="4"/>
        <v>44681</v>
      </c>
      <c r="K879" s="3">
        <v>4</v>
      </c>
      <c r="L879" s="24" t="str">
        <f t="shared" ca="1" si="3"/>
        <v/>
      </c>
      <c r="O879" s="30"/>
    </row>
    <row r="880" spans="10:15" ht="13">
      <c r="J880" s="26">
        <f t="shared" si="4"/>
        <v>44681</v>
      </c>
      <c r="K880" s="3">
        <v>6</v>
      </c>
      <c r="L880" s="24" t="str">
        <f t="shared" ca="1" si="3"/>
        <v/>
      </c>
      <c r="M880" s="10" t="str">
        <f ca="1">IF(TODAY()&lt;$J880,"",IF(($O$3-$J880)*0.1+$O$4&lt;0,0,($O$3-$J880)*0.1+$O$4))</f>
        <v/>
      </c>
      <c r="N880" s="10" t="str">
        <f ca="1">IF(TODAY()&lt;$J880,"",IF(($O$3-$J880)*0.1+$O$5&lt;0,0,($O$3-$J880)*0.1+$O$5))</f>
        <v/>
      </c>
      <c r="O880" s="30"/>
    </row>
    <row r="881" spans="10:15" ht="13">
      <c r="J881" s="26">
        <f t="shared" si="4"/>
        <v>44681</v>
      </c>
      <c r="K881" s="3">
        <v>7</v>
      </c>
      <c r="L881" s="24" t="str">
        <f t="shared" ca="1" si="3"/>
        <v/>
      </c>
      <c r="O881" s="30"/>
    </row>
    <row r="882" spans="10:15" ht="13">
      <c r="J882" s="26">
        <f t="shared" si="4"/>
        <v>44681</v>
      </c>
      <c r="K882" s="3" t="s">
        <v>15</v>
      </c>
      <c r="L882" s="24" t="str">
        <f t="shared" ca="1" si="3"/>
        <v/>
      </c>
      <c r="O882" s="30" t="str">
        <f ca="1">IF(TODAY()&lt;$J882,"",($O$3-$J882)*0.05+$O$6)</f>
        <v/>
      </c>
    </row>
    <row r="883" spans="10:15" ht="13">
      <c r="J883" s="26">
        <f t="shared" si="4"/>
        <v>44681</v>
      </c>
      <c r="K883" s="3" t="s">
        <v>15</v>
      </c>
      <c r="L883" s="24" t="str">
        <f t="shared" ca="1" si="3"/>
        <v/>
      </c>
      <c r="O883" s="30" t="str">
        <f ca="1">IF(TODAY()&lt;$J883,"",($O$3-$J882)*0.05+$P$6)</f>
        <v/>
      </c>
    </row>
    <row r="884" spans="10:15" ht="13">
      <c r="J884" s="26">
        <f t="shared" si="4"/>
        <v>44682</v>
      </c>
      <c r="K884" s="3">
        <v>2</v>
      </c>
      <c r="L884" s="24" t="str">
        <f t="shared" ca="1" si="3"/>
        <v/>
      </c>
      <c r="O884" s="30"/>
    </row>
    <row r="885" spans="10:15" ht="13">
      <c r="J885" s="26">
        <f t="shared" si="4"/>
        <v>44682</v>
      </c>
      <c r="K885" s="3">
        <v>3</v>
      </c>
      <c r="L885" s="24" t="str">
        <f t="shared" ca="1" si="3"/>
        <v/>
      </c>
      <c r="O885" s="30"/>
    </row>
    <row r="886" spans="10:15" ht="13">
      <c r="J886" s="26">
        <f t="shared" si="4"/>
        <v>44682</v>
      </c>
      <c r="K886" s="3">
        <v>4</v>
      </c>
      <c r="L886" s="24" t="str">
        <f t="shared" ca="1" si="3"/>
        <v/>
      </c>
      <c r="O886" s="30"/>
    </row>
    <row r="887" spans="10:15" ht="13">
      <c r="J887" s="26">
        <f t="shared" si="4"/>
        <v>44682</v>
      </c>
      <c r="K887" s="3">
        <v>6</v>
      </c>
      <c r="L887" s="24" t="str">
        <f t="shared" ca="1" si="3"/>
        <v/>
      </c>
      <c r="M887" s="10" t="str">
        <f ca="1">IF(TODAY()&lt;$J887,"",IF(($O$3-$J887)*0.1+$O$4&lt;0,0,($O$3-$J887)*0.1+$O$4))</f>
        <v/>
      </c>
      <c r="N887" s="10" t="str">
        <f ca="1">IF(TODAY()&lt;$J887,"",IF(($O$3-$J887)*0.1+$O$5&lt;0,0,($O$3-$J887)*0.1+$O$5))</f>
        <v/>
      </c>
      <c r="O887" s="30"/>
    </row>
    <row r="888" spans="10:15" ht="13">
      <c r="J888" s="26">
        <f t="shared" si="4"/>
        <v>44682</v>
      </c>
      <c r="K888" s="3">
        <v>7</v>
      </c>
      <c r="L888" s="24" t="str">
        <f t="shared" ca="1" si="3"/>
        <v/>
      </c>
      <c r="O888" s="30"/>
    </row>
    <row r="889" spans="10:15" ht="13">
      <c r="J889" s="26">
        <f t="shared" si="4"/>
        <v>44682</v>
      </c>
      <c r="K889" s="3" t="s">
        <v>15</v>
      </c>
      <c r="L889" s="24" t="str">
        <f t="shared" ca="1" si="3"/>
        <v/>
      </c>
      <c r="O889" s="30" t="str">
        <f ca="1">IF(TODAY()&lt;$J889,"",($O$3-$J889)*0.05+$O$6)</f>
        <v/>
      </c>
    </row>
    <row r="890" spans="10:15" ht="13">
      <c r="J890" s="26">
        <f t="shared" si="4"/>
        <v>44682</v>
      </c>
      <c r="K890" s="3" t="s">
        <v>15</v>
      </c>
      <c r="L890" s="24" t="str">
        <f t="shared" ca="1" si="3"/>
        <v/>
      </c>
      <c r="O890" s="30" t="str">
        <f ca="1">IF(TODAY()&lt;$J890,"",($O$3-$J889)*0.05+$P$6)</f>
        <v/>
      </c>
    </row>
    <row r="891" spans="10:15" ht="13">
      <c r="J891" s="26">
        <f t="shared" si="4"/>
        <v>44683</v>
      </c>
      <c r="K891" s="3">
        <v>2</v>
      </c>
      <c r="L891" s="24" t="str">
        <f t="shared" ca="1" si="3"/>
        <v/>
      </c>
      <c r="O891" s="30"/>
    </row>
    <row r="892" spans="10:15" ht="13">
      <c r="J892" s="26">
        <f t="shared" si="4"/>
        <v>44683</v>
      </c>
      <c r="K892" s="3">
        <v>3</v>
      </c>
      <c r="L892" s="24" t="str">
        <f t="shared" ca="1" si="3"/>
        <v/>
      </c>
      <c r="O892" s="30"/>
    </row>
    <row r="893" spans="10:15" ht="13">
      <c r="J893" s="26">
        <f t="shared" si="4"/>
        <v>44683</v>
      </c>
      <c r="K893" s="3">
        <v>4</v>
      </c>
      <c r="L893" s="24" t="str">
        <f t="shared" ca="1" si="3"/>
        <v/>
      </c>
      <c r="O893" s="30"/>
    </row>
    <row r="894" spans="10:15" ht="13">
      <c r="J894" s="26">
        <f t="shared" si="4"/>
        <v>44683</v>
      </c>
      <c r="K894" s="3">
        <v>6</v>
      </c>
      <c r="L894" s="24" t="str">
        <f t="shared" ca="1" si="3"/>
        <v/>
      </c>
      <c r="M894" s="10" t="str">
        <f ca="1">IF(TODAY()&lt;$J894,"",IF(($O$3-$J894)*0.1+$O$4&lt;0,0,($O$3-$J894)*0.1+$O$4))</f>
        <v/>
      </c>
      <c r="N894" s="10" t="str">
        <f ca="1">IF(TODAY()&lt;$J894,"",IF(($O$3-$J894)*0.1+$O$5&lt;0,0,($O$3-$J894)*0.1+$O$5))</f>
        <v/>
      </c>
      <c r="O894" s="30"/>
    </row>
    <row r="895" spans="10:15" ht="13">
      <c r="J895" s="26">
        <f t="shared" si="4"/>
        <v>44683</v>
      </c>
      <c r="K895" s="3">
        <v>7</v>
      </c>
      <c r="L895" s="24" t="str">
        <f t="shared" ca="1" si="3"/>
        <v/>
      </c>
      <c r="O895" s="30"/>
    </row>
    <row r="896" spans="10:15" ht="13">
      <c r="J896" s="26">
        <f t="shared" si="4"/>
        <v>44683</v>
      </c>
      <c r="K896" s="3" t="s">
        <v>15</v>
      </c>
      <c r="L896" s="24" t="str">
        <f t="shared" ca="1" si="3"/>
        <v/>
      </c>
      <c r="O896" s="30" t="str">
        <f ca="1">IF(TODAY()&lt;$J896,"",($O$3-$J896)*0.05+$O$6)</f>
        <v/>
      </c>
    </row>
    <row r="897" spans="10:15" ht="13">
      <c r="J897" s="26">
        <f t="shared" si="4"/>
        <v>44683</v>
      </c>
      <c r="K897" s="3" t="s">
        <v>15</v>
      </c>
      <c r="L897" s="24" t="str">
        <f t="shared" ca="1" si="3"/>
        <v/>
      </c>
      <c r="O897" s="30" t="str">
        <f ca="1">IF(TODAY()&lt;$J897,"",($O$3-$J896)*0.05+$P$6)</f>
        <v/>
      </c>
    </row>
    <row r="898" spans="10:15" ht="13">
      <c r="J898" s="26">
        <f t="shared" si="4"/>
        <v>44684</v>
      </c>
      <c r="K898" s="3">
        <v>2</v>
      </c>
      <c r="L898" s="24" t="str">
        <f t="shared" ca="1" si="3"/>
        <v/>
      </c>
      <c r="O898" s="30"/>
    </row>
    <row r="899" spans="10:15" ht="13">
      <c r="J899" s="26">
        <f t="shared" si="4"/>
        <v>44684</v>
      </c>
      <c r="K899" s="3">
        <v>3</v>
      </c>
      <c r="L899" s="24" t="str">
        <f t="shared" ca="1" si="3"/>
        <v/>
      </c>
      <c r="O899" s="30"/>
    </row>
    <row r="900" spans="10:15" ht="13">
      <c r="J900" s="26">
        <f t="shared" si="4"/>
        <v>44684</v>
      </c>
      <c r="K900" s="3">
        <v>4</v>
      </c>
      <c r="L900" s="24" t="str">
        <f t="shared" ca="1" si="3"/>
        <v/>
      </c>
      <c r="O900" s="30"/>
    </row>
    <row r="901" spans="10:15" ht="13">
      <c r="J901" s="26">
        <f t="shared" si="4"/>
        <v>44684</v>
      </c>
      <c r="K901" s="3">
        <v>6</v>
      </c>
      <c r="L901" s="24" t="str">
        <f t="shared" ca="1" si="3"/>
        <v/>
      </c>
      <c r="M901" s="10" t="str">
        <f ca="1">IF(TODAY()&lt;$J901,"",IF(($O$3-$J901)*0.1+$O$4&lt;0,0,($O$3-$J901)*0.1+$O$4))</f>
        <v/>
      </c>
      <c r="N901" s="10" t="str">
        <f ca="1">IF(TODAY()&lt;$J901,"",IF(($O$3-$J901)*0.1+$O$5&lt;0,0,($O$3-$J901)*0.1+$O$5))</f>
        <v/>
      </c>
      <c r="O901" s="30"/>
    </row>
    <row r="902" spans="10:15" ht="13">
      <c r="J902" s="26">
        <f t="shared" si="4"/>
        <v>44684</v>
      </c>
      <c r="K902" s="3">
        <v>7</v>
      </c>
      <c r="L902" s="24" t="str">
        <f t="shared" ca="1" si="3"/>
        <v/>
      </c>
      <c r="O902" s="30"/>
    </row>
    <row r="903" spans="10:15" ht="13">
      <c r="J903" s="26">
        <f t="shared" si="4"/>
        <v>44684</v>
      </c>
      <c r="K903" s="3" t="s">
        <v>15</v>
      </c>
      <c r="L903" s="24" t="str">
        <f t="shared" ca="1" si="3"/>
        <v/>
      </c>
      <c r="O903" s="30" t="str">
        <f ca="1">IF(TODAY()&lt;$J903,"",($O$3-$J903)*0.05+$O$6)</f>
        <v/>
      </c>
    </row>
    <row r="904" spans="10:15" ht="13">
      <c r="J904" s="26">
        <f t="shared" si="4"/>
        <v>44684</v>
      </c>
      <c r="K904" s="3" t="s">
        <v>15</v>
      </c>
      <c r="L904" s="24" t="str">
        <f t="shared" ca="1" si="3"/>
        <v/>
      </c>
      <c r="O904" s="30" t="str">
        <f ca="1">IF(TODAY()&lt;$J904,"",($O$3-$J903)*0.05+$P$6)</f>
        <v/>
      </c>
    </row>
    <row r="905" spans="10:15" ht="13">
      <c r="J905" s="26">
        <f t="shared" si="4"/>
        <v>44685</v>
      </c>
      <c r="K905" s="3">
        <v>2</v>
      </c>
      <c r="L905" s="24" t="str">
        <f t="shared" ca="1" si="3"/>
        <v/>
      </c>
      <c r="O905" s="30"/>
    </row>
    <row r="906" spans="10:15" ht="13">
      <c r="J906" s="26">
        <f t="shared" si="4"/>
        <v>44685</v>
      </c>
      <c r="K906" s="3">
        <v>3</v>
      </c>
      <c r="L906" s="24" t="str">
        <f t="shared" ca="1" si="3"/>
        <v/>
      </c>
      <c r="O906" s="30"/>
    </row>
    <row r="907" spans="10:15" ht="13">
      <c r="J907" s="26">
        <f t="shared" si="4"/>
        <v>44685</v>
      </c>
      <c r="K907" s="3">
        <v>4</v>
      </c>
      <c r="L907" s="24" t="str">
        <f t="shared" ca="1" si="3"/>
        <v/>
      </c>
      <c r="O907" s="30"/>
    </row>
    <row r="908" spans="10:15" ht="13">
      <c r="J908" s="26">
        <f t="shared" si="4"/>
        <v>44685</v>
      </c>
      <c r="K908" s="3">
        <v>6</v>
      </c>
      <c r="L908" s="24" t="str">
        <f t="shared" ca="1" si="3"/>
        <v/>
      </c>
      <c r="M908" s="10" t="str">
        <f ca="1">IF(TODAY()&lt;$J908,"",IF(($O$3-$J908)*0.1+$O$4&lt;0,0,($O$3-$J908)*0.1+$O$4))</f>
        <v/>
      </c>
      <c r="N908" s="10" t="str">
        <f ca="1">IF(TODAY()&lt;$J908,"",IF(($O$3-$J908)*0.1+$O$5&lt;0,0,($O$3-$J908)*0.1+$O$5))</f>
        <v/>
      </c>
      <c r="O908" s="30"/>
    </row>
    <row r="909" spans="10:15" ht="13">
      <c r="J909" s="26">
        <f t="shared" si="4"/>
        <v>44685</v>
      </c>
      <c r="K909" s="3">
        <v>7</v>
      </c>
      <c r="L909" s="24" t="str">
        <f t="shared" ca="1" si="3"/>
        <v/>
      </c>
      <c r="O909" s="30"/>
    </row>
    <row r="910" spans="10:15" ht="13">
      <c r="J910" s="26">
        <f t="shared" si="4"/>
        <v>44685</v>
      </c>
      <c r="K910" s="3" t="s">
        <v>15</v>
      </c>
      <c r="L910" s="24" t="str">
        <f t="shared" ca="1" si="3"/>
        <v/>
      </c>
      <c r="O910" s="30" t="str">
        <f ca="1">IF(TODAY()&lt;$J910,"",($O$3-$J910)*0.05+$O$6)</f>
        <v/>
      </c>
    </row>
    <row r="911" spans="10:15" ht="13">
      <c r="J911" s="26">
        <f t="shared" si="4"/>
        <v>44685</v>
      </c>
      <c r="K911" s="3" t="s">
        <v>15</v>
      </c>
      <c r="L911" s="24" t="str">
        <f t="shared" ca="1" si="3"/>
        <v/>
      </c>
      <c r="O911" s="30" t="str">
        <f ca="1">IF(TODAY()&lt;$J911,"",($O$3-$J910)*0.05+$P$6)</f>
        <v/>
      </c>
    </row>
    <row r="912" spans="10:15" ht="13">
      <c r="J912" s="26">
        <f t="shared" si="4"/>
        <v>44686</v>
      </c>
      <c r="K912" s="3">
        <v>2</v>
      </c>
      <c r="L912" s="24" t="str">
        <f t="shared" ca="1" si="3"/>
        <v/>
      </c>
      <c r="O912" s="30"/>
    </row>
    <row r="913" spans="10:15" ht="13">
      <c r="J913" s="26">
        <f t="shared" si="4"/>
        <v>44686</v>
      </c>
      <c r="K913" s="3">
        <v>3</v>
      </c>
      <c r="L913" s="24" t="str">
        <f t="shared" ca="1" si="3"/>
        <v/>
      </c>
      <c r="O913" s="30"/>
    </row>
    <row r="914" spans="10:15" ht="13">
      <c r="J914" s="26">
        <f t="shared" si="4"/>
        <v>44686</v>
      </c>
      <c r="K914" s="3">
        <v>4</v>
      </c>
      <c r="L914" s="24" t="str">
        <f t="shared" ca="1" si="3"/>
        <v/>
      </c>
      <c r="O914" s="30"/>
    </row>
    <row r="915" spans="10:15" ht="13">
      <c r="J915" s="26">
        <f t="shared" si="4"/>
        <v>44686</v>
      </c>
      <c r="K915" s="3">
        <v>6</v>
      </c>
      <c r="L915" s="24" t="str">
        <f t="shared" ca="1" si="3"/>
        <v/>
      </c>
      <c r="M915" s="10" t="str">
        <f ca="1">IF(TODAY()&lt;$J915,"",IF(($O$3-$J915)*0.1+$O$4&lt;0,0,($O$3-$J915)*0.1+$O$4))</f>
        <v/>
      </c>
      <c r="N915" s="10" t="str">
        <f ca="1">IF(TODAY()&lt;$J915,"",IF(($O$3-$J915)*0.1+$O$5&lt;0,0,($O$3-$J915)*0.1+$O$5))</f>
        <v/>
      </c>
      <c r="O915" s="30"/>
    </row>
    <row r="916" spans="10:15" ht="13">
      <c r="J916" s="26">
        <f t="shared" si="4"/>
        <v>44686</v>
      </c>
      <c r="K916" s="3">
        <v>7</v>
      </c>
      <c r="L916" s="24" t="str">
        <f t="shared" ca="1" si="3"/>
        <v/>
      </c>
      <c r="O916" s="30"/>
    </row>
    <row r="917" spans="10:15" ht="13">
      <c r="J917" s="26">
        <f t="shared" si="4"/>
        <v>44686</v>
      </c>
      <c r="K917" s="3" t="s">
        <v>15</v>
      </c>
      <c r="L917" s="24" t="str">
        <f t="shared" ca="1" si="3"/>
        <v/>
      </c>
      <c r="O917" s="30" t="str">
        <f ca="1">IF(TODAY()&lt;$J917,"",($O$3-$J917)*0.05+$O$6)</f>
        <v/>
      </c>
    </row>
    <row r="918" spans="10:15" ht="13">
      <c r="J918" s="26">
        <f t="shared" si="4"/>
        <v>44686</v>
      </c>
      <c r="K918" s="3" t="s">
        <v>15</v>
      </c>
      <c r="L918" s="24" t="str">
        <f t="shared" ca="1" si="3"/>
        <v/>
      </c>
      <c r="O918" s="30" t="str">
        <f ca="1">IF(TODAY()&lt;$J918,"",($O$3-$J917)*0.05+$P$6)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L52"/>
  <sheetViews>
    <sheetView workbookViewId="0"/>
  </sheetViews>
  <sheetFormatPr baseColWidth="10" defaultColWidth="14.5" defaultRowHeight="15.75" customHeight="1"/>
  <cols>
    <col min="2" max="2" width="22.6640625" customWidth="1"/>
  </cols>
  <sheetData>
    <row r="2" spans="1:12" ht="15.75" customHeight="1">
      <c r="C2" s="3">
        <v>1</v>
      </c>
      <c r="D2" s="3" t="s">
        <v>16</v>
      </c>
      <c r="F2" s="3">
        <v>1</v>
      </c>
      <c r="G2" s="3" t="s">
        <v>17</v>
      </c>
    </row>
    <row r="3" spans="1:12" ht="15.75" customHeight="1">
      <c r="C3" s="3">
        <v>2</v>
      </c>
      <c r="D3" s="3" t="s">
        <v>18</v>
      </c>
      <c r="F3" s="3">
        <v>2</v>
      </c>
      <c r="G3" s="3" t="s">
        <v>19</v>
      </c>
      <c r="J3" s="3" t="s">
        <v>20</v>
      </c>
      <c r="K3" s="31">
        <v>500000</v>
      </c>
    </row>
    <row r="4" spans="1:12" ht="15.75" customHeight="1">
      <c r="C4" s="3">
        <v>3</v>
      </c>
      <c r="D4" s="3" t="s">
        <v>21</v>
      </c>
    </row>
    <row r="5" spans="1:12" ht="15.75" customHeight="1">
      <c r="C5" s="3">
        <v>4</v>
      </c>
      <c r="D5" s="3" t="s">
        <v>22</v>
      </c>
    </row>
    <row r="7" spans="1:12" ht="15.75" customHeight="1">
      <c r="F7" s="32">
        <v>-0.15</v>
      </c>
      <c r="G7" s="32">
        <v>-0.1</v>
      </c>
      <c r="H7" s="32">
        <v>0</v>
      </c>
      <c r="I7" s="32">
        <v>0.05</v>
      </c>
      <c r="J7" s="32">
        <v>0.1</v>
      </c>
      <c r="K7" s="3" t="s">
        <v>23</v>
      </c>
      <c r="L7" s="32">
        <v>0.5</v>
      </c>
    </row>
    <row r="8" spans="1:12" ht="15.75" customHeight="1">
      <c r="A8" s="3" t="s">
        <v>16</v>
      </c>
      <c r="B8" s="3" t="s">
        <v>24</v>
      </c>
      <c r="C8" s="10">
        <f ca="1">IFERROR(__xludf.DUMMYFUNCTION("googlefinance(B8,""Price"")"),347.01)</f>
        <v>347.01</v>
      </c>
      <c r="D8" s="10" t="str">
        <f ca="1">IFERROR(__xludf.DUMMYFUNCTION("googlefinance(B8,""Currency"")"),"USD")</f>
        <v>USD</v>
      </c>
      <c r="E8" s="10">
        <f ca="1">IFERROR(__xludf.DUMMYFUNCTION("if(D8=""HKD"",1,googlefinance(""Currency:""&amp;D8&amp;""HKD"")*if(D8=""GBP"",1/100,1))"),7.7923)</f>
        <v>7.7923</v>
      </c>
      <c r="F8" s="33">
        <f t="shared" ref="F8:J8" ca="1" si="0">$C8*(1+F$7)</f>
        <v>294.95849999999996</v>
      </c>
      <c r="G8" s="34">
        <f t="shared" ca="1" si="0"/>
        <v>312.30900000000003</v>
      </c>
      <c r="H8" s="34">
        <f t="shared" ca="1" si="0"/>
        <v>347.01</v>
      </c>
      <c r="I8" s="34">
        <f t="shared" ca="1" si="0"/>
        <v>364.3605</v>
      </c>
      <c r="J8" s="35">
        <f t="shared" ca="1" si="0"/>
        <v>381.71100000000001</v>
      </c>
      <c r="K8" s="31">
        <f t="shared" ref="K8:K16" ca="1" si="1">C8*E8</f>
        <v>2704.0060229999999</v>
      </c>
      <c r="L8" s="31">
        <f t="shared" ref="L8:L16" ca="1" si="2">$K$3/K8</f>
        <v>184.91083072561634</v>
      </c>
    </row>
    <row r="9" spans="1:12" ht="15.75" customHeight="1">
      <c r="A9" s="3" t="s">
        <v>16</v>
      </c>
      <c r="B9" s="3" t="s">
        <v>25</v>
      </c>
      <c r="C9" s="10">
        <f ca="1">IFERROR(__xludf.DUMMYFUNCTION("googlefinance(B9,""Price"")"),308.26)</f>
        <v>308.26</v>
      </c>
      <c r="D9" s="10" t="str">
        <f ca="1">IFERROR(__xludf.DUMMYFUNCTION("googlefinance(B9,""Currency"")"),"USD")</f>
        <v>USD</v>
      </c>
      <c r="E9" s="10">
        <f ca="1">IFERROR(__xludf.DUMMYFUNCTION("if(D9=""HKD"",1,googlefinance(""Currency:""&amp;D9&amp;""HKD"")*if(D9=""GBP"",1/100,1))"),7.7923)</f>
        <v>7.7923</v>
      </c>
      <c r="F9" s="36">
        <f t="shared" ref="F9:J9" ca="1" si="3">$C9*(1+F$7)</f>
        <v>262.02099999999996</v>
      </c>
      <c r="G9" s="37">
        <f t="shared" ca="1" si="3"/>
        <v>277.43400000000003</v>
      </c>
      <c r="H9" s="37">
        <f t="shared" ca="1" si="3"/>
        <v>308.26</v>
      </c>
      <c r="I9" s="37">
        <f t="shared" ca="1" si="3"/>
        <v>323.673</v>
      </c>
      <c r="J9" s="38">
        <f t="shared" ca="1" si="3"/>
        <v>339.08600000000001</v>
      </c>
      <c r="K9" s="31">
        <f t="shared" ca="1" si="1"/>
        <v>2402.0543979999998</v>
      </c>
      <c r="L9" s="31">
        <f t="shared" ca="1" si="2"/>
        <v>208.15515269608812</v>
      </c>
    </row>
    <row r="10" spans="1:12" ht="15.75" customHeight="1">
      <c r="A10" s="3" t="s">
        <v>16</v>
      </c>
      <c r="B10" s="3" t="s">
        <v>26</v>
      </c>
      <c r="C10" s="10">
        <f ca="1">IFERROR(__xludf.DUMMYFUNCTION("googlefinance(B10,""Price"")"),460)</f>
        <v>460</v>
      </c>
      <c r="D10" s="10" t="str">
        <f ca="1">IFERROR(__xludf.DUMMYFUNCTION("googlefinance(B10,""Currency"")"),"HKD")</f>
        <v>HKD</v>
      </c>
      <c r="E10" s="10">
        <f ca="1">IFERROR(__xludf.DUMMYFUNCTION("if(D10=""HKD"",1,googlefinance(""Currency:""&amp;D10&amp;""HKD"")*if(D10=""GBP"",1/100,1))"),1)</f>
        <v>1</v>
      </c>
      <c r="F10" s="36">
        <f t="shared" ref="F10:J10" ca="1" si="4">$C10*(1+F$7)</f>
        <v>391</v>
      </c>
      <c r="G10" s="37">
        <f t="shared" ca="1" si="4"/>
        <v>414</v>
      </c>
      <c r="H10" s="37">
        <f t="shared" ca="1" si="4"/>
        <v>460</v>
      </c>
      <c r="I10" s="37">
        <f t="shared" ca="1" si="4"/>
        <v>483</v>
      </c>
      <c r="J10" s="38">
        <f t="shared" ca="1" si="4"/>
        <v>506.00000000000006</v>
      </c>
      <c r="K10" s="31">
        <f t="shared" ca="1" si="1"/>
        <v>460</v>
      </c>
      <c r="L10" s="31">
        <f t="shared" ca="1" si="2"/>
        <v>1086.9565217391305</v>
      </c>
    </row>
    <row r="11" spans="1:12" ht="15.75" customHeight="1">
      <c r="A11" s="3" t="s">
        <v>16</v>
      </c>
      <c r="B11" s="3" t="s">
        <v>27</v>
      </c>
      <c r="C11" s="10">
        <f ca="1">IFERROR(__xludf.DUMMYFUNCTION("googlefinance(B11,""Price"")"),716.4)</f>
        <v>716.4</v>
      </c>
      <c r="D11" s="10" t="str">
        <f ca="1">IFERROR(__xludf.DUMMYFUNCTION("googlefinance(B11,""Currency"")"),"EUR")</f>
        <v>EUR</v>
      </c>
      <c r="E11" s="10">
        <f ca="1">IFERROR(__xludf.DUMMYFUNCTION("if(D11=""HKD"",1,googlefinance(""Currency:""&amp;D11&amp;""HKD"")*if(D11=""GBP"",1/100,1))"),8.6774)</f>
        <v>8.6774000000000004</v>
      </c>
      <c r="F11" s="36">
        <f t="shared" ref="F11:J11" ca="1" si="5">$C11*(1+F$7)</f>
        <v>608.93999999999994</v>
      </c>
      <c r="G11" s="37">
        <f t="shared" ca="1" si="5"/>
        <v>644.76</v>
      </c>
      <c r="H11" s="37">
        <f t="shared" ca="1" si="5"/>
        <v>716.4</v>
      </c>
      <c r="I11" s="37">
        <f t="shared" ca="1" si="5"/>
        <v>752.22</v>
      </c>
      <c r="J11" s="38">
        <f t="shared" ca="1" si="5"/>
        <v>788.04000000000008</v>
      </c>
      <c r="K11" s="31">
        <f t="shared" ca="1" si="1"/>
        <v>6216.4893600000005</v>
      </c>
      <c r="L11" s="31">
        <f t="shared" ca="1" si="2"/>
        <v>80.431248417676045</v>
      </c>
    </row>
    <row r="12" spans="1:12" ht="15.75" customHeight="1">
      <c r="A12" s="3" t="s">
        <v>16</v>
      </c>
      <c r="B12" s="10" t="s">
        <v>28</v>
      </c>
      <c r="C12" s="3">
        <v>2190</v>
      </c>
      <c r="D12" s="3" t="s">
        <v>29</v>
      </c>
      <c r="E12" s="10">
        <f ca="1">IFERROR(__xludf.DUMMYFUNCTION("if(D12=""HKD"",1,googlefinance(""Currency:""&amp;D12&amp;""HKD"")*if(D12=""GBP"",1/100,1))"),1.225011742)</f>
        <v>1.225011742</v>
      </c>
      <c r="F12" s="36">
        <f t="shared" ref="F12:J12" si="6">$C12*(1+F$7)</f>
        <v>1861.5</v>
      </c>
      <c r="G12" s="37">
        <f t="shared" si="6"/>
        <v>1971</v>
      </c>
      <c r="H12" s="37">
        <f t="shared" si="6"/>
        <v>2190</v>
      </c>
      <c r="I12" s="37">
        <f t="shared" si="6"/>
        <v>2299.5</v>
      </c>
      <c r="J12" s="38">
        <f t="shared" si="6"/>
        <v>2409</v>
      </c>
      <c r="K12" s="31">
        <f t="shared" ca="1" si="1"/>
        <v>2682.77571498</v>
      </c>
      <c r="L12" s="31">
        <f t="shared" ca="1" si="2"/>
        <v>186.37413377798057</v>
      </c>
    </row>
    <row r="13" spans="1:12" ht="15.75" customHeight="1">
      <c r="A13" s="3" t="s">
        <v>16</v>
      </c>
      <c r="B13" s="3" t="s">
        <v>30</v>
      </c>
      <c r="C13" s="3">
        <v>2103</v>
      </c>
      <c r="D13" s="3" t="s">
        <v>31</v>
      </c>
      <c r="E13" s="10">
        <f ca="1">IFERROR(__xludf.DUMMYFUNCTION("if(D13=""HKD"",1,googlefinance(""Currency:""&amp;D13&amp;""HKD"")*if(D13=""GBP"",1/100,1))"),0.06760921301)</f>
        <v>6.7609213010000002E-2</v>
      </c>
      <c r="F13" s="36">
        <f t="shared" ref="F13:J13" si="7">$C13*(1+F$7)</f>
        <v>1787.55</v>
      </c>
      <c r="G13" s="37">
        <f t="shared" si="7"/>
        <v>1892.7</v>
      </c>
      <c r="H13" s="37">
        <f t="shared" si="7"/>
        <v>2103</v>
      </c>
      <c r="I13" s="37">
        <f t="shared" si="7"/>
        <v>2208.15</v>
      </c>
      <c r="J13" s="38">
        <f t="shared" si="7"/>
        <v>2313.3000000000002</v>
      </c>
      <c r="K13" s="31">
        <f t="shared" ca="1" si="1"/>
        <v>142.18217496003001</v>
      </c>
      <c r="L13" s="31">
        <f t="shared" ca="1" si="2"/>
        <v>3516.6152166441334</v>
      </c>
    </row>
    <row r="14" spans="1:12" ht="15.75" customHeight="1">
      <c r="A14" s="3" t="s">
        <v>16</v>
      </c>
      <c r="B14" s="3" t="s">
        <v>32</v>
      </c>
      <c r="C14" s="3">
        <v>5284</v>
      </c>
      <c r="D14" s="3" t="s">
        <v>31</v>
      </c>
      <c r="E14" s="10">
        <f ca="1">IFERROR(__xludf.DUMMYFUNCTION("if(D14=""HKD"",1,googlefinance(""Currency:""&amp;D14&amp;""HKD"")*if(D14=""GBP"",1/100,1))"),0.06760921301)</f>
        <v>6.7609213010000002E-2</v>
      </c>
      <c r="F14" s="36">
        <f t="shared" ref="F14:J14" si="8">$C14*(1+F$7)</f>
        <v>4491.3999999999996</v>
      </c>
      <c r="G14" s="37">
        <f t="shared" si="8"/>
        <v>4755.6000000000004</v>
      </c>
      <c r="H14" s="37">
        <f t="shared" si="8"/>
        <v>5284</v>
      </c>
      <c r="I14" s="37">
        <f t="shared" si="8"/>
        <v>5548.2</v>
      </c>
      <c r="J14" s="38">
        <f t="shared" si="8"/>
        <v>5812.4000000000005</v>
      </c>
      <c r="K14" s="31">
        <f t="shared" ca="1" si="1"/>
        <v>357.24708154484</v>
      </c>
      <c r="L14" s="31">
        <f t="shared" ca="1" si="2"/>
        <v>1399.591559538723</v>
      </c>
    </row>
    <row r="15" spans="1:12" ht="15.75" customHeight="1">
      <c r="A15" s="3" t="s">
        <v>16</v>
      </c>
      <c r="B15" s="3" t="s">
        <v>33</v>
      </c>
      <c r="C15" s="10">
        <f ca="1">IFERROR(__xludf.DUMMYFUNCTION("googlefinance(B15,""Price"")"),1900.2)</f>
        <v>1900.2</v>
      </c>
      <c r="D15" s="3" t="s">
        <v>34</v>
      </c>
      <c r="E15" s="10">
        <f ca="1">IFERROR(__xludf.DUMMYFUNCTION("if(D15=""HKD"",1,googlefinance(""Currency:""&amp;D15&amp;""HKD"")*if(D15=""GBP"",1/100,1))"),0.1044595997)</f>
        <v>0.1044595997</v>
      </c>
      <c r="F15" s="36">
        <f t="shared" ref="F15:J15" ca="1" si="9">$C15*(1+F$7)</f>
        <v>1615.17</v>
      </c>
      <c r="G15" s="37">
        <f t="shared" ca="1" si="9"/>
        <v>1710.18</v>
      </c>
      <c r="H15" s="37">
        <f t="shared" ca="1" si="9"/>
        <v>1900.2</v>
      </c>
      <c r="I15" s="37">
        <f t="shared" ca="1" si="9"/>
        <v>1995.21</v>
      </c>
      <c r="J15" s="38">
        <f t="shared" ca="1" si="9"/>
        <v>2090.2200000000003</v>
      </c>
      <c r="K15" s="31">
        <f t="shared" ca="1" si="1"/>
        <v>198.49413134994001</v>
      </c>
      <c r="L15" s="31">
        <f t="shared" ca="1" si="2"/>
        <v>2518.9661608610131</v>
      </c>
    </row>
    <row r="16" spans="1:12" ht="15.75" customHeight="1">
      <c r="A16" s="3" t="s">
        <v>16</v>
      </c>
      <c r="B16" s="3" t="s">
        <v>35</v>
      </c>
      <c r="C16" s="10">
        <f ca="1">IFERROR(__xludf.DUMMYFUNCTION("googlefinance(B16,""Price"")"),8769)</f>
        <v>8769</v>
      </c>
      <c r="D16" s="3" t="s">
        <v>34</v>
      </c>
      <c r="E16" s="10">
        <f ca="1">IFERROR(__xludf.DUMMYFUNCTION("if(D16=""HKD"",1,googlefinance(""Currency:""&amp;D16&amp;""HKD"")*if(D16=""GBP"",1/100,1))"),0.1044595997)</f>
        <v>0.1044595997</v>
      </c>
      <c r="F16" s="39">
        <f t="shared" ref="F16:J16" ca="1" si="10">$C16*(1+F$7)</f>
        <v>7453.65</v>
      </c>
      <c r="G16" s="40">
        <f t="shared" ca="1" si="10"/>
        <v>7892.1</v>
      </c>
      <c r="H16" s="40">
        <f t="shared" ca="1" si="10"/>
        <v>8769</v>
      </c>
      <c r="I16" s="40">
        <f t="shared" ca="1" si="10"/>
        <v>9207.4500000000007</v>
      </c>
      <c r="J16" s="41">
        <f t="shared" ca="1" si="10"/>
        <v>9645.9000000000015</v>
      </c>
      <c r="K16" s="31">
        <f t="shared" ca="1" si="1"/>
        <v>916.00622976930003</v>
      </c>
      <c r="L16" s="31">
        <f t="shared" ca="1" si="2"/>
        <v>545.8478160415209</v>
      </c>
    </row>
    <row r="17" spans="1:11" ht="15.75" customHeight="1">
      <c r="B17" s="42" t="s">
        <v>36</v>
      </c>
      <c r="D17" s="3" t="s">
        <v>37</v>
      </c>
    </row>
    <row r="18" spans="1:11" ht="15.75" customHeight="1">
      <c r="B18" s="42" t="s">
        <v>38</v>
      </c>
      <c r="D18" s="3" t="s">
        <v>39</v>
      </c>
    </row>
    <row r="19" spans="1:11" ht="15.75" customHeight="1">
      <c r="B19" s="42" t="s">
        <v>40</v>
      </c>
      <c r="D19" s="3" t="s">
        <v>29</v>
      </c>
    </row>
    <row r="20" spans="1:11" ht="15.75" customHeight="1">
      <c r="B20" s="3" t="s">
        <v>0</v>
      </c>
      <c r="D20" s="3" t="s">
        <v>41</v>
      </c>
    </row>
    <row r="21" spans="1:11" ht="15.75" customHeight="1">
      <c r="B21" s="3" t="s">
        <v>42</v>
      </c>
      <c r="D21" s="3" t="s">
        <v>41</v>
      </c>
    </row>
    <row r="23" spans="1:11" ht="15.75" customHeight="1">
      <c r="A23" s="3" t="s">
        <v>21</v>
      </c>
      <c r="B23" s="3" t="s">
        <v>43</v>
      </c>
      <c r="C23" s="3">
        <v>4</v>
      </c>
      <c r="D23" s="3" t="s">
        <v>41</v>
      </c>
      <c r="E23" s="10">
        <f ca="1">IFERROR(__xludf.DUMMYFUNCTION("googlefinance(""Currency:""&amp;D23&amp;""HKD"")"),7.7923)</f>
        <v>7.7923</v>
      </c>
      <c r="F23" s="33">
        <f t="shared" ref="F23:J23" si="11">$C23*(1+F$7)</f>
        <v>3.4</v>
      </c>
      <c r="G23" s="34">
        <f t="shared" si="11"/>
        <v>3.6</v>
      </c>
      <c r="H23" s="34">
        <f t="shared" si="11"/>
        <v>4</v>
      </c>
      <c r="I23" s="34">
        <f t="shared" si="11"/>
        <v>4.2</v>
      </c>
      <c r="J23" s="35">
        <f t="shared" si="11"/>
        <v>4.4000000000000004</v>
      </c>
      <c r="K23" s="31">
        <f t="shared" ref="K23:K26" ca="1" si="12">RIGHT(B23,8)/1000*E23*100</f>
        <v>3720823.25</v>
      </c>
    </row>
    <row r="24" spans="1:11" ht="15.75" customHeight="1">
      <c r="A24" s="3" t="s">
        <v>21</v>
      </c>
      <c r="B24" s="3" t="s">
        <v>44</v>
      </c>
      <c r="C24" s="3">
        <v>3</v>
      </c>
      <c r="D24" s="3" t="s">
        <v>41</v>
      </c>
      <c r="E24" s="10">
        <f ca="1">IFERROR(__xludf.DUMMYFUNCTION("googlefinance(""Currency:""&amp;D24&amp;""HKD"")"),7.7923)</f>
        <v>7.7923</v>
      </c>
      <c r="F24" s="36">
        <f t="shared" ref="F24:J24" si="13">$C24*(1+F$7)</f>
        <v>2.5499999999999998</v>
      </c>
      <c r="G24" s="37">
        <f t="shared" si="13"/>
        <v>2.7</v>
      </c>
      <c r="H24" s="37">
        <f t="shared" si="13"/>
        <v>3</v>
      </c>
      <c r="I24" s="37">
        <f t="shared" si="13"/>
        <v>3.1500000000000004</v>
      </c>
      <c r="J24" s="38">
        <f t="shared" si="13"/>
        <v>3.3000000000000003</v>
      </c>
      <c r="K24" s="31">
        <f t="shared" ca="1" si="12"/>
        <v>3759784.7500000005</v>
      </c>
    </row>
    <row r="25" spans="1:11" ht="15.75" customHeight="1">
      <c r="A25" s="3" t="s">
        <v>21</v>
      </c>
      <c r="B25" s="3" t="s">
        <v>45</v>
      </c>
      <c r="C25" s="3">
        <v>4.5</v>
      </c>
      <c r="D25" s="3" t="s">
        <v>41</v>
      </c>
      <c r="E25" s="10">
        <f ca="1">IFERROR(__xludf.DUMMYFUNCTION("googlefinance(""Currency:""&amp;D25&amp;""HKD"")"),7.7923)</f>
        <v>7.7923</v>
      </c>
      <c r="F25" s="36">
        <f t="shared" ref="F25:J25" si="14">$C25*(1+F$7)</f>
        <v>3.8249999999999997</v>
      </c>
      <c r="G25" s="37">
        <f t="shared" si="14"/>
        <v>4.05</v>
      </c>
      <c r="H25" s="37">
        <f t="shared" si="14"/>
        <v>4.5</v>
      </c>
      <c r="I25" s="37">
        <f t="shared" si="14"/>
        <v>4.7250000000000005</v>
      </c>
      <c r="J25" s="38">
        <f t="shared" si="14"/>
        <v>4.95</v>
      </c>
      <c r="K25" s="31">
        <f t="shared" ca="1" si="12"/>
        <v>3623419.5</v>
      </c>
    </row>
    <row r="26" spans="1:11" ht="15.75" customHeight="1">
      <c r="A26" s="3" t="s">
        <v>21</v>
      </c>
      <c r="B26" s="3" t="s">
        <v>46</v>
      </c>
      <c r="C26" s="3">
        <v>6</v>
      </c>
      <c r="D26" s="3" t="s">
        <v>41</v>
      </c>
      <c r="E26" s="10">
        <f ca="1">IFERROR(__xludf.DUMMYFUNCTION("googlefinance(""Currency:""&amp;D26&amp;""HKD"")"),7.7923)</f>
        <v>7.7923</v>
      </c>
      <c r="F26" s="39">
        <f t="shared" ref="F26:J26" si="15">$C26*(1+F$7)</f>
        <v>5.0999999999999996</v>
      </c>
      <c r="G26" s="40">
        <f t="shared" si="15"/>
        <v>5.4</v>
      </c>
      <c r="H26" s="40">
        <f t="shared" si="15"/>
        <v>6</v>
      </c>
      <c r="I26" s="40">
        <f t="shared" si="15"/>
        <v>6.3000000000000007</v>
      </c>
      <c r="J26" s="41">
        <f t="shared" si="15"/>
        <v>6.6000000000000005</v>
      </c>
      <c r="K26" s="31">
        <f t="shared" ca="1" si="12"/>
        <v>3642900.25</v>
      </c>
    </row>
    <row r="28" spans="1:11" ht="15.75" customHeight="1">
      <c r="A28" s="3" t="s">
        <v>21</v>
      </c>
      <c r="B28" s="3" t="s">
        <v>47</v>
      </c>
      <c r="C28" s="3">
        <v>2</v>
      </c>
      <c r="D28" s="3" t="s">
        <v>41</v>
      </c>
      <c r="E28" s="10">
        <f ca="1">IFERROR(__xludf.DUMMYFUNCTION("googlefinance(""Currency:""&amp;D28&amp;""HKD"")"),7.7923)</f>
        <v>7.7923</v>
      </c>
      <c r="F28" s="33">
        <f t="shared" ref="F28:J28" si="16">$C28*(1+F$7)</f>
        <v>1.7</v>
      </c>
      <c r="G28" s="34">
        <f t="shared" si="16"/>
        <v>1.8</v>
      </c>
      <c r="H28" s="34">
        <f t="shared" si="16"/>
        <v>2</v>
      </c>
      <c r="I28" s="34">
        <f t="shared" si="16"/>
        <v>2.1</v>
      </c>
      <c r="J28" s="35">
        <f t="shared" si="16"/>
        <v>2.2000000000000002</v>
      </c>
      <c r="K28" s="31">
        <f t="shared" ref="K28:K31" ca="1" si="17">RIGHT(B28,8)/1000*E28*100</f>
        <v>13636525</v>
      </c>
    </row>
    <row r="29" spans="1:11" ht="15.75" customHeight="1">
      <c r="A29" s="3" t="s">
        <v>21</v>
      </c>
      <c r="B29" s="3" t="s">
        <v>48</v>
      </c>
      <c r="C29" s="3">
        <v>3.5</v>
      </c>
      <c r="D29" s="3" t="s">
        <v>41</v>
      </c>
      <c r="E29" s="10">
        <f ca="1">IFERROR(__xludf.DUMMYFUNCTION("googlefinance(""Currency:""&amp;D29&amp;""HKD"")"),7.7923)</f>
        <v>7.7923</v>
      </c>
      <c r="F29" s="36">
        <f t="shared" ref="F29:J29" si="18">$C29*(1+F$7)</f>
        <v>2.9750000000000001</v>
      </c>
      <c r="G29" s="37">
        <f t="shared" si="18"/>
        <v>3.15</v>
      </c>
      <c r="H29" s="37">
        <f t="shared" si="18"/>
        <v>3.5</v>
      </c>
      <c r="I29" s="37">
        <f t="shared" si="18"/>
        <v>3.6750000000000003</v>
      </c>
      <c r="J29" s="38">
        <f t="shared" si="18"/>
        <v>3.8500000000000005</v>
      </c>
      <c r="K29" s="31">
        <f t="shared" ca="1" si="17"/>
        <v>13694967.249999998</v>
      </c>
    </row>
    <row r="30" spans="1:11" ht="15.75" customHeight="1">
      <c r="A30" s="3" t="s">
        <v>21</v>
      </c>
      <c r="B30" s="3" t="s">
        <v>49</v>
      </c>
      <c r="C30" s="3">
        <v>1</v>
      </c>
      <c r="D30" s="3" t="s">
        <v>41</v>
      </c>
      <c r="E30" s="10">
        <f ca="1">IFERROR(__xludf.DUMMYFUNCTION("googlefinance(""Currency:""&amp;D30&amp;""HKD"")"),7.7923)</f>
        <v>7.7923</v>
      </c>
      <c r="F30" s="36">
        <f t="shared" ref="F30:J30" si="19">$C30*(1+F$7)</f>
        <v>0.85</v>
      </c>
      <c r="G30" s="37">
        <f t="shared" si="19"/>
        <v>0.9</v>
      </c>
      <c r="H30" s="37">
        <f t="shared" si="19"/>
        <v>1</v>
      </c>
      <c r="I30" s="37">
        <f t="shared" si="19"/>
        <v>1.05</v>
      </c>
      <c r="J30" s="38">
        <f t="shared" si="19"/>
        <v>1.1000000000000001</v>
      </c>
      <c r="K30" s="31">
        <f t="shared" ca="1" si="17"/>
        <v>12078065</v>
      </c>
    </row>
    <row r="31" spans="1:11" ht="15.75" customHeight="1">
      <c r="A31" s="3" t="s">
        <v>21</v>
      </c>
      <c r="B31" s="3" t="s">
        <v>50</v>
      </c>
      <c r="C31" s="3">
        <v>0.25</v>
      </c>
      <c r="D31" s="3" t="s">
        <v>41</v>
      </c>
      <c r="E31" s="10">
        <f ca="1">IFERROR(__xludf.DUMMYFUNCTION("googlefinance(""Currency:""&amp;D31&amp;""HKD"")"),7.7923)</f>
        <v>7.7923</v>
      </c>
      <c r="F31" s="39">
        <f t="shared" ref="F31:J31" si="20">$C31*(1+F$7)</f>
        <v>0.21249999999999999</v>
      </c>
      <c r="G31" s="40">
        <f t="shared" si="20"/>
        <v>0.22500000000000001</v>
      </c>
      <c r="H31" s="40">
        <f t="shared" si="20"/>
        <v>0.25</v>
      </c>
      <c r="I31" s="40">
        <f t="shared" si="20"/>
        <v>0.26250000000000001</v>
      </c>
      <c r="J31" s="41">
        <f t="shared" si="20"/>
        <v>0.27500000000000002</v>
      </c>
      <c r="K31" s="31">
        <f t="shared" ca="1" si="17"/>
        <v>11298835</v>
      </c>
    </row>
    <row r="33" spans="1:12" ht="15.75" customHeight="1">
      <c r="A33" s="3" t="s">
        <v>21</v>
      </c>
      <c r="B33" s="3" t="s">
        <v>5</v>
      </c>
      <c r="C33" s="3">
        <v>1</v>
      </c>
      <c r="D33" s="3" t="s">
        <v>41</v>
      </c>
      <c r="E33" s="10">
        <f ca="1">IFERROR(__xludf.DUMMYFUNCTION("googlefinance(""Currency:""&amp;D33&amp;""HKD"")"),7.7923)</f>
        <v>7.7923</v>
      </c>
      <c r="F33" s="33">
        <f t="shared" ref="F33:J33" si="21">$C33*(1+F$7)</f>
        <v>0.85</v>
      </c>
      <c r="G33" s="34">
        <f t="shared" si="21"/>
        <v>0.9</v>
      </c>
      <c r="H33" s="34">
        <f t="shared" si="21"/>
        <v>1</v>
      </c>
      <c r="I33" s="34">
        <f t="shared" si="21"/>
        <v>1.05</v>
      </c>
      <c r="J33" s="35">
        <f t="shared" si="21"/>
        <v>1.1000000000000001</v>
      </c>
      <c r="K33" s="31">
        <f t="shared" ref="K33:K36" ca="1" si="22">RIGHT(B33,8)/1000*E33*100</f>
        <v>31169.200000000001</v>
      </c>
      <c r="L33" s="31">
        <f t="shared" ref="L33:L36" ca="1" si="23">$K$3/K33</f>
        <v>16.04147684252403</v>
      </c>
    </row>
    <row r="34" spans="1:12" ht="15.75" customHeight="1">
      <c r="A34" s="3" t="s">
        <v>21</v>
      </c>
      <c r="B34" s="3" t="s">
        <v>4</v>
      </c>
      <c r="C34" s="3">
        <v>2</v>
      </c>
      <c r="D34" s="3" t="s">
        <v>41</v>
      </c>
      <c r="E34" s="10">
        <f ca="1">IFERROR(__xludf.DUMMYFUNCTION("googlefinance(""Currency:""&amp;D34&amp;""HKD"")"),7.7923)</f>
        <v>7.7923</v>
      </c>
      <c r="F34" s="36">
        <f t="shared" ref="F34:J34" si="24">$C34*(1+F$7)</f>
        <v>1.7</v>
      </c>
      <c r="G34" s="37">
        <f t="shared" si="24"/>
        <v>1.8</v>
      </c>
      <c r="H34" s="37">
        <f t="shared" si="24"/>
        <v>2</v>
      </c>
      <c r="I34" s="37">
        <f t="shared" si="24"/>
        <v>2.1</v>
      </c>
      <c r="J34" s="38">
        <f t="shared" si="24"/>
        <v>2.2000000000000002</v>
      </c>
      <c r="K34" s="31">
        <f t="shared" ca="1" si="22"/>
        <v>35065.35</v>
      </c>
      <c r="L34" s="31">
        <f t="shared" ca="1" si="23"/>
        <v>14.259090526688027</v>
      </c>
    </row>
    <row r="35" spans="1:12" ht="15.75" customHeight="1">
      <c r="A35" s="3" t="s">
        <v>21</v>
      </c>
      <c r="B35" s="3" t="s">
        <v>51</v>
      </c>
      <c r="C35" s="3">
        <v>3</v>
      </c>
      <c r="D35" s="3" t="s">
        <v>41</v>
      </c>
      <c r="E35" s="10">
        <f ca="1">IFERROR(__xludf.DUMMYFUNCTION("googlefinance(""Currency:""&amp;D35&amp;""HKD"")"),7.7923)</f>
        <v>7.7923</v>
      </c>
      <c r="F35" s="36">
        <f t="shared" ref="F35:J35" si="25">$C35*(1+F$7)</f>
        <v>2.5499999999999998</v>
      </c>
      <c r="G35" s="37">
        <f t="shared" si="25"/>
        <v>2.7</v>
      </c>
      <c r="H35" s="37">
        <f t="shared" si="25"/>
        <v>3</v>
      </c>
      <c r="I35" s="37">
        <f t="shared" si="25"/>
        <v>3.1500000000000004</v>
      </c>
      <c r="J35" s="38">
        <f t="shared" si="25"/>
        <v>3.3000000000000003</v>
      </c>
      <c r="K35" s="31">
        <f t="shared" ca="1" si="22"/>
        <v>38961.5</v>
      </c>
      <c r="L35" s="31">
        <f t="shared" ca="1" si="23"/>
        <v>12.833181474019224</v>
      </c>
    </row>
    <row r="36" spans="1:12" ht="15.75" customHeight="1">
      <c r="A36" s="3" t="s">
        <v>21</v>
      </c>
      <c r="B36" s="3" t="s">
        <v>52</v>
      </c>
      <c r="C36" s="3">
        <v>4</v>
      </c>
      <c r="D36" s="3" t="s">
        <v>41</v>
      </c>
      <c r="E36" s="10">
        <f ca="1">IFERROR(__xludf.DUMMYFUNCTION("googlefinance(""Currency:""&amp;D36&amp;""HKD"")"),7.7923)</f>
        <v>7.7923</v>
      </c>
      <c r="F36" s="39">
        <f t="shared" ref="F36:J36" si="26">$C36*(1+F$7)</f>
        <v>3.4</v>
      </c>
      <c r="G36" s="40">
        <f t="shared" si="26"/>
        <v>3.6</v>
      </c>
      <c r="H36" s="40">
        <f t="shared" si="26"/>
        <v>4</v>
      </c>
      <c r="I36" s="40">
        <f t="shared" si="26"/>
        <v>4.2</v>
      </c>
      <c r="J36" s="41">
        <f t="shared" si="26"/>
        <v>4.4000000000000004</v>
      </c>
      <c r="K36" s="31">
        <f t="shared" ca="1" si="22"/>
        <v>42857.65</v>
      </c>
      <c r="L36" s="31">
        <f t="shared" ca="1" si="23"/>
        <v>11.666528612744749</v>
      </c>
    </row>
    <row r="37" spans="1:12" ht="15.75" customHeight="1">
      <c r="A37" s="3"/>
      <c r="B37" s="43"/>
      <c r="C37" s="3"/>
      <c r="D37" s="3"/>
      <c r="F37" s="37"/>
      <c r="G37" s="37"/>
      <c r="H37" s="37"/>
      <c r="I37" s="37"/>
      <c r="J37" s="37"/>
    </row>
    <row r="38" spans="1:12" ht="15.75" customHeight="1">
      <c r="A38" s="3" t="s">
        <v>21</v>
      </c>
      <c r="B38" s="3" t="s">
        <v>53</v>
      </c>
      <c r="C38" s="3">
        <v>1.5</v>
      </c>
      <c r="D38" s="3" t="s">
        <v>41</v>
      </c>
      <c r="E38" s="10">
        <f ca="1">IFERROR(__xludf.DUMMYFUNCTION("googlefinance(""Currency:""&amp;D38&amp;""HKD"")"),7.7923)</f>
        <v>7.7923</v>
      </c>
      <c r="F38" s="33">
        <f t="shared" ref="F38:J38" si="27">$C38*(1+F$7)</f>
        <v>1.2749999999999999</v>
      </c>
      <c r="G38" s="34">
        <f t="shared" si="27"/>
        <v>1.35</v>
      </c>
      <c r="H38" s="34">
        <f t="shared" si="27"/>
        <v>1.5</v>
      </c>
      <c r="I38" s="34">
        <f t="shared" si="27"/>
        <v>1.5750000000000002</v>
      </c>
      <c r="J38" s="35">
        <f t="shared" si="27"/>
        <v>1.6500000000000001</v>
      </c>
      <c r="K38" s="31">
        <f t="shared" ref="K38:K41" ca="1" si="28">RIGHT(B38,8)/1000*E38*100</f>
        <v>15584.6</v>
      </c>
      <c r="L38" s="31">
        <f t="shared" ref="L38:L41" ca="1" si="29">$K$3/K38</f>
        <v>32.082953685048061</v>
      </c>
    </row>
    <row r="39" spans="1:12" ht="15.75" customHeight="1">
      <c r="A39" s="3" t="s">
        <v>21</v>
      </c>
      <c r="B39" s="3" t="s">
        <v>54</v>
      </c>
      <c r="C39" s="3">
        <v>2.5</v>
      </c>
      <c r="D39" s="3" t="s">
        <v>41</v>
      </c>
      <c r="E39" s="10">
        <f ca="1">IFERROR(__xludf.DUMMYFUNCTION("googlefinance(""Currency:""&amp;D39&amp;""HKD"")"),7.7923)</f>
        <v>7.7923</v>
      </c>
      <c r="F39" s="36">
        <f t="shared" ref="F39:J39" si="30">$C39*(1+F$7)</f>
        <v>2.125</v>
      </c>
      <c r="G39" s="37">
        <f t="shared" si="30"/>
        <v>2.25</v>
      </c>
      <c r="H39" s="37">
        <f t="shared" si="30"/>
        <v>2.5</v>
      </c>
      <c r="I39" s="37">
        <f t="shared" si="30"/>
        <v>2.625</v>
      </c>
      <c r="J39" s="38">
        <f t="shared" si="30"/>
        <v>2.75</v>
      </c>
      <c r="K39" s="31">
        <f t="shared" ca="1" si="28"/>
        <v>17532.674999999999</v>
      </c>
      <c r="L39" s="31">
        <f t="shared" ca="1" si="29"/>
        <v>28.518181053376054</v>
      </c>
    </row>
    <row r="40" spans="1:12" ht="15.75" customHeight="1">
      <c r="A40" s="3" t="s">
        <v>21</v>
      </c>
      <c r="B40" s="3" t="s">
        <v>55</v>
      </c>
      <c r="C40" s="3">
        <v>3.5</v>
      </c>
      <c r="D40" s="3" t="s">
        <v>41</v>
      </c>
      <c r="E40" s="10">
        <f ca="1">IFERROR(__xludf.DUMMYFUNCTION("googlefinance(""Currency:""&amp;D40&amp;""HKD"")"),7.7923)</f>
        <v>7.7923</v>
      </c>
      <c r="F40" s="36">
        <f t="shared" ref="F40:J40" si="31">$C40*(1+F$7)</f>
        <v>2.9750000000000001</v>
      </c>
      <c r="G40" s="37">
        <f t="shared" si="31"/>
        <v>3.15</v>
      </c>
      <c r="H40" s="37">
        <f t="shared" si="31"/>
        <v>3.5</v>
      </c>
      <c r="I40" s="37">
        <f t="shared" si="31"/>
        <v>3.6750000000000003</v>
      </c>
      <c r="J40" s="38">
        <f t="shared" si="31"/>
        <v>3.8500000000000005</v>
      </c>
      <c r="K40" s="31">
        <f t="shared" ca="1" si="28"/>
        <v>21428.825000000001</v>
      </c>
      <c r="L40" s="31">
        <f t="shared" ca="1" si="29"/>
        <v>23.333057225489497</v>
      </c>
    </row>
    <row r="41" spans="1:12" ht="15.75" customHeight="1">
      <c r="A41" s="3" t="s">
        <v>21</v>
      </c>
      <c r="B41" s="3" t="s">
        <v>56</v>
      </c>
      <c r="C41" s="3">
        <v>4.5</v>
      </c>
      <c r="D41" s="3" t="s">
        <v>41</v>
      </c>
      <c r="E41" s="10">
        <f ca="1">IFERROR(__xludf.DUMMYFUNCTION("googlefinance(""Currency:""&amp;D41&amp;""HKD"")"),7.7923)</f>
        <v>7.7923</v>
      </c>
      <c r="F41" s="39">
        <f t="shared" ref="F41:J41" si="32">$C41*(1+F$7)</f>
        <v>3.8249999999999997</v>
      </c>
      <c r="G41" s="40">
        <f t="shared" si="32"/>
        <v>4.05</v>
      </c>
      <c r="H41" s="40">
        <f t="shared" si="32"/>
        <v>4.5</v>
      </c>
      <c r="I41" s="40">
        <f t="shared" si="32"/>
        <v>4.7250000000000005</v>
      </c>
      <c r="J41" s="41">
        <f t="shared" si="32"/>
        <v>4.95</v>
      </c>
      <c r="K41" s="31">
        <f t="shared" ca="1" si="28"/>
        <v>25324.975000000002</v>
      </c>
      <c r="L41" s="31">
        <f t="shared" ca="1" si="29"/>
        <v>19.743356113875727</v>
      </c>
    </row>
    <row r="42" spans="1:12" ht="15.75" customHeight="1">
      <c r="A42" s="3"/>
      <c r="B42" s="43"/>
      <c r="C42" s="3"/>
      <c r="D42" s="3"/>
      <c r="F42" s="37"/>
      <c r="G42" s="37"/>
      <c r="H42" s="37"/>
      <c r="I42" s="37"/>
      <c r="J42" s="37"/>
    </row>
    <row r="43" spans="1:12" ht="15.75" customHeight="1">
      <c r="A43" s="3"/>
      <c r="B43" s="43"/>
      <c r="C43" s="3"/>
      <c r="D43" s="3"/>
      <c r="F43" s="37"/>
      <c r="G43" s="37"/>
      <c r="H43" s="37"/>
      <c r="I43" s="37"/>
      <c r="J43" s="37"/>
    </row>
    <row r="44" spans="1:12" ht="15.75" customHeight="1">
      <c r="A44" s="3" t="s">
        <v>18</v>
      </c>
      <c r="B44" s="43" t="s">
        <v>7</v>
      </c>
      <c r="C44" s="3">
        <v>19</v>
      </c>
      <c r="D44" s="3" t="s">
        <v>41</v>
      </c>
      <c r="E44" s="10">
        <f ca="1">IFERROR(__xludf.DUMMYFUNCTION("googlefinance(""Currency:""&amp;D44&amp;""HKD"")"),7.7923)</f>
        <v>7.7923</v>
      </c>
      <c r="F44" s="33">
        <f t="shared" ref="F44:J44" si="33">$C44*(1+F$7)</f>
        <v>16.149999999999999</v>
      </c>
      <c r="G44" s="34">
        <f t="shared" si="33"/>
        <v>17.100000000000001</v>
      </c>
      <c r="H44" s="34">
        <f t="shared" si="33"/>
        <v>19</v>
      </c>
      <c r="I44" s="34">
        <f t="shared" si="33"/>
        <v>19.95</v>
      </c>
      <c r="J44" s="35">
        <f t="shared" si="33"/>
        <v>20.900000000000002</v>
      </c>
      <c r="K44" s="31">
        <f t="shared" ref="K44:K47" ca="1" si="34">C44/100*1000*E44</f>
        <v>1480.537</v>
      </c>
      <c r="L44" s="31">
        <f t="shared" ref="L44:L47" ca="1" si="35">$K$3/K44</f>
        <v>337.71530194787431</v>
      </c>
    </row>
    <row r="45" spans="1:12" ht="15.75" customHeight="1">
      <c r="A45" s="3" t="s">
        <v>18</v>
      </c>
      <c r="B45" s="43" t="s">
        <v>57</v>
      </c>
      <c r="C45" s="3">
        <v>101</v>
      </c>
      <c r="D45" s="3" t="s">
        <v>41</v>
      </c>
      <c r="E45" s="10">
        <f ca="1">IFERROR(__xludf.DUMMYFUNCTION("googlefinance(""Currency:""&amp;D45&amp;""HKD"")"),7.7923)</f>
        <v>7.7923</v>
      </c>
      <c r="F45" s="36">
        <f t="shared" ref="F45:J45" si="36">$C45*(1+F$7)</f>
        <v>85.85</v>
      </c>
      <c r="G45" s="37">
        <f t="shared" si="36"/>
        <v>90.9</v>
      </c>
      <c r="H45" s="37">
        <f t="shared" si="36"/>
        <v>101</v>
      </c>
      <c r="I45" s="37">
        <f t="shared" si="36"/>
        <v>106.05000000000001</v>
      </c>
      <c r="J45" s="38">
        <f t="shared" si="36"/>
        <v>111.10000000000001</v>
      </c>
      <c r="K45" s="31">
        <f t="shared" ca="1" si="34"/>
        <v>7870.223</v>
      </c>
      <c r="L45" s="31">
        <f t="shared" ca="1" si="35"/>
        <v>63.530601356530816</v>
      </c>
    </row>
    <row r="46" spans="1:12" ht="15.75" customHeight="1">
      <c r="A46" s="3" t="s">
        <v>18</v>
      </c>
      <c r="B46" s="43" t="s">
        <v>58</v>
      </c>
      <c r="C46" s="3">
        <v>102</v>
      </c>
      <c r="D46" s="3" t="s">
        <v>59</v>
      </c>
      <c r="E46" s="10">
        <f ca="1">IFERROR(__xludf.DUMMYFUNCTION("googlefinance(""Currency:""&amp;D46&amp;""HKD"")"),5.44448001)</f>
        <v>5.4444800100000004</v>
      </c>
      <c r="F46" s="36">
        <f t="shared" ref="F46:J46" si="37">$C46*(1+F$7)</f>
        <v>86.7</v>
      </c>
      <c r="G46" s="37">
        <f t="shared" si="37"/>
        <v>91.8</v>
      </c>
      <c r="H46" s="37">
        <f t="shared" si="37"/>
        <v>102</v>
      </c>
      <c r="I46" s="37">
        <f t="shared" si="37"/>
        <v>107.10000000000001</v>
      </c>
      <c r="J46" s="38">
        <f t="shared" si="37"/>
        <v>112.2</v>
      </c>
      <c r="K46" s="31">
        <f t="shared" ca="1" si="34"/>
        <v>5553.3696102000004</v>
      </c>
      <c r="L46" s="31">
        <f t="shared" ca="1" si="35"/>
        <v>90.035426253933935</v>
      </c>
    </row>
    <row r="47" spans="1:12" ht="15.75" customHeight="1">
      <c r="A47" s="3" t="s">
        <v>18</v>
      </c>
      <c r="B47" s="43" t="s">
        <v>60</v>
      </c>
      <c r="C47" s="3">
        <v>98</v>
      </c>
      <c r="D47" s="3" t="s">
        <v>29</v>
      </c>
      <c r="E47" s="10">
        <f ca="1">IFERROR(__xludf.DUMMYFUNCTION("googlefinance(""Currency:""&amp;D47&amp;""HKD"")"),1.225011742)</f>
        <v>1.225011742</v>
      </c>
      <c r="F47" s="39">
        <f t="shared" ref="F47:J47" si="38">$C47*(1+F$7)</f>
        <v>83.3</v>
      </c>
      <c r="G47" s="40">
        <f t="shared" si="38"/>
        <v>88.2</v>
      </c>
      <c r="H47" s="40">
        <f t="shared" si="38"/>
        <v>98</v>
      </c>
      <c r="I47" s="40">
        <f t="shared" si="38"/>
        <v>102.9</v>
      </c>
      <c r="J47" s="41">
        <f t="shared" si="38"/>
        <v>107.80000000000001</v>
      </c>
      <c r="K47" s="31">
        <f t="shared" ca="1" si="34"/>
        <v>1200.5115071600001</v>
      </c>
      <c r="L47" s="31">
        <f t="shared" ca="1" si="35"/>
        <v>416.48913568752801</v>
      </c>
    </row>
    <row r="49" spans="1:5" ht="15.75" customHeight="1">
      <c r="A49" s="3" t="s">
        <v>61</v>
      </c>
      <c r="B49" s="3" t="s">
        <v>62</v>
      </c>
      <c r="C49" s="3">
        <v>100.002</v>
      </c>
      <c r="D49" s="3" t="s">
        <v>39</v>
      </c>
      <c r="E49" s="3">
        <v>1</v>
      </c>
    </row>
    <row r="50" spans="1:5" ht="15.75" customHeight="1">
      <c r="A50" s="3" t="s">
        <v>61</v>
      </c>
      <c r="B50" s="3" t="s">
        <v>63</v>
      </c>
      <c r="C50" s="3">
        <v>100.015</v>
      </c>
      <c r="D50" s="3" t="s">
        <v>39</v>
      </c>
      <c r="E50" s="3">
        <v>1</v>
      </c>
    </row>
    <row r="52" spans="1:5" ht="15.75" customHeight="1">
      <c r="B52" s="3" t="s">
        <v>64</v>
      </c>
      <c r="D52" s="3" t="s">
        <v>39</v>
      </c>
    </row>
  </sheetData>
  <hyperlinks>
    <hyperlink ref="B17" r:id="rId1" xr:uid="{00000000-0004-0000-0100-000000000000}"/>
    <hyperlink ref="B18" r:id="rId2" xr:uid="{00000000-0004-0000-0100-000001000000}"/>
    <hyperlink ref="B19" r:id="rId3" xr:uid="{00000000-0004-0000-0100-000002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  <outlinePr summaryBelow="0" summaryRight="0"/>
  </sheetPr>
  <dimension ref="A1:Q10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13.5" customWidth="1"/>
    <col min="2" max="2" width="14.5" customWidth="1"/>
    <col min="3" max="3" width="21.33203125" customWidth="1"/>
    <col min="4" max="4" width="14" customWidth="1"/>
    <col min="5" max="5" width="14.1640625" customWidth="1"/>
    <col min="6" max="6" width="12.33203125" customWidth="1"/>
    <col min="7" max="8" width="13.6640625" customWidth="1"/>
    <col min="9" max="9" width="13.83203125" customWidth="1"/>
    <col min="10" max="10" width="11.5" customWidth="1"/>
    <col min="11" max="11" width="17.1640625" customWidth="1"/>
    <col min="12" max="12" width="10.1640625" customWidth="1"/>
    <col min="13" max="13" width="8.5" customWidth="1"/>
    <col min="14" max="15" width="12.1640625" customWidth="1"/>
    <col min="16" max="17" width="11.6640625" customWidth="1"/>
  </cols>
  <sheetData>
    <row r="1" spans="1:17" ht="15.75" customHeight="1">
      <c r="A1" s="44" t="s">
        <v>65</v>
      </c>
      <c r="B1" s="44" t="s">
        <v>66</v>
      </c>
      <c r="C1" s="44" t="s">
        <v>67</v>
      </c>
      <c r="D1" s="44" t="s">
        <v>68</v>
      </c>
      <c r="E1" s="44" t="s">
        <v>69</v>
      </c>
      <c r="F1" s="45" t="s">
        <v>70</v>
      </c>
      <c r="G1" s="45" t="s">
        <v>71</v>
      </c>
      <c r="H1" s="44" t="s">
        <v>72</v>
      </c>
      <c r="I1" s="46" t="s">
        <v>73</v>
      </c>
      <c r="J1" s="45" t="s">
        <v>74</v>
      </c>
      <c r="K1" s="45" t="s">
        <v>75</v>
      </c>
      <c r="L1" s="47" t="s">
        <v>8</v>
      </c>
      <c r="M1" s="48" t="s">
        <v>76</v>
      </c>
      <c r="N1" s="48" t="s">
        <v>77</v>
      </c>
      <c r="O1" s="48" t="s">
        <v>78</v>
      </c>
      <c r="P1" s="44"/>
      <c r="Q1" s="44"/>
    </row>
    <row r="2" spans="1:17" ht="15.75" customHeight="1">
      <c r="A2" s="49">
        <v>44562.457569444443</v>
      </c>
      <c r="B2" s="3" t="s">
        <v>17</v>
      </c>
      <c r="C2" s="3" t="s">
        <v>42</v>
      </c>
      <c r="D2" s="3" t="s">
        <v>16</v>
      </c>
      <c r="E2" s="3">
        <f>'1TradeRecord'!EG1</f>
        <v>2</v>
      </c>
      <c r="F2" s="43"/>
      <c r="G2" s="43"/>
      <c r="H2" s="43"/>
      <c r="I2" s="3">
        <v>3360</v>
      </c>
      <c r="J2" s="43" t="s">
        <v>79</v>
      </c>
      <c r="K2" s="3" t="s">
        <v>80</v>
      </c>
      <c r="L2" s="50">
        <f t="shared" ref="L2:L105" si="0">IF(A2="","",DATE(YEAR(A2),MONTH(A2),DAY(A2))*1)</f>
        <v>44562</v>
      </c>
      <c r="M2" s="51">
        <f ca="1">IF($D2="Stock",OFFSET(HistPrices!$A$8,MATCH($L2,HistPrices!$A:$A,0)-ROW(HistPrices!$A$8)+1,MATCH($C2,HistPrices!$8:$8,0)-1,1,1),IF($D2="Bond",OFFSET(HistPrices!$A$8,MATCH($L2,HistPrices!$A:$A,0)-ROW(HistPrices!$A$8)+5,MATCH($C2,HistPrices!$8:$8,0)-1,1,1),""))</f>
        <v>462</v>
      </c>
      <c r="N2" s="51">
        <f ca="1">IF($D2="Stock",OFFSET(HistPrices!$A$8,MATCH($L2,HistPrices!$A:$A,0)-ROW(HistPrices!$A$8)+2,MATCH($C2,HistPrices!$8:$8,0)-1,1,1),IF($D2="Bond",OFFSET(HistPrices!$A$8,MATCH($L2,HistPrices!$A:$A,0)-ROW(HistPrices!$A$8)+6,MATCH($C2,HistPrices!$8:$8,0)-1,1,1),""))</f>
        <v>455.2</v>
      </c>
      <c r="O2" s="51">
        <f ca="1">IF(OR($D2="Stock",$D2="Option"),OFFSET(HistPrices!$A$8,MATCH($L2,HistPrices!$A:$A,0)-ROW(HistPrices!$A$8)+3,MATCH($C2,HistPrices!$8:$8,0)-1,1,1),"")</f>
        <v>456.8</v>
      </c>
    </row>
    <row r="3" spans="1:17" ht="15.75" customHeight="1">
      <c r="A3" s="49">
        <v>44563.458379629628</v>
      </c>
      <c r="B3" s="3" t="s">
        <v>17</v>
      </c>
      <c r="C3" s="52" t="s">
        <v>38</v>
      </c>
      <c r="D3" s="3" t="s">
        <v>16</v>
      </c>
      <c r="E3" s="43">
        <v>10</v>
      </c>
      <c r="F3" s="3"/>
      <c r="G3" s="43"/>
      <c r="H3" s="43"/>
      <c r="I3" s="3">
        <v>460</v>
      </c>
      <c r="J3" s="43" t="s">
        <v>79</v>
      </c>
      <c r="K3" s="3" t="s">
        <v>80</v>
      </c>
      <c r="L3" s="50">
        <f t="shared" si="0"/>
        <v>44563</v>
      </c>
      <c r="M3" s="51">
        <f ca="1">IF($D3="Stock",OFFSET(HistPrices!$A$8,MATCH($L3,HistPrices!$A:$A,0)-ROW(HistPrices!$A$8)+1,MATCH($C3,HistPrices!$8:$8,0)-1,1,1),IF($D3="Bond",OFFSET(HistPrices!$A$8,MATCH($L3,HistPrices!$A:$A,0)-ROW(HistPrices!$A$8)+5,MATCH($C3,HistPrices!$8:$8,0)-1,1,1),""))</f>
        <v>2072.98</v>
      </c>
      <c r="N3" s="51">
        <f ca="1">IF($D3="Stock",OFFSET(HistPrices!$A$8,MATCH($L3,HistPrices!$A:$A,0)-ROW(HistPrices!$A$8)+2,MATCH($C3,HistPrices!$8:$8,0)-1,1,1),IF($D3="Bond",OFFSET(HistPrices!$A$8,MATCH($L3,HistPrices!$A:$A,0)-ROW(HistPrices!$A$8)+6,MATCH($C3,HistPrices!$8:$8,0)-1,1,1),""))</f>
        <v>2028</v>
      </c>
      <c r="O3" s="51">
        <f ca="1">IF(OR($D3="Stock",$D3="Option"),OFFSET(HistPrices!$A$8,MATCH($L3,HistPrices!$A:$A,0)-ROW(HistPrices!$A$8)+3,MATCH($C3,HistPrices!$8:$8,0)-1,1,1),"")</f>
        <v>2050</v>
      </c>
    </row>
    <row r="4" spans="1:17" ht="15.75" customHeight="1">
      <c r="A4" s="49">
        <v>44563.459814814814</v>
      </c>
      <c r="B4" s="3" t="s">
        <v>19</v>
      </c>
      <c r="C4" s="52" t="s">
        <v>40</v>
      </c>
      <c r="D4" s="52" t="s">
        <v>16</v>
      </c>
      <c r="E4" s="3">
        <v>15</v>
      </c>
      <c r="I4" s="3">
        <v>2050</v>
      </c>
      <c r="J4" s="43" t="s">
        <v>79</v>
      </c>
      <c r="K4" s="3" t="s">
        <v>80</v>
      </c>
      <c r="L4" s="50">
        <f t="shared" si="0"/>
        <v>44563</v>
      </c>
      <c r="M4" s="51">
        <f ca="1">IF($D4="Stock",OFFSET(HistPrices!$A$8,MATCH($L4,HistPrices!$A:$A,0)-ROW(HistPrices!$A$8)+1,MATCH($C4,HistPrices!$8:$8,0)-1,1,1),IF($D4="Bond",OFFSET(HistPrices!$A$8,MATCH($L4,HistPrices!$A:$A,0)-ROW(HistPrices!$A$8)+5,MATCH($C4,HistPrices!$8:$8,0)-1,1,1),""))</f>
        <v>731</v>
      </c>
      <c r="N4" s="51">
        <f ca="1">IF($D4="Stock",OFFSET(HistPrices!$A$8,MATCH($L4,HistPrices!$A:$A,0)-ROW(HistPrices!$A$8)+2,MATCH($C4,HistPrices!$8:$8,0)-1,1,1),IF($D4="Bond",OFFSET(HistPrices!$A$8,MATCH($L4,HistPrices!$A:$A,0)-ROW(HistPrices!$A$8)+6,MATCH($C4,HistPrices!$8:$8,0)-1,1,1),""))</f>
        <v>724.1</v>
      </c>
      <c r="O4" s="51">
        <f ca="1">IF(OR($D4="Stock",$D4="Option"),OFFSET(HistPrices!$A$8,MATCH($L4,HistPrices!$A:$A,0)-ROW(HistPrices!$A$8)+3,MATCH($C4,HistPrices!$8:$8,0)-1,1,1),"")</f>
        <v>727</v>
      </c>
    </row>
    <row r="5" spans="1:17" ht="15.75" customHeight="1">
      <c r="A5" s="49">
        <v>44563.534930555557</v>
      </c>
      <c r="B5" s="3" t="s">
        <v>17</v>
      </c>
      <c r="C5" s="52" t="s">
        <v>36</v>
      </c>
      <c r="D5" s="52" t="s">
        <v>16</v>
      </c>
      <c r="E5" s="43">
        <v>10</v>
      </c>
      <c r="G5" s="52"/>
      <c r="I5" s="3">
        <v>730</v>
      </c>
      <c r="J5" s="3" t="s">
        <v>79</v>
      </c>
      <c r="K5" s="3" t="s">
        <v>80</v>
      </c>
      <c r="L5" s="50">
        <f t="shared" si="0"/>
        <v>44563</v>
      </c>
      <c r="M5" s="51">
        <f ca="1">IF($D5="Stock",OFFSET(HistPrices!$A$8,MATCH($L5,HistPrices!$A:$A,0)-ROW(HistPrices!$A$8)+1,MATCH($C5,HistPrices!$8:$8,0)-1,1,1),IF($D5="Bond",OFFSET(HistPrices!$A$8,MATCH($L5,HistPrices!$A:$A,0)-ROW(HistPrices!$A$8)+5,MATCH($C5,HistPrices!$8:$8,0)-1,1,1),""))</f>
        <v>0</v>
      </c>
      <c r="N5" s="51">
        <f ca="1">IF($D5="Stock",OFFSET(HistPrices!$A$8,MATCH($L5,HistPrices!$A:$A,0)-ROW(HistPrices!$A$8)+2,MATCH($C5,HistPrices!$8:$8,0)-1,1,1),IF($D5="Bond",OFFSET(HistPrices!$A$8,MATCH($L5,HistPrices!$A:$A,0)-ROW(HistPrices!$A$8)+6,MATCH($C5,HistPrices!$8:$8,0)-1,1,1),""))</f>
        <v>0</v>
      </c>
      <c r="O5" s="51">
        <f ca="1">IF(OR($D5="Stock",$D5="Option"),OFFSET(HistPrices!$A$8,MATCH($L5,HistPrices!$A:$A,0)-ROW(HistPrices!$A$8)+3,MATCH($C5,HistPrices!$8:$8,0)-1,1,1),"")</f>
        <v>0</v>
      </c>
    </row>
    <row r="6" spans="1:17" ht="15.75" customHeight="1">
      <c r="A6" s="49">
        <v>44564.463622685187</v>
      </c>
      <c r="B6" s="3" t="s">
        <v>17</v>
      </c>
      <c r="C6" s="52" t="s">
        <v>0</v>
      </c>
      <c r="D6" s="52" t="s">
        <v>16</v>
      </c>
      <c r="E6" s="3">
        <v>6</v>
      </c>
      <c r="I6" s="3">
        <v>385</v>
      </c>
      <c r="J6" s="3" t="s">
        <v>81</v>
      </c>
      <c r="K6" s="3" t="s">
        <v>80</v>
      </c>
      <c r="L6" s="50">
        <f t="shared" si="0"/>
        <v>44564</v>
      </c>
      <c r="M6" s="51">
        <f ca="1">IF($D6="Stock",OFFSET(HistPrices!$A$8,MATCH($L6,HistPrices!$A:$A,0)-ROW(HistPrices!$A$8)+1,MATCH($C6,HistPrices!$8:$8,0)-1,1,1),IF($D6="Bond",OFFSET(HistPrices!$A$8,MATCH($L6,HistPrices!$A:$A,0)-ROW(HistPrices!$A$8)+5,MATCH($C6,HistPrices!$8:$8,0)-1,1,1),""))</f>
        <v>0</v>
      </c>
      <c r="N6" s="51">
        <f ca="1">IF($D6="Stock",OFFSET(HistPrices!$A$8,MATCH($L6,HistPrices!$A:$A,0)-ROW(HistPrices!$A$8)+2,MATCH($C6,HistPrices!$8:$8,0)-1,1,1),IF($D6="Bond",OFFSET(HistPrices!$A$8,MATCH($L6,HistPrices!$A:$A,0)-ROW(HistPrices!$A$8)+6,MATCH($C6,HistPrices!$8:$8,0)-1,1,1),""))</f>
        <v>0</v>
      </c>
      <c r="O6" s="51">
        <f ca="1">IF(OR($D6="Stock",$D6="Option"),OFFSET(HistPrices!$A$8,MATCH($L6,HistPrices!$A:$A,0)-ROW(HistPrices!$A$8)+3,MATCH($C6,HistPrices!$8:$8,0)-1,1,1),"")</f>
        <v>5.35</v>
      </c>
    </row>
    <row r="7" spans="1:17" ht="15.75" customHeight="1">
      <c r="A7" s="49">
        <f t="shared" ref="A7:A9" si="1">A6+1</f>
        <v>44565.463622685187</v>
      </c>
      <c r="B7" s="3" t="s">
        <v>19</v>
      </c>
      <c r="C7" s="52" t="s">
        <v>36</v>
      </c>
      <c r="D7" s="52" t="s">
        <v>16</v>
      </c>
      <c r="E7" s="3">
        <v>5</v>
      </c>
      <c r="G7" s="52"/>
      <c r="I7" s="3">
        <v>740</v>
      </c>
      <c r="J7" s="3" t="s">
        <v>79</v>
      </c>
      <c r="K7" s="3" t="s">
        <v>80</v>
      </c>
      <c r="L7" s="50">
        <f t="shared" si="0"/>
        <v>44565</v>
      </c>
      <c r="M7" s="51">
        <f ca="1">IF($D7="Stock",OFFSET(HistPrices!$A$8,MATCH($L7,HistPrices!$A:$A,0)-ROW(HistPrices!$A$8)+1,MATCH($C7,HistPrices!$8:$8,0)-1,1,1),IF($D7="Bond",OFFSET(HistPrices!$A$8,MATCH($L7,HistPrices!$A:$A,0)-ROW(HistPrices!$A$8)+5,MATCH($C7,HistPrices!$8:$8,0)-1,1,1),""))</f>
        <v>0</v>
      </c>
      <c r="N7" s="51">
        <f ca="1">IF($D7="Stock",OFFSET(HistPrices!$A$8,MATCH($L7,HistPrices!$A:$A,0)-ROW(HistPrices!$A$8)+2,MATCH($C7,HistPrices!$8:$8,0)-1,1,1),IF($D7="Bond",OFFSET(HistPrices!$A$8,MATCH($L7,HistPrices!$A:$A,0)-ROW(HistPrices!$A$8)+6,MATCH($C7,HistPrices!$8:$8,0)-1,1,1),""))</f>
        <v>0</v>
      </c>
      <c r="O7" s="51">
        <f ca="1">IF(OR($D7="Stock",$D7="Option"),OFFSET(HistPrices!$A$8,MATCH($L7,HistPrices!$A:$A,0)-ROW(HistPrices!$A$8)+3,MATCH($C7,HistPrices!$8:$8,0)-1,1,1),"")</f>
        <v>0</v>
      </c>
    </row>
    <row r="8" spans="1:17" ht="15.75" customHeight="1">
      <c r="A8" s="49">
        <f t="shared" si="1"/>
        <v>44566.463622685187</v>
      </c>
      <c r="B8" s="3" t="s">
        <v>17</v>
      </c>
      <c r="C8" s="52" t="s">
        <v>36</v>
      </c>
      <c r="D8" s="52" t="s">
        <v>16</v>
      </c>
      <c r="E8" s="3">
        <v>4</v>
      </c>
      <c r="G8" s="52"/>
      <c r="I8" s="3">
        <v>740</v>
      </c>
      <c r="J8" s="3" t="s">
        <v>79</v>
      </c>
      <c r="K8" s="3" t="s">
        <v>80</v>
      </c>
      <c r="L8" s="50">
        <f t="shared" si="0"/>
        <v>44566</v>
      </c>
      <c r="M8" s="51">
        <f ca="1">IF($D8="Stock",OFFSET(HistPrices!$A$8,MATCH($L8,HistPrices!$A:$A,0)-ROW(HistPrices!$A$8)+1,MATCH($C8,HistPrices!$8:$8,0)-1,1,1),IF($D8="Bond",OFFSET(HistPrices!$A$8,MATCH($L8,HistPrices!$A:$A,0)-ROW(HistPrices!$A$8)+5,MATCH($C8,HistPrices!$8:$8,0)-1,1,1),""))</f>
        <v>0</v>
      </c>
      <c r="N8" s="51">
        <f ca="1">IF($D8="Stock",OFFSET(HistPrices!$A$8,MATCH($L8,HistPrices!$A:$A,0)-ROW(HistPrices!$A$8)+2,MATCH($C8,HistPrices!$8:$8,0)-1,1,1),IF($D8="Bond",OFFSET(HistPrices!$A$8,MATCH($L8,HistPrices!$A:$A,0)-ROW(HistPrices!$A$8)+6,MATCH($C8,HistPrices!$8:$8,0)-1,1,1),""))</f>
        <v>0</v>
      </c>
      <c r="O8" s="51">
        <f ca="1">IF(OR($D8="Stock",$D8="Option"),OFFSET(HistPrices!$A$8,MATCH($L8,HistPrices!$A:$A,0)-ROW(HistPrices!$A$8)+3,MATCH($C8,HistPrices!$8:$8,0)-1,1,1),"")</f>
        <v>0</v>
      </c>
    </row>
    <row r="9" spans="1:17" ht="15.75" customHeight="1">
      <c r="A9" s="49">
        <f t="shared" si="1"/>
        <v>44567.463622685187</v>
      </c>
      <c r="B9" s="3" t="s">
        <v>17</v>
      </c>
      <c r="C9" s="52" t="s">
        <v>36</v>
      </c>
      <c r="D9" s="52" t="s">
        <v>16</v>
      </c>
      <c r="E9" s="3">
        <v>12</v>
      </c>
      <c r="G9" s="52"/>
      <c r="I9" s="3">
        <v>740</v>
      </c>
      <c r="J9" s="3" t="s">
        <v>79</v>
      </c>
      <c r="K9" s="3" t="s">
        <v>80</v>
      </c>
      <c r="L9" s="50">
        <f t="shared" si="0"/>
        <v>44567</v>
      </c>
      <c r="M9" s="51">
        <f ca="1">IF($D9="Stock",OFFSET(HistPrices!$A$8,MATCH($L9,HistPrices!$A:$A,0)-ROW(HistPrices!$A$8)+1,MATCH($C9,HistPrices!$8:$8,0)-1,1,1),IF($D9="Bond",OFFSET(HistPrices!$A$8,MATCH($L9,HistPrices!$A:$A,0)-ROW(HistPrices!$A$8)+5,MATCH($C9,HistPrices!$8:$8,0)-1,1,1),""))</f>
        <v>0</v>
      </c>
      <c r="N9" s="51">
        <f ca="1">IF($D9="Stock",OFFSET(HistPrices!$A$8,MATCH($L9,HistPrices!$A:$A,0)-ROW(HistPrices!$A$8)+2,MATCH($C9,HistPrices!$8:$8,0)-1,1,1),IF($D9="Bond",OFFSET(HistPrices!$A$8,MATCH($L9,HistPrices!$A:$A,0)-ROW(HistPrices!$A$8)+6,MATCH($C9,HistPrices!$8:$8,0)-1,1,1),""))</f>
        <v>0</v>
      </c>
      <c r="O9" s="51">
        <f ca="1">IF(OR($D9="Stock",$D9="Option"),OFFSET(HistPrices!$A$8,MATCH($L9,HistPrices!$A:$A,0)-ROW(HistPrices!$A$8)+3,MATCH($C9,HistPrices!$8:$8,0)-1,1,1),"")</f>
        <v>0</v>
      </c>
    </row>
    <row r="10" spans="1:17" ht="15.75" customHeight="1">
      <c r="A10" s="49">
        <f t="shared" ref="A10:A11" si="2">A9</f>
        <v>44567.463622685187</v>
      </c>
      <c r="B10" s="3" t="s">
        <v>19</v>
      </c>
      <c r="C10" s="52" t="s">
        <v>36</v>
      </c>
      <c r="D10" s="52" t="s">
        <v>16</v>
      </c>
      <c r="E10" s="3">
        <v>1</v>
      </c>
      <c r="G10" s="52"/>
      <c r="I10" s="3">
        <v>740</v>
      </c>
      <c r="J10" s="3" t="s">
        <v>79</v>
      </c>
      <c r="K10" s="3" t="s">
        <v>80</v>
      </c>
      <c r="L10" s="50">
        <f t="shared" si="0"/>
        <v>44567</v>
      </c>
      <c r="M10" s="51">
        <f ca="1">IF($D10="Stock",OFFSET(HistPrices!$A$8,MATCH($L10,HistPrices!$A:$A,0)-ROW(HistPrices!$A$8)+1,MATCH($C10,HistPrices!$8:$8,0)-1,1,1),IF($D10="Bond",OFFSET(HistPrices!$A$8,MATCH($L10,HistPrices!$A:$A,0)-ROW(HistPrices!$A$8)+5,MATCH($C10,HistPrices!$8:$8,0)-1,1,1),""))</f>
        <v>0</v>
      </c>
      <c r="N10" s="51">
        <f ca="1">IF($D10="Stock",OFFSET(HistPrices!$A$8,MATCH($L10,HistPrices!$A:$A,0)-ROW(HistPrices!$A$8)+2,MATCH($C10,HistPrices!$8:$8,0)-1,1,1),IF($D10="Bond",OFFSET(HistPrices!$A$8,MATCH($L10,HistPrices!$A:$A,0)-ROW(HistPrices!$A$8)+6,MATCH($C10,HistPrices!$8:$8,0)-1,1,1),""))</f>
        <v>0</v>
      </c>
      <c r="O10" s="51">
        <f ca="1">IF(OR($D10="Stock",$D10="Option"),OFFSET(HistPrices!$A$8,MATCH($L10,HistPrices!$A:$A,0)-ROW(HistPrices!$A$8)+3,MATCH($C10,HistPrices!$8:$8,0)-1,1,1),"")</f>
        <v>0</v>
      </c>
    </row>
    <row r="11" spans="1:17" ht="15.75" customHeight="1">
      <c r="A11" s="49">
        <f t="shared" si="2"/>
        <v>44567.463622685187</v>
      </c>
      <c r="B11" s="3" t="s">
        <v>17</v>
      </c>
      <c r="C11" s="52" t="s">
        <v>36</v>
      </c>
      <c r="D11" s="52" t="s">
        <v>16</v>
      </c>
      <c r="E11" s="3">
        <v>3</v>
      </c>
      <c r="G11" s="52"/>
      <c r="I11" s="3">
        <v>740</v>
      </c>
      <c r="J11" s="3" t="s">
        <v>79</v>
      </c>
      <c r="K11" s="3" t="s">
        <v>80</v>
      </c>
      <c r="L11" s="50">
        <f t="shared" si="0"/>
        <v>44567</v>
      </c>
      <c r="M11" s="51">
        <f ca="1">IF($D11="Stock",OFFSET(HistPrices!$A$8,MATCH($L11,HistPrices!$A:$A,0)-ROW(HistPrices!$A$8)+1,MATCH($C11,HistPrices!$8:$8,0)-1,1,1),IF($D11="Bond",OFFSET(HistPrices!$A$8,MATCH($L11,HistPrices!$A:$A,0)-ROW(HistPrices!$A$8)+5,MATCH($C11,HistPrices!$8:$8,0)-1,1,1),""))</f>
        <v>0</v>
      </c>
      <c r="N11" s="51">
        <f ca="1">IF($D11="Stock",OFFSET(HistPrices!$A$8,MATCH($L11,HistPrices!$A:$A,0)-ROW(HistPrices!$A$8)+2,MATCH($C11,HistPrices!$8:$8,0)-1,1,1),IF($D11="Bond",OFFSET(HistPrices!$A$8,MATCH($L11,HistPrices!$A:$A,0)-ROW(HistPrices!$A$8)+6,MATCH($C11,HistPrices!$8:$8,0)-1,1,1),""))</f>
        <v>0</v>
      </c>
      <c r="O11" s="51">
        <f ca="1">IF(OR($D11="Stock",$D11="Option"),OFFSET(HistPrices!$A$8,MATCH($L11,HistPrices!$A:$A,0)-ROW(HistPrices!$A$8)+3,MATCH($C11,HistPrices!$8:$8,0)-1,1,1),"")</f>
        <v>0</v>
      </c>
    </row>
    <row r="12" spans="1:17" ht="15.75" customHeight="1">
      <c r="A12" s="49">
        <f t="shared" ref="A12:A15" si="3">A11+1</f>
        <v>44568.463622685187</v>
      </c>
      <c r="B12" s="3" t="s">
        <v>19</v>
      </c>
      <c r="C12" s="52" t="s">
        <v>36</v>
      </c>
      <c r="D12" s="52" t="s">
        <v>16</v>
      </c>
      <c r="E12" s="3">
        <v>13</v>
      </c>
      <c r="G12" s="52"/>
      <c r="I12" s="3">
        <v>720</v>
      </c>
      <c r="J12" s="3" t="s">
        <v>79</v>
      </c>
      <c r="K12" s="3" t="s">
        <v>80</v>
      </c>
      <c r="L12" s="50">
        <f t="shared" si="0"/>
        <v>44568</v>
      </c>
      <c r="M12" s="51">
        <f ca="1">IF($D12="Stock",OFFSET(HistPrices!$A$8,MATCH($L12,HistPrices!$A:$A,0)-ROW(HistPrices!$A$8)+1,MATCH($C12,HistPrices!$8:$8,0)-1,1,1),IF($D12="Bond",OFFSET(HistPrices!$A$8,MATCH($L12,HistPrices!$A:$A,0)-ROW(HistPrices!$A$8)+5,MATCH($C12,HistPrices!$8:$8,0)-1,1,1),""))</f>
        <v>0</v>
      </c>
      <c r="N12" s="51">
        <f ca="1">IF($D12="Stock",OFFSET(HistPrices!$A$8,MATCH($L12,HistPrices!$A:$A,0)-ROW(HistPrices!$A$8)+2,MATCH($C12,HistPrices!$8:$8,0)-1,1,1),IF($D12="Bond",OFFSET(HistPrices!$A$8,MATCH($L12,HistPrices!$A:$A,0)-ROW(HistPrices!$A$8)+6,MATCH($C12,HistPrices!$8:$8,0)-1,1,1),""))</f>
        <v>0</v>
      </c>
      <c r="O12" s="51">
        <f ca="1">IF(OR($D12="Stock",$D12="Option"),OFFSET(HistPrices!$A$8,MATCH($L12,HistPrices!$A:$A,0)-ROW(HistPrices!$A$8)+3,MATCH($C12,HistPrices!$8:$8,0)-1,1,1),"")</f>
        <v>0</v>
      </c>
    </row>
    <row r="13" spans="1:17" ht="15.75" customHeight="1">
      <c r="A13" s="49">
        <f t="shared" si="3"/>
        <v>44569.463622685187</v>
      </c>
      <c r="B13" s="3" t="s">
        <v>19</v>
      </c>
      <c r="C13" s="52" t="s">
        <v>36</v>
      </c>
      <c r="D13" s="52" t="s">
        <v>16</v>
      </c>
      <c r="E13" s="3">
        <v>51</v>
      </c>
      <c r="G13" s="52"/>
      <c r="I13" s="3">
        <v>720</v>
      </c>
      <c r="J13" s="3" t="s">
        <v>79</v>
      </c>
      <c r="K13" s="3" t="s">
        <v>80</v>
      </c>
      <c r="L13" s="50">
        <f t="shared" si="0"/>
        <v>44569</v>
      </c>
      <c r="M13" s="51">
        <f ca="1">IF($D13="Stock",OFFSET(HistPrices!$A$8,MATCH($L13,HistPrices!$A:$A,0)-ROW(HistPrices!$A$8)+1,MATCH($C13,HistPrices!$8:$8,0)-1,1,1),IF($D13="Bond",OFFSET(HistPrices!$A$8,MATCH($L13,HistPrices!$A:$A,0)-ROW(HistPrices!$A$8)+5,MATCH($C13,HistPrices!$8:$8,0)-1,1,1),""))</f>
        <v>0</v>
      </c>
      <c r="N13" s="51">
        <f ca="1">IF($D13="Stock",OFFSET(HistPrices!$A$8,MATCH($L13,HistPrices!$A:$A,0)-ROW(HistPrices!$A$8)+2,MATCH($C13,HistPrices!$8:$8,0)-1,1,1),IF($D13="Bond",OFFSET(HistPrices!$A$8,MATCH($L13,HistPrices!$A:$A,0)-ROW(HistPrices!$A$8)+6,MATCH($C13,HistPrices!$8:$8,0)-1,1,1),""))</f>
        <v>0</v>
      </c>
      <c r="O13" s="51">
        <f ca="1">IF(OR($D13="Stock",$D13="Option"),OFFSET(HistPrices!$A$8,MATCH($L13,HistPrices!$A:$A,0)-ROW(HistPrices!$A$8)+3,MATCH($C13,HistPrices!$8:$8,0)-1,1,1),"")</f>
        <v>0</v>
      </c>
    </row>
    <row r="14" spans="1:17" ht="15.75" customHeight="1">
      <c r="A14" s="49">
        <f t="shared" si="3"/>
        <v>44570.463622685187</v>
      </c>
      <c r="B14" s="3" t="s">
        <v>19</v>
      </c>
      <c r="C14" s="52" t="s">
        <v>38</v>
      </c>
      <c r="D14" s="3" t="s">
        <v>16</v>
      </c>
      <c r="E14" s="3">
        <v>15</v>
      </c>
      <c r="G14" s="52"/>
      <c r="I14" s="3">
        <v>445</v>
      </c>
      <c r="J14" s="3" t="s">
        <v>79</v>
      </c>
      <c r="K14" s="3" t="s">
        <v>80</v>
      </c>
      <c r="L14" s="50">
        <f t="shared" si="0"/>
        <v>44570</v>
      </c>
      <c r="M14" s="51">
        <f ca="1">IF($D14="Stock",OFFSET(HistPrices!$A$8,MATCH($L14,HistPrices!$A:$A,0)-ROW(HistPrices!$A$8)+1,MATCH($C14,HistPrices!$8:$8,0)-1,1,1),IF($D14="Bond",OFFSET(HistPrices!$A$8,MATCH($L14,HistPrices!$A:$A,0)-ROW(HistPrices!$A$8)+5,MATCH($C14,HistPrices!$8:$8,0)-1,1,1),""))</f>
        <v>1988.88</v>
      </c>
      <c r="N14" s="51">
        <f ca="1">IF($D14="Stock",OFFSET(HistPrices!$A$8,MATCH($L14,HistPrices!$A:$A,0)-ROW(HistPrices!$A$8)+2,MATCH($C14,HistPrices!$8:$8,0)-1,1,1),IF($D14="Bond",OFFSET(HistPrices!$A$8,MATCH($L14,HistPrices!$A:$A,0)-ROW(HistPrices!$A$8)+6,MATCH($C14,HistPrices!$8:$8,0)-1,1,1),""))</f>
        <v>1939.32</v>
      </c>
      <c r="O14" s="51">
        <f ca="1">IF(OR($D14="Stock",$D14="Option"),OFFSET(HistPrices!$A$8,MATCH($L14,HistPrices!$A:$A,0)-ROW(HistPrices!$A$8)+3,MATCH($C14,HistPrices!$8:$8,0)-1,1,1),"")</f>
        <v>1942</v>
      </c>
    </row>
    <row r="15" spans="1:17" ht="15.75" customHeight="1">
      <c r="A15" s="53">
        <f t="shared" si="3"/>
        <v>44571.463622685187</v>
      </c>
      <c r="B15" s="54" t="s">
        <v>19</v>
      </c>
      <c r="C15" s="55" t="s">
        <v>38</v>
      </c>
      <c r="D15" s="55" t="s">
        <v>16</v>
      </c>
      <c r="E15" s="54">
        <v>1500</v>
      </c>
      <c r="F15" s="56"/>
      <c r="G15" s="56"/>
      <c r="H15" s="56"/>
      <c r="I15" s="54">
        <v>445</v>
      </c>
      <c r="J15" s="54" t="s">
        <v>81</v>
      </c>
      <c r="K15" s="54" t="s">
        <v>82</v>
      </c>
      <c r="L15" s="50">
        <f t="shared" si="0"/>
        <v>44571</v>
      </c>
      <c r="M15" s="51">
        <f ca="1">IF($D15="Stock",OFFSET(HistPrices!$A$8,MATCH($L15,HistPrices!$A:$A,0)-ROW(HistPrices!$A$8)+1,MATCH($C15,HistPrices!$8:$8,0)-1,1,1),IF($D15="Bond",OFFSET(HistPrices!$A$8,MATCH($L15,HistPrices!$A:$A,0)-ROW(HistPrices!$A$8)+5,MATCH($C15,HistPrices!$8:$8,0)-1,1,1),""))</f>
        <v>1977</v>
      </c>
      <c r="N15" s="51">
        <f ca="1">IF($D15="Stock",OFFSET(HistPrices!$A$8,MATCH($L15,HistPrices!$A:$A,0)-ROW(HistPrices!$A$8)+2,MATCH($C15,HistPrices!$8:$8,0)-1,1,1),IF($D15="Bond",OFFSET(HistPrices!$A$8,MATCH($L15,HistPrices!$A:$A,0)-ROW(HistPrices!$A$8)+6,MATCH($C15,HistPrices!$8:$8,0)-1,1,1),""))</f>
        <v>1917.55</v>
      </c>
      <c r="O15" s="51">
        <f ca="1">IF(OR($D15="Stock",$D15="Option"),OFFSET(HistPrices!$A$8,MATCH($L15,HistPrices!$A:$A,0)-ROW(HistPrices!$A$8)+3,MATCH($C15,HistPrices!$8:$8,0)-1,1,1),"")</f>
        <v>1966</v>
      </c>
    </row>
    <row r="16" spans="1:17" ht="15.75" customHeight="1">
      <c r="A16" s="49">
        <v>44563</v>
      </c>
      <c r="B16" s="43" t="s">
        <v>17</v>
      </c>
      <c r="C16" s="10" t="s">
        <v>40</v>
      </c>
      <c r="D16" s="10" t="s">
        <v>16</v>
      </c>
      <c r="E16" s="43">
        <v>20</v>
      </c>
      <c r="I16" s="3">
        <v>2030</v>
      </c>
      <c r="J16" s="43" t="s">
        <v>81</v>
      </c>
      <c r="K16" s="3" t="s">
        <v>82</v>
      </c>
      <c r="L16" s="50">
        <f t="shared" si="0"/>
        <v>44563</v>
      </c>
      <c r="M16" s="51">
        <f ca="1">IF($D16="Stock",OFFSET(HistPrices!$A$8,MATCH($L16,HistPrices!$A:$A,0)-ROW(HistPrices!$A$8)+1,MATCH($C16,HistPrices!$8:$8,0)-1,1,1),IF($D16="Bond",OFFSET(HistPrices!$A$8,MATCH($L16,HistPrices!$A:$A,0)-ROW(HistPrices!$A$8)+5,MATCH($C16,HistPrices!$8:$8,0)-1,1,1),""))</f>
        <v>731</v>
      </c>
      <c r="N16" s="51">
        <f ca="1">IF($D16="Stock",OFFSET(HistPrices!$A$8,MATCH($L16,HistPrices!$A:$A,0)-ROW(HistPrices!$A$8)+2,MATCH($C16,HistPrices!$8:$8,0)-1,1,1),IF($D16="Bond",OFFSET(HistPrices!$A$8,MATCH($L16,HistPrices!$A:$A,0)-ROW(HistPrices!$A$8)+6,MATCH($C16,HistPrices!$8:$8,0)-1,1,1),""))</f>
        <v>724.1</v>
      </c>
      <c r="O16" s="51">
        <f ca="1">IF(OR($D16="Stock",$D16="Option"),OFFSET(HistPrices!$A$8,MATCH($L16,HistPrices!$A:$A,0)-ROW(HistPrices!$A$8)+3,MATCH($C16,HistPrices!$8:$8,0)-1,1,1),"")</f>
        <v>727</v>
      </c>
    </row>
    <row r="17" spans="1:15" ht="15.75" customHeight="1">
      <c r="A17" s="49">
        <v>44563</v>
      </c>
      <c r="B17" s="43" t="s">
        <v>19</v>
      </c>
      <c r="C17" s="10" t="s">
        <v>38</v>
      </c>
      <c r="D17" s="10" t="s">
        <v>16</v>
      </c>
      <c r="E17" s="43">
        <v>5</v>
      </c>
      <c r="I17" s="3">
        <v>460</v>
      </c>
      <c r="J17" s="43" t="s">
        <v>81</v>
      </c>
      <c r="K17" s="3" t="s">
        <v>82</v>
      </c>
      <c r="L17" s="50">
        <f t="shared" si="0"/>
        <v>44563</v>
      </c>
      <c r="M17" s="51">
        <f ca="1">IF($D17="Stock",OFFSET(HistPrices!$A$8,MATCH($L17,HistPrices!$A:$A,0)-ROW(HistPrices!$A$8)+1,MATCH($C17,HistPrices!$8:$8,0)-1,1,1),IF($D17="Bond",OFFSET(HistPrices!$A$8,MATCH($L17,HistPrices!$A:$A,0)-ROW(HistPrices!$A$8)+5,MATCH($C17,HistPrices!$8:$8,0)-1,1,1),""))</f>
        <v>2072.98</v>
      </c>
      <c r="N17" s="51">
        <f ca="1">IF($D17="Stock",OFFSET(HistPrices!$A$8,MATCH($L17,HistPrices!$A:$A,0)-ROW(HistPrices!$A$8)+2,MATCH($C17,HistPrices!$8:$8,0)-1,1,1),IF($D17="Bond",OFFSET(HistPrices!$A$8,MATCH($L17,HistPrices!$A:$A,0)-ROW(HistPrices!$A$8)+6,MATCH($C17,HistPrices!$8:$8,0)-1,1,1),""))</f>
        <v>2028</v>
      </c>
      <c r="O17" s="51">
        <f ca="1">IF(OR($D17="Stock",$D17="Option"),OFFSET(HistPrices!$A$8,MATCH($L17,HistPrices!$A:$A,0)-ROW(HistPrices!$A$8)+3,MATCH($C17,HistPrices!$8:$8,0)-1,1,1),"")</f>
        <v>2050</v>
      </c>
    </row>
    <row r="18" spans="1:15" ht="15.75" customHeight="1">
      <c r="A18" s="49">
        <v>44564</v>
      </c>
      <c r="B18" s="43" t="s">
        <v>19</v>
      </c>
      <c r="C18" s="10" t="s">
        <v>40</v>
      </c>
      <c r="D18" s="10" t="s">
        <v>16</v>
      </c>
      <c r="E18" s="43">
        <v>10</v>
      </c>
      <c r="I18" s="3">
        <v>2050</v>
      </c>
      <c r="J18" s="43" t="s">
        <v>81</v>
      </c>
      <c r="K18" s="3" t="s">
        <v>82</v>
      </c>
      <c r="L18" s="50">
        <f t="shared" si="0"/>
        <v>44564</v>
      </c>
      <c r="M18" s="51">
        <f ca="1">IF($D18="Stock",OFFSET(HistPrices!$A$8,MATCH($L18,HistPrices!$A:$A,0)-ROW(HistPrices!$A$8)+1,MATCH($C18,HistPrices!$8:$8,0)-1,1,1),IF($D18="Bond",OFFSET(HistPrices!$A$8,MATCH($L18,HistPrices!$A:$A,0)-ROW(HistPrices!$A$8)+5,MATCH($C18,HistPrices!$8:$8,0)-1,1,1),""))</f>
        <v>737.5</v>
      </c>
      <c r="N18" s="51">
        <f ca="1">IF($D18="Stock",OFFSET(HistPrices!$A$8,MATCH($L18,HistPrices!$A:$A,0)-ROW(HistPrices!$A$8)+2,MATCH($C18,HistPrices!$8:$8,0)-1,1,1),IF($D18="Bond",OFFSET(HistPrices!$A$8,MATCH($L18,HistPrices!$A:$A,0)-ROW(HistPrices!$A$8)+6,MATCH($C18,HistPrices!$8:$8,0)-1,1,1),""))</f>
        <v>727.8</v>
      </c>
      <c r="O18" s="51">
        <f ca="1">IF(OR($D18="Stock",$D18="Option"),OFFSET(HistPrices!$A$8,MATCH($L18,HistPrices!$A:$A,0)-ROW(HistPrices!$A$8)+3,MATCH($C18,HistPrices!$8:$8,0)-1,1,1),"")</f>
        <v>731</v>
      </c>
    </row>
    <row r="19" spans="1:15" ht="15.75" customHeight="1">
      <c r="A19" s="49">
        <v>44564</v>
      </c>
      <c r="B19" s="43" t="s">
        <v>17</v>
      </c>
      <c r="C19" s="10" t="s">
        <v>38</v>
      </c>
      <c r="D19" s="43" t="s">
        <v>16</v>
      </c>
      <c r="E19" s="43">
        <v>15</v>
      </c>
      <c r="F19" s="43"/>
      <c r="G19" s="43"/>
      <c r="H19" s="43"/>
      <c r="I19" s="3">
        <v>460</v>
      </c>
      <c r="J19" s="43" t="s">
        <v>81</v>
      </c>
      <c r="K19" s="3" t="s">
        <v>82</v>
      </c>
      <c r="L19" s="50">
        <f t="shared" si="0"/>
        <v>44564</v>
      </c>
      <c r="M19" s="51">
        <f ca="1">IF($D19="Stock",OFFSET(HistPrices!$A$8,MATCH($L19,HistPrices!$A:$A,0)-ROW(HistPrices!$A$8)+1,MATCH($C19,HistPrices!$8:$8,0)-1,1,1),IF($D19="Bond",OFFSET(HistPrices!$A$8,MATCH($L19,HistPrices!$A:$A,0)-ROW(HistPrices!$A$8)+5,MATCH($C19,HistPrices!$8:$8,0)-1,1,1),""))</f>
        <v>2072.98</v>
      </c>
      <c r="N19" s="51">
        <f ca="1">IF($D19="Stock",OFFSET(HistPrices!$A$8,MATCH($L19,HistPrices!$A:$A,0)-ROW(HistPrices!$A$8)+2,MATCH($C19,HistPrices!$8:$8,0)-1,1,1),IF($D19="Bond",OFFSET(HistPrices!$A$8,MATCH($L19,HistPrices!$A:$A,0)-ROW(HistPrices!$A$8)+6,MATCH($C19,HistPrices!$8:$8,0)-1,1,1),""))</f>
        <v>2028</v>
      </c>
      <c r="O19" s="51">
        <f ca="1">IF(OR($D19="Stock",$D19="Option"),OFFSET(HistPrices!$A$8,MATCH($L19,HistPrices!$A:$A,0)-ROW(HistPrices!$A$8)+3,MATCH($C19,HistPrices!$8:$8,0)-1,1,1),"")</f>
        <v>2050</v>
      </c>
    </row>
    <row r="20" spans="1:15" ht="15.75" customHeight="1">
      <c r="A20" s="49">
        <v>44562</v>
      </c>
      <c r="B20" s="43" t="s">
        <v>17</v>
      </c>
      <c r="C20" s="3" t="s">
        <v>63</v>
      </c>
      <c r="D20" s="43" t="s">
        <v>61</v>
      </c>
      <c r="F20" s="43"/>
      <c r="G20" s="43"/>
      <c r="H20" s="3">
        <v>10000</v>
      </c>
      <c r="I20" s="43"/>
      <c r="J20" s="43" t="s">
        <v>83</v>
      </c>
      <c r="K20" s="3" t="s">
        <v>84</v>
      </c>
      <c r="L20" s="50">
        <f t="shared" si="0"/>
        <v>44562</v>
      </c>
      <c r="M20" s="24" t="str">
        <f ca="1">IF($D20="Stock",OFFSET(HistPrices!$A$8,MATCH($L20,HistPrices!$A:$A,0)-ROW(HistPrices!$A$8)+1,MATCH($C20,HistPrices!$8:$8,0)-1,1,1),IF($D20="Bond",OFFSET(HistPrices!$A$8,MATCH($L20,HistPrices!$A:$A,0)-ROW(HistPrices!$A$8)+5,MATCH($C20,HistPrices!$8:$8,0)-1,1,1),""))</f>
        <v/>
      </c>
      <c r="N20" s="24" t="str">
        <f ca="1">IF($D20="Stock",OFFSET(HistPrices!$A$8,MATCH($L20,HistPrices!$A:$A,0)-ROW(HistPrices!$A$8)+2,MATCH($C20,HistPrices!$8:$8,0)-1,1,1),IF($D20="Bond",OFFSET(HistPrices!$A$8,MATCH($L20,HistPrices!$A:$A,0)-ROW(HistPrices!$A$8)+6,MATCH($C20,HistPrices!$8:$8,0)-1,1,1),""))</f>
        <v/>
      </c>
      <c r="O20" s="24" t="str">
        <f ca="1">IF(OR($D20="Stock",$D20="Option"),OFFSET(HistPrices!$A$8,MATCH($L20,HistPrices!$A:$A,0)-ROW(HistPrices!$A$8)+3,MATCH($C20,HistPrices!$8:$8,0)-1,1,1),"")</f>
        <v/>
      </c>
    </row>
    <row r="21" spans="1:15" ht="15.75" customHeight="1">
      <c r="A21" s="49">
        <v>44562</v>
      </c>
      <c r="B21" s="43" t="s">
        <v>17</v>
      </c>
      <c r="C21" s="43" t="s">
        <v>7</v>
      </c>
      <c r="D21" s="10" t="s">
        <v>18</v>
      </c>
      <c r="F21" s="3">
        <v>40</v>
      </c>
      <c r="I21" s="3">
        <v>25</v>
      </c>
      <c r="J21" s="43" t="s">
        <v>83</v>
      </c>
      <c r="K21" s="3" t="s">
        <v>84</v>
      </c>
      <c r="L21" s="50">
        <f t="shared" si="0"/>
        <v>44562</v>
      </c>
      <c r="M21" s="51" t="str">
        <f ca="1">IF($D21="Stock",OFFSET(HistPrices!$A$8,MATCH($L21,HistPrices!$A:$A,0)-ROW(HistPrices!$A$8)+1,MATCH($C21,HistPrices!$8:$8,0)-1,1,1),IF($D21="Bond",OFFSET(HistPrices!$A$8,MATCH($L21,HistPrices!$A:$A,0)-ROW(HistPrices!$A$8)+5,MATCH($C21,HistPrices!$8:$8,0)-1,1,1),""))</f>
        <v/>
      </c>
      <c r="N21" s="51" t="str">
        <f ca="1">IF($D21="Stock",OFFSET(HistPrices!$A$8,MATCH($L21,HistPrices!$A:$A,0)-ROW(HistPrices!$A$8)+2,MATCH($C21,HistPrices!$8:$8,0)-1,1,1),IF($D21="Bond",OFFSET(HistPrices!$A$8,MATCH($L21,HistPrices!$A:$A,0)-ROW(HistPrices!$A$8)+6,MATCH($C21,HistPrices!$8:$8,0)-1,1,1),""))</f>
        <v/>
      </c>
      <c r="O21" s="24" t="str">
        <f ca="1">IF(OR($D21="Stock",$D21="Option"),OFFSET(HistPrices!$A$8,MATCH($L21,HistPrices!$A:$A,0)-ROW(HistPrices!$A$8)+3,MATCH($C21,HistPrices!$8:$8,0)-1,1,1),"")</f>
        <v/>
      </c>
    </row>
    <row r="22" spans="1:15" ht="15.75" customHeight="1">
      <c r="A22" s="49">
        <v>44562</v>
      </c>
      <c r="B22" s="43" t="s">
        <v>17</v>
      </c>
      <c r="C22" s="43" t="s">
        <v>63</v>
      </c>
      <c r="D22" s="10" t="s">
        <v>61</v>
      </c>
      <c r="H22" s="3">
        <v>20000</v>
      </c>
      <c r="I22" s="43"/>
      <c r="J22" s="43" t="s">
        <v>83</v>
      </c>
      <c r="K22" s="3" t="s">
        <v>84</v>
      </c>
      <c r="L22" s="50">
        <f t="shared" si="0"/>
        <v>44562</v>
      </c>
      <c r="M22" s="24" t="str">
        <f ca="1">IF($D22="Stock",OFFSET(HistPrices!$A$8,MATCH($L22,HistPrices!$A:$A,0)-ROW(HistPrices!$A$8)+1,MATCH($C22,HistPrices!$8:$8,0)-1,1,1),IF($D22="Bond",OFFSET(HistPrices!$A$8,MATCH($L22,HistPrices!$A:$A,0)-ROW(HistPrices!$A$8)+5,MATCH($C22,HistPrices!$8:$8,0)-1,1,1),""))</f>
        <v/>
      </c>
      <c r="N22" s="24" t="str">
        <f ca="1">IF($D22="Stock",OFFSET(HistPrices!$A$8,MATCH($L22,HistPrices!$A:$A,0)-ROW(HistPrices!$A$8)+2,MATCH($C22,HistPrices!$8:$8,0)-1,1,1),IF($D22="Bond",OFFSET(HistPrices!$A$8,MATCH($L22,HistPrices!$A:$A,0)-ROW(HistPrices!$A$8)+6,MATCH($C22,HistPrices!$8:$8,0)-1,1,1),""))</f>
        <v/>
      </c>
      <c r="O22" s="24" t="str">
        <f ca="1">IF(OR($D22="Stock",$D22="Option"),OFFSET(HistPrices!$A$8,MATCH($L22,HistPrices!$A:$A,0)-ROW(HistPrices!$A$8)+3,MATCH($C22,HistPrices!$8:$8,0)-1,1,1),"")</f>
        <v/>
      </c>
    </row>
    <row r="23" spans="1:15" ht="15.75" customHeight="1">
      <c r="A23" s="49">
        <v>44563</v>
      </c>
      <c r="B23" s="43" t="s">
        <v>19</v>
      </c>
      <c r="C23" s="43" t="s">
        <v>63</v>
      </c>
      <c r="D23" s="10" t="s">
        <v>61</v>
      </c>
      <c r="H23" s="3">
        <v>35000</v>
      </c>
      <c r="I23" s="43"/>
      <c r="J23" s="43" t="s">
        <v>83</v>
      </c>
      <c r="K23" s="3" t="s">
        <v>84</v>
      </c>
      <c r="L23" s="50">
        <f t="shared" si="0"/>
        <v>44563</v>
      </c>
      <c r="M23" s="24" t="str">
        <f ca="1">IF($D23="Stock",OFFSET(HistPrices!$A$8,MATCH($L23,HistPrices!$A:$A,0)-ROW(HistPrices!$A$8)+1,MATCH($C23,HistPrices!$8:$8,0)-1,1,1),IF($D23="Bond",OFFSET(HistPrices!$A$8,MATCH($L23,HistPrices!$A:$A,0)-ROW(HistPrices!$A$8)+5,MATCH($C23,HistPrices!$8:$8,0)-1,1,1),""))</f>
        <v/>
      </c>
      <c r="N23" s="24" t="str">
        <f ca="1">IF($D23="Stock",OFFSET(HistPrices!$A$8,MATCH($L23,HistPrices!$A:$A,0)-ROW(HistPrices!$A$8)+2,MATCH($C23,HistPrices!$8:$8,0)-1,1,1),IF($D23="Bond",OFFSET(HistPrices!$A$8,MATCH($L23,HistPrices!$A:$A,0)-ROW(HistPrices!$A$8)+6,MATCH($C23,HistPrices!$8:$8,0)-1,1,1),""))</f>
        <v/>
      </c>
      <c r="O23" s="24" t="str">
        <f ca="1">IF(OR($D23="Stock",$D23="Option"),OFFSET(HistPrices!$A$8,MATCH($L23,HistPrices!$A:$A,0)-ROW(HistPrices!$A$8)+3,MATCH($C23,HistPrices!$8:$8,0)-1,1,1),"")</f>
        <v/>
      </c>
    </row>
    <row r="24" spans="1:15" ht="15.75" customHeight="1">
      <c r="A24" s="49">
        <v>44562</v>
      </c>
      <c r="B24" s="43" t="s">
        <v>17</v>
      </c>
      <c r="C24" s="43" t="s">
        <v>63</v>
      </c>
      <c r="D24" s="10" t="s">
        <v>61</v>
      </c>
      <c r="H24" s="3">
        <v>10000</v>
      </c>
      <c r="I24" s="43"/>
      <c r="J24" s="3" t="s">
        <v>81</v>
      </c>
      <c r="K24" s="3" t="s">
        <v>84</v>
      </c>
      <c r="L24" s="50">
        <f t="shared" si="0"/>
        <v>44562</v>
      </c>
      <c r="M24" s="24" t="str">
        <f ca="1">IF($D24="Stock",OFFSET(HistPrices!$A$8,MATCH($L24,HistPrices!$A:$A,0)-ROW(HistPrices!$A$8)+1,MATCH($C24,HistPrices!$8:$8,0)-1,1,1),IF($D24="Bond",OFFSET(HistPrices!$A$8,MATCH($L24,HistPrices!$A:$A,0)-ROW(HistPrices!$A$8)+5,MATCH($C24,HistPrices!$8:$8,0)-1,1,1),""))</f>
        <v/>
      </c>
      <c r="N24" s="24" t="str">
        <f ca="1">IF($D24="Stock",OFFSET(HistPrices!$A$8,MATCH($L24,HistPrices!$A:$A,0)-ROW(HistPrices!$A$8)+2,MATCH($C24,HistPrices!$8:$8,0)-1,1,1),IF($D24="Bond",OFFSET(HistPrices!$A$8,MATCH($L24,HistPrices!$A:$A,0)-ROW(HistPrices!$A$8)+6,MATCH($C24,HistPrices!$8:$8,0)-1,1,1),""))</f>
        <v/>
      </c>
      <c r="O24" s="24" t="str">
        <f ca="1">IF(OR($D24="Stock",$D24="Option"),OFFSET(HistPrices!$A$8,MATCH($L24,HistPrices!$A:$A,0)-ROW(HistPrices!$A$8)+3,MATCH($C24,HistPrices!$8:$8,0)-1,1,1),"")</f>
        <v/>
      </c>
    </row>
    <row r="25" spans="1:15" ht="15.75" customHeight="1">
      <c r="A25" s="49">
        <v>44562</v>
      </c>
      <c r="B25" s="43" t="s">
        <v>19</v>
      </c>
      <c r="C25" s="43" t="s">
        <v>63</v>
      </c>
      <c r="D25" s="10" t="s">
        <v>61</v>
      </c>
      <c r="H25" s="3">
        <v>9000</v>
      </c>
      <c r="I25" s="43"/>
      <c r="J25" s="3" t="s">
        <v>81</v>
      </c>
      <c r="K25" s="3" t="s">
        <v>84</v>
      </c>
      <c r="L25" s="50">
        <f t="shared" si="0"/>
        <v>44562</v>
      </c>
      <c r="M25" s="24" t="str">
        <f ca="1">IF($D25="Stock",OFFSET(HistPrices!$A$8,MATCH($L25,HistPrices!$A:$A,0)-ROW(HistPrices!$A$8)+1,MATCH($C25,HistPrices!$8:$8,0)-1,1,1),IF($D25="Bond",OFFSET(HistPrices!$A$8,MATCH($L25,HistPrices!$A:$A,0)-ROW(HistPrices!$A$8)+5,MATCH($C25,HistPrices!$8:$8,0)-1,1,1),""))</f>
        <v/>
      </c>
      <c r="N25" s="24" t="str">
        <f ca="1">IF($D25="Stock",OFFSET(HistPrices!$A$8,MATCH($L25,HistPrices!$A:$A,0)-ROW(HistPrices!$A$8)+2,MATCH($C25,HistPrices!$8:$8,0)-1,1,1),IF($D25="Bond",OFFSET(HistPrices!$A$8,MATCH($L25,HistPrices!$A:$A,0)-ROW(HistPrices!$A$8)+6,MATCH($C25,HistPrices!$8:$8,0)-1,1,1),""))</f>
        <v/>
      </c>
      <c r="O25" s="24" t="str">
        <f ca="1">IF(OR($D25="Stock",$D25="Option"),OFFSET(HistPrices!$A$8,MATCH($L25,HistPrices!$A:$A,0)-ROW(HistPrices!$A$8)+3,MATCH($C25,HistPrices!$8:$8,0)-1,1,1),"")</f>
        <v/>
      </c>
    </row>
    <row r="26" spans="1:15" ht="15.75" customHeight="1">
      <c r="A26" s="49">
        <v>44562</v>
      </c>
      <c r="B26" s="43" t="s">
        <v>17</v>
      </c>
      <c r="C26" s="10" t="s">
        <v>38</v>
      </c>
      <c r="D26" s="10" t="s">
        <v>16</v>
      </c>
      <c r="E26" s="3">
        <v>10</v>
      </c>
      <c r="I26" s="3">
        <v>460</v>
      </c>
      <c r="J26" s="43" t="s">
        <v>83</v>
      </c>
      <c r="K26" s="3" t="s">
        <v>84</v>
      </c>
      <c r="L26" s="50">
        <f t="shared" si="0"/>
        <v>44562</v>
      </c>
      <c r="M26" s="51">
        <f ca="1">IF($D26="Stock",OFFSET(HistPrices!$A$8,MATCH($L26,HistPrices!$A:$A,0)-ROW(HistPrices!$A$8)+1,MATCH($C26,HistPrices!$8:$8,0)-1,1,1),IF($D26="Bond",OFFSET(HistPrices!$A$8,MATCH($L26,HistPrices!$A:$A,0)-ROW(HistPrices!$A$8)+5,MATCH($C26,HistPrices!$8:$8,0)-1,1,1),""))</f>
        <v>2072.98</v>
      </c>
      <c r="N26" s="51">
        <f ca="1">IF($D26="Stock",OFFSET(HistPrices!$A$8,MATCH($L26,HistPrices!$A:$A,0)-ROW(HistPrices!$A$8)+2,MATCH($C26,HistPrices!$8:$8,0)-1,1,1),IF($D26="Bond",OFFSET(HistPrices!$A$8,MATCH($L26,HistPrices!$A:$A,0)-ROW(HistPrices!$A$8)+6,MATCH($C26,HistPrices!$8:$8,0)-1,1,1),""))</f>
        <v>2028</v>
      </c>
      <c r="O26" s="51">
        <f ca="1">IF(OR($D26="Stock",$D26="Option"),OFFSET(HistPrices!$A$8,MATCH($L26,HistPrices!$A:$A,0)-ROW(HistPrices!$A$8)+3,MATCH($C26,HistPrices!$8:$8,0)-1,1,1),"")</f>
        <v>2050</v>
      </c>
    </row>
    <row r="27" spans="1:15" ht="15.75" customHeight="1">
      <c r="A27" s="49">
        <v>44565</v>
      </c>
      <c r="B27" s="43" t="s">
        <v>17</v>
      </c>
      <c r="C27" s="10" t="s">
        <v>38</v>
      </c>
      <c r="D27" s="10" t="s">
        <v>16</v>
      </c>
      <c r="E27" s="3">
        <v>380</v>
      </c>
      <c r="I27" s="3">
        <v>450</v>
      </c>
      <c r="J27" s="43" t="s">
        <v>83</v>
      </c>
      <c r="K27" s="3" t="s">
        <v>84</v>
      </c>
      <c r="L27" s="50">
        <f t="shared" si="0"/>
        <v>44565</v>
      </c>
      <c r="M27" s="51">
        <f ca="1">IF($D27="Stock",OFFSET(HistPrices!$A$8,MATCH($L27,HistPrices!$A:$A,0)-ROW(HistPrices!$A$8)+1,MATCH($C27,HistPrices!$8:$8,0)-1,1,1),IF($D27="Bond",OFFSET(HistPrices!$A$8,MATCH($L27,HistPrices!$A:$A,0)-ROW(HistPrices!$A$8)+5,MATCH($C27,HistPrices!$8:$8,0)-1,1,1),""))</f>
        <v>2068.9499999999998</v>
      </c>
      <c r="N27" s="51">
        <f ca="1">IF($D27="Stock",OFFSET(HistPrices!$A$8,MATCH($L27,HistPrices!$A:$A,0)-ROW(HistPrices!$A$8)+2,MATCH($C27,HistPrices!$8:$8,0)-1,1,1),IF($D27="Bond",OFFSET(HistPrices!$A$8,MATCH($L27,HistPrices!$A:$A,0)-ROW(HistPrices!$A$8)+6,MATCH($C27,HistPrices!$8:$8,0)-1,1,1),""))</f>
        <v>2014</v>
      </c>
      <c r="O27" s="51">
        <f ca="1">IF(OR($D27="Stock",$D27="Option"),OFFSET(HistPrices!$A$8,MATCH($L27,HistPrices!$A:$A,0)-ROW(HistPrices!$A$8)+3,MATCH($C27,HistPrices!$8:$8,0)-1,1,1),"")</f>
        <v>2051.23</v>
      </c>
    </row>
    <row r="28" spans="1:15" ht="15.75" customHeight="1">
      <c r="A28" s="49">
        <v>44563</v>
      </c>
      <c r="B28" s="43" t="s">
        <v>17</v>
      </c>
      <c r="C28" s="43" t="s">
        <v>0</v>
      </c>
      <c r="D28" s="10" t="s">
        <v>16</v>
      </c>
      <c r="E28" s="43">
        <v>30</v>
      </c>
      <c r="I28" s="3">
        <v>385</v>
      </c>
      <c r="J28" s="43" t="s">
        <v>85</v>
      </c>
      <c r="K28" s="3" t="s">
        <v>86</v>
      </c>
      <c r="L28" s="50">
        <f t="shared" si="0"/>
        <v>44563</v>
      </c>
      <c r="M28" s="51">
        <f ca="1">IF($D28="Stock",OFFSET(HistPrices!$A$8,MATCH($L28,HistPrices!$A:$A,0)-ROW(HistPrices!$A$8)+1,MATCH($C28,HistPrices!$8:$8,0)-1,1,1),IF($D28="Bond",OFFSET(HistPrices!$A$8,MATCH($L28,HistPrices!$A:$A,0)-ROW(HistPrices!$A$8)+5,MATCH($C28,HistPrices!$8:$8,0)-1,1,1),""))</f>
        <v>0</v>
      </c>
      <c r="N28" s="51">
        <f ca="1">IF($D28="Stock",OFFSET(HistPrices!$A$8,MATCH($L28,HistPrices!$A:$A,0)-ROW(HistPrices!$A$8)+2,MATCH($C28,HistPrices!$8:$8,0)-1,1,1),IF($D28="Bond",OFFSET(HistPrices!$A$8,MATCH($L28,HistPrices!$A:$A,0)-ROW(HistPrices!$A$8)+6,MATCH($C28,HistPrices!$8:$8,0)-1,1,1),""))</f>
        <v>0</v>
      </c>
      <c r="O28" s="51">
        <f ca="1">IF(OR($D28="Stock",$D28="Option"),OFFSET(HistPrices!$A$8,MATCH($L28,HistPrices!$A:$A,0)-ROW(HistPrices!$A$8)+3,MATCH($C28,HistPrices!$8:$8,0)-1,1,1),"")</f>
        <v>5.45</v>
      </c>
    </row>
    <row r="29" spans="1:15" ht="15.75" customHeight="1">
      <c r="A29" s="49">
        <v>44563</v>
      </c>
      <c r="B29" s="43" t="s">
        <v>17</v>
      </c>
      <c r="C29" s="43" t="s">
        <v>38</v>
      </c>
      <c r="D29" s="10" t="s">
        <v>16</v>
      </c>
      <c r="E29" s="10">
        <v>30</v>
      </c>
      <c r="I29" s="3">
        <v>460</v>
      </c>
      <c r="J29" s="43" t="s">
        <v>85</v>
      </c>
      <c r="K29" s="3" t="s">
        <v>86</v>
      </c>
      <c r="L29" s="50">
        <f t="shared" si="0"/>
        <v>44563</v>
      </c>
      <c r="M29" s="51">
        <f ca="1">IF($D29="Stock",OFFSET(HistPrices!$A$8,MATCH($L29,HistPrices!$A:$A,0)-ROW(HistPrices!$A$8)+1,MATCH($C29,HistPrices!$8:$8,0)-1,1,1),IF($D29="Bond",OFFSET(HistPrices!$A$8,MATCH($L29,HistPrices!$A:$A,0)-ROW(HistPrices!$A$8)+5,MATCH($C29,HistPrices!$8:$8,0)-1,1,1),""))</f>
        <v>2072.98</v>
      </c>
      <c r="N29" s="51">
        <f ca="1">IF($D29="Stock",OFFSET(HistPrices!$A$8,MATCH($L29,HistPrices!$A:$A,0)-ROW(HistPrices!$A$8)+2,MATCH($C29,HistPrices!$8:$8,0)-1,1,1),IF($D29="Bond",OFFSET(HistPrices!$A$8,MATCH($L29,HistPrices!$A:$A,0)-ROW(HistPrices!$A$8)+6,MATCH($C29,HistPrices!$8:$8,0)-1,1,1),""))</f>
        <v>2028</v>
      </c>
      <c r="O29" s="51">
        <f ca="1">IF(OR($D29="Stock",$D29="Option"),OFFSET(HistPrices!$A$8,MATCH($L29,HistPrices!$A:$A,0)-ROW(HistPrices!$A$8)+3,MATCH($C29,HistPrices!$8:$8,0)-1,1,1),"")</f>
        <v>2050</v>
      </c>
    </row>
    <row r="30" spans="1:15" ht="15.75" customHeight="1">
      <c r="A30" s="49">
        <v>44563</v>
      </c>
      <c r="B30" s="43" t="s">
        <v>19</v>
      </c>
      <c r="C30" s="43" t="s">
        <v>38</v>
      </c>
      <c r="D30" s="10" t="s">
        <v>16</v>
      </c>
      <c r="E30" s="10">
        <v>20</v>
      </c>
      <c r="I30" s="3">
        <v>460</v>
      </c>
      <c r="J30" s="43" t="s">
        <v>85</v>
      </c>
      <c r="K30" s="3" t="s">
        <v>86</v>
      </c>
      <c r="L30" s="50">
        <f t="shared" si="0"/>
        <v>44563</v>
      </c>
      <c r="M30" s="51">
        <f ca="1">IF($D30="Stock",OFFSET(HistPrices!$A$8,MATCH($L30,HistPrices!$A:$A,0)-ROW(HistPrices!$A$8)+1,MATCH($C30,HistPrices!$8:$8,0)-1,1,1),IF($D30="Bond",OFFSET(HistPrices!$A$8,MATCH($L30,HistPrices!$A:$A,0)-ROW(HistPrices!$A$8)+5,MATCH($C30,HistPrices!$8:$8,0)-1,1,1),""))</f>
        <v>2072.98</v>
      </c>
      <c r="N30" s="51">
        <f ca="1">IF($D30="Stock",OFFSET(HistPrices!$A$8,MATCH($L30,HistPrices!$A:$A,0)-ROW(HistPrices!$A$8)+2,MATCH($C30,HistPrices!$8:$8,0)-1,1,1),IF($D30="Bond",OFFSET(HistPrices!$A$8,MATCH($L30,HistPrices!$A:$A,0)-ROW(HistPrices!$A$8)+6,MATCH($C30,HistPrices!$8:$8,0)-1,1,1),""))</f>
        <v>2028</v>
      </c>
      <c r="O30" s="51">
        <f ca="1">IF(OR($D30="Stock",$D30="Option"),OFFSET(HistPrices!$A$8,MATCH($L30,HistPrices!$A:$A,0)-ROW(HistPrices!$A$8)+3,MATCH($C30,HistPrices!$8:$8,0)-1,1,1),"")</f>
        <v>2050</v>
      </c>
    </row>
    <row r="31" spans="1:15" ht="15.75" customHeight="1">
      <c r="A31" s="49">
        <v>44566</v>
      </c>
      <c r="B31" s="43" t="s">
        <v>19</v>
      </c>
      <c r="C31" s="3" t="s">
        <v>4</v>
      </c>
      <c r="D31" s="10" t="s">
        <v>21</v>
      </c>
      <c r="G31" s="3">
        <v>10</v>
      </c>
      <c r="I31" s="3">
        <v>3.5</v>
      </c>
      <c r="J31" s="43" t="s">
        <v>87</v>
      </c>
      <c r="K31" s="3" t="s">
        <v>88</v>
      </c>
      <c r="L31" s="50">
        <f t="shared" si="0"/>
        <v>44566</v>
      </c>
      <c r="M31" s="24" t="str">
        <f ca="1">IF($D31="Stock",OFFSET(HistPrices!$A$8,MATCH($L31,HistPrices!$A:$A,0)-ROW(HistPrices!$A$8)+1,MATCH($C31,HistPrices!$8:$8,0)-1,1,1),IF($D31="Bond",OFFSET(HistPrices!$A$8,MATCH($L31,HistPrices!$A:$A,0)-ROW(HistPrices!$A$8)+5,MATCH($C31,HistPrices!$8:$8,0)-1,1,1),""))</f>
        <v/>
      </c>
      <c r="N31" s="24" t="str">
        <f ca="1">IF($D31="Stock",OFFSET(HistPrices!$A$8,MATCH($L31,HistPrices!$A:$A,0)-ROW(HistPrices!$A$8)+2,MATCH($C31,HistPrices!$8:$8,0)-1,1,1),IF($D31="Bond",OFFSET(HistPrices!$A$8,MATCH($L31,HistPrices!$A:$A,0)-ROW(HistPrices!$A$8)+6,MATCH($C31,HistPrices!$8:$8,0)-1,1,1),""))</f>
        <v/>
      </c>
      <c r="O31" s="51">
        <f ca="1">IF(OR($D31="Stock",$D31="Option"),OFFSET(HistPrices!$A$8,MATCH($L31,HistPrices!$A:$A,0)-ROW(HistPrices!$A$8)+3,MATCH($C31,HistPrices!$8:$8,0)-1,1,1),"")</f>
        <v>3.2500000000000004</v>
      </c>
    </row>
    <row r="32" spans="1:15" ht="15.75" customHeight="1">
      <c r="A32" s="49">
        <v>44566</v>
      </c>
      <c r="B32" s="43" t="s">
        <v>17</v>
      </c>
      <c r="C32" s="3" t="s">
        <v>5</v>
      </c>
      <c r="D32" s="10" t="s">
        <v>21</v>
      </c>
      <c r="G32" s="10">
        <v>10</v>
      </c>
      <c r="I32" s="3">
        <v>2.5</v>
      </c>
      <c r="J32" s="43" t="s">
        <v>87</v>
      </c>
      <c r="K32" s="3" t="s">
        <v>88</v>
      </c>
      <c r="L32" s="50">
        <f t="shared" si="0"/>
        <v>44566</v>
      </c>
      <c r="M32" s="24" t="str">
        <f ca="1">IF($D32="Stock",OFFSET(HistPrices!$A$8,MATCH($L32,HistPrices!$A:$A,0)-ROW(HistPrices!$A$8)+1,MATCH($C32,HistPrices!$8:$8,0)-1,1,1),IF($D32="Bond",OFFSET(HistPrices!$A$8,MATCH($L32,HistPrices!$A:$A,0)-ROW(HistPrices!$A$8)+5,MATCH($C32,HistPrices!$8:$8,0)-1,1,1),""))</f>
        <v/>
      </c>
      <c r="N32" s="24" t="str">
        <f ca="1">IF($D32="Stock",OFFSET(HistPrices!$A$8,MATCH($L32,HistPrices!$A:$A,0)-ROW(HistPrices!$A$8)+2,MATCH($C32,HistPrices!$8:$8,0)-1,1,1),IF($D32="Bond",OFFSET(HistPrices!$A$8,MATCH($L32,HistPrices!$A:$A,0)-ROW(HistPrices!$A$8)+6,MATCH($C32,HistPrices!$8:$8,0)-1,1,1),""))</f>
        <v/>
      </c>
      <c r="O32" s="51">
        <f ca="1">IF(OR($D32="Stock",$D32="Option"),OFFSET(HistPrices!$A$8,MATCH($L32,HistPrices!$A:$A,0)-ROW(HistPrices!$A$8)+3,MATCH($C32,HistPrices!$8:$8,0)-1,1,1),"")</f>
        <v>0</v>
      </c>
    </row>
    <row r="33" spans="1:15" ht="15.75" customHeight="1">
      <c r="A33" s="49">
        <v>44567</v>
      </c>
      <c r="B33" s="43" t="s">
        <v>17</v>
      </c>
      <c r="C33" s="10" t="s">
        <v>38</v>
      </c>
      <c r="D33" s="10" t="s">
        <v>16</v>
      </c>
      <c r="E33" s="43">
        <v>40</v>
      </c>
      <c r="I33" s="3">
        <v>430</v>
      </c>
      <c r="J33" s="43" t="s">
        <v>87</v>
      </c>
      <c r="K33" s="3" t="s">
        <v>88</v>
      </c>
      <c r="L33" s="50">
        <f t="shared" si="0"/>
        <v>44567</v>
      </c>
      <c r="M33" s="51">
        <f ca="1">IF($D33="Stock",OFFSET(HistPrices!$A$8,MATCH($L33,HistPrices!$A:$A,0)-ROW(HistPrices!$A$8)+1,MATCH($C33,HistPrices!$8:$8,0)-1,1,1),IF($D33="Bond",OFFSET(HistPrices!$A$8,MATCH($L33,HistPrices!$A:$A,0)-ROW(HistPrices!$A$8)+5,MATCH($C33,HistPrices!$8:$8,0)-1,1,1),""))</f>
        <v>2036</v>
      </c>
      <c r="N33" s="51">
        <f ca="1">IF($D33="Stock",OFFSET(HistPrices!$A$8,MATCH($L33,HistPrices!$A:$A,0)-ROW(HistPrices!$A$8)+2,MATCH($C33,HistPrices!$8:$8,0)-1,1,1),IF($D33="Bond",OFFSET(HistPrices!$A$8,MATCH($L33,HistPrices!$A:$A,0)-ROW(HistPrices!$A$8)+6,MATCH($C33,HistPrices!$8:$8,0)-1,1,1),""))</f>
        <v>1938.51</v>
      </c>
      <c r="O33" s="51">
        <f ca="1">IF(OR($D33="Stock",$D33="Option"),OFFSET(HistPrices!$A$8,MATCH($L33,HistPrices!$A:$A,0)-ROW(HistPrices!$A$8)+3,MATCH($C33,HistPrices!$8:$8,0)-1,1,1),"")</f>
        <v>1982.22</v>
      </c>
    </row>
    <row r="34" spans="1:15" ht="15.75" customHeight="1">
      <c r="A34" s="49">
        <v>44568</v>
      </c>
      <c r="B34" s="43" t="s">
        <v>19</v>
      </c>
      <c r="C34" s="10" t="s">
        <v>38</v>
      </c>
      <c r="D34" s="10" t="s">
        <v>16</v>
      </c>
      <c r="E34" s="3">
        <v>50</v>
      </c>
      <c r="I34" s="3">
        <v>440</v>
      </c>
      <c r="J34" s="43" t="s">
        <v>87</v>
      </c>
      <c r="K34" s="3" t="s">
        <v>88</v>
      </c>
      <c r="L34" s="50">
        <f t="shared" si="0"/>
        <v>44568</v>
      </c>
      <c r="M34" s="51">
        <f ca="1">IF($D34="Stock",OFFSET(HistPrices!$A$8,MATCH($L34,HistPrices!$A:$A,0)-ROW(HistPrices!$A$8)+1,MATCH($C34,HistPrices!$8:$8,0)-1,1,1),IF($D34="Bond",OFFSET(HistPrices!$A$8,MATCH($L34,HistPrices!$A:$A,0)-ROW(HistPrices!$A$8)+5,MATCH($C34,HistPrices!$8:$8,0)-1,1,1),""))</f>
        <v>1988.88</v>
      </c>
      <c r="N34" s="51">
        <f ca="1">IF($D34="Stock",OFFSET(HistPrices!$A$8,MATCH($L34,HistPrices!$A:$A,0)-ROW(HistPrices!$A$8)+2,MATCH($C34,HistPrices!$8:$8,0)-1,1,1),IF($D34="Bond",OFFSET(HistPrices!$A$8,MATCH($L34,HistPrices!$A:$A,0)-ROW(HistPrices!$A$8)+6,MATCH($C34,HistPrices!$8:$8,0)-1,1,1),""))</f>
        <v>1939.32</v>
      </c>
      <c r="O34" s="51">
        <f ca="1">IF(OR($D34="Stock",$D34="Option"),OFFSET(HistPrices!$A$8,MATCH($L34,HistPrices!$A:$A,0)-ROW(HistPrices!$A$8)+3,MATCH($C34,HistPrices!$8:$8,0)-1,1,1),"")</f>
        <v>1942</v>
      </c>
    </row>
    <row r="35" spans="1:15" ht="15.75" customHeight="1">
      <c r="A35" s="49">
        <v>44568</v>
      </c>
      <c r="B35" s="43" t="s">
        <v>19</v>
      </c>
      <c r="C35" s="43" t="s">
        <v>7</v>
      </c>
      <c r="D35" s="10" t="s">
        <v>18</v>
      </c>
      <c r="F35" s="10">
        <v>20</v>
      </c>
      <c r="I35" s="3">
        <v>19</v>
      </c>
      <c r="J35" s="43" t="s">
        <v>87</v>
      </c>
      <c r="K35" s="3" t="s">
        <v>88</v>
      </c>
      <c r="L35" s="50">
        <f t="shared" si="0"/>
        <v>44568</v>
      </c>
      <c r="M35" s="51" t="str">
        <f ca="1">IF($D35="Stock",OFFSET(HistPrices!$A$8,MATCH($L35,HistPrices!$A:$A,0)-ROW(HistPrices!$A$8)+1,MATCH($C35,HistPrices!$8:$8,0)-1,1,1),IF($D35="Bond",OFFSET(HistPrices!$A$8,MATCH($L35,HistPrices!$A:$A,0)-ROW(HistPrices!$A$8)+5,MATCH($C35,HistPrices!$8:$8,0)-1,1,1),""))</f>
        <v/>
      </c>
      <c r="N35" s="51" t="str">
        <f ca="1">IF($D35="Stock",OFFSET(HistPrices!$A$8,MATCH($L35,HistPrices!$A:$A,0)-ROW(HistPrices!$A$8)+2,MATCH($C35,HistPrices!$8:$8,0)-1,1,1),IF($D35="Bond",OFFSET(HistPrices!$A$8,MATCH($L35,HistPrices!$A:$A,0)-ROW(HistPrices!$A$8)+6,MATCH($C35,HistPrices!$8:$8,0)-1,1,1),""))</f>
        <v/>
      </c>
      <c r="O35" s="24" t="str">
        <f ca="1">IF(OR($D35="Stock",$D35="Option"),OFFSET(HistPrices!$A$8,MATCH($L35,HistPrices!$A:$A,0)-ROW(HistPrices!$A$8)+3,MATCH($C35,HistPrices!$8:$8,0)-1,1,1),"")</f>
        <v/>
      </c>
    </row>
    <row r="36" spans="1:15" ht="15.75" customHeight="1">
      <c r="A36" s="49">
        <v>44564</v>
      </c>
      <c r="B36" s="43" t="s">
        <v>17</v>
      </c>
      <c r="C36" s="43" t="s">
        <v>7</v>
      </c>
      <c r="D36" s="10" t="s">
        <v>18</v>
      </c>
      <c r="F36" s="3">
        <v>30</v>
      </c>
      <c r="I36" s="3">
        <v>23</v>
      </c>
      <c r="J36" s="43" t="s">
        <v>85</v>
      </c>
      <c r="K36" s="3" t="s">
        <v>86</v>
      </c>
      <c r="L36" s="50">
        <f t="shared" si="0"/>
        <v>44564</v>
      </c>
      <c r="M36" s="51" t="str">
        <f ca="1">IF($D36="Stock",OFFSET(HistPrices!$A$8,MATCH($L36,HistPrices!$A:$A,0)-ROW(HistPrices!$A$8)+1,MATCH($C36,HistPrices!$8:$8,0)-1,1,1),IF($D36="Bond",OFFSET(HistPrices!$A$8,MATCH($L36,HistPrices!$A:$A,0)-ROW(HistPrices!$A$8)+5,MATCH($C36,HistPrices!$8:$8,0)-1,1,1),""))</f>
        <v/>
      </c>
      <c r="N36" s="51" t="str">
        <f ca="1">IF($D36="Stock",OFFSET(HistPrices!$A$8,MATCH($L36,HistPrices!$A:$A,0)-ROW(HistPrices!$A$8)+2,MATCH($C36,HistPrices!$8:$8,0)-1,1,1),IF($D36="Bond",OFFSET(HistPrices!$A$8,MATCH($L36,HistPrices!$A:$A,0)-ROW(HistPrices!$A$8)+6,MATCH($C36,HistPrices!$8:$8,0)-1,1,1),""))</f>
        <v/>
      </c>
      <c r="O36" s="24" t="str">
        <f ca="1">IF(OR($D36="Stock",$D36="Option"),OFFSET(HistPrices!$A$8,MATCH($L36,HistPrices!$A:$A,0)-ROW(HistPrices!$A$8)+3,MATCH($C36,HistPrices!$8:$8,0)-1,1,1),"")</f>
        <v/>
      </c>
    </row>
    <row r="37" spans="1:15" ht="15.75" customHeight="1">
      <c r="A37" s="49">
        <v>44565</v>
      </c>
      <c r="B37" s="43" t="s">
        <v>19</v>
      </c>
      <c r="C37" s="43" t="s">
        <v>7</v>
      </c>
      <c r="D37" s="10" t="s">
        <v>18</v>
      </c>
      <c r="F37" s="3">
        <v>20</v>
      </c>
      <c r="I37" s="3">
        <v>22</v>
      </c>
      <c r="J37" s="43" t="s">
        <v>85</v>
      </c>
      <c r="K37" s="3" t="s">
        <v>86</v>
      </c>
      <c r="L37" s="50">
        <f t="shared" si="0"/>
        <v>44565</v>
      </c>
      <c r="M37" s="51" t="str">
        <f ca="1">IF($D37="Stock",OFFSET(HistPrices!$A$8,MATCH($L37,HistPrices!$A:$A,0)-ROW(HistPrices!$A$8)+1,MATCH($C37,HistPrices!$8:$8,0)-1,1,1),IF($D37="Bond",OFFSET(HistPrices!$A$8,MATCH($L37,HistPrices!$A:$A,0)-ROW(HistPrices!$A$8)+5,MATCH($C37,HistPrices!$8:$8,0)-1,1,1),""))</f>
        <v/>
      </c>
      <c r="N37" s="51" t="str">
        <f ca="1">IF($D37="Stock",OFFSET(HistPrices!$A$8,MATCH($L37,HistPrices!$A:$A,0)-ROW(HistPrices!$A$8)+2,MATCH($C37,HistPrices!$8:$8,0)-1,1,1),IF($D37="Bond",OFFSET(HistPrices!$A$8,MATCH($L37,HistPrices!$A:$A,0)-ROW(HistPrices!$A$8)+6,MATCH($C37,HistPrices!$8:$8,0)-1,1,1),""))</f>
        <v/>
      </c>
      <c r="O37" s="24" t="str">
        <f ca="1">IF(OR($D37="Stock",$D37="Option"),OFFSET(HistPrices!$A$8,MATCH($L37,HistPrices!$A:$A,0)-ROW(HistPrices!$A$8)+3,MATCH($C37,HistPrices!$8:$8,0)-1,1,1),"")</f>
        <v/>
      </c>
    </row>
    <row r="38" spans="1:15" ht="15.75" customHeight="1">
      <c r="A38" s="49">
        <v>44572</v>
      </c>
      <c r="B38" s="43" t="s">
        <v>17</v>
      </c>
      <c r="C38" s="3" t="s">
        <v>89</v>
      </c>
      <c r="D38" s="3" t="s">
        <v>16</v>
      </c>
      <c r="E38" s="3">
        <v>10</v>
      </c>
      <c r="I38" s="3">
        <v>1050</v>
      </c>
      <c r="J38" s="3" t="s">
        <v>90</v>
      </c>
      <c r="K38" s="3" t="s">
        <v>91</v>
      </c>
      <c r="L38" s="50">
        <f t="shared" si="0"/>
        <v>44572</v>
      </c>
      <c r="M38" s="57">
        <v>1075.8499999999999</v>
      </c>
      <c r="N38" s="57">
        <v>1038.82</v>
      </c>
      <c r="O38" s="57">
        <v>1064.4000000000001</v>
      </c>
    </row>
    <row r="39" spans="1:15" ht="15.75" customHeight="1">
      <c r="A39" s="49">
        <v>44572</v>
      </c>
      <c r="B39" s="43" t="s">
        <v>17</v>
      </c>
      <c r="C39" s="3" t="s">
        <v>89</v>
      </c>
      <c r="D39" s="3" t="s">
        <v>16</v>
      </c>
      <c r="E39" s="3">
        <v>10</v>
      </c>
      <c r="I39" s="3">
        <v>1050</v>
      </c>
      <c r="J39" s="3" t="s">
        <v>90</v>
      </c>
      <c r="K39" s="3" t="s">
        <v>91</v>
      </c>
      <c r="L39" s="50">
        <f t="shared" si="0"/>
        <v>44572</v>
      </c>
      <c r="M39" s="24"/>
      <c r="N39" s="24"/>
      <c r="O39" s="24"/>
    </row>
    <row r="40" spans="1:15" ht="15.75" customHeight="1">
      <c r="L40" s="58" t="str">
        <f t="shared" si="0"/>
        <v/>
      </c>
      <c r="M40" s="24"/>
      <c r="N40" s="24"/>
      <c r="O40" s="24"/>
    </row>
    <row r="41" spans="1:15" ht="15.75" customHeight="1">
      <c r="L41" s="58" t="str">
        <f t="shared" si="0"/>
        <v/>
      </c>
      <c r="M41" s="24"/>
      <c r="N41" s="24"/>
      <c r="O41" s="24"/>
    </row>
    <row r="42" spans="1:15" ht="15.75" customHeight="1">
      <c r="L42" s="58" t="str">
        <f t="shared" si="0"/>
        <v/>
      </c>
      <c r="M42" s="24"/>
      <c r="N42" s="24"/>
      <c r="O42" s="24"/>
    </row>
    <row r="43" spans="1:15" ht="15.75" customHeight="1">
      <c r="L43" s="58" t="str">
        <f t="shared" si="0"/>
        <v/>
      </c>
      <c r="M43" s="24"/>
      <c r="N43" s="24"/>
      <c r="O43" s="24"/>
    </row>
    <row r="44" spans="1:15" ht="15.75" customHeight="1">
      <c r="L44" s="58" t="str">
        <f t="shared" si="0"/>
        <v/>
      </c>
      <c r="M44" s="24"/>
      <c r="N44" s="24"/>
      <c r="O44" s="24"/>
    </row>
    <row r="45" spans="1:15" ht="15.75" customHeight="1">
      <c r="L45" s="58" t="str">
        <f t="shared" si="0"/>
        <v/>
      </c>
      <c r="M45" s="24"/>
      <c r="N45" s="24"/>
      <c r="O45" s="24"/>
    </row>
    <row r="46" spans="1:15" ht="15.75" customHeight="1">
      <c r="L46" s="58" t="str">
        <f t="shared" si="0"/>
        <v/>
      </c>
      <c r="M46" s="24"/>
      <c r="N46" s="24"/>
      <c r="O46" s="24"/>
    </row>
    <row r="47" spans="1:15" ht="15.75" customHeight="1">
      <c r="L47" s="58" t="str">
        <f t="shared" si="0"/>
        <v/>
      </c>
      <c r="M47" s="24"/>
      <c r="N47" s="24"/>
      <c r="O47" s="24"/>
    </row>
    <row r="48" spans="1:15" ht="15.75" customHeight="1">
      <c r="L48" s="58" t="str">
        <f t="shared" si="0"/>
        <v/>
      </c>
      <c r="M48" s="24"/>
      <c r="N48" s="24"/>
      <c r="O48" s="24"/>
    </row>
    <row r="49" spans="12:15" ht="15.75" customHeight="1">
      <c r="L49" s="58" t="str">
        <f t="shared" si="0"/>
        <v/>
      </c>
      <c r="M49" s="24"/>
      <c r="N49" s="24"/>
      <c r="O49" s="24"/>
    </row>
    <row r="50" spans="12:15" ht="15.75" customHeight="1">
      <c r="L50" s="58" t="str">
        <f t="shared" si="0"/>
        <v/>
      </c>
      <c r="M50" s="24"/>
      <c r="N50" s="24"/>
      <c r="O50" s="24"/>
    </row>
    <row r="51" spans="12:15" ht="15.75" customHeight="1">
      <c r="L51" s="58" t="str">
        <f t="shared" si="0"/>
        <v/>
      </c>
      <c r="M51" s="24"/>
      <c r="N51" s="24"/>
      <c r="O51" s="24"/>
    </row>
    <row r="52" spans="12:15" ht="15.75" customHeight="1">
      <c r="L52" s="58" t="str">
        <f t="shared" si="0"/>
        <v/>
      </c>
      <c r="M52" s="24"/>
      <c r="N52" s="24"/>
      <c r="O52" s="24"/>
    </row>
    <row r="53" spans="12:15" ht="15.75" customHeight="1">
      <c r="L53" s="58" t="str">
        <f t="shared" si="0"/>
        <v/>
      </c>
      <c r="M53" s="24"/>
      <c r="N53" s="24"/>
      <c r="O53" s="24"/>
    </row>
    <row r="54" spans="12:15" ht="15.75" customHeight="1">
      <c r="L54" s="58" t="str">
        <f t="shared" si="0"/>
        <v/>
      </c>
      <c r="M54" s="24"/>
      <c r="N54" s="24"/>
      <c r="O54" s="24"/>
    </row>
    <row r="55" spans="12:15" ht="15.75" customHeight="1">
      <c r="L55" s="58" t="str">
        <f t="shared" si="0"/>
        <v/>
      </c>
      <c r="M55" s="24"/>
      <c r="N55" s="24"/>
      <c r="O55" s="24"/>
    </row>
    <row r="56" spans="12:15" ht="15.75" customHeight="1">
      <c r="L56" s="58" t="str">
        <f t="shared" si="0"/>
        <v/>
      </c>
      <c r="M56" s="24"/>
      <c r="N56" s="24"/>
      <c r="O56" s="24"/>
    </row>
    <row r="57" spans="12:15" ht="15.75" customHeight="1">
      <c r="L57" s="58" t="str">
        <f t="shared" si="0"/>
        <v/>
      </c>
      <c r="M57" s="24"/>
      <c r="N57" s="24"/>
      <c r="O57" s="24"/>
    </row>
    <row r="58" spans="12:15" ht="15.75" customHeight="1">
      <c r="L58" s="58" t="str">
        <f t="shared" si="0"/>
        <v/>
      </c>
      <c r="M58" s="24"/>
      <c r="N58" s="24"/>
      <c r="O58" s="24"/>
    </row>
    <row r="59" spans="12:15" ht="15.75" customHeight="1">
      <c r="L59" s="58" t="str">
        <f t="shared" si="0"/>
        <v/>
      </c>
      <c r="M59" s="24"/>
      <c r="N59" s="24"/>
      <c r="O59" s="24"/>
    </row>
    <row r="60" spans="12:15" ht="15.75" customHeight="1">
      <c r="L60" s="58" t="str">
        <f t="shared" si="0"/>
        <v/>
      </c>
      <c r="M60" s="24"/>
      <c r="N60" s="24"/>
      <c r="O60" s="24"/>
    </row>
    <row r="61" spans="12:15" ht="15.75" customHeight="1">
      <c r="L61" s="58" t="str">
        <f t="shared" si="0"/>
        <v/>
      </c>
      <c r="M61" s="24"/>
      <c r="N61" s="24"/>
      <c r="O61" s="24"/>
    </row>
    <row r="62" spans="12:15" ht="15.75" customHeight="1">
      <c r="L62" s="58" t="str">
        <f t="shared" si="0"/>
        <v/>
      </c>
      <c r="M62" s="24"/>
      <c r="N62" s="24"/>
      <c r="O62" s="24"/>
    </row>
    <row r="63" spans="12:15" ht="15.75" customHeight="1">
      <c r="L63" s="58" t="str">
        <f t="shared" si="0"/>
        <v/>
      </c>
      <c r="M63" s="24"/>
      <c r="N63" s="24"/>
      <c r="O63" s="24"/>
    </row>
    <row r="64" spans="12:15" ht="15.75" customHeight="1">
      <c r="L64" s="58" t="str">
        <f t="shared" si="0"/>
        <v/>
      </c>
      <c r="M64" s="24"/>
      <c r="N64" s="24"/>
      <c r="O64" s="24"/>
    </row>
    <row r="65" spans="12:15" ht="15.75" customHeight="1">
      <c r="L65" s="58" t="str">
        <f t="shared" si="0"/>
        <v/>
      </c>
      <c r="M65" s="24"/>
      <c r="N65" s="24"/>
      <c r="O65" s="24"/>
    </row>
    <row r="66" spans="12:15" ht="15.75" customHeight="1">
      <c r="L66" s="58" t="str">
        <f t="shared" si="0"/>
        <v/>
      </c>
      <c r="M66" s="24"/>
      <c r="N66" s="24"/>
      <c r="O66" s="24"/>
    </row>
    <row r="67" spans="12:15" ht="15.75" customHeight="1">
      <c r="L67" s="58" t="str">
        <f t="shared" si="0"/>
        <v/>
      </c>
      <c r="M67" s="24"/>
      <c r="N67" s="24"/>
      <c r="O67" s="24"/>
    </row>
    <row r="68" spans="12:15" ht="15.75" customHeight="1">
      <c r="L68" s="58" t="str">
        <f t="shared" si="0"/>
        <v/>
      </c>
      <c r="M68" s="24"/>
      <c r="N68" s="24"/>
      <c r="O68" s="24"/>
    </row>
    <row r="69" spans="12:15" ht="15.75" customHeight="1">
      <c r="L69" s="58" t="str">
        <f t="shared" si="0"/>
        <v/>
      </c>
      <c r="M69" s="24"/>
      <c r="N69" s="24"/>
      <c r="O69" s="24"/>
    </row>
    <row r="70" spans="12:15" ht="15.75" customHeight="1">
      <c r="L70" s="58" t="str">
        <f t="shared" si="0"/>
        <v/>
      </c>
      <c r="M70" s="24"/>
      <c r="N70" s="24"/>
      <c r="O70" s="24"/>
    </row>
    <row r="71" spans="12:15" ht="15.75" customHeight="1">
      <c r="L71" s="58" t="str">
        <f t="shared" si="0"/>
        <v/>
      </c>
      <c r="M71" s="24"/>
      <c r="N71" s="24"/>
      <c r="O71" s="24"/>
    </row>
    <row r="72" spans="12:15" ht="15.75" customHeight="1">
      <c r="L72" s="58" t="str">
        <f t="shared" si="0"/>
        <v/>
      </c>
      <c r="M72" s="24"/>
      <c r="N72" s="24"/>
      <c r="O72" s="24"/>
    </row>
    <row r="73" spans="12:15" ht="15.75" customHeight="1">
      <c r="L73" s="58" t="str">
        <f t="shared" si="0"/>
        <v/>
      </c>
      <c r="M73" s="24"/>
      <c r="N73" s="24"/>
      <c r="O73" s="24"/>
    </row>
    <row r="74" spans="12:15" ht="15.75" customHeight="1">
      <c r="L74" s="58" t="str">
        <f t="shared" si="0"/>
        <v/>
      </c>
      <c r="M74" s="24"/>
      <c r="N74" s="24"/>
      <c r="O74" s="24"/>
    </row>
    <row r="75" spans="12:15" ht="15.75" customHeight="1">
      <c r="L75" s="58" t="str">
        <f t="shared" si="0"/>
        <v/>
      </c>
      <c r="M75" s="24"/>
      <c r="N75" s="24"/>
      <c r="O75" s="24"/>
    </row>
    <row r="76" spans="12:15" ht="15.75" customHeight="1">
      <c r="L76" s="58" t="str">
        <f t="shared" si="0"/>
        <v/>
      </c>
      <c r="M76" s="24"/>
      <c r="N76" s="24"/>
      <c r="O76" s="24"/>
    </row>
    <row r="77" spans="12:15" ht="15.75" customHeight="1">
      <c r="L77" s="58" t="str">
        <f t="shared" si="0"/>
        <v/>
      </c>
      <c r="M77" s="24"/>
      <c r="N77" s="24"/>
      <c r="O77" s="24"/>
    </row>
    <row r="78" spans="12:15" ht="15.75" customHeight="1">
      <c r="L78" s="58" t="str">
        <f t="shared" si="0"/>
        <v/>
      </c>
      <c r="M78" s="24"/>
      <c r="N78" s="24"/>
      <c r="O78" s="24"/>
    </row>
    <row r="79" spans="12:15" ht="15.75" customHeight="1">
      <c r="L79" s="58" t="str">
        <f t="shared" si="0"/>
        <v/>
      </c>
      <c r="M79" s="24"/>
      <c r="N79" s="24"/>
      <c r="O79" s="24"/>
    </row>
    <row r="80" spans="12:15" ht="15.75" customHeight="1">
      <c r="L80" s="58" t="str">
        <f t="shared" si="0"/>
        <v/>
      </c>
      <c r="M80" s="24"/>
      <c r="N80" s="24"/>
      <c r="O80" s="24"/>
    </row>
    <row r="81" spans="12:15" ht="15.75" customHeight="1">
      <c r="L81" s="58" t="str">
        <f t="shared" si="0"/>
        <v/>
      </c>
      <c r="M81" s="24"/>
      <c r="N81" s="24"/>
      <c r="O81" s="24"/>
    </row>
    <row r="82" spans="12:15" ht="15.75" customHeight="1">
      <c r="L82" s="58" t="str">
        <f t="shared" si="0"/>
        <v/>
      </c>
      <c r="M82" s="24"/>
      <c r="N82" s="24"/>
      <c r="O82" s="24"/>
    </row>
    <row r="83" spans="12:15" ht="15.75" customHeight="1">
      <c r="L83" s="58" t="str">
        <f t="shared" si="0"/>
        <v/>
      </c>
      <c r="M83" s="24"/>
      <c r="N83" s="24"/>
      <c r="O83" s="24"/>
    </row>
    <row r="84" spans="12:15" ht="15.75" customHeight="1">
      <c r="L84" s="58" t="str">
        <f t="shared" si="0"/>
        <v/>
      </c>
      <c r="M84" s="24"/>
      <c r="N84" s="24"/>
      <c r="O84" s="24"/>
    </row>
    <row r="85" spans="12:15" ht="15.75" customHeight="1">
      <c r="L85" s="58" t="str">
        <f t="shared" si="0"/>
        <v/>
      </c>
      <c r="M85" s="24"/>
      <c r="N85" s="24"/>
      <c r="O85" s="24"/>
    </row>
    <row r="86" spans="12:15" ht="15.75" customHeight="1">
      <c r="L86" s="58" t="str">
        <f t="shared" si="0"/>
        <v/>
      </c>
      <c r="M86" s="24"/>
      <c r="N86" s="24"/>
      <c r="O86" s="24"/>
    </row>
    <row r="87" spans="12:15" ht="15.75" customHeight="1">
      <c r="L87" s="58" t="str">
        <f t="shared" si="0"/>
        <v/>
      </c>
      <c r="M87" s="24"/>
      <c r="N87" s="24"/>
      <c r="O87" s="24"/>
    </row>
    <row r="88" spans="12:15" ht="15.75" customHeight="1">
      <c r="L88" s="58" t="str">
        <f t="shared" si="0"/>
        <v/>
      </c>
      <c r="M88" s="24"/>
      <c r="N88" s="24"/>
      <c r="O88" s="24"/>
    </row>
    <row r="89" spans="12:15" ht="15.75" customHeight="1">
      <c r="L89" s="58" t="str">
        <f t="shared" si="0"/>
        <v/>
      </c>
      <c r="M89" s="24"/>
      <c r="N89" s="24"/>
      <c r="O89" s="24"/>
    </row>
    <row r="90" spans="12:15" ht="15.75" customHeight="1">
      <c r="L90" s="58" t="str">
        <f t="shared" si="0"/>
        <v/>
      </c>
      <c r="M90" s="24"/>
      <c r="N90" s="24"/>
      <c r="O90" s="24"/>
    </row>
    <row r="91" spans="12:15" ht="13">
      <c r="L91" s="58" t="str">
        <f t="shared" si="0"/>
        <v/>
      </c>
      <c r="M91" s="24"/>
      <c r="N91" s="24"/>
      <c r="O91" s="24"/>
    </row>
    <row r="92" spans="12:15" ht="13">
      <c r="L92" s="58" t="str">
        <f t="shared" si="0"/>
        <v/>
      </c>
      <c r="M92" s="24"/>
      <c r="N92" s="24"/>
      <c r="O92" s="24"/>
    </row>
    <row r="93" spans="12:15" ht="13">
      <c r="L93" s="58" t="str">
        <f t="shared" si="0"/>
        <v/>
      </c>
      <c r="M93" s="24"/>
      <c r="N93" s="24"/>
      <c r="O93" s="24"/>
    </row>
    <row r="94" spans="12:15" ht="13">
      <c r="L94" s="58" t="str">
        <f t="shared" si="0"/>
        <v/>
      </c>
      <c r="M94" s="24"/>
      <c r="N94" s="24"/>
      <c r="O94" s="24"/>
    </row>
    <row r="95" spans="12:15" ht="13">
      <c r="L95" s="58" t="str">
        <f t="shared" si="0"/>
        <v/>
      </c>
      <c r="M95" s="24"/>
      <c r="N95" s="24"/>
      <c r="O95" s="24"/>
    </row>
    <row r="96" spans="12:15" ht="13">
      <c r="L96" s="58" t="str">
        <f t="shared" si="0"/>
        <v/>
      </c>
      <c r="M96" s="24"/>
      <c r="N96" s="24"/>
      <c r="O96" s="24"/>
    </row>
    <row r="97" spans="12:15" ht="13">
      <c r="L97" s="58" t="str">
        <f t="shared" si="0"/>
        <v/>
      </c>
      <c r="M97" s="24"/>
      <c r="N97" s="24"/>
      <c r="O97" s="24"/>
    </row>
    <row r="98" spans="12:15" ht="13">
      <c r="L98" s="58" t="str">
        <f t="shared" si="0"/>
        <v/>
      </c>
      <c r="M98" s="24"/>
      <c r="N98" s="24"/>
      <c r="O98" s="24"/>
    </row>
    <row r="99" spans="12:15" ht="13">
      <c r="L99" s="58" t="str">
        <f t="shared" si="0"/>
        <v/>
      </c>
      <c r="M99" s="24"/>
      <c r="N99" s="24"/>
      <c r="O99" s="24"/>
    </row>
    <row r="100" spans="12:15" ht="13">
      <c r="L100" s="58" t="str">
        <f t="shared" si="0"/>
        <v/>
      </c>
      <c r="M100" s="24"/>
      <c r="N100" s="24"/>
      <c r="O100" s="24"/>
    </row>
    <row r="101" spans="12:15" ht="13">
      <c r="L101" s="58" t="str">
        <f t="shared" si="0"/>
        <v/>
      </c>
      <c r="M101" s="24"/>
      <c r="N101" s="24"/>
      <c r="O101" s="24"/>
    </row>
    <row r="102" spans="12:15" ht="13">
      <c r="L102" s="58" t="str">
        <f t="shared" si="0"/>
        <v/>
      </c>
      <c r="M102" s="24"/>
      <c r="N102" s="24"/>
      <c r="O102" s="24"/>
    </row>
    <row r="103" spans="12:15" ht="13">
      <c r="L103" s="58" t="str">
        <f t="shared" si="0"/>
        <v/>
      </c>
      <c r="M103" s="24"/>
      <c r="N103" s="24"/>
      <c r="O103" s="24"/>
    </row>
    <row r="104" spans="12:15" ht="13">
      <c r="L104" s="58" t="str">
        <f t="shared" si="0"/>
        <v/>
      </c>
      <c r="M104" s="24"/>
      <c r="N104" s="24"/>
      <c r="O104" s="24"/>
    </row>
    <row r="105" spans="12:15" ht="13">
      <c r="L105" s="58" t="str">
        <f t="shared" si="0"/>
        <v/>
      </c>
      <c r="M105" s="24"/>
      <c r="N105" s="24"/>
      <c r="O105" s="2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00"/>
    <outlinePr summaryBelow="0" summaryRight="0"/>
  </sheetPr>
  <dimension ref="A1:F1002"/>
  <sheetViews>
    <sheetView showGridLines="0" workbookViewId="0"/>
  </sheetViews>
  <sheetFormatPr baseColWidth="10" defaultColWidth="14.5" defaultRowHeight="15.75" customHeight="1"/>
  <cols>
    <col min="1" max="1" width="29.1640625" customWidth="1"/>
  </cols>
  <sheetData>
    <row r="1" spans="1:6">
      <c r="A1" s="59" t="s">
        <v>92</v>
      </c>
      <c r="B1" s="60"/>
      <c r="C1" s="60"/>
      <c r="D1" s="60"/>
      <c r="E1" s="60"/>
      <c r="F1" s="60"/>
    </row>
    <row r="2" spans="1:6" ht="15.75" customHeight="1">
      <c r="B2" s="60"/>
      <c r="C2" s="60"/>
      <c r="D2" s="60"/>
      <c r="E2" s="60"/>
      <c r="F2" s="60"/>
    </row>
    <row r="3" spans="1:6" ht="15.75" customHeight="1">
      <c r="A3" s="496" t="s">
        <v>65</v>
      </c>
      <c r="B3" s="490" t="s">
        <v>869</v>
      </c>
    </row>
    <row r="5" spans="1:6" ht="15.75" customHeight="1">
      <c r="A5" s="491" t="s">
        <v>93</v>
      </c>
      <c r="B5" s="491" t="s">
        <v>68</v>
      </c>
      <c r="C5" s="498"/>
      <c r="D5" s="498"/>
      <c r="E5" s="498"/>
      <c r="F5" s="499"/>
    </row>
    <row r="6" spans="1:6" ht="15.75" customHeight="1">
      <c r="A6" s="491" t="s">
        <v>67</v>
      </c>
      <c r="B6" s="493" t="s">
        <v>18</v>
      </c>
      <c r="C6" s="500" t="s">
        <v>21</v>
      </c>
      <c r="D6" s="500" t="s">
        <v>16</v>
      </c>
      <c r="E6" s="500" t="s">
        <v>61</v>
      </c>
      <c r="F6" s="494" t="s">
        <v>94</v>
      </c>
    </row>
    <row r="7" spans="1:6" ht="15.75" customHeight="1">
      <c r="A7" s="493" t="s">
        <v>38</v>
      </c>
      <c r="B7" s="503"/>
      <c r="C7" s="504"/>
      <c r="D7" s="504">
        <v>0</v>
      </c>
      <c r="E7" s="504"/>
      <c r="F7" s="520">
        <v>0</v>
      </c>
    </row>
    <row r="8" spans="1:6" ht="15.75" customHeight="1">
      <c r="A8" s="507" t="s">
        <v>63</v>
      </c>
      <c r="B8" s="508"/>
      <c r="C8" s="509"/>
      <c r="D8" s="509"/>
      <c r="E8" s="509">
        <v>0</v>
      </c>
      <c r="F8" s="521">
        <v>0</v>
      </c>
    </row>
    <row r="9" spans="1:6" ht="15.75" customHeight="1">
      <c r="A9" s="507" t="s">
        <v>40</v>
      </c>
      <c r="B9" s="508"/>
      <c r="C9" s="509"/>
      <c r="D9" s="509">
        <v>0</v>
      </c>
      <c r="E9" s="509"/>
      <c r="F9" s="521">
        <v>0</v>
      </c>
    </row>
    <row r="10" spans="1:6" ht="15.75" customHeight="1">
      <c r="A10" s="507" t="s">
        <v>42</v>
      </c>
      <c r="B10" s="508"/>
      <c r="C10" s="509"/>
      <c r="D10" s="509">
        <v>0</v>
      </c>
      <c r="E10" s="509"/>
      <c r="F10" s="521">
        <v>0</v>
      </c>
    </row>
    <row r="11" spans="1:6" ht="15.75" customHeight="1">
      <c r="A11" s="507" t="s">
        <v>0</v>
      </c>
      <c r="B11" s="508"/>
      <c r="C11" s="509"/>
      <c r="D11" s="509">
        <v>0</v>
      </c>
      <c r="E11" s="509"/>
      <c r="F11" s="521">
        <v>0</v>
      </c>
    </row>
    <row r="12" spans="1:6" ht="15.75" customHeight="1">
      <c r="A12" s="507" t="s">
        <v>36</v>
      </c>
      <c r="B12" s="508"/>
      <c r="C12" s="509"/>
      <c r="D12" s="509">
        <v>0</v>
      </c>
      <c r="E12" s="509"/>
      <c r="F12" s="521">
        <v>0</v>
      </c>
    </row>
    <row r="13" spans="1:6" ht="15.75" customHeight="1">
      <c r="A13" s="507" t="s">
        <v>89</v>
      </c>
      <c r="B13" s="508"/>
      <c r="C13" s="509"/>
      <c r="D13" s="509">
        <v>0</v>
      </c>
      <c r="E13" s="509"/>
      <c r="F13" s="521">
        <v>0</v>
      </c>
    </row>
    <row r="14" spans="1:6" ht="15.75" customHeight="1">
      <c r="A14" s="507" t="s">
        <v>5</v>
      </c>
      <c r="B14" s="508"/>
      <c r="C14" s="509">
        <v>0</v>
      </c>
      <c r="D14" s="509"/>
      <c r="E14" s="509"/>
      <c r="F14" s="521">
        <v>0</v>
      </c>
    </row>
    <row r="15" spans="1:6" ht="15.75" customHeight="1">
      <c r="A15" s="507" t="s">
        <v>4</v>
      </c>
      <c r="B15" s="508"/>
      <c r="C15" s="509">
        <v>0</v>
      </c>
      <c r="D15" s="509"/>
      <c r="E15" s="509"/>
      <c r="F15" s="521">
        <v>0</v>
      </c>
    </row>
    <row r="16" spans="1:6" ht="15.75" customHeight="1">
      <c r="A16" s="522" t="s">
        <v>7</v>
      </c>
      <c r="B16" s="523">
        <v>0</v>
      </c>
      <c r="C16" s="524"/>
      <c r="D16" s="524"/>
      <c r="E16" s="524"/>
      <c r="F16" s="525">
        <v>0</v>
      </c>
    </row>
    <row r="17" spans="2:6" ht="15.75" customHeight="1">
      <c r="B17" s="60"/>
      <c r="C17" s="60"/>
      <c r="D17" s="60"/>
      <c r="E17" s="60"/>
      <c r="F17" s="60"/>
    </row>
    <row r="18" spans="2:6" ht="15.75" customHeight="1">
      <c r="B18" s="60"/>
      <c r="C18" s="60"/>
      <c r="D18" s="60"/>
      <c r="E18" s="60"/>
      <c r="F18" s="60"/>
    </row>
    <row r="19" spans="2:6" ht="15.75" customHeight="1">
      <c r="B19" s="60"/>
      <c r="C19" s="60"/>
      <c r="D19" s="60"/>
      <c r="E19" s="60"/>
      <c r="F19" s="60"/>
    </row>
    <row r="20" spans="2:6" ht="15.75" customHeight="1">
      <c r="B20" s="60"/>
      <c r="C20" s="60"/>
      <c r="D20" s="60"/>
      <c r="E20" s="60"/>
      <c r="F20" s="60"/>
    </row>
    <row r="21" spans="2:6" ht="15.75" customHeight="1">
      <c r="B21" s="60"/>
      <c r="C21" s="60"/>
      <c r="D21" s="60"/>
      <c r="E21" s="60"/>
      <c r="F21" s="60"/>
    </row>
    <row r="22" spans="2:6" ht="15.75" customHeight="1">
      <c r="B22" s="60"/>
      <c r="C22" s="60"/>
      <c r="D22" s="60"/>
      <c r="E22" s="60"/>
      <c r="F22" s="60"/>
    </row>
    <row r="23" spans="2:6" ht="15.75" customHeight="1">
      <c r="B23" s="60"/>
      <c r="C23" s="60"/>
      <c r="D23" s="60"/>
      <c r="E23" s="60"/>
      <c r="F23" s="60"/>
    </row>
    <row r="24" spans="2:6" ht="15.75" customHeight="1">
      <c r="B24" s="60"/>
      <c r="C24" s="60"/>
      <c r="D24" s="60"/>
      <c r="E24" s="60"/>
      <c r="F24" s="60"/>
    </row>
    <row r="25" spans="2:6" ht="15.75" customHeight="1">
      <c r="B25" s="60"/>
      <c r="C25" s="60"/>
      <c r="D25" s="60"/>
      <c r="E25" s="60"/>
      <c r="F25" s="60"/>
    </row>
    <row r="26" spans="2:6" ht="15.75" customHeight="1">
      <c r="B26" s="60"/>
      <c r="C26" s="60"/>
      <c r="D26" s="60"/>
      <c r="E26" s="60"/>
      <c r="F26" s="60"/>
    </row>
    <row r="27" spans="2:6" ht="15.75" customHeight="1">
      <c r="B27" s="60"/>
      <c r="C27" s="60"/>
      <c r="D27" s="60"/>
      <c r="E27" s="60"/>
      <c r="F27" s="60"/>
    </row>
    <row r="28" spans="2:6" ht="15.75" customHeight="1">
      <c r="B28" s="60"/>
      <c r="C28" s="60"/>
      <c r="D28" s="60"/>
      <c r="E28" s="60"/>
      <c r="F28" s="60"/>
    </row>
    <row r="29" spans="2:6" ht="15.75" customHeight="1">
      <c r="B29" s="60"/>
      <c r="C29" s="60"/>
      <c r="D29" s="60"/>
      <c r="E29" s="60"/>
      <c r="F29" s="60"/>
    </row>
    <row r="30" spans="2:6" ht="15.75" customHeight="1">
      <c r="B30" s="60"/>
      <c r="C30" s="60"/>
      <c r="D30" s="60"/>
      <c r="E30" s="60"/>
      <c r="F30" s="60"/>
    </row>
    <row r="31" spans="2:6" ht="15.75" customHeight="1">
      <c r="B31" s="60"/>
      <c r="C31" s="60"/>
      <c r="D31" s="60"/>
      <c r="E31" s="60"/>
      <c r="F31" s="60"/>
    </row>
    <row r="32" spans="2:6" ht="15.75" customHeight="1">
      <c r="B32" s="60"/>
      <c r="C32" s="60"/>
      <c r="D32" s="60"/>
      <c r="E32" s="60"/>
      <c r="F32" s="60"/>
    </row>
    <row r="33" spans="2:6" ht="15.75" customHeight="1">
      <c r="B33" s="60"/>
      <c r="C33" s="60"/>
      <c r="D33" s="60"/>
      <c r="E33" s="60"/>
      <c r="F33" s="60"/>
    </row>
    <row r="34" spans="2:6" ht="15.75" customHeight="1">
      <c r="B34" s="60"/>
      <c r="C34" s="60"/>
      <c r="D34" s="60"/>
      <c r="E34" s="60"/>
      <c r="F34" s="60"/>
    </row>
    <row r="35" spans="2:6" ht="15.75" customHeight="1">
      <c r="B35" s="60"/>
      <c r="C35" s="60"/>
      <c r="D35" s="60"/>
      <c r="E35" s="60"/>
      <c r="F35" s="60"/>
    </row>
    <row r="36" spans="2:6" ht="15.75" customHeight="1">
      <c r="B36" s="60"/>
      <c r="C36" s="60"/>
      <c r="D36" s="60"/>
      <c r="E36" s="60"/>
      <c r="F36" s="60"/>
    </row>
    <row r="37" spans="2:6" ht="15.75" customHeight="1">
      <c r="B37" s="60"/>
      <c r="C37" s="60"/>
      <c r="D37" s="60"/>
      <c r="E37" s="60"/>
      <c r="F37" s="60"/>
    </row>
    <row r="38" spans="2:6" ht="15.75" customHeight="1">
      <c r="B38" s="60"/>
      <c r="C38" s="60"/>
      <c r="D38" s="60"/>
      <c r="E38" s="60"/>
      <c r="F38" s="60"/>
    </row>
    <row r="39" spans="2:6" ht="15.75" customHeight="1">
      <c r="B39" s="60"/>
      <c r="C39" s="60"/>
      <c r="D39" s="60"/>
      <c r="E39" s="60"/>
      <c r="F39" s="60"/>
    </row>
    <row r="40" spans="2:6" ht="15.75" customHeight="1">
      <c r="B40" s="60"/>
      <c r="C40" s="60"/>
      <c r="D40" s="60"/>
      <c r="E40" s="60"/>
      <c r="F40" s="60"/>
    </row>
    <row r="41" spans="2:6" ht="15.75" customHeight="1">
      <c r="B41" s="60"/>
      <c r="C41" s="60"/>
      <c r="D41" s="60"/>
      <c r="E41" s="60"/>
      <c r="F41" s="60"/>
    </row>
    <row r="42" spans="2:6" ht="15.75" customHeight="1">
      <c r="B42" s="60"/>
      <c r="C42" s="60"/>
      <c r="D42" s="60"/>
      <c r="E42" s="60"/>
      <c r="F42" s="60"/>
    </row>
    <row r="43" spans="2:6" ht="15.75" customHeight="1">
      <c r="B43" s="60"/>
      <c r="C43" s="60"/>
      <c r="D43" s="60"/>
      <c r="E43" s="60"/>
      <c r="F43" s="60"/>
    </row>
    <row r="44" spans="2:6" ht="15.75" customHeight="1">
      <c r="B44" s="60"/>
      <c r="C44" s="60"/>
      <c r="D44" s="60"/>
      <c r="E44" s="60"/>
      <c r="F44" s="60"/>
    </row>
    <row r="45" spans="2:6" ht="15.75" customHeight="1">
      <c r="B45" s="60"/>
      <c r="C45" s="60"/>
      <c r="D45" s="60"/>
      <c r="E45" s="60"/>
      <c r="F45" s="60"/>
    </row>
    <row r="46" spans="2:6" ht="15.75" customHeight="1">
      <c r="B46" s="60"/>
      <c r="C46" s="60"/>
      <c r="D46" s="60"/>
      <c r="E46" s="60"/>
      <c r="F46" s="60"/>
    </row>
    <row r="47" spans="2:6" ht="15.75" customHeight="1">
      <c r="B47" s="60"/>
      <c r="C47" s="60"/>
      <c r="D47" s="60"/>
      <c r="E47" s="60"/>
      <c r="F47" s="60"/>
    </row>
    <row r="48" spans="2:6" ht="15.75" customHeight="1">
      <c r="B48" s="60"/>
      <c r="C48" s="60"/>
      <c r="D48" s="60"/>
      <c r="E48" s="60"/>
      <c r="F48" s="60"/>
    </row>
    <row r="49" spans="2:6" ht="15.75" customHeight="1">
      <c r="B49" s="60"/>
      <c r="C49" s="60"/>
      <c r="D49" s="60"/>
      <c r="E49" s="60"/>
      <c r="F49" s="60"/>
    </row>
    <row r="50" spans="2:6" ht="15.75" customHeight="1">
      <c r="B50" s="60"/>
      <c r="C50" s="60"/>
      <c r="D50" s="60"/>
      <c r="E50" s="60"/>
      <c r="F50" s="60"/>
    </row>
    <row r="51" spans="2:6" ht="15.75" customHeight="1">
      <c r="B51" s="60"/>
      <c r="C51" s="60"/>
      <c r="D51" s="60"/>
      <c r="E51" s="60"/>
      <c r="F51" s="60"/>
    </row>
    <row r="52" spans="2:6" ht="15.75" customHeight="1">
      <c r="B52" s="60"/>
      <c r="C52" s="60"/>
      <c r="D52" s="60"/>
      <c r="E52" s="60"/>
      <c r="F52" s="60"/>
    </row>
    <row r="53" spans="2:6" ht="15.75" customHeight="1">
      <c r="B53" s="60"/>
      <c r="C53" s="60"/>
      <c r="D53" s="60"/>
      <c r="E53" s="60"/>
      <c r="F53" s="60"/>
    </row>
    <row r="54" spans="2:6" ht="15.75" customHeight="1">
      <c r="B54" s="60"/>
      <c r="C54" s="60"/>
      <c r="D54" s="60"/>
      <c r="E54" s="60"/>
      <c r="F54" s="60"/>
    </row>
    <row r="55" spans="2:6" ht="15.75" customHeight="1">
      <c r="B55" s="60"/>
      <c r="C55" s="60"/>
      <c r="D55" s="60"/>
      <c r="E55" s="60"/>
      <c r="F55" s="60"/>
    </row>
    <row r="56" spans="2:6" ht="15.75" customHeight="1">
      <c r="B56" s="60"/>
      <c r="C56" s="60"/>
      <c r="D56" s="60"/>
      <c r="E56" s="60"/>
      <c r="F56" s="60"/>
    </row>
    <row r="57" spans="2:6" ht="15.75" customHeight="1">
      <c r="B57" s="60"/>
      <c r="C57" s="60"/>
      <c r="D57" s="60"/>
      <c r="E57" s="60"/>
      <c r="F57" s="60"/>
    </row>
    <row r="58" spans="2:6" ht="15.75" customHeight="1">
      <c r="B58" s="60"/>
      <c r="C58" s="60"/>
      <c r="D58" s="60"/>
      <c r="E58" s="60"/>
      <c r="F58" s="60"/>
    </row>
    <row r="59" spans="2:6" ht="15.75" customHeight="1">
      <c r="B59" s="60"/>
      <c r="C59" s="60"/>
      <c r="D59" s="60"/>
      <c r="E59" s="60"/>
      <c r="F59" s="60"/>
    </row>
    <row r="60" spans="2:6" ht="15.75" customHeight="1">
      <c r="B60" s="60"/>
      <c r="C60" s="60"/>
      <c r="D60" s="60"/>
      <c r="E60" s="60"/>
      <c r="F60" s="60"/>
    </row>
    <row r="61" spans="2:6" ht="15.75" customHeight="1">
      <c r="B61" s="60"/>
      <c r="C61" s="60"/>
      <c r="D61" s="60"/>
      <c r="E61" s="60"/>
      <c r="F61" s="60"/>
    </row>
    <row r="62" spans="2:6" ht="15.75" customHeight="1">
      <c r="B62" s="60"/>
      <c r="C62" s="60"/>
      <c r="D62" s="60"/>
      <c r="E62" s="60"/>
      <c r="F62" s="60"/>
    </row>
    <row r="63" spans="2:6" ht="15.75" customHeight="1">
      <c r="B63" s="60"/>
      <c r="C63" s="60"/>
      <c r="D63" s="60"/>
      <c r="E63" s="60"/>
      <c r="F63" s="60"/>
    </row>
    <row r="64" spans="2:6" ht="15.75" customHeight="1">
      <c r="B64" s="60"/>
      <c r="C64" s="60"/>
      <c r="D64" s="60"/>
      <c r="E64" s="60"/>
      <c r="F64" s="60"/>
    </row>
    <row r="65" spans="2:6" ht="15.75" customHeight="1">
      <c r="B65" s="60"/>
      <c r="C65" s="60"/>
      <c r="D65" s="60"/>
      <c r="E65" s="60"/>
      <c r="F65" s="60"/>
    </row>
    <row r="66" spans="2:6" ht="15.75" customHeight="1">
      <c r="B66" s="60"/>
      <c r="C66" s="60"/>
      <c r="D66" s="60"/>
      <c r="E66" s="60"/>
      <c r="F66" s="60"/>
    </row>
    <row r="67" spans="2:6" ht="15.75" customHeight="1">
      <c r="B67" s="60"/>
      <c r="C67" s="60"/>
      <c r="D67" s="60"/>
      <c r="E67" s="60"/>
      <c r="F67" s="60"/>
    </row>
    <row r="68" spans="2:6" ht="15.75" customHeight="1">
      <c r="B68" s="60"/>
      <c r="C68" s="60"/>
      <c r="D68" s="60"/>
      <c r="E68" s="60"/>
      <c r="F68" s="60"/>
    </row>
    <row r="69" spans="2:6" ht="15.75" customHeight="1">
      <c r="B69" s="60"/>
      <c r="C69" s="60"/>
      <c r="D69" s="60"/>
      <c r="E69" s="60"/>
      <c r="F69" s="60"/>
    </row>
    <row r="70" spans="2:6" ht="15.75" customHeight="1">
      <c r="B70" s="60"/>
      <c r="C70" s="60"/>
      <c r="D70" s="60"/>
      <c r="E70" s="60"/>
      <c r="F70" s="60"/>
    </row>
    <row r="71" spans="2:6" ht="15.75" customHeight="1">
      <c r="B71" s="60"/>
      <c r="C71" s="60"/>
      <c r="D71" s="60"/>
      <c r="E71" s="60"/>
      <c r="F71" s="60"/>
    </row>
    <row r="72" spans="2:6" ht="15.75" customHeight="1">
      <c r="B72" s="60"/>
      <c r="C72" s="60"/>
      <c r="D72" s="60"/>
      <c r="E72" s="60"/>
      <c r="F72" s="60"/>
    </row>
    <row r="73" spans="2:6" ht="15.75" customHeight="1">
      <c r="B73" s="60"/>
      <c r="C73" s="60"/>
      <c r="D73" s="60"/>
      <c r="E73" s="60"/>
      <c r="F73" s="60"/>
    </row>
    <row r="74" spans="2:6" ht="15.75" customHeight="1">
      <c r="B74" s="60"/>
      <c r="C74" s="60"/>
      <c r="D74" s="60"/>
      <c r="E74" s="60"/>
      <c r="F74" s="60"/>
    </row>
    <row r="75" spans="2:6" ht="15.75" customHeight="1">
      <c r="B75" s="60"/>
      <c r="C75" s="60"/>
      <c r="D75" s="60"/>
      <c r="E75" s="60"/>
      <c r="F75" s="60"/>
    </row>
    <row r="76" spans="2:6" ht="15.75" customHeight="1">
      <c r="B76" s="60"/>
      <c r="C76" s="60"/>
      <c r="D76" s="60"/>
      <c r="E76" s="60"/>
      <c r="F76" s="60"/>
    </row>
    <row r="77" spans="2:6" ht="15.75" customHeight="1">
      <c r="B77" s="60"/>
      <c r="C77" s="60"/>
      <c r="D77" s="60"/>
      <c r="E77" s="60"/>
      <c r="F77" s="60"/>
    </row>
    <row r="78" spans="2:6" ht="15.75" customHeight="1">
      <c r="B78" s="60"/>
      <c r="C78" s="60"/>
      <c r="D78" s="60"/>
      <c r="E78" s="60"/>
      <c r="F78" s="60"/>
    </row>
    <row r="79" spans="2:6" ht="15.75" customHeight="1">
      <c r="B79" s="60"/>
      <c r="C79" s="60"/>
      <c r="D79" s="60"/>
      <c r="E79" s="60"/>
      <c r="F79" s="60"/>
    </row>
    <row r="80" spans="2:6" ht="15.75" customHeight="1">
      <c r="B80" s="60"/>
      <c r="C80" s="60"/>
      <c r="D80" s="60"/>
      <c r="E80" s="60"/>
      <c r="F80" s="60"/>
    </row>
    <row r="81" spans="2:6" ht="15.75" customHeight="1">
      <c r="B81" s="60"/>
      <c r="C81" s="60"/>
      <c r="D81" s="60"/>
      <c r="E81" s="60"/>
      <c r="F81" s="60"/>
    </row>
    <row r="82" spans="2:6" ht="15.75" customHeight="1">
      <c r="B82" s="60"/>
      <c r="C82" s="60"/>
      <c r="D82" s="60"/>
      <c r="E82" s="60"/>
      <c r="F82" s="60"/>
    </row>
    <row r="83" spans="2:6" ht="15.75" customHeight="1">
      <c r="B83" s="60"/>
      <c r="C83" s="60"/>
      <c r="D83" s="60"/>
      <c r="E83" s="60"/>
      <c r="F83" s="60"/>
    </row>
    <row r="84" spans="2:6" ht="15.75" customHeight="1">
      <c r="B84" s="60"/>
      <c r="C84" s="60"/>
      <c r="D84" s="60"/>
      <c r="E84" s="60"/>
      <c r="F84" s="60"/>
    </row>
    <row r="85" spans="2:6" ht="15.75" customHeight="1">
      <c r="B85" s="60"/>
      <c r="C85" s="60"/>
      <c r="D85" s="60"/>
      <c r="E85" s="60"/>
      <c r="F85" s="60"/>
    </row>
    <row r="86" spans="2:6" ht="15.75" customHeight="1">
      <c r="B86" s="60"/>
      <c r="C86" s="60"/>
      <c r="D86" s="60"/>
      <c r="E86" s="60"/>
      <c r="F86" s="60"/>
    </row>
    <row r="87" spans="2:6" ht="15.75" customHeight="1">
      <c r="B87" s="60"/>
      <c r="C87" s="60"/>
      <c r="D87" s="60"/>
      <c r="E87" s="60"/>
      <c r="F87" s="60"/>
    </row>
    <row r="88" spans="2:6" ht="15.75" customHeight="1">
      <c r="B88" s="60"/>
      <c r="C88" s="60"/>
      <c r="D88" s="60"/>
      <c r="E88" s="60"/>
      <c r="F88" s="60"/>
    </row>
    <row r="89" spans="2:6" ht="13">
      <c r="B89" s="60"/>
      <c r="C89" s="60"/>
      <c r="D89" s="60"/>
      <c r="E89" s="60"/>
      <c r="F89" s="60"/>
    </row>
    <row r="90" spans="2:6" ht="13">
      <c r="B90" s="60"/>
      <c r="C90" s="60"/>
      <c r="D90" s="60"/>
      <c r="E90" s="60"/>
      <c r="F90" s="60"/>
    </row>
    <row r="91" spans="2:6" ht="13">
      <c r="B91" s="60"/>
      <c r="C91" s="60"/>
      <c r="D91" s="60"/>
      <c r="E91" s="60"/>
      <c r="F91" s="60"/>
    </row>
    <row r="92" spans="2:6" ht="13">
      <c r="B92" s="60"/>
      <c r="C92" s="60"/>
      <c r="D92" s="60"/>
      <c r="E92" s="60"/>
      <c r="F92" s="60"/>
    </row>
    <row r="93" spans="2:6" ht="13">
      <c r="B93" s="60"/>
      <c r="C93" s="60"/>
      <c r="D93" s="60"/>
      <c r="E93" s="60"/>
      <c r="F93" s="60"/>
    </row>
    <row r="94" spans="2:6" ht="13">
      <c r="B94" s="60"/>
      <c r="C94" s="60"/>
      <c r="D94" s="60"/>
      <c r="E94" s="60"/>
      <c r="F94" s="60"/>
    </row>
    <row r="95" spans="2:6" ht="13">
      <c r="B95" s="60"/>
      <c r="C95" s="60"/>
      <c r="D95" s="60"/>
      <c r="E95" s="60"/>
      <c r="F95" s="60"/>
    </row>
    <row r="96" spans="2:6" ht="13">
      <c r="B96" s="60"/>
      <c r="C96" s="60"/>
      <c r="D96" s="60"/>
      <c r="E96" s="60"/>
      <c r="F96" s="60"/>
    </row>
    <row r="97" spans="2:6" ht="13">
      <c r="B97" s="60"/>
      <c r="C97" s="60"/>
      <c r="D97" s="60"/>
      <c r="E97" s="60"/>
      <c r="F97" s="60"/>
    </row>
    <row r="98" spans="2:6" ht="13">
      <c r="B98" s="60"/>
      <c r="C98" s="60"/>
      <c r="D98" s="60"/>
      <c r="E98" s="60"/>
      <c r="F98" s="60"/>
    </row>
    <row r="99" spans="2:6" ht="13">
      <c r="B99" s="60"/>
      <c r="C99" s="60"/>
      <c r="D99" s="60"/>
      <c r="E99" s="60"/>
      <c r="F99" s="60"/>
    </row>
    <row r="100" spans="2:6" ht="13">
      <c r="B100" s="60"/>
      <c r="C100" s="60"/>
      <c r="D100" s="60"/>
      <c r="E100" s="60"/>
      <c r="F100" s="60"/>
    </row>
    <row r="101" spans="2:6" ht="13">
      <c r="B101" s="60"/>
      <c r="C101" s="60"/>
      <c r="D101" s="60"/>
      <c r="E101" s="60"/>
      <c r="F101" s="60"/>
    </row>
    <row r="102" spans="2:6" ht="13">
      <c r="B102" s="60"/>
      <c r="C102" s="60"/>
      <c r="D102" s="60"/>
      <c r="E102" s="60"/>
      <c r="F102" s="60"/>
    </row>
    <row r="103" spans="2:6" ht="13">
      <c r="B103" s="60"/>
      <c r="C103" s="60"/>
      <c r="D103" s="60"/>
      <c r="E103" s="60"/>
      <c r="F103" s="60"/>
    </row>
    <row r="104" spans="2:6" ht="13">
      <c r="B104" s="60"/>
      <c r="C104" s="60"/>
      <c r="D104" s="60"/>
      <c r="E104" s="60"/>
      <c r="F104" s="60"/>
    </row>
    <row r="105" spans="2:6" ht="13">
      <c r="B105" s="60"/>
      <c r="C105" s="60"/>
      <c r="D105" s="60"/>
      <c r="E105" s="60"/>
      <c r="F105" s="60"/>
    </row>
    <row r="106" spans="2:6" ht="13">
      <c r="B106" s="60"/>
      <c r="C106" s="60"/>
      <c r="D106" s="60"/>
      <c r="E106" s="60"/>
      <c r="F106" s="60"/>
    </row>
    <row r="107" spans="2:6" ht="13">
      <c r="B107" s="60"/>
      <c r="C107" s="60"/>
      <c r="D107" s="60"/>
      <c r="E107" s="60"/>
      <c r="F107" s="60"/>
    </row>
    <row r="108" spans="2:6" ht="13">
      <c r="B108" s="60"/>
      <c r="C108" s="60"/>
      <c r="D108" s="60"/>
      <c r="E108" s="60"/>
      <c r="F108" s="60"/>
    </row>
    <row r="109" spans="2:6" ht="13">
      <c r="B109" s="60"/>
      <c r="C109" s="60"/>
      <c r="D109" s="60"/>
      <c r="E109" s="60"/>
      <c r="F109" s="60"/>
    </row>
    <row r="110" spans="2:6" ht="13">
      <c r="B110" s="60"/>
      <c r="C110" s="60"/>
      <c r="D110" s="60"/>
      <c r="E110" s="60"/>
      <c r="F110" s="60"/>
    </row>
    <row r="111" spans="2:6" ht="13">
      <c r="B111" s="60"/>
      <c r="C111" s="60"/>
      <c r="D111" s="60"/>
      <c r="E111" s="60"/>
      <c r="F111" s="60"/>
    </row>
    <row r="112" spans="2:6" ht="13">
      <c r="B112" s="60"/>
      <c r="C112" s="60"/>
      <c r="D112" s="60"/>
      <c r="E112" s="60"/>
      <c r="F112" s="60"/>
    </row>
    <row r="113" spans="2:6" ht="13">
      <c r="B113" s="60"/>
      <c r="C113" s="60"/>
      <c r="D113" s="60"/>
      <c r="E113" s="60"/>
      <c r="F113" s="60"/>
    </row>
    <row r="114" spans="2:6" ht="13">
      <c r="B114" s="60"/>
      <c r="C114" s="60"/>
      <c r="D114" s="60"/>
      <c r="E114" s="60"/>
      <c r="F114" s="60"/>
    </row>
    <row r="115" spans="2:6" ht="13">
      <c r="B115" s="60"/>
      <c r="C115" s="60"/>
      <c r="D115" s="60"/>
      <c r="E115" s="60"/>
      <c r="F115" s="60"/>
    </row>
    <row r="116" spans="2:6" ht="13">
      <c r="B116" s="60"/>
      <c r="C116" s="60"/>
      <c r="D116" s="60"/>
      <c r="E116" s="60"/>
      <c r="F116" s="60"/>
    </row>
    <row r="117" spans="2:6" ht="13">
      <c r="B117" s="60"/>
      <c r="C117" s="60"/>
      <c r="D117" s="60"/>
      <c r="E117" s="60"/>
      <c r="F117" s="60"/>
    </row>
    <row r="118" spans="2:6" ht="13">
      <c r="B118" s="60"/>
      <c r="C118" s="60"/>
      <c r="D118" s="60"/>
      <c r="E118" s="60"/>
      <c r="F118" s="60"/>
    </row>
    <row r="119" spans="2:6" ht="13">
      <c r="B119" s="60"/>
      <c r="C119" s="60"/>
      <c r="D119" s="60"/>
      <c r="E119" s="60"/>
      <c r="F119" s="60"/>
    </row>
    <row r="120" spans="2:6" ht="13">
      <c r="B120" s="60"/>
      <c r="C120" s="60"/>
      <c r="D120" s="60"/>
      <c r="E120" s="60"/>
      <c r="F120" s="60"/>
    </row>
    <row r="121" spans="2:6" ht="13">
      <c r="B121" s="60"/>
      <c r="C121" s="60"/>
      <c r="D121" s="60"/>
      <c r="E121" s="60"/>
      <c r="F121" s="60"/>
    </row>
    <row r="122" spans="2:6" ht="13">
      <c r="B122" s="60"/>
      <c r="C122" s="60"/>
      <c r="D122" s="60"/>
      <c r="E122" s="60"/>
      <c r="F122" s="60"/>
    </row>
    <row r="123" spans="2:6" ht="13">
      <c r="B123" s="60"/>
      <c r="C123" s="60"/>
      <c r="D123" s="60"/>
      <c r="E123" s="60"/>
      <c r="F123" s="60"/>
    </row>
    <row r="124" spans="2:6" ht="13">
      <c r="B124" s="60"/>
      <c r="C124" s="60"/>
      <c r="D124" s="60"/>
      <c r="E124" s="60"/>
      <c r="F124" s="60"/>
    </row>
    <row r="125" spans="2:6" ht="13">
      <c r="B125" s="60"/>
      <c r="C125" s="60"/>
      <c r="D125" s="60"/>
      <c r="E125" s="60"/>
      <c r="F125" s="60"/>
    </row>
    <row r="126" spans="2:6" ht="13">
      <c r="B126" s="60"/>
      <c r="C126" s="60"/>
      <c r="D126" s="60"/>
      <c r="E126" s="60"/>
      <c r="F126" s="60"/>
    </row>
    <row r="127" spans="2:6" ht="13">
      <c r="B127" s="60"/>
      <c r="C127" s="60"/>
      <c r="D127" s="60"/>
      <c r="E127" s="60"/>
      <c r="F127" s="60"/>
    </row>
    <row r="128" spans="2:6" ht="13">
      <c r="B128" s="60"/>
      <c r="C128" s="60"/>
      <c r="D128" s="60"/>
      <c r="E128" s="60"/>
      <c r="F128" s="60"/>
    </row>
    <row r="129" spans="2:6" ht="13">
      <c r="B129" s="60"/>
      <c r="C129" s="60"/>
      <c r="D129" s="60"/>
      <c r="E129" s="60"/>
      <c r="F129" s="60"/>
    </row>
    <row r="130" spans="2:6" ht="13">
      <c r="B130" s="60"/>
      <c r="C130" s="60"/>
      <c r="D130" s="60"/>
      <c r="E130" s="60"/>
      <c r="F130" s="60"/>
    </row>
    <row r="131" spans="2:6" ht="13">
      <c r="B131" s="60"/>
      <c r="C131" s="60"/>
      <c r="D131" s="60"/>
      <c r="E131" s="60"/>
      <c r="F131" s="60"/>
    </row>
    <row r="132" spans="2:6" ht="13">
      <c r="B132" s="60"/>
      <c r="C132" s="60"/>
      <c r="D132" s="60"/>
      <c r="E132" s="60"/>
      <c r="F132" s="60"/>
    </row>
    <row r="133" spans="2:6" ht="13">
      <c r="B133" s="60"/>
      <c r="C133" s="60"/>
      <c r="D133" s="60"/>
      <c r="E133" s="60"/>
      <c r="F133" s="60"/>
    </row>
    <row r="134" spans="2:6" ht="13">
      <c r="B134" s="60"/>
      <c r="C134" s="60"/>
      <c r="D134" s="60"/>
      <c r="E134" s="60"/>
      <c r="F134" s="60"/>
    </row>
    <row r="135" spans="2:6" ht="13">
      <c r="B135" s="60"/>
      <c r="C135" s="60"/>
      <c r="D135" s="60"/>
      <c r="E135" s="60"/>
      <c r="F135" s="60"/>
    </row>
    <row r="136" spans="2:6" ht="13">
      <c r="B136" s="60"/>
      <c r="C136" s="60"/>
      <c r="D136" s="60"/>
      <c r="E136" s="60"/>
      <c r="F136" s="60"/>
    </row>
    <row r="137" spans="2:6" ht="13">
      <c r="B137" s="60"/>
      <c r="C137" s="60"/>
      <c r="D137" s="60"/>
      <c r="E137" s="60"/>
      <c r="F137" s="60"/>
    </row>
    <row r="138" spans="2:6" ht="13">
      <c r="B138" s="60"/>
      <c r="C138" s="60"/>
      <c r="D138" s="60"/>
      <c r="E138" s="60"/>
      <c r="F138" s="60"/>
    </row>
    <row r="139" spans="2:6" ht="13">
      <c r="B139" s="60"/>
      <c r="C139" s="60"/>
      <c r="D139" s="60"/>
      <c r="E139" s="60"/>
      <c r="F139" s="60"/>
    </row>
    <row r="140" spans="2:6" ht="13">
      <c r="B140" s="60"/>
      <c r="C140" s="60"/>
      <c r="D140" s="60"/>
      <c r="E140" s="60"/>
      <c r="F140" s="60"/>
    </row>
    <row r="141" spans="2:6" ht="13">
      <c r="B141" s="60"/>
      <c r="C141" s="60"/>
      <c r="D141" s="60"/>
      <c r="E141" s="60"/>
      <c r="F141" s="60"/>
    </row>
    <row r="142" spans="2:6" ht="13">
      <c r="B142" s="60"/>
      <c r="C142" s="60"/>
      <c r="D142" s="60"/>
      <c r="E142" s="60"/>
      <c r="F142" s="60"/>
    </row>
    <row r="143" spans="2:6" ht="13">
      <c r="B143" s="60"/>
      <c r="C143" s="60"/>
      <c r="D143" s="60"/>
      <c r="E143" s="60"/>
      <c r="F143" s="60"/>
    </row>
    <row r="144" spans="2:6" ht="13">
      <c r="B144" s="60"/>
      <c r="C144" s="60"/>
      <c r="D144" s="60"/>
      <c r="E144" s="60"/>
      <c r="F144" s="60"/>
    </row>
    <row r="145" spans="2:6" ht="13">
      <c r="B145" s="60"/>
      <c r="C145" s="60"/>
      <c r="D145" s="60"/>
      <c r="E145" s="60"/>
      <c r="F145" s="60"/>
    </row>
    <row r="146" spans="2:6" ht="13">
      <c r="B146" s="60"/>
      <c r="C146" s="60"/>
      <c r="D146" s="60"/>
      <c r="E146" s="60"/>
      <c r="F146" s="60"/>
    </row>
    <row r="147" spans="2:6" ht="13">
      <c r="B147" s="60"/>
      <c r="C147" s="60"/>
      <c r="D147" s="60"/>
      <c r="E147" s="60"/>
      <c r="F147" s="60"/>
    </row>
    <row r="148" spans="2:6" ht="13">
      <c r="B148" s="60"/>
      <c r="C148" s="60"/>
      <c r="D148" s="60"/>
      <c r="E148" s="60"/>
      <c r="F148" s="60"/>
    </row>
    <row r="149" spans="2:6" ht="13">
      <c r="B149" s="60"/>
      <c r="C149" s="60"/>
      <c r="D149" s="60"/>
      <c r="E149" s="60"/>
      <c r="F149" s="60"/>
    </row>
    <row r="150" spans="2:6" ht="13">
      <c r="B150" s="60"/>
      <c r="C150" s="60"/>
      <c r="D150" s="60"/>
      <c r="E150" s="60"/>
      <c r="F150" s="60"/>
    </row>
    <row r="151" spans="2:6" ht="13">
      <c r="B151" s="60"/>
      <c r="C151" s="60"/>
      <c r="D151" s="60"/>
      <c r="E151" s="60"/>
      <c r="F151" s="60"/>
    </row>
    <row r="152" spans="2:6" ht="13">
      <c r="B152" s="60"/>
      <c r="C152" s="60"/>
      <c r="D152" s="60"/>
      <c r="E152" s="60"/>
      <c r="F152" s="60"/>
    </row>
    <row r="153" spans="2:6" ht="13">
      <c r="B153" s="60"/>
      <c r="C153" s="60"/>
      <c r="D153" s="60"/>
      <c r="E153" s="60"/>
      <c r="F153" s="60"/>
    </row>
    <row r="154" spans="2:6" ht="13">
      <c r="B154" s="60"/>
      <c r="C154" s="60"/>
      <c r="D154" s="60"/>
      <c r="E154" s="60"/>
      <c r="F154" s="60"/>
    </row>
    <row r="155" spans="2:6" ht="13">
      <c r="B155" s="60"/>
      <c r="C155" s="60"/>
      <c r="D155" s="60"/>
      <c r="E155" s="60"/>
      <c r="F155" s="60"/>
    </row>
    <row r="156" spans="2:6" ht="13">
      <c r="B156" s="60"/>
      <c r="C156" s="60"/>
      <c r="D156" s="60"/>
      <c r="E156" s="60"/>
      <c r="F156" s="60"/>
    </row>
    <row r="157" spans="2:6" ht="13">
      <c r="B157" s="60"/>
      <c r="C157" s="60"/>
      <c r="D157" s="60"/>
      <c r="E157" s="60"/>
      <c r="F157" s="60"/>
    </row>
    <row r="158" spans="2:6" ht="13">
      <c r="B158" s="60"/>
      <c r="C158" s="60"/>
      <c r="D158" s="60"/>
      <c r="E158" s="60"/>
      <c r="F158" s="60"/>
    </row>
    <row r="159" spans="2:6" ht="13">
      <c r="B159" s="60"/>
      <c r="C159" s="60"/>
      <c r="D159" s="60"/>
      <c r="E159" s="60"/>
      <c r="F159" s="60"/>
    </row>
    <row r="160" spans="2:6" ht="13">
      <c r="B160" s="60"/>
      <c r="C160" s="60"/>
      <c r="D160" s="60"/>
      <c r="E160" s="60"/>
      <c r="F160" s="60"/>
    </row>
    <row r="161" spans="2:6" ht="13">
      <c r="B161" s="60"/>
      <c r="C161" s="60"/>
      <c r="D161" s="60"/>
      <c r="E161" s="60"/>
      <c r="F161" s="60"/>
    </row>
    <row r="162" spans="2:6" ht="13">
      <c r="B162" s="60"/>
      <c r="C162" s="60"/>
      <c r="D162" s="60"/>
      <c r="E162" s="60"/>
      <c r="F162" s="60"/>
    </row>
    <row r="163" spans="2:6" ht="13">
      <c r="B163" s="60"/>
      <c r="C163" s="60"/>
      <c r="D163" s="60"/>
      <c r="E163" s="60"/>
      <c r="F163" s="60"/>
    </row>
    <row r="164" spans="2:6" ht="13">
      <c r="B164" s="60"/>
      <c r="C164" s="60"/>
      <c r="D164" s="60"/>
      <c r="E164" s="60"/>
      <c r="F164" s="60"/>
    </row>
    <row r="165" spans="2:6" ht="13">
      <c r="B165" s="60"/>
      <c r="C165" s="60"/>
      <c r="D165" s="60"/>
      <c r="E165" s="60"/>
      <c r="F165" s="60"/>
    </row>
    <row r="166" spans="2:6" ht="13">
      <c r="B166" s="60"/>
      <c r="C166" s="60"/>
      <c r="D166" s="60"/>
      <c r="E166" s="60"/>
      <c r="F166" s="60"/>
    </row>
    <row r="167" spans="2:6" ht="13">
      <c r="B167" s="60"/>
      <c r="C167" s="60"/>
      <c r="D167" s="60"/>
      <c r="E167" s="60"/>
      <c r="F167" s="60"/>
    </row>
    <row r="168" spans="2:6" ht="13">
      <c r="B168" s="60"/>
      <c r="C168" s="60"/>
      <c r="D168" s="60"/>
      <c r="E168" s="60"/>
      <c r="F168" s="60"/>
    </row>
    <row r="169" spans="2:6" ht="13">
      <c r="B169" s="60"/>
      <c r="C169" s="60"/>
      <c r="D169" s="60"/>
      <c r="E169" s="60"/>
      <c r="F169" s="60"/>
    </row>
    <row r="170" spans="2:6" ht="13">
      <c r="B170" s="60"/>
      <c r="C170" s="60"/>
      <c r="D170" s="60"/>
      <c r="E170" s="60"/>
      <c r="F170" s="60"/>
    </row>
    <row r="171" spans="2:6" ht="13">
      <c r="B171" s="60"/>
      <c r="C171" s="60"/>
      <c r="D171" s="60"/>
      <c r="E171" s="60"/>
      <c r="F171" s="60"/>
    </row>
    <row r="172" spans="2:6" ht="13">
      <c r="B172" s="60"/>
      <c r="C172" s="60"/>
      <c r="D172" s="60"/>
      <c r="E172" s="60"/>
      <c r="F172" s="60"/>
    </row>
    <row r="173" spans="2:6" ht="13">
      <c r="B173" s="60"/>
      <c r="C173" s="60"/>
      <c r="D173" s="60"/>
      <c r="E173" s="60"/>
      <c r="F173" s="60"/>
    </row>
    <row r="174" spans="2:6" ht="13">
      <c r="B174" s="60"/>
      <c r="C174" s="60"/>
      <c r="D174" s="60"/>
      <c r="E174" s="60"/>
      <c r="F174" s="60"/>
    </row>
    <row r="175" spans="2:6" ht="13">
      <c r="B175" s="60"/>
      <c r="C175" s="60"/>
      <c r="D175" s="60"/>
      <c r="E175" s="60"/>
      <c r="F175" s="60"/>
    </row>
    <row r="176" spans="2:6" ht="13">
      <c r="B176" s="60"/>
      <c r="C176" s="60"/>
      <c r="D176" s="60"/>
      <c r="E176" s="60"/>
      <c r="F176" s="60"/>
    </row>
    <row r="177" spans="2:6" ht="13">
      <c r="B177" s="60"/>
      <c r="C177" s="60"/>
      <c r="D177" s="60"/>
      <c r="E177" s="60"/>
      <c r="F177" s="60"/>
    </row>
    <row r="178" spans="2:6" ht="13">
      <c r="B178" s="60"/>
      <c r="C178" s="60"/>
      <c r="D178" s="60"/>
      <c r="E178" s="60"/>
      <c r="F178" s="60"/>
    </row>
    <row r="179" spans="2:6" ht="13">
      <c r="B179" s="60"/>
      <c r="C179" s="60"/>
      <c r="D179" s="60"/>
      <c r="E179" s="60"/>
      <c r="F179" s="60"/>
    </row>
    <row r="180" spans="2:6" ht="13">
      <c r="B180" s="60"/>
      <c r="C180" s="60"/>
      <c r="D180" s="60"/>
      <c r="E180" s="60"/>
      <c r="F180" s="60"/>
    </row>
    <row r="181" spans="2:6" ht="13">
      <c r="B181" s="60"/>
      <c r="C181" s="60"/>
      <c r="D181" s="60"/>
      <c r="E181" s="60"/>
      <c r="F181" s="60"/>
    </row>
    <row r="182" spans="2:6" ht="13">
      <c r="B182" s="60"/>
      <c r="C182" s="60"/>
      <c r="D182" s="60"/>
      <c r="E182" s="60"/>
      <c r="F182" s="60"/>
    </row>
    <row r="183" spans="2:6" ht="13">
      <c r="B183" s="60"/>
      <c r="C183" s="60"/>
      <c r="D183" s="60"/>
      <c r="E183" s="60"/>
      <c r="F183" s="60"/>
    </row>
    <row r="184" spans="2:6" ht="13">
      <c r="B184" s="60"/>
      <c r="C184" s="60"/>
      <c r="D184" s="60"/>
      <c r="E184" s="60"/>
      <c r="F184" s="60"/>
    </row>
    <row r="185" spans="2:6" ht="13">
      <c r="B185" s="60"/>
      <c r="C185" s="60"/>
      <c r="D185" s="60"/>
      <c r="E185" s="60"/>
      <c r="F185" s="60"/>
    </row>
    <row r="186" spans="2:6" ht="13">
      <c r="B186" s="60"/>
      <c r="C186" s="60"/>
      <c r="D186" s="60"/>
      <c r="E186" s="60"/>
      <c r="F186" s="60"/>
    </row>
    <row r="187" spans="2:6" ht="13">
      <c r="B187" s="60"/>
      <c r="C187" s="60"/>
      <c r="D187" s="60"/>
      <c r="E187" s="60"/>
      <c r="F187" s="60"/>
    </row>
    <row r="188" spans="2:6" ht="13">
      <c r="B188" s="60"/>
      <c r="C188" s="60"/>
      <c r="D188" s="60"/>
      <c r="E188" s="60"/>
      <c r="F188" s="60"/>
    </row>
    <row r="189" spans="2:6" ht="13">
      <c r="B189" s="60"/>
      <c r="C189" s="60"/>
      <c r="D189" s="60"/>
      <c r="E189" s="60"/>
      <c r="F189" s="60"/>
    </row>
    <row r="190" spans="2:6" ht="13">
      <c r="B190" s="60"/>
      <c r="C190" s="60"/>
      <c r="D190" s="60"/>
      <c r="E190" s="60"/>
      <c r="F190" s="60"/>
    </row>
    <row r="191" spans="2:6" ht="13">
      <c r="B191" s="60"/>
      <c r="C191" s="60"/>
      <c r="D191" s="60"/>
      <c r="E191" s="60"/>
      <c r="F191" s="60"/>
    </row>
    <row r="192" spans="2:6" ht="13">
      <c r="B192" s="60"/>
      <c r="C192" s="60"/>
      <c r="D192" s="60"/>
      <c r="E192" s="60"/>
      <c r="F192" s="60"/>
    </row>
    <row r="193" spans="2:6" ht="13">
      <c r="B193" s="60"/>
      <c r="C193" s="60"/>
      <c r="D193" s="60"/>
      <c r="E193" s="60"/>
      <c r="F193" s="60"/>
    </row>
    <row r="194" spans="2:6" ht="13">
      <c r="B194" s="60"/>
      <c r="C194" s="60"/>
      <c r="D194" s="60"/>
      <c r="E194" s="60"/>
      <c r="F194" s="60"/>
    </row>
    <row r="195" spans="2:6" ht="13">
      <c r="B195" s="60"/>
      <c r="C195" s="60"/>
      <c r="D195" s="60"/>
      <c r="E195" s="60"/>
      <c r="F195" s="60"/>
    </row>
    <row r="196" spans="2:6" ht="13">
      <c r="B196" s="60"/>
      <c r="C196" s="60"/>
      <c r="D196" s="60"/>
      <c r="E196" s="60"/>
      <c r="F196" s="60"/>
    </row>
    <row r="197" spans="2:6" ht="13">
      <c r="B197" s="60"/>
      <c r="C197" s="60"/>
      <c r="D197" s="60"/>
      <c r="E197" s="60"/>
      <c r="F197" s="60"/>
    </row>
    <row r="198" spans="2:6" ht="13">
      <c r="B198" s="60"/>
      <c r="C198" s="60"/>
      <c r="D198" s="60"/>
      <c r="E198" s="60"/>
      <c r="F198" s="60"/>
    </row>
    <row r="199" spans="2:6" ht="13">
      <c r="B199" s="60"/>
      <c r="C199" s="60"/>
      <c r="D199" s="60"/>
      <c r="E199" s="60"/>
      <c r="F199" s="60"/>
    </row>
    <row r="200" spans="2:6" ht="13">
      <c r="B200" s="60"/>
      <c r="C200" s="60"/>
      <c r="D200" s="60"/>
      <c r="E200" s="60"/>
      <c r="F200" s="60"/>
    </row>
    <row r="201" spans="2:6" ht="13">
      <c r="B201" s="60"/>
      <c r="C201" s="60"/>
      <c r="D201" s="60"/>
      <c r="E201" s="60"/>
      <c r="F201" s="60"/>
    </row>
    <row r="202" spans="2:6" ht="13">
      <c r="B202" s="60"/>
      <c r="C202" s="60"/>
      <c r="D202" s="60"/>
      <c r="E202" s="60"/>
      <c r="F202" s="60"/>
    </row>
    <row r="203" spans="2:6" ht="13">
      <c r="B203" s="60"/>
      <c r="C203" s="60"/>
      <c r="D203" s="60"/>
      <c r="E203" s="60"/>
      <c r="F203" s="60"/>
    </row>
    <row r="204" spans="2:6" ht="13">
      <c r="B204" s="60"/>
      <c r="C204" s="60"/>
      <c r="D204" s="60"/>
      <c r="E204" s="60"/>
      <c r="F204" s="60"/>
    </row>
    <row r="205" spans="2:6" ht="13">
      <c r="B205" s="60"/>
      <c r="C205" s="60"/>
      <c r="D205" s="60"/>
      <c r="E205" s="60"/>
      <c r="F205" s="60"/>
    </row>
    <row r="206" spans="2:6" ht="13">
      <c r="B206" s="60"/>
      <c r="C206" s="60"/>
      <c r="D206" s="60"/>
      <c r="E206" s="60"/>
      <c r="F206" s="60"/>
    </row>
    <row r="207" spans="2:6" ht="13">
      <c r="B207" s="60"/>
      <c r="C207" s="60"/>
      <c r="D207" s="60"/>
      <c r="E207" s="60"/>
      <c r="F207" s="60"/>
    </row>
    <row r="208" spans="2:6" ht="13">
      <c r="B208" s="60"/>
      <c r="C208" s="60"/>
      <c r="D208" s="60"/>
      <c r="E208" s="60"/>
      <c r="F208" s="60"/>
    </row>
    <row r="209" spans="2:6" ht="13">
      <c r="B209" s="60"/>
      <c r="C209" s="60"/>
      <c r="D209" s="60"/>
      <c r="E209" s="60"/>
      <c r="F209" s="60"/>
    </row>
    <row r="210" spans="2:6" ht="13">
      <c r="B210" s="60"/>
      <c r="C210" s="60"/>
      <c r="D210" s="60"/>
      <c r="E210" s="60"/>
      <c r="F210" s="60"/>
    </row>
    <row r="211" spans="2:6" ht="13">
      <c r="B211" s="60"/>
      <c r="C211" s="60"/>
      <c r="D211" s="60"/>
      <c r="E211" s="60"/>
      <c r="F211" s="60"/>
    </row>
    <row r="212" spans="2:6" ht="13">
      <c r="B212" s="60"/>
      <c r="C212" s="60"/>
      <c r="D212" s="60"/>
      <c r="E212" s="60"/>
      <c r="F212" s="60"/>
    </row>
    <row r="213" spans="2:6" ht="13">
      <c r="B213" s="60"/>
      <c r="C213" s="60"/>
      <c r="D213" s="60"/>
      <c r="E213" s="60"/>
      <c r="F213" s="60"/>
    </row>
    <row r="214" spans="2:6" ht="13">
      <c r="B214" s="60"/>
      <c r="C214" s="60"/>
      <c r="D214" s="60"/>
      <c r="E214" s="60"/>
      <c r="F214" s="60"/>
    </row>
    <row r="215" spans="2:6" ht="13">
      <c r="B215" s="60"/>
      <c r="C215" s="60"/>
      <c r="D215" s="60"/>
      <c r="E215" s="60"/>
      <c r="F215" s="60"/>
    </row>
    <row r="216" spans="2:6" ht="13">
      <c r="B216" s="60"/>
      <c r="C216" s="60"/>
      <c r="D216" s="60"/>
      <c r="E216" s="60"/>
      <c r="F216" s="60"/>
    </row>
    <row r="217" spans="2:6" ht="13">
      <c r="B217" s="60"/>
      <c r="C217" s="60"/>
      <c r="D217" s="60"/>
      <c r="E217" s="60"/>
      <c r="F217" s="60"/>
    </row>
    <row r="218" spans="2:6" ht="13">
      <c r="B218" s="60"/>
      <c r="C218" s="60"/>
      <c r="D218" s="60"/>
      <c r="E218" s="60"/>
      <c r="F218" s="60"/>
    </row>
    <row r="219" spans="2:6" ht="13">
      <c r="B219" s="60"/>
      <c r="C219" s="60"/>
      <c r="D219" s="60"/>
      <c r="E219" s="60"/>
      <c r="F219" s="60"/>
    </row>
    <row r="220" spans="2:6" ht="13">
      <c r="B220" s="60"/>
      <c r="C220" s="60"/>
      <c r="D220" s="60"/>
      <c r="E220" s="60"/>
      <c r="F220" s="60"/>
    </row>
    <row r="221" spans="2:6" ht="13">
      <c r="B221" s="60"/>
      <c r="C221" s="60"/>
      <c r="D221" s="60"/>
      <c r="E221" s="60"/>
      <c r="F221" s="60"/>
    </row>
    <row r="222" spans="2:6" ht="13">
      <c r="B222" s="60"/>
      <c r="C222" s="60"/>
      <c r="D222" s="60"/>
      <c r="E222" s="60"/>
      <c r="F222" s="60"/>
    </row>
    <row r="223" spans="2:6" ht="13">
      <c r="B223" s="60"/>
      <c r="C223" s="60"/>
      <c r="D223" s="60"/>
      <c r="E223" s="60"/>
      <c r="F223" s="60"/>
    </row>
    <row r="224" spans="2:6" ht="13">
      <c r="B224" s="60"/>
      <c r="C224" s="60"/>
      <c r="D224" s="60"/>
      <c r="E224" s="60"/>
      <c r="F224" s="60"/>
    </row>
    <row r="225" spans="2:6" ht="13">
      <c r="B225" s="60"/>
      <c r="C225" s="60"/>
      <c r="D225" s="60"/>
      <c r="E225" s="60"/>
      <c r="F225" s="60"/>
    </row>
    <row r="226" spans="2:6" ht="13">
      <c r="B226" s="60"/>
      <c r="C226" s="60"/>
      <c r="D226" s="60"/>
      <c r="E226" s="60"/>
      <c r="F226" s="60"/>
    </row>
    <row r="227" spans="2:6" ht="13">
      <c r="B227" s="60"/>
      <c r="C227" s="60"/>
      <c r="D227" s="60"/>
      <c r="E227" s="60"/>
      <c r="F227" s="60"/>
    </row>
    <row r="228" spans="2:6" ht="13">
      <c r="B228" s="60"/>
      <c r="C228" s="60"/>
      <c r="D228" s="60"/>
      <c r="E228" s="60"/>
      <c r="F228" s="60"/>
    </row>
    <row r="229" spans="2:6" ht="13">
      <c r="B229" s="60"/>
      <c r="C229" s="60"/>
      <c r="D229" s="60"/>
      <c r="E229" s="60"/>
      <c r="F229" s="60"/>
    </row>
    <row r="230" spans="2:6" ht="13">
      <c r="B230" s="60"/>
      <c r="C230" s="60"/>
      <c r="D230" s="60"/>
      <c r="E230" s="60"/>
      <c r="F230" s="60"/>
    </row>
    <row r="231" spans="2:6" ht="13">
      <c r="B231" s="60"/>
      <c r="C231" s="60"/>
      <c r="D231" s="60"/>
      <c r="E231" s="60"/>
      <c r="F231" s="60"/>
    </row>
    <row r="232" spans="2:6" ht="13">
      <c r="B232" s="60"/>
      <c r="C232" s="60"/>
      <c r="D232" s="60"/>
      <c r="E232" s="60"/>
      <c r="F232" s="60"/>
    </row>
    <row r="233" spans="2:6" ht="13">
      <c r="B233" s="60"/>
      <c r="C233" s="60"/>
      <c r="D233" s="60"/>
      <c r="E233" s="60"/>
      <c r="F233" s="60"/>
    </row>
    <row r="234" spans="2:6" ht="13">
      <c r="B234" s="60"/>
      <c r="C234" s="60"/>
      <c r="D234" s="60"/>
      <c r="E234" s="60"/>
      <c r="F234" s="60"/>
    </row>
    <row r="235" spans="2:6" ht="13">
      <c r="B235" s="60"/>
      <c r="C235" s="60"/>
      <c r="D235" s="60"/>
      <c r="E235" s="60"/>
      <c r="F235" s="60"/>
    </row>
    <row r="236" spans="2:6" ht="13">
      <c r="B236" s="60"/>
      <c r="C236" s="60"/>
      <c r="D236" s="60"/>
      <c r="E236" s="60"/>
      <c r="F236" s="60"/>
    </row>
    <row r="237" spans="2:6" ht="13">
      <c r="B237" s="60"/>
      <c r="C237" s="60"/>
      <c r="D237" s="60"/>
      <c r="E237" s="60"/>
      <c r="F237" s="60"/>
    </row>
    <row r="238" spans="2:6" ht="13">
      <c r="B238" s="60"/>
      <c r="C238" s="60"/>
      <c r="D238" s="60"/>
      <c r="E238" s="60"/>
      <c r="F238" s="60"/>
    </row>
    <row r="239" spans="2:6" ht="13">
      <c r="B239" s="60"/>
      <c r="C239" s="60"/>
      <c r="D239" s="60"/>
      <c r="E239" s="60"/>
      <c r="F239" s="60"/>
    </row>
    <row r="240" spans="2:6" ht="13">
      <c r="B240" s="60"/>
      <c r="C240" s="60"/>
      <c r="D240" s="60"/>
      <c r="E240" s="60"/>
      <c r="F240" s="60"/>
    </row>
    <row r="241" spans="2:6" ht="13">
      <c r="B241" s="60"/>
      <c r="C241" s="60"/>
      <c r="D241" s="60"/>
      <c r="E241" s="60"/>
      <c r="F241" s="60"/>
    </row>
    <row r="242" spans="2:6" ht="13">
      <c r="B242" s="60"/>
      <c r="C242" s="60"/>
      <c r="D242" s="60"/>
      <c r="E242" s="60"/>
      <c r="F242" s="60"/>
    </row>
    <row r="243" spans="2:6" ht="13">
      <c r="B243" s="60"/>
      <c r="C243" s="60"/>
      <c r="D243" s="60"/>
      <c r="E243" s="60"/>
      <c r="F243" s="60"/>
    </row>
    <row r="244" spans="2:6" ht="13">
      <c r="B244" s="60"/>
      <c r="C244" s="60"/>
      <c r="D244" s="60"/>
      <c r="E244" s="60"/>
      <c r="F244" s="60"/>
    </row>
    <row r="245" spans="2:6" ht="13">
      <c r="B245" s="60"/>
      <c r="C245" s="60"/>
      <c r="D245" s="60"/>
      <c r="E245" s="60"/>
      <c r="F245" s="60"/>
    </row>
    <row r="246" spans="2:6" ht="13">
      <c r="B246" s="60"/>
      <c r="C246" s="60"/>
      <c r="D246" s="60"/>
      <c r="E246" s="60"/>
      <c r="F246" s="60"/>
    </row>
    <row r="247" spans="2:6" ht="13">
      <c r="B247" s="60"/>
      <c r="C247" s="60"/>
      <c r="D247" s="60"/>
      <c r="E247" s="60"/>
      <c r="F247" s="60"/>
    </row>
    <row r="248" spans="2:6" ht="13">
      <c r="B248" s="60"/>
      <c r="C248" s="60"/>
      <c r="D248" s="60"/>
      <c r="E248" s="60"/>
      <c r="F248" s="60"/>
    </row>
    <row r="249" spans="2:6" ht="13">
      <c r="B249" s="60"/>
      <c r="C249" s="60"/>
      <c r="D249" s="60"/>
      <c r="E249" s="60"/>
      <c r="F249" s="60"/>
    </row>
    <row r="250" spans="2:6" ht="13">
      <c r="B250" s="60"/>
      <c r="C250" s="60"/>
      <c r="D250" s="60"/>
      <c r="E250" s="60"/>
      <c r="F250" s="60"/>
    </row>
    <row r="251" spans="2:6" ht="13">
      <c r="B251" s="60"/>
      <c r="C251" s="60"/>
      <c r="D251" s="60"/>
      <c r="E251" s="60"/>
      <c r="F251" s="60"/>
    </row>
    <row r="252" spans="2:6" ht="13">
      <c r="B252" s="60"/>
      <c r="C252" s="60"/>
      <c r="D252" s="60"/>
      <c r="E252" s="60"/>
      <c r="F252" s="60"/>
    </row>
    <row r="253" spans="2:6" ht="13">
      <c r="B253" s="60"/>
      <c r="C253" s="60"/>
      <c r="D253" s="60"/>
      <c r="E253" s="60"/>
      <c r="F253" s="60"/>
    </row>
    <row r="254" spans="2:6" ht="13">
      <c r="B254" s="60"/>
      <c r="C254" s="60"/>
      <c r="D254" s="60"/>
      <c r="E254" s="60"/>
      <c r="F254" s="60"/>
    </row>
    <row r="255" spans="2:6" ht="13">
      <c r="B255" s="60"/>
      <c r="C255" s="60"/>
      <c r="D255" s="60"/>
      <c r="E255" s="60"/>
      <c r="F255" s="60"/>
    </row>
    <row r="256" spans="2:6" ht="13">
      <c r="B256" s="60"/>
      <c r="C256" s="60"/>
      <c r="D256" s="60"/>
      <c r="E256" s="60"/>
      <c r="F256" s="60"/>
    </row>
    <row r="257" spans="2:6" ht="13">
      <c r="B257" s="60"/>
      <c r="C257" s="60"/>
      <c r="D257" s="60"/>
      <c r="E257" s="60"/>
      <c r="F257" s="60"/>
    </row>
    <row r="258" spans="2:6" ht="13">
      <c r="B258" s="60"/>
      <c r="C258" s="60"/>
      <c r="D258" s="60"/>
      <c r="E258" s="60"/>
      <c r="F258" s="60"/>
    </row>
    <row r="259" spans="2:6" ht="13">
      <c r="B259" s="60"/>
      <c r="C259" s="60"/>
      <c r="D259" s="60"/>
      <c r="E259" s="60"/>
      <c r="F259" s="60"/>
    </row>
    <row r="260" spans="2:6" ht="13">
      <c r="B260" s="60"/>
      <c r="C260" s="60"/>
      <c r="D260" s="60"/>
      <c r="E260" s="60"/>
      <c r="F260" s="60"/>
    </row>
    <row r="261" spans="2:6" ht="13">
      <c r="B261" s="60"/>
      <c r="C261" s="60"/>
      <c r="D261" s="60"/>
      <c r="E261" s="60"/>
      <c r="F261" s="60"/>
    </row>
    <row r="262" spans="2:6" ht="13">
      <c r="B262" s="60"/>
      <c r="C262" s="60"/>
      <c r="D262" s="60"/>
      <c r="E262" s="60"/>
      <c r="F262" s="60"/>
    </row>
    <row r="263" spans="2:6" ht="13">
      <c r="B263" s="60"/>
      <c r="C263" s="60"/>
      <c r="D263" s="60"/>
      <c r="E263" s="60"/>
      <c r="F263" s="60"/>
    </row>
    <row r="264" spans="2:6" ht="13">
      <c r="B264" s="60"/>
      <c r="C264" s="60"/>
      <c r="D264" s="60"/>
      <c r="E264" s="60"/>
      <c r="F264" s="60"/>
    </row>
    <row r="265" spans="2:6" ht="13">
      <c r="B265" s="60"/>
      <c r="C265" s="60"/>
      <c r="D265" s="60"/>
      <c r="E265" s="60"/>
      <c r="F265" s="60"/>
    </row>
    <row r="266" spans="2:6" ht="13">
      <c r="B266" s="60"/>
      <c r="C266" s="60"/>
      <c r="D266" s="60"/>
      <c r="E266" s="60"/>
      <c r="F266" s="60"/>
    </row>
    <row r="267" spans="2:6" ht="13">
      <c r="B267" s="60"/>
      <c r="C267" s="60"/>
      <c r="D267" s="60"/>
      <c r="E267" s="60"/>
      <c r="F267" s="60"/>
    </row>
    <row r="268" spans="2:6" ht="13">
      <c r="B268" s="60"/>
      <c r="C268" s="60"/>
      <c r="D268" s="60"/>
      <c r="E268" s="60"/>
      <c r="F268" s="60"/>
    </row>
    <row r="269" spans="2:6" ht="13">
      <c r="B269" s="60"/>
      <c r="C269" s="60"/>
      <c r="D269" s="60"/>
      <c r="E269" s="60"/>
      <c r="F269" s="60"/>
    </row>
    <row r="270" spans="2:6" ht="13">
      <c r="B270" s="60"/>
      <c r="C270" s="60"/>
      <c r="D270" s="60"/>
      <c r="E270" s="60"/>
      <c r="F270" s="60"/>
    </row>
    <row r="271" spans="2:6" ht="13">
      <c r="B271" s="60"/>
      <c r="C271" s="60"/>
      <c r="D271" s="60"/>
      <c r="E271" s="60"/>
      <c r="F271" s="60"/>
    </row>
    <row r="272" spans="2:6" ht="13">
      <c r="B272" s="60"/>
      <c r="C272" s="60"/>
      <c r="D272" s="60"/>
      <c r="E272" s="60"/>
      <c r="F272" s="60"/>
    </row>
    <row r="273" spans="2:6" ht="13">
      <c r="B273" s="60"/>
      <c r="C273" s="60"/>
      <c r="D273" s="60"/>
      <c r="E273" s="60"/>
      <c r="F273" s="60"/>
    </row>
    <row r="274" spans="2:6" ht="13">
      <c r="B274" s="60"/>
      <c r="C274" s="60"/>
      <c r="D274" s="60"/>
      <c r="E274" s="60"/>
      <c r="F274" s="60"/>
    </row>
    <row r="275" spans="2:6" ht="13">
      <c r="B275" s="60"/>
      <c r="C275" s="60"/>
      <c r="D275" s="60"/>
      <c r="E275" s="60"/>
      <c r="F275" s="60"/>
    </row>
    <row r="276" spans="2:6" ht="13">
      <c r="B276" s="60"/>
      <c r="C276" s="60"/>
      <c r="D276" s="60"/>
      <c r="E276" s="60"/>
      <c r="F276" s="60"/>
    </row>
    <row r="277" spans="2:6" ht="13">
      <c r="B277" s="60"/>
      <c r="C277" s="60"/>
      <c r="D277" s="60"/>
      <c r="E277" s="60"/>
      <c r="F277" s="60"/>
    </row>
    <row r="278" spans="2:6" ht="13">
      <c r="B278" s="60"/>
      <c r="C278" s="60"/>
      <c r="D278" s="60"/>
      <c r="E278" s="60"/>
      <c r="F278" s="60"/>
    </row>
    <row r="279" spans="2:6" ht="13">
      <c r="B279" s="60"/>
      <c r="C279" s="60"/>
      <c r="D279" s="60"/>
      <c r="E279" s="60"/>
      <c r="F279" s="60"/>
    </row>
    <row r="280" spans="2:6" ht="13">
      <c r="B280" s="60"/>
      <c r="C280" s="60"/>
      <c r="D280" s="60"/>
      <c r="E280" s="60"/>
      <c r="F280" s="60"/>
    </row>
    <row r="281" spans="2:6" ht="13">
      <c r="B281" s="60"/>
      <c r="C281" s="60"/>
      <c r="D281" s="60"/>
      <c r="E281" s="60"/>
      <c r="F281" s="60"/>
    </row>
    <row r="282" spans="2:6" ht="13">
      <c r="B282" s="60"/>
      <c r="C282" s="60"/>
      <c r="D282" s="60"/>
      <c r="E282" s="60"/>
      <c r="F282" s="60"/>
    </row>
    <row r="283" spans="2:6" ht="13">
      <c r="B283" s="60"/>
      <c r="C283" s="60"/>
      <c r="D283" s="60"/>
      <c r="E283" s="60"/>
      <c r="F283" s="60"/>
    </row>
    <row r="284" spans="2:6" ht="13">
      <c r="B284" s="60"/>
      <c r="C284" s="60"/>
      <c r="D284" s="60"/>
      <c r="E284" s="60"/>
      <c r="F284" s="60"/>
    </row>
    <row r="285" spans="2:6" ht="13">
      <c r="B285" s="60"/>
      <c r="C285" s="60"/>
      <c r="D285" s="60"/>
      <c r="E285" s="60"/>
      <c r="F285" s="60"/>
    </row>
    <row r="286" spans="2:6" ht="13">
      <c r="B286" s="60"/>
      <c r="C286" s="60"/>
      <c r="D286" s="60"/>
      <c r="E286" s="60"/>
      <c r="F286" s="60"/>
    </row>
    <row r="287" spans="2:6" ht="13">
      <c r="B287" s="60"/>
      <c r="C287" s="60"/>
      <c r="D287" s="60"/>
      <c r="E287" s="60"/>
      <c r="F287" s="60"/>
    </row>
    <row r="288" spans="2:6" ht="13">
      <c r="B288" s="60"/>
      <c r="C288" s="60"/>
      <c r="D288" s="60"/>
      <c r="E288" s="60"/>
      <c r="F288" s="60"/>
    </row>
    <row r="289" spans="2:6" ht="13">
      <c r="B289" s="60"/>
      <c r="C289" s="60"/>
      <c r="D289" s="60"/>
      <c r="E289" s="60"/>
      <c r="F289" s="60"/>
    </row>
    <row r="290" spans="2:6" ht="13">
      <c r="B290" s="60"/>
      <c r="C290" s="60"/>
      <c r="D290" s="60"/>
      <c r="E290" s="60"/>
      <c r="F290" s="60"/>
    </row>
    <row r="291" spans="2:6" ht="13">
      <c r="B291" s="60"/>
      <c r="C291" s="60"/>
      <c r="D291" s="60"/>
      <c r="E291" s="60"/>
      <c r="F291" s="60"/>
    </row>
    <row r="292" spans="2:6" ht="13">
      <c r="B292" s="60"/>
      <c r="C292" s="60"/>
      <c r="D292" s="60"/>
      <c r="E292" s="60"/>
      <c r="F292" s="60"/>
    </row>
    <row r="293" spans="2:6" ht="13">
      <c r="B293" s="60"/>
      <c r="C293" s="60"/>
      <c r="D293" s="60"/>
      <c r="E293" s="60"/>
      <c r="F293" s="60"/>
    </row>
    <row r="294" spans="2:6" ht="13">
      <c r="B294" s="60"/>
      <c r="C294" s="60"/>
      <c r="D294" s="60"/>
      <c r="E294" s="60"/>
      <c r="F294" s="60"/>
    </row>
    <row r="295" spans="2:6" ht="13">
      <c r="B295" s="60"/>
      <c r="C295" s="60"/>
      <c r="D295" s="60"/>
      <c r="E295" s="60"/>
      <c r="F295" s="60"/>
    </row>
    <row r="296" spans="2:6" ht="13">
      <c r="B296" s="60"/>
      <c r="C296" s="60"/>
      <c r="D296" s="60"/>
      <c r="E296" s="60"/>
      <c r="F296" s="60"/>
    </row>
    <row r="297" spans="2:6" ht="13">
      <c r="B297" s="60"/>
      <c r="C297" s="60"/>
      <c r="D297" s="60"/>
      <c r="E297" s="60"/>
      <c r="F297" s="60"/>
    </row>
    <row r="298" spans="2:6" ht="13">
      <c r="B298" s="60"/>
      <c r="C298" s="60"/>
      <c r="D298" s="60"/>
      <c r="E298" s="60"/>
      <c r="F298" s="60"/>
    </row>
    <row r="299" spans="2:6" ht="13">
      <c r="B299" s="60"/>
      <c r="C299" s="60"/>
      <c r="D299" s="60"/>
      <c r="E299" s="60"/>
      <c r="F299" s="60"/>
    </row>
    <row r="300" spans="2:6" ht="13">
      <c r="B300" s="60"/>
      <c r="C300" s="60"/>
      <c r="D300" s="60"/>
      <c r="E300" s="60"/>
      <c r="F300" s="60"/>
    </row>
    <row r="301" spans="2:6" ht="13">
      <c r="B301" s="60"/>
      <c r="C301" s="60"/>
      <c r="D301" s="60"/>
      <c r="E301" s="60"/>
      <c r="F301" s="60"/>
    </row>
    <row r="302" spans="2:6" ht="13">
      <c r="B302" s="60"/>
      <c r="C302" s="60"/>
      <c r="D302" s="60"/>
      <c r="E302" s="60"/>
      <c r="F302" s="60"/>
    </row>
    <row r="303" spans="2:6" ht="13">
      <c r="B303" s="60"/>
      <c r="C303" s="60"/>
      <c r="D303" s="60"/>
      <c r="E303" s="60"/>
      <c r="F303" s="60"/>
    </row>
    <row r="304" spans="2:6" ht="13">
      <c r="B304" s="60"/>
      <c r="C304" s="60"/>
      <c r="D304" s="60"/>
      <c r="E304" s="60"/>
      <c r="F304" s="60"/>
    </row>
    <row r="305" spans="2:6" ht="13">
      <c r="B305" s="60"/>
      <c r="C305" s="60"/>
      <c r="D305" s="60"/>
      <c r="E305" s="60"/>
      <c r="F305" s="60"/>
    </row>
    <row r="306" spans="2:6" ht="13">
      <c r="B306" s="60"/>
      <c r="C306" s="60"/>
      <c r="D306" s="60"/>
      <c r="E306" s="60"/>
      <c r="F306" s="60"/>
    </row>
    <row r="307" spans="2:6" ht="13">
      <c r="B307" s="60"/>
      <c r="C307" s="60"/>
      <c r="D307" s="60"/>
      <c r="E307" s="60"/>
      <c r="F307" s="60"/>
    </row>
    <row r="308" spans="2:6" ht="13">
      <c r="B308" s="60"/>
      <c r="C308" s="60"/>
      <c r="D308" s="60"/>
      <c r="E308" s="60"/>
      <c r="F308" s="60"/>
    </row>
    <row r="309" spans="2:6" ht="13">
      <c r="B309" s="60"/>
      <c r="C309" s="60"/>
      <c r="D309" s="60"/>
      <c r="E309" s="60"/>
      <c r="F309" s="60"/>
    </row>
    <row r="310" spans="2:6" ht="13">
      <c r="B310" s="60"/>
      <c r="C310" s="60"/>
      <c r="D310" s="60"/>
      <c r="E310" s="60"/>
      <c r="F310" s="60"/>
    </row>
    <row r="311" spans="2:6" ht="13">
      <c r="B311" s="60"/>
      <c r="C311" s="60"/>
      <c r="D311" s="60"/>
      <c r="E311" s="60"/>
      <c r="F311" s="60"/>
    </row>
    <row r="312" spans="2:6" ht="13">
      <c r="B312" s="60"/>
      <c r="C312" s="60"/>
      <c r="D312" s="60"/>
      <c r="E312" s="60"/>
      <c r="F312" s="60"/>
    </row>
    <row r="313" spans="2:6" ht="13">
      <c r="B313" s="60"/>
      <c r="C313" s="60"/>
      <c r="D313" s="60"/>
      <c r="E313" s="60"/>
      <c r="F313" s="60"/>
    </row>
    <row r="314" spans="2:6" ht="13">
      <c r="B314" s="60"/>
      <c r="C314" s="60"/>
      <c r="D314" s="60"/>
      <c r="E314" s="60"/>
      <c r="F314" s="60"/>
    </row>
    <row r="315" spans="2:6" ht="13">
      <c r="B315" s="60"/>
      <c r="C315" s="60"/>
      <c r="D315" s="60"/>
      <c r="E315" s="60"/>
      <c r="F315" s="60"/>
    </row>
    <row r="316" spans="2:6" ht="13">
      <c r="B316" s="60"/>
      <c r="C316" s="60"/>
      <c r="D316" s="60"/>
      <c r="E316" s="60"/>
      <c r="F316" s="60"/>
    </row>
    <row r="317" spans="2:6" ht="13">
      <c r="B317" s="60"/>
      <c r="C317" s="60"/>
      <c r="D317" s="60"/>
      <c r="E317" s="60"/>
      <c r="F317" s="60"/>
    </row>
    <row r="318" spans="2:6" ht="13">
      <c r="B318" s="60"/>
      <c r="C318" s="60"/>
      <c r="D318" s="60"/>
      <c r="E318" s="60"/>
      <c r="F318" s="60"/>
    </row>
    <row r="319" spans="2:6" ht="13">
      <c r="B319" s="60"/>
      <c r="C319" s="60"/>
      <c r="D319" s="60"/>
      <c r="E319" s="60"/>
      <c r="F319" s="60"/>
    </row>
    <row r="320" spans="2:6" ht="13">
      <c r="B320" s="60"/>
      <c r="C320" s="60"/>
      <c r="D320" s="60"/>
      <c r="E320" s="60"/>
      <c r="F320" s="60"/>
    </row>
    <row r="321" spans="2:6" ht="13">
      <c r="B321" s="60"/>
      <c r="C321" s="60"/>
      <c r="D321" s="60"/>
      <c r="E321" s="60"/>
      <c r="F321" s="60"/>
    </row>
    <row r="322" spans="2:6" ht="13">
      <c r="B322" s="60"/>
      <c r="C322" s="60"/>
      <c r="D322" s="60"/>
      <c r="E322" s="60"/>
      <c r="F322" s="60"/>
    </row>
    <row r="323" spans="2:6" ht="13">
      <c r="B323" s="60"/>
      <c r="C323" s="60"/>
      <c r="D323" s="60"/>
      <c r="E323" s="60"/>
      <c r="F323" s="60"/>
    </row>
    <row r="324" spans="2:6" ht="13">
      <c r="B324" s="60"/>
      <c r="C324" s="60"/>
      <c r="D324" s="60"/>
      <c r="E324" s="60"/>
      <c r="F324" s="60"/>
    </row>
    <row r="325" spans="2:6" ht="13">
      <c r="B325" s="60"/>
      <c r="C325" s="60"/>
      <c r="D325" s="60"/>
      <c r="E325" s="60"/>
      <c r="F325" s="60"/>
    </row>
    <row r="326" spans="2:6" ht="13">
      <c r="B326" s="60"/>
      <c r="C326" s="60"/>
      <c r="D326" s="60"/>
      <c r="E326" s="60"/>
      <c r="F326" s="60"/>
    </row>
    <row r="327" spans="2:6" ht="13">
      <c r="B327" s="60"/>
      <c r="C327" s="60"/>
      <c r="D327" s="60"/>
      <c r="E327" s="60"/>
      <c r="F327" s="60"/>
    </row>
    <row r="328" spans="2:6" ht="13">
      <c r="B328" s="60"/>
      <c r="C328" s="60"/>
      <c r="D328" s="60"/>
      <c r="E328" s="60"/>
      <c r="F328" s="60"/>
    </row>
    <row r="329" spans="2:6" ht="13">
      <c r="B329" s="60"/>
      <c r="C329" s="60"/>
      <c r="D329" s="60"/>
      <c r="E329" s="60"/>
      <c r="F329" s="60"/>
    </row>
    <row r="330" spans="2:6" ht="13">
      <c r="B330" s="60"/>
      <c r="C330" s="60"/>
      <c r="D330" s="60"/>
      <c r="E330" s="60"/>
      <c r="F330" s="60"/>
    </row>
    <row r="331" spans="2:6" ht="13">
      <c r="B331" s="60"/>
      <c r="C331" s="60"/>
      <c r="D331" s="60"/>
      <c r="E331" s="60"/>
      <c r="F331" s="60"/>
    </row>
    <row r="332" spans="2:6" ht="13">
      <c r="B332" s="60"/>
      <c r="C332" s="60"/>
      <c r="D332" s="60"/>
      <c r="E332" s="60"/>
      <c r="F332" s="60"/>
    </row>
    <row r="333" spans="2:6" ht="13">
      <c r="B333" s="60"/>
      <c r="C333" s="60"/>
      <c r="D333" s="60"/>
      <c r="E333" s="60"/>
      <c r="F333" s="60"/>
    </row>
    <row r="334" spans="2:6" ht="13">
      <c r="B334" s="60"/>
      <c r="C334" s="60"/>
      <c r="D334" s="60"/>
      <c r="E334" s="60"/>
      <c r="F334" s="60"/>
    </row>
    <row r="335" spans="2:6" ht="13">
      <c r="B335" s="60"/>
      <c r="C335" s="60"/>
      <c r="D335" s="60"/>
      <c r="E335" s="60"/>
      <c r="F335" s="60"/>
    </row>
    <row r="336" spans="2:6" ht="13">
      <c r="B336" s="60"/>
      <c r="C336" s="60"/>
      <c r="D336" s="60"/>
      <c r="E336" s="60"/>
      <c r="F336" s="60"/>
    </row>
    <row r="337" spans="2:6" ht="13">
      <c r="B337" s="60"/>
      <c r="C337" s="60"/>
      <c r="D337" s="60"/>
      <c r="E337" s="60"/>
      <c r="F337" s="60"/>
    </row>
    <row r="338" spans="2:6" ht="13">
      <c r="B338" s="60"/>
      <c r="C338" s="60"/>
      <c r="D338" s="60"/>
      <c r="E338" s="60"/>
      <c r="F338" s="60"/>
    </row>
    <row r="339" spans="2:6" ht="13">
      <c r="B339" s="60"/>
      <c r="C339" s="60"/>
      <c r="D339" s="60"/>
      <c r="E339" s="60"/>
      <c r="F339" s="60"/>
    </row>
    <row r="340" spans="2:6" ht="13">
      <c r="B340" s="60"/>
      <c r="C340" s="60"/>
      <c r="D340" s="60"/>
      <c r="E340" s="60"/>
      <c r="F340" s="60"/>
    </row>
    <row r="341" spans="2:6" ht="13">
      <c r="B341" s="60"/>
      <c r="C341" s="60"/>
      <c r="D341" s="60"/>
      <c r="E341" s="60"/>
      <c r="F341" s="60"/>
    </row>
    <row r="342" spans="2:6" ht="13">
      <c r="B342" s="60"/>
      <c r="C342" s="60"/>
      <c r="D342" s="60"/>
      <c r="E342" s="60"/>
      <c r="F342" s="60"/>
    </row>
    <row r="343" spans="2:6" ht="13">
      <c r="B343" s="60"/>
      <c r="C343" s="60"/>
      <c r="D343" s="60"/>
      <c r="E343" s="60"/>
      <c r="F343" s="60"/>
    </row>
    <row r="344" spans="2:6" ht="13">
      <c r="B344" s="60"/>
      <c r="C344" s="60"/>
      <c r="D344" s="60"/>
      <c r="E344" s="60"/>
      <c r="F344" s="60"/>
    </row>
    <row r="345" spans="2:6" ht="13">
      <c r="B345" s="60"/>
      <c r="C345" s="60"/>
      <c r="D345" s="60"/>
      <c r="E345" s="60"/>
      <c r="F345" s="60"/>
    </row>
    <row r="346" spans="2:6" ht="13">
      <c r="B346" s="60"/>
      <c r="C346" s="60"/>
      <c r="D346" s="60"/>
      <c r="E346" s="60"/>
      <c r="F346" s="60"/>
    </row>
    <row r="347" spans="2:6" ht="13">
      <c r="B347" s="60"/>
      <c r="C347" s="60"/>
      <c r="D347" s="60"/>
      <c r="E347" s="60"/>
      <c r="F347" s="60"/>
    </row>
    <row r="348" spans="2:6" ht="13">
      <c r="B348" s="60"/>
      <c r="C348" s="60"/>
      <c r="D348" s="60"/>
      <c r="E348" s="60"/>
      <c r="F348" s="60"/>
    </row>
    <row r="349" spans="2:6" ht="13">
      <c r="B349" s="60"/>
      <c r="C349" s="60"/>
      <c r="D349" s="60"/>
      <c r="E349" s="60"/>
      <c r="F349" s="60"/>
    </row>
    <row r="350" spans="2:6" ht="13">
      <c r="B350" s="60"/>
      <c r="C350" s="60"/>
      <c r="D350" s="60"/>
      <c r="E350" s="60"/>
      <c r="F350" s="60"/>
    </row>
    <row r="351" spans="2:6" ht="13">
      <c r="B351" s="60"/>
      <c r="C351" s="60"/>
      <c r="D351" s="60"/>
      <c r="E351" s="60"/>
      <c r="F351" s="60"/>
    </row>
    <row r="352" spans="2:6" ht="13">
      <c r="B352" s="60"/>
      <c r="C352" s="60"/>
      <c r="D352" s="60"/>
      <c r="E352" s="60"/>
      <c r="F352" s="60"/>
    </row>
    <row r="353" spans="2:6" ht="13">
      <c r="B353" s="60"/>
      <c r="C353" s="60"/>
      <c r="D353" s="60"/>
      <c r="E353" s="60"/>
      <c r="F353" s="60"/>
    </row>
    <row r="354" spans="2:6" ht="13">
      <c r="B354" s="60"/>
      <c r="C354" s="60"/>
      <c r="D354" s="60"/>
      <c r="E354" s="60"/>
      <c r="F354" s="60"/>
    </row>
    <row r="355" spans="2:6" ht="13">
      <c r="B355" s="60"/>
      <c r="C355" s="60"/>
      <c r="D355" s="60"/>
      <c r="E355" s="60"/>
      <c r="F355" s="60"/>
    </row>
    <row r="356" spans="2:6" ht="13">
      <c r="B356" s="60"/>
      <c r="C356" s="60"/>
      <c r="D356" s="60"/>
      <c r="E356" s="60"/>
      <c r="F356" s="60"/>
    </row>
    <row r="357" spans="2:6" ht="13">
      <c r="B357" s="60"/>
      <c r="C357" s="60"/>
      <c r="D357" s="60"/>
      <c r="E357" s="60"/>
      <c r="F357" s="60"/>
    </row>
    <row r="358" spans="2:6" ht="13">
      <c r="B358" s="60"/>
      <c r="C358" s="60"/>
      <c r="D358" s="60"/>
      <c r="E358" s="60"/>
      <c r="F358" s="60"/>
    </row>
    <row r="359" spans="2:6" ht="13">
      <c r="B359" s="60"/>
      <c r="C359" s="60"/>
      <c r="D359" s="60"/>
      <c r="E359" s="60"/>
      <c r="F359" s="60"/>
    </row>
    <row r="360" spans="2:6" ht="13">
      <c r="B360" s="60"/>
      <c r="C360" s="60"/>
      <c r="D360" s="60"/>
      <c r="E360" s="60"/>
      <c r="F360" s="60"/>
    </row>
    <row r="361" spans="2:6" ht="13">
      <c r="B361" s="60"/>
      <c r="C361" s="60"/>
      <c r="D361" s="60"/>
      <c r="E361" s="60"/>
      <c r="F361" s="60"/>
    </row>
    <row r="362" spans="2:6" ht="13">
      <c r="B362" s="60"/>
      <c r="C362" s="60"/>
      <c r="D362" s="60"/>
      <c r="E362" s="60"/>
      <c r="F362" s="60"/>
    </row>
    <row r="363" spans="2:6" ht="13">
      <c r="B363" s="60"/>
      <c r="C363" s="60"/>
      <c r="D363" s="60"/>
      <c r="E363" s="60"/>
      <c r="F363" s="60"/>
    </row>
    <row r="364" spans="2:6" ht="13">
      <c r="B364" s="60"/>
      <c r="C364" s="60"/>
      <c r="D364" s="60"/>
      <c r="E364" s="60"/>
      <c r="F364" s="60"/>
    </row>
    <row r="365" spans="2:6" ht="13">
      <c r="B365" s="60"/>
      <c r="C365" s="60"/>
      <c r="D365" s="60"/>
      <c r="E365" s="60"/>
      <c r="F365" s="60"/>
    </row>
    <row r="366" spans="2:6" ht="13">
      <c r="B366" s="60"/>
      <c r="C366" s="60"/>
      <c r="D366" s="60"/>
      <c r="E366" s="60"/>
      <c r="F366" s="60"/>
    </row>
    <row r="367" spans="2:6" ht="13">
      <c r="B367" s="60"/>
      <c r="C367" s="60"/>
      <c r="D367" s="60"/>
      <c r="E367" s="60"/>
      <c r="F367" s="60"/>
    </row>
    <row r="368" spans="2:6" ht="13">
      <c r="B368" s="60"/>
      <c r="C368" s="60"/>
      <c r="D368" s="60"/>
      <c r="E368" s="60"/>
      <c r="F368" s="60"/>
    </row>
    <row r="369" spans="2:6" ht="13">
      <c r="B369" s="60"/>
      <c r="C369" s="60"/>
      <c r="D369" s="60"/>
      <c r="E369" s="60"/>
      <c r="F369" s="60"/>
    </row>
    <row r="370" spans="2:6" ht="13">
      <c r="B370" s="60"/>
      <c r="C370" s="60"/>
      <c r="D370" s="60"/>
      <c r="E370" s="60"/>
      <c r="F370" s="60"/>
    </row>
    <row r="371" spans="2:6" ht="13">
      <c r="B371" s="60"/>
      <c r="C371" s="60"/>
      <c r="D371" s="60"/>
      <c r="E371" s="60"/>
      <c r="F371" s="60"/>
    </row>
    <row r="372" spans="2:6" ht="13">
      <c r="B372" s="60"/>
      <c r="C372" s="60"/>
      <c r="D372" s="60"/>
      <c r="E372" s="60"/>
      <c r="F372" s="60"/>
    </row>
    <row r="373" spans="2:6" ht="13">
      <c r="B373" s="60"/>
      <c r="C373" s="60"/>
      <c r="D373" s="60"/>
      <c r="E373" s="60"/>
      <c r="F373" s="60"/>
    </row>
    <row r="374" spans="2:6" ht="13">
      <c r="B374" s="60"/>
      <c r="C374" s="60"/>
      <c r="D374" s="60"/>
      <c r="E374" s="60"/>
      <c r="F374" s="60"/>
    </row>
    <row r="375" spans="2:6" ht="13">
      <c r="B375" s="60"/>
      <c r="C375" s="60"/>
      <c r="D375" s="60"/>
      <c r="E375" s="60"/>
      <c r="F375" s="60"/>
    </row>
    <row r="376" spans="2:6" ht="13">
      <c r="B376" s="60"/>
      <c r="C376" s="60"/>
      <c r="D376" s="60"/>
      <c r="E376" s="60"/>
      <c r="F376" s="60"/>
    </row>
    <row r="377" spans="2:6" ht="13">
      <c r="B377" s="60"/>
      <c r="C377" s="60"/>
      <c r="D377" s="60"/>
      <c r="E377" s="60"/>
      <c r="F377" s="60"/>
    </row>
    <row r="378" spans="2:6" ht="13">
      <c r="B378" s="60"/>
      <c r="C378" s="60"/>
      <c r="D378" s="60"/>
      <c r="E378" s="60"/>
      <c r="F378" s="60"/>
    </row>
    <row r="379" spans="2:6" ht="13">
      <c r="B379" s="60"/>
      <c r="C379" s="60"/>
      <c r="D379" s="60"/>
      <c r="E379" s="60"/>
      <c r="F379" s="60"/>
    </row>
    <row r="380" spans="2:6" ht="13">
      <c r="B380" s="60"/>
      <c r="C380" s="60"/>
      <c r="D380" s="60"/>
      <c r="E380" s="60"/>
      <c r="F380" s="60"/>
    </row>
    <row r="381" spans="2:6" ht="13">
      <c r="B381" s="60"/>
      <c r="C381" s="60"/>
      <c r="D381" s="60"/>
      <c r="E381" s="60"/>
      <c r="F381" s="60"/>
    </row>
    <row r="382" spans="2:6" ht="13">
      <c r="B382" s="60"/>
      <c r="C382" s="60"/>
      <c r="D382" s="60"/>
      <c r="E382" s="60"/>
      <c r="F382" s="60"/>
    </row>
    <row r="383" spans="2:6" ht="13">
      <c r="B383" s="60"/>
      <c r="C383" s="60"/>
      <c r="D383" s="60"/>
      <c r="E383" s="60"/>
      <c r="F383" s="60"/>
    </row>
    <row r="384" spans="2:6" ht="13">
      <c r="B384" s="60"/>
      <c r="C384" s="60"/>
      <c r="D384" s="60"/>
      <c r="E384" s="60"/>
      <c r="F384" s="60"/>
    </row>
    <row r="385" spans="2:6" ht="13">
      <c r="B385" s="60"/>
      <c r="C385" s="60"/>
      <c r="D385" s="60"/>
      <c r="E385" s="60"/>
      <c r="F385" s="60"/>
    </row>
    <row r="386" spans="2:6" ht="13">
      <c r="B386" s="60"/>
      <c r="C386" s="60"/>
      <c r="D386" s="60"/>
      <c r="E386" s="60"/>
      <c r="F386" s="60"/>
    </row>
    <row r="387" spans="2:6" ht="13">
      <c r="B387" s="60"/>
      <c r="C387" s="60"/>
      <c r="D387" s="60"/>
      <c r="E387" s="60"/>
      <c r="F387" s="60"/>
    </row>
    <row r="388" spans="2:6" ht="13">
      <c r="B388" s="60"/>
      <c r="C388" s="60"/>
      <c r="D388" s="60"/>
      <c r="E388" s="60"/>
      <c r="F388" s="60"/>
    </row>
    <row r="389" spans="2:6" ht="13">
      <c r="B389" s="60"/>
      <c r="C389" s="60"/>
      <c r="D389" s="60"/>
      <c r="E389" s="60"/>
      <c r="F389" s="60"/>
    </row>
    <row r="390" spans="2:6" ht="13">
      <c r="B390" s="60"/>
      <c r="C390" s="60"/>
      <c r="D390" s="60"/>
      <c r="E390" s="60"/>
      <c r="F390" s="60"/>
    </row>
    <row r="391" spans="2:6" ht="13">
      <c r="B391" s="60"/>
      <c r="C391" s="60"/>
      <c r="D391" s="60"/>
      <c r="E391" s="60"/>
      <c r="F391" s="60"/>
    </row>
    <row r="392" spans="2:6" ht="13">
      <c r="B392" s="60"/>
      <c r="C392" s="60"/>
      <c r="D392" s="60"/>
      <c r="E392" s="60"/>
      <c r="F392" s="60"/>
    </row>
    <row r="393" spans="2:6" ht="13">
      <c r="B393" s="60"/>
      <c r="C393" s="60"/>
      <c r="D393" s="60"/>
      <c r="E393" s="60"/>
      <c r="F393" s="60"/>
    </row>
    <row r="394" spans="2:6" ht="13">
      <c r="B394" s="60"/>
      <c r="C394" s="60"/>
      <c r="D394" s="60"/>
      <c r="E394" s="60"/>
      <c r="F394" s="60"/>
    </row>
    <row r="395" spans="2:6" ht="13">
      <c r="B395" s="60"/>
      <c r="C395" s="60"/>
      <c r="D395" s="60"/>
      <c r="E395" s="60"/>
      <c r="F395" s="60"/>
    </row>
    <row r="396" spans="2:6" ht="13">
      <c r="B396" s="60"/>
      <c r="C396" s="60"/>
      <c r="D396" s="60"/>
      <c r="E396" s="60"/>
      <c r="F396" s="60"/>
    </row>
    <row r="397" spans="2:6" ht="13">
      <c r="B397" s="60"/>
      <c r="C397" s="60"/>
      <c r="D397" s="60"/>
      <c r="E397" s="60"/>
      <c r="F397" s="60"/>
    </row>
    <row r="398" spans="2:6" ht="13">
      <c r="B398" s="60"/>
      <c r="C398" s="60"/>
      <c r="D398" s="60"/>
      <c r="E398" s="60"/>
      <c r="F398" s="60"/>
    </row>
    <row r="399" spans="2:6" ht="13">
      <c r="B399" s="60"/>
      <c r="C399" s="60"/>
      <c r="D399" s="60"/>
      <c r="E399" s="60"/>
      <c r="F399" s="60"/>
    </row>
    <row r="400" spans="2:6" ht="13">
      <c r="B400" s="60"/>
      <c r="C400" s="60"/>
      <c r="D400" s="60"/>
      <c r="E400" s="60"/>
      <c r="F400" s="60"/>
    </row>
    <row r="401" spans="2:6" ht="13">
      <c r="B401" s="60"/>
      <c r="C401" s="60"/>
      <c r="D401" s="60"/>
      <c r="E401" s="60"/>
      <c r="F401" s="60"/>
    </row>
    <row r="402" spans="2:6" ht="13">
      <c r="B402" s="60"/>
      <c r="C402" s="60"/>
      <c r="D402" s="60"/>
      <c r="E402" s="60"/>
      <c r="F402" s="60"/>
    </row>
    <row r="403" spans="2:6" ht="13">
      <c r="B403" s="60"/>
      <c r="C403" s="60"/>
      <c r="D403" s="60"/>
      <c r="E403" s="60"/>
      <c r="F403" s="60"/>
    </row>
    <row r="404" spans="2:6" ht="13">
      <c r="B404" s="60"/>
      <c r="C404" s="60"/>
      <c r="D404" s="60"/>
      <c r="E404" s="60"/>
      <c r="F404" s="60"/>
    </row>
    <row r="405" spans="2:6" ht="13">
      <c r="B405" s="60"/>
      <c r="C405" s="60"/>
      <c r="D405" s="60"/>
      <c r="E405" s="60"/>
      <c r="F405" s="60"/>
    </row>
    <row r="406" spans="2:6" ht="13">
      <c r="B406" s="60"/>
      <c r="C406" s="60"/>
      <c r="D406" s="60"/>
      <c r="E406" s="60"/>
      <c r="F406" s="60"/>
    </row>
    <row r="407" spans="2:6" ht="13">
      <c r="B407" s="60"/>
      <c r="C407" s="60"/>
      <c r="D407" s="60"/>
      <c r="E407" s="60"/>
      <c r="F407" s="60"/>
    </row>
    <row r="408" spans="2:6" ht="13">
      <c r="B408" s="60"/>
      <c r="C408" s="60"/>
      <c r="D408" s="60"/>
      <c r="E408" s="60"/>
      <c r="F408" s="60"/>
    </row>
    <row r="409" spans="2:6" ht="13">
      <c r="B409" s="60"/>
      <c r="C409" s="60"/>
      <c r="D409" s="60"/>
      <c r="E409" s="60"/>
      <c r="F409" s="60"/>
    </row>
    <row r="410" spans="2:6" ht="13">
      <c r="B410" s="60"/>
      <c r="C410" s="60"/>
      <c r="D410" s="60"/>
      <c r="E410" s="60"/>
      <c r="F410" s="60"/>
    </row>
    <row r="411" spans="2:6" ht="13">
      <c r="B411" s="60"/>
      <c r="C411" s="60"/>
      <c r="D411" s="60"/>
      <c r="E411" s="60"/>
      <c r="F411" s="60"/>
    </row>
    <row r="412" spans="2:6" ht="13">
      <c r="B412" s="60"/>
      <c r="C412" s="60"/>
      <c r="D412" s="60"/>
      <c r="E412" s="60"/>
      <c r="F412" s="60"/>
    </row>
    <row r="413" spans="2:6" ht="13">
      <c r="B413" s="60"/>
      <c r="C413" s="60"/>
      <c r="D413" s="60"/>
      <c r="E413" s="60"/>
      <c r="F413" s="60"/>
    </row>
    <row r="414" spans="2:6" ht="13">
      <c r="B414" s="60"/>
      <c r="C414" s="60"/>
      <c r="D414" s="60"/>
      <c r="E414" s="60"/>
      <c r="F414" s="60"/>
    </row>
    <row r="415" spans="2:6" ht="13">
      <c r="B415" s="60"/>
      <c r="C415" s="60"/>
      <c r="D415" s="60"/>
      <c r="E415" s="60"/>
      <c r="F415" s="60"/>
    </row>
    <row r="416" spans="2:6" ht="13">
      <c r="B416" s="60"/>
      <c r="C416" s="60"/>
      <c r="D416" s="60"/>
      <c r="E416" s="60"/>
      <c r="F416" s="60"/>
    </row>
    <row r="417" spans="2:6" ht="13">
      <c r="B417" s="60"/>
      <c r="C417" s="60"/>
      <c r="D417" s="60"/>
      <c r="E417" s="60"/>
      <c r="F417" s="60"/>
    </row>
    <row r="418" spans="2:6" ht="13">
      <c r="B418" s="60"/>
      <c r="C418" s="60"/>
      <c r="D418" s="60"/>
      <c r="E418" s="60"/>
      <c r="F418" s="60"/>
    </row>
    <row r="419" spans="2:6" ht="13">
      <c r="B419" s="60"/>
      <c r="C419" s="60"/>
      <c r="D419" s="60"/>
      <c r="E419" s="60"/>
      <c r="F419" s="60"/>
    </row>
    <row r="420" spans="2:6" ht="13">
      <c r="B420" s="60"/>
      <c r="C420" s="60"/>
      <c r="D420" s="60"/>
      <c r="E420" s="60"/>
      <c r="F420" s="60"/>
    </row>
    <row r="421" spans="2:6" ht="13">
      <c r="B421" s="60"/>
      <c r="C421" s="60"/>
      <c r="D421" s="60"/>
      <c r="E421" s="60"/>
      <c r="F421" s="60"/>
    </row>
    <row r="422" spans="2:6" ht="13">
      <c r="B422" s="60"/>
      <c r="C422" s="60"/>
      <c r="D422" s="60"/>
      <c r="E422" s="60"/>
      <c r="F422" s="60"/>
    </row>
    <row r="423" spans="2:6" ht="13">
      <c r="B423" s="60"/>
      <c r="C423" s="60"/>
      <c r="D423" s="60"/>
      <c r="E423" s="60"/>
      <c r="F423" s="60"/>
    </row>
    <row r="424" spans="2:6" ht="13">
      <c r="B424" s="60"/>
      <c r="C424" s="60"/>
      <c r="D424" s="60"/>
      <c r="E424" s="60"/>
      <c r="F424" s="60"/>
    </row>
    <row r="425" spans="2:6" ht="13">
      <c r="B425" s="60"/>
      <c r="C425" s="60"/>
      <c r="D425" s="60"/>
      <c r="E425" s="60"/>
      <c r="F425" s="60"/>
    </row>
    <row r="426" spans="2:6" ht="13">
      <c r="B426" s="60"/>
      <c r="C426" s="60"/>
      <c r="D426" s="60"/>
      <c r="E426" s="60"/>
      <c r="F426" s="60"/>
    </row>
    <row r="427" spans="2:6" ht="13">
      <c r="B427" s="60"/>
      <c r="C427" s="60"/>
      <c r="D427" s="60"/>
      <c r="E427" s="60"/>
      <c r="F427" s="60"/>
    </row>
    <row r="428" spans="2:6" ht="13">
      <c r="B428" s="60"/>
      <c r="C428" s="60"/>
      <c r="D428" s="60"/>
      <c r="E428" s="60"/>
      <c r="F428" s="60"/>
    </row>
    <row r="429" spans="2:6" ht="13">
      <c r="B429" s="60"/>
      <c r="C429" s="60"/>
      <c r="D429" s="60"/>
      <c r="E429" s="60"/>
      <c r="F429" s="60"/>
    </row>
    <row r="430" spans="2:6" ht="13">
      <c r="B430" s="60"/>
      <c r="C430" s="60"/>
      <c r="D430" s="60"/>
      <c r="E430" s="60"/>
      <c r="F430" s="60"/>
    </row>
    <row r="431" spans="2:6" ht="13">
      <c r="B431" s="60"/>
      <c r="C431" s="60"/>
      <c r="D431" s="60"/>
      <c r="E431" s="60"/>
      <c r="F431" s="60"/>
    </row>
    <row r="432" spans="2:6" ht="13">
      <c r="B432" s="60"/>
      <c r="C432" s="60"/>
      <c r="D432" s="60"/>
      <c r="E432" s="60"/>
      <c r="F432" s="60"/>
    </row>
    <row r="433" spans="2:6" ht="13">
      <c r="B433" s="60"/>
      <c r="C433" s="60"/>
      <c r="D433" s="60"/>
      <c r="E433" s="60"/>
      <c r="F433" s="60"/>
    </row>
    <row r="434" spans="2:6" ht="13">
      <c r="B434" s="60"/>
      <c r="C434" s="60"/>
      <c r="D434" s="60"/>
      <c r="E434" s="60"/>
      <c r="F434" s="60"/>
    </row>
    <row r="435" spans="2:6" ht="13">
      <c r="B435" s="60"/>
      <c r="C435" s="60"/>
      <c r="D435" s="60"/>
      <c r="E435" s="60"/>
      <c r="F435" s="60"/>
    </row>
    <row r="436" spans="2:6" ht="13">
      <c r="B436" s="60"/>
      <c r="C436" s="60"/>
      <c r="D436" s="60"/>
      <c r="E436" s="60"/>
      <c r="F436" s="60"/>
    </row>
    <row r="437" spans="2:6" ht="13">
      <c r="B437" s="60"/>
      <c r="C437" s="60"/>
      <c r="D437" s="60"/>
      <c r="E437" s="60"/>
      <c r="F437" s="60"/>
    </row>
    <row r="438" spans="2:6" ht="13">
      <c r="B438" s="60"/>
      <c r="C438" s="60"/>
      <c r="D438" s="60"/>
      <c r="E438" s="60"/>
      <c r="F438" s="60"/>
    </row>
    <row r="439" spans="2:6" ht="13">
      <c r="B439" s="60"/>
      <c r="C439" s="60"/>
      <c r="D439" s="60"/>
      <c r="E439" s="60"/>
      <c r="F439" s="60"/>
    </row>
    <row r="440" spans="2:6" ht="13">
      <c r="B440" s="60"/>
      <c r="C440" s="60"/>
      <c r="D440" s="60"/>
      <c r="E440" s="60"/>
      <c r="F440" s="60"/>
    </row>
    <row r="441" spans="2:6" ht="13">
      <c r="B441" s="60"/>
      <c r="C441" s="60"/>
      <c r="D441" s="60"/>
      <c r="E441" s="60"/>
      <c r="F441" s="60"/>
    </row>
    <row r="442" spans="2:6" ht="13">
      <c r="B442" s="60"/>
      <c r="C442" s="60"/>
      <c r="D442" s="60"/>
      <c r="E442" s="60"/>
      <c r="F442" s="60"/>
    </row>
    <row r="443" spans="2:6" ht="13">
      <c r="B443" s="60"/>
      <c r="C443" s="60"/>
      <c r="D443" s="60"/>
      <c r="E443" s="60"/>
      <c r="F443" s="60"/>
    </row>
    <row r="444" spans="2:6" ht="13">
      <c r="B444" s="60"/>
      <c r="C444" s="60"/>
      <c r="D444" s="60"/>
      <c r="E444" s="60"/>
      <c r="F444" s="60"/>
    </row>
    <row r="445" spans="2:6" ht="13">
      <c r="B445" s="60"/>
      <c r="C445" s="60"/>
      <c r="D445" s="60"/>
      <c r="E445" s="60"/>
      <c r="F445" s="60"/>
    </row>
    <row r="446" spans="2:6" ht="13">
      <c r="B446" s="60"/>
      <c r="C446" s="60"/>
      <c r="D446" s="60"/>
      <c r="E446" s="60"/>
      <c r="F446" s="60"/>
    </row>
    <row r="447" spans="2:6" ht="13">
      <c r="B447" s="60"/>
      <c r="C447" s="60"/>
      <c r="D447" s="60"/>
      <c r="E447" s="60"/>
      <c r="F447" s="60"/>
    </row>
    <row r="448" spans="2:6" ht="13">
      <c r="B448" s="60"/>
      <c r="C448" s="60"/>
      <c r="D448" s="60"/>
      <c r="E448" s="60"/>
      <c r="F448" s="60"/>
    </row>
    <row r="449" spans="2:6" ht="13">
      <c r="B449" s="60"/>
      <c r="C449" s="60"/>
      <c r="D449" s="60"/>
      <c r="E449" s="60"/>
      <c r="F449" s="60"/>
    </row>
    <row r="450" spans="2:6" ht="13">
      <c r="B450" s="60"/>
      <c r="C450" s="60"/>
      <c r="D450" s="60"/>
      <c r="E450" s="60"/>
      <c r="F450" s="60"/>
    </row>
    <row r="451" spans="2:6" ht="13">
      <c r="B451" s="60"/>
      <c r="C451" s="60"/>
      <c r="D451" s="60"/>
      <c r="E451" s="60"/>
      <c r="F451" s="60"/>
    </row>
    <row r="452" spans="2:6" ht="13">
      <c r="B452" s="60"/>
      <c r="C452" s="60"/>
      <c r="D452" s="60"/>
      <c r="E452" s="60"/>
      <c r="F452" s="60"/>
    </row>
    <row r="453" spans="2:6" ht="13">
      <c r="B453" s="60"/>
      <c r="C453" s="60"/>
      <c r="D453" s="60"/>
      <c r="E453" s="60"/>
      <c r="F453" s="60"/>
    </row>
    <row r="454" spans="2:6" ht="13">
      <c r="B454" s="60"/>
      <c r="C454" s="60"/>
      <c r="D454" s="60"/>
      <c r="E454" s="60"/>
      <c r="F454" s="60"/>
    </row>
    <row r="455" spans="2:6" ht="13">
      <c r="B455" s="60"/>
      <c r="C455" s="60"/>
      <c r="D455" s="60"/>
      <c r="E455" s="60"/>
      <c r="F455" s="60"/>
    </row>
    <row r="456" spans="2:6" ht="13">
      <c r="B456" s="60"/>
      <c r="C456" s="60"/>
      <c r="D456" s="60"/>
      <c r="E456" s="60"/>
      <c r="F456" s="60"/>
    </row>
    <row r="457" spans="2:6" ht="13">
      <c r="B457" s="60"/>
      <c r="C457" s="60"/>
      <c r="D457" s="60"/>
      <c r="E457" s="60"/>
      <c r="F457" s="60"/>
    </row>
    <row r="458" spans="2:6" ht="13">
      <c r="B458" s="60"/>
      <c r="C458" s="60"/>
      <c r="D458" s="60"/>
      <c r="E458" s="60"/>
      <c r="F458" s="60"/>
    </row>
    <row r="459" spans="2:6" ht="13">
      <c r="B459" s="60"/>
      <c r="C459" s="60"/>
      <c r="D459" s="60"/>
      <c r="E459" s="60"/>
      <c r="F459" s="60"/>
    </row>
    <row r="460" spans="2:6" ht="13">
      <c r="B460" s="60"/>
      <c r="C460" s="60"/>
      <c r="D460" s="60"/>
      <c r="E460" s="60"/>
      <c r="F460" s="60"/>
    </row>
    <row r="461" spans="2:6" ht="13">
      <c r="B461" s="60"/>
      <c r="C461" s="60"/>
      <c r="D461" s="60"/>
      <c r="E461" s="60"/>
      <c r="F461" s="60"/>
    </row>
    <row r="462" spans="2:6" ht="13">
      <c r="B462" s="60"/>
      <c r="C462" s="60"/>
      <c r="D462" s="60"/>
      <c r="E462" s="60"/>
      <c r="F462" s="60"/>
    </row>
    <row r="463" spans="2:6" ht="13">
      <c r="B463" s="60"/>
      <c r="C463" s="60"/>
      <c r="D463" s="60"/>
      <c r="E463" s="60"/>
      <c r="F463" s="60"/>
    </row>
    <row r="464" spans="2:6" ht="13">
      <c r="B464" s="60"/>
      <c r="C464" s="60"/>
      <c r="D464" s="60"/>
      <c r="E464" s="60"/>
      <c r="F464" s="60"/>
    </row>
    <row r="465" spans="2:6" ht="13">
      <c r="B465" s="60"/>
      <c r="C465" s="60"/>
      <c r="D465" s="60"/>
      <c r="E465" s="60"/>
      <c r="F465" s="60"/>
    </row>
    <row r="466" spans="2:6" ht="13">
      <c r="B466" s="60"/>
      <c r="C466" s="60"/>
      <c r="D466" s="60"/>
      <c r="E466" s="60"/>
      <c r="F466" s="60"/>
    </row>
    <row r="467" spans="2:6" ht="13">
      <c r="B467" s="60"/>
      <c r="C467" s="60"/>
      <c r="D467" s="60"/>
      <c r="E467" s="60"/>
      <c r="F467" s="60"/>
    </row>
    <row r="468" spans="2:6" ht="13">
      <c r="B468" s="60"/>
      <c r="C468" s="60"/>
      <c r="D468" s="60"/>
      <c r="E468" s="60"/>
      <c r="F468" s="60"/>
    </row>
    <row r="469" spans="2:6" ht="13">
      <c r="B469" s="60"/>
      <c r="C469" s="60"/>
      <c r="D469" s="60"/>
      <c r="E469" s="60"/>
      <c r="F469" s="60"/>
    </row>
    <row r="470" spans="2:6" ht="13">
      <c r="B470" s="60"/>
      <c r="C470" s="60"/>
      <c r="D470" s="60"/>
      <c r="E470" s="60"/>
      <c r="F470" s="60"/>
    </row>
    <row r="471" spans="2:6" ht="13">
      <c r="B471" s="60"/>
      <c r="C471" s="60"/>
      <c r="D471" s="60"/>
      <c r="E471" s="60"/>
      <c r="F471" s="60"/>
    </row>
    <row r="472" spans="2:6" ht="13">
      <c r="B472" s="60"/>
      <c r="C472" s="60"/>
      <c r="D472" s="60"/>
      <c r="E472" s="60"/>
      <c r="F472" s="60"/>
    </row>
    <row r="473" spans="2:6" ht="13">
      <c r="B473" s="60"/>
      <c r="C473" s="60"/>
      <c r="D473" s="60"/>
      <c r="E473" s="60"/>
      <c r="F473" s="60"/>
    </row>
    <row r="474" spans="2:6" ht="13">
      <c r="B474" s="60"/>
      <c r="C474" s="60"/>
      <c r="D474" s="60"/>
      <c r="E474" s="60"/>
      <c r="F474" s="60"/>
    </row>
    <row r="475" spans="2:6" ht="13">
      <c r="B475" s="60"/>
      <c r="C475" s="60"/>
      <c r="D475" s="60"/>
      <c r="E475" s="60"/>
      <c r="F475" s="60"/>
    </row>
    <row r="476" spans="2:6" ht="13">
      <c r="B476" s="60"/>
      <c r="C476" s="60"/>
      <c r="D476" s="60"/>
      <c r="E476" s="60"/>
      <c r="F476" s="60"/>
    </row>
    <row r="477" spans="2:6" ht="13">
      <c r="B477" s="60"/>
      <c r="C477" s="60"/>
      <c r="D477" s="60"/>
      <c r="E477" s="60"/>
      <c r="F477" s="60"/>
    </row>
    <row r="478" spans="2:6" ht="13">
      <c r="B478" s="60"/>
      <c r="C478" s="60"/>
      <c r="D478" s="60"/>
      <c r="E478" s="60"/>
      <c r="F478" s="60"/>
    </row>
    <row r="479" spans="2:6" ht="13">
      <c r="B479" s="60"/>
      <c r="C479" s="60"/>
      <c r="D479" s="60"/>
      <c r="E479" s="60"/>
      <c r="F479" s="60"/>
    </row>
    <row r="480" spans="2:6" ht="13">
      <c r="B480" s="60"/>
      <c r="C480" s="60"/>
      <c r="D480" s="60"/>
      <c r="E480" s="60"/>
      <c r="F480" s="60"/>
    </row>
    <row r="481" spans="2:6" ht="13">
      <c r="B481" s="60"/>
      <c r="C481" s="60"/>
      <c r="D481" s="60"/>
      <c r="E481" s="60"/>
      <c r="F481" s="60"/>
    </row>
    <row r="482" spans="2:6" ht="13">
      <c r="B482" s="60"/>
      <c r="C482" s="60"/>
      <c r="D482" s="60"/>
      <c r="E482" s="60"/>
      <c r="F482" s="60"/>
    </row>
    <row r="483" spans="2:6" ht="13">
      <c r="B483" s="60"/>
      <c r="C483" s="60"/>
      <c r="D483" s="60"/>
      <c r="E483" s="60"/>
      <c r="F483" s="60"/>
    </row>
    <row r="484" spans="2:6" ht="13">
      <c r="B484" s="60"/>
      <c r="C484" s="60"/>
      <c r="D484" s="60"/>
      <c r="E484" s="60"/>
      <c r="F484" s="60"/>
    </row>
    <row r="485" spans="2:6" ht="13">
      <c r="B485" s="60"/>
      <c r="C485" s="60"/>
      <c r="D485" s="60"/>
      <c r="E485" s="60"/>
      <c r="F485" s="60"/>
    </row>
    <row r="486" spans="2:6" ht="13">
      <c r="B486" s="60"/>
      <c r="C486" s="60"/>
      <c r="D486" s="60"/>
      <c r="E486" s="60"/>
      <c r="F486" s="60"/>
    </row>
    <row r="487" spans="2:6" ht="13">
      <c r="B487" s="60"/>
      <c r="C487" s="60"/>
      <c r="D487" s="60"/>
      <c r="E487" s="60"/>
      <c r="F487" s="60"/>
    </row>
    <row r="488" spans="2:6" ht="13">
      <c r="B488" s="60"/>
      <c r="C488" s="60"/>
      <c r="D488" s="60"/>
      <c r="E488" s="60"/>
      <c r="F488" s="60"/>
    </row>
    <row r="489" spans="2:6" ht="13">
      <c r="B489" s="60"/>
      <c r="C489" s="60"/>
      <c r="D489" s="60"/>
      <c r="E489" s="60"/>
      <c r="F489" s="60"/>
    </row>
    <row r="490" spans="2:6" ht="13">
      <c r="B490" s="60"/>
      <c r="C490" s="60"/>
      <c r="D490" s="60"/>
      <c r="E490" s="60"/>
      <c r="F490" s="60"/>
    </row>
    <row r="491" spans="2:6" ht="13">
      <c r="B491" s="60"/>
      <c r="C491" s="60"/>
      <c r="D491" s="60"/>
      <c r="E491" s="60"/>
      <c r="F491" s="60"/>
    </row>
    <row r="492" spans="2:6" ht="13">
      <c r="B492" s="60"/>
      <c r="C492" s="60"/>
      <c r="D492" s="60"/>
      <c r="E492" s="60"/>
      <c r="F492" s="60"/>
    </row>
    <row r="493" spans="2:6" ht="13">
      <c r="B493" s="60"/>
      <c r="C493" s="60"/>
      <c r="D493" s="60"/>
      <c r="E493" s="60"/>
      <c r="F493" s="60"/>
    </row>
    <row r="494" spans="2:6" ht="13">
      <c r="B494" s="60"/>
      <c r="C494" s="60"/>
      <c r="D494" s="60"/>
      <c r="E494" s="60"/>
      <c r="F494" s="60"/>
    </row>
    <row r="495" spans="2:6" ht="13">
      <c r="B495" s="60"/>
      <c r="C495" s="60"/>
      <c r="D495" s="60"/>
      <c r="E495" s="60"/>
      <c r="F495" s="60"/>
    </row>
    <row r="496" spans="2:6" ht="13">
      <c r="B496" s="60"/>
      <c r="C496" s="60"/>
      <c r="D496" s="60"/>
      <c r="E496" s="60"/>
      <c r="F496" s="60"/>
    </row>
    <row r="497" spans="2:6" ht="13">
      <c r="B497" s="60"/>
      <c r="C497" s="60"/>
      <c r="D497" s="60"/>
      <c r="E497" s="60"/>
      <c r="F497" s="60"/>
    </row>
    <row r="498" spans="2:6" ht="13">
      <c r="B498" s="60"/>
      <c r="C498" s="60"/>
      <c r="D498" s="60"/>
      <c r="E498" s="60"/>
      <c r="F498" s="60"/>
    </row>
    <row r="499" spans="2:6" ht="13">
      <c r="B499" s="60"/>
      <c r="C499" s="60"/>
      <c r="D499" s="60"/>
      <c r="E499" s="60"/>
      <c r="F499" s="60"/>
    </row>
    <row r="500" spans="2:6" ht="13">
      <c r="B500" s="60"/>
      <c r="C500" s="60"/>
      <c r="D500" s="60"/>
      <c r="E500" s="60"/>
      <c r="F500" s="60"/>
    </row>
    <row r="501" spans="2:6" ht="13">
      <c r="B501" s="60"/>
      <c r="C501" s="60"/>
      <c r="D501" s="60"/>
      <c r="E501" s="60"/>
      <c r="F501" s="60"/>
    </row>
    <row r="502" spans="2:6" ht="13">
      <c r="B502" s="60"/>
      <c r="C502" s="60"/>
      <c r="D502" s="60"/>
      <c r="E502" s="60"/>
      <c r="F502" s="60"/>
    </row>
    <row r="503" spans="2:6" ht="13">
      <c r="B503" s="60"/>
      <c r="C503" s="60"/>
      <c r="D503" s="60"/>
      <c r="E503" s="60"/>
      <c r="F503" s="60"/>
    </row>
    <row r="504" spans="2:6" ht="13">
      <c r="B504" s="60"/>
      <c r="C504" s="60"/>
      <c r="D504" s="60"/>
      <c r="E504" s="60"/>
      <c r="F504" s="60"/>
    </row>
    <row r="505" spans="2:6" ht="13">
      <c r="B505" s="60"/>
      <c r="C505" s="60"/>
      <c r="D505" s="60"/>
      <c r="E505" s="60"/>
      <c r="F505" s="60"/>
    </row>
    <row r="506" spans="2:6" ht="13">
      <c r="B506" s="60"/>
      <c r="C506" s="60"/>
      <c r="D506" s="60"/>
      <c r="E506" s="60"/>
      <c r="F506" s="60"/>
    </row>
    <row r="507" spans="2:6" ht="13">
      <c r="B507" s="60"/>
      <c r="C507" s="60"/>
      <c r="D507" s="60"/>
      <c r="E507" s="60"/>
      <c r="F507" s="60"/>
    </row>
    <row r="508" spans="2:6" ht="13">
      <c r="B508" s="60"/>
      <c r="C508" s="60"/>
      <c r="D508" s="60"/>
      <c r="E508" s="60"/>
      <c r="F508" s="60"/>
    </row>
    <row r="509" spans="2:6" ht="13">
      <c r="B509" s="60"/>
      <c r="C509" s="60"/>
      <c r="D509" s="60"/>
      <c r="E509" s="60"/>
      <c r="F509" s="60"/>
    </row>
    <row r="510" spans="2:6" ht="13">
      <c r="B510" s="60"/>
      <c r="C510" s="60"/>
      <c r="D510" s="60"/>
      <c r="E510" s="60"/>
      <c r="F510" s="60"/>
    </row>
    <row r="511" spans="2:6" ht="13">
      <c r="B511" s="60"/>
      <c r="C511" s="60"/>
      <c r="D511" s="60"/>
      <c r="E511" s="60"/>
      <c r="F511" s="60"/>
    </row>
    <row r="512" spans="2:6" ht="13">
      <c r="B512" s="60"/>
      <c r="C512" s="60"/>
      <c r="D512" s="60"/>
      <c r="E512" s="60"/>
      <c r="F512" s="60"/>
    </row>
    <row r="513" spans="2:6" ht="13">
      <c r="B513" s="60"/>
      <c r="C513" s="60"/>
      <c r="D513" s="60"/>
      <c r="E513" s="60"/>
      <c r="F513" s="60"/>
    </row>
    <row r="514" spans="2:6" ht="13">
      <c r="B514" s="60"/>
      <c r="C514" s="60"/>
      <c r="D514" s="60"/>
      <c r="E514" s="60"/>
      <c r="F514" s="60"/>
    </row>
    <row r="515" spans="2:6" ht="13">
      <c r="B515" s="60"/>
      <c r="C515" s="60"/>
      <c r="D515" s="60"/>
      <c r="E515" s="60"/>
      <c r="F515" s="60"/>
    </row>
    <row r="516" spans="2:6" ht="13">
      <c r="B516" s="60"/>
      <c r="C516" s="60"/>
      <c r="D516" s="60"/>
      <c r="E516" s="60"/>
      <c r="F516" s="60"/>
    </row>
    <row r="517" spans="2:6" ht="13">
      <c r="B517" s="60"/>
      <c r="C517" s="60"/>
      <c r="D517" s="60"/>
      <c r="E517" s="60"/>
      <c r="F517" s="60"/>
    </row>
    <row r="518" spans="2:6" ht="13">
      <c r="B518" s="60"/>
      <c r="C518" s="60"/>
      <c r="D518" s="60"/>
      <c r="E518" s="60"/>
      <c r="F518" s="60"/>
    </row>
    <row r="519" spans="2:6" ht="13">
      <c r="B519" s="60"/>
      <c r="C519" s="60"/>
      <c r="D519" s="60"/>
      <c r="E519" s="60"/>
      <c r="F519" s="60"/>
    </row>
    <row r="520" spans="2:6" ht="13">
      <c r="B520" s="60"/>
      <c r="C520" s="60"/>
      <c r="D520" s="60"/>
      <c r="E520" s="60"/>
      <c r="F520" s="60"/>
    </row>
    <row r="521" spans="2:6" ht="13">
      <c r="B521" s="60"/>
      <c r="C521" s="60"/>
      <c r="D521" s="60"/>
      <c r="E521" s="60"/>
      <c r="F521" s="60"/>
    </row>
    <row r="522" spans="2:6" ht="13">
      <c r="B522" s="60"/>
      <c r="C522" s="60"/>
      <c r="D522" s="60"/>
      <c r="E522" s="60"/>
      <c r="F522" s="60"/>
    </row>
    <row r="523" spans="2:6" ht="13">
      <c r="B523" s="60"/>
      <c r="C523" s="60"/>
      <c r="D523" s="60"/>
      <c r="E523" s="60"/>
      <c r="F523" s="60"/>
    </row>
    <row r="524" spans="2:6" ht="13">
      <c r="B524" s="60"/>
      <c r="C524" s="60"/>
      <c r="D524" s="60"/>
      <c r="E524" s="60"/>
      <c r="F524" s="60"/>
    </row>
    <row r="525" spans="2:6" ht="13">
      <c r="B525" s="60"/>
      <c r="C525" s="60"/>
      <c r="D525" s="60"/>
      <c r="E525" s="60"/>
      <c r="F525" s="60"/>
    </row>
    <row r="526" spans="2:6" ht="13">
      <c r="B526" s="60"/>
      <c r="C526" s="60"/>
      <c r="D526" s="60"/>
      <c r="E526" s="60"/>
      <c r="F526" s="60"/>
    </row>
    <row r="527" spans="2:6" ht="13">
      <c r="B527" s="60"/>
      <c r="C527" s="60"/>
      <c r="D527" s="60"/>
      <c r="E527" s="60"/>
      <c r="F527" s="60"/>
    </row>
    <row r="528" spans="2:6" ht="13">
      <c r="B528" s="60"/>
      <c r="C528" s="60"/>
      <c r="D528" s="60"/>
      <c r="E528" s="60"/>
      <c r="F528" s="60"/>
    </row>
    <row r="529" spans="2:6" ht="13">
      <c r="B529" s="60"/>
      <c r="C529" s="60"/>
      <c r="D529" s="60"/>
      <c r="E529" s="60"/>
      <c r="F529" s="60"/>
    </row>
    <row r="530" spans="2:6" ht="13">
      <c r="B530" s="60"/>
      <c r="C530" s="60"/>
      <c r="D530" s="60"/>
      <c r="E530" s="60"/>
      <c r="F530" s="60"/>
    </row>
    <row r="531" spans="2:6" ht="13">
      <c r="B531" s="60"/>
      <c r="C531" s="60"/>
      <c r="D531" s="60"/>
      <c r="E531" s="60"/>
      <c r="F531" s="60"/>
    </row>
    <row r="532" spans="2:6" ht="13">
      <c r="B532" s="60"/>
      <c r="C532" s="60"/>
      <c r="D532" s="60"/>
      <c r="E532" s="60"/>
      <c r="F532" s="60"/>
    </row>
    <row r="533" spans="2:6" ht="13">
      <c r="B533" s="60"/>
      <c r="C533" s="60"/>
      <c r="D533" s="60"/>
      <c r="E533" s="60"/>
      <c r="F533" s="60"/>
    </row>
    <row r="534" spans="2:6" ht="13">
      <c r="B534" s="60"/>
      <c r="C534" s="60"/>
      <c r="D534" s="60"/>
      <c r="E534" s="60"/>
      <c r="F534" s="60"/>
    </row>
    <row r="535" spans="2:6" ht="13">
      <c r="B535" s="60"/>
      <c r="C535" s="60"/>
      <c r="D535" s="60"/>
      <c r="E535" s="60"/>
      <c r="F535" s="60"/>
    </row>
    <row r="536" spans="2:6" ht="13">
      <c r="B536" s="60"/>
      <c r="C536" s="60"/>
      <c r="D536" s="60"/>
      <c r="E536" s="60"/>
      <c r="F536" s="60"/>
    </row>
    <row r="537" spans="2:6" ht="13">
      <c r="B537" s="60"/>
      <c r="C537" s="60"/>
      <c r="D537" s="60"/>
      <c r="E537" s="60"/>
      <c r="F537" s="60"/>
    </row>
    <row r="538" spans="2:6" ht="13">
      <c r="B538" s="60"/>
      <c r="C538" s="60"/>
      <c r="D538" s="60"/>
      <c r="E538" s="60"/>
      <c r="F538" s="60"/>
    </row>
    <row r="539" spans="2:6" ht="13">
      <c r="B539" s="60"/>
      <c r="C539" s="60"/>
      <c r="D539" s="60"/>
      <c r="E539" s="60"/>
      <c r="F539" s="60"/>
    </row>
    <row r="540" spans="2:6" ht="13">
      <c r="B540" s="60"/>
      <c r="C540" s="60"/>
      <c r="D540" s="60"/>
      <c r="E540" s="60"/>
      <c r="F540" s="60"/>
    </row>
    <row r="541" spans="2:6" ht="13">
      <c r="B541" s="60"/>
      <c r="C541" s="60"/>
      <c r="D541" s="60"/>
      <c r="E541" s="60"/>
      <c r="F541" s="60"/>
    </row>
    <row r="542" spans="2:6" ht="13">
      <c r="B542" s="60"/>
      <c r="C542" s="60"/>
      <c r="D542" s="60"/>
      <c r="E542" s="60"/>
      <c r="F542" s="60"/>
    </row>
    <row r="543" spans="2:6" ht="13">
      <c r="B543" s="60"/>
      <c r="C543" s="60"/>
      <c r="D543" s="60"/>
      <c r="E543" s="60"/>
      <c r="F543" s="60"/>
    </row>
    <row r="544" spans="2:6" ht="13">
      <c r="B544" s="60"/>
      <c r="C544" s="60"/>
      <c r="D544" s="60"/>
      <c r="E544" s="60"/>
      <c r="F544" s="60"/>
    </row>
    <row r="545" spans="2:6" ht="13">
      <c r="B545" s="60"/>
      <c r="C545" s="60"/>
      <c r="D545" s="60"/>
      <c r="E545" s="60"/>
      <c r="F545" s="60"/>
    </row>
    <row r="546" spans="2:6" ht="13">
      <c r="B546" s="60"/>
      <c r="C546" s="60"/>
      <c r="D546" s="60"/>
      <c r="E546" s="60"/>
      <c r="F546" s="60"/>
    </row>
    <row r="547" spans="2:6" ht="13">
      <c r="B547" s="60"/>
      <c r="C547" s="60"/>
      <c r="D547" s="60"/>
      <c r="E547" s="60"/>
      <c r="F547" s="60"/>
    </row>
    <row r="548" spans="2:6" ht="13">
      <c r="B548" s="60"/>
      <c r="C548" s="60"/>
      <c r="D548" s="60"/>
      <c r="E548" s="60"/>
      <c r="F548" s="60"/>
    </row>
    <row r="549" spans="2:6" ht="13">
      <c r="B549" s="60"/>
      <c r="C549" s="60"/>
      <c r="D549" s="60"/>
      <c r="E549" s="60"/>
      <c r="F549" s="60"/>
    </row>
    <row r="550" spans="2:6" ht="13">
      <c r="B550" s="60"/>
      <c r="C550" s="60"/>
      <c r="D550" s="60"/>
      <c r="E550" s="60"/>
      <c r="F550" s="60"/>
    </row>
    <row r="551" spans="2:6" ht="13">
      <c r="B551" s="60"/>
      <c r="C551" s="60"/>
      <c r="D551" s="60"/>
      <c r="E551" s="60"/>
      <c r="F551" s="60"/>
    </row>
    <row r="552" spans="2:6" ht="13">
      <c r="B552" s="60"/>
      <c r="C552" s="60"/>
      <c r="D552" s="60"/>
      <c r="E552" s="60"/>
      <c r="F552" s="60"/>
    </row>
    <row r="553" spans="2:6" ht="13">
      <c r="B553" s="60"/>
      <c r="C553" s="60"/>
      <c r="D553" s="60"/>
      <c r="E553" s="60"/>
      <c r="F553" s="60"/>
    </row>
    <row r="554" spans="2:6" ht="13">
      <c r="B554" s="60"/>
      <c r="C554" s="60"/>
      <c r="D554" s="60"/>
      <c r="E554" s="60"/>
      <c r="F554" s="60"/>
    </row>
    <row r="555" spans="2:6" ht="13">
      <c r="B555" s="60"/>
      <c r="C555" s="60"/>
      <c r="D555" s="60"/>
      <c r="E555" s="60"/>
      <c r="F555" s="60"/>
    </row>
    <row r="556" spans="2:6" ht="13">
      <c r="B556" s="60"/>
      <c r="C556" s="60"/>
      <c r="D556" s="60"/>
      <c r="E556" s="60"/>
      <c r="F556" s="60"/>
    </row>
    <row r="557" spans="2:6" ht="13">
      <c r="B557" s="60"/>
      <c r="C557" s="60"/>
      <c r="D557" s="60"/>
      <c r="E557" s="60"/>
      <c r="F557" s="60"/>
    </row>
    <row r="558" spans="2:6" ht="13">
      <c r="B558" s="60"/>
      <c r="C558" s="60"/>
      <c r="D558" s="60"/>
      <c r="E558" s="60"/>
      <c r="F558" s="60"/>
    </row>
    <row r="559" spans="2:6" ht="13">
      <c r="B559" s="60"/>
      <c r="C559" s="60"/>
      <c r="D559" s="60"/>
      <c r="E559" s="60"/>
      <c r="F559" s="60"/>
    </row>
    <row r="560" spans="2:6" ht="13">
      <c r="B560" s="60"/>
      <c r="C560" s="60"/>
      <c r="D560" s="60"/>
      <c r="E560" s="60"/>
      <c r="F560" s="60"/>
    </row>
    <row r="561" spans="2:6" ht="13">
      <c r="B561" s="60"/>
      <c r="C561" s="60"/>
      <c r="D561" s="60"/>
      <c r="E561" s="60"/>
      <c r="F561" s="60"/>
    </row>
    <row r="562" spans="2:6" ht="13">
      <c r="B562" s="60"/>
      <c r="C562" s="60"/>
      <c r="D562" s="60"/>
      <c r="E562" s="60"/>
      <c r="F562" s="60"/>
    </row>
    <row r="563" spans="2:6" ht="13">
      <c r="B563" s="60"/>
      <c r="C563" s="60"/>
      <c r="D563" s="60"/>
      <c r="E563" s="60"/>
      <c r="F563" s="60"/>
    </row>
    <row r="564" spans="2:6" ht="13">
      <c r="B564" s="60"/>
      <c r="C564" s="60"/>
      <c r="D564" s="60"/>
      <c r="E564" s="60"/>
      <c r="F564" s="60"/>
    </row>
    <row r="565" spans="2:6" ht="13">
      <c r="B565" s="60"/>
      <c r="C565" s="60"/>
      <c r="D565" s="60"/>
      <c r="E565" s="60"/>
      <c r="F565" s="60"/>
    </row>
    <row r="566" spans="2:6" ht="13">
      <c r="B566" s="60"/>
      <c r="C566" s="60"/>
      <c r="D566" s="60"/>
      <c r="E566" s="60"/>
      <c r="F566" s="60"/>
    </row>
    <row r="567" spans="2:6" ht="13">
      <c r="B567" s="60"/>
      <c r="C567" s="60"/>
      <c r="D567" s="60"/>
      <c r="E567" s="60"/>
      <c r="F567" s="60"/>
    </row>
    <row r="568" spans="2:6" ht="13">
      <c r="B568" s="60"/>
      <c r="C568" s="60"/>
      <c r="D568" s="60"/>
      <c r="E568" s="60"/>
      <c r="F568" s="60"/>
    </row>
    <row r="569" spans="2:6" ht="13">
      <c r="B569" s="60"/>
      <c r="C569" s="60"/>
      <c r="D569" s="60"/>
      <c r="E569" s="60"/>
      <c r="F569" s="60"/>
    </row>
    <row r="570" spans="2:6" ht="13">
      <c r="B570" s="60"/>
      <c r="C570" s="60"/>
      <c r="D570" s="60"/>
      <c r="E570" s="60"/>
      <c r="F570" s="60"/>
    </row>
    <row r="571" spans="2:6" ht="13">
      <c r="B571" s="60"/>
      <c r="C571" s="60"/>
      <c r="D571" s="60"/>
      <c r="E571" s="60"/>
      <c r="F571" s="60"/>
    </row>
    <row r="572" spans="2:6" ht="13">
      <c r="B572" s="60"/>
      <c r="C572" s="60"/>
      <c r="D572" s="60"/>
      <c r="E572" s="60"/>
      <c r="F572" s="60"/>
    </row>
    <row r="573" spans="2:6" ht="13">
      <c r="B573" s="60"/>
      <c r="C573" s="60"/>
      <c r="D573" s="60"/>
      <c r="E573" s="60"/>
      <c r="F573" s="60"/>
    </row>
    <row r="574" spans="2:6" ht="13">
      <c r="B574" s="60"/>
      <c r="C574" s="60"/>
      <c r="D574" s="60"/>
      <c r="E574" s="60"/>
      <c r="F574" s="60"/>
    </row>
    <row r="575" spans="2:6" ht="13">
      <c r="B575" s="60"/>
      <c r="C575" s="60"/>
      <c r="D575" s="60"/>
      <c r="E575" s="60"/>
      <c r="F575" s="60"/>
    </row>
    <row r="576" spans="2:6" ht="13">
      <c r="B576" s="60"/>
      <c r="C576" s="60"/>
      <c r="D576" s="60"/>
      <c r="E576" s="60"/>
      <c r="F576" s="60"/>
    </row>
    <row r="577" spans="2:6" ht="13">
      <c r="B577" s="60"/>
      <c r="C577" s="60"/>
      <c r="D577" s="60"/>
      <c r="E577" s="60"/>
      <c r="F577" s="60"/>
    </row>
    <row r="578" spans="2:6" ht="13">
      <c r="B578" s="60"/>
      <c r="C578" s="60"/>
      <c r="D578" s="60"/>
      <c r="E578" s="60"/>
      <c r="F578" s="60"/>
    </row>
    <row r="579" spans="2:6" ht="13">
      <c r="B579" s="60"/>
      <c r="C579" s="60"/>
      <c r="D579" s="60"/>
      <c r="E579" s="60"/>
      <c r="F579" s="60"/>
    </row>
    <row r="580" spans="2:6" ht="13">
      <c r="B580" s="60"/>
      <c r="C580" s="60"/>
      <c r="D580" s="60"/>
      <c r="E580" s="60"/>
      <c r="F580" s="60"/>
    </row>
    <row r="581" spans="2:6" ht="13">
      <c r="B581" s="60"/>
      <c r="C581" s="60"/>
      <c r="D581" s="60"/>
      <c r="E581" s="60"/>
      <c r="F581" s="60"/>
    </row>
    <row r="582" spans="2:6" ht="13">
      <c r="B582" s="60"/>
      <c r="C582" s="60"/>
      <c r="D582" s="60"/>
      <c r="E582" s="60"/>
      <c r="F582" s="60"/>
    </row>
    <row r="583" spans="2:6" ht="13">
      <c r="B583" s="60"/>
      <c r="C583" s="60"/>
      <c r="D583" s="60"/>
      <c r="E583" s="60"/>
      <c r="F583" s="60"/>
    </row>
    <row r="584" spans="2:6" ht="13">
      <c r="B584" s="60"/>
      <c r="C584" s="60"/>
      <c r="D584" s="60"/>
      <c r="E584" s="60"/>
      <c r="F584" s="60"/>
    </row>
    <row r="585" spans="2:6" ht="13">
      <c r="B585" s="60"/>
      <c r="C585" s="60"/>
      <c r="D585" s="60"/>
      <c r="E585" s="60"/>
      <c r="F585" s="60"/>
    </row>
    <row r="586" spans="2:6" ht="13">
      <c r="B586" s="60"/>
      <c r="C586" s="60"/>
      <c r="D586" s="60"/>
      <c r="E586" s="60"/>
      <c r="F586" s="60"/>
    </row>
    <row r="587" spans="2:6" ht="13">
      <c r="B587" s="60"/>
      <c r="C587" s="60"/>
      <c r="D587" s="60"/>
      <c r="E587" s="60"/>
      <c r="F587" s="60"/>
    </row>
    <row r="588" spans="2:6" ht="13">
      <c r="B588" s="60"/>
      <c r="C588" s="60"/>
      <c r="D588" s="60"/>
      <c r="E588" s="60"/>
      <c r="F588" s="60"/>
    </row>
    <row r="589" spans="2:6" ht="13">
      <c r="B589" s="60"/>
      <c r="C589" s="60"/>
      <c r="D589" s="60"/>
      <c r="E589" s="60"/>
      <c r="F589" s="60"/>
    </row>
    <row r="590" spans="2:6" ht="13">
      <c r="B590" s="60"/>
      <c r="C590" s="60"/>
      <c r="D590" s="60"/>
      <c r="E590" s="60"/>
      <c r="F590" s="60"/>
    </row>
    <row r="591" spans="2:6" ht="13">
      <c r="B591" s="60"/>
      <c r="C591" s="60"/>
      <c r="D591" s="60"/>
      <c r="E591" s="60"/>
      <c r="F591" s="60"/>
    </row>
    <row r="592" spans="2:6" ht="13">
      <c r="B592" s="60"/>
      <c r="C592" s="60"/>
      <c r="D592" s="60"/>
      <c r="E592" s="60"/>
      <c r="F592" s="60"/>
    </row>
    <row r="593" spans="2:6" ht="13">
      <c r="B593" s="60"/>
      <c r="C593" s="60"/>
      <c r="D593" s="60"/>
      <c r="E593" s="60"/>
      <c r="F593" s="60"/>
    </row>
    <row r="594" spans="2:6" ht="13">
      <c r="B594" s="60"/>
      <c r="C594" s="60"/>
      <c r="D594" s="60"/>
      <c r="E594" s="60"/>
      <c r="F594" s="60"/>
    </row>
    <row r="595" spans="2:6" ht="13">
      <c r="B595" s="60"/>
      <c r="C595" s="60"/>
      <c r="D595" s="60"/>
      <c r="E595" s="60"/>
      <c r="F595" s="60"/>
    </row>
    <row r="596" spans="2:6" ht="13">
      <c r="B596" s="60"/>
      <c r="C596" s="60"/>
      <c r="D596" s="60"/>
      <c r="E596" s="60"/>
      <c r="F596" s="60"/>
    </row>
    <row r="597" spans="2:6" ht="13">
      <c r="B597" s="60"/>
      <c r="C597" s="60"/>
      <c r="D597" s="60"/>
      <c r="E597" s="60"/>
      <c r="F597" s="60"/>
    </row>
    <row r="598" spans="2:6" ht="13">
      <c r="B598" s="60"/>
      <c r="C598" s="60"/>
      <c r="D598" s="60"/>
      <c r="E598" s="60"/>
      <c r="F598" s="60"/>
    </row>
    <row r="599" spans="2:6" ht="13">
      <c r="B599" s="60"/>
      <c r="C599" s="60"/>
      <c r="D599" s="60"/>
      <c r="E599" s="60"/>
      <c r="F599" s="60"/>
    </row>
    <row r="600" spans="2:6" ht="13">
      <c r="B600" s="60"/>
      <c r="C600" s="60"/>
      <c r="D600" s="60"/>
      <c r="E600" s="60"/>
      <c r="F600" s="60"/>
    </row>
    <row r="601" spans="2:6" ht="13">
      <c r="B601" s="60"/>
      <c r="C601" s="60"/>
      <c r="D601" s="60"/>
      <c r="E601" s="60"/>
      <c r="F601" s="60"/>
    </row>
    <row r="602" spans="2:6" ht="13">
      <c r="B602" s="60"/>
      <c r="C602" s="60"/>
      <c r="D602" s="60"/>
      <c r="E602" s="60"/>
      <c r="F602" s="60"/>
    </row>
    <row r="603" spans="2:6" ht="13">
      <c r="B603" s="60"/>
      <c r="C603" s="60"/>
      <c r="D603" s="60"/>
      <c r="E603" s="60"/>
      <c r="F603" s="60"/>
    </row>
    <row r="604" spans="2:6" ht="13">
      <c r="B604" s="60"/>
      <c r="C604" s="60"/>
      <c r="D604" s="60"/>
      <c r="E604" s="60"/>
      <c r="F604" s="60"/>
    </row>
    <row r="605" spans="2:6" ht="13">
      <c r="B605" s="60"/>
      <c r="C605" s="60"/>
      <c r="D605" s="60"/>
      <c r="E605" s="60"/>
      <c r="F605" s="60"/>
    </row>
    <row r="606" spans="2:6" ht="13">
      <c r="B606" s="60"/>
      <c r="C606" s="60"/>
      <c r="D606" s="60"/>
      <c r="E606" s="60"/>
      <c r="F606" s="60"/>
    </row>
    <row r="607" spans="2:6" ht="13">
      <c r="B607" s="60"/>
      <c r="C607" s="60"/>
      <c r="D607" s="60"/>
      <c r="E607" s="60"/>
      <c r="F607" s="60"/>
    </row>
    <row r="608" spans="2:6" ht="13">
      <c r="B608" s="60"/>
      <c r="C608" s="60"/>
      <c r="D608" s="60"/>
      <c r="E608" s="60"/>
      <c r="F608" s="60"/>
    </row>
    <row r="609" spans="2:6" ht="13">
      <c r="B609" s="60"/>
      <c r="C609" s="60"/>
      <c r="D609" s="60"/>
      <c r="E609" s="60"/>
      <c r="F609" s="60"/>
    </row>
    <row r="610" spans="2:6" ht="13">
      <c r="B610" s="60"/>
      <c r="C610" s="60"/>
      <c r="D610" s="60"/>
      <c r="E610" s="60"/>
      <c r="F610" s="60"/>
    </row>
    <row r="611" spans="2:6" ht="13">
      <c r="B611" s="60"/>
      <c r="C611" s="60"/>
      <c r="D611" s="60"/>
      <c r="E611" s="60"/>
      <c r="F611" s="60"/>
    </row>
    <row r="612" spans="2:6" ht="13">
      <c r="B612" s="60"/>
      <c r="C612" s="60"/>
      <c r="D612" s="60"/>
      <c r="E612" s="60"/>
      <c r="F612" s="60"/>
    </row>
    <row r="613" spans="2:6" ht="13">
      <c r="B613" s="60"/>
      <c r="C613" s="60"/>
      <c r="D613" s="60"/>
      <c r="E613" s="60"/>
      <c r="F613" s="60"/>
    </row>
    <row r="614" spans="2:6" ht="13">
      <c r="B614" s="60"/>
      <c r="C614" s="60"/>
      <c r="D614" s="60"/>
      <c r="E614" s="60"/>
      <c r="F614" s="60"/>
    </row>
    <row r="615" spans="2:6" ht="13">
      <c r="B615" s="60"/>
      <c r="C615" s="60"/>
      <c r="D615" s="60"/>
      <c r="E615" s="60"/>
      <c r="F615" s="60"/>
    </row>
    <row r="616" spans="2:6" ht="13">
      <c r="B616" s="60"/>
      <c r="C616" s="60"/>
      <c r="D616" s="60"/>
      <c r="E616" s="60"/>
      <c r="F616" s="60"/>
    </row>
    <row r="617" spans="2:6" ht="13">
      <c r="B617" s="60"/>
      <c r="C617" s="60"/>
      <c r="D617" s="60"/>
      <c r="E617" s="60"/>
      <c r="F617" s="60"/>
    </row>
    <row r="618" spans="2:6" ht="13">
      <c r="B618" s="60"/>
      <c r="C618" s="60"/>
      <c r="D618" s="60"/>
      <c r="E618" s="60"/>
      <c r="F618" s="60"/>
    </row>
    <row r="619" spans="2:6" ht="13">
      <c r="B619" s="60"/>
      <c r="C619" s="60"/>
      <c r="D619" s="60"/>
      <c r="E619" s="60"/>
      <c r="F619" s="60"/>
    </row>
    <row r="620" spans="2:6" ht="13">
      <c r="B620" s="60"/>
      <c r="C620" s="60"/>
      <c r="D620" s="60"/>
      <c r="E620" s="60"/>
      <c r="F620" s="60"/>
    </row>
    <row r="621" spans="2:6" ht="13">
      <c r="B621" s="60"/>
      <c r="C621" s="60"/>
      <c r="D621" s="60"/>
      <c r="E621" s="60"/>
      <c r="F621" s="60"/>
    </row>
    <row r="622" spans="2:6" ht="13">
      <c r="B622" s="60"/>
      <c r="C622" s="60"/>
      <c r="D622" s="60"/>
      <c r="E622" s="60"/>
      <c r="F622" s="60"/>
    </row>
    <row r="623" spans="2:6" ht="13">
      <c r="B623" s="60"/>
      <c r="C623" s="60"/>
      <c r="D623" s="60"/>
      <c r="E623" s="60"/>
      <c r="F623" s="60"/>
    </row>
    <row r="624" spans="2:6" ht="13">
      <c r="B624" s="60"/>
      <c r="C624" s="60"/>
      <c r="D624" s="60"/>
      <c r="E624" s="60"/>
      <c r="F624" s="60"/>
    </row>
    <row r="625" spans="2:6" ht="13">
      <c r="B625" s="60"/>
      <c r="C625" s="60"/>
      <c r="D625" s="60"/>
      <c r="E625" s="60"/>
      <c r="F625" s="60"/>
    </row>
    <row r="626" spans="2:6" ht="13">
      <c r="B626" s="60"/>
      <c r="C626" s="60"/>
      <c r="D626" s="60"/>
      <c r="E626" s="60"/>
      <c r="F626" s="60"/>
    </row>
    <row r="627" spans="2:6" ht="13">
      <c r="B627" s="60"/>
      <c r="C627" s="60"/>
      <c r="D627" s="60"/>
      <c r="E627" s="60"/>
      <c r="F627" s="60"/>
    </row>
    <row r="628" spans="2:6" ht="13">
      <c r="B628" s="60"/>
      <c r="C628" s="60"/>
      <c r="D628" s="60"/>
      <c r="E628" s="60"/>
      <c r="F628" s="60"/>
    </row>
    <row r="629" spans="2:6" ht="13">
      <c r="B629" s="60"/>
      <c r="C629" s="60"/>
      <c r="D629" s="60"/>
      <c r="E629" s="60"/>
      <c r="F629" s="60"/>
    </row>
    <row r="630" spans="2:6" ht="13">
      <c r="B630" s="60"/>
      <c r="C630" s="60"/>
      <c r="D630" s="60"/>
      <c r="E630" s="60"/>
      <c r="F630" s="60"/>
    </row>
    <row r="631" spans="2:6" ht="13">
      <c r="B631" s="60"/>
      <c r="C631" s="60"/>
      <c r="D631" s="60"/>
      <c r="E631" s="60"/>
      <c r="F631" s="60"/>
    </row>
    <row r="632" spans="2:6" ht="13">
      <c r="B632" s="60"/>
      <c r="C632" s="60"/>
      <c r="D632" s="60"/>
      <c r="E632" s="60"/>
      <c r="F632" s="60"/>
    </row>
    <row r="633" spans="2:6" ht="13">
      <c r="B633" s="60"/>
      <c r="C633" s="60"/>
      <c r="D633" s="60"/>
      <c r="E633" s="60"/>
      <c r="F633" s="60"/>
    </row>
    <row r="634" spans="2:6" ht="13">
      <c r="B634" s="60"/>
      <c r="C634" s="60"/>
      <c r="D634" s="60"/>
      <c r="E634" s="60"/>
      <c r="F634" s="60"/>
    </row>
    <row r="635" spans="2:6" ht="13">
      <c r="B635" s="60"/>
      <c r="C635" s="60"/>
      <c r="D635" s="60"/>
      <c r="E635" s="60"/>
      <c r="F635" s="60"/>
    </row>
    <row r="636" spans="2:6" ht="13">
      <c r="B636" s="60"/>
      <c r="C636" s="60"/>
      <c r="D636" s="60"/>
      <c r="E636" s="60"/>
      <c r="F636" s="60"/>
    </row>
    <row r="637" spans="2:6" ht="13">
      <c r="B637" s="60"/>
      <c r="C637" s="60"/>
      <c r="D637" s="60"/>
      <c r="E637" s="60"/>
      <c r="F637" s="60"/>
    </row>
    <row r="638" spans="2:6" ht="13">
      <c r="B638" s="60"/>
      <c r="C638" s="60"/>
      <c r="D638" s="60"/>
      <c r="E638" s="60"/>
      <c r="F638" s="60"/>
    </row>
    <row r="639" spans="2:6" ht="13">
      <c r="B639" s="60"/>
      <c r="C639" s="60"/>
      <c r="D639" s="60"/>
      <c r="E639" s="60"/>
      <c r="F639" s="60"/>
    </row>
    <row r="640" spans="2:6" ht="13">
      <c r="B640" s="60"/>
      <c r="C640" s="60"/>
      <c r="D640" s="60"/>
      <c r="E640" s="60"/>
      <c r="F640" s="60"/>
    </row>
    <row r="641" spans="2:6" ht="13">
      <c r="B641" s="60"/>
      <c r="C641" s="60"/>
      <c r="D641" s="60"/>
      <c r="E641" s="60"/>
      <c r="F641" s="60"/>
    </row>
    <row r="642" spans="2:6" ht="13">
      <c r="B642" s="60"/>
      <c r="C642" s="60"/>
      <c r="D642" s="60"/>
      <c r="E642" s="60"/>
      <c r="F642" s="60"/>
    </row>
    <row r="643" spans="2:6" ht="13">
      <c r="B643" s="60"/>
      <c r="C643" s="60"/>
      <c r="D643" s="60"/>
      <c r="E643" s="60"/>
      <c r="F643" s="60"/>
    </row>
    <row r="644" spans="2:6" ht="13">
      <c r="B644" s="60"/>
      <c r="C644" s="60"/>
      <c r="D644" s="60"/>
      <c r="E644" s="60"/>
      <c r="F644" s="60"/>
    </row>
    <row r="645" spans="2:6" ht="13">
      <c r="B645" s="60"/>
      <c r="C645" s="60"/>
      <c r="D645" s="60"/>
      <c r="E645" s="60"/>
      <c r="F645" s="60"/>
    </row>
    <row r="646" spans="2:6" ht="13">
      <c r="B646" s="60"/>
      <c r="C646" s="60"/>
      <c r="D646" s="60"/>
      <c r="E646" s="60"/>
      <c r="F646" s="60"/>
    </row>
    <row r="647" spans="2:6" ht="13">
      <c r="B647" s="60"/>
      <c r="C647" s="60"/>
      <c r="D647" s="60"/>
      <c r="E647" s="60"/>
      <c r="F647" s="60"/>
    </row>
    <row r="648" spans="2:6" ht="13">
      <c r="B648" s="60"/>
      <c r="C648" s="60"/>
      <c r="D648" s="60"/>
      <c r="E648" s="60"/>
      <c r="F648" s="60"/>
    </row>
    <row r="649" spans="2:6" ht="13">
      <c r="B649" s="60"/>
      <c r="C649" s="60"/>
      <c r="D649" s="60"/>
      <c r="E649" s="60"/>
      <c r="F649" s="60"/>
    </row>
    <row r="650" spans="2:6" ht="13">
      <c r="B650" s="60"/>
      <c r="C650" s="60"/>
      <c r="D650" s="60"/>
      <c r="E650" s="60"/>
      <c r="F650" s="60"/>
    </row>
    <row r="651" spans="2:6" ht="13">
      <c r="B651" s="60"/>
      <c r="C651" s="60"/>
      <c r="D651" s="60"/>
      <c r="E651" s="60"/>
      <c r="F651" s="60"/>
    </row>
    <row r="652" spans="2:6" ht="13">
      <c r="B652" s="60"/>
      <c r="C652" s="60"/>
      <c r="D652" s="60"/>
      <c r="E652" s="60"/>
      <c r="F652" s="60"/>
    </row>
    <row r="653" spans="2:6" ht="13">
      <c r="B653" s="60"/>
      <c r="C653" s="60"/>
      <c r="D653" s="60"/>
      <c r="E653" s="60"/>
      <c r="F653" s="60"/>
    </row>
    <row r="654" spans="2:6" ht="13">
      <c r="B654" s="60"/>
      <c r="C654" s="60"/>
      <c r="D654" s="60"/>
      <c r="E654" s="60"/>
      <c r="F654" s="60"/>
    </row>
    <row r="655" spans="2:6" ht="13">
      <c r="B655" s="60"/>
      <c r="C655" s="60"/>
      <c r="D655" s="60"/>
      <c r="E655" s="60"/>
      <c r="F655" s="60"/>
    </row>
    <row r="656" spans="2:6" ht="13">
      <c r="B656" s="60"/>
      <c r="C656" s="60"/>
      <c r="D656" s="60"/>
      <c r="E656" s="60"/>
      <c r="F656" s="60"/>
    </row>
    <row r="657" spans="2:6" ht="13">
      <c r="B657" s="60"/>
      <c r="C657" s="60"/>
      <c r="D657" s="60"/>
      <c r="E657" s="60"/>
      <c r="F657" s="60"/>
    </row>
    <row r="658" spans="2:6" ht="13">
      <c r="B658" s="60"/>
      <c r="C658" s="60"/>
      <c r="D658" s="60"/>
      <c r="E658" s="60"/>
      <c r="F658" s="60"/>
    </row>
    <row r="659" spans="2:6" ht="13">
      <c r="B659" s="60"/>
      <c r="C659" s="60"/>
      <c r="D659" s="60"/>
      <c r="E659" s="60"/>
      <c r="F659" s="60"/>
    </row>
    <row r="660" spans="2:6" ht="13">
      <c r="B660" s="60"/>
      <c r="C660" s="60"/>
      <c r="D660" s="60"/>
      <c r="E660" s="60"/>
      <c r="F660" s="60"/>
    </row>
    <row r="661" spans="2:6" ht="13">
      <c r="B661" s="60"/>
      <c r="C661" s="60"/>
      <c r="D661" s="60"/>
      <c r="E661" s="60"/>
      <c r="F661" s="60"/>
    </row>
    <row r="662" spans="2:6" ht="13">
      <c r="B662" s="60"/>
      <c r="C662" s="60"/>
      <c r="D662" s="60"/>
      <c r="E662" s="60"/>
      <c r="F662" s="60"/>
    </row>
    <row r="663" spans="2:6" ht="13">
      <c r="B663" s="60"/>
      <c r="C663" s="60"/>
      <c r="D663" s="60"/>
      <c r="E663" s="60"/>
      <c r="F663" s="60"/>
    </row>
    <row r="664" spans="2:6" ht="13">
      <c r="B664" s="60"/>
      <c r="C664" s="60"/>
      <c r="D664" s="60"/>
      <c r="E664" s="60"/>
      <c r="F664" s="60"/>
    </row>
    <row r="665" spans="2:6" ht="13">
      <c r="B665" s="60"/>
      <c r="C665" s="60"/>
      <c r="D665" s="60"/>
      <c r="E665" s="60"/>
      <c r="F665" s="60"/>
    </row>
    <row r="666" spans="2:6" ht="13">
      <c r="B666" s="60"/>
      <c r="C666" s="60"/>
      <c r="D666" s="60"/>
      <c r="E666" s="60"/>
      <c r="F666" s="60"/>
    </row>
    <row r="667" spans="2:6" ht="13">
      <c r="B667" s="60"/>
      <c r="C667" s="60"/>
      <c r="D667" s="60"/>
      <c r="E667" s="60"/>
      <c r="F667" s="60"/>
    </row>
    <row r="668" spans="2:6" ht="13">
      <c r="B668" s="60"/>
      <c r="C668" s="60"/>
      <c r="D668" s="60"/>
      <c r="E668" s="60"/>
      <c r="F668" s="60"/>
    </row>
    <row r="669" spans="2:6" ht="13">
      <c r="B669" s="60"/>
      <c r="C669" s="60"/>
      <c r="D669" s="60"/>
      <c r="E669" s="60"/>
      <c r="F669" s="60"/>
    </row>
    <row r="670" spans="2:6" ht="13">
      <c r="B670" s="60"/>
      <c r="C670" s="60"/>
      <c r="D670" s="60"/>
      <c r="E670" s="60"/>
      <c r="F670" s="60"/>
    </row>
    <row r="671" spans="2:6" ht="13">
      <c r="B671" s="60"/>
      <c r="C671" s="60"/>
      <c r="D671" s="60"/>
      <c r="E671" s="60"/>
      <c r="F671" s="60"/>
    </row>
    <row r="672" spans="2:6" ht="13">
      <c r="B672" s="60"/>
      <c r="C672" s="60"/>
      <c r="D672" s="60"/>
      <c r="E672" s="60"/>
      <c r="F672" s="60"/>
    </row>
    <row r="673" spans="2:6" ht="13">
      <c r="B673" s="60"/>
      <c r="C673" s="60"/>
      <c r="D673" s="60"/>
      <c r="E673" s="60"/>
      <c r="F673" s="60"/>
    </row>
    <row r="674" spans="2:6" ht="13">
      <c r="B674" s="60"/>
      <c r="C674" s="60"/>
      <c r="D674" s="60"/>
      <c r="E674" s="60"/>
      <c r="F674" s="60"/>
    </row>
    <row r="675" spans="2:6" ht="13">
      <c r="B675" s="60"/>
      <c r="C675" s="60"/>
      <c r="D675" s="60"/>
      <c r="E675" s="60"/>
      <c r="F675" s="60"/>
    </row>
    <row r="676" spans="2:6" ht="13">
      <c r="B676" s="60"/>
      <c r="C676" s="60"/>
      <c r="D676" s="60"/>
      <c r="E676" s="60"/>
      <c r="F676" s="60"/>
    </row>
    <row r="677" spans="2:6" ht="13">
      <c r="B677" s="60"/>
      <c r="C677" s="60"/>
      <c r="D677" s="60"/>
      <c r="E677" s="60"/>
      <c r="F677" s="60"/>
    </row>
    <row r="678" spans="2:6" ht="13">
      <c r="B678" s="60"/>
      <c r="C678" s="60"/>
      <c r="D678" s="60"/>
      <c r="E678" s="60"/>
      <c r="F678" s="60"/>
    </row>
    <row r="679" spans="2:6" ht="13">
      <c r="B679" s="60"/>
      <c r="C679" s="60"/>
      <c r="D679" s="60"/>
      <c r="E679" s="60"/>
      <c r="F679" s="60"/>
    </row>
    <row r="680" spans="2:6" ht="13">
      <c r="B680" s="60"/>
      <c r="C680" s="60"/>
      <c r="D680" s="60"/>
      <c r="E680" s="60"/>
      <c r="F680" s="60"/>
    </row>
    <row r="681" spans="2:6" ht="13">
      <c r="B681" s="60"/>
      <c r="C681" s="60"/>
      <c r="D681" s="60"/>
      <c r="E681" s="60"/>
      <c r="F681" s="60"/>
    </row>
    <row r="682" spans="2:6" ht="13">
      <c r="B682" s="60"/>
      <c r="C682" s="60"/>
      <c r="D682" s="60"/>
      <c r="E682" s="60"/>
      <c r="F682" s="60"/>
    </row>
    <row r="683" spans="2:6" ht="13">
      <c r="B683" s="60"/>
      <c r="C683" s="60"/>
      <c r="D683" s="60"/>
      <c r="E683" s="60"/>
      <c r="F683" s="60"/>
    </row>
    <row r="684" spans="2:6" ht="13">
      <c r="B684" s="60"/>
      <c r="C684" s="60"/>
      <c r="D684" s="60"/>
      <c r="E684" s="60"/>
      <c r="F684" s="60"/>
    </row>
    <row r="685" spans="2:6" ht="13">
      <c r="B685" s="60"/>
      <c r="C685" s="60"/>
      <c r="D685" s="60"/>
      <c r="E685" s="60"/>
      <c r="F685" s="60"/>
    </row>
    <row r="686" spans="2:6" ht="13">
      <c r="B686" s="60"/>
      <c r="C686" s="60"/>
      <c r="D686" s="60"/>
      <c r="E686" s="60"/>
      <c r="F686" s="60"/>
    </row>
    <row r="687" spans="2:6" ht="13">
      <c r="B687" s="60"/>
      <c r="C687" s="60"/>
      <c r="D687" s="60"/>
      <c r="E687" s="60"/>
      <c r="F687" s="60"/>
    </row>
    <row r="688" spans="2:6" ht="13">
      <c r="B688" s="60"/>
      <c r="C688" s="60"/>
      <c r="D688" s="60"/>
      <c r="E688" s="60"/>
      <c r="F688" s="60"/>
    </row>
    <row r="689" spans="2:6" ht="13">
      <c r="B689" s="60"/>
      <c r="C689" s="60"/>
      <c r="D689" s="60"/>
      <c r="E689" s="60"/>
      <c r="F689" s="60"/>
    </row>
    <row r="690" spans="2:6" ht="13">
      <c r="B690" s="60"/>
      <c r="C690" s="60"/>
      <c r="D690" s="60"/>
      <c r="E690" s="60"/>
      <c r="F690" s="60"/>
    </row>
    <row r="691" spans="2:6" ht="13">
      <c r="B691" s="60"/>
      <c r="C691" s="60"/>
      <c r="D691" s="60"/>
      <c r="E691" s="60"/>
      <c r="F691" s="60"/>
    </row>
    <row r="692" spans="2:6" ht="13">
      <c r="B692" s="60"/>
      <c r="C692" s="60"/>
      <c r="D692" s="60"/>
      <c r="E692" s="60"/>
      <c r="F692" s="60"/>
    </row>
    <row r="693" spans="2:6" ht="13">
      <c r="B693" s="60"/>
      <c r="C693" s="60"/>
      <c r="D693" s="60"/>
      <c r="E693" s="60"/>
      <c r="F693" s="60"/>
    </row>
    <row r="694" spans="2:6" ht="13">
      <c r="B694" s="60"/>
      <c r="C694" s="60"/>
      <c r="D694" s="60"/>
      <c r="E694" s="60"/>
      <c r="F694" s="60"/>
    </row>
    <row r="695" spans="2:6" ht="13">
      <c r="B695" s="60"/>
      <c r="C695" s="60"/>
      <c r="D695" s="60"/>
      <c r="E695" s="60"/>
      <c r="F695" s="60"/>
    </row>
    <row r="696" spans="2:6" ht="13">
      <c r="B696" s="60"/>
      <c r="C696" s="60"/>
      <c r="D696" s="60"/>
      <c r="E696" s="60"/>
      <c r="F696" s="60"/>
    </row>
    <row r="697" spans="2:6" ht="13">
      <c r="B697" s="60"/>
      <c r="C697" s="60"/>
      <c r="D697" s="60"/>
      <c r="E697" s="60"/>
      <c r="F697" s="60"/>
    </row>
    <row r="698" spans="2:6" ht="13">
      <c r="B698" s="60"/>
      <c r="C698" s="60"/>
      <c r="D698" s="60"/>
      <c r="E698" s="60"/>
      <c r="F698" s="60"/>
    </row>
    <row r="699" spans="2:6" ht="13">
      <c r="B699" s="60"/>
      <c r="C699" s="60"/>
      <c r="D699" s="60"/>
      <c r="E699" s="60"/>
      <c r="F699" s="60"/>
    </row>
    <row r="700" spans="2:6" ht="13">
      <c r="B700" s="60"/>
      <c r="C700" s="60"/>
      <c r="D700" s="60"/>
      <c r="E700" s="60"/>
      <c r="F700" s="60"/>
    </row>
    <row r="701" spans="2:6" ht="13">
      <c r="B701" s="60"/>
      <c r="C701" s="60"/>
      <c r="D701" s="60"/>
      <c r="E701" s="60"/>
      <c r="F701" s="60"/>
    </row>
    <row r="702" spans="2:6" ht="13">
      <c r="B702" s="60"/>
      <c r="C702" s="60"/>
      <c r="D702" s="60"/>
      <c r="E702" s="60"/>
      <c r="F702" s="60"/>
    </row>
    <row r="703" spans="2:6" ht="13">
      <c r="B703" s="60"/>
      <c r="C703" s="60"/>
      <c r="D703" s="60"/>
      <c r="E703" s="60"/>
      <c r="F703" s="60"/>
    </row>
    <row r="704" spans="2:6" ht="13">
      <c r="B704" s="60"/>
      <c r="C704" s="60"/>
      <c r="D704" s="60"/>
      <c r="E704" s="60"/>
      <c r="F704" s="60"/>
    </row>
    <row r="705" spans="2:6" ht="13">
      <c r="B705" s="60"/>
      <c r="C705" s="60"/>
      <c r="D705" s="60"/>
      <c r="E705" s="60"/>
      <c r="F705" s="60"/>
    </row>
    <row r="706" spans="2:6" ht="13">
      <c r="B706" s="60"/>
      <c r="C706" s="60"/>
      <c r="D706" s="60"/>
      <c r="E706" s="60"/>
      <c r="F706" s="60"/>
    </row>
    <row r="707" spans="2:6" ht="13">
      <c r="B707" s="60"/>
      <c r="C707" s="60"/>
      <c r="D707" s="60"/>
      <c r="E707" s="60"/>
      <c r="F707" s="60"/>
    </row>
    <row r="708" spans="2:6" ht="13">
      <c r="B708" s="60"/>
      <c r="C708" s="60"/>
      <c r="D708" s="60"/>
      <c r="E708" s="60"/>
      <c r="F708" s="60"/>
    </row>
    <row r="709" spans="2:6" ht="13">
      <c r="B709" s="60"/>
      <c r="C709" s="60"/>
      <c r="D709" s="60"/>
      <c r="E709" s="60"/>
      <c r="F709" s="60"/>
    </row>
    <row r="710" spans="2:6" ht="13">
      <c r="B710" s="60"/>
      <c r="C710" s="60"/>
      <c r="D710" s="60"/>
      <c r="E710" s="60"/>
      <c r="F710" s="60"/>
    </row>
    <row r="711" spans="2:6" ht="13">
      <c r="B711" s="60"/>
      <c r="C711" s="60"/>
      <c r="D711" s="60"/>
      <c r="E711" s="60"/>
      <c r="F711" s="60"/>
    </row>
    <row r="712" spans="2:6" ht="13">
      <c r="B712" s="60"/>
      <c r="C712" s="60"/>
      <c r="D712" s="60"/>
      <c r="E712" s="60"/>
      <c r="F712" s="60"/>
    </row>
    <row r="713" spans="2:6" ht="13">
      <c r="B713" s="60"/>
      <c r="C713" s="60"/>
      <c r="D713" s="60"/>
      <c r="E713" s="60"/>
      <c r="F713" s="60"/>
    </row>
    <row r="714" spans="2:6" ht="13">
      <c r="B714" s="60"/>
      <c r="C714" s="60"/>
      <c r="D714" s="60"/>
      <c r="E714" s="60"/>
      <c r="F714" s="60"/>
    </row>
    <row r="715" spans="2:6" ht="13">
      <c r="B715" s="60"/>
      <c r="C715" s="60"/>
      <c r="D715" s="60"/>
      <c r="E715" s="60"/>
      <c r="F715" s="60"/>
    </row>
    <row r="716" spans="2:6" ht="13">
      <c r="B716" s="60"/>
      <c r="C716" s="60"/>
      <c r="D716" s="60"/>
      <c r="E716" s="60"/>
      <c r="F716" s="60"/>
    </row>
    <row r="717" spans="2:6" ht="13">
      <c r="B717" s="60"/>
      <c r="C717" s="60"/>
      <c r="D717" s="60"/>
      <c r="E717" s="60"/>
      <c r="F717" s="60"/>
    </row>
    <row r="718" spans="2:6" ht="13">
      <c r="B718" s="60"/>
      <c r="C718" s="60"/>
      <c r="D718" s="60"/>
      <c r="E718" s="60"/>
      <c r="F718" s="60"/>
    </row>
    <row r="719" spans="2:6" ht="13">
      <c r="B719" s="60"/>
      <c r="C719" s="60"/>
      <c r="D719" s="60"/>
      <c r="E719" s="60"/>
      <c r="F719" s="60"/>
    </row>
    <row r="720" spans="2:6" ht="13">
      <c r="B720" s="60"/>
      <c r="C720" s="60"/>
      <c r="D720" s="60"/>
      <c r="E720" s="60"/>
      <c r="F720" s="60"/>
    </row>
    <row r="721" spans="2:6" ht="13">
      <c r="B721" s="60"/>
      <c r="C721" s="60"/>
      <c r="D721" s="60"/>
      <c r="E721" s="60"/>
      <c r="F721" s="60"/>
    </row>
    <row r="722" spans="2:6" ht="13">
      <c r="B722" s="60"/>
      <c r="C722" s="60"/>
      <c r="D722" s="60"/>
      <c r="E722" s="60"/>
      <c r="F722" s="60"/>
    </row>
    <row r="723" spans="2:6" ht="13">
      <c r="B723" s="60"/>
      <c r="C723" s="60"/>
      <c r="D723" s="60"/>
      <c r="E723" s="60"/>
      <c r="F723" s="60"/>
    </row>
    <row r="724" spans="2:6" ht="13">
      <c r="B724" s="60"/>
      <c r="C724" s="60"/>
      <c r="D724" s="60"/>
      <c r="E724" s="60"/>
      <c r="F724" s="60"/>
    </row>
    <row r="725" spans="2:6" ht="13">
      <c r="B725" s="60"/>
      <c r="C725" s="60"/>
      <c r="D725" s="60"/>
      <c r="E725" s="60"/>
      <c r="F725" s="60"/>
    </row>
    <row r="726" spans="2:6" ht="13">
      <c r="B726" s="60"/>
      <c r="C726" s="60"/>
      <c r="D726" s="60"/>
      <c r="E726" s="60"/>
      <c r="F726" s="60"/>
    </row>
    <row r="727" spans="2:6" ht="13">
      <c r="B727" s="60"/>
      <c r="C727" s="60"/>
      <c r="D727" s="60"/>
      <c r="E727" s="60"/>
      <c r="F727" s="60"/>
    </row>
    <row r="728" spans="2:6" ht="13">
      <c r="B728" s="60"/>
      <c r="C728" s="60"/>
      <c r="D728" s="60"/>
      <c r="E728" s="60"/>
      <c r="F728" s="60"/>
    </row>
    <row r="729" spans="2:6" ht="13">
      <c r="B729" s="60"/>
      <c r="C729" s="60"/>
      <c r="D729" s="60"/>
      <c r="E729" s="60"/>
      <c r="F729" s="60"/>
    </row>
    <row r="730" spans="2:6" ht="13">
      <c r="B730" s="60"/>
      <c r="C730" s="60"/>
      <c r="D730" s="60"/>
      <c r="E730" s="60"/>
      <c r="F730" s="60"/>
    </row>
    <row r="731" spans="2:6" ht="13">
      <c r="B731" s="60"/>
      <c r="C731" s="60"/>
      <c r="D731" s="60"/>
      <c r="E731" s="60"/>
      <c r="F731" s="60"/>
    </row>
    <row r="732" spans="2:6" ht="13">
      <c r="B732" s="60"/>
      <c r="C732" s="60"/>
      <c r="D732" s="60"/>
      <c r="E732" s="60"/>
      <c r="F732" s="60"/>
    </row>
    <row r="733" spans="2:6" ht="13">
      <c r="B733" s="60"/>
      <c r="C733" s="60"/>
      <c r="D733" s="60"/>
      <c r="E733" s="60"/>
      <c r="F733" s="60"/>
    </row>
    <row r="734" spans="2:6" ht="13">
      <c r="B734" s="60"/>
      <c r="C734" s="60"/>
      <c r="D734" s="60"/>
      <c r="E734" s="60"/>
      <c r="F734" s="60"/>
    </row>
    <row r="735" spans="2:6" ht="13">
      <c r="B735" s="60"/>
      <c r="C735" s="60"/>
      <c r="D735" s="60"/>
      <c r="E735" s="60"/>
      <c r="F735" s="60"/>
    </row>
    <row r="736" spans="2:6" ht="13">
      <c r="B736" s="60"/>
      <c r="C736" s="60"/>
      <c r="D736" s="60"/>
      <c r="E736" s="60"/>
      <c r="F736" s="60"/>
    </row>
    <row r="737" spans="2:6" ht="13">
      <c r="B737" s="60"/>
      <c r="C737" s="60"/>
      <c r="D737" s="60"/>
      <c r="E737" s="60"/>
      <c r="F737" s="60"/>
    </row>
    <row r="738" spans="2:6" ht="13">
      <c r="B738" s="60"/>
      <c r="C738" s="60"/>
      <c r="D738" s="60"/>
      <c r="E738" s="60"/>
      <c r="F738" s="60"/>
    </row>
    <row r="739" spans="2:6" ht="13">
      <c r="B739" s="60"/>
      <c r="C739" s="60"/>
      <c r="D739" s="60"/>
      <c r="E739" s="60"/>
      <c r="F739" s="60"/>
    </row>
    <row r="740" spans="2:6" ht="13">
      <c r="B740" s="60"/>
      <c r="C740" s="60"/>
      <c r="D740" s="60"/>
      <c r="E740" s="60"/>
      <c r="F740" s="60"/>
    </row>
    <row r="741" spans="2:6" ht="13">
      <c r="B741" s="60"/>
      <c r="C741" s="60"/>
      <c r="D741" s="60"/>
      <c r="E741" s="60"/>
      <c r="F741" s="60"/>
    </row>
    <row r="742" spans="2:6" ht="13">
      <c r="B742" s="60"/>
      <c r="C742" s="60"/>
      <c r="D742" s="60"/>
      <c r="E742" s="60"/>
      <c r="F742" s="60"/>
    </row>
    <row r="743" spans="2:6" ht="13">
      <c r="B743" s="60"/>
      <c r="C743" s="60"/>
      <c r="D743" s="60"/>
      <c r="E743" s="60"/>
      <c r="F743" s="60"/>
    </row>
    <row r="744" spans="2:6" ht="13">
      <c r="B744" s="60"/>
      <c r="C744" s="60"/>
      <c r="D744" s="60"/>
      <c r="E744" s="60"/>
      <c r="F744" s="60"/>
    </row>
    <row r="745" spans="2:6" ht="13">
      <c r="B745" s="60"/>
      <c r="C745" s="60"/>
      <c r="D745" s="60"/>
      <c r="E745" s="60"/>
      <c r="F745" s="60"/>
    </row>
    <row r="746" spans="2:6" ht="13">
      <c r="B746" s="60"/>
      <c r="C746" s="60"/>
      <c r="D746" s="60"/>
      <c r="E746" s="60"/>
      <c r="F746" s="60"/>
    </row>
    <row r="747" spans="2:6" ht="13">
      <c r="B747" s="60"/>
      <c r="C747" s="60"/>
      <c r="D747" s="60"/>
      <c r="E747" s="60"/>
      <c r="F747" s="60"/>
    </row>
    <row r="748" spans="2:6" ht="13">
      <c r="B748" s="60"/>
      <c r="C748" s="60"/>
      <c r="D748" s="60"/>
      <c r="E748" s="60"/>
      <c r="F748" s="60"/>
    </row>
    <row r="749" spans="2:6" ht="13">
      <c r="B749" s="60"/>
      <c r="C749" s="60"/>
      <c r="D749" s="60"/>
      <c r="E749" s="60"/>
      <c r="F749" s="60"/>
    </row>
    <row r="750" spans="2:6" ht="13">
      <c r="B750" s="60"/>
      <c r="C750" s="60"/>
      <c r="D750" s="60"/>
      <c r="E750" s="60"/>
      <c r="F750" s="60"/>
    </row>
    <row r="751" spans="2:6" ht="13">
      <c r="B751" s="60"/>
      <c r="C751" s="60"/>
      <c r="D751" s="60"/>
      <c r="E751" s="60"/>
      <c r="F751" s="60"/>
    </row>
    <row r="752" spans="2:6" ht="13">
      <c r="B752" s="60"/>
      <c r="C752" s="60"/>
      <c r="D752" s="60"/>
      <c r="E752" s="60"/>
      <c r="F752" s="60"/>
    </row>
    <row r="753" spans="2:6" ht="13">
      <c r="B753" s="60"/>
      <c r="C753" s="60"/>
      <c r="D753" s="60"/>
      <c r="E753" s="60"/>
      <c r="F753" s="60"/>
    </row>
    <row r="754" spans="2:6" ht="13">
      <c r="B754" s="60"/>
      <c r="C754" s="60"/>
      <c r="D754" s="60"/>
      <c r="E754" s="60"/>
      <c r="F754" s="60"/>
    </row>
    <row r="755" spans="2:6" ht="13">
      <c r="B755" s="60"/>
      <c r="C755" s="60"/>
      <c r="D755" s="60"/>
      <c r="E755" s="60"/>
      <c r="F755" s="60"/>
    </row>
    <row r="756" spans="2:6" ht="13">
      <c r="B756" s="60"/>
      <c r="C756" s="60"/>
      <c r="D756" s="60"/>
      <c r="E756" s="60"/>
      <c r="F756" s="60"/>
    </row>
    <row r="757" spans="2:6" ht="13">
      <c r="B757" s="60"/>
      <c r="C757" s="60"/>
      <c r="D757" s="60"/>
      <c r="E757" s="60"/>
      <c r="F757" s="60"/>
    </row>
    <row r="758" spans="2:6" ht="13">
      <c r="B758" s="60"/>
      <c r="C758" s="60"/>
      <c r="D758" s="60"/>
      <c r="E758" s="60"/>
      <c r="F758" s="60"/>
    </row>
    <row r="759" spans="2:6" ht="13">
      <c r="B759" s="60"/>
      <c r="C759" s="60"/>
      <c r="D759" s="60"/>
      <c r="E759" s="60"/>
      <c r="F759" s="60"/>
    </row>
    <row r="760" spans="2:6" ht="13">
      <c r="B760" s="60"/>
      <c r="C760" s="60"/>
      <c r="D760" s="60"/>
      <c r="E760" s="60"/>
      <c r="F760" s="60"/>
    </row>
    <row r="761" spans="2:6" ht="13">
      <c r="B761" s="60"/>
      <c r="C761" s="60"/>
      <c r="D761" s="60"/>
      <c r="E761" s="60"/>
      <c r="F761" s="60"/>
    </row>
    <row r="762" spans="2:6" ht="13">
      <c r="B762" s="60"/>
      <c r="C762" s="60"/>
      <c r="D762" s="60"/>
      <c r="E762" s="60"/>
      <c r="F762" s="60"/>
    </row>
    <row r="763" spans="2:6" ht="13">
      <c r="B763" s="60"/>
      <c r="C763" s="60"/>
      <c r="D763" s="60"/>
      <c r="E763" s="60"/>
      <c r="F763" s="60"/>
    </row>
    <row r="764" spans="2:6" ht="13">
      <c r="B764" s="60"/>
      <c r="C764" s="60"/>
      <c r="D764" s="60"/>
      <c r="E764" s="60"/>
      <c r="F764" s="60"/>
    </row>
    <row r="765" spans="2:6" ht="13">
      <c r="B765" s="60"/>
      <c r="C765" s="60"/>
      <c r="D765" s="60"/>
      <c r="E765" s="60"/>
      <c r="F765" s="60"/>
    </row>
    <row r="766" spans="2:6" ht="13">
      <c r="B766" s="60"/>
      <c r="C766" s="60"/>
      <c r="D766" s="60"/>
      <c r="E766" s="60"/>
      <c r="F766" s="60"/>
    </row>
    <row r="767" spans="2:6" ht="13">
      <c r="B767" s="60"/>
      <c r="C767" s="60"/>
      <c r="D767" s="60"/>
      <c r="E767" s="60"/>
      <c r="F767" s="60"/>
    </row>
    <row r="768" spans="2:6" ht="13">
      <c r="B768" s="60"/>
      <c r="C768" s="60"/>
      <c r="D768" s="60"/>
      <c r="E768" s="60"/>
      <c r="F768" s="60"/>
    </row>
    <row r="769" spans="2:6" ht="13">
      <c r="B769" s="60"/>
      <c r="C769" s="60"/>
      <c r="D769" s="60"/>
      <c r="E769" s="60"/>
      <c r="F769" s="60"/>
    </row>
    <row r="770" spans="2:6" ht="13">
      <c r="B770" s="60"/>
      <c r="C770" s="60"/>
      <c r="D770" s="60"/>
      <c r="E770" s="60"/>
      <c r="F770" s="60"/>
    </row>
    <row r="771" spans="2:6" ht="13">
      <c r="B771" s="60"/>
      <c r="C771" s="60"/>
      <c r="D771" s="60"/>
      <c r="E771" s="60"/>
      <c r="F771" s="60"/>
    </row>
    <row r="772" spans="2:6" ht="13">
      <c r="B772" s="60"/>
      <c r="C772" s="60"/>
      <c r="D772" s="60"/>
      <c r="E772" s="60"/>
      <c r="F772" s="60"/>
    </row>
    <row r="773" spans="2:6" ht="13">
      <c r="B773" s="60"/>
      <c r="C773" s="60"/>
      <c r="D773" s="60"/>
      <c r="E773" s="60"/>
      <c r="F773" s="60"/>
    </row>
    <row r="774" spans="2:6" ht="13">
      <c r="B774" s="60"/>
      <c r="C774" s="60"/>
      <c r="D774" s="60"/>
      <c r="E774" s="60"/>
      <c r="F774" s="60"/>
    </row>
    <row r="775" spans="2:6" ht="13">
      <c r="B775" s="60"/>
      <c r="C775" s="60"/>
      <c r="D775" s="60"/>
      <c r="E775" s="60"/>
      <c r="F775" s="60"/>
    </row>
    <row r="776" spans="2:6" ht="13">
      <c r="B776" s="60"/>
      <c r="C776" s="60"/>
      <c r="D776" s="60"/>
      <c r="E776" s="60"/>
      <c r="F776" s="60"/>
    </row>
    <row r="777" spans="2:6" ht="13">
      <c r="B777" s="60"/>
      <c r="C777" s="60"/>
      <c r="D777" s="60"/>
      <c r="E777" s="60"/>
      <c r="F777" s="60"/>
    </row>
    <row r="778" spans="2:6" ht="13">
      <c r="B778" s="60"/>
      <c r="C778" s="60"/>
      <c r="D778" s="60"/>
      <c r="E778" s="60"/>
      <c r="F778" s="60"/>
    </row>
    <row r="779" spans="2:6" ht="13">
      <c r="B779" s="60"/>
      <c r="C779" s="60"/>
      <c r="D779" s="60"/>
      <c r="E779" s="60"/>
      <c r="F779" s="60"/>
    </row>
    <row r="780" spans="2:6" ht="13">
      <c r="B780" s="60"/>
      <c r="C780" s="60"/>
      <c r="D780" s="60"/>
      <c r="E780" s="60"/>
      <c r="F780" s="60"/>
    </row>
    <row r="781" spans="2:6" ht="13">
      <c r="B781" s="60"/>
      <c r="C781" s="60"/>
      <c r="D781" s="60"/>
      <c r="E781" s="60"/>
      <c r="F781" s="60"/>
    </row>
    <row r="782" spans="2:6" ht="13">
      <c r="B782" s="60"/>
      <c r="C782" s="60"/>
      <c r="D782" s="60"/>
      <c r="E782" s="60"/>
      <c r="F782" s="60"/>
    </row>
    <row r="783" spans="2:6" ht="13">
      <c r="B783" s="60"/>
      <c r="C783" s="60"/>
      <c r="D783" s="60"/>
      <c r="E783" s="60"/>
      <c r="F783" s="60"/>
    </row>
    <row r="784" spans="2:6" ht="13">
      <c r="B784" s="60"/>
      <c r="C784" s="60"/>
      <c r="D784" s="60"/>
      <c r="E784" s="60"/>
      <c r="F784" s="60"/>
    </row>
    <row r="785" spans="2:6" ht="13">
      <c r="B785" s="60"/>
      <c r="C785" s="60"/>
      <c r="D785" s="60"/>
      <c r="E785" s="60"/>
      <c r="F785" s="60"/>
    </row>
    <row r="786" spans="2:6" ht="13">
      <c r="B786" s="60"/>
      <c r="C786" s="60"/>
      <c r="D786" s="60"/>
      <c r="E786" s="60"/>
      <c r="F786" s="60"/>
    </row>
    <row r="787" spans="2:6" ht="13">
      <c r="B787" s="60"/>
      <c r="C787" s="60"/>
      <c r="D787" s="60"/>
      <c r="E787" s="60"/>
      <c r="F787" s="60"/>
    </row>
    <row r="788" spans="2:6" ht="13">
      <c r="B788" s="60"/>
      <c r="C788" s="60"/>
      <c r="D788" s="60"/>
      <c r="E788" s="60"/>
      <c r="F788" s="60"/>
    </row>
    <row r="789" spans="2:6" ht="13">
      <c r="B789" s="60"/>
      <c r="C789" s="60"/>
      <c r="D789" s="60"/>
      <c r="E789" s="60"/>
      <c r="F789" s="60"/>
    </row>
    <row r="790" spans="2:6" ht="13">
      <c r="B790" s="60"/>
      <c r="C790" s="60"/>
      <c r="D790" s="60"/>
      <c r="E790" s="60"/>
      <c r="F790" s="60"/>
    </row>
    <row r="791" spans="2:6" ht="13">
      <c r="B791" s="60"/>
      <c r="C791" s="60"/>
      <c r="D791" s="60"/>
      <c r="E791" s="60"/>
      <c r="F791" s="60"/>
    </row>
    <row r="792" spans="2:6" ht="13">
      <c r="B792" s="60"/>
      <c r="C792" s="60"/>
      <c r="D792" s="60"/>
      <c r="E792" s="60"/>
      <c r="F792" s="60"/>
    </row>
    <row r="793" spans="2:6" ht="13">
      <c r="B793" s="60"/>
      <c r="C793" s="60"/>
      <c r="D793" s="60"/>
      <c r="E793" s="60"/>
      <c r="F793" s="60"/>
    </row>
    <row r="794" spans="2:6" ht="13">
      <c r="B794" s="60"/>
      <c r="C794" s="60"/>
      <c r="D794" s="60"/>
      <c r="E794" s="60"/>
      <c r="F794" s="60"/>
    </row>
    <row r="795" spans="2:6" ht="13">
      <c r="B795" s="60"/>
      <c r="C795" s="60"/>
      <c r="D795" s="60"/>
      <c r="E795" s="60"/>
      <c r="F795" s="60"/>
    </row>
    <row r="796" spans="2:6" ht="13">
      <c r="B796" s="60"/>
      <c r="C796" s="60"/>
      <c r="D796" s="60"/>
      <c r="E796" s="60"/>
      <c r="F796" s="60"/>
    </row>
    <row r="797" spans="2:6" ht="13">
      <c r="B797" s="60"/>
      <c r="C797" s="60"/>
      <c r="D797" s="60"/>
      <c r="E797" s="60"/>
      <c r="F797" s="60"/>
    </row>
    <row r="798" spans="2:6" ht="13">
      <c r="B798" s="60"/>
      <c r="C798" s="60"/>
      <c r="D798" s="60"/>
      <c r="E798" s="60"/>
      <c r="F798" s="60"/>
    </row>
    <row r="799" spans="2:6" ht="13">
      <c r="B799" s="60"/>
      <c r="C799" s="60"/>
      <c r="D799" s="60"/>
      <c r="E799" s="60"/>
      <c r="F799" s="60"/>
    </row>
    <row r="800" spans="2:6" ht="13">
      <c r="B800" s="60"/>
      <c r="C800" s="60"/>
      <c r="D800" s="60"/>
      <c r="E800" s="60"/>
      <c r="F800" s="60"/>
    </row>
    <row r="801" spans="2:6" ht="13">
      <c r="B801" s="60"/>
      <c r="C801" s="60"/>
      <c r="D801" s="60"/>
      <c r="E801" s="60"/>
      <c r="F801" s="60"/>
    </row>
    <row r="802" spans="2:6" ht="13">
      <c r="B802" s="60"/>
      <c r="C802" s="60"/>
      <c r="D802" s="60"/>
      <c r="E802" s="60"/>
      <c r="F802" s="60"/>
    </row>
    <row r="803" spans="2:6" ht="13">
      <c r="B803" s="60"/>
      <c r="C803" s="60"/>
      <c r="D803" s="60"/>
      <c r="E803" s="60"/>
      <c r="F803" s="60"/>
    </row>
    <row r="804" spans="2:6" ht="13">
      <c r="B804" s="60"/>
      <c r="C804" s="60"/>
      <c r="D804" s="60"/>
      <c r="E804" s="60"/>
      <c r="F804" s="60"/>
    </row>
    <row r="805" spans="2:6" ht="13">
      <c r="B805" s="60"/>
      <c r="C805" s="60"/>
      <c r="D805" s="60"/>
      <c r="E805" s="60"/>
      <c r="F805" s="60"/>
    </row>
    <row r="806" spans="2:6" ht="13">
      <c r="B806" s="60"/>
      <c r="C806" s="60"/>
      <c r="D806" s="60"/>
      <c r="E806" s="60"/>
      <c r="F806" s="60"/>
    </row>
    <row r="807" spans="2:6" ht="13">
      <c r="B807" s="60"/>
      <c r="C807" s="60"/>
      <c r="D807" s="60"/>
      <c r="E807" s="60"/>
      <c r="F807" s="60"/>
    </row>
    <row r="808" spans="2:6" ht="13">
      <c r="B808" s="60"/>
      <c r="C808" s="60"/>
      <c r="D808" s="60"/>
      <c r="E808" s="60"/>
      <c r="F808" s="60"/>
    </row>
    <row r="809" spans="2:6" ht="13">
      <c r="B809" s="60"/>
      <c r="C809" s="60"/>
      <c r="D809" s="60"/>
      <c r="E809" s="60"/>
      <c r="F809" s="60"/>
    </row>
    <row r="810" spans="2:6" ht="13">
      <c r="B810" s="60"/>
      <c r="C810" s="60"/>
      <c r="D810" s="60"/>
      <c r="E810" s="60"/>
      <c r="F810" s="60"/>
    </row>
    <row r="811" spans="2:6" ht="13">
      <c r="B811" s="60"/>
      <c r="C811" s="60"/>
      <c r="D811" s="60"/>
      <c r="E811" s="60"/>
      <c r="F811" s="60"/>
    </row>
    <row r="812" spans="2:6" ht="13">
      <c r="B812" s="60"/>
      <c r="C812" s="60"/>
      <c r="D812" s="60"/>
      <c r="E812" s="60"/>
      <c r="F812" s="60"/>
    </row>
    <row r="813" spans="2:6" ht="13">
      <c r="B813" s="60"/>
      <c r="C813" s="60"/>
      <c r="D813" s="60"/>
      <c r="E813" s="60"/>
      <c r="F813" s="60"/>
    </row>
    <row r="814" spans="2:6" ht="13">
      <c r="B814" s="60"/>
      <c r="C814" s="60"/>
      <c r="D814" s="60"/>
      <c r="E814" s="60"/>
      <c r="F814" s="60"/>
    </row>
    <row r="815" spans="2:6" ht="13">
      <c r="B815" s="60"/>
      <c r="C815" s="60"/>
      <c r="D815" s="60"/>
      <c r="E815" s="60"/>
      <c r="F815" s="60"/>
    </row>
    <row r="816" spans="2:6" ht="13">
      <c r="B816" s="60"/>
      <c r="C816" s="60"/>
      <c r="D816" s="60"/>
      <c r="E816" s="60"/>
      <c r="F816" s="60"/>
    </row>
    <row r="817" spans="2:6" ht="13">
      <c r="B817" s="60"/>
      <c r="C817" s="60"/>
      <c r="D817" s="60"/>
      <c r="E817" s="60"/>
      <c r="F817" s="60"/>
    </row>
    <row r="818" spans="2:6" ht="13">
      <c r="B818" s="60"/>
      <c r="C818" s="60"/>
      <c r="D818" s="60"/>
      <c r="E818" s="60"/>
      <c r="F818" s="60"/>
    </row>
    <row r="819" spans="2:6" ht="13">
      <c r="B819" s="60"/>
      <c r="C819" s="60"/>
      <c r="D819" s="60"/>
      <c r="E819" s="60"/>
      <c r="F819" s="60"/>
    </row>
    <row r="820" spans="2:6" ht="13">
      <c r="B820" s="60"/>
      <c r="C820" s="60"/>
      <c r="D820" s="60"/>
      <c r="E820" s="60"/>
      <c r="F820" s="60"/>
    </row>
    <row r="821" spans="2:6" ht="13">
      <c r="B821" s="60"/>
      <c r="C821" s="60"/>
      <c r="D821" s="60"/>
      <c r="E821" s="60"/>
      <c r="F821" s="60"/>
    </row>
    <row r="822" spans="2:6" ht="13">
      <c r="B822" s="60"/>
      <c r="C822" s="60"/>
      <c r="D822" s="60"/>
      <c r="E822" s="60"/>
      <c r="F822" s="60"/>
    </row>
    <row r="823" spans="2:6" ht="13">
      <c r="B823" s="60"/>
      <c r="C823" s="60"/>
      <c r="D823" s="60"/>
      <c r="E823" s="60"/>
      <c r="F823" s="60"/>
    </row>
    <row r="824" spans="2:6" ht="13">
      <c r="B824" s="60"/>
      <c r="C824" s="60"/>
      <c r="D824" s="60"/>
      <c r="E824" s="60"/>
      <c r="F824" s="60"/>
    </row>
    <row r="825" spans="2:6" ht="13">
      <c r="B825" s="60"/>
      <c r="C825" s="60"/>
      <c r="D825" s="60"/>
      <c r="E825" s="60"/>
      <c r="F825" s="60"/>
    </row>
    <row r="826" spans="2:6" ht="13">
      <c r="B826" s="60"/>
      <c r="C826" s="60"/>
      <c r="D826" s="60"/>
      <c r="E826" s="60"/>
      <c r="F826" s="60"/>
    </row>
    <row r="827" spans="2:6" ht="13">
      <c r="B827" s="60"/>
      <c r="C827" s="60"/>
      <c r="D827" s="60"/>
      <c r="E827" s="60"/>
      <c r="F827" s="60"/>
    </row>
    <row r="828" spans="2:6" ht="13">
      <c r="B828" s="60"/>
      <c r="C828" s="60"/>
      <c r="D828" s="60"/>
      <c r="E828" s="60"/>
      <c r="F828" s="60"/>
    </row>
    <row r="829" spans="2:6" ht="13">
      <c r="B829" s="60"/>
      <c r="C829" s="60"/>
      <c r="D829" s="60"/>
      <c r="E829" s="60"/>
      <c r="F829" s="60"/>
    </row>
    <row r="830" spans="2:6" ht="13">
      <c r="B830" s="60"/>
      <c r="C830" s="60"/>
      <c r="D830" s="60"/>
      <c r="E830" s="60"/>
      <c r="F830" s="60"/>
    </row>
    <row r="831" spans="2:6" ht="13">
      <c r="B831" s="60"/>
      <c r="C831" s="60"/>
      <c r="D831" s="60"/>
      <c r="E831" s="60"/>
      <c r="F831" s="60"/>
    </row>
    <row r="832" spans="2:6" ht="13">
      <c r="B832" s="60"/>
      <c r="C832" s="60"/>
      <c r="D832" s="60"/>
      <c r="E832" s="60"/>
      <c r="F832" s="60"/>
    </row>
    <row r="833" spans="2:6" ht="13">
      <c r="B833" s="60"/>
      <c r="C833" s="60"/>
      <c r="D833" s="60"/>
      <c r="E833" s="60"/>
      <c r="F833" s="60"/>
    </row>
    <row r="834" spans="2:6" ht="13">
      <c r="B834" s="60"/>
      <c r="C834" s="60"/>
      <c r="D834" s="60"/>
      <c r="E834" s="60"/>
      <c r="F834" s="60"/>
    </row>
    <row r="835" spans="2:6" ht="13">
      <c r="B835" s="60"/>
      <c r="C835" s="60"/>
      <c r="D835" s="60"/>
      <c r="E835" s="60"/>
      <c r="F835" s="60"/>
    </row>
    <row r="836" spans="2:6" ht="13">
      <c r="B836" s="60"/>
      <c r="C836" s="60"/>
      <c r="D836" s="60"/>
      <c r="E836" s="60"/>
      <c r="F836" s="60"/>
    </row>
    <row r="837" spans="2:6" ht="13">
      <c r="B837" s="60"/>
      <c r="C837" s="60"/>
      <c r="D837" s="60"/>
      <c r="E837" s="60"/>
      <c r="F837" s="60"/>
    </row>
    <row r="838" spans="2:6" ht="13">
      <c r="B838" s="60"/>
      <c r="C838" s="60"/>
      <c r="D838" s="60"/>
      <c r="E838" s="60"/>
      <c r="F838" s="60"/>
    </row>
    <row r="839" spans="2:6" ht="13">
      <c r="B839" s="60"/>
      <c r="C839" s="60"/>
      <c r="D839" s="60"/>
      <c r="E839" s="60"/>
      <c r="F839" s="60"/>
    </row>
    <row r="840" spans="2:6" ht="13">
      <c r="B840" s="60"/>
      <c r="C840" s="60"/>
      <c r="D840" s="60"/>
      <c r="E840" s="60"/>
      <c r="F840" s="60"/>
    </row>
    <row r="841" spans="2:6" ht="13">
      <c r="B841" s="60"/>
      <c r="C841" s="60"/>
      <c r="D841" s="60"/>
      <c r="E841" s="60"/>
      <c r="F841" s="60"/>
    </row>
    <row r="842" spans="2:6" ht="13">
      <c r="B842" s="60"/>
      <c r="C842" s="60"/>
      <c r="D842" s="60"/>
      <c r="E842" s="60"/>
      <c r="F842" s="60"/>
    </row>
    <row r="843" spans="2:6" ht="13">
      <c r="B843" s="60"/>
      <c r="C843" s="60"/>
      <c r="D843" s="60"/>
      <c r="E843" s="60"/>
      <c r="F843" s="60"/>
    </row>
    <row r="844" spans="2:6" ht="13">
      <c r="B844" s="60"/>
      <c r="C844" s="60"/>
      <c r="D844" s="60"/>
      <c r="E844" s="60"/>
      <c r="F844" s="60"/>
    </row>
    <row r="845" spans="2:6" ht="13">
      <c r="B845" s="60"/>
      <c r="C845" s="60"/>
      <c r="D845" s="60"/>
      <c r="E845" s="60"/>
      <c r="F845" s="60"/>
    </row>
    <row r="846" spans="2:6" ht="13">
      <c r="B846" s="60"/>
      <c r="C846" s="60"/>
      <c r="D846" s="60"/>
      <c r="E846" s="60"/>
      <c r="F846" s="60"/>
    </row>
    <row r="847" spans="2:6" ht="13">
      <c r="B847" s="60"/>
      <c r="C847" s="60"/>
      <c r="D847" s="60"/>
      <c r="E847" s="60"/>
      <c r="F847" s="60"/>
    </row>
    <row r="848" spans="2:6" ht="13">
      <c r="B848" s="60"/>
      <c r="C848" s="60"/>
      <c r="D848" s="60"/>
      <c r="E848" s="60"/>
      <c r="F848" s="60"/>
    </row>
    <row r="849" spans="2:6" ht="13">
      <c r="B849" s="60"/>
      <c r="C849" s="60"/>
      <c r="D849" s="60"/>
      <c r="E849" s="60"/>
      <c r="F849" s="60"/>
    </row>
    <row r="850" spans="2:6" ht="13">
      <c r="B850" s="60"/>
      <c r="C850" s="60"/>
      <c r="D850" s="60"/>
      <c r="E850" s="60"/>
      <c r="F850" s="60"/>
    </row>
    <row r="851" spans="2:6" ht="13">
      <c r="B851" s="60"/>
      <c r="C851" s="60"/>
      <c r="D851" s="60"/>
      <c r="E851" s="60"/>
      <c r="F851" s="60"/>
    </row>
    <row r="852" spans="2:6" ht="13">
      <c r="B852" s="60"/>
      <c r="C852" s="60"/>
      <c r="D852" s="60"/>
      <c r="E852" s="60"/>
      <c r="F852" s="60"/>
    </row>
    <row r="853" spans="2:6" ht="13">
      <c r="B853" s="60"/>
      <c r="C853" s="60"/>
      <c r="D853" s="60"/>
      <c r="E853" s="60"/>
      <c r="F853" s="60"/>
    </row>
    <row r="854" spans="2:6" ht="13">
      <c r="B854" s="60"/>
      <c r="C854" s="60"/>
      <c r="D854" s="60"/>
      <c r="E854" s="60"/>
      <c r="F854" s="60"/>
    </row>
    <row r="855" spans="2:6" ht="13">
      <c r="B855" s="60"/>
      <c r="C855" s="60"/>
      <c r="D855" s="60"/>
      <c r="E855" s="60"/>
      <c r="F855" s="60"/>
    </row>
    <row r="856" spans="2:6" ht="13">
      <c r="B856" s="60"/>
      <c r="C856" s="60"/>
      <c r="D856" s="60"/>
      <c r="E856" s="60"/>
      <c r="F856" s="60"/>
    </row>
    <row r="857" spans="2:6" ht="13">
      <c r="B857" s="60"/>
      <c r="C857" s="60"/>
      <c r="D857" s="60"/>
      <c r="E857" s="60"/>
      <c r="F857" s="60"/>
    </row>
    <row r="858" spans="2:6" ht="13">
      <c r="B858" s="60"/>
      <c r="C858" s="60"/>
      <c r="D858" s="60"/>
      <c r="E858" s="60"/>
      <c r="F858" s="60"/>
    </row>
    <row r="859" spans="2:6" ht="13">
      <c r="B859" s="60"/>
      <c r="C859" s="60"/>
      <c r="D859" s="60"/>
      <c r="E859" s="60"/>
      <c r="F859" s="60"/>
    </row>
    <row r="860" spans="2:6" ht="13">
      <c r="B860" s="60"/>
      <c r="C860" s="60"/>
      <c r="D860" s="60"/>
      <c r="E860" s="60"/>
      <c r="F860" s="60"/>
    </row>
    <row r="861" spans="2:6" ht="13">
      <c r="B861" s="60"/>
      <c r="C861" s="60"/>
      <c r="D861" s="60"/>
      <c r="E861" s="60"/>
      <c r="F861" s="60"/>
    </row>
    <row r="862" spans="2:6" ht="13">
      <c r="B862" s="60"/>
      <c r="C862" s="60"/>
      <c r="D862" s="60"/>
      <c r="E862" s="60"/>
      <c r="F862" s="60"/>
    </row>
    <row r="863" spans="2:6" ht="13">
      <c r="B863" s="60"/>
      <c r="C863" s="60"/>
      <c r="D863" s="60"/>
      <c r="E863" s="60"/>
      <c r="F863" s="60"/>
    </row>
    <row r="864" spans="2:6" ht="13">
      <c r="B864" s="60"/>
      <c r="C864" s="60"/>
      <c r="D864" s="60"/>
      <c r="E864" s="60"/>
      <c r="F864" s="60"/>
    </row>
    <row r="865" spans="2:6" ht="13">
      <c r="B865" s="60"/>
      <c r="C865" s="60"/>
      <c r="D865" s="60"/>
      <c r="E865" s="60"/>
      <c r="F865" s="60"/>
    </row>
    <row r="866" spans="2:6" ht="13">
      <c r="B866" s="60"/>
      <c r="C866" s="60"/>
      <c r="D866" s="60"/>
      <c r="E866" s="60"/>
      <c r="F866" s="60"/>
    </row>
    <row r="867" spans="2:6" ht="13">
      <c r="B867" s="60"/>
      <c r="C867" s="60"/>
      <c r="D867" s="60"/>
      <c r="E867" s="60"/>
      <c r="F867" s="60"/>
    </row>
    <row r="868" spans="2:6" ht="13">
      <c r="B868" s="60"/>
      <c r="C868" s="60"/>
      <c r="D868" s="60"/>
      <c r="E868" s="60"/>
      <c r="F868" s="60"/>
    </row>
    <row r="869" spans="2:6" ht="13">
      <c r="B869" s="60"/>
      <c r="C869" s="60"/>
      <c r="D869" s="60"/>
      <c r="E869" s="60"/>
      <c r="F869" s="60"/>
    </row>
    <row r="870" spans="2:6" ht="13">
      <c r="B870" s="60"/>
      <c r="C870" s="60"/>
      <c r="D870" s="60"/>
      <c r="E870" s="60"/>
      <c r="F870" s="60"/>
    </row>
    <row r="871" spans="2:6" ht="13">
      <c r="B871" s="60"/>
      <c r="C871" s="60"/>
      <c r="D871" s="60"/>
      <c r="E871" s="60"/>
      <c r="F871" s="60"/>
    </row>
    <row r="872" spans="2:6" ht="13">
      <c r="B872" s="60"/>
      <c r="C872" s="60"/>
      <c r="D872" s="60"/>
      <c r="E872" s="60"/>
      <c r="F872" s="60"/>
    </row>
    <row r="873" spans="2:6" ht="13">
      <c r="B873" s="60"/>
      <c r="C873" s="60"/>
      <c r="D873" s="60"/>
      <c r="E873" s="60"/>
      <c r="F873" s="60"/>
    </row>
    <row r="874" spans="2:6" ht="13">
      <c r="B874" s="60"/>
      <c r="C874" s="60"/>
      <c r="D874" s="60"/>
      <c r="E874" s="60"/>
      <c r="F874" s="60"/>
    </row>
    <row r="875" spans="2:6" ht="13">
      <c r="B875" s="60"/>
      <c r="C875" s="60"/>
      <c r="D875" s="60"/>
      <c r="E875" s="60"/>
      <c r="F875" s="60"/>
    </row>
    <row r="876" spans="2:6" ht="13">
      <c r="B876" s="60"/>
      <c r="C876" s="60"/>
      <c r="D876" s="60"/>
      <c r="E876" s="60"/>
      <c r="F876" s="60"/>
    </row>
    <row r="877" spans="2:6" ht="13">
      <c r="B877" s="60"/>
      <c r="C877" s="60"/>
      <c r="D877" s="60"/>
      <c r="E877" s="60"/>
      <c r="F877" s="60"/>
    </row>
    <row r="878" spans="2:6" ht="13">
      <c r="B878" s="60"/>
      <c r="C878" s="60"/>
      <c r="D878" s="60"/>
      <c r="E878" s="60"/>
      <c r="F878" s="60"/>
    </row>
    <row r="879" spans="2:6" ht="13">
      <c r="B879" s="60"/>
      <c r="C879" s="60"/>
      <c r="D879" s="60"/>
      <c r="E879" s="60"/>
      <c r="F879" s="60"/>
    </row>
    <row r="880" spans="2:6" ht="13">
      <c r="B880" s="60"/>
      <c r="C880" s="60"/>
      <c r="D880" s="60"/>
      <c r="E880" s="60"/>
      <c r="F880" s="60"/>
    </row>
    <row r="881" spans="2:6" ht="13">
      <c r="B881" s="60"/>
      <c r="C881" s="60"/>
      <c r="D881" s="60"/>
      <c r="E881" s="60"/>
      <c r="F881" s="60"/>
    </row>
    <row r="882" spans="2:6" ht="13">
      <c r="B882" s="60"/>
      <c r="C882" s="60"/>
      <c r="D882" s="60"/>
      <c r="E882" s="60"/>
      <c r="F882" s="60"/>
    </row>
    <row r="883" spans="2:6" ht="13">
      <c r="B883" s="60"/>
      <c r="C883" s="60"/>
      <c r="D883" s="60"/>
      <c r="E883" s="60"/>
      <c r="F883" s="60"/>
    </row>
    <row r="884" spans="2:6" ht="13">
      <c r="B884" s="60"/>
      <c r="C884" s="60"/>
      <c r="D884" s="60"/>
      <c r="E884" s="60"/>
      <c r="F884" s="60"/>
    </row>
    <row r="885" spans="2:6" ht="13">
      <c r="B885" s="60"/>
      <c r="C885" s="60"/>
      <c r="D885" s="60"/>
      <c r="E885" s="60"/>
      <c r="F885" s="60"/>
    </row>
    <row r="886" spans="2:6" ht="13">
      <c r="B886" s="60"/>
      <c r="C886" s="60"/>
      <c r="D886" s="60"/>
      <c r="E886" s="60"/>
      <c r="F886" s="60"/>
    </row>
    <row r="887" spans="2:6" ht="13">
      <c r="B887" s="60"/>
      <c r="C887" s="60"/>
      <c r="D887" s="60"/>
      <c r="E887" s="60"/>
      <c r="F887" s="60"/>
    </row>
    <row r="888" spans="2:6" ht="13">
      <c r="B888" s="60"/>
      <c r="C888" s="60"/>
      <c r="D888" s="60"/>
      <c r="E888" s="60"/>
      <c r="F888" s="60"/>
    </row>
    <row r="889" spans="2:6" ht="13">
      <c r="B889" s="60"/>
      <c r="C889" s="60"/>
      <c r="D889" s="60"/>
      <c r="E889" s="60"/>
      <c r="F889" s="60"/>
    </row>
    <row r="890" spans="2:6" ht="13">
      <c r="B890" s="60"/>
      <c r="C890" s="60"/>
      <c r="D890" s="60"/>
      <c r="E890" s="60"/>
      <c r="F890" s="60"/>
    </row>
    <row r="891" spans="2:6" ht="13">
      <c r="B891" s="60"/>
      <c r="C891" s="60"/>
      <c r="D891" s="60"/>
      <c r="E891" s="60"/>
      <c r="F891" s="60"/>
    </row>
    <row r="892" spans="2:6" ht="13">
      <c r="B892" s="60"/>
      <c r="C892" s="60"/>
      <c r="D892" s="60"/>
      <c r="E892" s="60"/>
      <c r="F892" s="60"/>
    </row>
    <row r="893" spans="2:6" ht="13">
      <c r="B893" s="60"/>
      <c r="C893" s="60"/>
      <c r="D893" s="60"/>
      <c r="E893" s="60"/>
      <c r="F893" s="60"/>
    </row>
    <row r="894" spans="2:6" ht="13">
      <c r="B894" s="60"/>
      <c r="C894" s="60"/>
      <c r="D894" s="60"/>
      <c r="E894" s="60"/>
      <c r="F894" s="60"/>
    </row>
    <row r="895" spans="2:6" ht="13">
      <c r="B895" s="60"/>
      <c r="C895" s="60"/>
      <c r="D895" s="60"/>
      <c r="E895" s="60"/>
      <c r="F895" s="60"/>
    </row>
    <row r="896" spans="2:6" ht="13">
      <c r="B896" s="60"/>
      <c r="C896" s="60"/>
      <c r="D896" s="60"/>
      <c r="E896" s="60"/>
      <c r="F896" s="60"/>
    </row>
    <row r="897" spans="2:6" ht="13">
      <c r="B897" s="60"/>
      <c r="C897" s="60"/>
      <c r="D897" s="60"/>
      <c r="E897" s="60"/>
      <c r="F897" s="60"/>
    </row>
    <row r="898" spans="2:6" ht="13">
      <c r="B898" s="60"/>
      <c r="C898" s="60"/>
      <c r="D898" s="60"/>
      <c r="E898" s="60"/>
      <c r="F898" s="60"/>
    </row>
    <row r="899" spans="2:6" ht="13">
      <c r="B899" s="60"/>
      <c r="C899" s="60"/>
      <c r="D899" s="60"/>
      <c r="E899" s="60"/>
      <c r="F899" s="60"/>
    </row>
    <row r="900" spans="2:6" ht="13">
      <c r="B900" s="60"/>
      <c r="C900" s="60"/>
      <c r="D900" s="60"/>
      <c r="E900" s="60"/>
      <c r="F900" s="60"/>
    </row>
    <row r="901" spans="2:6" ht="13">
      <c r="B901" s="60"/>
      <c r="C901" s="60"/>
      <c r="D901" s="60"/>
      <c r="E901" s="60"/>
      <c r="F901" s="60"/>
    </row>
    <row r="902" spans="2:6" ht="13">
      <c r="B902" s="60"/>
      <c r="C902" s="60"/>
      <c r="D902" s="60"/>
      <c r="E902" s="60"/>
      <c r="F902" s="60"/>
    </row>
    <row r="903" spans="2:6" ht="13">
      <c r="B903" s="60"/>
      <c r="C903" s="60"/>
      <c r="D903" s="60"/>
      <c r="E903" s="60"/>
      <c r="F903" s="60"/>
    </row>
    <row r="904" spans="2:6" ht="13">
      <c r="B904" s="60"/>
      <c r="C904" s="60"/>
      <c r="D904" s="60"/>
      <c r="E904" s="60"/>
      <c r="F904" s="60"/>
    </row>
    <row r="905" spans="2:6" ht="13">
      <c r="B905" s="60"/>
      <c r="C905" s="60"/>
      <c r="D905" s="60"/>
      <c r="E905" s="60"/>
      <c r="F905" s="60"/>
    </row>
    <row r="906" spans="2:6" ht="13">
      <c r="B906" s="60"/>
      <c r="C906" s="60"/>
      <c r="D906" s="60"/>
      <c r="E906" s="60"/>
      <c r="F906" s="60"/>
    </row>
    <row r="907" spans="2:6" ht="13">
      <c r="B907" s="60"/>
      <c r="C907" s="60"/>
      <c r="D907" s="60"/>
      <c r="E907" s="60"/>
      <c r="F907" s="60"/>
    </row>
    <row r="908" spans="2:6" ht="13">
      <c r="B908" s="60"/>
      <c r="C908" s="60"/>
      <c r="D908" s="60"/>
      <c r="E908" s="60"/>
      <c r="F908" s="60"/>
    </row>
    <row r="909" spans="2:6" ht="13">
      <c r="B909" s="60"/>
      <c r="C909" s="60"/>
      <c r="D909" s="60"/>
      <c r="E909" s="60"/>
      <c r="F909" s="60"/>
    </row>
    <row r="910" spans="2:6" ht="13">
      <c r="B910" s="60"/>
      <c r="C910" s="60"/>
      <c r="D910" s="60"/>
      <c r="E910" s="60"/>
      <c r="F910" s="60"/>
    </row>
    <row r="911" spans="2:6" ht="13">
      <c r="B911" s="60"/>
      <c r="C911" s="60"/>
      <c r="D911" s="60"/>
      <c r="E911" s="60"/>
      <c r="F911" s="60"/>
    </row>
    <row r="912" spans="2:6" ht="13">
      <c r="B912" s="60"/>
      <c r="C912" s="60"/>
      <c r="D912" s="60"/>
      <c r="E912" s="60"/>
      <c r="F912" s="60"/>
    </row>
    <row r="913" spans="2:6" ht="13">
      <c r="B913" s="60"/>
      <c r="C913" s="60"/>
      <c r="D913" s="60"/>
      <c r="E913" s="60"/>
      <c r="F913" s="60"/>
    </row>
    <row r="914" spans="2:6" ht="13">
      <c r="B914" s="60"/>
      <c r="C914" s="60"/>
      <c r="D914" s="60"/>
      <c r="E914" s="60"/>
      <c r="F914" s="60"/>
    </row>
    <row r="915" spans="2:6" ht="13">
      <c r="B915" s="60"/>
      <c r="C915" s="60"/>
      <c r="D915" s="60"/>
      <c r="E915" s="60"/>
      <c r="F915" s="60"/>
    </row>
    <row r="916" spans="2:6" ht="13">
      <c r="B916" s="60"/>
      <c r="C916" s="60"/>
      <c r="D916" s="60"/>
      <c r="E916" s="60"/>
      <c r="F916" s="60"/>
    </row>
    <row r="917" spans="2:6" ht="13">
      <c r="B917" s="60"/>
      <c r="C917" s="60"/>
      <c r="D917" s="60"/>
      <c r="E917" s="60"/>
      <c r="F917" s="60"/>
    </row>
    <row r="918" spans="2:6" ht="13">
      <c r="B918" s="60"/>
      <c r="C918" s="60"/>
      <c r="D918" s="60"/>
      <c r="E918" s="60"/>
      <c r="F918" s="60"/>
    </row>
    <row r="919" spans="2:6" ht="13">
      <c r="B919" s="60"/>
      <c r="C919" s="60"/>
      <c r="D919" s="60"/>
      <c r="E919" s="60"/>
      <c r="F919" s="60"/>
    </row>
    <row r="920" spans="2:6" ht="13">
      <c r="B920" s="60"/>
      <c r="C920" s="60"/>
      <c r="D920" s="60"/>
      <c r="E920" s="60"/>
      <c r="F920" s="60"/>
    </row>
    <row r="921" spans="2:6" ht="13">
      <c r="B921" s="60"/>
      <c r="C921" s="60"/>
      <c r="D921" s="60"/>
      <c r="E921" s="60"/>
      <c r="F921" s="60"/>
    </row>
    <row r="922" spans="2:6" ht="13">
      <c r="B922" s="60"/>
      <c r="C922" s="60"/>
      <c r="D922" s="60"/>
      <c r="E922" s="60"/>
      <c r="F922" s="60"/>
    </row>
    <row r="923" spans="2:6" ht="13">
      <c r="B923" s="60"/>
      <c r="C923" s="60"/>
      <c r="D923" s="60"/>
      <c r="E923" s="60"/>
      <c r="F923" s="60"/>
    </row>
    <row r="924" spans="2:6" ht="13">
      <c r="B924" s="60"/>
      <c r="C924" s="60"/>
      <c r="D924" s="60"/>
      <c r="E924" s="60"/>
      <c r="F924" s="60"/>
    </row>
    <row r="925" spans="2:6" ht="13">
      <c r="B925" s="60"/>
      <c r="C925" s="60"/>
      <c r="D925" s="60"/>
      <c r="E925" s="60"/>
      <c r="F925" s="60"/>
    </row>
    <row r="926" spans="2:6" ht="13">
      <c r="B926" s="60"/>
      <c r="C926" s="60"/>
      <c r="D926" s="60"/>
      <c r="E926" s="60"/>
      <c r="F926" s="60"/>
    </row>
    <row r="927" spans="2:6" ht="13">
      <c r="B927" s="60"/>
      <c r="C927" s="60"/>
      <c r="D927" s="60"/>
      <c r="E927" s="60"/>
      <c r="F927" s="60"/>
    </row>
    <row r="928" spans="2:6" ht="13">
      <c r="B928" s="60"/>
      <c r="C928" s="60"/>
      <c r="D928" s="60"/>
      <c r="E928" s="60"/>
      <c r="F928" s="60"/>
    </row>
    <row r="929" spans="2:6" ht="13">
      <c r="B929" s="60"/>
      <c r="C929" s="60"/>
      <c r="D929" s="60"/>
      <c r="E929" s="60"/>
      <c r="F929" s="60"/>
    </row>
    <row r="930" spans="2:6" ht="13">
      <c r="B930" s="60"/>
      <c r="C930" s="60"/>
      <c r="D930" s="60"/>
      <c r="E930" s="60"/>
      <c r="F930" s="60"/>
    </row>
    <row r="931" spans="2:6" ht="13">
      <c r="B931" s="60"/>
      <c r="C931" s="60"/>
      <c r="D931" s="60"/>
      <c r="E931" s="60"/>
      <c r="F931" s="60"/>
    </row>
    <row r="932" spans="2:6" ht="13">
      <c r="B932" s="60"/>
      <c r="C932" s="60"/>
      <c r="D932" s="60"/>
      <c r="E932" s="60"/>
      <c r="F932" s="60"/>
    </row>
    <row r="933" spans="2:6" ht="13">
      <c r="B933" s="60"/>
      <c r="C933" s="60"/>
      <c r="D933" s="60"/>
      <c r="E933" s="60"/>
      <c r="F933" s="60"/>
    </row>
    <row r="934" spans="2:6" ht="13">
      <c r="B934" s="60"/>
      <c r="C934" s="60"/>
      <c r="D934" s="60"/>
      <c r="E934" s="60"/>
      <c r="F934" s="60"/>
    </row>
    <row r="935" spans="2:6" ht="13">
      <c r="B935" s="60"/>
      <c r="C935" s="60"/>
      <c r="D935" s="60"/>
      <c r="E935" s="60"/>
      <c r="F935" s="60"/>
    </row>
    <row r="936" spans="2:6" ht="13">
      <c r="B936" s="60"/>
      <c r="C936" s="60"/>
      <c r="D936" s="60"/>
      <c r="E936" s="60"/>
      <c r="F936" s="60"/>
    </row>
    <row r="937" spans="2:6" ht="13">
      <c r="B937" s="60"/>
      <c r="C937" s="60"/>
      <c r="D937" s="60"/>
      <c r="E937" s="60"/>
      <c r="F937" s="60"/>
    </row>
    <row r="938" spans="2:6" ht="13">
      <c r="B938" s="60"/>
      <c r="C938" s="60"/>
      <c r="D938" s="60"/>
      <c r="E938" s="60"/>
      <c r="F938" s="60"/>
    </row>
    <row r="939" spans="2:6" ht="13">
      <c r="B939" s="60"/>
      <c r="C939" s="60"/>
      <c r="D939" s="60"/>
      <c r="E939" s="60"/>
      <c r="F939" s="60"/>
    </row>
    <row r="940" spans="2:6" ht="13">
      <c r="B940" s="60"/>
      <c r="C940" s="60"/>
      <c r="D940" s="60"/>
      <c r="E940" s="60"/>
      <c r="F940" s="60"/>
    </row>
    <row r="941" spans="2:6" ht="13">
      <c r="B941" s="60"/>
      <c r="C941" s="60"/>
      <c r="D941" s="60"/>
      <c r="E941" s="60"/>
      <c r="F941" s="60"/>
    </row>
    <row r="942" spans="2:6" ht="13">
      <c r="B942" s="60"/>
      <c r="C942" s="60"/>
      <c r="D942" s="60"/>
      <c r="E942" s="60"/>
      <c r="F942" s="60"/>
    </row>
    <row r="943" spans="2:6" ht="13">
      <c r="B943" s="60"/>
      <c r="C943" s="60"/>
      <c r="D943" s="60"/>
      <c r="E943" s="60"/>
      <c r="F943" s="60"/>
    </row>
    <row r="944" spans="2:6" ht="13">
      <c r="B944" s="60"/>
      <c r="C944" s="60"/>
      <c r="D944" s="60"/>
      <c r="E944" s="60"/>
      <c r="F944" s="60"/>
    </row>
    <row r="945" spans="2:6" ht="13">
      <c r="B945" s="60"/>
      <c r="C945" s="60"/>
      <c r="D945" s="60"/>
      <c r="E945" s="60"/>
      <c r="F945" s="60"/>
    </row>
    <row r="946" spans="2:6" ht="13">
      <c r="B946" s="60"/>
      <c r="C946" s="60"/>
      <c r="D946" s="60"/>
      <c r="E946" s="60"/>
      <c r="F946" s="60"/>
    </row>
    <row r="947" spans="2:6" ht="13">
      <c r="B947" s="60"/>
      <c r="C947" s="60"/>
      <c r="D947" s="60"/>
      <c r="E947" s="60"/>
      <c r="F947" s="60"/>
    </row>
    <row r="948" spans="2:6" ht="13">
      <c r="B948" s="60"/>
      <c r="C948" s="60"/>
      <c r="D948" s="60"/>
      <c r="E948" s="60"/>
      <c r="F948" s="60"/>
    </row>
    <row r="949" spans="2:6" ht="13">
      <c r="B949" s="60"/>
      <c r="C949" s="60"/>
      <c r="D949" s="60"/>
      <c r="E949" s="60"/>
      <c r="F949" s="60"/>
    </row>
    <row r="950" spans="2:6" ht="13">
      <c r="B950" s="60"/>
      <c r="C950" s="60"/>
      <c r="D950" s="60"/>
      <c r="E950" s="60"/>
      <c r="F950" s="60"/>
    </row>
    <row r="951" spans="2:6" ht="13">
      <c r="B951" s="60"/>
      <c r="C951" s="60"/>
      <c r="D951" s="60"/>
      <c r="E951" s="60"/>
      <c r="F951" s="60"/>
    </row>
    <row r="952" spans="2:6" ht="13">
      <c r="B952" s="60"/>
      <c r="C952" s="60"/>
      <c r="D952" s="60"/>
      <c r="E952" s="60"/>
      <c r="F952" s="60"/>
    </row>
    <row r="953" spans="2:6" ht="13">
      <c r="B953" s="60"/>
      <c r="C953" s="60"/>
      <c r="D953" s="60"/>
      <c r="E953" s="60"/>
      <c r="F953" s="60"/>
    </row>
    <row r="954" spans="2:6" ht="13">
      <c r="B954" s="60"/>
      <c r="C954" s="60"/>
      <c r="D954" s="60"/>
      <c r="E954" s="60"/>
      <c r="F954" s="60"/>
    </row>
    <row r="955" spans="2:6" ht="13">
      <c r="B955" s="60"/>
      <c r="C955" s="60"/>
      <c r="D955" s="60"/>
      <c r="E955" s="60"/>
      <c r="F955" s="60"/>
    </row>
    <row r="956" spans="2:6" ht="13">
      <c r="B956" s="60"/>
      <c r="C956" s="60"/>
      <c r="D956" s="60"/>
      <c r="E956" s="60"/>
      <c r="F956" s="60"/>
    </row>
    <row r="957" spans="2:6" ht="13">
      <c r="B957" s="60"/>
      <c r="C957" s="60"/>
      <c r="D957" s="60"/>
      <c r="E957" s="60"/>
      <c r="F957" s="60"/>
    </row>
    <row r="958" spans="2:6" ht="13">
      <c r="B958" s="60"/>
      <c r="C958" s="60"/>
      <c r="D958" s="60"/>
      <c r="E958" s="60"/>
      <c r="F958" s="60"/>
    </row>
    <row r="959" spans="2:6" ht="13">
      <c r="B959" s="60"/>
      <c r="C959" s="60"/>
      <c r="D959" s="60"/>
      <c r="E959" s="60"/>
      <c r="F959" s="60"/>
    </row>
    <row r="960" spans="2:6" ht="13">
      <c r="B960" s="60"/>
      <c r="C960" s="60"/>
      <c r="D960" s="60"/>
      <c r="E960" s="60"/>
      <c r="F960" s="60"/>
    </row>
    <row r="961" spans="2:6" ht="13">
      <c r="B961" s="60"/>
      <c r="C961" s="60"/>
      <c r="D961" s="60"/>
      <c r="E961" s="60"/>
      <c r="F961" s="60"/>
    </row>
    <row r="962" spans="2:6" ht="13">
      <c r="B962" s="60"/>
      <c r="C962" s="60"/>
      <c r="D962" s="60"/>
      <c r="E962" s="60"/>
      <c r="F962" s="60"/>
    </row>
    <row r="963" spans="2:6" ht="13">
      <c r="B963" s="60"/>
      <c r="C963" s="60"/>
      <c r="D963" s="60"/>
      <c r="E963" s="60"/>
      <c r="F963" s="60"/>
    </row>
    <row r="964" spans="2:6" ht="13">
      <c r="B964" s="60"/>
      <c r="C964" s="60"/>
      <c r="D964" s="60"/>
      <c r="E964" s="60"/>
      <c r="F964" s="60"/>
    </row>
    <row r="965" spans="2:6" ht="13">
      <c r="B965" s="60"/>
      <c r="C965" s="60"/>
      <c r="D965" s="60"/>
      <c r="E965" s="60"/>
      <c r="F965" s="60"/>
    </row>
    <row r="966" spans="2:6" ht="13">
      <c r="B966" s="60"/>
      <c r="C966" s="60"/>
      <c r="D966" s="60"/>
      <c r="E966" s="60"/>
      <c r="F966" s="60"/>
    </row>
    <row r="967" spans="2:6" ht="13">
      <c r="B967" s="60"/>
      <c r="C967" s="60"/>
      <c r="D967" s="60"/>
      <c r="E967" s="60"/>
      <c r="F967" s="60"/>
    </row>
    <row r="968" spans="2:6" ht="13">
      <c r="B968" s="60"/>
      <c r="C968" s="60"/>
      <c r="D968" s="60"/>
      <c r="E968" s="60"/>
      <c r="F968" s="60"/>
    </row>
    <row r="969" spans="2:6" ht="13">
      <c r="B969" s="60"/>
      <c r="C969" s="60"/>
      <c r="D969" s="60"/>
      <c r="E969" s="60"/>
      <c r="F969" s="60"/>
    </row>
    <row r="970" spans="2:6" ht="13">
      <c r="B970" s="60"/>
      <c r="C970" s="60"/>
      <c r="D970" s="60"/>
      <c r="E970" s="60"/>
      <c r="F970" s="60"/>
    </row>
    <row r="971" spans="2:6" ht="13">
      <c r="B971" s="60"/>
      <c r="C971" s="60"/>
      <c r="D971" s="60"/>
      <c r="E971" s="60"/>
      <c r="F971" s="60"/>
    </row>
    <row r="972" spans="2:6" ht="13">
      <c r="B972" s="60"/>
      <c r="C972" s="60"/>
      <c r="D972" s="60"/>
      <c r="E972" s="60"/>
      <c r="F972" s="60"/>
    </row>
    <row r="973" spans="2:6" ht="13">
      <c r="B973" s="60"/>
      <c r="C973" s="60"/>
      <c r="D973" s="60"/>
      <c r="E973" s="60"/>
      <c r="F973" s="60"/>
    </row>
    <row r="974" spans="2:6" ht="13">
      <c r="B974" s="60"/>
      <c r="C974" s="60"/>
      <c r="D974" s="60"/>
      <c r="E974" s="60"/>
      <c r="F974" s="60"/>
    </row>
    <row r="975" spans="2:6" ht="13">
      <c r="B975" s="60"/>
      <c r="C975" s="60"/>
      <c r="D975" s="60"/>
      <c r="E975" s="60"/>
      <c r="F975" s="60"/>
    </row>
    <row r="976" spans="2:6" ht="13">
      <c r="B976" s="60"/>
      <c r="C976" s="60"/>
      <c r="D976" s="60"/>
      <c r="E976" s="60"/>
      <c r="F976" s="60"/>
    </row>
    <row r="977" spans="2:6" ht="13">
      <c r="B977" s="60"/>
      <c r="C977" s="60"/>
      <c r="D977" s="60"/>
      <c r="E977" s="60"/>
      <c r="F977" s="60"/>
    </row>
    <row r="978" spans="2:6" ht="13">
      <c r="B978" s="60"/>
      <c r="C978" s="60"/>
      <c r="D978" s="60"/>
      <c r="E978" s="60"/>
      <c r="F978" s="60"/>
    </row>
    <row r="979" spans="2:6" ht="13">
      <c r="B979" s="60"/>
      <c r="C979" s="60"/>
      <c r="D979" s="60"/>
      <c r="E979" s="60"/>
      <c r="F979" s="60"/>
    </row>
    <row r="980" spans="2:6" ht="13">
      <c r="B980" s="60"/>
      <c r="C980" s="60"/>
      <c r="D980" s="60"/>
      <c r="E980" s="60"/>
      <c r="F980" s="60"/>
    </row>
    <row r="981" spans="2:6" ht="13">
      <c r="B981" s="60"/>
      <c r="C981" s="60"/>
      <c r="D981" s="60"/>
      <c r="E981" s="60"/>
      <c r="F981" s="60"/>
    </row>
    <row r="982" spans="2:6" ht="13">
      <c r="B982" s="60"/>
      <c r="C982" s="60"/>
      <c r="D982" s="60"/>
      <c r="E982" s="60"/>
      <c r="F982" s="60"/>
    </row>
    <row r="983" spans="2:6" ht="13">
      <c r="B983" s="60"/>
      <c r="C983" s="60"/>
      <c r="D983" s="60"/>
      <c r="E983" s="60"/>
      <c r="F983" s="60"/>
    </row>
    <row r="984" spans="2:6" ht="13">
      <c r="B984" s="60"/>
      <c r="C984" s="60"/>
      <c r="D984" s="60"/>
      <c r="E984" s="60"/>
      <c r="F984" s="60"/>
    </row>
    <row r="985" spans="2:6" ht="13">
      <c r="B985" s="60"/>
      <c r="C985" s="60"/>
      <c r="D985" s="60"/>
      <c r="E985" s="60"/>
      <c r="F985" s="60"/>
    </row>
    <row r="986" spans="2:6" ht="13">
      <c r="B986" s="60"/>
      <c r="C986" s="60"/>
      <c r="D986" s="60"/>
      <c r="E986" s="60"/>
      <c r="F986" s="60"/>
    </row>
    <row r="987" spans="2:6" ht="13">
      <c r="B987" s="60"/>
      <c r="C987" s="60"/>
      <c r="D987" s="60"/>
      <c r="E987" s="60"/>
      <c r="F987" s="60"/>
    </row>
    <row r="988" spans="2:6" ht="13">
      <c r="B988" s="60"/>
      <c r="C988" s="60"/>
      <c r="D988" s="60"/>
      <c r="E988" s="60"/>
      <c r="F988" s="60"/>
    </row>
    <row r="989" spans="2:6" ht="13">
      <c r="B989" s="60"/>
      <c r="C989" s="60"/>
      <c r="D989" s="60"/>
      <c r="E989" s="60"/>
      <c r="F989" s="60"/>
    </row>
    <row r="990" spans="2:6" ht="13">
      <c r="B990" s="60"/>
      <c r="C990" s="60"/>
      <c r="D990" s="60"/>
      <c r="E990" s="60"/>
      <c r="F990" s="60"/>
    </row>
    <row r="991" spans="2:6" ht="13">
      <c r="B991" s="60"/>
      <c r="C991" s="60"/>
      <c r="D991" s="60"/>
      <c r="E991" s="60"/>
      <c r="F991" s="60"/>
    </row>
    <row r="992" spans="2:6" ht="13">
      <c r="B992" s="60"/>
      <c r="C992" s="60"/>
      <c r="D992" s="60"/>
      <c r="E992" s="60"/>
      <c r="F992" s="60"/>
    </row>
    <row r="993" spans="2:6" ht="13">
      <c r="B993" s="60"/>
      <c r="C993" s="60"/>
      <c r="D993" s="60"/>
      <c r="E993" s="60"/>
      <c r="F993" s="60"/>
    </row>
    <row r="994" spans="2:6" ht="13">
      <c r="B994" s="60"/>
      <c r="C994" s="60"/>
      <c r="D994" s="60"/>
      <c r="E994" s="60"/>
      <c r="F994" s="60"/>
    </row>
    <row r="995" spans="2:6" ht="13">
      <c r="B995" s="60"/>
      <c r="C995" s="60"/>
      <c r="D995" s="60"/>
      <c r="E995" s="60"/>
      <c r="F995" s="60"/>
    </row>
    <row r="996" spans="2:6" ht="13">
      <c r="B996" s="60"/>
      <c r="C996" s="60"/>
      <c r="D996" s="60"/>
      <c r="E996" s="60"/>
      <c r="F996" s="60"/>
    </row>
    <row r="997" spans="2:6" ht="13">
      <c r="B997" s="60"/>
      <c r="C997" s="60"/>
      <c r="D997" s="60"/>
      <c r="E997" s="60"/>
      <c r="F997" s="60"/>
    </row>
    <row r="998" spans="2:6" ht="13">
      <c r="B998" s="60"/>
      <c r="C998" s="60"/>
      <c r="D998" s="60"/>
      <c r="E998" s="60"/>
      <c r="F998" s="60"/>
    </row>
    <row r="999" spans="2:6" ht="13">
      <c r="B999" s="60"/>
      <c r="C999" s="60"/>
      <c r="D999" s="60"/>
      <c r="E999" s="60"/>
      <c r="F999" s="60"/>
    </row>
    <row r="1000" spans="2:6" ht="13">
      <c r="B1000" s="60"/>
      <c r="C1000" s="60"/>
      <c r="D1000" s="60"/>
      <c r="E1000" s="60"/>
      <c r="F1000" s="60"/>
    </row>
    <row r="1001" spans="2:6" ht="13">
      <c r="B1001" s="60"/>
      <c r="C1001" s="60"/>
      <c r="D1001" s="60"/>
      <c r="E1001" s="60"/>
      <c r="F1001" s="60"/>
    </row>
    <row r="1002" spans="2:6" ht="13">
      <c r="B1002" s="60"/>
      <c r="C1002" s="60"/>
      <c r="D1002" s="60"/>
      <c r="E1002" s="60"/>
      <c r="F1002" s="60"/>
    </row>
  </sheetData>
  <hyperlinks>
    <hyperlink ref="A5" r:id="rId2" display="http://0700.hk/" xr:uid="{00000000-0004-0000-0300-000000000000}"/>
    <hyperlink ref="A7" r:id="rId3" display="http://600519.ss/" xr:uid="{00000000-0004-0000-0300-000001000000}"/>
    <hyperlink ref="A10" r:id="rId4" display="http://mc.pa/" xr:uid="{00000000-0004-0000-0300-000002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00"/>
    <outlinePr summaryBelow="0" summaryRight="0"/>
  </sheetPr>
  <dimension ref="A1:BH14379"/>
  <sheetViews>
    <sheetView workbookViewId="0">
      <pane xSplit="19" ySplit="4" topLeftCell="T5" activePane="bottomRight" state="frozen"/>
      <selection pane="topRight" activeCell="T1" sqref="T1"/>
      <selection pane="bottomLeft" activeCell="A5" sqref="A5"/>
      <selection pane="bottomRight" activeCell="T5" sqref="T5"/>
    </sheetView>
  </sheetViews>
  <sheetFormatPr baseColWidth="10" defaultColWidth="14.5" defaultRowHeight="15.75" customHeight="1" outlineLevelCol="1"/>
  <cols>
    <col min="2" max="2" width="6.6640625" customWidth="1"/>
    <col min="3" max="3" width="9.5" customWidth="1"/>
    <col min="4" max="4" width="12.5" customWidth="1"/>
    <col min="5" max="5" width="10.6640625" customWidth="1" collapsed="1"/>
    <col min="6" max="16" width="14.5" hidden="1" outlineLevel="1"/>
    <col min="17" max="19" width="3.83203125" customWidth="1"/>
    <col min="20" max="48" width="7.1640625" customWidth="1" outlineLevel="1"/>
    <col min="49" max="49" width="9.1640625" customWidth="1"/>
    <col min="51" max="51" width="1.83203125" customWidth="1"/>
    <col min="52" max="60" width="8.83203125" customWidth="1"/>
  </cols>
  <sheetData>
    <row r="1" spans="1:60" ht="15.75" customHeight="1">
      <c r="A1" s="45" t="s">
        <v>95</v>
      </c>
      <c r="B1" s="62"/>
      <c r="C1" s="62"/>
      <c r="D1" s="63" t="s">
        <v>96</v>
      </c>
      <c r="E1" s="60"/>
      <c r="F1" s="64" t="s">
        <v>65</v>
      </c>
      <c r="G1" s="44" t="s">
        <v>66</v>
      </c>
      <c r="H1" s="44" t="s">
        <v>67</v>
      </c>
      <c r="I1" s="44" t="s">
        <v>68</v>
      </c>
      <c r="J1" s="44" t="s">
        <v>69</v>
      </c>
      <c r="K1" s="44" t="s">
        <v>97</v>
      </c>
      <c r="L1" s="44" t="s">
        <v>98</v>
      </c>
      <c r="M1" s="44" t="s">
        <v>72</v>
      </c>
      <c r="N1" s="44" t="s">
        <v>73</v>
      </c>
      <c r="O1" s="43" t="s">
        <v>74</v>
      </c>
      <c r="P1" s="43" t="s">
        <v>75</v>
      </c>
      <c r="AY1" s="65"/>
      <c r="AZ1" s="3"/>
      <c r="BA1" s="3"/>
      <c r="BB1" s="3"/>
      <c r="BC1" s="3"/>
      <c r="BD1" s="52"/>
      <c r="BE1" s="52"/>
      <c r="BF1" s="52"/>
      <c r="BG1" s="52"/>
      <c r="BH1" s="52"/>
    </row>
    <row r="2" spans="1:60" ht="15.75" customHeight="1">
      <c r="A2" s="66"/>
      <c r="B2" s="66"/>
      <c r="C2" s="66"/>
      <c r="D2" s="66"/>
      <c r="E2" s="66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9"/>
      <c r="AY2" s="65"/>
      <c r="AZ2" s="3"/>
      <c r="BA2" s="3"/>
    </row>
    <row r="3" spans="1:60" ht="15.75" customHeight="1">
      <c r="A3" s="66"/>
      <c r="B3" s="66"/>
      <c r="C3" s="66"/>
      <c r="D3" s="66"/>
      <c r="E3" s="66"/>
      <c r="F3" s="483" t="s">
        <v>99</v>
      </c>
      <c r="G3" s="484"/>
      <c r="H3" s="484"/>
      <c r="I3" s="484"/>
      <c r="J3" s="484"/>
      <c r="K3" s="484"/>
      <c r="L3" s="484"/>
      <c r="M3" s="484"/>
      <c r="N3" s="484"/>
      <c r="O3" s="484"/>
      <c r="P3" s="485"/>
      <c r="T3" s="486" t="s">
        <v>100</v>
      </c>
      <c r="U3" s="487"/>
      <c r="V3" s="487"/>
      <c r="W3" s="487"/>
      <c r="X3" s="487"/>
      <c r="Y3" s="487"/>
      <c r="Z3" s="487"/>
      <c r="AA3" s="487"/>
      <c r="AB3" s="487"/>
      <c r="AC3" s="487"/>
      <c r="AD3" s="487"/>
      <c r="AE3" s="487"/>
      <c r="AF3" s="487"/>
      <c r="AG3" s="487"/>
      <c r="AH3" s="487"/>
      <c r="AI3" s="487"/>
      <c r="AJ3" s="487"/>
      <c r="AK3" s="487"/>
      <c r="AL3" s="487"/>
      <c r="AM3" s="487"/>
      <c r="AN3" s="487"/>
      <c r="AO3" s="487"/>
      <c r="AP3" s="487"/>
      <c r="AQ3" s="487"/>
      <c r="AR3" s="487"/>
      <c r="AS3" s="487"/>
      <c r="AT3" s="487"/>
      <c r="AU3" s="487"/>
      <c r="AV3" s="487"/>
      <c r="AW3" s="69" t="s">
        <v>101</v>
      </c>
      <c r="AY3" s="65"/>
      <c r="AZ3" s="3"/>
      <c r="BA3" s="3"/>
      <c r="BB3" s="3"/>
      <c r="BC3" s="3"/>
      <c r="BD3" s="52"/>
      <c r="BE3" s="52"/>
      <c r="BF3" s="52"/>
      <c r="BG3" s="52"/>
      <c r="BH3" s="52"/>
    </row>
    <row r="4" spans="1:60" ht="15.75" customHeight="1">
      <c r="A4" s="45" t="s">
        <v>102</v>
      </c>
      <c r="B4" s="45" t="s">
        <v>103</v>
      </c>
      <c r="C4" s="45" t="s">
        <v>104</v>
      </c>
      <c r="D4" s="45" t="s">
        <v>105</v>
      </c>
      <c r="E4" s="70" t="s">
        <v>106</v>
      </c>
      <c r="F4" s="45" t="s">
        <v>107</v>
      </c>
      <c r="G4" s="45" t="s">
        <v>108</v>
      </c>
      <c r="H4" s="45" t="s">
        <v>109</v>
      </c>
      <c r="I4" s="45" t="s">
        <v>110</v>
      </c>
      <c r="J4" s="45" t="s">
        <v>111</v>
      </c>
      <c r="K4" s="71" t="s">
        <v>112</v>
      </c>
      <c r="L4" s="71" t="s">
        <v>113</v>
      </c>
      <c r="M4" s="45" t="s">
        <v>114</v>
      </c>
      <c r="N4" s="45" t="s">
        <v>115</v>
      </c>
      <c r="O4" s="3" t="s">
        <v>116</v>
      </c>
      <c r="P4" s="3" t="s">
        <v>117</v>
      </c>
      <c r="Q4" s="3" t="s">
        <v>15</v>
      </c>
      <c r="R4" s="3" t="s">
        <v>15</v>
      </c>
      <c r="S4" s="3" t="s">
        <v>15</v>
      </c>
      <c r="T4" s="71" t="s">
        <v>8</v>
      </c>
      <c r="U4" s="71" t="s">
        <v>118</v>
      </c>
      <c r="V4" s="71" t="s">
        <v>119</v>
      </c>
      <c r="W4" s="71" t="s">
        <v>120</v>
      </c>
      <c r="X4" s="71" t="s">
        <v>121</v>
      </c>
      <c r="Y4" s="71" t="s">
        <v>122</v>
      </c>
      <c r="Z4" s="71" t="s">
        <v>123</v>
      </c>
      <c r="AA4" s="71" t="s">
        <v>124</v>
      </c>
      <c r="AB4" s="71" t="s">
        <v>125</v>
      </c>
      <c r="AC4" s="71" t="s">
        <v>126</v>
      </c>
      <c r="AD4" s="72" t="s">
        <v>127</v>
      </c>
      <c r="AE4" s="72" t="s">
        <v>128</v>
      </c>
      <c r="AF4" s="71" t="s">
        <v>129</v>
      </c>
      <c r="AG4" s="71" t="s">
        <v>130</v>
      </c>
      <c r="AH4" s="71" t="s">
        <v>131</v>
      </c>
      <c r="AI4" s="72" t="s">
        <v>132</v>
      </c>
      <c r="AJ4" s="71" t="s">
        <v>133</v>
      </c>
      <c r="AK4" s="71" t="s">
        <v>134</v>
      </c>
      <c r="AL4" s="71" t="s">
        <v>135</v>
      </c>
      <c r="AM4" s="71" t="s">
        <v>136</v>
      </c>
      <c r="AN4" s="71" t="s">
        <v>137</v>
      </c>
      <c r="AO4" s="71" t="s">
        <v>138</v>
      </c>
      <c r="AP4" s="71" t="s">
        <v>139</v>
      </c>
      <c r="AQ4" s="71" t="s">
        <v>140</v>
      </c>
      <c r="AR4" s="71" t="s">
        <v>141</v>
      </c>
      <c r="AS4" s="71" t="s">
        <v>142</v>
      </c>
      <c r="AT4" s="71" t="s">
        <v>143</v>
      </c>
      <c r="AU4" s="71" t="s">
        <v>61</v>
      </c>
      <c r="AV4" s="71" t="s">
        <v>144</v>
      </c>
      <c r="AW4" s="45" t="s">
        <v>145</v>
      </c>
      <c r="AX4" s="45" t="s">
        <v>146</v>
      </c>
      <c r="AY4" s="65" t="s">
        <v>15</v>
      </c>
      <c r="AZ4" s="73" t="s">
        <v>147</v>
      </c>
      <c r="BA4" s="74" t="s">
        <v>148</v>
      </c>
      <c r="BB4" s="74" t="s">
        <v>149</v>
      </c>
      <c r="BC4" s="75" t="s">
        <v>150</v>
      </c>
      <c r="BD4" s="74" t="s">
        <v>151</v>
      </c>
      <c r="BE4" s="74" t="s">
        <v>152</v>
      </c>
      <c r="BF4" s="74" t="s">
        <v>109</v>
      </c>
      <c r="BG4" s="76"/>
      <c r="BH4" s="76"/>
    </row>
    <row r="5" spans="1:60" ht="15.75" customHeight="1">
      <c r="A5" s="77" t="str">
        <f t="shared" ref="A5:A48" si="0">P5</f>
        <v>sABCD0001@hkmu.edu.hk</v>
      </c>
      <c r="B5" s="3" t="str">
        <f t="shared" ref="B5:B48" si="1">RIGHT(LEFT(P5,9),5)</f>
        <v>D0001</v>
      </c>
      <c r="C5" s="3" t="str">
        <f t="shared" ref="C5:C48" si="2">O5</f>
        <v>a1</v>
      </c>
      <c r="D5" s="29">
        <f t="shared" ref="D5:D47" si="3">E5*1000000+ROW()</f>
        <v>44561000005</v>
      </c>
      <c r="E5" s="4">
        <f t="shared" ref="E5:E47" si="4">DATE(YEAR(F5),MONTH(F5),DAY(F5))</f>
        <v>44561</v>
      </c>
      <c r="F5" s="78">
        <v>44561</v>
      </c>
      <c r="G5" s="79" t="s">
        <v>17</v>
      </c>
      <c r="H5" s="80" t="s">
        <v>64</v>
      </c>
      <c r="I5" s="81" t="s">
        <v>64</v>
      </c>
      <c r="J5" s="82"/>
      <c r="K5" s="83"/>
      <c r="L5" s="84"/>
      <c r="M5" s="85">
        <v>500000</v>
      </c>
      <c r="N5" s="82"/>
      <c r="O5" s="82" t="str">
        <f>'Form Responses'!J2</f>
        <v>a1</v>
      </c>
      <c r="P5" s="86" t="s">
        <v>80</v>
      </c>
      <c r="Q5" s="43"/>
      <c r="T5" s="87">
        <f t="shared" ref="T5:T47" si="5">DATE(YEAR(E5),MONTH(E5),DAY(E5))</f>
        <v>44561</v>
      </c>
      <c r="U5" s="79"/>
      <c r="V5" s="81" t="s">
        <v>39</v>
      </c>
      <c r="W5" s="88"/>
      <c r="X5" s="88"/>
      <c r="Y5" s="88"/>
      <c r="Z5" s="88"/>
      <c r="AA5" s="88"/>
      <c r="AB5" s="88"/>
      <c r="AC5" s="83"/>
      <c r="AD5" s="83"/>
      <c r="AE5" s="83"/>
      <c r="AF5" s="83"/>
      <c r="AG5" s="83"/>
      <c r="AH5" s="83"/>
      <c r="AI5" s="83"/>
      <c r="AJ5" s="83"/>
      <c r="AK5" s="83"/>
      <c r="AL5" s="84"/>
      <c r="AM5" s="84"/>
      <c r="AN5" s="84"/>
      <c r="AO5" s="84"/>
      <c r="AP5" s="84"/>
      <c r="AQ5" s="84"/>
      <c r="AR5" s="84"/>
      <c r="AS5" s="84"/>
      <c r="AT5" s="84"/>
      <c r="AU5" s="89"/>
      <c r="AV5" s="89"/>
      <c r="AX5" s="90"/>
      <c r="AY5" s="91"/>
      <c r="AZ5" s="24">
        <f t="shared" ref="AZ5:AZ47" si="6">IF(C5&lt;&gt;VLOOKUP(A5,$A$5:$C$274332,MATCH("Password",$A$4:$C$4,FALSE),FALSE),1,0)</f>
        <v>0</v>
      </c>
      <c r="BA5" s="92">
        <v>0</v>
      </c>
      <c r="BB5" s="93"/>
      <c r="BC5" s="94">
        <f t="shared" ref="BC5:BC47" si="7">IF(AZ5+BA5+BB5&gt;0,1,0)</f>
        <v>0</v>
      </c>
      <c r="BD5" s="95">
        <v>0</v>
      </c>
      <c r="BE5" s="96" t="str">
        <f t="shared" ref="BE5:BE47" si="8">IF(BF5="","",BD5)</f>
        <v/>
      </c>
      <c r="BF5" s="96" t="str">
        <f t="shared" ref="BF5:BF47" si="9">IF(AND(BD5&lt;&gt;BD4,H5&lt;&gt;"Cash",I5&lt;&gt;"TD"),H5,"")</f>
        <v/>
      </c>
      <c r="BG5" s="96"/>
      <c r="BH5" s="96"/>
    </row>
    <row r="6" spans="1:60" ht="15.75" customHeight="1">
      <c r="A6" s="77" t="str">
        <f t="shared" si="0"/>
        <v>sABCD0002@hkmu.edu.hk</v>
      </c>
      <c r="B6" s="3" t="str">
        <f t="shared" si="1"/>
        <v>D0002</v>
      </c>
      <c r="C6" s="3" t="str">
        <f t="shared" si="2"/>
        <v>a2</v>
      </c>
      <c r="D6" s="29">
        <f t="shared" si="3"/>
        <v>44561000006</v>
      </c>
      <c r="E6" s="4">
        <f t="shared" si="4"/>
        <v>44561</v>
      </c>
      <c r="F6" s="78">
        <v>44561</v>
      </c>
      <c r="G6" s="79" t="s">
        <v>17</v>
      </c>
      <c r="H6" s="80" t="s">
        <v>64</v>
      </c>
      <c r="I6" s="81" t="s">
        <v>64</v>
      </c>
      <c r="J6" s="82"/>
      <c r="K6" s="83"/>
      <c r="L6" s="84"/>
      <c r="M6" s="89">
        <v>500000</v>
      </c>
      <c r="N6" s="82"/>
      <c r="O6" s="82" t="s">
        <v>81</v>
      </c>
      <c r="P6" s="86" t="s">
        <v>82</v>
      </c>
      <c r="Q6" s="43"/>
      <c r="T6" s="87">
        <f t="shared" si="5"/>
        <v>44561</v>
      </c>
      <c r="U6" s="79"/>
      <c r="V6" s="81" t="s">
        <v>39</v>
      </c>
      <c r="W6" s="88"/>
      <c r="X6" s="88"/>
      <c r="Y6" s="88"/>
      <c r="Z6" s="88"/>
      <c r="AA6" s="88"/>
      <c r="AB6" s="88"/>
      <c r="AC6" s="83"/>
      <c r="AD6" s="83"/>
      <c r="AE6" s="83"/>
      <c r="AF6" s="83"/>
      <c r="AG6" s="83"/>
      <c r="AH6" s="83"/>
      <c r="AI6" s="83"/>
      <c r="AJ6" s="83"/>
      <c r="AK6" s="83"/>
      <c r="AL6" s="84"/>
      <c r="AM6" s="84"/>
      <c r="AN6" s="84"/>
      <c r="AO6" s="84"/>
      <c r="AP6" s="84"/>
      <c r="AQ6" s="84"/>
      <c r="AR6" s="84"/>
      <c r="AS6" s="84"/>
      <c r="AT6" s="84"/>
      <c r="AU6" s="89"/>
      <c r="AV6" s="89"/>
      <c r="AX6" s="90"/>
      <c r="AY6" s="91"/>
      <c r="AZ6" s="24">
        <f t="shared" si="6"/>
        <v>0</v>
      </c>
      <c r="BA6" s="92">
        <v>0</v>
      </c>
      <c r="BB6" s="93"/>
      <c r="BC6" s="94">
        <f t="shared" si="7"/>
        <v>0</v>
      </c>
      <c r="BD6" s="96">
        <f t="shared" ref="BD6:BD47" si="10">IF(I6="TD",BD5,IF(OR(BC6=1,COUNTIFS($H$4:H6,H6,BC$4:BC6,"="&amp;0)&gt;1),BD5,BD5+1))</f>
        <v>0</v>
      </c>
      <c r="BE6" s="96" t="str">
        <f t="shared" si="8"/>
        <v/>
      </c>
      <c r="BF6" s="96" t="str">
        <f t="shared" si="9"/>
        <v/>
      </c>
      <c r="BG6" s="96"/>
      <c r="BH6" s="96"/>
    </row>
    <row r="7" spans="1:60" ht="15.75" customHeight="1">
      <c r="A7" s="77" t="str">
        <f t="shared" si="0"/>
        <v>sABCD0003@hkmu.edu.hk</v>
      </c>
      <c r="B7" s="3" t="str">
        <f t="shared" si="1"/>
        <v>D0003</v>
      </c>
      <c r="C7" s="3" t="str">
        <f t="shared" si="2"/>
        <v>a3</v>
      </c>
      <c r="D7" s="29">
        <f t="shared" si="3"/>
        <v>44561000007</v>
      </c>
      <c r="E7" s="4">
        <f t="shared" si="4"/>
        <v>44561</v>
      </c>
      <c r="F7" s="78">
        <v>44561</v>
      </c>
      <c r="G7" s="79" t="s">
        <v>17</v>
      </c>
      <c r="H7" s="80" t="s">
        <v>64</v>
      </c>
      <c r="I7" s="81" t="s">
        <v>64</v>
      </c>
      <c r="J7" s="82"/>
      <c r="K7" s="83"/>
      <c r="L7" s="84"/>
      <c r="M7" s="89">
        <v>500000</v>
      </c>
      <c r="N7" s="82"/>
      <c r="O7" s="82" t="s">
        <v>83</v>
      </c>
      <c r="P7" s="86" t="s">
        <v>84</v>
      </c>
      <c r="Q7" s="43"/>
      <c r="T7" s="87">
        <f t="shared" si="5"/>
        <v>44561</v>
      </c>
      <c r="U7" s="79"/>
      <c r="V7" s="81" t="s">
        <v>39</v>
      </c>
      <c r="W7" s="88"/>
      <c r="X7" s="88"/>
      <c r="Y7" s="88"/>
      <c r="Z7" s="88"/>
      <c r="AA7" s="88"/>
      <c r="AB7" s="88"/>
      <c r="AC7" s="83"/>
      <c r="AD7" s="83"/>
      <c r="AE7" s="83"/>
      <c r="AF7" s="83"/>
      <c r="AG7" s="83"/>
      <c r="AH7" s="83"/>
      <c r="AI7" s="83"/>
      <c r="AJ7" s="83"/>
      <c r="AK7" s="83"/>
      <c r="AL7" s="84"/>
      <c r="AM7" s="84"/>
      <c r="AN7" s="84"/>
      <c r="AO7" s="84"/>
      <c r="AP7" s="84"/>
      <c r="AQ7" s="84"/>
      <c r="AR7" s="84"/>
      <c r="AS7" s="84"/>
      <c r="AT7" s="84"/>
      <c r="AU7" s="89"/>
      <c r="AV7" s="89"/>
      <c r="AX7" s="90"/>
      <c r="AY7" s="91"/>
      <c r="AZ7" s="24">
        <f t="shared" si="6"/>
        <v>0</v>
      </c>
      <c r="BA7" s="92">
        <v>0</v>
      </c>
      <c r="BB7" s="93"/>
      <c r="BC7" s="94">
        <f t="shared" si="7"/>
        <v>0</v>
      </c>
      <c r="BD7" s="96">
        <f t="shared" si="10"/>
        <v>0</v>
      </c>
      <c r="BE7" s="96" t="str">
        <f t="shared" si="8"/>
        <v/>
      </c>
      <c r="BF7" s="96" t="str">
        <f t="shared" si="9"/>
        <v/>
      </c>
      <c r="BG7" s="96"/>
      <c r="BH7" s="96"/>
    </row>
    <row r="8" spans="1:60" ht="15.75" customHeight="1">
      <c r="A8" s="77" t="str">
        <f t="shared" si="0"/>
        <v>sABCD0004@hkmu.edu.hk</v>
      </c>
      <c r="B8" s="3" t="str">
        <f t="shared" si="1"/>
        <v>D0004</v>
      </c>
      <c r="C8" s="3" t="str">
        <f t="shared" si="2"/>
        <v>a4</v>
      </c>
      <c r="D8" s="29">
        <f t="shared" si="3"/>
        <v>44561000008</v>
      </c>
      <c r="E8" s="4">
        <f t="shared" si="4"/>
        <v>44561</v>
      </c>
      <c r="F8" s="78">
        <v>44561</v>
      </c>
      <c r="G8" s="79" t="s">
        <v>17</v>
      </c>
      <c r="H8" s="80" t="s">
        <v>64</v>
      </c>
      <c r="I8" s="81" t="s">
        <v>64</v>
      </c>
      <c r="J8" s="82"/>
      <c r="K8" s="83"/>
      <c r="L8" s="84"/>
      <c r="M8" s="89">
        <v>500000</v>
      </c>
      <c r="N8" s="82"/>
      <c r="O8" s="82" t="s">
        <v>85</v>
      </c>
      <c r="P8" s="86" t="s">
        <v>86</v>
      </c>
      <c r="Q8" s="43"/>
      <c r="T8" s="87">
        <f t="shared" si="5"/>
        <v>44561</v>
      </c>
      <c r="U8" s="79"/>
      <c r="V8" s="81" t="s">
        <v>39</v>
      </c>
      <c r="W8" s="88"/>
      <c r="X8" s="88"/>
      <c r="Y8" s="88"/>
      <c r="Z8" s="88"/>
      <c r="AA8" s="88"/>
      <c r="AB8" s="88"/>
      <c r="AC8" s="83"/>
      <c r="AD8" s="83"/>
      <c r="AE8" s="83"/>
      <c r="AF8" s="83"/>
      <c r="AG8" s="83"/>
      <c r="AH8" s="83"/>
      <c r="AI8" s="83"/>
      <c r="AJ8" s="83"/>
      <c r="AK8" s="83"/>
      <c r="AL8" s="84"/>
      <c r="AM8" s="84"/>
      <c r="AN8" s="84"/>
      <c r="AO8" s="84"/>
      <c r="AP8" s="84"/>
      <c r="AQ8" s="84"/>
      <c r="AR8" s="84"/>
      <c r="AS8" s="84"/>
      <c r="AT8" s="84"/>
      <c r="AU8" s="89"/>
      <c r="AV8" s="89"/>
      <c r="AX8" s="90"/>
      <c r="AY8" s="91"/>
      <c r="AZ8" s="24">
        <f t="shared" si="6"/>
        <v>0</v>
      </c>
      <c r="BA8" s="92">
        <v>0</v>
      </c>
      <c r="BB8" s="93"/>
      <c r="BC8" s="94">
        <f t="shared" si="7"/>
        <v>0</v>
      </c>
      <c r="BD8" s="96">
        <f t="shared" si="10"/>
        <v>0</v>
      </c>
      <c r="BE8" s="96" t="str">
        <f t="shared" si="8"/>
        <v/>
      </c>
      <c r="BF8" s="96" t="str">
        <f t="shared" si="9"/>
        <v/>
      </c>
      <c r="BG8" s="96"/>
      <c r="BH8" s="96"/>
    </row>
    <row r="9" spans="1:60" ht="15.75" customHeight="1">
      <c r="A9" s="77" t="str">
        <f t="shared" si="0"/>
        <v>sABCD0005@hkmu.edu.hk</v>
      </c>
      <c r="B9" s="3" t="str">
        <f t="shared" si="1"/>
        <v>D0005</v>
      </c>
      <c r="C9" s="3" t="str">
        <f t="shared" si="2"/>
        <v>a5</v>
      </c>
      <c r="D9" s="29">
        <f t="shared" si="3"/>
        <v>44561000009</v>
      </c>
      <c r="E9" s="4">
        <f t="shared" si="4"/>
        <v>44561</v>
      </c>
      <c r="F9" s="78">
        <v>44561</v>
      </c>
      <c r="G9" s="79" t="s">
        <v>17</v>
      </c>
      <c r="H9" s="80" t="s">
        <v>64</v>
      </c>
      <c r="I9" s="81" t="s">
        <v>64</v>
      </c>
      <c r="J9" s="82"/>
      <c r="K9" s="83"/>
      <c r="L9" s="84"/>
      <c r="M9" s="89">
        <v>500000</v>
      </c>
      <c r="N9" s="82"/>
      <c r="O9" s="82" t="s">
        <v>87</v>
      </c>
      <c r="P9" s="86" t="s">
        <v>88</v>
      </c>
      <c r="Q9" s="43"/>
      <c r="T9" s="87">
        <f t="shared" si="5"/>
        <v>44561</v>
      </c>
      <c r="U9" s="79"/>
      <c r="V9" s="81" t="s">
        <v>39</v>
      </c>
      <c r="W9" s="88"/>
      <c r="X9" s="88"/>
      <c r="Y9" s="88"/>
      <c r="Z9" s="88"/>
      <c r="AA9" s="88"/>
      <c r="AB9" s="88"/>
      <c r="AC9" s="83"/>
      <c r="AD9" s="83"/>
      <c r="AE9" s="83"/>
      <c r="AF9" s="83"/>
      <c r="AG9" s="83"/>
      <c r="AH9" s="83"/>
      <c r="AI9" s="83"/>
      <c r="AJ9" s="83"/>
      <c r="AK9" s="83"/>
      <c r="AL9" s="84"/>
      <c r="AM9" s="84"/>
      <c r="AN9" s="84"/>
      <c r="AO9" s="84"/>
      <c r="AP9" s="84"/>
      <c r="AQ9" s="84"/>
      <c r="AR9" s="84"/>
      <c r="AS9" s="84"/>
      <c r="AT9" s="84"/>
      <c r="AU9" s="89"/>
      <c r="AV9" s="89"/>
      <c r="AX9" s="90"/>
      <c r="AY9" s="91"/>
      <c r="AZ9" s="24">
        <f t="shared" si="6"/>
        <v>0</v>
      </c>
      <c r="BA9" s="92">
        <v>0</v>
      </c>
      <c r="BB9" s="93"/>
      <c r="BC9" s="94">
        <f t="shared" si="7"/>
        <v>0</v>
      </c>
      <c r="BD9" s="96">
        <f t="shared" si="10"/>
        <v>0</v>
      </c>
      <c r="BE9" s="96" t="str">
        <f t="shared" si="8"/>
        <v/>
      </c>
      <c r="BF9" s="96" t="str">
        <f t="shared" si="9"/>
        <v/>
      </c>
      <c r="BG9" s="96"/>
      <c r="BH9" s="96"/>
    </row>
    <row r="10" spans="1:60" ht="15.75" customHeight="1">
      <c r="A10" s="77" t="str">
        <f t="shared" si="0"/>
        <v>sABCD0006@hkmu.edu.hk</v>
      </c>
      <c r="B10" s="3" t="str">
        <f t="shared" si="1"/>
        <v>D0006</v>
      </c>
      <c r="C10" s="3" t="str">
        <f t="shared" si="2"/>
        <v>a6</v>
      </c>
      <c r="D10" s="29">
        <f t="shared" si="3"/>
        <v>44561000010</v>
      </c>
      <c r="E10" s="4">
        <f t="shared" si="4"/>
        <v>44561</v>
      </c>
      <c r="F10" s="78">
        <v>44561</v>
      </c>
      <c r="G10" s="79" t="s">
        <v>17</v>
      </c>
      <c r="H10" s="80" t="s">
        <v>64</v>
      </c>
      <c r="I10" s="81" t="s">
        <v>64</v>
      </c>
      <c r="J10" s="82"/>
      <c r="K10" s="83"/>
      <c r="L10" s="84"/>
      <c r="M10" s="89">
        <v>500000</v>
      </c>
      <c r="N10" s="82"/>
      <c r="O10" s="82" t="s">
        <v>90</v>
      </c>
      <c r="P10" s="86" t="s">
        <v>91</v>
      </c>
      <c r="Q10" s="43"/>
      <c r="T10" s="87">
        <f t="shared" si="5"/>
        <v>44561</v>
      </c>
      <c r="U10" s="79"/>
      <c r="V10" s="81" t="s">
        <v>39</v>
      </c>
      <c r="W10" s="88"/>
      <c r="X10" s="88"/>
      <c r="Y10" s="88"/>
      <c r="Z10" s="88"/>
      <c r="AA10" s="88"/>
      <c r="AB10" s="88"/>
      <c r="AC10" s="83"/>
      <c r="AD10" s="83"/>
      <c r="AE10" s="83"/>
      <c r="AF10" s="83"/>
      <c r="AG10" s="83"/>
      <c r="AH10" s="83"/>
      <c r="AI10" s="83"/>
      <c r="AJ10" s="83"/>
      <c r="AK10" s="83"/>
      <c r="AL10" s="84"/>
      <c r="AM10" s="84"/>
      <c r="AN10" s="84"/>
      <c r="AO10" s="84"/>
      <c r="AP10" s="84"/>
      <c r="AQ10" s="84"/>
      <c r="AR10" s="84"/>
      <c r="AS10" s="84"/>
      <c r="AT10" s="84"/>
      <c r="AU10" s="89"/>
      <c r="AV10" s="89"/>
      <c r="AX10" s="90"/>
      <c r="AY10" s="91"/>
      <c r="AZ10" s="24">
        <f t="shared" si="6"/>
        <v>0</v>
      </c>
      <c r="BA10" s="92">
        <v>0</v>
      </c>
      <c r="BB10" s="93"/>
      <c r="BC10" s="94">
        <f t="shared" si="7"/>
        <v>0</v>
      </c>
      <c r="BD10" s="96">
        <f t="shared" si="10"/>
        <v>0</v>
      </c>
      <c r="BE10" s="96" t="str">
        <f t="shared" si="8"/>
        <v/>
      </c>
      <c r="BF10" s="96" t="str">
        <f t="shared" si="9"/>
        <v/>
      </c>
      <c r="BG10" s="96"/>
      <c r="BH10" s="96"/>
    </row>
    <row r="11" spans="1:60" ht="15.75" customHeight="1">
      <c r="A11" s="77" t="str">
        <f t="shared" si="0"/>
        <v>sABCD0001@hkmu.edu.hk</v>
      </c>
      <c r="B11" s="3" t="str">
        <f t="shared" si="1"/>
        <v>D0001</v>
      </c>
      <c r="C11" s="3" t="str">
        <f t="shared" si="2"/>
        <v>a1</v>
      </c>
      <c r="D11" s="29">
        <f t="shared" si="3"/>
        <v>44562000011</v>
      </c>
      <c r="E11" s="4">
        <f t="shared" si="4"/>
        <v>44562</v>
      </c>
      <c r="F11" s="97">
        <f>'Form Responses'!A2</f>
        <v>44562.457569444443</v>
      </c>
      <c r="G11" s="79" t="str">
        <f>'Form Responses'!B2</f>
        <v>BUY (LONG)</v>
      </c>
      <c r="H11" s="98" t="str">
        <f>'Form Responses'!C2</f>
        <v>AMZN</v>
      </c>
      <c r="I11" s="79" t="str">
        <f>'Form Responses'!D2</f>
        <v>Stock</v>
      </c>
      <c r="J11" s="82">
        <f>'Form Responses'!E2</f>
        <v>2</v>
      </c>
      <c r="K11" s="83">
        <f>'Form Responses'!F2</f>
        <v>0</v>
      </c>
      <c r="L11" s="84">
        <f>'Form Responses'!G2</f>
        <v>0</v>
      </c>
      <c r="M11" s="89">
        <f>'Form Responses'!H2</f>
        <v>0</v>
      </c>
      <c r="N11" s="82">
        <f>'Form Responses'!I2</f>
        <v>3360</v>
      </c>
      <c r="O11" s="82" t="str">
        <f>'Form Responses'!J2</f>
        <v>a1</v>
      </c>
      <c r="P11" s="86" t="str">
        <f>'Form Responses'!K2</f>
        <v>sABCD0001@hkmu.edu.hk</v>
      </c>
      <c r="Q11" s="43"/>
      <c r="T11" s="87">
        <f t="shared" si="5"/>
        <v>44562</v>
      </c>
      <c r="U11" s="79"/>
      <c r="V11" s="81" t="s">
        <v>41</v>
      </c>
      <c r="W11" s="82" t="s">
        <v>42</v>
      </c>
      <c r="X11" s="82">
        <v>2895</v>
      </c>
      <c r="Y11" s="82">
        <v>2903.7</v>
      </c>
      <c r="Z11" s="82">
        <v>2746.37</v>
      </c>
      <c r="AA11" s="82">
        <v>2799.72</v>
      </c>
      <c r="AB11" s="82">
        <v>4780085</v>
      </c>
      <c r="AC11" s="83"/>
      <c r="AD11" s="83"/>
      <c r="AE11" s="83"/>
      <c r="AF11" s="83"/>
      <c r="AG11" s="83"/>
      <c r="AH11" s="83"/>
      <c r="AI11" s="83"/>
      <c r="AJ11" s="83"/>
      <c r="AK11" s="83"/>
      <c r="AL11" s="84"/>
      <c r="AM11" s="84"/>
      <c r="AN11" s="84"/>
      <c r="AO11" s="84"/>
      <c r="AP11" s="84"/>
      <c r="AQ11" s="84"/>
      <c r="AR11" s="84"/>
      <c r="AS11" s="84"/>
      <c r="AT11" s="84"/>
      <c r="AU11" s="89"/>
      <c r="AV11" s="89"/>
      <c r="AX11" s="90"/>
      <c r="AY11" s="91"/>
      <c r="AZ11" s="24">
        <f t="shared" si="6"/>
        <v>0</v>
      </c>
      <c r="BA11" s="92">
        <v>0</v>
      </c>
      <c r="BB11" s="93"/>
      <c r="BC11" s="94">
        <f t="shared" si="7"/>
        <v>0</v>
      </c>
      <c r="BD11" s="96">
        <f t="shared" si="10"/>
        <v>1</v>
      </c>
      <c r="BE11" s="96">
        <f t="shared" si="8"/>
        <v>1</v>
      </c>
      <c r="BF11" s="96" t="str">
        <f t="shared" si="9"/>
        <v>AMZN</v>
      </c>
      <c r="BG11" s="96"/>
      <c r="BH11" s="96"/>
    </row>
    <row r="12" spans="1:60" ht="15.75" customHeight="1">
      <c r="A12" s="77" t="str">
        <f t="shared" si="0"/>
        <v>sABCD0001@hkmu.edu.hk</v>
      </c>
      <c r="B12" s="3" t="str">
        <f t="shared" si="1"/>
        <v>D0001</v>
      </c>
      <c r="C12" s="3" t="str">
        <f t="shared" si="2"/>
        <v>a1</v>
      </c>
      <c r="D12" s="29">
        <f t="shared" si="3"/>
        <v>44563000012</v>
      </c>
      <c r="E12" s="4">
        <f t="shared" si="4"/>
        <v>44563</v>
      </c>
      <c r="F12" s="97">
        <f>'Form Responses'!A3</f>
        <v>44563.458379629628</v>
      </c>
      <c r="G12" s="79" t="str">
        <f>'Form Responses'!B3</f>
        <v>BUY (LONG)</v>
      </c>
      <c r="H12" s="99" t="str">
        <f>'Form Responses'!C3</f>
        <v>0700.HK</v>
      </c>
      <c r="I12" s="79" t="str">
        <f>'Form Responses'!D3</f>
        <v>Stock</v>
      </c>
      <c r="J12" s="82">
        <f>'Form Responses'!E3</f>
        <v>10</v>
      </c>
      <c r="K12" s="83">
        <f>'Form Responses'!F3</f>
        <v>0</v>
      </c>
      <c r="L12" s="84">
        <f>'Form Responses'!G3</f>
        <v>0</v>
      </c>
      <c r="M12" s="89">
        <f>'Form Responses'!H3</f>
        <v>0</v>
      </c>
      <c r="N12" s="82">
        <f>'Form Responses'!I3</f>
        <v>460</v>
      </c>
      <c r="O12" s="82" t="str">
        <f>'Form Responses'!J3</f>
        <v>a1</v>
      </c>
      <c r="P12" s="86" t="str">
        <f>'Form Responses'!K3</f>
        <v>sABCD0001@hkmu.edu.hk</v>
      </c>
      <c r="Q12" s="43"/>
      <c r="T12" s="87">
        <f t="shared" si="5"/>
        <v>44563</v>
      </c>
      <c r="U12" s="79"/>
      <c r="V12" s="81" t="s">
        <v>39</v>
      </c>
      <c r="W12" s="100" t="s">
        <v>38</v>
      </c>
      <c r="X12" s="82">
        <v>465</v>
      </c>
      <c r="Y12" s="82">
        <v>467</v>
      </c>
      <c r="Z12" s="82">
        <v>457.8</v>
      </c>
      <c r="AA12" s="82">
        <v>473.6</v>
      </c>
      <c r="AB12" s="82">
        <v>16061367</v>
      </c>
      <c r="AC12" s="83"/>
      <c r="AD12" s="83"/>
      <c r="AE12" s="83"/>
      <c r="AF12" s="83"/>
      <c r="AG12" s="83"/>
      <c r="AH12" s="83"/>
      <c r="AI12" s="83"/>
      <c r="AJ12" s="83"/>
      <c r="AK12" s="83"/>
      <c r="AL12" s="84"/>
      <c r="AM12" s="84"/>
      <c r="AN12" s="84"/>
      <c r="AO12" s="84"/>
      <c r="AP12" s="84"/>
      <c r="AQ12" s="84"/>
      <c r="AR12" s="84"/>
      <c r="AS12" s="84"/>
      <c r="AT12" s="84"/>
      <c r="AU12" s="89"/>
      <c r="AV12" s="89"/>
      <c r="AX12" s="90"/>
      <c r="AY12" s="91"/>
      <c r="AZ12" s="24">
        <f t="shared" si="6"/>
        <v>0</v>
      </c>
      <c r="BA12" s="92">
        <v>0</v>
      </c>
      <c r="BB12" s="93"/>
      <c r="BC12" s="94">
        <f t="shared" si="7"/>
        <v>0</v>
      </c>
      <c r="BD12" s="96">
        <f t="shared" si="10"/>
        <v>2</v>
      </c>
      <c r="BE12" s="96">
        <f t="shared" si="8"/>
        <v>2</v>
      </c>
      <c r="BF12" s="101" t="str">
        <f t="shared" si="9"/>
        <v>0700.HK</v>
      </c>
      <c r="BG12" s="96"/>
      <c r="BH12" s="96"/>
    </row>
    <row r="13" spans="1:60" ht="15.75" customHeight="1">
      <c r="A13" s="77" t="str">
        <f t="shared" si="0"/>
        <v>sABCD0001@hkmu.edu.hk</v>
      </c>
      <c r="B13" s="3" t="str">
        <f t="shared" si="1"/>
        <v>D0001</v>
      </c>
      <c r="C13" s="3" t="str">
        <f t="shared" si="2"/>
        <v>a1</v>
      </c>
      <c r="D13" s="29">
        <f t="shared" si="3"/>
        <v>44563000013</v>
      </c>
      <c r="E13" s="4">
        <f t="shared" si="4"/>
        <v>44563</v>
      </c>
      <c r="F13" s="97">
        <f>'Form Responses'!A4</f>
        <v>44563.459814814814</v>
      </c>
      <c r="G13" s="79" t="str">
        <f>'Form Responses'!B4</f>
        <v>SELL (SHORT)</v>
      </c>
      <c r="H13" s="99" t="str">
        <f>'Form Responses'!C4</f>
        <v>600519.SS</v>
      </c>
      <c r="I13" s="102" t="str">
        <f>'Form Responses'!D4</f>
        <v>Stock</v>
      </c>
      <c r="J13" s="82">
        <f>'Form Responses'!E4</f>
        <v>15</v>
      </c>
      <c r="K13" s="103">
        <f>'Form Responses'!F4</f>
        <v>0</v>
      </c>
      <c r="L13" s="56">
        <f>'Form Responses'!G4</f>
        <v>0</v>
      </c>
      <c r="M13" s="104">
        <f>'Form Responses'!H4</f>
        <v>0</v>
      </c>
      <c r="N13" s="82">
        <f>'Form Responses'!I4</f>
        <v>2050</v>
      </c>
      <c r="O13" s="82" t="str">
        <f>'Form Responses'!J4</f>
        <v>a1</v>
      </c>
      <c r="P13" s="86" t="str">
        <f>'Form Responses'!K4</f>
        <v>sABCD0001@hkmu.edu.hk</v>
      </c>
      <c r="Q13" s="43"/>
      <c r="T13" s="87">
        <f t="shared" si="5"/>
        <v>44563</v>
      </c>
      <c r="U13" s="102"/>
      <c r="V13" s="81" t="s">
        <v>29</v>
      </c>
      <c r="W13" s="100" t="s">
        <v>40</v>
      </c>
      <c r="X13" s="82">
        <v>2001.01</v>
      </c>
      <c r="Y13" s="82">
        <v>2010.82</v>
      </c>
      <c r="Z13" s="82">
        <v>1952</v>
      </c>
      <c r="AA13" s="82">
        <v>1955</v>
      </c>
      <c r="AB13" s="82">
        <v>4266516</v>
      </c>
      <c r="AC13" s="103"/>
      <c r="AD13" s="103"/>
      <c r="AE13" s="103"/>
      <c r="AF13" s="103"/>
      <c r="AG13" s="103"/>
      <c r="AH13" s="103"/>
      <c r="AI13" s="103"/>
      <c r="AJ13" s="103"/>
      <c r="AK13" s="103"/>
      <c r="AL13" s="56"/>
      <c r="AM13" s="56"/>
      <c r="AN13" s="56"/>
      <c r="AO13" s="56"/>
      <c r="AP13" s="56"/>
      <c r="AQ13" s="56"/>
      <c r="AR13" s="56"/>
      <c r="AS13" s="56"/>
      <c r="AT13" s="56"/>
      <c r="AU13" s="104"/>
      <c r="AV13" s="104"/>
      <c r="AX13" s="90"/>
      <c r="AY13" s="91"/>
      <c r="AZ13" s="24">
        <f t="shared" si="6"/>
        <v>0</v>
      </c>
      <c r="BA13" s="92">
        <v>0</v>
      </c>
      <c r="BB13" s="93"/>
      <c r="BC13" s="94">
        <f t="shared" si="7"/>
        <v>0</v>
      </c>
      <c r="BD13" s="96">
        <f t="shared" si="10"/>
        <v>3</v>
      </c>
      <c r="BE13" s="96">
        <f t="shared" si="8"/>
        <v>3</v>
      </c>
      <c r="BF13" s="101" t="str">
        <f t="shared" si="9"/>
        <v>600519.SS</v>
      </c>
      <c r="BG13" s="96"/>
      <c r="BH13" s="96"/>
    </row>
    <row r="14" spans="1:60" ht="15.75" customHeight="1">
      <c r="A14" s="77" t="str">
        <f t="shared" si="0"/>
        <v>sABCD0001@hkmu.edu.hk</v>
      </c>
      <c r="B14" s="3" t="str">
        <f t="shared" si="1"/>
        <v>D0001</v>
      </c>
      <c r="C14" s="3" t="str">
        <f t="shared" si="2"/>
        <v>a1</v>
      </c>
      <c r="D14" s="29">
        <f t="shared" si="3"/>
        <v>44563000014</v>
      </c>
      <c r="E14" s="4">
        <f t="shared" si="4"/>
        <v>44563</v>
      </c>
      <c r="F14" s="97">
        <f>'Form Responses'!A5</f>
        <v>44563.534930555557</v>
      </c>
      <c r="G14" s="79" t="str">
        <f>'Form Responses'!B5</f>
        <v>BUY (LONG)</v>
      </c>
      <c r="H14" s="99" t="str">
        <f>'Form Responses'!C5</f>
        <v>MC.PA</v>
      </c>
      <c r="I14" s="102" t="str">
        <f>'Form Responses'!D5</f>
        <v>Stock</v>
      </c>
      <c r="J14" s="82">
        <f>'Form Responses'!E5</f>
        <v>10</v>
      </c>
      <c r="K14" s="103">
        <f>'Form Responses'!F5</f>
        <v>0</v>
      </c>
      <c r="L14" s="56">
        <f>'Form Responses'!G5</f>
        <v>0</v>
      </c>
      <c r="M14" s="104">
        <f>'Form Responses'!H5</f>
        <v>0</v>
      </c>
      <c r="N14" s="82">
        <f>'Form Responses'!I5</f>
        <v>730</v>
      </c>
      <c r="O14" s="82" t="str">
        <f>'Form Responses'!J5</f>
        <v>a1</v>
      </c>
      <c r="P14" s="86" t="str">
        <f>'Form Responses'!K5</f>
        <v>sABCD0001@hkmu.edu.hk</v>
      </c>
      <c r="Q14" s="43"/>
      <c r="T14" s="87">
        <f t="shared" si="5"/>
        <v>44563</v>
      </c>
      <c r="U14" s="102"/>
      <c r="V14" s="81" t="s">
        <v>37</v>
      </c>
      <c r="W14" s="100" t="s">
        <v>36</v>
      </c>
      <c r="X14" s="82">
        <v>673.7</v>
      </c>
      <c r="Y14" s="82">
        <v>687.9</v>
      </c>
      <c r="Z14" s="82">
        <v>671.7</v>
      </c>
      <c r="AA14" s="82">
        <v>667</v>
      </c>
      <c r="AB14" s="82">
        <v>439855</v>
      </c>
      <c r="AC14" s="103"/>
      <c r="AD14" s="103"/>
      <c r="AE14" s="103"/>
      <c r="AF14" s="103"/>
      <c r="AG14" s="103"/>
      <c r="AH14" s="103"/>
      <c r="AI14" s="103"/>
      <c r="AJ14" s="103"/>
      <c r="AK14" s="103"/>
      <c r="AL14" s="56"/>
      <c r="AM14" s="56"/>
      <c r="AN14" s="56"/>
      <c r="AO14" s="56"/>
      <c r="AP14" s="56"/>
      <c r="AQ14" s="56"/>
      <c r="AR14" s="56"/>
      <c r="AS14" s="56"/>
      <c r="AT14" s="56"/>
      <c r="AU14" s="104"/>
      <c r="AV14" s="104"/>
      <c r="AX14" s="90"/>
      <c r="AY14" s="91"/>
      <c r="AZ14" s="24">
        <f t="shared" si="6"/>
        <v>0</v>
      </c>
      <c r="BA14" s="92">
        <v>0</v>
      </c>
      <c r="BB14" s="93"/>
      <c r="BC14" s="94">
        <f t="shared" si="7"/>
        <v>0</v>
      </c>
      <c r="BD14" s="96">
        <f t="shared" si="10"/>
        <v>4</v>
      </c>
      <c r="BE14" s="96">
        <f t="shared" si="8"/>
        <v>4</v>
      </c>
      <c r="BF14" s="101" t="str">
        <f t="shared" si="9"/>
        <v>MC.PA</v>
      </c>
      <c r="BG14" s="96"/>
      <c r="BH14" s="96"/>
    </row>
    <row r="15" spans="1:60" ht="15.75" customHeight="1">
      <c r="A15" s="77" t="str">
        <f t="shared" si="0"/>
        <v>sABCD0001@hkmu.edu.hk</v>
      </c>
      <c r="B15" s="3" t="str">
        <f t="shared" si="1"/>
        <v>D0001</v>
      </c>
      <c r="C15" s="3" t="str">
        <f t="shared" si="2"/>
        <v>a2</v>
      </c>
      <c r="D15" s="29">
        <f t="shared" si="3"/>
        <v>44564000015</v>
      </c>
      <c r="E15" s="4">
        <f t="shared" si="4"/>
        <v>44564</v>
      </c>
      <c r="F15" s="97">
        <f>'Form Responses'!A6</f>
        <v>44564.463622685187</v>
      </c>
      <c r="G15" s="79" t="str">
        <f>'Form Responses'!B6</f>
        <v>BUY (LONG)</v>
      </c>
      <c r="H15" s="98" t="str">
        <f>'Form Responses'!C6</f>
        <v>GS</v>
      </c>
      <c r="I15" s="102" t="str">
        <f>'Form Responses'!D6</f>
        <v>Stock</v>
      </c>
      <c r="J15" s="88">
        <f>'Form Responses'!E6</f>
        <v>6</v>
      </c>
      <c r="K15" s="103">
        <f>'Form Responses'!F6</f>
        <v>0</v>
      </c>
      <c r="L15" s="56">
        <f>'Form Responses'!G6</f>
        <v>0</v>
      </c>
      <c r="M15" s="104">
        <f>'Form Responses'!H6</f>
        <v>0</v>
      </c>
      <c r="N15" s="82">
        <f>'Form Responses'!I6</f>
        <v>385</v>
      </c>
      <c r="O15" s="82" t="str">
        <f>'Form Responses'!J6</f>
        <v>a2</v>
      </c>
      <c r="P15" s="86" t="str">
        <f>'Form Responses'!K6</f>
        <v>sABCD0001@hkmu.edu.hk</v>
      </c>
      <c r="Q15" s="43" t="s">
        <v>153</v>
      </c>
      <c r="T15" s="87">
        <f t="shared" si="5"/>
        <v>44564</v>
      </c>
      <c r="U15" s="102"/>
      <c r="V15" s="81" t="s">
        <v>41</v>
      </c>
      <c r="W15" s="82" t="s">
        <v>0</v>
      </c>
      <c r="X15" s="82">
        <v>346.6</v>
      </c>
      <c r="Y15" s="82">
        <v>350.48</v>
      </c>
      <c r="Z15" s="82">
        <v>338.41</v>
      </c>
      <c r="AA15" s="82">
        <v>341.55</v>
      </c>
      <c r="AB15" s="82">
        <v>3705887</v>
      </c>
      <c r="AC15" s="103"/>
      <c r="AD15" s="103"/>
      <c r="AE15" s="103"/>
      <c r="AF15" s="103"/>
      <c r="AG15" s="103"/>
      <c r="AH15" s="103"/>
      <c r="AI15" s="103"/>
      <c r="AJ15" s="103"/>
      <c r="AK15" s="103"/>
      <c r="AL15" s="56"/>
      <c r="AM15" s="56"/>
      <c r="AN15" s="56"/>
      <c r="AO15" s="56"/>
      <c r="AP15" s="56"/>
      <c r="AQ15" s="56"/>
      <c r="AR15" s="56"/>
      <c r="AS15" s="56"/>
      <c r="AT15" s="56"/>
      <c r="AU15" s="104"/>
      <c r="AV15" s="104"/>
      <c r="AX15" s="90" t="s">
        <v>153</v>
      </c>
      <c r="AY15" s="91"/>
      <c r="AZ15" s="24">
        <f t="shared" si="6"/>
        <v>1</v>
      </c>
      <c r="BA15" s="92">
        <v>0</v>
      </c>
      <c r="BB15" s="93"/>
      <c r="BC15" s="94">
        <f t="shared" si="7"/>
        <v>1</v>
      </c>
      <c r="BD15" s="96">
        <f t="shared" si="10"/>
        <v>4</v>
      </c>
      <c r="BE15" s="96" t="str">
        <f t="shared" si="8"/>
        <v/>
      </c>
      <c r="BF15" s="96" t="str">
        <f t="shared" si="9"/>
        <v/>
      </c>
      <c r="BG15" s="96"/>
      <c r="BH15" s="96"/>
    </row>
    <row r="16" spans="1:60" ht="15.75" customHeight="1">
      <c r="A16" s="77" t="str">
        <f t="shared" si="0"/>
        <v>sABCD0001@hkmu.edu.hk</v>
      </c>
      <c r="B16" s="3" t="str">
        <f t="shared" si="1"/>
        <v>D0001</v>
      </c>
      <c r="C16" s="3" t="str">
        <f t="shared" si="2"/>
        <v>a1</v>
      </c>
      <c r="D16" s="29">
        <f t="shared" si="3"/>
        <v>44565000016</v>
      </c>
      <c r="E16" s="4">
        <f t="shared" si="4"/>
        <v>44565</v>
      </c>
      <c r="F16" s="105">
        <f>'Form Responses'!A7</f>
        <v>44565.463622685187</v>
      </c>
      <c r="G16" s="79" t="str">
        <f>'Form Responses'!B7</f>
        <v>SELL (SHORT)</v>
      </c>
      <c r="H16" s="99" t="str">
        <f>'Form Responses'!C7</f>
        <v>MC.PA</v>
      </c>
      <c r="I16" s="102" t="str">
        <f>'Form Responses'!D7</f>
        <v>Stock</v>
      </c>
      <c r="J16" s="82">
        <f>'Form Responses'!E7</f>
        <v>5</v>
      </c>
      <c r="K16" s="103">
        <f>'Form Responses'!F7</f>
        <v>0</v>
      </c>
      <c r="L16" s="56">
        <f>'Form Responses'!G7</f>
        <v>0</v>
      </c>
      <c r="M16" s="104">
        <f>'Form Responses'!H7</f>
        <v>0</v>
      </c>
      <c r="N16" s="82">
        <f>'Form Responses'!I7</f>
        <v>740</v>
      </c>
      <c r="O16" s="82" t="str">
        <f>'Form Responses'!J7</f>
        <v>a1</v>
      </c>
      <c r="P16" s="86" t="str">
        <f>'Form Responses'!K7</f>
        <v>sABCD0001@hkmu.edu.hk</v>
      </c>
      <c r="Q16" s="43"/>
      <c r="T16" s="87">
        <f t="shared" si="5"/>
        <v>44565</v>
      </c>
      <c r="U16" s="102"/>
      <c r="V16" s="81" t="s">
        <v>37</v>
      </c>
      <c r="W16" s="100" t="s">
        <v>36</v>
      </c>
      <c r="X16" s="82">
        <v>673.7</v>
      </c>
      <c r="Y16" s="82">
        <v>687.9</v>
      </c>
      <c r="Z16" s="82">
        <v>671.7</v>
      </c>
      <c r="AA16" s="82">
        <v>667</v>
      </c>
      <c r="AB16" s="82">
        <v>439855</v>
      </c>
      <c r="AC16" s="103"/>
      <c r="AD16" s="103"/>
      <c r="AE16" s="103"/>
      <c r="AF16" s="103"/>
      <c r="AG16" s="103"/>
      <c r="AH16" s="103"/>
      <c r="AI16" s="103"/>
      <c r="AJ16" s="103"/>
      <c r="AK16" s="103"/>
      <c r="AL16" s="56"/>
      <c r="AM16" s="56"/>
      <c r="AN16" s="56"/>
      <c r="AO16" s="56"/>
      <c r="AP16" s="56"/>
      <c r="AQ16" s="56"/>
      <c r="AR16" s="56"/>
      <c r="AS16" s="56"/>
      <c r="AT16" s="56"/>
      <c r="AU16" s="104"/>
      <c r="AV16" s="104"/>
      <c r="AX16" s="90"/>
      <c r="AY16" s="91"/>
      <c r="AZ16" s="24">
        <f t="shared" si="6"/>
        <v>0</v>
      </c>
      <c r="BA16" s="92">
        <v>0</v>
      </c>
      <c r="BB16" s="93"/>
      <c r="BC16" s="94">
        <f t="shared" si="7"/>
        <v>0</v>
      </c>
      <c r="BD16" s="96">
        <f t="shared" si="10"/>
        <v>4</v>
      </c>
      <c r="BE16" s="96" t="str">
        <f t="shared" si="8"/>
        <v/>
      </c>
      <c r="BF16" s="96" t="str">
        <f t="shared" si="9"/>
        <v/>
      </c>
      <c r="BG16" s="96"/>
      <c r="BH16" s="96"/>
    </row>
    <row r="17" spans="1:60" ht="15.75" customHeight="1">
      <c r="A17" s="77" t="str">
        <f t="shared" si="0"/>
        <v>sABCD0001@hkmu.edu.hk</v>
      </c>
      <c r="B17" s="3" t="str">
        <f t="shared" si="1"/>
        <v>D0001</v>
      </c>
      <c r="C17" s="3" t="str">
        <f t="shared" si="2"/>
        <v>a1</v>
      </c>
      <c r="D17" s="29">
        <f t="shared" si="3"/>
        <v>44566000017</v>
      </c>
      <c r="E17" s="4">
        <f t="shared" si="4"/>
        <v>44566</v>
      </c>
      <c r="F17" s="105">
        <f>'Form Responses'!A8</f>
        <v>44566.463622685187</v>
      </c>
      <c r="G17" s="79" t="str">
        <f>'Form Responses'!B8</f>
        <v>BUY (LONG)</v>
      </c>
      <c r="H17" s="99" t="str">
        <f>'Form Responses'!C8</f>
        <v>MC.PA</v>
      </c>
      <c r="I17" s="102" t="str">
        <f>'Form Responses'!D8</f>
        <v>Stock</v>
      </c>
      <c r="J17" s="82">
        <f>'Form Responses'!E8</f>
        <v>4</v>
      </c>
      <c r="K17" s="103">
        <f>'Form Responses'!F8</f>
        <v>0</v>
      </c>
      <c r="L17" s="56">
        <f>'Form Responses'!G8</f>
        <v>0</v>
      </c>
      <c r="M17" s="104">
        <f>'Form Responses'!H8</f>
        <v>0</v>
      </c>
      <c r="N17" s="82">
        <f>'Form Responses'!I8</f>
        <v>740</v>
      </c>
      <c r="O17" s="82" t="str">
        <f>'Form Responses'!J8</f>
        <v>a1</v>
      </c>
      <c r="P17" s="86" t="str">
        <f>'Form Responses'!K8</f>
        <v>sABCD0001@hkmu.edu.hk</v>
      </c>
      <c r="Q17" s="43"/>
      <c r="T17" s="87">
        <f t="shared" si="5"/>
        <v>44566</v>
      </c>
      <c r="U17" s="102"/>
      <c r="V17" s="81" t="s">
        <v>37</v>
      </c>
      <c r="W17" s="100" t="s">
        <v>36</v>
      </c>
      <c r="X17" s="82">
        <v>673.7</v>
      </c>
      <c r="Y17" s="82">
        <v>687.9</v>
      </c>
      <c r="Z17" s="82">
        <v>671.7</v>
      </c>
      <c r="AA17" s="82">
        <v>667</v>
      </c>
      <c r="AB17" s="82">
        <v>439855</v>
      </c>
      <c r="AC17" s="103"/>
      <c r="AD17" s="103"/>
      <c r="AE17" s="103"/>
      <c r="AF17" s="103"/>
      <c r="AG17" s="103"/>
      <c r="AH17" s="103"/>
      <c r="AI17" s="103"/>
      <c r="AJ17" s="103"/>
      <c r="AK17" s="103"/>
      <c r="AL17" s="56"/>
      <c r="AM17" s="56"/>
      <c r="AN17" s="56"/>
      <c r="AO17" s="56"/>
      <c r="AP17" s="56"/>
      <c r="AQ17" s="56"/>
      <c r="AR17" s="56"/>
      <c r="AS17" s="56"/>
      <c r="AT17" s="56"/>
      <c r="AU17" s="104"/>
      <c r="AV17" s="104"/>
      <c r="AX17" s="90"/>
      <c r="AY17" s="91"/>
      <c r="AZ17" s="24">
        <f t="shared" si="6"/>
        <v>0</v>
      </c>
      <c r="BA17" s="92">
        <v>0</v>
      </c>
      <c r="BB17" s="93"/>
      <c r="BC17" s="94">
        <f t="shared" si="7"/>
        <v>0</v>
      </c>
      <c r="BD17" s="96">
        <f t="shared" si="10"/>
        <v>4</v>
      </c>
      <c r="BE17" s="96" t="str">
        <f t="shared" si="8"/>
        <v/>
      </c>
      <c r="BF17" s="96" t="str">
        <f t="shared" si="9"/>
        <v/>
      </c>
      <c r="BG17" s="96"/>
      <c r="BH17" s="96"/>
    </row>
    <row r="18" spans="1:60" ht="15.75" customHeight="1">
      <c r="A18" s="77" t="str">
        <f t="shared" si="0"/>
        <v>sABCD0001@hkmu.edu.hk</v>
      </c>
      <c r="B18" s="3" t="str">
        <f t="shared" si="1"/>
        <v>D0001</v>
      </c>
      <c r="C18" s="3" t="str">
        <f t="shared" si="2"/>
        <v>a1</v>
      </c>
      <c r="D18" s="29">
        <f t="shared" si="3"/>
        <v>44567000018</v>
      </c>
      <c r="E18" s="4">
        <f t="shared" si="4"/>
        <v>44567</v>
      </c>
      <c r="F18" s="105">
        <f>'Form Responses'!A9</f>
        <v>44567.463622685187</v>
      </c>
      <c r="G18" s="79" t="str">
        <f>'Form Responses'!B9</f>
        <v>BUY (LONG)</v>
      </c>
      <c r="H18" s="99" t="str">
        <f>'Form Responses'!C9</f>
        <v>MC.PA</v>
      </c>
      <c r="I18" s="102" t="str">
        <f>'Form Responses'!D9</f>
        <v>Stock</v>
      </c>
      <c r="J18" s="82">
        <f>'Form Responses'!E9</f>
        <v>12</v>
      </c>
      <c r="K18" s="103">
        <f>'Form Responses'!F9</f>
        <v>0</v>
      </c>
      <c r="L18" s="56">
        <f>'Form Responses'!G9</f>
        <v>0</v>
      </c>
      <c r="M18" s="104">
        <f>'Form Responses'!H9</f>
        <v>0</v>
      </c>
      <c r="N18" s="82">
        <f>'Form Responses'!I9</f>
        <v>740</v>
      </c>
      <c r="O18" s="82" t="str">
        <f>'Form Responses'!J9</f>
        <v>a1</v>
      </c>
      <c r="P18" s="86" t="str">
        <f>'Form Responses'!K9</f>
        <v>sABCD0001@hkmu.edu.hk</v>
      </c>
      <c r="Q18" s="43"/>
      <c r="T18" s="87">
        <f t="shared" si="5"/>
        <v>44567</v>
      </c>
      <c r="U18" s="102"/>
      <c r="V18" s="81" t="s">
        <v>37</v>
      </c>
      <c r="W18" s="100" t="s">
        <v>36</v>
      </c>
      <c r="X18" s="82">
        <v>673.7</v>
      </c>
      <c r="Y18" s="82">
        <v>687.9</v>
      </c>
      <c r="Z18" s="82">
        <v>671.7</v>
      </c>
      <c r="AA18" s="82">
        <v>667</v>
      </c>
      <c r="AB18" s="82">
        <v>439855</v>
      </c>
      <c r="AC18" s="103"/>
      <c r="AD18" s="103"/>
      <c r="AE18" s="103"/>
      <c r="AF18" s="103"/>
      <c r="AG18" s="103"/>
      <c r="AH18" s="103"/>
      <c r="AI18" s="103"/>
      <c r="AJ18" s="103"/>
      <c r="AK18" s="103"/>
      <c r="AL18" s="56"/>
      <c r="AM18" s="56"/>
      <c r="AN18" s="56"/>
      <c r="AO18" s="56"/>
      <c r="AP18" s="56"/>
      <c r="AQ18" s="56"/>
      <c r="AR18" s="56"/>
      <c r="AS18" s="56"/>
      <c r="AT18" s="56"/>
      <c r="AU18" s="104"/>
      <c r="AV18" s="104"/>
      <c r="AX18" s="90"/>
      <c r="AY18" s="91"/>
      <c r="AZ18" s="24">
        <f t="shared" si="6"/>
        <v>0</v>
      </c>
      <c r="BA18" s="92">
        <v>0</v>
      </c>
      <c r="BB18" s="93"/>
      <c r="BC18" s="94">
        <f t="shared" si="7"/>
        <v>0</v>
      </c>
      <c r="BD18" s="96">
        <f t="shared" si="10"/>
        <v>4</v>
      </c>
      <c r="BE18" s="96" t="str">
        <f t="shared" si="8"/>
        <v/>
      </c>
      <c r="BF18" s="96" t="str">
        <f t="shared" si="9"/>
        <v/>
      </c>
      <c r="BG18" s="96"/>
      <c r="BH18" s="96"/>
    </row>
    <row r="19" spans="1:60" ht="15.75" customHeight="1">
      <c r="A19" s="77" t="str">
        <f t="shared" si="0"/>
        <v>sABCD0001@hkmu.edu.hk</v>
      </c>
      <c r="B19" s="3" t="str">
        <f t="shared" si="1"/>
        <v>D0001</v>
      </c>
      <c r="C19" s="3" t="str">
        <f t="shared" si="2"/>
        <v>a1</v>
      </c>
      <c r="D19" s="29">
        <f t="shared" si="3"/>
        <v>44567000019</v>
      </c>
      <c r="E19" s="4">
        <f t="shared" si="4"/>
        <v>44567</v>
      </c>
      <c r="F19" s="105">
        <f>'Form Responses'!A10</f>
        <v>44567.463622685187</v>
      </c>
      <c r="G19" s="79" t="str">
        <f>'Form Responses'!B10</f>
        <v>SELL (SHORT)</v>
      </c>
      <c r="H19" s="99" t="str">
        <f>'Form Responses'!C10</f>
        <v>MC.PA</v>
      </c>
      <c r="I19" s="102" t="str">
        <f>'Form Responses'!D10</f>
        <v>Stock</v>
      </c>
      <c r="J19" s="82">
        <f>'Form Responses'!E10</f>
        <v>1</v>
      </c>
      <c r="K19" s="103">
        <f>'Form Responses'!F10</f>
        <v>0</v>
      </c>
      <c r="L19" s="56">
        <f>'Form Responses'!G10</f>
        <v>0</v>
      </c>
      <c r="M19" s="104">
        <f>'Form Responses'!H10</f>
        <v>0</v>
      </c>
      <c r="N19" s="82">
        <f>'Form Responses'!I10</f>
        <v>740</v>
      </c>
      <c r="O19" s="82" t="str">
        <f>'Form Responses'!J10</f>
        <v>a1</v>
      </c>
      <c r="P19" s="86" t="str">
        <f>'Form Responses'!K10</f>
        <v>sABCD0001@hkmu.edu.hk</v>
      </c>
      <c r="Q19" s="43" t="s">
        <v>154</v>
      </c>
      <c r="T19" s="87">
        <f t="shared" si="5"/>
        <v>44567</v>
      </c>
      <c r="U19" s="102"/>
      <c r="V19" s="81" t="s">
        <v>37</v>
      </c>
      <c r="W19" s="100" t="s">
        <v>36</v>
      </c>
      <c r="X19" s="82">
        <v>673.7</v>
      </c>
      <c r="Y19" s="82">
        <v>687.9</v>
      </c>
      <c r="Z19" s="82">
        <v>671.7</v>
      </c>
      <c r="AA19" s="82">
        <v>667</v>
      </c>
      <c r="AB19" s="82">
        <v>439855</v>
      </c>
      <c r="AC19" s="103"/>
      <c r="AD19" s="103"/>
      <c r="AE19" s="103"/>
      <c r="AF19" s="103"/>
      <c r="AG19" s="103"/>
      <c r="AH19" s="103"/>
      <c r="AI19" s="103"/>
      <c r="AJ19" s="103"/>
      <c r="AK19" s="103"/>
      <c r="AL19" s="56"/>
      <c r="AM19" s="56"/>
      <c r="AN19" s="56"/>
      <c r="AO19" s="56"/>
      <c r="AP19" s="56"/>
      <c r="AQ19" s="56"/>
      <c r="AR19" s="56"/>
      <c r="AS19" s="56"/>
      <c r="AT19" s="56"/>
      <c r="AU19" s="104"/>
      <c r="AV19" s="104"/>
      <c r="AX19" s="90"/>
      <c r="AY19" s="91"/>
      <c r="AZ19" s="24">
        <f t="shared" si="6"/>
        <v>0</v>
      </c>
      <c r="BA19" s="92">
        <v>0</v>
      </c>
      <c r="BB19" s="93"/>
      <c r="BC19" s="94">
        <f t="shared" si="7"/>
        <v>0</v>
      </c>
      <c r="BD19" s="96">
        <f t="shared" si="10"/>
        <v>4</v>
      </c>
      <c r="BE19" s="96" t="str">
        <f t="shared" si="8"/>
        <v/>
      </c>
      <c r="BF19" s="96" t="str">
        <f t="shared" si="9"/>
        <v/>
      </c>
      <c r="BG19" s="96"/>
      <c r="BH19" s="96"/>
    </row>
    <row r="20" spans="1:60" ht="15.75" customHeight="1">
      <c r="A20" s="77" t="str">
        <f t="shared" si="0"/>
        <v>sABCD0001@hkmu.edu.hk</v>
      </c>
      <c r="B20" s="3" t="str">
        <f t="shared" si="1"/>
        <v>D0001</v>
      </c>
      <c r="C20" s="3" t="str">
        <f t="shared" si="2"/>
        <v>a1</v>
      </c>
      <c r="D20" s="29">
        <f t="shared" si="3"/>
        <v>44567000020</v>
      </c>
      <c r="E20" s="4">
        <f t="shared" si="4"/>
        <v>44567</v>
      </c>
      <c r="F20" s="105">
        <f>'Form Responses'!A11</f>
        <v>44567.463622685187</v>
      </c>
      <c r="G20" s="79" t="str">
        <f>'Form Responses'!B11</f>
        <v>BUY (LONG)</v>
      </c>
      <c r="H20" s="99" t="str">
        <f>'Form Responses'!C11</f>
        <v>MC.PA</v>
      </c>
      <c r="I20" s="102" t="str">
        <f>'Form Responses'!D11</f>
        <v>Stock</v>
      </c>
      <c r="J20" s="82">
        <f>'Form Responses'!E11</f>
        <v>3</v>
      </c>
      <c r="K20" s="103">
        <f>'Form Responses'!F11</f>
        <v>0</v>
      </c>
      <c r="L20" s="56">
        <f>'Form Responses'!G11</f>
        <v>0</v>
      </c>
      <c r="M20" s="104">
        <f>'Form Responses'!H11</f>
        <v>0</v>
      </c>
      <c r="N20" s="82">
        <f>'Form Responses'!I11</f>
        <v>740</v>
      </c>
      <c r="O20" s="82" t="str">
        <f>'Form Responses'!J11</f>
        <v>a1</v>
      </c>
      <c r="P20" s="86" t="str">
        <f>'Form Responses'!K11</f>
        <v>sABCD0001@hkmu.edu.hk</v>
      </c>
      <c r="Q20" s="43" t="s">
        <v>155</v>
      </c>
      <c r="T20" s="87">
        <f t="shared" si="5"/>
        <v>44567</v>
      </c>
      <c r="U20" s="79"/>
      <c r="V20" s="81" t="s">
        <v>37</v>
      </c>
      <c r="W20" s="100" t="s">
        <v>36</v>
      </c>
      <c r="X20" s="82">
        <v>673.7</v>
      </c>
      <c r="Y20" s="82">
        <v>687.9</v>
      </c>
      <c r="Z20" s="82">
        <v>671.7</v>
      </c>
      <c r="AA20" s="82">
        <v>667</v>
      </c>
      <c r="AB20" s="82">
        <v>439855</v>
      </c>
      <c r="AC20" s="83"/>
      <c r="AD20" s="83"/>
      <c r="AE20" s="83"/>
      <c r="AF20" s="83"/>
      <c r="AG20" s="83"/>
      <c r="AH20" s="83"/>
      <c r="AI20" s="83"/>
      <c r="AJ20" s="83"/>
      <c r="AK20" s="83"/>
      <c r="AL20" s="84"/>
      <c r="AM20" s="84"/>
      <c r="AN20" s="84"/>
      <c r="AO20" s="84"/>
      <c r="AP20" s="84"/>
      <c r="AQ20" s="84"/>
      <c r="AR20" s="84"/>
      <c r="AS20" s="84"/>
      <c r="AT20" s="84"/>
      <c r="AU20" s="89"/>
      <c r="AV20" s="89"/>
      <c r="AX20" s="90"/>
      <c r="AY20" s="91"/>
      <c r="AZ20" s="24">
        <f t="shared" si="6"/>
        <v>0</v>
      </c>
      <c r="BA20" s="92">
        <v>0</v>
      </c>
      <c r="BB20" s="93"/>
      <c r="BC20" s="94">
        <f t="shared" si="7"/>
        <v>0</v>
      </c>
      <c r="BD20" s="96">
        <f t="shared" si="10"/>
        <v>4</v>
      </c>
      <c r="BE20" s="96" t="str">
        <f t="shared" si="8"/>
        <v/>
      </c>
      <c r="BF20" s="96" t="str">
        <f t="shared" si="9"/>
        <v/>
      </c>
      <c r="BG20" s="96"/>
      <c r="BH20" s="96"/>
    </row>
    <row r="21" spans="1:60" ht="15.75" customHeight="1">
      <c r="A21" s="77" t="str">
        <f t="shared" si="0"/>
        <v>sABCD0001@hkmu.edu.hk</v>
      </c>
      <c r="B21" s="3" t="str">
        <f t="shared" si="1"/>
        <v>D0001</v>
      </c>
      <c r="C21" s="3" t="str">
        <f t="shared" si="2"/>
        <v>a1</v>
      </c>
      <c r="D21" s="29">
        <f t="shared" si="3"/>
        <v>44568000021</v>
      </c>
      <c r="E21" s="4">
        <f t="shared" si="4"/>
        <v>44568</v>
      </c>
      <c r="F21" s="105">
        <f>'Form Responses'!A12</f>
        <v>44568.463622685187</v>
      </c>
      <c r="G21" s="79" t="str">
        <f>'Form Responses'!B12</f>
        <v>SELL (SHORT)</v>
      </c>
      <c r="H21" s="106" t="str">
        <f>'Form Responses'!C12</f>
        <v>MC.PA</v>
      </c>
      <c r="I21" s="102" t="str">
        <f>'Form Responses'!D12</f>
        <v>Stock</v>
      </c>
      <c r="J21" s="88">
        <f>'Form Responses'!E12</f>
        <v>13</v>
      </c>
      <c r="K21" s="103">
        <f>'Form Responses'!F12</f>
        <v>0</v>
      </c>
      <c r="L21" s="56">
        <f>'Form Responses'!G12</f>
        <v>0</v>
      </c>
      <c r="M21" s="104">
        <f>'Form Responses'!H12</f>
        <v>0</v>
      </c>
      <c r="N21" s="82">
        <f>'Form Responses'!I12</f>
        <v>720</v>
      </c>
      <c r="O21" s="82" t="str">
        <f>'Form Responses'!J12</f>
        <v>a1</v>
      </c>
      <c r="P21" s="86" t="str">
        <f>'Form Responses'!K12</f>
        <v>sABCD0001@hkmu.edu.hk</v>
      </c>
      <c r="Q21" s="43"/>
      <c r="T21" s="87">
        <f t="shared" si="5"/>
        <v>44568</v>
      </c>
      <c r="U21" s="79"/>
      <c r="V21" s="81" t="s">
        <v>37</v>
      </c>
      <c r="W21" s="100" t="s">
        <v>36</v>
      </c>
      <c r="X21" s="82">
        <v>673.7</v>
      </c>
      <c r="Y21" s="82">
        <v>687.9</v>
      </c>
      <c r="Z21" s="82">
        <v>671.7</v>
      </c>
      <c r="AA21" s="82">
        <v>667</v>
      </c>
      <c r="AB21" s="82">
        <v>439855</v>
      </c>
      <c r="AC21" s="83"/>
      <c r="AD21" s="83"/>
      <c r="AE21" s="83"/>
      <c r="AF21" s="83"/>
      <c r="AG21" s="83"/>
      <c r="AH21" s="83"/>
      <c r="AI21" s="83"/>
      <c r="AJ21" s="83"/>
      <c r="AK21" s="83"/>
      <c r="AL21" s="84"/>
      <c r="AM21" s="84"/>
      <c r="AN21" s="84"/>
      <c r="AO21" s="84"/>
      <c r="AP21" s="84"/>
      <c r="AQ21" s="84"/>
      <c r="AR21" s="84"/>
      <c r="AS21" s="84"/>
      <c r="AT21" s="84"/>
      <c r="AU21" s="89"/>
      <c r="AV21" s="89"/>
      <c r="AX21" s="90"/>
      <c r="AY21" s="91"/>
      <c r="AZ21" s="24">
        <f t="shared" si="6"/>
        <v>0</v>
      </c>
      <c r="BA21" s="92">
        <v>0</v>
      </c>
      <c r="BB21" s="93"/>
      <c r="BC21" s="94">
        <f t="shared" si="7"/>
        <v>0</v>
      </c>
      <c r="BD21" s="96">
        <f t="shared" si="10"/>
        <v>4</v>
      </c>
      <c r="BE21" s="96" t="str">
        <f t="shared" si="8"/>
        <v/>
      </c>
      <c r="BF21" s="96" t="str">
        <f t="shared" si="9"/>
        <v/>
      </c>
      <c r="BG21" s="96"/>
      <c r="BH21" s="96"/>
    </row>
    <row r="22" spans="1:60" ht="15.75" customHeight="1">
      <c r="A22" s="77" t="str">
        <f t="shared" si="0"/>
        <v>sABCD0001@hkmu.edu.hk</v>
      </c>
      <c r="B22" s="3" t="str">
        <f t="shared" si="1"/>
        <v>D0001</v>
      </c>
      <c r="C22" s="3" t="str">
        <f t="shared" si="2"/>
        <v>a1</v>
      </c>
      <c r="D22" s="29">
        <f t="shared" si="3"/>
        <v>44569000022</v>
      </c>
      <c r="E22" s="4">
        <f t="shared" si="4"/>
        <v>44569</v>
      </c>
      <c r="F22" s="105">
        <f>'Form Responses'!A13</f>
        <v>44569.463622685187</v>
      </c>
      <c r="G22" s="79" t="str">
        <f>'Form Responses'!B13</f>
        <v>SELL (SHORT)</v>
      </c>
      <c r="H22" s="99" t="str">
        <f>'Form Responses'!C13</f>
        <v>MC.PA</v>
      </c>
      <c r="I22" s="102" t="str">
        <f>'Form Responses'!D13</f>
        <v>Stock</v>
      </c>
      <c r="J22" s="88">
        <f>'Form Responses'!E13</f>
        <v>51</v>
      </c>
      <c r="K22" s="103">
        <f>'Form Responses'!F13</f>
        <v>0</v>
      </c>
      <c r="L22" s="56">
        <f>'Form Responses'!G13</f>
        <v>0</v>
      </c>
      <c r="M22" s="104">
        <f>'Form Responses'!H13</f>
        <v>0</v>
      </c>
      <c r="N22" s="82">
        <f>'Form Responses'!I13</f>
        <v>720</v>
      </c>
      <c r="O22" s="82" t="str">
        <f>'Form Responses'!J13</f>
        <v>a1</v>
      </c>
      <c r="P22" s="86" t="str">
        <f>'Form Responses'!K13</f>
        <v>sABCD0001@hkmu.edu.hk</v>
      </c>
      <c r="Q22" s="43" t="s">
        <v>156</v>
      </c>
      <c r="T22" s="87">
        <f t="shared" si="5"/>
        <v>44569</v>
      </c>
      <c r="U22" s="102"/>
      <c r="V22" s="81" t="s">
        <v>37</v>
      </c>
      <c r="W22" s="100" t="s">
        <v>36</v>
      </c>
      <c r="X22" s="82">
        <v>673.7</v>
      </c>
      <c r="Y22" s="82">
        <v>687.9</v>
      </c>
      <c r="Z22" s="82">
        <v>671.7</v>
      </c>
      <c r="AA22" s="82">
        <v>667</v>
      </c>
      <c r="AB22" s="82">
        <v>439855</v>
      </c>
      <c r="AC22" s="103"/>
      <c r="AD22" s="103"/>
      <c r="AE22" s="103"/>
      <c r="AF22" s="103"/>
      <c r="AG22" s="103"/>
      <c r="AH22" s="103"/>
      <c r="AI22" s="103"/>
      <c r="AJ22" s="103"/>
      <c r="AK22" s="103"/>
      <c r="AL22" s="56"/>
      <c r="AM22" s="56"/>
      <c r="AN22" s="56"/>
      <c r="AO22" s="56"/>
      <c r="AP22" s="56"/>
      <c r="AQ22" s="56"/>
      <c r="AR22" s="56"/>
      <c r="AS22" s="56"/>
      <c r="AT22" s="56"/>
      <c r="AU22" s="104"/>
      <c r="AV22" s="104"/>
      <c r="AX22" s="90"/>
      <c r="AY22" s="91"/>
      <c r="AZ22" s="24">
        <f t="shared" si="6"/>
        <v>0</v>
      </c>
      <c r="BA22" s="92">
        <v>0</v>
      </c>
      <c r="BB22" s="93"/>
      <c r="BC22" s="94">
        <f t="shared" si="7"/>
        <v>0</v>
      </c>
      <c r="BD22" s="96">
        <f t="shared" si="10"/>
        <v>4</v>
      </c>
      <c r="BE22" s="96" t="str">
        <f t="shared" si="8"/>
        <v/>
      </c>
      <c r="BF22" s="96" t="str">
        <f t="shared" si="9"/>
        <v/>
      </c>
      <c r="BG22" s="96"/>
      <c r="BH22" s="96"/>
    </row>
    <row r="23" spans="1:60" ht="15.75" customHeight="1">
      <c r="A23" s="77" t="str">
        <f t="shared" si="0"/>
        <v>sABCD0001@hkmu.edu.hk</v>
      </c>
      <c r="B23" s="3" t="str">
        <f t="shared" si="1"/>
        <v>D0001</v>
      </c>
      <c r="C23" s="3" t="str">
        <f t="shared" si="2"/>
        <v>a1</v>
      </c>
      <c r="D23" s="29">
        <f t="shared" si="3"/>
        <v>44570000023</v>
      </c>
      <c r="E23" s="4">
        <f t="shared" si="4"/>
        <v>44570</v>
      </c>
      <c r="F23" s="105">
        <f>'Form Responses'!A14</f>
        <v>44570.463622685187</v>
      </c>
      <c r="G23" s="79" t="str">
        <f>'Form Responses'!B14</f>
        <v>SELL (SHORT)</v>
      </c>
      <c r="H23" s="106" t="str">
        <f>'Form Responses'!C14</f>
        <v>0700.HK</v>
      </c>
      <c r="I23" s="102" t="str">
        <f>'Form Responses'!D14</f>
        <v>Stock</v>
      </c>
      <c r="J23" s="88">
        <f>'Form Responses'!E14</f>
        <v>15</v>
      </c>
      <c r="K23" s="103">
        <f>'Form Responses'!F14</f>
        <v>0</v>
      </c>
      <c r="L23" s="56">
        <f>'Form Responses'!G14</f>
        <v>0</v>
      </c>
      <c r="M23" s="104">
        <f>'Form Responses'!H14</f>
        <v>0</v>
      </c>
      <c r="N23" s="82">
        <f>'Form Responses'!I14</f>
        <v>445</v>
      </c>
      <c r="O23" s="82" t="str">
        <f>'Form Responses'!J14</f>
        <v>a1</v>
      </c>
      <c r="P23" s="86" t="str">
        <f>'Form Responses'!K14</f>
        <v>sABCD0001@hkmu.edu.hk</v>
      </c>
      <c r="Q23" s="43"/>
      <c r="T23" s="87">
        <f t="shared" si="5"/>
        <v>44570</v>
      </c>
      <c r="U23" s="102"/>
      <c r="V23" s="81" t="s">
        <v>39</v>
      </c>
      <c r="W23" s="100" t="s">
        <v>38</v>
      </c>
      <c r="X23" s="82">
        <v>465</v>
      </c>
      <c r="Y23" s="82">
        <v>467</v>
      </c>
      <c r="Z23" s="82">
        <v>457.8</v>
      </c>
      <c r="AA23" s="82">
        <v>473.6</v>
      </c>
      <c r="AB23" s="82">
        <v>16061367</v>
      </c>
      <c r="AC23" s="103"/>
      <c r="AD23" s="103"/>
      <c r="AE23" s="103"/>
      <c r="AF23" s="103"/>
      <c r="AG23" s="103"/>
      <c r="AH23" s="103"/>
      <c r="AI23" s="103"/>
      <c r="AJ23" s="103"/>
      <c r="AK23" s="103"/>
      <c r="AL23" s="56"/>
      <c r="AM23" s="56"/>
      <c r="AN23" s="56"/>
      <c r="AO23" s="56"/>
      <c r="AP23" s="56"/>
      <c r="AQ23" s="56"/>
      <c r="AR23" s="56"/>
      <c r="AS23" s="56"/>
      <c r="AT23" s="56"/>
      <c r="AU23" s="104"/>
      <c r="AV23" s="104"/>
      <c r="AX23" s="90"/>
      <c r="AY23" s="91"/>
      <c r="AZ23" s="24">
        <f t="shared" si="6"/>
        <v>0</v>
      </c>
      <c r="BA23" s="92">
        <v>0</v>
      </c>
      <c r="BB23" s="93"/>
      <c r="BC23" s="94">
        <f t="shared" si="7"/>
        <v>0</v>
      </c>
      <c r="BD23" s="96">
        <f t="shared" si="10"/>
        <v>4</v>
      </c>
      <c r="BE23" s="96" t="str">
        <f t="shared" si="8"/>
        <v/>
      </c>
      <c r="BF23" s="96" t="str">
        <f t="shared" si="9"/>
        <v/>
      </c>
      <c r="BG23" s="96"/>
      <c r="BH23" s="96"/>
    </row>
    <row r="24" spans="1:60" ht="15.75" customHeight="1">
      <c r="A24" s="77" t="str">
        <f t="shared" si="0"/>
        <v>sABCD0002@hkmu.edu.hk</v>
      </c>
      <c r="B24" s="3" t="str">
        <f t="shared" si="1"/>
        <v>D0002</v>
      </c>
      <c r="C24" s="3" t="str">
        <f t="shared" si="2"/>
        <v>a2</v>
      </c>
      <c r="D24" s="29">
        <f t="shared" si="3"/>
        <v>44571000024</v>
      </c>
      <c r="E24" s="4">
        <f t="shared" si="4"/>
        <v>44571</v>
      </c>
      <c r="F24" s="105">
        <f>'Form Responses'!A15</f>
        <v>44571.463622685187</v>
      </c>
      <c r="G24" s="79" t="str">
        <f>'Form Responses'!B15</f>
        <v>SELL (SHORT)</v>
      </c>
      <c r="H24" s="99" t="str">
        <f>'Form Responses'!C15</f>
        <v>0700.HK</v>
      </c>
      <c r="I24" s="102" t="str">
        <f>'Form Responses'!D15</f>
        <v>Stock</v>
      </c>
      <c r="J24" s="82">
        <f>'Form Responses'!E15</f>
        <v>1500</v>
      </c>
      <c r="K24" s="103">
        <f>'Form Responses'!F15</f>
        <v>0</v>
      </c>
      <c r="L24" s="56">
        <f>'Form Responses'!G15</f>
        <v>0</v>
      </c>
      <c r="M24" s="104">
        <f>'Form Responses'!H15</f>
        <v>0</v>
      </c>
      <c r="N24" s="82">
        <f>'Form Responses'!I15</f>
        <v>445</v>
      </c>
      <c r="O24" s="82" t="str">
        <f>'Form Responses'!J15</f>
        <v>a2</v>
      </c>
      <c r="P24" s="86" t="str">
        <f>'Form Responses'!K15</f>
        <v>sABCD0002@hkmu.edu.hk</v>
      </c>
      <c r="Q24" s="43"/>
      <c r="T24" s="87">
        <f t="shared" si="5"/>
        <v>44571</v>
      </c>
      <c r="U24" s="102"/>
      <c r="V24" s="81" t="s">
        <v>39</v>
      </c>
      <c r="W24" s="100" t="s">
        <v>38</v>
      </c>
      <c r="X24" s="82">
        <v>465</v>
      </c>
      <c r="Y24" s="82">
        <v>467</v>
      </c>
      <c r="Z24" s="82">
        <v>457.8</v>
      </c>
      <c r="AA24" s="82">
        <v>473.6</v>
      </c>
      <c r="AB24" s="82">
        <v>16061367</v>
      </c>
      <c r="AC24" s="103"/>
      <c r="AD24" s="103"/>
      <c r="AE24" s="103"/>
      <c r="AF24" s="103"/>
      <c r="AG24" s="103"/>
      <c r="AH24" s="103"/>
      <c r="AI24" s="103"/>
      <c r="AJ24" s="103"/>
      <c r="AK24" s="103"/>
      <c r="AL24" s="56"/>
      <c r="AM24" s="56"/>
      <c r="AN24" s="56"/>
      <c r="AO24" s="56"/>
      <c r="AP24" s="56"/>
      <c r="AQ24" s="56"/>
      <c r="AR24" s="56"/>
      <c r="AS24" s="56"/>
      <c r="AT24" s="56"/>
      <c r="AU24" s="104"/>
      <c r="AV24" s="104"/>
      <c r="AX24" s="90"/>
      <c r="AY24" s="91"/>
      <c r="AZ24" s="24">
        <f t="shared" si="6"/>
        <v>0</v>
      </c>
      <c r="BA24" s="92">
        <v>0</v>
      </c>
      <c r="BB24" s="93"/>
      <c r="BC24" s="94">
        <f t="shared" si="7"/>
        <v>0</v>
      </c>
      <c r="BD24" s="96">
        <f t="shared" si="10"/>
        <v>4</v>
      </c>
      <c r="BE24" s="96" t="str">
        <f t="shared" si="8"/>
        <v/>
      </c>
      <c r="BF24" s="96" t="str">
        <f t="shared" si="9"/>
        <v/>
      </c>
      <c r="BG24" s="96"/>
      <c r="BH24" s="96"/>
    </row>
    <row r="25" spans="1:60" ht="15.75" customHeight="1">
      <c r="A25" s="77" t="str">
        <f t="shared" si="0"/>
        <v>sABCD0002@hkmu.edu.hk</v>
      </c>
      <c r="B25" s="3" t="str">
        <f t="shared" si="1"/>
        <v>D0002</v>
      </c>
      <c r="C25" s="3" t="str">
        <f t="shared" si="2"/>
        <v>a2</v>
      </c>
      <c r="D25" s="29">
        <f t="shared" si="3"/>
        <v>44563000025</v>
      </c>
      <c r="E25" s="4">
        <f t="shared" si="4"/>
        <v>44563</v>
      </c>
      <c r="F25" s="105">
        <f>'Form Responses'!A16</f>
        <v>44563</v>
      </c>
      <c r="G25" s="79" t="str">
        <f>'Form Responses'!B16</f>
        <v>BUY (LONG)</v>
      </c>
      <c r="H25" s="99" t="str">
        <f>'Form Responses'!C16</f>
        <v>600519.SS</v>
      </c>
      <c r="I25" s="102" t="str">
        <f>'Form Responses'!D16</f>
        <v>Stock</v>
      </c>
      <c r="J25" s="88">
        <f>'Form Responses'!E16</f>
        <v>20</v>
      </c>
      <c r="K25" s="103">
        <f>'Form Responses'!F16</f>
        <v>0</v>
      </c>
      <c r="L25" s="56">
        <f>'Form Responses'!G16</f>
        <v>0</v>
      </c>
      <c r="M25" s="104">
        <f>'Form Responses'!H16</f>
        <v>0</v>
      </c>
      <c r="N25" s="82">
        <f>'Form Responses'!I16</f>
        <v>2030</v>
      </c>
      <c r="O25" s="82" t="str">
        <f>'Form Responses'!J16</f>
        <v>a2</v>
      </c>
      <c r="P25" s="86" t="str">
        <f>'Form Responses'!K16</f>
        <v>sABCD0002@hkmu.edu.hk</v>
      </c>
      <c r="Q25" s="43"/>
      <c r="T25" s="87">
        <f t="shared" si="5"/>
        <v>44563</v>
      </c>
      <c r="U25" s="102"/>
      <c r="V25" s="81" t="s">
        <v>29</v>
      </c>
      <c r="W25" s="100" t="s">
        <v>40</v>
      </c>
      <c r="X25" s="82">
        <v>2001.01</v>
      </c>
      <c r="Y25" s="82">
        <v>2010.82</v>
      </c>
      <c r="Z25" s="82">
        <v>1952</v>
      </c>
      <c r="AA25" s="82">
        <v>1955</v>
      </c>
      <c r="AB25" s="82">
        <v>4266516</v>
      </c>
      <c r="AC25" s="103"/>
      <c r="AD25" s="103"/>
      <c r="AE25" s="103"/>
      <c r="AF25" s="103"/>
      <c r="AG25" s="103"/>
      <c r="AH25" s="103"/>
      <c r="AI25" s="103"/>
      <c r="AJ25" s="103"/>
      <c r="AK25" s="103"/>
      <c r="AL25" s="56"/>
      <c r="AM25" s="56"/>
      <c r="AN25" s="56"/>
      <c r="AO25" s="56"/>
      <c r="AP25" s="56"/>
      <c r="AQ25" s="56"/>
      <c r="AR25" s="56"/>
      <c r="AS25" s="56"/>
      <c r="AT25" s="56"/>
      <c r="AU25" s="104"/>
      <c r="AV25" s="104"/>
      <c r="AX25" s="90"/>
      <c r="AY25" s="91"/>
      <c r="AZ25" s="24">
        <f t="shared" si="6"/>
        <v>0</v>
      </c>
      <c r="BA25" s="92">
        <v>0</v>
      </c>
      <c r="BB25" s="93"/>
      <c r="BC25" s="94">
        <f t="shared" si="7"/>
        <v>0</v>
      </c>
      <c r="BD25" s="96">
        <f t="shared" si="10"/>
        <v>4</v>
      </c>
      <c r="BE25" s="96" t="str">
        <f t="shared" si="8"/>
        <v/>
      </c>
      <c r="BF25" s="96" t="str">
        <f t="shared" si="9"/>
        <v/>
      </c>
      <c r="BG25" s="96"/>
      <c r="BH25" s="96"/>
    </row>
    <row r="26" spans="1:60" ht="15.75" customHeight="1">
      <c r="A26" s="77" t="str">
        <f t="shared" si="0"/>
        <v>sABCD0002@hkmu.edu.hk</v>
      </c>
      <c r="B26" s="3" t="str">
        <f t="shared" si="1"/>
        <v>D0002</v>
      </c>
      <c r="C26" s="3" t="str">
        <f t="shared" si="2"/>
        <v>a2</v>
      </c>
      <c r="D26" s="29">
        <f t="shared" si="3"/>
        <v>44563000026</v>
      </c>
      <c r="E26" s="4">
        <f t="shared" si="4"/>
        <v>44563</v>
      </c>
      <c r="F26" s="105">
        <f>'Form Responses'!A17</f>
        <v>44563</v>
      </c>
      <c r="G26" s="79" t="str">
        <f>'Form Responses'!B17</f>
        <v>SELL (SHORT)</v>
      </c>
      <c r="H26" s="106" t="str">
        <f>'Form Responses'!C17</f>
        <v>0700.HK</v>
      </c>
      <c r="I26" s="102" t="str">
        <f>'Form Responses'!D17</f>
        <v>Stock</v>
      </c>
      <c r="J26" s="82">
        <f>'Form Responses'!E17</f>
        <v>5</v>
      </c>
      <c r="K26" s="103">
        <f>'Form Responses'!F17</f>
        <v>0</v>
      </c>
      <c r="L26" s="56">
        <f>'Form Responses'!G17</f>
        <v>0</v>
      </c>
      <c r="M26" s="104">
        <f>'Form Responses'!H17</f>
        <v>0</v>
      </c>
      <c r="N26" s="82">
        <f>'Form Responses'!I17</f>
        <v>460</v>
      </c>
      <c r="O26" s="82" t="str">
        <f>'Form Responses'!J17</f>
        <v>a2</v>
      </c>
      <c r="P26" s="86" t="str">
        <f>'Form Responses'!K17</f>
        <v>sABCD0002@hkmu.edu.hk</v>
      </c>
      <c r="Q26" s="43"/>
      <c r="T26" s="87">
        <f t="shared" si="5"/>
        <v>44563</v>
      </c>
      <c r="U26" s="102"/>
      <c r="V26" s="81" t="s">
        <v>39</v>
      </c>
      <c r="W26" s="100" t="s">
        <v>38</v>
      </c>
      <c r="X26" s="82">
        <v>465</v>
      </c>
      <c r="Y26" s="82">
        <v>467</v>
      </c>
      <c r="Z26" s="82">
        <v>457.8</v>
      </c>
      <c r="AA26" s="82">
        <v>473.6</v>
      </c>
      <c r="AB26" s="82">
        <v>16061367</v>
      </c>
      <c r="AC26" s="103"/>
      <c r="AD26" s="103"/>
      <c r="AE26" s="103"/>
      <c r="AF26" s="103"/>
      <c r="AG26" s="103"/>
      <c r="AH26" s="103"/>
      <c r="AI26" s="103"/>
      <c r="AJ26" s="103"/>
      <c r="AK26" s="103"/>
      <c r="AL26" s="56"/>
      <c r="AM26" s="56"/>
      <c r="AN26" s="56"/>
      <c r="AO26" s="56"/>
      <c r="AP26" s="56"/>
      <c r="AQ26" s="56"/>
      <c r="AR26" s="56"/>
      <c r="AS26" s="56"/>
      <c r="AT26" s="56"/>
      <c r="AU26" s="104"/>
      <c r="AV26" s="104"/>
      <c r="AX26" s="107"/>
      <c r="AY26" s="91"/>
      <c r="AZ26" s="24">
        <f t="shared" si="6"/>
        <v>0</v>
      </c>
      <c r="BA26" s="92">
        <v>0</v>
      </c>
      <c r="BB26" s="93"/>
      <c r="BC26" s="94">
        <f t="shared" si="7"/>
        <v>0</v>
      </c>
      <c r="BD26" s="96">
        <f t="shared" si="10"/>
        <v>4</v>
      </c>
      <c r="BE26" s="96" t="str">
        <f t="shared" si="8"/>
        <v/>
      </c>
      <c r="BF26" s="96" t="str">
        <f t="shared" si="9"/>
        <v/>
      </c>
      <c r="BG26" s="96"/>
      <c r="BH26" s="96"/>
    </row>
    <row r="27" spans="1:60" ht="15.75" customHeight="1">
      <c r="A27" s="77" t="str">
        <f t="shared" si="0"/>
        <v>sABCD0002@hkmu.edu.hk</v>
      </c>
      <c r="B27" s="3" t="str">
        <f t="shared" si="1"/>
        <v>D0002</v>
      </c>
      <c r="C27" s="3" t="str">
        <f t="shared" si="2"/>
        <v>a2</v>
      </c>
      <c r="D27" s="29">
        <f t="shared" si="3"/>
        <v>44564000027</v>
      </c>
      <c r="E27" s="4">
        <f t="shared" si="4"/>
        <v>44564</v>
      </c>
      <c r="F27" s="105">
        <f>'Form Responses'!A18</f>
        <v>44564</v>
      </c>
      <c r="G27" s="79" t="str">
        <f>'Form Responses'!B18</f>
        <v>SELL (SHORT)</v>
      </c>
      <c r="H27" s="99" t="str">
        <f>'Form Responses'!C18</f>
        <v>600519.SS</v>
      </c>
      <c r="I27" s="102" t="str">
        <f>'Form Responses'!D18</f>
        <v>Stock</v>
      </c>
      <c r="J27" s="82">
        <f>'Form Responses'!E18</f>
        <v>10</v>
      </c>
      <c r="K27" s="103">
        <f>'Form Responses'!F18</f>
        <v>0</v>
      </c>
      <c r="L27" s="56">
        <f>'Form Responses'!G18</f>
        <v>0</v>
      </c>
      <c r="M27" s="104">
        <f>'Form Responses'!H18</f>
        <v>0</v>
      </c>
      <c r="N27" s="82">
        <f>'Form Responses'!I18</f>
        <v>2050</v>
      </c>
      <c r="O27" s="82" t="str">
        <f>'Form Responses'!J18</f>
        <v>a2</v>
      </c>
      <c r="P27" s="86" t="str">
        <f>'Form Responses'!K18</f>
        <v>sABCD0002@hkmu.edu.hk</v>
      </c>
      <c r="Q27" s="43"/>
      <c r="T27" s="87">
        <f t="shared" si="5"/>
        <v>44564</v>
      </c>
      <c r="U27" s="102"/>
      <c r="V27" s="81" t="s">
        <v>29</v>
      </c>
      <c r="W27" s="100" t="s">
        <v>40</v>
      </c>
      <c r="X27" s="82">
        <v>2001.01</v>
      </c>
      <c r="Y27" s="82">
        <v>2010.82</v>
      </c>
      <c r="Z27" s="82">
        <v>1952</v>
      </c>
      <c r="AA27" s="82">
        <v>1955</v>
      </c>
      <c r="AB27" s="82">
        <v>4266516</v>
      </c>
      <c r="AC27" s="103"/>
      <c r="AD27" s="103"/>
      <c r="AE27" s="103"/>
      <c r="AF27" s="103"/>
      <c r="AG27" s="103"/>
      <c r="AH27" s="103"/>
      <c r="AI27" s="103"/>
      <c r="AJ27" s="103"/>
      <c r="AK27" s="103"/>
      <c r="AL27" s="56"/>
      <c r="AM27" s="56"/>
      <c r="AN27" s="56"/>
      <c r="AO27" s="56"/>
      <c r="AP27" s="56"/>
      <c r="AQ27" s="56"/>
      <c r="AR27" s="56"/>
      <c r="AS27" s="56"/>
      <c r="AT27" s="56"/>
      <c r="AU27" s="104"/>
      <c r="AV27" s="104"/>
      <c r="AX27" s="107"/>
      <c r="AY27" s="91"/>
      <c r="AZ27" s="24">
        <f t="shared" si="6"/>
        <v>0</v>
      </c>
      <c r="BA27" s="92">
        <v>0</v>
      </c>
      <c r="BB27" s="93"/>
      <c r="BC27" s="94">
        <f t="shared" si="7"/>
        <v>0</v>
      </c>
      <c r="BD27" s="96">
        <f t="shared" si="10"/>
        <v>4</v>
      </c>
      <c r="BE27" s="96" t="str">
        <f t="shared" si="8"/>
        <v/>
      </c>
      <c r="BF27" s="96" t="str">
        <f t="shared" si="9"/>
        <v/>
      </c>
      <c r="BG27" s="96"/>
      <c r="BH27" s="96"/>
    </row>
    <row r="28" spans="1:60" ht="15.75" customHeight="1">
      <c r="A28" s="77" t="str">
        <f t="shared" si="0"/>
        <v>sABCD0002@hkmu.edu.hk</v>
      </c>
      <c r="B28" s="3" t="str">
        <f t="shared" si="1"/>
        <v>D0002</v>
      </c>
      <c r="C28" s="3" t="str">
        <f t="shared" si="2"/>
        <v>a2</v>
      </c>
      <c r="D28" s="29">
        <f t="shared" si="3"/>
        <v>44564000028</v>
      </c>
      <c r="E28" s="4">
        <f t="shared" si="4"/>
        <v>44564</v>
      </c>
      <c r="F28" s="105">
        <f>'Form Responses'!A19</f>
        <v>44564</v>
      </c>
      <c r="G28" s="79" t="str">
        <f>'Form Responses'!B19</f>
        <v>BUY (LONG)</v>
      </c>
      <c r="H28" s="99" t="str">
        <f>'Form Responses'!C19</f>
        <v>0700.HK</v>
      </c>
      <c r="I28" s="79" t="str">
        <f>'Form Responses'!D19</f>
        <v>Stock</v>
      </c>
      <c r="J28" s="82">
        <f>'Form Responses'!E19</f>
        <v>15</v>
      </c>
      <c r="K28" s="83">
        <f>'Form Responses'!F19</f>
        <v>0</v>
      </c>
      <c r="L28" s="84">
        <f>'Form Responses'!G19</f>
        <v>0</v>
      </c>
      <c r="M28" s="89">
        <f>'Form Responses'!H19</f>
        <v>0</v>
      </c>
      <c r="N28" s="82">
        <f>'Form Responses'!I19</f>
        <v>460</v>
      </c>
      <c r="O28" s="82" t="str">
        <f>'Form Responses'!J19</f>
        <v>a2</v>
      </c>
      <c r="P28" s="86" t="str">
        <f>'Form Responses'!K19</f>
        <v>sABCD0002@hkmu.edu.hk</v>
      </c>
      <c r="Q28" s="43"/>
      <c r="T28" s="87">
        <f t="shared" si="5"/>
        <v>44564</v>
      </c>
      <c r="U28" s="102"/>
      <c r="V28" s="81" t="s">
        <v>39</v>
      </c>
      <c r="W28" s="100" t="s">
        <v>38</v>
      </c>
      <c r="X28" s="82">
        <v>465</v>
      </c>
      <c r="Y28" s="82">
        <v>467</v>
      </c>
      <c r="Z28" s="82">
        <v>457.8</v>
      </c>
      <c r="AA28" s="82">
        <v>473.6</v>
      </c>
      <c r="AB28" s="82">
        <v>16061367</v>
      </c>
      <c r="AC28" s="103"/>
      <c r="AD28" s="103"/>
      <c r="AE28" s="103"/>
      <c r="AF28" s="103"/>
      <c r="AG28" s="103"/>
      <c r="AH28" s="103"/>
      <c r="AI28" s="103"/>
      <c r="AJ28" s="103"/>
      <c r="AK28" s="103"/>
      <c r="AL28" s="56"/>
      <c r="AM28" s="56"/>
      <c r="AN28" s="56"/>
      <c r="AO28" s="56"/>
      <c r="AP28" s="56"/>
      <c r="AQ28" s="56"/>
      <c r="AR28" s="56"/>
      <c r="AS28" s="56"/>
      <c r="AT28" s="56"/>
      <c r="AU28" s="104"/>
      <c r="AV28" s="104"/>
      <c r="AX28" s="90"/>
      <c r="AY28" s="91"/>
      <c r="AZ28" s="24">
        <f t="shared" si="6"/>
        <v>0</v>
      </c>
      <c r="BA28" s="92">
        <v>0</v>
      </c>
      <c r="BB28" s="93"/>
      <c r="BC28" s="94">
        <f t="shared" si="7"/>
        <v>0</v>
      </c>
      <c r="BD28" s="96">
        <f t="shared" si="10"/>
        <v>4</v>
      </c>
      <c r="BE28" s="96" t="str">
        <f t="shared" si="8"/>
        <v/>
      </c>
      <c r="BF28" s="96" t="str">
        <f t="shared" si="9"/>
        <v/>
      </c>
      <c r="BG28" s="96"/>
      <c r="BH28" s="96"/>
    </row>
    <row r="29" spans="1:60" ht="15.75" customHeight="1">
      <c r="A29" s="77" t="str">
        <f t="shared" si="0"/>
        <v>sABCD0003@hkmu.edu.hk</v>
      </c>
      <c r="B29" s="3" t="str">
        <f t="shared" si="1"/>
        <v>D0003</v>
      </c>
      <c r="C29" s="3" t="str">
        <f t="shared" si="2"/>
        <v>a3</v>
      </c>
      <c r="D29" s="29">
        <f t="shared" si="3"/>
        <v>44562000029</v>
      </c>
      <c r="E29" s="4">
        <f t="shared" si="4"/>
        <v>44562</v>
      </c>
      <c r="F29" s="105">
        <f>'Form Responses'!A20</f>
        <v>44562</v>
      </c>
      <c r="G29" s="79" t="str">
        <f>'Form Responses'!B20</f>
        <v>BUY (LONG)</v>
      </c>
      <c r="H29" s="108" t="str">
        <f>'Form Responses'!C20</f>
        <v>3m</v>
      </c>
      <c r="I29" s="79" t="str">
        <f>'Form Responses'!D20</f>
        <v>TD</v>
      </c>
      <c r="J29" s="109">
        <f>'Form Responses'!E20</f>
        <v>0</v>
      </c>
      <c r="K29" s="83">
        <f>'Form Responses'!F20</f>
        <v>0</v>
      </c>
      <c r="L29" s="84">
        <f>'Form Responses'!G20</f>
        <v>0</v>
      </c>
      <c r="M29" s="89">
        <f>'Form Responses'!H20</f>
        <v>10000</v>
      </c>
      <c r="N29" s="82">
        <f>'Form Responses'!I20</f>
        <v>0</v>
      </c>
      <c r="O29" s="82" t="str">
        <f>'Form Responses'!J20</f>
        <v>a3</v>
      </c>
      <c r="P29" s="86" t="str">
        <f>'Form Responses'!K20</f>
        <v>sABCD0003@hkmu.edu.hk</v>
      </c>
      <c r="Q29" s="43"/>
      <c r="T29" s="87">
        <f t="shared" si="5"/>
        <v>44562</v>
      </c>
      <c r="U29" s="102"/>
      <c r="V29" s="81" t="s">
        <v>39</v>
      </c>
      <c r="W29" s="109"/>
      <c r="X29" s="109"/>
      <c r="Y29" s="109"/>
      <c r="Z29" s="109"/>
      <c r="AA29" s="109"/>
      <c r="AB29" s="109"/>
      <c r="AC29" s="103"/>
      <c r="AD29" s="103"/>
      <c r="AE29" s="103"/>
      <c r="AF29" s="103"/>
      <c r="AG29" s="103"/>
      <c r="AH29" s="103"/>
      <c r="AI29" s="103"/>
      <c r="AJ29" s="103"/>
      <c r="AK29" s="103"/>
      <c r="AL29" s="56"/>
      <c r="AM29" s="56"/>
      <c r="AN29" s="56"/>
      <c r="AO29" s="56"/>
      <c r="AP29" s="56"/>
      <c r="AQ29" s="56"/>
      <c r="AR29" s="56"/>
      <c r="AS29" s="56"/>
      <c r="AT29" s="56"/>
      <c r="AU29" s="104"/>
      <c r="AV29" s="104"/>
      <c r="AX29" s="107"/>
      <c r="AY29" s="91"/>
      <c r="AZ29" s="24">
        <f t="shared" si="6"/>
        <v>0</v>
      </c>
      <c r="BA29" s="92">
        <v>0</v>
      </c>
      <c r="BB29" s="93"/>
      <c r="BC29" s="94">
        <f t="shared" si="7"/>
        <v>0</v>
      </c>
      <c r="BD29" s="96">
        <f t="shared" si="10"/>
        <v>4</v>
      </c>
      <c r="BE29" s="96" t="str">
        <f t="shared" si="8"/>
        <v/>
      </c>
      <c r="BF29" s="96" t="str">
        <f t="shared" si="9"/>
        <v/>
      </c>
      <c r="BG29" s="96"/>
      <c r="BH29" s="96"/>
    </row>
    <row r="30" spans="1:60" ht="15.75" customHeight="1">
      <c r="A30" s="77" t="str">
        <f t="shared" si="0"/>
        <v>sABCD0003@hkmu.edu.hk</v>
      </c>
      <c r="B30" s="3" t="str">
        <f t="shared" si="1"/>
        <v>D0003</v>
      </c>
      <c r="C30" s="3" t="str">
        <f t="shared" si="2"/>
        <v>a3</v>
      </c>
      <c r="D30" s="29">
        <f t="shared" si="3"/>
        <v>44562000030</v>
      </c>
      <c r="E30" s="4">
        <f t="shared" si="4"/>
        <v>44562</v>
      </c>
      <c r="F30" s="105">
        <f>'Form Responses'!A21</f>
        <v>44562</v>
      </c>
      <c r="G30" s="79" t="str">
        <f>'Form Responses'!B21</f>
        <v>BUY (LONG)</v>
      </c>
      <c r="H30" s="108" t="str">
        <f>'Form Responses'!C21</f>
        <v>XS2106834299</v>
      </c>
      <c r="I30" s="102" t="str">
        <f>'Form Responses'!D21</f>
        <v>Bond</v>
      </c>
      <c r="J30" s="109">
        <f>'Form Responses'!E21</f>
        <v>0</v>
      </c>
      <c r="K30" s="103">
        <f>'Form Responses'!F21</f>
        <v>40</v>
      </c>
      <c r="L30" s="56">
        <f>'Form Responses'!G21</f>
        <v>0</v>
      </c>
      <c r="M30" s="104">
        <f>'Form Responses'!H21</f>
        <v>0</v>
      </c>
      <c r="N30" s="82">
        <f>'Form Responses'!I21</f>
        <v>25</v>
      </c>
      <c r="O30" s="82" t="str">
        <f>'Form Responses'!J21</f>
        <v>a3</v>
      </c>
      <c r="P30" s="86" t="str">
        <f>'Form Responses'!K21</f>
        <v>sABCD0003@hkmu.edu.hk</v>
      </c>
      <c r="Q30" s="43"/>
      <c r="T30" s="87">
        <f t="shared" si="5"/>
        <v>44562</v>
      </c>
      <c r="U30" s="102"/>
      <c r="V30" s="81" t="s">
        <v>41</v>
      </c>
      <c r="W30" s="82" t="s">
        <v>157</v>
      </c>
      <c r="X30" s="82" t="s">
        <v>157</v>
      </c>
      <c r="Y30" s="82" t="s">
        <v>157</v>
      </c>
      <c r="Z30" s="82" t="s">
        <v>157</v>
      </c>
      <c r="AA30" s="82" t="s">
        <v>157</v>
      </c>
      <c r="AB30" s="82" t="s">
        <v>157</v>
      </c>
      <c r="AC30" s="110" t="s">
        <v>158</v>
      </c>
      <c r="AD30" s="110">
        <v>10.79</v>
      </c>
      <c r="AE30" s="110">
        <v>13.21</v>
      </c>
      <c r="AF30" s="111">
        <v>0.115</v>
      </c>
      <c r="AG30" s="112">
        <v>44948</v>
      </c>
      <c r="AH30" s="110" t="s">
        <v>159</v>
      </c>
      <c r="AI30" s="110">
        <v>0.98499999999999999</v>
      </c>
      <c r="AJ30" s="110" t="s">
        <v>160</v>
      </c>
      <c r="AK30" s="110" t="s">
        <v>161</v>
      </c>
      <c r="AL30" s="56"/>
      <c r="AM30" s="56"/>
      <c r="AN30" s="56"/>
      <c r="AO30" s="56"/>
      <c r="AP30" s="56"/>
      <c r="AQ30" s="56"/>
      <c r="AR30" s="56"/>
      <c r="AS30" s="56"/>
      <c r="AT30" s="56"/>
      <c r="AU30" s="104"/>
      <c r="AV30" s="104"/>
      <c r="AX30" s="107"/>
      <c r="AY30" s="91"/>
      <c r="AZ30" s="24">
        <f t="shared" si="6"/>
        <v>0</v>
      </c>
      <c r="BA30" s="92">
        <v>0</v>
      </c>
      <c r="BB30" s="93"/>
      <c r="BC30" s="94">
        <f t="shared" si="7"/>
        <v>0</v>
      </c>
      <c r="BD30" s="96">
        <f t="shared" si="10"/>
        <v>5</v>
      </c>
      <c r="BE30" s="96">
        <f t="shared" si="8"/>
        <v>5</v>
      </c>
      <c r="BF30" s="96" t="str">
        <f t="shared" si="9"/>
        <v>XS2106834299</v>
      </c>
      <c r="BG30" s="96"/>
      <c r="BH30" s="96"/>
    </row>
    <row r="31" spans="1:60" ht="15.75" customHeight="1">
      <c r="A31" s="77" t="str">
        <f t="shared" si="0"/>
        <v>sABCD0003@hkmu.edu.hk</v>
      </c>
      <c r="B31" s="3" t="str">
        <f t="shared" si="1"/>
        <v>D0003</v>
      </c>
      <c r="C31" s="3" t="str">
        <f t="shared" si="2"/>
        <v>a3</v>
      </c>
      <c r="D31" s="29">
        <f t="shared" si="3"/>
        <v>44562000031</v>
      </c>
      <c r="E31" s="4">
        <f t="shared" si="4"/>
        <v>44562</v>
      </c>
      <c r="F31" s="105">
        <f>'Form Responses'!A22</f>
        <v>44562</v>
      </c>
      <c r="G31" s="79" t="str">
        <f>'Form Responses'!B22</f>
        <v>BUY (LONG)</v>
      </c>
      <c r="H31" s="108" t="str">
        <f>'Form Responses'!C22</f>
        <v>3m</v>
      </c>
      <c r="I31" s="102" t="str">
        <f>'Form Responses'!D22</f>
        <v>TD</v>
      </c>
      <c r="J31" s="113">
        <f>'Form Responses'!E22</f>
        <v>0</v>
      </c>
      <c r="K31" s="103">
        <f>'Form Responses'!F22</f>
        <v>0</v>
      </c>
      <c r="L31" s="56">
        <f>'Form Responses'!G22</f>
        <v>0</v>
      </c>
      <c r="M31" s="104">
        <f>'Form Responses'!H22</f>
        <v>20000</v>
      </c>
      <c r="N31" s="82">
        <f>'Form Responses'!I22</f>
        <v>0</v>
      </c>
      <c r="O31" s="82" t="str">
        <f>'Form Responses'!J22</f>
        <v>a3</v>
      </c>
      <c r="P31" s="86" t="str">
        <f>'Form Responses'!K22</f>
        <v>sABCD0003@hkmu.edu.hk</v>
      </c>
      <c r="Q31" s="43" t="s">
        <v>162</v>
      </c>
      <c r="T31" s="87">
        <f t="shared" si="5"/>
        <v>44562</v>
      </c>
      <c r="U31" s="102"/>
      <c r="V31" s="81" t="s">
        <v>39</v>
      </c>
      <c r="W31" s="109"/>
      <c r="X31" s="109"/>
      <c r="Y31" s="109"/>
      <c r="Z31" s="109"/>
      <c r="AA31" s="109"/>
      <c r="AB31" s="109"/>
      <c r="AC31" s="103"/>
      <c r="AD31" s="103"/>
      <c r="AE31" s="103"/>
      <c r="AF31" s="103"/>
      <c r="AG31" s="103"/>
      <c r="AH31" s="103"/>
      <c r="AI31" s="103"/>
      <c r="AJ31" s="103"/>
      <c r="AK31" s="103"/>
      <c r="AL31" s="56"/>
      <c r="AM31" s="56"/>
      <c r="AN31" s="56"/>
      <c r="AO31" s="56"/>
      <c r="AP31" s="56"/>
      <c r="AQ31" s="56"/>
      <c r="AR31" s="56"/>
      <c r="AS31" s="56"/>
      <c r="AT31" s="56"/>
      <c r="AU31" s="104"/>
      <c r="AV31" s="104"/>
      <c r="AX31" s="107"/>
      <c r="AY31" s="91"/>
      <c r="AZ31" s="24">
        <f t="shared" si="6"/>
        <v>0</v>
      </c>
      <c r="BA31" s="92">
        <v>0</v>
      </c>
      <c r="BB31" s="93"/>
      <c r="BC31" s="94">
        <f t="shared" si="7"/>
        <v>0</v>
      </c>
      <c r="BD31" s="96">
        <f t="shared" si="10"/>
        <v>5</v>
      </c>
      <c r="BE31" s="96" t="str">
        <f t="shared" si="8"/>
        <v/>
      </c>
      <c r="BF31" s="96" t="str">
        <f t="shared" si="9"/>
        <v/>
      </c>
      <c r="BG31" s="96"/>
      <c r="BH31" s="96"/>
    </row>
    <row r="32" spans="1:60" ht="15.75" customHeight="1">
      <c r="A32" s="77" t="str">
        <f t="shared" si="0"/>
        <v>sABCD0003@hkmu.edu.hk</v>
      </c>
      <c r="B32" s="3" t="str">
        <f t="shared" si="1"/>
        <v>D0003</v>
      </c>
      <c r="C32" s="3" t="str">
        <f t="shared" si="2"/>
        <v>a3</v>
      </c>
      <c r="D32" s="29">
        <f t="shared" si="3"/>
        <v>44563000032</v>
      </c>
      <c r="E32" s="4">
        <f t="shared" si="4"/>
        <v>44563</v>
      </c>
      <c r="F32" s="105">
        <f>'Form Responses'!A23</f>
        <v>44563</v>
      </c>
      <c r="G32" s="79" t="str">
        <f>'Form Responses'!B23</f>
        <v>SELL (SHORT)</v>
      </c>
      <c r="H32" s="98" t="str">
        <f>'Form Responses'!C23</f>
        <v>3m</v>
      </c>
      <c r="I32" s="102" t="str">
        <f>'Form Responses'!D23</f>
        <v>TD</v>
      </c>
      <c r="J32" s="82">
        <f>'Form Responses'!E23</f>
        <v>0</v>
      </c>
      <c r="K32" s="103">
        <f>'Form Responses'!F23</f>
        <v>0</v>
      </c>
      <c r="L32" s="56">
        <f>'Form Responses'!G23</f>
        <v>0</v>
      </c>
      <c r="M32" s="104">
        <f>'Form Responses'!H23</f>
        <v>35000</v>
      </c>
      <c r="N32" s="82">
        <f>'Form Responses'!I23</f>
        <v>0</v>
      </c>
      <c r="O32" s="82" t="str">
        <f>'Form Responses'!J23</f>
        <v>a3</v>
      </c>
      <c r="P32" s="86" t="str">
        <f>'Form Responses'!K23</f>
        <v>sABCD0003@hkmu.edu.hk</v>
      </c>
      <c r="Q32" s="43" t="s">
        <v>163</v>
      </c>
      <c r="T32" s="87">
        <f t="shared" si="5"/>
        <v>44563</v>
      </c>
      <c r="U32" s="102"/>
      <c r="V32" s="81" t="s">
        <v>39</v>
      </c>
      <c r="W32" s="109"/>
      <c r="X32" s="109"/>
      <c r="Y32" s="109"/>
      <c r="Z32" s="109"/>
      <c r="AA32" s="109"/>
      <c r="AB32" s="109"/>
      <c r="AC32" s="103"/>
      <c r="AD32" s="103"/>
      <c r="AE32" s="103"/>
      <c r="AF32" s="103"/>
      <c r="AG32" s="103"/>
      <c r="AH32" s="103"/>
      <c r="AI32" s="103"/>
      <c r="AJ32" s="103"/>
      <c r="AK32" s="103"/>
      <c r="AL32" s="56"/>
      <c r="AM32" s="56"/>
      <c r="AN32" s="56"/>
      <c r="AO32" s="56"/>
      <c r="AP32" s="56"/>
      <c r="AQ32" s="56"/>
      <c r="AR32" s="56"/>
      <c r="AS32" s="56"/>
      <c r="AT32" s="56"/>
      <c r="AU32" s="104"/>
      <c r="AV32" s="104"/>
      <c r="AX32" s="90"/>
      <c r="AY32" s="91"/>
      <c r="AZ32" s="24">
        <f t="shared" si="6"/>
        <v>0</v>
      </c>
      <c r="BA32" s="92">
        <v>0</v>
      </c>
      <c r="BB32" s="93"/>
      <c r="BC32" s="94">
        <f t="shared" si="7"/>
        <v>0</v>
      </c>
      <c r="BD32" s="96">
        <f t="shared" si="10"/>
        <v>5</v>
      </c>
      <c r="BE32" s="96" t="str">
        <f t="shared" si="8"/>
        <v/>
      </c>
      <c r="BF32" s="96" t="str">
        <f t="shared" si="9"/>
        <v/>
      </c>
      <c r="BG32" s="96"/>
      <c r="BH32" s="96"/>
    </row>
    <row r="33" spans="1:60" ht="15.75" customHeight="1">
      <c r="A33" s="77" t="str">
        <f t="shared" si="0"/>
        <v>sABCD0003@hkmu.edu.hk</v>
      </c>
      <c r="B33" s="3" t="str">
        <f t="shared" si="1"/>
        <v>D0003</v>
      </c>
      <c r="C33" s="3" t="str">
        <f t="shared" si="2"/>
        <v>a2</v>
      </c>
      <c r="D33" s="29">
        <f t="shared" si="3"/>
        <v>44562000033</v>
      </c>
      <c r="E33" s="4">
        <f t="shared" si="4"/>
        <v>44562</v>
      </c>
      <c r="F33" s="105">
        <f>'Form Responses'!A24</f>
        <v>44562</v>
      </c>
      <c r="G33" s="79" t="str">
        <f>'Form Responses'!B24</f>
        <v>BUY (LONG)</v>
      </c>
      <c r="H33" s="98" t="str">
        <f>'Form Responses'!C24</f>
        <v>3m</v>
      </c>
      <c r="I33" s="102" t="str">
        <f>'Form Responses'!D24</f>
        <v>TD</v>
      </c>
      <c r="J33" s="109">
        <f>'Form Responses'!E24</f>
        <v>0</v>
      </c>
      <c r="K33" s="103">
        <f>'Form Responses'!F24</f>
        <v>0</v>
      </c>
      <c r="L33" s="56">
        <f>'Form Responses'!G24</f>
        <v>0</v>
      </c>
      <c r="M33" s="104">
        <f>'Form Responses'!H24</f>
        <v>10000</v>
      </c>
      <c r="N33" s="82">
        <f>'Form Responses'!I24</f>
        <v>0</v>
      </c>
      <c r="O33" s="82" t="str">
        <f>'Form Responses'!J24</f>
        <v>a2</v>
      </c>
      <c r="P33" s="86" t="str">
        <f>'Form Responses'!K24</f>
        <v>sABCD0003@hkmu.edu.hk</v>
      </c>
      <c r="Q33" s="43" t="s">
        <v>164</v>
      </c>
      <c r="T33" s="87">
        <f t="shared" si="5"/>
        <v>44562</v>
      </c>
      <c r="U33" s="102"/>
      <c r="V33" s="81" t="s">
        <v>39</v>
      </c>
      <c r="W33" s="109"/>
      <c r="X33" s="109"/>
      <c r="Y33" s="109"/>
      <c r="Z33" s="109"/>
      <c r="AA33" s="109"/>
      <c r="AB33" s="109"/>
      <c r="AC33" s="103"/>
      <c r="AD33" s="103"/>
      <c r="AE33" s="103"/>
      <c r="AF33" s="103"/>
      <c r="AG33" s="103"/>
      <c r="AH33" s="103"/>
      <c r="AI33" s="103"/>
      <c r="AJ33" s="103"/>
      <c r="AK33" s="103"/>
      <c r="AL33" s="56"/>
      <c r="AM33" s="56"/>
      <c r="AN33" s="56"/>
      <c r="AO33" s="56"/>
      <c r="AP33" s="56"/>
      <c r="AQ33" s="56"/>
      <c r="AR33" s="56"/>
      <c r="AS33" s="56"/>
      <c r="AT33" s="56"/>
      <c r="AU33" s="104"/>
      <c r="AV33" s="104"/>
      <c r="AX33" s="90"/>
      <c r="AY33" s="91"/>
      <c r="AZ33" s="24">
        <f t="shared" si="6"/>
        <v>1</v>
      </c>
      <c r="BA33" s="92">
        <v>0</v>
      </c>
      <c r="BB33" s="93"/>
      <c r="BC33" s="94">
        <f t="shared" si="7"/>
        <v>1</v>
      </c>
      <c r="BD33" s="96">
        <f t="shared" si="10"/>
        <v>5</v>
      </c>
      <c r="BE33" s="96" t="str">
        <f t="shared" si="8"/>
        <v/>
      </c>
      <c r="BF33" s="96" t="str">
        <f t="shared" si="9"/>
        <v/>
      </c>
      <c r="BG33" s="96"/>
      <c r="BH33" s="96"/>
    </row>
    <row r="34" spans="1:60" ht="15.75" customHeight="1">
      <c r="A34" s="77" t="str">
        <f t="shared" si="0"/>
        <v>sABCD0003@hkmu.edu.hk</v>
      </c>
      <c r="B34" s="3" t="str">
        <f t="shared" si="1"/>
        <v>D0003</v>
      </c>
      <c r="C34" s="3" t="str">
        <f t="shared" si="2"/>
        <v>a2</v>
      </c>
      <c r="D34" s="29">
        <f t="shared" si="3"/>
        <v>44562000034</v>
      </c>
      <c r="E34" s="4">
        <f t="shared" si="4"/>
        <v>44562</v>
      </c>
      <c r="F34" s="105">
        <f>'Form Responses'!A25</f>
        <v>44562</v>
      </c>
      <c r="G34" s="79" t="str">
        <f>'Form Responses'!B25</f>
        <v>SELL (SHORT)</v>
      </c>
      <c r="H34" s="98" t="str">
        <f>'Form Responses'!C25</f>
        <v>3m</v>
      </c>
      <c r="I34" s="102" t="str">
        <f>'Form Responses'!D25</f>
        <v>TD</v>
      </c>
      <c r="J34" s="109">
        <f>'Form Responses'!E25</f>
        <v>0</v>
      </c>
      <c r="K34" s="103">
        <f>'Form Responses'!F25</f>
        <v>0</v>
      </c>
      <c r="L34" s="56">
        <f>'Form Responses'!G25</f>
        <v>0</v>
      </c>
      <c r="M34" s="104">
        <f>'Form Responses'!H25</f>
        <v>9000</v>
      </c>
      <c r="N34" s="82">
        <f>'Form Responses'!I25</f>
        <v>0</v>
      </c>
      <c r="O34" s="82" t="str">
        <f>'Form Responses'!J25</f>
        <v>a2</v>
      </c>
      <c r="P34" s="86" t="str">
        <f>'Form Responses'!K25</f>
        <v>sABCD0003@hkmu.edu.hk</v>
      </c>
      <c r="T34" s="87">
        <f t="shared" si="5"/>
        <v>44562</v>
      </c>
      <c r="U34" s="102"/>
      <c r="V34" s="81" t="s">
        <v>39</v>
      </c>
      <c r="W34" s="109"/>
      <c r="X34" s="109"/>
      <c r="Y34" s="109"/>
      <c r="Z34" s="109"/>
      <c r="AA34" s="109"/>
      <c r="AB34" s="109"/>
      <c r="AC34" s="103"/>
      <c r="AD34" s="103"/>
      <c r="AE34" s="103"/>
      <c r="AF34" s="103"/>
      <c r="AG34" s="103"/>
      <c r="AH34" s="103"/>
      <c r="AI34" s="103"/>
      <c r="AJ34" s="103"/>
      <c r="AK34" s="103"/>
      <c r="AL34" s="56"/>
      <c r="AM34" s="56"/>
      <c r="AN34" s="56"/>
      <c r="AO34" s="56"/>
      <c r="AP34" s="56"/>
      <c r="AQ34" s="56"/>
      <c r="AR34" s="56"/>
      <c r="AS34" s="56"/>
      <c r="AT34" s="56"/>
      <c r="AU34" s="104"/>
      <c r="AV34" s="104"/>
      <c r="AX34" s="90"/>
      <c r="AY34" s="91"/>
      <c r="AZ34" s="24">
        <f t="shared" si="6"/>
        <v>1</v>
      </c>
      <c r="BA34" s="92">
        <v>0</v>
      </c>
      <c r="BB34" s="93"/>
      <c r="BC34" s="94">
        <f t="shared" si="7"/>
        <v>1</v>
      </c>
      <c r="BD34" s="96">
        <f t="shared" si="10"/>
        <v>5</v>
      </c>
      <c r="BE34" s="96" t="str">
        <f t="shared" si="8"/>
        <v/>
      </c>
      <c r="BF34" s="96" t="str">
        <f t="shared" si="9"/>
        <v/>
      </c>
      <c r="BG34" s="96"/>
      <c r="BH34" s="96"/>
    </row>
    <row r="35" spans="1:60" ht="15.75" customHeight="1">
      <c r="A35" s="77" t="str">
        <f t="shared" si="0"/>
        <v>sABCD0003@hkmu.edu.hk</v>
      </c>
      <c r="B35" s="3" t="str">
        <f t="shared" si="1"/>
        <v>D0003</v>
      </c>
      <c r="C35" s="3" t="str">
        <f t="shared" si="2"/>
        <v>a3</v>
      </c>
      <c r="D35" s="29">
        <f t="shared" si="3"/>
        <v>44562000035</v>
      </c>
      <c r="E35" s="4">
        <f t="shared" si="4"/>
        <v>44562</v>
      </c>
      <c r="F35" s="105">
        <f>'Form Responses'!A26</f>
        <v>44562</v>
      </c>
      <c r="G35" s="79" t="str">
        <f>'Form Responses'!B26</f>
        <v>BUY (LONG)</v>
      </c>
      <c r="H35" s="99" t="str">
        <f>'Form Responses'!C26</f>
        <v>0700.HK</v>
      </c>
      <c r="I35" s="102" t="str">
        <f>'Form Responses'!D26</f>
        <v>Stock</v>
      </c>
      <c r="J35" s="109">
        <f>'Form Responses'!E26</f>
        <v>10</v>
      </c>
      <c r="K35" s="103">
        <f>'Form Responses'!F26</f>
        <v>0</v>
      </c>
      <c r="L35" s="56">
        <f>'Form Responses'!G26</f>
        <v>0</v>
      </c>
      <c r="M35" s="104">
        <f>'Form Responses'!H26</f>
        <v>0</v>
      </c>
      <c r="N35" s="82">
        <f>'Form Responses'!I26</f>
        <v>460</v>
      </c>
      <c r="O35" s="82" t="str">
        <f>'Form Responses'!J26</f>
        <v>a3</v>
      </c>
      <c r="P35" s="86" t="str">
        <f>'Form Responses'!K26</f>
        <v>sABCD0003@hkmu.edu.hk</v>
      </c>
      <c r="Q35" s="43" t="s">
        <v>163</v>
      </c>
      <c r="T35" s="87">
        <f t="shared" si="5"/>
        <v>44562</v>
      </c>
      <c r="U35" s="102"/>
      <c r="V35" s="81" t="s">
        <v>39</v>
      </c>
      <c r="W35" s="100" t="s">
        <v>38</v>
      </c>
      <c r="X35" s="82">
        <v>465</v>
      </c>
      <c r="Y35" s="82">
        <v>467</v>
      </c>
      <c r="Z35" s="82">
        <v>457.8</v>
      </c>
      <c r="AA35" s="82">
        <v>473.6</v>
      </c>
      <c r="AB35" s="82">
        <v>16061367</v>
      </c>
      <c r="AC35" s="103"/>
      <c r="AD35" s="103"/>
      <c r="AE35" s="103"/>
      <c r="AF35" s="103"/>
      <c r="AG35" s="103"/>
      <c r="AH35" s="103"/>
      <c r="AI35" s="103"/>
      <c r="AJ35" s="103"/>
      <c r="AK35" s="103"/>
      <c r="AL35" s="56"/>
      <c r="AM35" s="56"/>
      <c r="AN35" s="56"/>
      <c r="AO35" s="56"/>
      <c r="AP35" s="56"/>
      <c r="AQ35" s="56"/>
      <c r="AR35" s="56"/>
      <c r="AS35" s="56"/>
      <c r="AT35" s="56"/>
      <c r="AU35" s="104"/>
      <c r="AV35" s="104"/>
      <c r="AX35" s="90"/>
      <c r="AY35" s="91"/>
      <c r="AZ35" s="24">
        <f t="shared" si="6"/>
        <v>0</v>
      </c>
      <c r="BA35" s="92">
        <v>0</v>
      </c>
      <c r="BB35" s="93"/>
      <c r="BC35" s="94">
        <f t="shared" si="7"/>
        <v>0</v>
      </c>
      <c r="BD35" s="96">
        <f t="shared" si="10"/>
        <v>5</v>
      </c>
      <c r="BE35" s="96" t="str">
        <f t="shared" si="8"/>
        <v/>
      </c>
      <c r="BF35" s="96" t="str">
        <f t="shared" si="9"/>
        <v/>
      </c>
      <c r="BG35" s="96"/>
      <c r="BH35" s="96"/>
    </row>
    <row r="36" spans="1:60" ht="15.75" customHeight="1">
      <c r="A36" s="77" t="str">
        <f t="shared" si="0"/>
        <v>sABCD0003@hkmu.edu.hk</v>
      </c>
      <c r="B36" s="3" t="str">
        <f t="shared" si="1"/>
        <v>D0003</v>
      </c>
      <c r="C36" s="3" t="str">
        <f t="shared" si="2"/>
        <v>a3</v>
      </c>
      <c r="D36" s="29">
        <f t="shared" si="3"/>
        <v>44565000036</v>
      </c>
      <c r="E36" s="4">
        <f t="shared" si="4"/>
        <v>44565</v>
      </c>
      <c r="F36" s="105">
        <f>'Form Responses'!A27</f>
        <v>44565</v>
      </c>
      <c r="G36" s="79" t="str">
        <f>'Form Responses'!B27</f>
        <v>BUY (LONG)</v>
      </c>
      <c r="H36" s="99" t="str">
        <f>'Form Responses'!C27</f>
        <v>0700.HK</v>
      </c>
      <c r="I36" s="102" t="str">
        <f>'Form Responses'!D27</f>
        <v>Stock</v>
      </c>
      <c r="J36" s="109">
        <f>'Form Responses'!E27</f>
        <v>380</v>
      </c>
      <c r="K36" s="103">
        <f>'Form Responses'!F27</f>
        <v>0</v>
      </c>
      <c r="L36" s="56">
        <f>'Form Responses'!G27</f>
        <v>0</v>
      </c>
      <c r="M36" s="104">
        <f>'Form Responses'!H27</f>
        <v>0</v>
      </c>
      <c r="N36" s="82">
        <f>'Form Responses'!I27</f>
        <v>450</v>
      </c>
      <c r="O36" s="82" t="str">
        <f>'Form Responses'!J27</f>
        <v>a3</v>
      </c>
      <c r="P36" s="86" t="str">
        <f>'Form Responses'!K27</f>
        <v>sABCD0003@hkmu.edu.hk</v>
      </c>
      <c r="Q36" s="43" t="s">
        <v>164</v>
      </c>
      <c r="T36" s="87">
        <f t="shared" si="5"/>
        <v>44565</v>
      </c>
      <c r="U36" s="102"/>
      <c r="V36" s="81" t="s">
        <v>39</v>
      </c>
      <c r="W36" s="100" t="s">
        <v>38</v>
      </c>
      <c r="X36" s="82">
        <v>465</v>
      </c>
      <c r="Y36" s="82">
        <v>467</v>
      </c>
      <c r="Z36" s="82">
        <v>457.8</v>
      </c>
      <c r="AA36" s="82">
        <v>473.6</v>
      </c>
      <c r="AB36" s="82">
        <v>16061367</v>
      </c>
      <c r="AC36" s="103"/>
      <c r="AD36" s="103"/>
      <c r="AE36" s="103"/>
      <c r="AF36" s="103"/>
      <c r="AG36" s="103"/>
      <c r="AH36" s="103"/>
      <c r="AI36" s="103"/>
      <c r="AJ36" s="103"/>
      <c r="AK36" s="103"/>
      <c r="AL36" s="56"/>
      <c r="AM36" s="56"/>
      <c r="AN36" s="56"/>
      <c r="AO36" s="56"/>
      <c r="AP36" s="56"/>
      <c r="AQ36" s="56"/>
      <c r="AR36" s="56"/>
      <c r="AS36" s="56"/>
      <c r="AT36" s="56"/>
      <c r="AU36" s="104"/>
      <c r="AV36" s="104"/>
      <c r="AX36" s="90"/>
      <c r="AY36" s="91"/>
      <c r="AZ36" s="24">
        <f t="shared" si="6"/>
        <v>0</v>
      </c>
      <c r="BA36" s="92">
        <v>0</v>
      </c>
      <c r="BB36" s="93"/>
      <c r="BC36" s="94">
        <f t="shared" si="7"/>
        <v>0</v>
      </c>
      <c r="BD36" s="96">
        <f t="shared" si="10"/>
        <v>5</v>
      </c>
      <c r="BE36" s="96" t="str">
        <f t="shared" si="8"/>
        <v/>
      </c>
      <c r="BF36" s="96" t="str">
        <f t="shared" si="9"/>
        <v/>
      </c>
      <c r="BG36" s="96"/>
      <c r="BH36" s="96"/>
    </row>
    <row r="37" spans="1:60" ht="15.75" customHeight="1">
      <c r="A37" s="77" t="str">
        <f t="shared" si="0"/>
        <v>sABCD0004@hkmu.edu.hk</v>
      </c>
      <c r="B37" s="3" t="str">
        <f t="shared" si="1"/>
        <v>D0004</v>
      </c>
      <c r="C37" s="3" t="str">
        <f t="shared" si="2"/>
        <v>a4</v>
      </c>
      <c r="D37" s="29">
        <f t="shared" si="3"/>
        <v>44563000037</v>
      </c>
      <c r="E37" s="4">
        <f t="shared" si="4"/>
        <v>44563</v>
      </c>
      <c r="F37" s="105">
        <f>'Form Responses'!A28</f>
        <v>44563</v>
      </c>
      <c r="G37" s="79" t="str">
        <f>'Form Responses'!B28</f>
        <v>BUY (LONG)</v>
      </c>
      <c r="H37" s="98" t="str">
        <f>'Form Responses'!C28</f>
        <v>GS</v>
      </c>
      <c r="I37" s="102" t="str">
        <f>'Form Responses'!D28</f>
        <v>Stock</v>
      </c>
      <c r="J37" s="109">
        <f>'Form Responses'!E28</f>
        <v>30</v>
      </c>
      <c r="K37" s="103">
        <f>'Form Responses'!F28</f>
        <v>0</v>
      </c>
      <c r="L37" s="56">
        <f>'Form Responses'!G28</f>
        <v>0</v>
      </c>
      <c r="M37" s="104">
        <f>'Form Responses'!H28</f>
        <v>0</v>
      </c>
      <c r="N37" s="82">
        <f>'Form Responses'!I28</f>
        <v>385</v>
      </c>
      <c r="O37" s="82" t="str">
        <f>'Form Responses'!J28</f>
        <v>a4</v>
      </c>
      <c r="P37" s="86" t="str">
        <f>'Form Responses'!K28</f>
        <v>sABCD0004@hkmu.edu.hk</v>
      </c>
      <c r="T37" s="87">
        <f t="shared" si="5"/>
        <v>44563</v>
      </c>
      <c r="U37" s="102"/>
      <c r="V37" s="81" t="s">
        <v>41</v>
      </c>
      <c r="W37" s="82" t="s">
        <v>0</v>
      </c>
      <c r="X37" s="82">
        <v>346.6</v>
      </c>
      <c r="Y37" s="82">
        <v>350.48</v>
      </c>
      <c r="Z37" s="82">
        <v>338.41</v>
      </c>
      <c r="AA37" s="82">
        <v>341.55</v>
      </c>
      <c r="AB37" s="82">
        <v>3705887</v>
      </c>
      <c r="AC37" s="103"/>
      <c r="AD37" s="103"/>
      <c r="AE37" s="103"/>
      <c r="AF37" s="103"/>
      <c r="AG37" s="103"/>
      <c r="AH37" s="103"/>
      <c r="AI37" s="103"/>
      <c r="AJ37" s="103"/>
      <c r="AK37" s="103"/>
      <c r="AL37" s="56"/>
      <c r="AM37" s="56"/>
      <c r="AN37" s="56"/>
      <c r="AO37" s="56"/>
      <c r="AP37" s="56"/>
      <c r="AQ37" s="56"/>
      <c r="AR37" s="56"/>
      <c r="AS37" s="56"/>
      <c r="AT37" s="56"/>
      <c r="AU37" s="104"/>
      <c r="AV37" s="104"/>
      <c r="AX37" s="90"/>
      <c r="AY37" s="91"/>
      <c r="AZ37" s="24">
        <f t="shared" si="6"/>
        <v>0</v>
      </c>
      <c r="BA37" s="92">
        <v>0</v>
      </c>
      <c r="BB37" s="93"/>
      <c r="BC37" s="94">
        <f t="shared" si="7"/>
        <v>0</v>
      </c>
      <c r="BD37" s="96">
        <f t="shared" si="10"/>
        <v>6</v>
      </c>
      <c r="BE37" s="96">
        <f t="shared" si="8"/>
        <v>6</v>
      </c>
      <c r="BF37" s="96" t="str">
        <f t="shared" si="9"/>
        <v>GS</v>
      </c>
      <c r="BG37" s="96"/>
      <c r="BH37" s="96"/>
    </row>
    <row r="38" spans="1:60" ht="15.75" customHeight="1">
      <c r="A38" s="77" t="str">
        <f t="shared" si="0"/>
        <v>sABCD0004@hkmu.edu.hk</v>
      </c>
      <c r="B38" s="3" t="str">
        <f t="shared" si="1"/>
        <v>D0004</v>
      </c>
      <c r="C38" s="3" t="str">
        <f t="shared" si="2"/>
        <v>a4</v>
      </c>
      <c r="D38" s="29">
        <f t="shared" si="3"/>
        <v>44563000038</v>
      </c>
      <c r="E38" s="4">
        <f t="shared" si="4"/>
        <v>44563</v>
      </c>
      <c r="F38" s="105">
        <f>'Form Responses'!A29</f>
        <v>44563</v>
      </c>
      <c r="G38" s="79" t="str">
        <f>'Form Responses'!B29</f>
        <v>BUY (LONG)</v>
      </c>
      <c r="H38" s="99" t="str">
        <f>'Form Responses'!C29</f>
        <v>0700.HK</v>
      </c>
      <c r="I38" s="102" t="str">
        <f>'Form Responses'!D29</f>
        <v>Stock</v>
      </c>
      <c r="J38" s="109">
        <f>'Form Responses'!E29</f>
        <v>30</v>
      </c>
      <c r="K38" s="103">
        <f>'Form Responses'!F29</f>
        <v>0</v>
      </c>
      <c r="L38" s="56">
        <f>'Form Responses'!G29</f>
        <v>0</v>
      </c>
      <c r="M38" s="104">
        <f>'Form Responses'!H29</f>
        <v>0</v>
      </c>
      <c r="N38" s="82">
        <f>'Form Responses'!I29</f>
        <v>460</v>
      </c>
      <c r="O38" s="82" t="str">
        <f>'Form Responses'!J29</f>
        <v>a4</v>
      </c>
      <c r="P38" s="86" t="str">
        <f>'Form Responses'!K29</f>
        <v>sABCD0004@hkmu.edu.hk</v>
      </c>
      <c r="T38" s="87">
        <f t="shared" si="5"/>
        <v>44563</v>
      </c>
      <c r="U38" s="102"/>
      <c r="V38" s="81" t="s">
        <v>39</v>
      </c>
      <c r="W38" s="100" t="s">
        <v>38</v>
      </c>
      <c r="X38" s="82">
        <v>465</v>
      </c>
      <c r="Y38" s="82">
        <v>467</v>
      </c>
      <c r="Z38" s="82">
        <v>457.8</v>
      </c>
      <c r="AA38" s="82">
        <v>473.6</v>
      </c>
      <c r="AB38" s="82">
        <v>16061367</v>
      </c>
      <c r="AC38" s="103"/>
      <c r="AD38" s="103"/>
      <c r="AE38" s="103"/>
      <c r="AF38" s="103"/>
      <c r="AG38" s="103"/>
      <c r="AH38" s="103"/>
      <c r="AI38" s="103"/>
      <c r="AJ38" s="103"/>
      <c r="AK38" s="103"/>
      <c r="AL38" s="56"/>
      <c r="AM38" s="56"/>
      <c r="AN38" s="56"/>
      <c r="AO38" s="56"/>
      <c r="AP38" s="56"/>
      <c r="AQ38" s="56"/>
      <c r="AR38" s="56"/>
      <c r="AS38" s="56"/>
      <c r="AT38" s="56"/>
      <c r="AU38" s="104"/>
      <c r="AV38" s="104"/>
      <c r="AX38" s="90"/>
      <c r="AY38" s="91"/>
      <c r="AZ38" s="24">
        <f t="shared" si="6"/>
        <v>0</v>
      </c>
      <c r="BA38" s="92">
        <v>0</v>
      </c>
      <c r="BB38" s="93"/>
      <c r="BC38" s="94">
        <f t="shared" si="7"/>
        <v>0</v>
      </c>
      <c r="BD38" s="96">
        <f t="shared" si="10"/>
        <v>6</v>
      </c>
      <c r="BE38" s="96" t="str">
        <f t="shared" si="8"/>
        <v/>
      </c>
      <c r="BF38" s="96" t="str">
        <f t="shared" si="9"/>
        <v/>
      </c>
      <c r="BG38" s="96"/>
      <c r="BH38" s="96"/>
    </row>
    <row r="39" spans="1:60" ht="15.75" customHeight="1">
      <c r="A39" s="77" t="str">
        <f t="shared" si="0"/>
        <v>sABCD0004@hkmu.edu.hk</v>
      </c>
      <c r="B39" s="3" t="str">
        <f t="shared" si="1"/>
        <v>D0004</v>
      </c>
      <c r="C39" s="3" t="str">
        <f t="shared" si="2"/>
        <v>a4</v>
      </c>
      <c r="D39" s="29">
        <f t="shared" si="3"/>
        <v>44563000039</v>
      </c>
      <c r="E39" s="4">
        <f t="shared" si="4"/>
        <v>44563</v>
      </c>
      <c r="F39" s="105">
        <f>'Form Responses'!A30</f>
        <v>44563</v>
      </c>
      <c r="G39" s="79" t="str">
        <f>'Form Responses'!B30</f>
        <v>SELL (SHORT)</v>
      </c>
      <c r="H39" s="99" t="str">
        <f>'Form Responses'!C30</f>
        <v>0700.HK</v>
      </c>
      <c r="I39" s="102" t="str">
        <f>'Form Responses'!D30</f>
        <v>Stock</v>
      </c>
      <c r="J39" s="109">
        <f>'Form Responses'!E30</f>
        <v>20</v>
      </c>
      <c r="K39" s="103">
        <f>'Form Responses'!F30</f>
        <v>0</v>
      </c>
      <c r="L39" s="56">
        <f>'Form Responses'!G30</f>
        <v>0</v>
      </c>
      <c r="M39" s="104">
        <f>'Form Responses'!H30</f>
        <v>0</v>
      </c>
      <c r="N39" s="82">
        <f>'Form Responses'!I30</f>
        <v>460</v>
      </c>
      <c r="O39" s="82" t="str">
        <f>'Form Responses'!J30</f>
        <v>a4</v>
      </c>
      <c r="P39" s="86" t="str">
        <f>'Form Responses'!K30</f>
        <v>sABCD0004@hkmu.edu.hk</v>
      </c>
      <c r="Q39" s="43" t="s">
        <v>165</v>
      </c>
      <c r="T39" s="87">
        <f t="shared" si="5"/>
        <v>44563</v>
      </c>
      <c r="U39" s="102"/>
      <c r="V39" s="81" t="s">
        <v>39</v>
      </c>
      <c r="W39" s="100" t="s">
        <v>38</v>
      </c>
      <c r="X39" s="82">
        <v>465</v>
      </c>
      <c r="Y39" s="82">
        <v>467</v>
      </c>
      <c r="Z39" s="82">
        <v>457.8</v>
      </c>
      <c r="AA39" s="82">
        <v>473.6</v>
      </c>
      <c r="AB39" s="82">
        <v>16061367</v>
      </c>
      <c r="AC39" s="103"/>
      <c r="AD39" s="103"/>
      <c r="AE39" s="103"/>
      <c r="AF39" s="103"/>
      <c r="AG39" s="103"/>
      <c r="AH39" s="103"/>
      <c r="AI39" s="103"/>
      <c r="AJ39" s="103"/>
      <c r="AK39" s="103"/>
      <c r="AL39" s="56"/>
      <c r="AM39" s="56"/>
      <c r="AN39" s="56"/>
      <c r="AO39" s="56"/>
      <c r="AP39" s="56"/>
      <c r="AQ39" s="56"/>
      <c r="AR39" s="56"/>
      <c r="AS39" s="56"/>
      <c r="AT39" s="56"/>
      <c r="AU39" s="104"/>
      <c r="AV39" s="104"/>
      <c r="AX39" s="90"/>
      <c r="AY39" s="91"/>
      <c r="AZ39" s="24">
        <f t="shared" si="6"/>
        <v>0</v>
      </c>
      <c r="BA39" s="92">
        <v>0</v>
      </c>
      <c r="BB39" s="93"/>
      <c r="BC39" s="94">
        <f t="shared" si="7"/>
        <v>0</v>
      </c>
      <c r="BD39" s="96">
        <f t="shared" si="10"/>
        <v>6</v>
      </c>
      <c r="BE39" s="96" t="str">
        <f t="shared" si="8"/>
        <v/>
      </c>
      <c r="BF39" s="96" t="str">
        <f t="shared" si="9"/>
        <v/>
      </c>
      <c r="BG39" s="96"/>
      <c r="BH39" s="96"/>
    </row>
    <row r="40" spans="1:60" ht="15.75" customHeight="1">
      <c r="A40" s="77" t="str">
        <f t="shared" si="0"/>
        <v>sABCD0005@hkmu.edu.hk</v>
      </c>
      <c r="B40" s="3" t="str">
        <f t="shared" si="1"/>
        <v>D0005</v>
      </c>
      <c r="C40" s="3" t="str">
        <f t="shared" si="2"/>
        <v>a5</v>
      </c>
      <c r="D40" s="29">
        <f t="shared" si="3"/>
        <v>44566000040</v>
      </c>
      <c r="E40" s="4">
        <f t="shared" si="4"/>
        <v>44566</v>
      </c>
      <c r="F40" s="105">
        <f>'Form Responses'!A31</f>
        <v>44566</v>
      </c>
      <c r="G40" s="79" t="str">
        <f>'Form Responses'!B31</f>
        <v>SELL (SHORT)</v>
      </c>
      <c r="H40" s="98" t="str">
        <f>'Form Responses'!C31</f>
        <v>UGI220414P00045000</v>
      </c>
      <c r="I40" s="102" t="str">
        <f>'Form Responses'!D31</f>
        <v>Option</v>
      </c>
      <c r="J40" s="109">
        <f>'Form Responses'!E31</f>
        <v>0</v>
      </c>
      <c r="K40" s="103">
        <f>'Form Responses'!F31</f>
        <v>0</v>
      </c>
      <c r="L40" s="56">
        <f>'Form Responses'!G31</f>
        <v>10</v>
      </c>
      <c r="M40" s="104">
        <f>'Form Responses'!H31</f>
        <v>0</v>
      </c>
      <c r="N40" s="82">
        <f>'Form Responses'!I31</f>
        <v>3.5</v>
      </c>
      <c r="O40" s="82" t="str">
        <f>'Form Responses'!J31</f>
        <v>a5</v>
      </c>
      <c r="P40" s="86" t="str">
        <f>'Form Responses'!K31</f>
        <v>sABCD0005@hkmu.edu.hk</v>
      </c>
      <c r="T40" s="87">
        <f t="shared" si="5"/>
        <v>44566</v>
      </c>
      <c r="U40" s="102"/>
      <c r="V40" s="81" t="s">
        <v>41</v>
      </c>
      <c r="W40" s="82" t="s">
        <v>157</v>
      </c>
      <c r="X40" s="82" t="s">
        <v>157</v>
      </c>
      <c r="Y40" s="82" t="s">
        <v>157</v>
      </c>
      <c r="Z40" s="82" t="s">
        <v>157</v>
      </c>
      <c r="AA40" s="82" t="s">
        <v>157</v>
      </c>
      <c r="AB40" s="82" t="s">
        <v>157</v>
      </c>
      <c r="AC40" s="110" t="s">
        <v>157</v>
      </c>
      <c r="AD40" s="110" t="s">
        <v>157</v>
      </c>
      <c r="AE40" s="110" t="s">
        <v>157</v>
      </c>
      <c r="AF40" s="110" t="s">
        <v>157</v>
      </c>
      <c r="AG40" s="110" t="s">
        <v>157</v>
      </c>
      <c r="AH40" s="110" t="s">
        <v>157</v>
      </c>
      <c r="AI40" s="110" t="s">
        <v>157</v>
      </c>
      <c r="AJ40" s="110" t="s">
        <v>157</v>
      </c>
      <c r="AK40" s="110" t="s">
        <v>157</v>
      </c>
      <c r="AL40" s="54" t="s">
        <v>4</v>
      </c>
      <c r="AM40" s="54">
        <v>2.5</v>
      </c>
      <c r="AN40" s="54">
        <v>2.5</v>
      </c>
      <c r="AO40" s="54">
        <v>2.5</v>
      </c>
      <c r="AP40" s="54">
        <v>2.5</v>
      </c>
      <c r="AQ40" s="54">
        <v>45</v>
      </c>
      <c r="AR40" s="114">
        <v>44665</v>
      </c>
      <c r="AS40" s="54" t="s">
        <v>166</v>
      </c>
      <c r="AT40" s="54" t="s">
        <v>167</v>
      </c>
      <c r="AU40" s="104"/>
      <c r="AV40" s="104"/>
      <c r="AX40" s="90"/>
      <c r="AY40" s="91"/>
      <c r="AZ40" s="24">
        <f t="shared" si="6"/>
        <v>0</v>
      </c>
      <c r="BA40" s="92">
        <v>0</v>
      </c>
      <c r="BB40" s="93"/>
      <c r="BC40" s="94">
        <f t="shared" si="7"/>
        <v>0</v>
      </c>
      <c r="BD40" s="96">
        <f t="shared" si="10"/>
        <v>7</v>
      </c>
      <c r="BE40" s="96">
        <f t="shared" si="8"/>
        <v>7</v>
      </c>
      <c r="BF40" s="96" t="str">
        <f t="shared" si="9"/>
        <v>UGI220414P00045000</v>
      </c>
      <c r="BG40" s="96"/>
      <c r="BH40" s="96"/>
    </row>
    <row r="41" spans="1:60" ht="15.75" customHeight="1">
      <c r="A41" s="77" t="str">
        <f t="shared" si="0"/>
        <v>sABCD0005@hkmu.edu.hk</v>
      </c>
      <c r="B41" s="3" t="str">
        <f t="shared" si="1"/>
        <v>D0005</v>
      </c>
      <c r="C41" s="3" t="str">
        <f t="shared" si="2"/>
        <v>a5</v>
      </c>
      <c r="D41" s="29">
        <f t="shared" si="3"/>
        <v>44566000041</v>
      </c>
      <c r="E41" s="4">
        <f t="shared" si="4"/>
        <v>44566</v>
      </c>
      <c r="F41" s="105">
        <f>'Form Responses'!A32</f>
        <v>44566</v>
      </c>
      <c r="G41" s="79" t="str">
        <f>'Form Responses'!B32</f>
        <v>BUY (LONG)</v>
      </c>
      <c r="H41" s="98" t="str">
        <f>'Form Responses'!C32</f>
        <v>UGI220414P00040000</v>
      </c>
      <c r="I41" s="102" t="str">
        <f>'Form Responses'!D32</f>
        <v>Option</v>
      </c>
      <c r="J41" s="109">
        <f>'Form Responses'!E32</f>
        <v>0</v>
      </c>
      <c r="K41" s="103">
        <f>'Form Responses'!F32</f>
        <v>0</v>
      </c>
      <c r="L41" s="56">
        <f>'Form Responses'!G32</f>
        <v>10</v>
      </c>
      <c r="M41" s="104">
        <f>'Form Responses'!H32</f>
        <v>0</v>
      </c>
      <c r="N41" s="82">
        <f>'Form Responses'!I32</f>
        <v>2.5</v>
      </c>
      <c r="O41" s="82" t="str">
        <f>'Form Responses'!J32</f>
        <v>a5</v>
      </c>
      <c r="P41" s="86" t="str">
        <f>'Form Responses'!K32</f>
        <v>sABCD0005@hkmu.edu.hk</v>
      </c>
      <c r="T41" s="87">
        <f t="shared" si="5"/>
        <v>44566</v>
      </c>
      <c r="U41" s="102"/>
      <c r="V41" s="81" t="s">
        <v>41</v>
      </c>
      <c r="W41" s="82" t="s">
        <v>157</v>
      </c>
      <c r="X41" s="82" t="s">
        <v>157</v>
      </c>
      <c r="Y41" s="82" t="s">
        <v>157</v>
      </c>
      <c r="Z41" s="82" t="s">
        <v>157</v>
      </c>
      <c r="AA41" s="82" t="s">
        <v>157</v>
      </c>
      <c r="AB41" s="82" t="s">
        <v>157</v>
      </c>
      <c r="AC41" s="110" t="s">
        <v>157</v>
      </c>
      <c r="AD41" s="110" t="s">
        <v>157</v>
      </c>
      <c r="AE41" s="110" t="s">
        <v>157</v>
      </c>
      <c r="AF41" s="110" t="s">
        <v>157</v>
      </c>
      <c r="AG41" s="110" t="s">
        <v>157</v>
      </c>
      <c r="AH41" s="110" t="s">
        <v>157</v>
      </c>
      <c r="AI41" s="110" t="s">
        <v>157</v>
      </c>
      <c r="AJ41" s="110" t="s">
        <v>157</v>
      </c>
      <c r="AK41" s="110" t="s">
        <v>157</v>
      </c>
      <c r="AL41" s="54" t="s">
        <v>5</v>
      </c>
      <c r="AM41" s="54">
        <v>0.7</v>
      </c>
      <c r="AN41" s="54">
        <v>0.7</v>
      </c>
      <c r="AO41" s="54">
        <v>0.7</v>
      </c>
      <c r="AP41" s="54">
        <v>0.7</v>
      </c>
      <c r="AQ41" s="54">
        <v>40</v>
      </c>
      <c r="AR41" s="114">
        <v>44665</v>
      </c>
      <c r="AS41" s="54" t="s">
        <v>166</v>
      </c>
      <c r="AT41" s="54" t="s">
        <v>167</v>
      </c>
      <c r="AU41" s="104"/>
      <c r="AV41" s="104"/>
      <c r="AX41" s="90"/>
      <c r="AY41" s="91"/>
      <c r="AZ41" s="24">
        <f t="shared" si="6"/>
        <v>0</v>
      </c>
      <c r="BA41" s="92">
        <v>0</v>
      </c>
      <c r="BB41" s="93"/>
      <c r="BC41" s="94">
        <f t="shared" si="7"/>
        <v>0</v>
      </c>
      <c r="BD41" s="96">
        <f t="shared" si="10"/>
        <v>8</v>
      </c>
      <c r="BE41" s="96">
        <f t="shared" si="8"/>
        <v>8</v>
      </c>
      <c r="BF41" s="96" t="str">
        <f t="shared" si="9"/>
        <v>UGI220414P00040000</v>
      </c>
      <c r="BG41" s="96"/>
      <c r="BH41" s="96"/>
    </row>
    <row r="42" spans="1:60" ht="15.75" customHeight="1">
      <c r="A42" s="77" t="str">
        <f t="shared" si="0"/>
        <v>sABCD0005@hkmu.edu.hk</v>
      </c>
      <c r="B42" s="3" t="str">
        <f t="shared" si="1"/>
        <v>D0005</v>
      </c>
      <c r="C42" s="3" t="str">
        <f t="shared" si="2"/>
        <v>a5</v>
      </c>
      <c r="D42" s="29">
        <f t="shared" si="3"/>
        <v>44567000042</v>
      </c>
      <c r="E42" s="4">
        <f t="shared" si="4"/>
        <v>44567</v>
      </c>
      <c r="F42" s="105">
        <f>'Form Responses'!A33</f>
        <v>44567</v>
      </c>
      <c r="G42" s="79" t="str">
        <f>'Form Responses'!B33</f>
        <v>BUY (LONG)</v>
      </c>
      <c r="H42" s="99" t="str">
        <f>'Form Responses'!C33</f>
        <v>0700.HK</v>
      </c>
      <c r="I42" s="102" t="str">
        <f>'Form Responses'!D33</f>
        <v>Stock</v>
      </c>
      <c r="J42" s="109">
        <f>'Form Responses'!E33</f>
        <v>40</v>
      </c>
      <c r="K42" s="103">
        <f>'Form Responses'!F33</f>
        <v>0</v>
      </c>
      <c r="L42" s="56">
        <f>'Form Responses'!G33</f>
        <v>0</v>
      </c>
      <c r="M42" s="104">
        <f>'Form Responses'!H33</f>
        <v>0</v>
      </c>
      <c r="N42" s="82">
        <f>'Form Responses'!I33</f>
        <v>430</v>
      </c>
      <c r="O42" s="82" t="str">
        <f>'Form Responses'!J33</f>
        <v>a5</v>
      </c>
      <c r="P42" s="86" t="str">
        <f>'Form Responses'!K33</f>
        <v>sABCD0005@hkmu.edu.hk</v>
      </c>
      <c r="T42" s="87">
        <f t="shared" si="5"/>
        <v>44567</v>
      </c>
      <c r="U42" s="102"/>
      <c r="V42" s="81" t="s">
        <v>39</v>
      </c>
      <c r="W42" s="100" t="s">
        <v>38</v>
      </c>
      <c r="X42" s="82">
        <v>465</v>
      </c>
      <c r="Y42" s="82">
        <v>467</v>
      </c>
      <c r="Z42" s="82">
        <v>457.8</v>
      </c>
      <c r="AA42" s="82">
        <v>473.6</v>
      </c>
      <c r="AB42" s="82">
        <v>16061367</v>
      </c>
      <c r="AC42" s="103"/>
      <c r="AD42" s="103"/>
      <c r="AE42" s="103"/>
      <c r="AF42" s="103"/>
      <c r="AG42" s="103"/>
      <c r="AH42" s="103"/>
      <c r="AI42" s="103"/>
      <c r="AJ42" s="103"/>
      <c r="AK42" s="103"/>
      <c r="AL42" s="56"/>
      <c r="AM42" s="56"/>
      <c r="AN42" s="56"/>
      <c r="AO42" s="56"/>
      <c r="AP42" s="56"/>
      <c r="AQ42" s="56"/>
      <c r="AR42" s="56"/>
      <c r="AS42" s="56"/>
      <c r="AT42" s="56"/>
      <c r="AU42" s="104"/>
      <c r="AV42" s="104"/>
      <c r="AX42" s="90"/>
      <c r="AY42" s="91"/>
      <c r="AZ42" s="24">
        <f t="shared" si="6"/>
        <v>0</v>
      </c>
      <c r="BA42" s="92">
        <v>0</v>
      </c>
      <c r="BB42" s="93"/>
      <c r="BC42" s="94">
        <f t="shared" si="7"/>
        <v>0</v>
      </c>
      <c r="BD42" s="96">
        <f t="shared" si="10"/>
        <v>8</v>
      </c>
      <c r="BE42" s="96" t="str">
        <f t="shared" si="8"/>
        <v/>
      </c>
      <c r="BF42" s="96" t="str">
        <f t="shared" si="9"/>
        <v/>
      </c>
      <c r="BG42" s="96"/>
      <c r="BH42" s="96"/>
    </row>
    <row r="43" spans="1:60" ht="15.75" customHeight="1">
      <c r="A43" s="77" t="str">
        <f t="shared" si="0"/>
        <v>sABCD0005@hkmu.edu.hk</v>
      </c>
      <c r="B43" s="3" t="str">
        <f t="shared" si="1"/>
        <v>D0005</v>
      </c>
      <c r="C43" s="3" t="str">
        <f t="shared" si="2"/>
        <v>a5</v>
      </c>
      <c r="D43" s="29">
        <f t="shared" si="3"/>
        <v>44568000043</v>
      </c>
      <c r="E43" s="4">
        <f t="shared" si="4"/>
        <v>44568</v>
      </c>
      <c r="F43" s="105">
        <f>'Form Responses'!A34</f>
        <v>44568</v>
      </c>
      <c r="G43" s="79" t="str">
        <f>'Form Responses'!B34</f>
        <v>SELL (SHORT)</v>
      </c>
      <c r="H43" s="99" t="str">
        <f>'Form Responses'!C34</f>
        <v>0700.HK</v>
      </c>
      <c r="I43" s="102" t="str">
        <f>'Form Responses'!D34</f>
        <v>Stock</v>
      </c>
      <c r="J43" s="109">
        <f>'Form Responses'!E34</f>
        <v>50</v>
      </c>
      <c r="K43" s="103">
        <f>'Form Responses'!F34</f>
        <v>0</v>
      </c>
      <c r="L43" s="56">
        <f>'Form Responses'!G34</f>
        <v>0</v>
      </c>
      <c r="M43" s="104">
        <f>'Form Responses'!H34</f>
        <v>0</v>
      </c>
      <c r="N43" s="82">
        <f>'Form Responses'!I34</f>
        <v>440</v>
      </c>
      <c r="O43" s="82" t="str">
        <f>'Form Responses'!J34</f>
        <v>a5</v>
      </c>
      <c r="P43" s="86" t="str">
        <f>'Form Responses'!K34</f>
        <v>sABCD0005@hkmu.edu.hk</v>
      </c>
      <c r="Q43" s="43" t="s">
        <v>168</v>
      </c>
      <c r="T43" s="87">
        <f t="shared" si="5"/>
        <v>44568</v>
      </c>
      <c r="U43" s="102"/>
      <c r="V43" s="81" t="s">
        <v>39</v>
      </c>
      <c r="W43" s="100" t="s">
        <v>38</v>
      </c>
      <c r="X43" s="82">
        <v>465</v>
      </c>
      <c r="Y43" s="82">
        <v>467</v>
      </c>
      <c r="Z43" s="82">
        <v>457.8</v>
      </c>
      <c r="AA43" s="82">
        <v>473.6</v>
      </c>
      <c r="AB43" s="82">
        <v>16061367</v>
      </c>
      <c r="AC43" s="103"/>
      <c r="AD43" s="103"/>
      <c r="AE43" s="103"/>
      <c r="AF43" s="103"/>
      <c r="AG43" s="103"/>
      <c r="AH43" s="103"/>
      <c r="AI43" s="103"/>
      <c r="AJ43" s="103"/>
      <c r="AK43" s="103"/>
      <c r="AL43" s="56"/>
      <c r="AM43" s="56"/>
      <c r="AN43" s="56"/>
      <c r="AO43" s="56"/>
      <c r="AP43" s="56"/>
      <c r="AQ43" s="56"/>
      <c r="AR43" s="56"/>
      <c r="AS43" s="56"/>
      <c r="AT43" s="56"/>
      <c r="AU43" s="104"/>
      <c r="AV43" s="104"/>
      <c r="AX43" s="90"/>
      <c r="AY43" s="91"/>
      <c r="AZ43" s="24">
        <f t="shared" si="6"/>
        <v>0</v>
      </c>
      <c r="BA43" s="92">
        <v>0</v>
      </c>
      <c r="BB43" s="93"/>
      <c r="BC43" s="94">
        <f t="shared" si="7"/>
        <v>0</v>
      </c>
      <c r="BD43" s="96">
        <f t="shared" si="10"/>
        <v>8</v>
      </c>
      <c r="BE43" s="96" t="str">
        <f t="shared" si="8"/>
        <v/>
      </c>
      <c r="BF43" s="96" t="str">
        <f t="shared" si="9"/>
        <v/>
      </c>
      <c r="BG43" s="96"/>
      <c r="BH43" s="96"/>
    </row>
    <row r="44" spans="1:60" ht="15.75" customHeight="1">
      <c r="A44" s="77" t="str">
        <f t="shared" si="0"/>
        <v>sABCD0005@hkmu.edu.hk</v>
      </c>
      <c r="B44" s="3" t="str">
        <f t="shared" si="1"/>
        <v>D0005</v>
      </c>
      <c r="C44" s="3" t="str">
        <f t="shared" si="2"/>
        <v>a5</v>
      </c>
      <c r="D44" s="29">
        <f t="shared" si="3"/>
        <v>44568000044</v>
      </c>
      <c r="E44" s="4">
        <f t="shared" si="4"/>
        <v>44568</v>
      </c>
      <c r="F44" s="105">
        <f>'Form Responses'!A35</f>
        <v>44568</v>
      </c>
      <c r="G44" s="79" t="str">
        <f>'Form Responses'!B35</f>
        <v>SELL (SHORT)</v>
      </c>
      <c r="H44" s="98" t="str">
        <f>'Form Responses'!C35</f>
        <v>XS2106834299</v>
      </c>
      <c r="I44" s="102" t="str">
        <f>'Form Responses'!D35</f>
        <v>Bond</v>
      </c>
      <c r="J44" s="109">
        <f>'Form Responses'!E35</f>
        <v>0</v>
      </c>
      <c r="K44" s="103">
        <f>'Form Responses'!F35</f>
        <v>20</v>
      </c>
      <c r="L44" s="56">
        <f>'Form Responses'!G35</f>
        <v>0</v>
      </c>
      <c r="M44" s="104">
        <f>'Form Responses'!H35</f>
        <v>0</v>
      </c>
      <c r="N44" s="82">
        <f>'Form Responses'!I35</f>
        <v>19</v>
      </c>
      <c r="O44" s="82" t="str">
        <f>'Form Responses'!J35</f>
        <v>a5</v>
      </c>
      <c r="P44" s="86" t="str">
        <f>'Form Responses'!K35</f>
        <v>sABCD0005@hkmu.edu.hk</v>
      </c>
      <c r="Q44" s="43" t="s">
        <v>169</v>
      </c>
      <c r="T44" s="87">
        <f t="shared" si="5"/>
        <v>44568</v>
      </c>
      <c r="U44" s="102"/>
      <c r="V44" s="81" t="s">
        <v>41</v>
      </c>
      <c r="W44" s="82" t="s">
        <v>157</v>
      </c>
      <c r="X44" s="82" t="s">
        <v>157</v>
      </c>
      <c r="Y44" s="82" t="s">
        <v>157</v>
      </c>
      <c r="Z44" s="82" t="s">
        <v>157</v>
      </c>
      <c r="AA44" s="82" t="s">
        <v>157</v>
      </c>
      <c r="AB44" s="82" t="s">
        <v>157</v>
      </c>
      <c r="AC44" s="110" t="s">
        <v>158</v>
      </c>
      <c r="AD44" s="110">
        <v>10.79</v>
      </c>
      <c r="AE44" s="110">
        <v>13.21</v>
      </c>
      <c r="AF44" s="111">
        <v>0.115</v>
      </c>
      <c r="AG44" s="112">
        <v>44948</v>
      </c>
      <c r="AH44" s="110" t="s">
        <v>159</v>
      </c>
      <c r="AI44" s="110">
        <v>0.98499999999999999</v>
      </c>
      <c r="AJ44" s="110" t="s">
        <v>160</v>
      </c>
      <c r="AK44" s="110" t="s">
        <v>161</v>
      </c>
      <c r="AL44" s="56"/>
      <c r="AM44" s="56"/>
      <c r="AN44" s="56"/>
      <c r="AO44" s="56"/>
      <c r="AP44" s="56"/>
      <c r="AQ44" s="56"/>
      <c r="AR44" s="56"/>
      <c r="AS44" s="56"/>
      <c r="AT44" s="56"/>
      <c r="AU44" s="104"/>
      <c r="AV44" s="104"/>
      <c r="AX44" s="90"/>
      <c r="AY44" s="91"/>
      <c r="AZ44" s="24">
        <f t="shared" si="6"/>
        <v>0</v>
      </c>
      <c r="BA44" s="92">
        <v>0</v>
      </c>
      <c r="BB44" s="93"/>
      <c r="BC44" s="94">
        <f t="shared" si="7"/>
        <v>0</v>
      </c>
      <c r="BD44" s="96">
        <f t="shared" si="10"/>
        <v>8</v>
      </c>
      <c r="BE44" s="96" t="str">
        <f t="shared" si="8"/>
        <v/>
      </c>
      <c r="BF44" s="96" t="str">
        <f t="shared" si="9"/>
        <v/>
      </c>
      <c r="BG44" s="96"/>
      <c r="BH44" s="96"/>
    </row>
    <row r="45" spans="1:60" ht="15.75" customHeight="1">
      <c r="A45" s="77" t="str">
        <f t="shared" si="0"/>
        <v>sABCD0004@hkmu.edu.hk</v>
      </c>
      <c r="B45" s="3" t="str">
        <f t="shared" si="1"/>
        <v>D0004</v>
      </c>
      <c r="C45" s="3" t="str">
        <f t="shared" si="2"/>
        <v>a4</v>
      </c>
      <c r="D45" s="29">
        <f t="shared" si="3"/>
        <v>44564000045</v>
      </c>
      <c r="E45" s="4">
        <f t="shared" si="4"/>
        <v>44564</v>
      </c>
      <c r="F45" s="105">
        <f>'Form Responses'!A36</f>
        <v>44564</v>
      </c>
      <c r="G45" s="79" t="str">
        <f>'Form Responses'!B36</f>
        <v>BUY (LONG)</v>
      </c>
      <c r="H45" s="98" t="str">
        <f>'Form Responses'!C36</f>
        <v>XS2106834299</v>
      </c>
      <c r="I45" s="102" t="str">
        <f>'Form Responses'!D36</f>
        <v>Bond</v>
      </c>
      <c r="J45" s="109">
        <f>'Form Responses'!E36</f>
        <v>0</v>
      </c>
      <c r="K45" s="103">
        <f>'Form Responses'!F36</f>
        <v>30</v>
      </c>
      <c r="L45" s="56">
        <f>'Form Responses'!G36</f>
        <v>0</v>
      </c>
      <c r="M45" s="104">
        <f>'Form Responses'!H36</f>
        <v>0</v>
      </c>
      <c r="N45" s="82">
        <f>'Form Responses'!I36</f>
        <v>23</v>
      </c>
      <c r="O45" s="82" t="str">
        <f>'Form Responses'!J36</f>
        <v>a4</v>
      </c>
      <c r="P45" s="86" t="str">
        <f>'Form Responses'!K36</f>
        <v>sABCD0004@hkmu.edu.hk</v>
      </c>
      <c r="Q45" s="43" t="s">
        <v>168</v>
      </c>
      <c r="T45" s="87">
        <f t="shared" si="5"/>
        <v>44564</v>
      </c>
      <c r="U45" s="102"/>
      <c r="V45" s="81" t="s">
        <v>41</v>
      </c>
      <c r="W45" s="82" t="s">
        <v>157</v>
      </c>
      <c r="X45" s="82" t="s">
        <v>157</v>
      </c>
      <c r="Y45" s="82" t="s">
        <v>157</v>
      </c>
      <c r="Z45" s="82" t="s">
        <v>157</v>
      </c>
      <c r="AA45" s="82" t="s">
        <v>157</v>
      </c>
      <c r="AB45" s="82" t="s">
        <v>157</v>
      </c>
      <c r="AC45" s="110" t="s">
        <v>158</v>
      </c>
      <c r="AD45" s="110">
        <v>10.79</v>
      </c>
      <c r="AE45" s="110">
        <v>13.21</v>
      </c>
      <c r="AF45" s="111">
        <v>0.115</v>
      </c>
      <c r="AG45" s="112">
        <v>44948</v>
      </c>
      <c r="AH45" s="110" t="s">
        <v>159</v>
      </c>
      <c r="AI45" s="110">
        <v>0.98499999999999999</v>
      </c>
      <c r="AJ45" s="110" t="s">
        <v>160</v>
      </c>
      <c r="AK45" s="110" t="s">
        <v>161</v>
      </c>
      <c r="AL45" s="56"/>
      <c r="AM45" s="56"/>
      <c r="AN45" s="56"/>
      <c r="AO45" s="56"/>
      <c r="AP45" s="56"/>
      <c r="AQ45" s="56"/>
      <c r="AR45" s="56"/>
      <c r="AS45" s="56"/>
      <c r="AT45" s="56"/>
      <c r="AU45" s="104"/>
      <c r="AV45" s="104"/>
      <c r="AX45" s="90"/>
      <c r="AY45" s="91"/>
      <c r="AZ45" s="24">
        <f t="shared" si="6"/>
        <v>0</v>
      </c>
      <c r="BA45" s="92">
        <v>0</v>
      </c>
      <c r="BB45" s="93"/>
      <c r="BC45" s="94">
        <f t="shared" si="7"/>
        <v>0</v>
      </c>
      <c r="BD45" s="96">
        <f t="shared" si="10"/>
        <v>8</v>
      </c>
      <c r="BE45" s="96" t="str">
        <f t="shared" si="8"/>
        <v/>
      </c>
      <c r="BF45" s="96" t="str">
        <f t="shared" si="9"/>
        <v/>
      </c>
    </row>
    <row r="46" spans="1:60" ht="15.75" customHeight="1">
      <c r="A46" s="77" t="str">
        <f t="shared" si="0"/>
        <v>sABCD0004@hkmu.edu.hk</v>
      </c>
      <c r="B46" s="3" t="str">
        <f t="shared" si="1"/>
        <v>D0004</v>
      </c>
      <c r="C46" s="3" t="str">
        <f t="shared" si="2"/>
        <v>a4</v>
      </c>
      <c r="D46" s="29">
        <f t="shared" si="3"/>
        <v>44565000046</v>
      </c>
      <c r="E46" s="4">
        <f t="shared" si="4"/>
        <v>44565</v>
      </c>
      <c r="F46" s="105">
        <f>'Form Responses'!A37</f>
        <v>44565</v>
      </c>
      <c r="G46" s="79" t="str">
        <f>'Form Responses'!B37</f>
        <v>SELL (SHORT)</v>
      </c>
      <c r="H46" s="98" t="str">
        <f>'Form Responses'!C37</f>
        <v>XS2106834299</v>
      </c>
      <c r="I46" s="102" t="str">
        <f>'Form Responses'!D37</f>
        <v>Bond</v>
      </c>
      <c r="J46" s="109">
        <f>'Form Responses'!E37</f>
        <v>0</v>
      </c>
      <c r="K46" s="103">
        <f>'Form Responses'!F37</f>
        <v>20</v>
      </c>
      <c r="L46" s="56">
        <f>'Form Responses'!G37</f>
        <v>0</v>
      </c>
      <c r="M46" s="104">
        <f>'Form Responses'!H37</f>
        <v>0</v>
      </c>
      <c r="N46" s="82">
        <f>'Form Responses'!I37</f>
        <v>22</v>
      </c>
      <c r="O46" s="82" t="str">
        <f>'Form Responses'!J37</f>
        <v>a4</v>
      </c>
      <c r="P46" s="86" t="str">
        <f>'Form Responses'!K37</f>
        <v>sABCD0004@hkmu.edu.hk</v>
      </c>
      <c r="Q46" s="43" t="s">
        <v>169</v>
      </c>
      <c r="T46" s="87">
        <f t="shared" si="5"/>
        <v>44565</v>
      </c>
      <c r="U46" s="102"/>
      <c r="V46" s="81" t="s">
        <v>41</v>
      </c>
      <c r="W46" s="82" t="s">
        <v>157</v>
      </c>
      <c r="X46" s="82" t="s">
        <v>157</v>
      </c>
      <c r="Y46" s="82" t="s">
        <v>157</v>
      </c>
      <c r="Z46" s="82" t="s">
        <v>157</v>
      </c>
      <c r="AA46" s="82" t="s">
        <v>157</v>
      </c>
      <c r="AB46" s="82" t="s">
        <v>157</v>
      </c>
      <c r="AC46" s="110" t="s">
        <v>158</v>
      </c>
      <c r="AD46" s="110">
        <v>10.79</v>
      </c>
      <c r="AE46" s="110">
        <v>13.21</v>
      </c>
      <c r="AF46" s="111">
        <v>0.115</v>
      </c>
      <c r="AG46" s="112">
        <v>44948</v>
      </c>
      <c r="AH46" s="110" t="s">
        <v>159</v>
      </c>
      <c r="AI46" s="110">
        <v>0.98499999999999999</v>
      </c>
      <c r="AJ46" s="110" t="s">
        <v>160</v>
      </c>
      <c r="AK46" s="110" t="s">
        <v>161</v>
      </c>
      <c r="AL46" s="56"/>
      <c r="AM46" s="56"/>
      <c r="AN46" s="56"/>
      <c r="AO46" s="56"/>
      <c r="AP46" s="56"/>
      <c r="AQ46" s="56"/>
      <c r="AR46" s="56"/>
      <c r="AS46" s="56"/>
      <c r="AT46" s="56"/>
      <c r="AU46" s="104"/>
      <c r="AV46" s="104"/>
      <c r="AX46" s="90"/>
      <c r="AY46" s="91"/>
      <c r="AZ46" s="24">
        <f t="shared" si="6"/>
        <v>0</v>
      </c>
      <c r="BA46" s="92">
        <v>0</v>
      </c>
      <c r="BB46" s="93"/>
      <c r="BC46" s="94">
        <f t="shared" si="7"/>
        <v>0</v>
      </c>
      <c r="BD46" s="96">
        <f t="shared" si="10"/>
        <v>8</v>
      </c>
      <c r="BE46" s="96" t="str">
        <f t="shared" si="8"/>
        <v/>
      </c>
      <c r="BF46" s="96" t="str">
        <f t="shared" si="9"/>
        <v/>
      </c>
    </row>
    <row r="47" spans="1:60" ht="15.75" customHeight="1">
      <c r="A47" s="77" t="str">
        <f t="shared" si="0"/>
        <v>sABCD0006@hkmu.edu.hk</v>
      </c>
      <c r="B47" s="3" t="str">
        <f t="shared" si="1"/>
        <v>D0006</v>
      </c>
      <c r="C47" s="3" t="str">
        <f t="shared" si="2"/>
        <v>a6</v>
      </c>
      <c r="D47" s="29">
        <f t="shared" si="3"/>
        <v>44572000047</v>
      </c>
      <c r="E47" s="4">
        <f t="shared" si="4"/>
        <v>44572</v>
      </c>
      <c r="F47" s="105">
        <f>'Form Responses'!A38</f>
        <v>44572</v>
      </c>
      <c r="G47" s="79" t="str">
        <f>'Form Responses'!B38</f>
        <v>BUY (LONG)</v>
      </c>
      <c r="H47" s="98" t="str">
        <f>'Form Responses'!C38</f>
        <v>TSLA</v>
      </c>
      <c r="I47" s="102" t="str">
        <f>'Form Responses'!D38</f>
        <v>Stock</v>
      </c>
      <c r="J47" s="109">
        <f>'Form Responses'!E38</f>
        <v>10</v>
      </c>
      <c r="K47" s="103">
        <f>'Form Responses'!F38</f>
        <v>0</v>
      </c>
      <c r="L47" s="56">
        <f>'Form Responses'!G38</f>
        <v>0</v>
      </c>
      <c r="M47" s="104">
        <f>'Form Responses'!H38</f>
        <v>0</v>
      </c>
      <c r="N47" s="82">
        <f>'Form Responses'!I38</f>
        <v>1050</v>
      </c>
      <c r="O47" s="82" t="str">
        <f>'Form Responses'!J38</f>
        <v>a6</v>
      </c>
      <c r="P47" s="86" t="str">
        <f>'Form Responses'!K38</f>
        <v>sABCD0006@hkmu.edu.hk</v>
      </c>
      <c r="Q47" s="43" t="s">
        <v>169</v>
      </c>
      <c r="T47" s="87">
        <f t="shared" si="5"/>
        <v>44572</v>
      </c>
      <c r="U47" s="102"/>
      <c r="V47" s="81" t="s">
        <v>41</v>
      </c>
      <c r="W47" s="82" t="s">
        <v>89</v>
      </c>
      <c r="X47" s="82">
        <v>952.43</v>
      </c>
      <c r="Y47" s="82">
        <v>987.54</v>
      </c>
      <c r="Z47" s="82">
        <v>906.04</v>
      </c>
      <c r="AA47" s="82">
        <v>918.4</v>
      </c>
      <c r="AB47" s="82">
        <v>34955761</v>
      </c>
      <c r="AC47" s="110"/>
      <c r="AD47" s="110"/>
      <c r="AE47" s="110"/>
      <c r="AF47" s="111"/>
      <c r="AG47" s="112"/>
      <c r="AH47" s="110"/>
      <c r="AI47" s="110"/>
      <c r="AJ47" s="110"/>
      <c r="AK47" s="110"/>
      <c r="AL47" s="56"/>
      <c r="AM47" s="56"/>
      <c r="AN47" s="56"/>
      <c r="AO47" s="56"/>
      <c r="AP47" s="56"/>
      <c r="AQ47" s="56"/>
      <c r="AR47" s="56"/>
      <c r="AS47" s="56"/>
      <c r="AT47" s="56"/>
      <c r="AU47" s="104"/>
      <c r="AV47" s="104"/>
      <c r="AX47" s="90"/>
      <c r="AY47" s="91"/>
      <c r="AZ47" s="24">
        <f t="shared" si="6"/>
        <v>0</v>
      </c>
      <c r="BA47" s="92">
        <v>0</v>
      </c>
      <c r="BB47" s="93"/>
      <c r="BC47" s="94">
        <f t="shared" si="7"/>
        <v>0</v>
      </c>
      <c r="BD47" s="96">
        <f t="shared" si="10"/>
        <v>9</v>
      </c>
      <c r="BE47" s="96">
        <f t="shared" si="8"/>
        <v>9</v>
      </c>
      <c r="BF47" s="96" t="str">
        <f t="shared" si="9"/>
        <v>TSLA</v>
      </c>
    </row>
    <row r="48" spans="1:60" ht="15.75" customHeight="1">
      <c r="A48" s="77" t="str">
        <f t="shared" si="0"/>
        <v>sABCD0006@hkmu.edu.hk</v>
      </c>
      <c r="B48" s="3" t="str">
        <f t="shared" si="1"/>
        <v>D0006</v>
      </c>
      <c r="C48" s="3" t="str">
        <f t="shared" si="2"/>
        <v>a6</v>
      </c>
      <c r="D48" s="29"/>
      <c r="E48" s="4"/>
      <c r="F48" s="105">
        <f>'Form Responses'!A39</f>
        <v>44572</v>
      </c>
      <c r="G48" s="79" t="str">
        <f>'Form Responses'!B39</f>
        <v>BUY (LONG)</v>
      </c>
      <c r="H48" s="98" t="str">
        <f>'Form Responses'!C39</f>
        <v>TSLA</v>
      </c>
      <c r="I48" s="102" t="str">
        <f>'Form Responses'!D39</f>
        <v>Stock</v>
      </c>
      <c r="J48" s="109">
        <f>'Form Responses'!E39</f>
        <v>10</v>
      </c>
      <c r="K48" s="103">
        <f>'Form Responses'!F39</f>
        <v>0</v>
      </c>
      <c r="L48" s="56">
        <f>'Form Responses'!G39</f>
        <v>0</v>
      </c>
      <c r="M48" s="104">
        <f>'Form Responses'!H39</f>
        <v>0</v>
      </c>
      <c r="N48" s="82">
        <f>'Form Responses'!I39</f>
        <v>1050</v>
      </c>
      <c r="O48" s="82" t="str">
        <f>'Form Responses'!J39</f>
        <v>a6</v>
      </c>
      <c r="P48" s="86" t="str">
        <f>'Form Responses'!K39</f>
        <v>sABCD0006@hkmu.edu.hk</v>
      </c>
      <c r="V48" s="3" t="s">
        <v>41</v>
      </c>
      <c r="W48" s="3" t="s">
        <v>89</v>
      </c>
      <c r="X48" s="3">
        <v>952.43</v>
      </c>
      <c r="Y48" s="3">
        <v>987.54</v>
      </c>
      <c r="Z48" s="3">
        <v>906.04</v>
      </c>
      <c r="AA48" s="3">
        <v>918.4</v>
      </c>
      <c r="AB48" s="3">
        <v>34955761</v>
      </c>
    </row>
    <row r="49" spans="1:28" ht="15.75" customHeight="1">
      <c r="A49" s="115"/>
      <c r="B49" s="115"/>
      <c r="C49" s="115"/>
      <c r="D49" s="115"/>
      <c r="E49" s="115"/>
      <c r="V49" s="3" t="s">
        <v>41</v>
      </c>
      <c r="W49" s="3" t="s">
        <v>89</v>
      </c>
      <c r="X49" s="3">
        <v>933.36</v>
      </c>
      <c r="Y49" s="3">
        <v>934.75</v>
      </c>
      <c r="Z49" s="3">
        <v>829</v>
      </c>
      <c r="AA49" s="3">
        <v>937.41</v>
      </c>
      <c r="AB49" s="3">
        <v>48341614</v>
      </c>
    </row>
    <row r="50" spans="1:28" ht="15.75" customHeight="1">
      <c r="A50" s="115"/>
      <c r="B50" s="115"/>
      <c r="C50" s="115"/>
      <c r="D50" s="115"/>
      <c r="E50" s="115"/>
    </row>
    <row r="51" spans="1:28" ht="15.75" customHeight="1">
      <c r="A51" s="115"/>
      <c r="B51" s="115"/>
      <c r="C51" s="115"/>
      <c r="D51" s="115"/>
      <c r="E51" s="115"/>
    </row>
    <row r="52" spans="1:28" ht="15.75" customHeight="1">
      <c r="A52" s="115"/>
      <c r="B52" s="115"/>
      <c r="C52" s="115"/>
      <c r="D52" s="115"/>
      <c r="E52" s="115"/>
    </row>
    <row r="53" spans="1:28" ht="15.75" customHeight="1">
      <c r="A53" s="115"/>
      <c r="B53" s="115"/>
      <c r="C53" s="115"/>
      <c r="D53" s="115"/>
      <c r="E53" s="115"/>
    </row>
    <row r="54" spans="1:28" ht="15.75" customHeight="1">
      <c r="A54" s="115"/>
      <c r="B54" s="115"/>
      <c r="C54" s="115"/>
      <c r="D54" s="115"/>
      <c r="E54" s="115"/>
    </row>
    <row r="55" spans="1:28" ht="15.75" customHeight="1">
      <c r="A55" s="115"/>
      <c r="B55" s="115"/>
      <c r="C55" s="115"/>
      <c r="D55" s="115"/>
      <c r="E55" s="115"/>
    </row>
    <row r="56" spans="1:28" ht="15.75" customHeight="1">
      <c r="A56" s="115"/>
      <c r="B56" s="115"/>
      <c r="C56" s="115"/>
      <c r="D56" s="115"/>
      <c r="E56" s="115"/>
    </row>
    <row r="57" spans="1:28" ht="15.75" customHeight="1">
      <c r="A57" s="115"/>
      <c r="B57" s="115"/>
      <c r="C57" s="115"/>
      <c r="D57" s="115"/>
      <c r="E57" s="115"/>
    </row>
    <row r="58" spans="1:28" ht="15.75" customHeight="1">
      <c r="A58" s="115"/>
      <c r="B58" s="115"/>
      <c r="C58" s="115"/>
      <c r="D58" s="115"/>
      <c r="E58" s="115"/>
    </row>
    <row r="59" spans="1:28" ht="15.75" customHeight="1">
      <c r="A59" s="115"/>
      <c r="B59" s="115"/>
      <c r="C59" s="115"/>
      <c r="D59" s="115"/>
      <c r="E59" s="115"/>
    </row>
    <row r="60" spans="1:28" ht="15.75" customHeight="1">
      <c r="A60" s="115"/>
      <c r="B60" s="115"/>
      <c r="C60" s="115"/>
      <c r="D60" s="115"/>
      <c r="E60" s="115"/>
    </row>
    <row r="61" spans="1:28" ht="15.75" customHeight="1">
      <c r="A61" s="115"/>
      <c r="B61" s="115"/>
      <c r="C61" s="115"/>
      <c r="D61" s="115"/>
      <c r="E61" s="115"/>
    </row>
    <row r="62" spans="1:28" ht="15.75" customHeight="1">
      <c r="A62" s="115"/>
      <c r="B62" s="115"/>
      <c r="C62" s="115"/>
      <c r="D62" s="115"/>
      <c r="E62" s="115"/>
    </row>
    <row r="63" spans="1:28" ht="15.75" customHeight="1">
      <c r="A63" s="115"/>
      <c r="B63" s="115"/>
      <c r="C63" s="115"/>
      <c r="D63" s="115"/>
      <c r="E63" s="115"/>
    </row>
    <row r="64" spans="1:28" ht="15.75" customHeight="1">
      <c r="A64" s="115"/>
      <c r="B64" s="115"/>
      <c r="C64" s="115"/>
      <c r="D64" s="115"/>
      <c r="E64" s="115"/>
    </row>
    <row r="65" spans="1:5" ht="15.75" customHeight="1">
      <c r="A65" s="115"/>
      <c r="B65" s="115"/>
      <c r="C65" s="115"/>
      <c r="D65" s="115"/>
      <c r="E65" s="115"/>
    </row>
    <row r="66" spans="1:5" ht="15.75" customHeight="1">
      <c r="A66" s="115"/>
      <c r="B66" s="115"/>
      <c r="C66" s="115"/>
      <c r="D66" s="115"/>
      <c r="E66" s="115"/>
    </row>
    <row r="67" spans="1:5" ht="15.75" customHeight="1">
      <c r="A67" s="115"/>
      <c r="B67" s="115"/>
      <c r="C67" s="115"/>
      <c r="D67" s="115"/>
      <c r="E67" s="115"/>
    </row>
    <row r="68" spans="1:5" ht="15.75" customHeight="1">
      <c r="A68" s="115"/>
      <c r="B68" s="115"/>
      <c r="C68" s="115"/>
      <c r="D68" s="115"/>
      <c r="E68" s="115"/>
    </row>
    <row r="69" spans="1:5" ht="15.75" customHeight="1">
      <c r="A69" s="115"/>
      <c r="B69" s="115"/>
      <c r="C69" s="115"/>
      <c r="D69" s="115"/>
      <c r="E69" s="115"/>
    </row>
    <row r="70" spans="1:5" ht="15.75" customHeight="1">
      <c r="A70" s="115"/>
      <c r="B70" s="115"/>
      <c r="C70" s="115"/>
      <c r="D70" s="115"/>
      <c r="E70" s="115"/>
    </row>
    <row r="71" spans="1:5" ht="15.75" customHeight="1">
      <c r="A71" s="115"/>
      <c r="B71" s="115"/>
      <c r="C71" s="115"/>
      <c r="D71" s="115"/>
      <c r="E71" s="115"/>
    </row>
    <row r="72" spans="1:5" ht="15.75" customHeight="1">
      <c r="A72" s="115"/>
      <c r="B72" s="115"/>
      <c r="C72" s="115"/>
      <c r="D72" s="115"/>
      <c r="E72" s="115"/>
    </row>
    <row r="73" spans="1:5" ht="15.75" customHeight="1">
      <c r="A73" s="115"/>
      <c r="B73" s="115"/>
      <c r="C73" s="115"/>
      <c r="D73" s="115"/>
      <c r="E73" s="115"/>
    </row>
    <row r="74" spans="1:5" ht="15.75" customHeight="1">
      <c r="A74" s="115"/>
      <c r="B74" s="115"/>
      <c r="C74" s="115"/>
      <c r="D74" s="115"/>
      <c r="E74" s="115"/>
    </row>
    <row r="75" spans="1:5" ht="15.75" customHeight="1">
      <c r="A75" s="115"/>
      <c r="B75" s="115"/>
      <c r="C75" s="115"/>
      <c r="D75" s="115"/>
      <c r="E75" s="115"/>
    </row>
    <row r="76" spans="1:5" ht="15.75" customHeight="1">
      <c r="A76" s="115"/>
      <c r="B76" s="115"/>
      <c r="C76" s="115"/>
      <c r="D76" s="115"/>
      <c r="E76" s="115"/>
    </row>
    <row r="77" spans="1:5" ht="15.75" customHeight="1">
      <c r="A77" s="115"/>
      <c r="B77" s="115"/>
      <c r="C77" s="115"/>
      <c r="D77" s="115"/>
      <c r="E77" s="115"/>
    </row>
    <row r="78" spans="1:5" ht="15.75" customHeight="1">
      <c r="A78" s="115"/>
      <c r="B78" s="115"/>
      <c r="C78" s="115"/>
      <c r="D78" s="115"/>
      <c r="E78" s="115"/>
    </row>
    <row r="79" spans="1:5" ht="15.75" customHeight="1">
      <c r="A79" s="115"/>
      <c r="B79" s="115"/>
      <c r="C79" s="115"/>
      <c r="D79" s="115"/>
      <c r="E79" s="115"/>
    </row>
    <row r="80" spans="1:5" ht="15.75" customHeight="1">
      <c r="A80" s="115"/>
      <c r="B80" s="115"/>
      <c r="C80" s="115"/>
      <c r="D80" s="115"/>
      <c r="E80" s="115"/>
    </row>
    <row r="81" spans="1:5" ht="15.75" customHeight="1">
      <c r="A81" s="115"/>
      <c r="B81" s="115"/>
      <c r="C81" s="115"/>
      <c r="D81" s="115"/>
      <c r="E81" s="115"/>
    </row>
    <row r="82" spans="1:5" ht="15.75" customHeight="1">
      <c r="A82" s="115"/>
      <c r="B82" s="115"/>
      <c r="C82" s="115"/>
      <c r="D82" s="115"/>
      <c r="E82" s="115"/>
    </row>
    <row r="83" spans="1:5" ht="15.75" customHeight="1">
      <c r="A83" s="115"/>
      <c r="B83" s="115"/>
      <c r="C83" s="115"/>
      <c r="D83" s="115"/>
      <c r="E83" s="115"/>
    </row>
    <row r="84" spans="1:5" ht="15.75" customHeight="1">
      <c r="A84" s="115"/>
      <c r="B84" s="115"/>
      <c r="C84" s="115"/>
      <c r="D84" s="115"/>
      <c r="E84" s="115"/>
    </row>
    <row r="85" spans="1:5" ht="15.75" customHeight="1">
      <c r="A85" s="115"/>
      <c r="B85" s="115"/>
      <c r="C85" s="115"/>
      <c r="D85" s="115"/>
      <c r="E85" s="115"/>
    </row>
    <row r="86" spans="1:5" ht="15.75" customHeight="1">
      <c r="A86" s="115"/>
      <c r="B86" s="115"/>
      <c r="C86" s="115"/>
      <c r="D86" s="115"/>
      <c r="E86" s="115"/>
    </row>
    <row r="87" spans="1:5" ht="15.75" customHeight="1">
      <c r="A87" s="115"/>
      <c r="B87" s="115"/>
      <c r="C87" s="115"/>
      <c r="D87" s="115"/>
      <c r="E87" s="115"/>
    </row>
    <row r="88" spans="1:5" ht="15.75" customHeight="1">
      <c r="A88" s="115"/>
      <c r="B88" s="115"/>
      <c r="C88" s="115"/>
      <c r="D88" s="115"/>
      <c r="E88" s="115"/>
    </row>
    <row r="89" spans="1:5" ht="15.75" customHeight="1">
      <c r="A89" s="115"/>
      <c r="B89" s="115"/>
      <c r="C89" s="115"/>
      <c r="D89" s="115"/>
      <c r="E89" s="115"/>
    </row>
    <row r="90" spans="1:5" ht="15.75" customHeight="1">
      <c r="A90" s="115"/>
      <c r="B90" s="115"/>
      <c r="C90" s="115"/>
      <c r="D90" s="115"/>
      <c r="E90" s="115"/>
    </row>
    <row r="91" spans="1:5" ht="15.75" customHeight="1">
      <c r="A91" s="115"/>
      <c r="B91" s="115"/>
      <c r="C91" s="115"/>
      <c r="D91" s="115"/>
      <c r="E91" s="115"/>
    </row>
    <row r="92" spans="1:5" ht="15.75" customHeight="1">
      <c r="A92" s="115"/>
      <c r="B92" s="115"/>
      <c r="C92" s="115"/>
      <c r="D92" s="115"/>
      <c r="E92" s="115"/>
    </row>
    <row r="93" spans="1:5" ht="15.75" customHeight="1">
      <c r="A93" s="115"/>
      <c r="B93" s="115"/>
      <c r="C93" s="115"/>
      <c r="D93" s="115"/>
      <c r="E93" s="115"/>
    </row>
    <row r="94" spans="1:5" ht="13">
      <c r="A94" s="115"/>
      <c r="B94" s="115"/>
      <c r="C94" s="115"/>
      <c r="D94" s="115"/>
      <c r="E94" s="115"/>
    </row>
    <row r="95" spans="1:5" ht="13">
      <c r="A95" s="115"/>
      <c r="B95" s="115"/>
      <c r="C95" s="115"/>
      <c r="D95" s="115"/>
      <c r="E95" s="115"/>
    </row>
    <row r="96" spans="1:5" ht="13">
      <c r="A96" s="115"/>
      <c r="B96" s="115"/>
      <c r="C96" s="115"/>
      <c r="D96" s="115"/>
      <c r="E96" s="115"/>
    </row>
    <row r="97" spans="1:5" ht="13">
      <c r="A97" s="115"/>
      <c r="B97" s="115"/>
      <c r="C97" s="115"/>
      <c r="D97" s="115"/>
      <c r="E97" s="115"/>
    </row>
    <row r="98" spans="1:5" ht="13">
      <c r="A98" s="115"/>
      <c r="B98" s="115"/>
      <c r="C98" s="115"/>
      <c r="D98" s="115"/>
      <c r="E98" s="115"/>
    </row>
    <row r="99" spans="1:5" ht="13">
      <c r="A99" s="115"/>
      <c r="B99" s="115"/>
      <c r="C99" s="115"/>
      <c r="D99" s="115"/>
      <c r="E99" s="115"/>
    </row>
    <row r="100" spans="1:5" ht="13">
      <c r="A100" s="115"/>
      <c r="B100" s="115"/>
      <c r="C100" s="115"/>
      <c r="D100" s="115"/>
      <c r="E100" s="115"/>
    </row>
    <row r="101" spans="1:5" ht="13">
      <c r="A101" s="115"/>
      <c r="B101" s="115"/>
      <c r="C101" s="115"/>
      <c r="D101" s="115"/>
      <c r="E101" s="115"/>
    </row>
    <row r="102" spans="1:5" ht="13">
      <c r="A102" s="115"/>
      <c r="B102" s="115"/>
      <c r="C102" s="115"/>
      <c r="D102" s="115"/>
      <c r="E102" s="115"/>
    </row>
    <row r="103" spans="1:5" ht="13">
      <c r="A103" s="115"/>
      <c r="B103" s="115"/>
      <c r="C103" s="115"/>
      <c r="D103" s="115"/>
      <c r="E103" s="115"/>
    </row>
    <row r="104" spans="1:5" ht="13">
      <c r="A104" s="115"/>
      <c r="B104" s="115"/>
      <c r="C104" s="115"/>
      <c r="D104" s="115"/>
      <c r="E104" s="115"/>
    </row>
    <row r="105" spans="1:5" ht="13">
      <c r="A105" s="115"/>
      <c r="B105" s="115"/>
      <c r="C105" s="115"/>
      <c r="D105" s="115"/>
      <c r="E105" s="115"/>
    </row>
    <row r="106" spans="1:5" ht="13">
      <c r="A106" s="115"/>
      <c r="B106" s="115"/>
      <c r="C106" s="115"/>
      <c r="D106" s="115"/>
      <c r="E106" s="115"/>
    </row>
    <row r="107" spans="1:5" ht="13">
      <c r="A107" s="115"/>
      <c r="B107" s="115"/>
      <c r="C107" s="115"/>
      <c r="D107" s="115"/>
      <c r="E107" s="115"/>
    </row>
    <row r="108" spans="1:5" ht="13">
      <c r="A108" s="115"/>
      <c r="B108" s="115"/>
      <c r="C108" s="115"/>
      <c r="D108" s="115"/>
      <c r="E108" s="115"/>
    </row>
    <row r="109" spans="1:5" ht="13">
      <c r="A109" s="115"/>
      <c r="B109" s="115"/>
      <c r="C109" s="115"/>
      <c r="D109" s="115"/>
      <c r="E109" s="115"/>
    </row>
    <row r="110" spans="1:5" ht="13">
      <c r="A110" s="115"/>
      <c r="B110" s="115"/>
      <c r="C110" s="115"/>
      <c r="D110" s="115"/>
      <c r="E110" s="115"/>
    </row>
    <row r="111" spans="1:5" ht="13">
      <c r="A111" s="115"/>
      <c r="B111" s="115"/>
      <c r="C111" s="115"/>
      <c r="D111" s="115"/>
      <c r="E111" s="115"/>
    </row>
    <row r="112" spans="1:5" ht="13">
      <c r="A112" s="115"/>
      <c r="B112" s="115"/>
      <c r="C112" s="115"/>
      <c r="D112" s="115"/>
      <c r="E112" s="115"/>
    </row>
    <row r="113" spans="1:5" ht="13">
      <c r="A113" s="115"/>
      <c r="B113" s="115"/>
      <c r="C113" s="115"/>
      <c r="D113" s="115"/>
      <c r="E113" s="115"/>
    </row>
    <row r="114" spans="1:5" ht="13">
      <c r="A114" s="115"/>
      <c r="B114" s="115"/>
      <c r="C114" s="115"/>
      <c r="D114" s="115"/>
      <c r="E114" s="115"/>
    </row>
    <row r="115" spans="1:5" ht="13">
      <c r="A115" s="115"/>
      <c r="B115" s="115"/>
      <c r="C115" s="115"/>
      <c r="D115" s="115"/>
      <c r="E115" s="115"/>
    </row>
    <row r="116" spans="1:5" ht="13">
      <c r="A116" s="115"/>
      <c r="B116" s="115"/>
      <c r="C116" s="115"/>
      <c r="D116" s="115"/>
      <c r="E116" s="115"/>
    </row>
    <row r="117" spans="1:5" ht="13">
      <c r="A117" s="115"/>
      <c r="B117" s="115"/>
      <c r="C117" s="115"/>
      <c r="D117" s="115"/>
      <c r="E117" s="115"/>
    </row>
    <row r="118" spans="1:5" ht="13">
      <c r="A118" s="115"/>
      <c r="B118" s="115"/>
      <c r="C118" s="115"/>
      <c r="D118" s="115"/>
      <c r="E118" s="115"/>
    </row>
    <row r="119" spans="1:5" ht="13">
      <c r="A119" s="115"/>
      <c r="B119" s="115"/>
      <c r="C119" s="115"/>
      <c r="D119" s="115"/>
      <c r="E119" s="115"/>
    </row>
    <row r="120" spans="1:5" ht="13">
      <c r="A120" s="115"/>
      <c r="B120" s="115"/>
      <c r="C120" s="115"/>
      <c r="D120" s="115"/>
      <c r="E120" s="115"/>
    </row>
    <row r="121" spans="1:5" ht="13">
      <c r="A121" s="115"/>
      <c r="B121" s="115"/>
      <c r="C121" s="115"/>
      <c r="D121" s="115"/>
      <c r="E121" s="115"/>
    </row>
    <row r="122" spans="1:5" ht="13">
      <c r="A122" s="115"/>
      <c r="B122" s="115"/>
      <c r="C122" s="115"/>
      <c r="D122" s="115"/>
      <c r="E122" s="115"/>
    </row>
    <row r="123" spans="1:5" ht="13">
      <c r="A123" s="115"/>
      <c r="B123" s="115"/>
      <c r="C123" s="115"/>
      <c r="D123" s="115"/>
      <c r="E123" s="115"/>
    </row>
    <row r="124" spans="1:5" ht="13">
      <c r="A124" s="115"/>
      <c r="B124" s="115"/>
      <c r="C124" s="115"/>
      <c r="D124" s="115"/>
      <c r="E124" s="115"/>
    </row>
    <row r="125" spans="1:5" ht="13">
      <c r="A125" s="115"/>
      <c r="B125" s="115"/>
      <c r="C125" s="115"/>
      <c r="D125" s="115"/>
      <c r="E125" s="115"/>
    </row>
    <row r="126" spans="1:5" ht="13">
      <c r="A126" s="115"/>
      <c r="B126" s="115"/>
      <c r="C126" s="115"/>
      <c r="D126" s="115"/>
      <c r="E126" s="115"/>
    </row>
    <row r="127" spans="1:5" ht="13">
      <c r="A127" s="115"/>
      <c r="B127" s="115"/>
      <c r="C127" s="115"/>
      <c r="D127" s="115"/>
      <c r="E127" s="115"/>
    </row>
    <row r="128" spans="1:5" ht="13">
      <c r="A128" s="115"/>
      <c r="B128" s="115"/>
      <c r="C128" s="115"/>
      <c r="D128" s="115"/>
      <c r="E128" s="115"/>
    </row>
    <row r="129" spans="1:5" ht="13">
      <c r="A129" s="115"/>
      <c r="B129" s="115"/>
      <c r="C129" s="115"/>
      <c r="D129" s="115"/>
      <c r="E129" s="115"/>
    </row>
    <row r="130" spans="1:5" ht="13">
      <c r="A130" s="115"/>
      <c r="B130" s="115"/>
      <c r="C130" s="115"/>
      <c r="D130" s="115"/>
      <c r="E130" s="115"/>
    </row>
    <row r="131" spans="1:5" ht="13">
      <c r="A131" s="115"/>
      <c r="B131" s="115"/>
      <c r="C131" s="115"/>
      <c r="D131" s="115"/>
      <c r="E131" s="115"/>
    </row>
    <row r="132" spans="1:5" ht="13">
      <c r="A132" s="115"/>
      <c r="B132" s="115"/>
      <c r="C132" s="115"/>
      <c r="D132" s="115"/>
      <c r="E132" s="115"/>
    </row>
    <row r="133" spans="1:5" ht="13">
      <c r="A133" s="115"/>
      <c r="B133" s="115"/>
      <c r="C133" s="115"/>
      <c r="D133" s="115"/>
      <c r="E133" s="115"/>
    </row>
    <row r="134" spans="1:5" ht="13">
      <c r="A134" s="115"/>
      <c r="B134" s="115"/>
      <c r="C134" s="115"/>
      <c r="D134" s="115"/>
      <c r="E134" s="115"/>
    </row>
    <row r="135" spans="1:5" ht="13">
      <c r="A135" s="115"/>
      <c r="B135" s="115"/>
      <c r="C135" s="115"/>
      <c r="D135" s="115"/>
      <c r="E135" s="115"/>
    </row>
    <row r="136" spans="1:5" ht="13">
      <c r="A136" s="115"/>
      <c r="B136" s="115"/>
      <c r="C136" s="115"/>
      <c r="D136" s="115"/>
      <c r="E136" s="115"/>
    </row>
    <row r="137" spans="1:5" ht="13">
      <c r="A137" s="115"/>
      <c r="B137" s="115"/>
      <c r="C137" s="115"/>
      <c r="D137" s="115"/>
      <c r="E137" s="115"/>
    </row>
    <row r="138" spans="1:5" ht="13">
      <c r="A138" s="115"/>
      <c r="B138" s="115"/>
      <c r="C138" s="115"/>
      <c r="D138" s="115"/>
      <c r="E138" s="115"/>
    </row>
    <row r="139" spans="1:5" ht="13">
      <c r="A139" s="115"/>
      <c r="B139" s="115"/>
      <c r="C139" s="115"/>
      <c r="D139" s="115"/>
      <c r="E139" s="115"/>
    </row>
    <row r="140" spans="1:5" ht="13">
      <c r="A140" s="115"/>
      <c r="B140" s="115"/>
      <c r="C140" s="115"/>
      <c r="D140" s="115"/>
      <c r="E140" s="115"/>
    </row>
    <row r="141" spans="1:5" ht="13">
      <c r="A141" s="115"/>
      <c r="B141" s="115"/>
      <c r="C141" s="115"/>
      <c r="D141" s="115"/>
      <c r="E141" s="115"/>
    </row>
    <row r="142" spans="1:5" ht="13">
      <c r="A142" s="115"/>
      <c r="B142" s="115"/>
      <c r="C142" s="115"/>
      <c r="D142" s="115"/>
      <c r="E142" s="115"/>
    </row>
    <row r="143" spans="1:5" ht="13">
      <c r="A143" s="115"/>
      <c r="B143" s="115"/>
      <c r="C143" s="115"/>
      <c r="D143" s="115"/>
      <c r="E143" s="115"/>
    </row>
    <row r="144" spans="1:5" ht="13">
      <c r="A144" s="115"/>
      <c r="B144" s="115"/>
      <c r="C144" s="115"/>
      <c r="D144" s="115"/>
      <c r="E144" s="115"/>
    </row>
    <row r="145" spans="1:5" ht="13">
      <c r="A145" s="115"/>
      <c r="B145" s="115"/>
      <c r="C145" s="115"/>
      <c r="D145" s="115"/>
      <c r="E145" s="115"/>
    </row>
    <row r="146" spans="1:5" ht="13">
      <c r="A146" s="115"/>
      <c r="B146" s="115"/>
      <c r="C146" s="115"/>
      <c r="D146" s="115"/>
      <c r="E146" s="115"/>
    </row>
    <row r="147" spans="1:5" ht="13">
      <c r="A147" s="115"/>
      <c r="B147" s="115"/>
      <c r="C147" s="115"/>
      <c r="D147" s="115"/>
      <c r="E147" s="115"/>
    </row>
    <row r="148" spans="1:5" ht="13">
      <c r="A148" s="115"/>
      <c r="B148" s="115"/>
      <c r="C148" s="115"/>
      <c r="D148" s="115"/>
      <c r="E148" s="115"/>
    </row>
    <row r="149" spans="1:5" ht="13">
      <c r="A149" s="115"/>
      <c r="B149" s="115"/>
      <c r="C149" s="115"/>
      <c r="D149" s="115"/>
      <c r="E149" s="115"/>
    </row>
    <row r="150" spans="1:5" ht="13">
      <c r="A150" s="115"/>
      <c r="B150" s="115"/>
      <c r="C150" s="115"/>
      <c r="D150" s="115"/>
      <c r="E150" s="115"/>
    </row>
    <row r="151" spans="1:5" ht="13">
      <c r="A151" s="115"/>
      <c r="B151" s="115"/>
      <c r="C151" s="115"/>
      <c r="D151" s="115"/>
      <c r="E151" s="115"/>
    </row>
    <row r="152" spans="1:5" ht="13">
      <c r="A152" s="115"/>
      <c r="B152" s="115"/>
      <c r="C152" s="115"/>
      <c r="D152" s="115"/>
      <c r="E152" s="115"/>
    </row>
    <row r="153" spans="1:5" ht="13">
      <c r="A153" s="115"/>
      <c r="B153" s="115"/>
      <c r="C153" s="115"/>
      <c r="D153" s="115"/>
      <c r="E153" s="115"/>
    </row>
    <row r="154" spans="1:5" ht="13">
      <c r="A154" s="115"/>
      <c r="B154" s="115"/>
      <c r="C154" s="115"/>
      <c r="D154" s="115"/>
      <c r="E154" s="115"/>
    </row>
    <row r="155" spans="1:5" ht="13">
      <c r="A155" s="115"/>
      <c r="B155" s="115"/>
      <c r="C155" s="115"/>
      <c r="D155" s="115"/>
      <c r="E155" s="115"/>
    </row>
    <row r="156" spans="1:5" ht="13">
      <c r="A156" s="115"/>
      <c r="B156" s="115"/>
      <c r="C156" s="115"/>
      <c r="D156" s="115"/>
      <c r="E156" s="115"/>
    </row>
    <row r="157" spans="1:5" ht="13">
      <c r="A157" s="115"/>
      <c r="B157" s="115"/>
      <c r="C157" s="115"/>
      <c r="D157" s="115"/>
      <c r="E157" s="115"/>
    </row>
    <row r="158" spans="1:5" ht="13">
      <c r="A158" s="115"/>
      <c r="B158" s="115"/>
      <c r="C158" s="115"/>
      <c r="D158" s="115"/>
      <c r="E158" s="115"/>
    </row>
    <row r="159" spans="1:5" ht="13">
      <c r="A159" s="115"/>
      <c r="B159" s="115"/>
      <c r="C159" s="115"/>
      <c r="D159" s="115"/>
      <c r="E159" s="115"/>
    </row>
    <row r="160" spans="1:5" ht="13">
      <c r="A160" s="115"/>
      <c r="B160" s="115"/>
      <c r="C160" s="115"/>
      <c r="D160" s="115"/>
      <c r="E160" s="115"/>
    </row>
    <row r="161" spans="1:5" ht="13">
      <c r="A161" s="115"/>
      <c r="B161" s="115"/>
      <c r="C161" s="115"/>
      <c r="D161" s="115"/>
      <c r="E161" s="115"/>
    </row>
    <row r="162" spans="1:5" ht="13">
      <c r="A162" s="115"/>
      <c r="B162" s="115"/>
      <c r="C162" s="115"/>
      <c r="D162" s="115"/>
      <c r="E162" s="115"/>
    </row>
    <row r="163" spans="1:5" ht="13">
      <c r="A163" s="115"/>
      <c r="B163" s="115"/>
      <c r="C163" s="115"/>
      <c r="D163" s="115"/>
      <c r="E163" s="115"/>
    </row>
    <row r="164" spans="1:5" ht="13">
      <c r="A164" s="115"/>
      <c r="B164" s="115"/>
      <c r="C164" s="115"/>
      <c r="D164" s="115"/>
      <c r="E164" s="115"/>
    </row>
    <row r="165" spans="1:5" ht="13">
      <c r="A165" s="115"/>
      <c r="B165" s="115"/>
      <c r="C165" s="115"/>
      <c r="D165" s="115"/>
      <c r="E165" s="115"/>
    </row>
    <row r="166" spans="1:5" ht="13">
      <c r="A166" s="115"/>
      <c r="B166" s="115"/>
      <c r="C166" s="115"/>
      <c r="D166" s="115"/>
      <c r="E166" s="115"/>
    </row>
    <row r="167" spans="1:5" ht="13">
      <c r="A167" s="115"/>
      <c r="B167" s="115"/>
      <c r="C167" s="115"/>
      <c r="D167" s="115"/>
      <c r="E167" s="115"/>
    </row>
    <row r="168" spans="1:5" ht="13">
      <c r="A168" s="115"/>
      <c r="B168" s="115"/>
      <c r="C168" s="115"/>
      <c r="D168" s="115"/>
      <c r="E168" s="115"/>
    </row>
    <row r="169" spans="1:5" ht="13">
      <c r="A169" s="115"/>
      <c r="B169" s="115"/>
      <c r="C169" s="115"/>
      <c r="D169" s="115"/>
      <c r="E169" s="115"/>
    </row>
    <row r="170" spans="1:5" ht="13">
      <c r="A170" s="115"/>
      <c r="B170" s="115"/>
      <c r="C170" s="115"/>
      <c r="D170" s="115"/>
      <c r="E170" s="115"/>
    </row>
    <row r="171" spans="1:5" ht="13">
      <c r="A171" s="115"/>
      <c r="B171" s="115"/>
      <c r="C171" s="115"/>
      <c r="D171" s="115"/>
      <c r="E171" s="115"/>
    </row>
    <row r="172" spans="1:5" ht="13">
      <c r="A172" s="115"/>
      <c r="B172" s="115"/>
      <c r="C172" s="115"/>
      <c r="D172" s="115"/>
      <c r="E172" s="115"/>
    </row>
    <row r="173" spans="1:5" ht="13">
      <c r="A173" s="115"/>
      <c r="B173" s="115"/>
      <c r="C173" s="115"/>
      <c r="D173" s="115"/>
      <c r="E173" s="115"/>
    </row>
    <row r="174" spans="1:5" ht="13">
      <c r="A174" s="115"/>
      <c r="B174" s="115"/>
      <c r="C174" s="115"/>
      <c r="D174" s="115"/>
      <c r="E174" s="115"/>
    </row>
    <row r="175" spans="1:5" ht="13">
      <c r="A175" s="115"/>
      <c r="B175" s="115"/>
      <c r="C175" s="115"/>
      <c r="D175" s="115"/>
      <c r="E175" s="115"/>
    </row>
    <row r="176" spans="1:5" ht="13">
      <c r="A176" s="115"/>
      <c r="B176" s="115"/>
      <c r="C176" s="115"/>
      <c r="D176" s="115"/>
      <c r="E176" s="115"/>
    </row>
    <row r="177" spans="1:5" ht="13">
      <c r="A177" s="115"/>
      <c r="B177" s="115"/>
      <c r="C177" s="115"/>
      <c r="D177" s="115"/>
      <c r="E177" s="115"/>
    </row>
    <row r="178" spans="1:5" ht="13">
      <c r="A178" s="115"/>
      <c r="B178" s="115"/>
      <c r="C178" s="115"/>
      <c r="D178" s="115"/>
      <c r="E178" s="115"/>
    </row>
    <row r="179" spans="1:5" ht="13">
      <c r="A179" s="115"/>
      <c r="B179" s="115"/>
      <c r="C179" s="115"/>
      <c r="D179" s="115"/>
      <c r="E179" s="115"/>
    </row>
    <row r="180" spans="1:5" ht="13">
      <c r="A180" s="115"/>
      <c r="B180" s="115"/>
      <c r="C180" s="115"/>
      <c r="D180" s="115"/>
      <c r="E180" s="115"/>
    </row>
    <row r="181" spans="1:5" ht="13">
      <c r="A181" s="115"/>
      <c r="B181" s="115"/>
      <c r="C181" s="115"/>
      <c r="D181" s="115"/>
      <c r="E181" s="115"/>
    </row>
    <row r="182" spans="1:5" ht="13">
      <c r="A182" s="115"/>
      <c r="B182" s="115"/>
      <c r="C182" s="115"/>
      <c r="D182" s="115"/>
      <c r="E182" s="115"/>
    </row>
    <row r="183" spans="1:5" ht="13">
      <c r="A183" s="115"/>
      <c r="B183" s="115"/>
      <c r="C183" s="115"/>
      <c r="D183" s="115"/>
      <c r="E183" s="115"/>
    </row>
    <row r="184" spans="1:5" ht="13">
      <c r="A184" s="115"/>
      <c r="B184" s="115"/>
      <c r="C184" s="115"/>
      <c r="D184" s="115"/>
      <c r="E184" s="115"/>
    </row>
    <row r="185" spans="1:5" ht="13">
      <c r="A185" s="115"/>
      <c r="B185" s="115"/>
      <c r="C185" s="115"/>
      <c r="D185" s="115"/>
      <c r="E185" s="115"/>
    </row>
    <row r="186" spans="1:5" ht="13">
      <c r="A186" s="115"/>
      <c r="B186" s="115"/>
      <c r="C186" s="115"/>
      <c r="D186" s="115"/>
      <c r="E186" s="115"/>
    </row>
    <row r="187" spans="1:5" ht="13">
      <c r="A187" s="115"/>
      <c r="B187" s="115"/>
      <c r="C187" s="115"/>
      <c r="D187" s="115"/>
      <c r="E187" s="115"/>
    </row>
    <row r="188" spans="1:5" ht="13">
      <c r="A188" s="115"/>
      <c r="B188" s="115"/>
      <c r="C188" s="115"/>
      <c r="D188" s="115"/>
      <c r="E188" s="115"/>
    </row>
    <row r="189" spans="1:5" ht="13">
      <c r="A189" s="115"/>
      <c r="B189" s="115"/>
      <c r="C189" s="115"/>
      <c r="D189" s="115"/>
      <c r="E189" s="115"/>
    </row>
    <row r="190" spans="1:5" ht="13">
      <c r="A190" s="115"/>
      <c r="B190" s="115"/>
      <c r="C190" s="115"/>
      <c r="D190" s="115"/>
      <c r="E190" s="115"/>
    </row>
    <row r="191" spans="1:5" ht="13">
      <c r="A191" s="115"/>
      <c r="B191" s="115"/>
      <c r="C191" s="115"/>
      <c r="D191" s="115"/>
      <c r="E191" s="115"/>
    </row>
    <row r="192" spans="1:5" ht="13">
      <c r="A192" s="115"/>
      <c r="B192" s="115"/>
      <c r="C192" s="115"/>
      <c r="D192" s="115"/>
      <c r="E192" s="115"/>
    </row>
    <row r="193" spans="1:5" ht="13">
      <c r="A193" s="115"/>
      <c r="B193" s="115"/>
      <c r="C193" s="115"/>
      <c r="D193" s="115"/>
      <c r="E193" s="115"/>
    </row>
    <row r="194" spans="1:5" ht="13">
      <c r="A194" s="115"/>
      <c r="B194" s="115"/>
      <c r="C194" s="115"/>
      <c r="D194" s="115"/>
      <c r="E194" s="115"/>
    </row>
    <row r="195" spans="1:5" ht="13">
      <c r="A195" s="115"/>
      <c r="B195" s="115"/>
      <c r="C195" s="115"/>
      <c r="D195" s="115"/>
      <c r="E195" s="115"/>
    </row>
    <row r="196" spans="1:5" ht="13">
      <c r="A196" s="115"/>
      <c r="B196" s="115"/>
      <c r="C196" s="115"/>
      <c r="D196" s="115"/>
      <c r="E196" s="115"/>
    </row>
    <row r="197" spans="1:5" ht="13">
      <c r="A197" s="115"/>
      <c r="B197" s="115"/>
      <c r="C197" s="115"/>
      <c r="D197" s="115"/>
      <c r="E197" s="115"/>
    </row>
    <row r="198" spans="1:5" ht="13">
      <c r="A198" s="115"/>
      <c r="B198" s="115"/>
      <c r="C198" s="115"/>
      <c r="D198" s="115"/>
      <c r="E198" s="115"/>
    </row>
    <row r="199" spans="1:5" ht="13">
      <c r="A199" s="115"/>
      <c r="B199" s="115"/>
      <c r="C199" s="115"/>
      <c r="D199" s="115"/>
      <c r="E199" s="115"/>
    </row>
    <row r="200" spans="1:5" ht="13">
      <c r="A200" s="115"/>
      <c r="B200" s="115"/>
      <c r="C200" s="115"/>
      <c r="D200" s="115"/>
      <c r="E200" s="115"/>
    </row>
    <row r="201" spans="1:5" ht="13">
      <c r="A201" s="115"/>
      <c r="B201" s="115"/>
      <c r="C201" s="115"/>
      <c r="D201" s="115"/>
      <c r="E201" s="115"/>
    </row>
    <row r="202" spans="1:5" ht="13">
      <c r="A202" s="115"/>
      <c r="B202" s="115"/>
      <c r="C202" s="115"/>
      <c r="D202" s="115"/>
      <c r="E202" s="115"/>
    </row>
    <row r="203" spans="1:5" ht="13">
      <c r="A203" s="115"/>
      <c r="B203" s="115"/>
      <c r="C203" s="115"/>
      <c r="D203" s="115"/>
      <c r="E203" s="115"/>
    </row>
    <row r="204" spans="1:5" ht="13">
      <c r="A204" s="115"/>
      <c r="B204" s="115"/>
      <c r="C204" s="115"/>
      <c r="D204" s="115"/>
      <c r="E204" s="115"/>
    </row>
    <row r="205" spans="1:5" ht="13">
      <c r="A205" s="115"/>
      <c r="B205" s="115"/>
      <c r="C205" s="115"/>
      <c r="D205" s="115"/>
      <c r="E205" s="115"/>
    </row>
    <row r="206" spans="1:5" ht="13">
      <c r="A206" s="115"/>
      <c r="B206" s="115"/>
      <c r="C206" s="115"/>
      <c r="D206" s="115"/>
      <c r="E206" s="115"/>
    </row>
    <row r="207" spans="1:5" ht="13">
      <c r="A207" s="115"/>
      <c r="B207" s="115"/>
      <c r="C207" s="115"/>
      <c r="D207" s="115"/>
      <c r="E207" s="115"/>
    </row>
    <row r="208" spans="1:5" ht="13">
      <c r="A208" s="115"/>
      <c r="B208" s="115"/>
      <c r="C208" s="115"/>
      <c r="D208" s="115"/>
      <c r="E208" s="115"/>
    </row>
    <row r="209" spans="1:5" ht="13">
      <c r="A209" s="115"/>
      <c r="B209" s="115"/>
      <c r="C209" s="115"/>
      <c r="D209" s="115"/>
      <c r="E209" s="115"/>
    </row>
    <row r="210" spans="1:5" ht="13">
      <c r="A210" s="115"/>
      <c r="B210" s="115"/>
      <c r="C210" s="115"/>
      <c r="D210" s="115"/>
      <c r="E210" s="115"/>
    </row>
    <row r="211" spans="1:5" ht="13">
      <c r="A211" s="115"/>
      <c r="B211" s="115"/>
      <c r="C211" s="115"/>
      <c r="D211" s="115"/>
      <c r="E211" s="115"/>
    </row>
    <row r="212" spans="1:5" ht="13">
      <c r="A212" s="115"/>
      <c r="B212" s="115"/>
      <c r="C212" s="115"/>
      <c r="D212" s="115"/>
      <c r="E212" s="115"/>
    </row>
    <row r="213" spans="1:5" ht="13">
      <c r="A213" s="115"/>
      <c r="B213" s="115"/>
      <c r="C213" s="115"/>
      <c r="D213" s="115"/>
      <c r="E213" s="115"/>
    </row>
    <row r="214" spans="1:5" ht="13">
      <c r="A214" s="115"/>
      <c r="B214" s="115"/>
      <c r="C214" s="115"/>
      <c r="D214" s="115"/>
      <c r="E214" s="115"/>
    </row>
    <row r="215" spans="1:5" ht="13">
      <c r="A215" s="115"/>
      <c r="B215" s="115"/>
      <c r="C215" s="115"/>
      <c r="D215" s="115"/>
      <c r="E215" s="115"/>
    </row>
    <row r="216" spans="1:5" ht="13">
      <c r="A216" s="115"/>
      <c r="B216" s="115"/>
      <c r="C216" s="115"/>
      <c r="D216" s="115"/>
      <c r="E216" s="115"/>
    </row>
    <row r="217" spans="1:5" ht="13">
      <c r="A217" s="115"/>
      <c r="B217" s="115"/>
      <c r="C217" s="115"/>
      <c r="D217" s="115"/>
      <c r="E217" s="115"/>
    </row>
    <row r="218" spans="1:5" ht="13">
      <c r="A218" s="115"/>
      <c r="B218" s="115"/>
      <c r="C218" s="115"/>
      <c r="D218" s="115"/>
      <c r="E218" s="115"/>
    </row>
    <row r="219" spans="1:5" ht="13">
      <c r="A219" s="115"/>
      <c r="B219" s="115"/>
      <c r="C219" s="115"/>
      <c r="D219" s="115"/>
      <c r="E219" s="115"/>
    </row>
    <row r="220" spans="1:5" ht="13">
      <c r="A220" s="115"/>
      <c r="B220" s="115"/>
      <c r="C220" s="115"/>
      <c r="D220" s="115"/>
      <c r="E220" s="115"/>
    </row>
    <row r="221" spans="1:5" ht="13">
      <c r="A221" s="115"/>
      <c r="B221" s="115"/>
      <c r="C221" s="115"/>
      <c r="D221" s="115"/>
      <c r="E221" s="115"/>
    </row>
    <row r="222" spans="1:5" ht="13">
      <c r="A222" s="115"/>
      <c r="B222" s="115"/>
      <c r="C222" s="115"/>
      <c r="D222" s="115"/>
      <c r="E222" s="115"/>
    </row>
    <row r="223" spans="1:5" ht="13">
      <c r="A223" s="115"/>
      <c r="B223" s="115"/>
      <c r="C223" s="115"/>
      <c r="D223" s="115"/>
      <c r="E223" s="115"/>
    </row>
    <row r="224" spans="1:5" ht="13">
      <c r="A224" s="115"/>
      <c r="B224" s="115"/>
      <c r="C224" s="115"/>
      <c r="D224" s="115"/>
      <c r="E224" s="115"/>
    </row>
    <row r="225" spans="1:5" ht="13">
      <c r="A225" s="115"/>
      <c r="B225" s="115"/>
      <c r="C225" s="115"/>
      <c r="D225" s="115"/>
      <c r="E225" s="115"/>
    </row>
    <row r="226" spans="1:5" ht="13">
      <c r="A226" s="115"/>
      <c r="B226" s="115"/>
      <c r="C226" s="115"/>
      <c r="D226" s="115"/>
      <c r="E226" s="115"/>
    </row>
    <row r="227" spans="1:5" ht="13">
      <c r="A227" s="115"/>
      <c r="B227" s="115"/>
      <c r="C227" s="115"/>
      <c r="D227" s="115"/>
      <c r="E227" s="115"/>
    </row>
    <row r="228" spans="1:5" ht="13">
      <c r="A228" s="115"/>
      <c r="B228" s="115"/>
      <c r="C228" s="115"/>
      <c r="D228" s="115"/>
      <c r="E228" s="115"/>
    </row>
    <row r="229" spans="1:5" ht="13">
      <c r="A229" s="115"/>
      <c r="B229" s="115"/>
      <c r="C229" s="115"/>
      <c r="D229" s="115"/>
      <c r="E229" s="115"/>
    </row>
    <row r="230" spans="1:5" ht="13">
      <c r="A230" s="115"/>
      <c r="B230" s="115"/>
      <c r="C230" s="115"/>
      <c r="D230" s="115"/>
      <c r="E230" s="115"/>
    </row>
    <row r="231" spans="1:5" ht="13">
      <c r="A231" s="115"/>
      <c r="B231" s="115"/>
      <c r="C231" s="115"/>
      <c r="D231" s="115"/>
      <c r="E231" s="115"/>
    </row>
    <row r="232" spans="1:5" ht="13">
      <c r="A232" s="115"/>
      <c r="B232" s="115"/>
      <c r="C232" s="115"/>
      <c r="D232" s="115"/>
      <c r="E232" s="115"/>
    </row>
    <row r="233" spans="1:5" ht="13">
      <c r="A233" s="115"/>
      <c r="B233" s="115"/>
      <c r="C233" s="115"/>
      <c r="D233" s="115"/>
      <c r="E233" s="115"/>
    </row>
    <row r="234" spans="1:5" ht="13">
      <c r="A234" s="115"/>
      <c r="B234" s="115"/>
      <c r="C234" s="115"/>
      <c r="D234" s="115"/>
      <c r="E234" s="115"/>
    </row>
    <row r="235" spans="1:5" ht="13">
      <c r="A235" s="115"/>
      <c r="B235" s="115"/>
      <c r="C235" s="115"/>
      <c r="D235" s="115"/>
      <c r="E235" s="115"/>
    </row>
    <row r="236" spans="1:5" ht="13">
      <c r="A236" s="115"/>
      <c r="B236" s="115"/>
      <c r="C236" s="115"/>
      <c r="D236" s="115"/>
      <c r="E236" s="115"/>
    </row>
    <row r="237" spans="1:5" ht="13">
      <c r="A237" s="115"/>
      <c r="B237" s="115"/>
      <c r="C237" s="115"/>
      <c r="D237" s="115"/>
      <c r="E237" s="115"/>
    </row>
    <row r="238" spans="1:5" ht="13">
      <c r="A238" s="115"/>
      <c r="B238" s="115"/>
      <c r="C238" s="115"/>
      <c r="D238" s="115"/>
      <c r="E238" s="115"/>
    </row>
    <row r="239" spans="1:5" ht="13">
      <c r="A239" s="115"/>
      <c r="B239" s="115"/>
      <c r="C239" s="115"/>
      <c r="D239" s="115"/>
      <c r="E239" s="115"/>
    </row>
    <row r="240" spans="1:5" ht="13">
      <c r="A240" s="115"/>
      <c r="B240" s="115"/>
      <c r="C240" s="115"/>
      <c r="D240" s="115"/>
      <c r="E240" s="115"/>
    </row>
    <row r="241" spans="1:5" ht="13">
      <c r="A241" s="115"/>
      <c r="B241" s="115"/>
      <c r="C241" s="115"/>
      <c r="D241" s="115"/>
      <c r="E241" s="115"/>
    </row>
    <row r="242" spans="1:5" ht="13">
      <c r="A242" s="115"/>
      <c r="B242" s="115"/>
      <c r="C242" s="115"/>
      <c r="D242" s="115"/>
      <c r="E242" s="115"/>
    </row>
    <row r="243" spans="1:5" ht="13">
      <c r="A243" s="115"/>
      <c r="B243" s="115"/>
      <c r="C243" s="115"/>
      <c r="D243" s="115"/>
      <c r="E243" s="115"/>
    </row>
    <row r="244" spans="1:5" ht="13">
      <c r="A244" s="115"/>
      <c r="B244" s="115"/>
      <c r="C244" s="115"/>
      <c r="D244" s="115"/>
      <c r="E244" s="115"/>
    </row>
    <row r="245" spans="1:5" ht="13">
      <c r="A245" s="115"/>
      <c r="B245" s="115"/>
      <c r="C245" s="115"/>
      <c r="D245" s="115"/>
      <c r="E245" s="115"/>
    </row>
    <row r="246" spans="1:5" ht="13">
      <c r="A246" s="115"/>
      <c r="B246" s="115"/>
      <c r="C246" s="115"/>
      <c r="D246" s="115"/>
      <c r="E246" s="115"/>
    </row>
    <row r="247" spans="1:5" ht="13">
      <c r="A247" s="115"/>
      <c r="B247" s="115"/>
      <c r="C247" s="115"/>
      <c r="D247" s="115"/>
      <c r="E247" s="115"/>
    </row>
    <row r="248" spans="1:5" ht="13">
      <c r="A248" s="115"/>
      <c r="B248" s="115"/>
      <c r="C248" s="115"/>
      <c r="D248" s="115"/>
      <c r="E248" s="115"/>
    </row>
    <row r="249" spans="1:5" ht="13">
      <c r="A249" s="115"/>
      <c r="B249" s="115"/>
      <c r="C249" s="115"/>
      <c r="D249" s="115"/>
      <c r="E249" s="115"/>
    </row>
    <row r="250" spans="1:5" ht="13">
      <c r="A250" s="115"/>
      <c r="B250" s="115"/>
      <c r="C250" s="115"/>
      <c r="D250" s="115"/>
      <c r="E250" s="115"/>
    </row>
    <row r="251" spans="1:5" ht="13">
      <c r="A251" s="115"/>
      <c r="B251" s="115"/>
      <c r="C251" s="115"/>
      <c r="D251" s="115"/>
      <c r="E251" s="115"/>
    </row>
    <row r="252" spans="1:5" ht="13">
      <c r="A252" s="115"/>
      <c r="B252" s="115"/>
      <c r="C252" s="115"/>
      <c r="D252" s="115"/>
      <c r="E252" s="115"/>
    </row>
    <row r="253" spans="1:5" ht="13">
      <c r="A253" s="115"/>
      <c r="B253" s="115"/>
      <c r="C253" s="115"/>
      <c r="D253" s="115"/>
      <c r="E253" s="115"/>
    </row>
    <row r="254" spans="1:5" ht="13">
      <c r="A254" s="115"/>
      <c r="B254" s="115"/>
      <c r="C254" s="115"/>
      <c r="D254" s="115"/>
      <c r="E254" s="115"/>
    </row>
    <row r="255" spans="1:5" ht="13">
      <c r="A255" s="115"/>
      <c r="B255" s="115"/>
      <c r="C255" s="115"/>
      <c r="D255" s="115"/>
      <c r="E255" s="115"/>
    </row>
    <row r="256" spans="1:5" ht="13">
      <c r="A256" s="115"/>
      <c r="B256" s="115"/>
      <c r="C256" s="115"/>
      <c r="D256" s="115"/>
      <c r="E256" s="115"/>
    </row>
    <row r="257" spans="1:5" ht="13">
      <c r="A257" s="115"/>
      <c r="B257" s="115"/>
      <c r="C257" s="115"/>
      <c r="D257" s="115"/>
      <c r="E257" s="115"/>
    </row>
    <row r="258" spans="1:5" ht="13">
      <c r="A258" s="115"/>
      <c r="B258" s="115"/>
      <c r="C258" s="115"/>
      <c r="D258" s="115"/>
      <c r="E258" s="115"/>
    </row>
    <row r="259" spans="1:5" ht="13">
      <c r="A259" s="115"/>
      <c r="B259" s="115"/>
      <c r="C259" s="115"/>
      <c r="D259" s="115"/>
      <c r="E259" s="115"/>
    </row>
    <row r="260" spans="1:5" ht="13">
      <c r="A260" s="115"/>
      <c r="B260" s="115"/>
      <c r="C260" s="115"/>
      <c r="D260" s="115"/>
      <c r="E260" s="115"/>
    </row>
    <row r="261" spans="1:5" ht="13">
      <c r="A261" s="115"/>
      <c r="B261" s="115"/>
      <c r="C261" s="115"/>
      <c r="D261" s="115"/>
      <c r="E261" s="115"/>
    </row>
    <row r="262" spans="1:5" ht="13">
      <c r="A262" s="115"/>
      <c r="B262" s="115"/>
      <c r="C262" s="115"/>
      <c r="D262" s="115"/>
      <c r="E262" s="115"/>
    </row>
    <row r="263" spans="1:5" ht="13">
      <c r="A263" s="115"/>
      <c r="B263" s="115"/>
      <c r="C263" s="115"/>
      <c r="D263" s="115"/>
      <c r="E263" s="115"/>
    </row>
    <row r="264" spans="1:5" ht="13">
      <c r="A264" s="115"/>
      <c r="B264" s="115"/>
      <c r="C264" s="115"/>
      <c r="D264" s="115"/>
      <c r="E264" s="115"/>
    </row>
    <row r="265" spans="1:5" ht="13">
      <c r="A265" s="115"/>
      <c r="B265" s="115"/>
      <c r="C265" s="115"/>
      <c r="D265" s="115"/>
      <c r="E265" s="115"/>
    </row>
    <row r="266" spans="1:5" ht="13">
      <c r="A266" s="115"/>
      <c r="B266" s="115"/>
      <c r="C266" s="115"/>
      <c r="D266" s="115"/>
      <c r="E266" s="115"/>
    </row>
    <row r="267" spans="1:5" ht="13">
      <c r="A267" s="115"/>
      <c r="B267" s="115"/>
      <c r="C267" s="115"/>
      <c r="D267" s="115"/>
      <c r="E267" s="115"/>
    </row>
    <row r="268" spans="1:5" ht="13">
      <c r="A268" s="115"/>
      <c r="B268" s="115"/>
      <c r="C268" s="115"/>
      <c r="D268" s="115"/>
      <c r="E268" s="115"/>
    </row>
    <row r="269" spans="1:5" ht="13">
      <c r="A269" s="115"/>
      <c r="B269" s="115"/>
      <c r="C269" s="115"/>
      <c r="D269" s="115"/>
      <c r="E269" s="115"/>
    </row>
    <row r="270" spans="1:5" ht="13">
      <c r="A270" s="115"/>
      <c r="B270" s="115"/>
      <c r="C270" s="115"/>
      <c r="D270" s="115"/>
      <c r="E270" s="115"/>
    </row>
    <row r="271" spans="1:5" ht="13">
      <c r="A271" s="115"/>
      <c r="B271" s="115"/>
      <c r="C271" s="115"/>
      <c r="D271" s="115"/>
      <c r="E271" s="115"/>
    </row>
    <row r="272" spans="1:5" ht="13">
      <c r="A272" s="115"/>
      <c r="B272" s="115"/>
      <c r="C272" s="115"/>
      <c r="D272" s="115"/>
      <c r="E272" s="115"/>
    </row>
    <row r="273" spans="1:5" ht="13">
      <c r="A273" s="115"/>
      <c r="B273" s="115"/>
      <c r="C273" s="115"/>
      <c r="D273" s="115"/>
      <c r="E273" s="115"/>
    </row>
    <row r="274" spans="1:5" ht="13">
      <c r="A274" s="115"/>
      <c r="B274" s="115"/>
      <c r="C274" s="115"/>
      <c r="D274" s="115"/>
      <c r="E274" s="115"/>
    </row>
    <row r="275" spans="1:5" ht="13">
      <c r="A275" s="115"/>
      <c r="B275" s="115"/>
      <c r="C275" s="115"/>
      <c r="D275" s="115"/>
      <c r="E275" s="115"/>
    </row>
    <row r="276" spans="1:5" ht="13">
      <c r="A276" s="115"/>
      <c r="B276" s="115"/>
      <c r="C276" s="115"/>
      <c r="D276" s="115"/>
      <c r="E276" s="115"/>
    </row>
    <row r="277" spans="1:5" ht="13">
      <c r="A277" s="115"/>
      <c r="B277" s="115"/>
      <c r="C277" s="115"/>
      <c r="D277" s="115"/>
      <c r="E277" s="115"/>
    </row>
    <row r="278" spans="1:5" ht="13">
      <c r="A278" s="115"/>
      <c r="B278" s="115"/>
      <c r="C278" s="115"/>
      <c r="D278" s="115"/>
      <c r="E278" s="115"/>
    </row>
    <row r="279" spans="1:5" ht="13">
      <c r="A279" s="115"/>
      <c r="B279" s="115"/>
      <c r="C279" s="115"/>
      <c r="D279" s="115"/>
      <c r="E279" s="115"/>
    </row>
    <row r="280" spans="1:5" ht="13">
      <c r="A280" s="115"/>
      <c r="B280" s="115"/>
      <c r="C280" s="115"/>
      <c r="D280" s="115"/>
      <c r="E280" s="115"/>
    </row>
    <row r="281" spans="1:5" ht="13">
      <c r="A281" s="115"/>
      <c r="B281" s="115"/>
      <c r="C281" s="115"/>
      <c r="D281" s="115"/>
      <c r="E281" s="115"/>
    </row>
    <row r="282" spans="1:5" ht="13">
      <c r="A282" s="115"/>
      <c r="B282" s="115"/>
      <c r="C282" s="115"/>
      <c r="D282" s="115"/>
      <c r="E282" s="115"/>
    </row>
    <row r="283" spans="1:5" ht="13">
      <c r="A283" s="115"/>
      <c r="B283" s="115"/>
      <c r="C283" s="115"/>
      <c r="D283" s="115"/>
      <c r="E283" s="115"/>
    </row>
    <row r="284" spans="1:5" ht="13">
      <c r="A284" s="115"/>
      <c r="B284" s="115"/>
      <c r="C284" s="115"/>
      <c r="D284" s="115"/>
      <c r="E284" s="115"/>
    </row>
    <row r="285" spans="1:5" ht="13">
      <c r="A285" s="115"/>
      <c r="B285" s="115"/>
      <c r="C285" s="115"/>
      <c r="D285" s="115"/>
      <c r="E285" s="115"/>
    </row>
    <row r="286" spans="1:5" ht="13">
      <c r="A286" s="115"/>
      <c r="B286" s="115"/>
      <c r="C286" s="115"/>
      <c r="D286" s="115"/>
      <c r="E286" s="115"/>
    </row>
    <row r="287" spans="1:5" ht="13">
      <c r="A287" s="115"/>
      <c r="B287" s="115"/>
      <c r="C287" s="115"/>
      <c r="D287" s="115"/>
      <c r="E287" s="115"/>
    </row>
    <row r="288" spans="1:5" ht="13">
      <c r="A288" s="115"/>
      <c r="B288" s="115"/>
      <c r="C288" s="115"/>
      <c r="D288" s="115"/>
      <c r="E288" s="115"/>
    </row>
    <row r="289" spans="1:5" ht="13">
      <c r="A289" s="115"/>
      <c r="B289" s="115"/>
      <c r="C289" s="115"/>
      <c r="D289" s="115"/>
      <c r="E289" s="115"/>
    </row>
    <row r="290" spans="1:5" ht="13">
      <c r="A290" s="115"/>
      <c r="B290" s="115"/>
      <c r="C290" s="115"/>
      <c r="D290" s="115"/>
      <c r="E290" s="115"/>
    </row>
    <row r="291" spans="1:5" ht="13">
      <c r="A291" s="115"/>
      <c r="B291" s="115"/>
      <c r="C291" s="115"/>
      <c r="D291" s="115"/>
      <c r="E291" s="115"/>
    </row>
    <row r="292" spans="1:5" ht="13">
      <c r="A292" s="115"/>
      <c r="B292" s="115"/>
      <c r="C292" s="115"/>
      <c r="D292" s="115"/>
      <c r="E292" s="115"/>
    </row>
    <row r="293" spans="1:5" ht="13">
      <c r="A293" s="115"/>
      <c r="B293" s="115"/>
      <c r="C293" s="115"/>
      <c r="D293" s="115"/>
      <c r="E293" s="115"/>
    </row>
    <row r="294" spans="1:5" ht="13">
      <c r="A294" s="115"/>
      <c r="B294" s="115"/>
      <c r="C294" s="115"/>
      <c r="D294" s="115"/>
      <c r="E294" s="115"/>
    </row>
    <row r="295" spans="1:5" ht="13">
      <c r="A295" s="115"/>
      <c r="B295" s="115"/>
      <c r="C295" s="115"/>
      <c r="D295" s="115"/>
      <c r="E295" s="115"/>
    </row>
    <row r="296" spans="1:5" ht="13">
      <c r="A296" s="115"/>
      <c r="B296" s="115"/>
      <c r="C296" s="115"/>
      <c r="D296" s="115"/>
      <c r="E296" s="115"/>
    </row>
    <row r="297" spans="1:5" ht="13">
      <c r="A297" s="115"/>
      <c r="B297" s="115"/>
      <c r="C297" s="115"/>
      <c r="D297" s="115"/>
      <c r="E297" s="115"/>
    </row>
    <row r="298" spans="1:5" ht="13">
      <c r="A298" s="115"/>
      <c r="B298" s="115"/>
      <c r="C298" s="115"/>
      <c r="D298" s="115"/>
      <c r="E298" s="115"/>
    </row>
    <row r="299" spans="1:5" ht="13">
      <c r="A299" s="115"/>
      <c r="B299" s="115"/>
      <c r="C299" s="115"/>
      <c r="D299" s="115"/>
      <c r="E299" s="115"/>
    </row>
    <row r="300" spans="1:5" ht="13">
      <c r="A300" s="115"/>
      <c r="B300" s="115"/>
      <c r="C300" s="115"/>
      <c r="D300" s="115"/>
      <c r="E300" s="115"/>
    </row>
    <row r="301" spans="1:5" ht="13">
      <c r="A301" s="115"/>
      <c r="B301" s="115"/>
      <c r="C301" s="115"/>
      <c r="D301" s="115"/>
      <c r="E301" s="115"/>
    </row>
    <row r="302" spans="1:5" ht="13">
      <c r="A302" s="115"/>
      <c r="B302" s="115"/>
      <c r="C302" s="115"/>
      <c r="D302" s="115"/>
      <c r="E302" s="115"/>
    </row>
    <row r="303" spans="1:5" ht="13">
      <c r="A303" s="115"/>
      <c r="B303" s="115"/>
      <c r="C303" s="115"/>
      <c r="D303" s="115"/>
      <c r="E303" s="115"/>
    </row>
    <row r="304" spans="1:5" ht="13">
      <c r="A304" s="115"/>
      <c r="B304" s="115"/>
      <c r="C304" s="115"/>
      <c r="D304" s="115"/>
      <c r="E304" s="115"/>
    </row>
    <row r="305" spans="1:5" ht="13">
      <c r="A305" s="115"/>
      <c r="B305" s="115"/>
      <c r="C305" s="115"/>
      <c r="D305" s="115"/>
      <c r="E305" s="115"/>
    </row>
    <row r="306" spans="1:5" ht="13">
      <c r="A306" s="115"/>
      <c r="B306" s="115"/>
      <c r="C306" s="115"/>
      <c r="D306" s="115"/>
      <c r="E306" s="115"/>
    </row>
    <row r="307" spans="1:5" ht="13">
      <c r="A307" s="115"/>
      <c r="B307" s="115"/>
      <c r="C307" s="115"/>
      <c r="D307" s="115"/>
      <c r="E307" s="115"/>
    </row>
    <row r="308" spans="1:5" ht="13">
      <c r="A308" s="115"/>
      <c r="B308" s="115"/>
      <c r="C308" s="115"/>
      <c r="D308" s="115"/>
      <c r="E308" s="115"/>
    </row>
    <row r="309" spans="1:5" ht="13">
      <c r="A309" s="115"/>
      <c r="B309" s="115"/>
      <c r="C309" s="115"/>
      <c r="D309" s="115"/>
      <c r="E309" s="115"/>
    </row>
    <row r="310" spans="1:5" ht="13">
      <c r="A310" s="115"/>
      <c r="B310" s="115"/>
      <c r="C310" s="115"/>
      <c r="D310" s="115"/>
      <c r="E310" s="115"/>
    </row>
    <row r="311" spans="1:5" ht="13">
      <c r="A311" s="115"/>
      <c r="B311" s="115"/>
      <c r="C311" s="115"/>
      <c r="D311" s="115"/>
      <c r="E311" s="115"/>
    </row>
    <row r="312" spans="1:5" ht="13">
      <c r="A312" s="115"/>
      <c r="B312" s="115"/>
      <c r="C312" s="115"/>
      <c r="D312" s="115"/>
      <c r="E312" s="115"/>
    </row>
    <row r="313" spans="1:5" ht="13">
      <c r="A313" s="115"/>
      <c r="B313" s="115"/>
      <c r="C313" s="115"/>
      <c r="D313" s="115"/>
      <c r="E313" s="115"/>
    </row>
    <row r="314" spans="1:5" ht="13">
      <c r="A314" s="115"/>
      <c r="B314" s="115"/>
      <c r="C314" s="115"/>
      <c r="D314" s="115"/>
      <c r="E314" s="115"/>
    </row>
    <row r="315" spans="1:5" ht="13">
      <c r="A315" s="115"/>
      <c r="B315" s="115"/>
      <c r="C315" s="115"/>
      <c r="D315" s="115"/>
      <c r="E315" s="115"/>
    </row>
    <row r="316" spans="1:5" ht="13">
      <c r="A316" s="115"/>
      <c r="B316" s="115"/>
      <c r="C316" s="115"/>
      <c r="D316" s="115"/>
      <c r="E316" s="115"/>
    </row>
    <row r="317" spans="1:5" ht="13">
      <c r="A317" s="115"/>
      <c r="B317" s="115"/>
      <c r="C317" s="115"/>
      <c r="D317" s="115"/>
      <c r="E317" s="115"/>
    </row>
    <row r="318" spans="1:5" ht="13">
      <c r="A318" s="115"/>
      <c r="B318" s="115"/>
      <c r="C318" s="115"/>
      <c r="D318" s="115"/>
      <c r="E318" s="115"/>
    </row>
    <row r="319" spans="1:5" ht="13">
      <c r="A319" s="115"/>
      <c r="B319" s="115"/>
      <c r="C319" s="115"/>
      <c r="D319" s="115"/>
      <c r="E319" s="115"/>
    </row>
    <row r="320" spans="1:5" ht="13">
      <c r="A320" s="115"/>
      <c r="B320" s="115"/>
      <c r="C320" s="115"/>
      <c r="D320" s="115"/>
      <c r="E320" s="115"/>
    </row>
    <row r="321" spans="1:5" ht="13">
      <c r="A321" s="115"/>
      <c r="B321" s="115"/>
      <c r="C321" s="115"/>
      <c r="D321" s="115"/>
      <c r="E321" s="115"/>
    </row>
    <row r="322" spans="1:5" ht="13">
      <c r="A322" s="115"/>
      <c r="B322" s="115"/>
      <c r="C322" s="115"/>
      <c r="D322" s="115"/>
      <c r="E322" s="115"/>
    </row>
    <row r="323" spans="1:5" ht="13">
      <c r="A323" s="115"/>
      <c r="B323" s="115"/>
      <c r="C323" s="115"/>
      <c r="D323" s="115"/>
      <c r="E323" s="115"/>
    </row>
    <row r="324" spans="1:5" ht="13">
      <c r="A324" s="115"/>
      <c r="B324" s="115"/>
      <c r="C324" s="115"/>
      <c r="D324" s="115"/>
      <c r="E324" s="115"/>
    </row>
    <row r="325" spans="1:5" ht="13">
      <c r="A325" s="115"/>
      <c r="B325" s="115"/>
      <c r="C325" s="115"/>
      <c r="D325" s="115"/>
      <c r="E325" s="115"/>
    </row>
    <row r="326" spans="1:5" ht="13">
      <c r="A326" s="115"/>
      <c r="B326" s="115"/>
      <c r="C326" s="115"/>
      <c r="D326" s="115"/>
      <c r="E326" s="115"/>
    </row>
    <row r="327" spans="1:5" ht="13">
      <c r="A327" s="115"/>
      <c r="B327" s="115"/>
      <c r="C327" s="115"/>
      <c r="D327" s="115"/>
      <c r="E327" s="115"/>
    </row>
    <row r="328" spans="1:5" ht="13">
      <c r="A328" s="115"/>
      <c r="B328" s="115"/>
      <c r="C328" s="115"/>
      <c r="D328" s="115"/>
      <c r="E328" s="115"/>
    </row>
    <row r="329" spans="1:5" ht="13">
      <c r="A329" s="115"/>
      <c r="B329" s="115"/>
      <c r="C329" s="115"/>
      <c r="D329" s="115"/>
      <c r="E329" s="115"/>
    </row>
    <row r="330" spans="1:5" ht="13">
      <c r="A330" s="115"/>
      <c r="B330" s="115"/>
      <c r="C330" s="115"/>
      <c r="D330" s="115"/>
      <c r="E330" s="115"/>
    </row>
    <row r="331" spans="1:5" ht="13">
      <c r="A331" s="115"/>
      <c r="B331" s="115"/>
      <c r="C331" s="115"/>
      <c r="D331" s="115"/>
      <c r="E331" s="115"/>
    </row>
    <row r="332" spans="1:5" ht="13">
      <c r="A332" s="115"/>
      <c r="B332" s="115"/>
      <c r="C332" s="115"/>
      <c r="D332" s="115"/>
      <c r="E332" s="115"/>
    </row>
    <row r="333" spans="1:5" ht="13">
      <c r="A333" s="115"/>
      <c r="B333" s="115"/>
      <c r="C333" s="115"/>
      <c r="D333" s="115"/>
      <c r="E333" s="115"/>
    </row>
    <row r="334" spans="1:5" ht="13">
      <c r="A334" s="115"/>
      <c r="B334" s="115"/>
      <c r="C334" s="115"/>
      <c r="D334" s="115"/>
      <c r="E334" s="115"/>
    </row>
    <row r="335" spans="1:5" ht="13">
      <c r="A335" s="115"/>
      <c r="B335" s="115"/>
      <c r="C335" s="115"/>
      <c r="D335" s="115"/>
      <c r="E335" s="115"/>
    </row>
    <row r="336" spans="1:5" ht="13">
      <c r="A336" s="115"/>
      <c r="B336" s="115"/>
      <c r="C336" s="115"/>
      <c r="D336" s="115"/>
      <c r="E336" s="115"/>
    </row>
    <row r="337" spans="1:5" ht="13">
      <c r="A337" s="115"/>
      <c r="B337" s="115"/>
      <c r="C337" s="115"/>
      <c r="D337" s="115"/>
      <c r="E337" s="115"/>
    </row>
    <row r="338" spans="1:5" ht="13">
      <c r="A338" s="115"/>
      <c r="B338" s="115"/>
      <c r="C338" s="115"/>
      <c r="D338" s="115"/>
      <c r="E338" s="115"/>
    </row>
    <row r="339" spans="1:5" ht="13">
      <c r="A339" s="115"/>
      <c r="B339" s="115"/>
      <c r="C339" s="115"/>
      <c r="D339" s="115"/>
      <c r="E339" s="115"/>
    </row>
    <row r="340" spans="1:5" ht="13">
      <c r="A340" s="115"/>
      <c r="B340" s="115"/>
      <c r="C340" s="115"/>
      <c r="D340" s="115"/>
      <c r="E340" s="115"/>
    </row>
    <row r="341" spans="1:5" ht="13">
      <c r="A341" s="115"/>
      <c r="B341" s="115"/>
      <c r="C341" s="115"/>
      <c r="D341" s="115"/>
      <c r="E341" s="115"/>
    </row>
    <row r="342" spans="1:5" ht="13">
      <c r="A342" s="115"/>
      <c r="B342" s="115"/>
      <c r="C342" s="115"/>
      <c r="D342" s="115"/>
      <c r="E342" s="115"/>
    </row>
    <row r="343" spans="1:5" ht="13">
      <c r="A343" s="115"/>
      <c r="B343" s="115"/>
      <c r="C343" s="115"/>
      <c r="D343" s="115"/>
      <c r="E343" s="115"/>
    </row>
    <row r="344" spans="1:5" ht="13">
      <c r="A344" s="115"/>
      <c r="B344" s="115"/>
      <c r="C344" s="115"/>
      <c r="D344" s="115"/>
      <c r="E344" s="115"/>
    </row>
    <row r="345" spans="1:5" ht="13">
      <c r="A345" s="115"/>
      <c r="B345" s="115"/>
      <c r="C345" s="115"/>
      <c r="D345" s="115"/>
      <c r="E345" s="115"/>
    </row>
    <row r="346" spans="1:5" ht="13">
      <c r="A346" s="115"/>
      <c r="B346" s="115"/>
      <c r="C346" s="115"/>
      <c r="D346" s="115"/>
      <c r="E346" s="115"/>
    </row>
    <row r="347" spans="1:5" ht="13">
      <c r="A347" s="115"/>
      <c r="B347" s="115"/>
      <c r="C347" s="115"/>
      <c r="D347" s="115"/>
      <c r="E347" s="115"/>
    </row>
    <row r="348" spans="1:5" ht="13">
      <c r="A348" s="115"/>
      <c r="B348" s="115"/>
      <c r="C348" s="115"/>
      <c r="D348" s="115"/>
      <c r="E348" s="115"/>
    </row>
    <row r="349" spans="1:5" ht="13">
      <c r="A349" s="115"/>
      <c r="B349" s="115"/>
      <c r="C349" s="115"/>
      <c r="D349" s="115"/>
      <c r="E349" s="115"/>
    </row>
    <row r="350" spans="1:5" ht="13">
      <c r="A350" s="115"/>
      <c r="B350" s="115"/>
      <c r="C350" s="115"/>
      <c r="D350" s="115"/>
      <c r="E350" s="115"/>
    </row>
    <row r="351" spans="1:5" ht="13">
      <c r="A351" s="115"/>
      <c r="B351" s="115"/>
      <c r="C351" s="115"/>
      <c r="D351" s="115"/>
      <c r="E351" s="115"/>
    </row>
    <row r="352" spans="1:5" ht="13">
      <c r="A352" s="115"/>
      <c r="B352" s="115"/>
      <c r="C352" s="115"/>
      <c r="D352" s="115"/>
      <c r="E352" s="115"/>
    </row>
    <row r="353" spans="1:5" ht="13">
      <c r="A353" s="115"/>
      <c r="B353" s="115"/>
      <c r="C353" s="115"/>
      <c r="D353" s="115"/>
      <c r="E353" s="115"/>
    </row>
    <row r="354" spans="1:5" ht="13">
      <c r="A354" s="115"/>
      <c r="B354" s="115"/>
      <c r="C354" s="115"/>
      <c r="D354" s="115"/>
      <c r="E354" s="115"/>
    </row>
    <row r="355" spans="1:5" ht="13">
      <c r="A355" s="115"/>
      <c r="B355" s="115"/>
      <c r="C355" s="115"/>
      <c r="D355" s="115"/>
      <c r="E355" s="115"/>
    </row>
    <row r="356" spans="1:5" ht="13">
      <c r="A356" s="115"/>
      <c r="B356" s="115"/>
      <c r="C356" s="115"/>
      <c r="D356" s="115"/>
      <c r="E356" s="115"/>
    </row>
    <row r="357" spans="1:5" ht="13">
      <c r="A357" s="115"/>
      <c r="B357" s="115"/>
      <c r="C357" s="115"/>
      <c r="D357" s="115"/>
      <c r="E357" s="115"/>
    </row>
    <row r="358" spans="1:5" ht="13">
      <c r="A358" s="115"/>
      <c r="B358" s="115"/>
      <c r="C358" s="115"/>
      <c r="D358" s="115"/>
      <c r="E358" s="115"/>
    </row>
    <row r="359" spans="1:5" ht="13">
      <c r="A359" s="115"/>
      <c r="B359" s="115"/>
      <c r="C359" s="115"/>
      <c r="D359" s="115"/>
      <c r="E359" s="115"/>
    </row>
    <row r="360" spans="1:5" ht="13">
      <c r="A360" s="115"/>
      <c r="B360" s="115"/>
      <c r="C360" s="115"/>
      <c r="D360" s="115"/>
      <c r="E360" s="115"/>
    </row>
    <row r="361" spans="1:5" ht="13">
      <c r="A361" s="115"/>
      <c r="B361" s="115"/>
      <c r="C361" s="115"/>
      <c r="D361" s="115"/>
      <c r="E361" s="115"/>
    </row>
    <row r="362" spans="1:5" ht="13">
      <c r="A362" s="115"/>
      <c r="B362" s="115"/>
      <c r="C362" s="115"/>
      <c r="D362" s="115"/>
      <c r="E362" s="115"/>
    </row>
    <row r="363" spans="1:5" ht="13">
      <c r="A363" s="115"/>
      <c r="B363" s="115"/>
      <c r="C363" s="115"/>
      <c r="D363" s="115"/>
      <c r="E363" s="115"/>
    </row>
    <row r="364" spans="1:5" ht="13">
      <c r="A364" s="115"/>
      <c r="B364" s="115"/>
      <c r="C364" s="115"/>
      <c r="D364" s="115"/>
      <c r="E364" s="115"/>
    </row>
    <row r="365" spans="1:5" ht="13">
      <c r="A365" s="115"/>
      <c r="B365" s="115"/>
      <c r="C365" s="115"/>
      <c r="D365" s="115"/>
      <c r="E365" s="115"/>
    </row>
    <row r="366" spans="1:5" ht="13">
      <c r="A366" s="115"/>
      <c r="B366" s="115"/>
      <c r="C366" s="115"/>
      <c r="D366" s="115"/>
      <c r="E366" s="115"/>
    </row>
    <row r="367" spans="1:5" ht="13">
      <c r="A367" s="115"/>
      <c r="B367" s="115"/>
      <c r="C367" s="115"/>
      <c r="D367" s="115"/>
      <c r="E367" s="115"/>
    </row>
    <row r="368" spans="1:5" ht="13">
      <c r="A368" s="115"/>
      <c r="B368" s="115"/>
      <c r="C368" s="115"/>
      <c r="D368" s="115"/>
      <c r="E368" s="115"/>
    </row>
    <row r="369" spans="1:5" ht="13">
      <c r="A369" s="115"/>
      <c r="B369" s="115"/>
      <c r="C369" s="115"/>
      <c r="D369" s="115"/>
      <c r="E369" s="115"/>
    </row>
    <row r="370" spans="1:5" ht="13">
      <c r="A370" s="115"/>
      <c r="B370" s="115"/>
      <c r="C370" s="115"/>
      <c r="D370" s="115"/>
      <c r="E370" s="115"/>
    </row>
    <row r="371" spans="1:5" ht="13">
      <c r="A371" s="115"/>
      <c r="B371" s="115"/>
      <c r="C371" s="115"/>
      <c r="D371" s="115"/>
      <c r="E371" s="115"/>
    </row>
    <row r="372" spans="1:5" ht="13">
      <c r="A372" s="115"/>
      <c r="B372" s="115"/>
      <c r="C372" s="115"/>
      <c r="D372" s="115"/>
      <c r="E372" s="115"/>
    </row>
    <row r="373" spans="1:5" ht="13">
      <c r="A373" s="115"/>
      <c r="B373" s="115"/>
      <c r="C373" s="115"/>
      <c r="D373" s="115"/>
      <c r="E373" s="115"/>
    </row>
    <row r="374" spans="1:5" ht="13">
      <c r="A374" s="115"/>
      <c r="B374" s="115"/>
      <c r="C374" s="115"/>
      <c r="D374" s="115"/>
      <c r="E374" s="115"/>
    </row>
    <row r="375" spans="1:5" ht="13">
      <c r="A375" s="115"/>
      <c r="B375" s="115"/>
      <c r="C375" s="115"/>
      <c r="D375" s="115"/>
      <c r="E375" s="115"/>
    </row>
    <row r="376" spans="1:5" ht="13">
      <c r="A376" s="115"/>
      <c r="B376" s="115"/>
      <c r="C376" s="115"/>
      <c r="D376" s="115"/>
      <c r="E376" s="115"/>
    </row>
    <row r="377" spans="1:5" ht="13">
      <c r="A377" s="115"/>
      <c r="B377" s="115"/>
      <c r="C377" s="115"/>
      <c r="D377" s="115"/>
      <c r="E377" s="115"/>
    </row>
    <row r="378" spans="1:5" ht="13">
      <c r="A378" s="115"/>
      <c r="B378" s="115"/>
      <c r="C378" s="115"/>
      <c r="D378" s="115"/>
      <c r="E378" s="115"/>
    </row>
    <row r="379" spans="1:5" ht="13">
      <c r="A379" s="115"/>
      <c r="B379" s="115"/>
      <c r="C379" s="115"/>
      <c r="D379" s="115"/>
      <c r="E379" s="115"/>
    </row>
    <row r="380" spans="1:5" ht="13">
      <c r="A380" s="115"/>
      <c r="B380" s="115"/>
      <c r="C380" s="115"/>
      <c r="D380" s="115"/>
      <c r="E380" s="115"/>
    </row>
    <row r="381" spans="1:5" ht="13">
      <c r="A381" s="115"/>
      <c r="B381" s="115"/>
      <c r="C381" s="115"/>
      <c r="D381" s="115"/>
      <c r="E381" s="115"/>
    </row>
    <row r="382" spans="1:5" ht="13">
      <c r="A382" s="115"/>
      <c r="B382" s="115"/>
      <c r="C382" s="115"/>
      <c r="D382" s="115"/>
      <c r="E382" s="115"/>
    </row>
    <row r="383" spans="1:5" ht="13">
      <c r="A383" s="115"/>
      <c r="B383" s="115"/>
      <c r="C383" s="115"/>
      <c r="D383" s="115"/>
      <c r="E383" s="115"/>
    </row>
    <row r="384" spans="1:5" ht="13">
      <c r="A384" s="115"/>
      <c r="B384" s="115"/>
      <c r="C384" s="115"/>
      <c r="D384" s="115"/>
      <c r="E384" s="115"/>
    </row>
    <row r="385" spans="1:5" ht="13">
      <c r="A385" s="115"/>
      <c r="B385" s="115"/>
      <c r="C385" s="115"/>
      <c r="D385" s="115"/>
      <c r="E385" s="115"/>
    </row>
    <row r="386" spans="1:5" ht="13">
      <c r="A386" s="115"/>
      <c r="B386" s="115"/>
      <c r="C386" s="115"/>
      <c r="D386" s="115"/>
      <c r="E386" s="115"/>
    </row>
    <row r="387" spans="1:5" ht="13">
      <c r="A387" s="115"/>
      <c r="B387" s="115"/>
      <c r="C387" s="115"/>
      <c r="D387" s="115"/>
      <c r="E387" s="115"/>
    </row>
    <row r="388" spans="1:5" ht="13">
      <c r="A388" s="115"/>
      <c r="B388" s="115"/>
      <c r="C388" s="115"/>
      <c r="D388" s="115"/>
      <c r="E388" s="115"/>
    </row>
    <row r="389" spans="1:5" ht="13">
      <c r="A389" s="115"/>
      <c r="B389" s="115"/>
      <c r="C389" s="115"/>
      <c r="D389" s="115"/>
      <c r="E389" s="115"/>
    </row>
    <row r="390" spans="1:5" ht="13">
      <c r="A390" s="115"/>
      <c r="B390" s="115"/>
      <c r="C390" s="115"/>
      <c r="D390" s="115"/>
      <c r="E390" s="115"/>
    </row>
    <row r="391" spans="1:5" ht="13">
      <c r="A391" s="115"/>
      <c r="B391" s="115"/>
      <c r="C391" s="115"/>
      <c r="D391" s="115"/>
      <c r="E391" s="115"/>
    </row>
    <row r="392" spans="1:5" ht="13">
      <c r="A392" s="115"/>
      <c r="B392" s="115"/>
      <c r="C392" s="115"/>
      <c r="D392" s="115"/>
      <c r="E392" s="115"/>
    </row>
    <row r="393" spans="1:5" ht="13">
      <c r="A393" s="115"/>
      <c r="B393" s="115"/>
      <c r="C393" s="115"/>
      <c r="D393" s="115"/>
      <c r="E393" s="115"/>
    </row>
    <row r="394" spans="1:5" ht="13">
      <c r="A394" s="115"/>
      <c r="B394" s="115"/>
      <c r="C394" s="115"/>
      <c r="D394" s="115"/>
      <c r="E394" s="115"/>
    </row>
    <row r="395" spans="1:5" ht="13">
      <c r="A395" s="115"/>
      <c r="B395" s="115"/>
      <c r="C395" s="115"/>
      <c r="D395" s="115"/>
      <c r="E395" s="115"/>
    </row>
    <row r="396" spans="1:5" ht="13">
      <c r="A396" s="115"/>
      <c r="B396" s="115"/>
      <c r="C396" s="115"/>
      <c r="D396" s="115"/>
      <c r="E396" s="115"/>
    </row>
    <row r="397" spans="1:5" ht="13">
      <c r="A397" s="115"/>
      <c r="B397" s="115"/>
      <c r="C397" s="115"/>
      <c r="D397" s="115"/>
      <c r="E397" s="115"/>
    </row>
    <row r="398" spans="1:5" ht="13">
      <c r="A398" s="115"/>
      <c r="B398" s="115"/>
      <c r="C398" s="115"/>
      <c r="D398" s="115"/>
      <c r="E398" s="115"/>
    </row>
    <row r="399" spans="1:5" ht="13">
      <c r="A399" s="115"/>
      <c r="B399" s="115"/>
      <c r="C399" s="115"/>
      <c r="D399" s="115"/>
      <c r="E399" s="115"/>
    </row>
    <row r="400" spans="1:5" ht="13">
      <c r="A400" s="115"/>
      <c r="B400" s="115"/>
      <c r="C400" s="115"/>
      <c r="D400" s="115"/>
      <c r="E400" s="115"/>
    </row>
    <row r="401" spans="1:5" ht="13">
      <c r="A401" s="115"/>
      <c r="B401" s="115"/>
      <c r="C401" s="115"/>
      <c r="D401" s="115"/>
      <c r="E401" s="115"/>
    </row>
    <row r="402" spans="1:5" ht="13">
      <c r="A402" s="115"/>
      <c r="B402" s="115"/>
      <c r="C402" s="115"/>
      <c r="D402" s="115"/>
      <c r="E402" s="115"/>
    </row>
    <row r="403" spans="1:5" ht="13">
      <c r="A403" s="115"/>
      <c r="B403" s="115"/>
      <c r="C403" s="115"/>
      <c r="D403" s="115"/>
      <c r="E403" s="115"/>
    </row>
    <row r="404" spans="1:5" ht="13">
      <c r="A404" s="115"/>
      <c r="B404" s="115"/>
      <c r="C404" s="115"/>
      <c r="D404" s="115"/>
      <c r="E404" s="115"/>
    </row>
    <row r="405" spans="1:5" ht="13">
      <c r="A405" s="115"/>
      <c r="B405" s="115"/>
      <c r="C405" s="115"/>
      <c r="D405" s="115"/>
      <c r="E405" s="115"/>
    </row>
    <row r="406" spans="1:5" ht="13">
      <c r="A406" s="115"/>
      <c r="B406" s="115"/>
      <c r="C406" s="115"/>
      <c r="D406" s="115"/>
      <c r="E406" s="115"/>
    </row>
    <row r="407" spans="1:5" ht="13">
      <c r="A407" s="115"/>
      <c r="B407" s="115"/>
      <c r="C407" s="115"/>
      <c r="D407" s="115"/>
      <c r="E407" s="115"/>
    </row>
    <row r="408" spans="1:5" ht="13">
      <c r="A408" s="115"/>
      <c r="B408" s="115"/>
      <c r="C408" s="115"/>
      <c r="D408" s="115"/>
      <c r="E408" s="115"/>
    </row>
    <row r="409" spans="1:5" ht="13">
      <c r="A409" s="115"/>
      <c r="B409" s="115"/>
      <c r="C409" s="115"/>
      <c r="D409" s="115"/>
      <c r="E409" s="115"/>
    </row>
    <row r="410" spans="1:5" ht="13">
      <c r="A410" s="115"/>
      <c r="B410" s="115"/>
      <c r="C410" s="115"/>
      <c r="D410" s="115"/>
      <c r="E410" s="115"/>
    </row>
    <row r="411" spans="1:5" ht="13">
      <c r="A411" s="115"/>
      <c r="B411" s="115"/>
      <c r="C411" s="115"/>
      <c r="D411" s="115"/>
      <c r="E411" s="115"/>
    </row>
    <row r="412" spans="1:5" ht="13">
      <c r="A412" s="115"/>
      <c r="B412" s="115"/>
      <c r="C412" s="115"/>
      <c r="D412" s="115"/>
      <c r="E412" s="115"/>
    </row>
    <row r="413" spans="1:5" ht="13">
      <c r="A413" s="115"/>
      <c r="B413" s="115"/>
      <c r="C413" s="115"/>
      <c r="D413" s="115"/>
      <c r="E413" s="115"/>
    </row>
    <row r="414" spans="1:5" ht="13">
      <c r="A414" s="115"/>
      <c r="B414" s="115"/>
      <c r="C414" s="115"/>
      <c r="D414" s="115"/>
      <c r="E414" s="115"/>
    </row>
    <row r="415" spans="1:5" ht="13">
      <c r="A415" s="115"/>
      <c r="B415" s="115"/>
      <c r="C415" s="115"/>
      <c r="D415" s="115"/>
      <c r="E415" s="115"/>
    </row>
    <row r="416" spans="1:5" ht="13">
      <c r="A416" s="115"/>
      <c r="B416" s="115"/>
      <c r="C416" s="115"/>
      <c r="D416" s="115"/>
      <c r="E416" s="115"/>
    </row>
    <row r="417" spans="1:5" ht="13">
      <c r="A417" s="115"/>
      <c r="B417" s="115"/>
      <c r="C417" s="115"/>
      <c r="D417" s="115"/>
      <c r="E417" s="115"/>
    </row>
    <row r="418" spans="1:5" ht="13">
      <c r="A418" s="115"/>
      <c r="B418" s="115"/>
      <c r="C418" s="115"/>
      <c r="D418" s="115"/>
      <c r="E418" s="115"/>
    </row>
    <row r="419" spans="1:5" ht="13">
      <c r="A419" s="115"/>
      <c r="B419" s="115"/>
      <c r="C419" s="115"/>
      <c r="D419" s="115"/>
      <c r="E419" s="115"/>
    </row>
    <row r="420" spans="1:5" ht="13">
      <c r="A420" s="115"/>
      <c r="B420" s="115"/>
      <c r="C420" s="115"/>
      <c r="D420" s="115"/>
      <c r="E420" s="115"/>
    </row>
    <row r="421" spans="1:5" ht="13">
      <c r="A421" s="115"/>
      <c r="B421" s="115"/>
      <c r="C421" s="115"/>
      <c r="D421" s="115"/>
      <c r="E421" s="115"/>
    </row>
    <row r="422" spans="1:5" ht="13">
      <c r="A422" s="115"/>
      <c r="B422" s="115"/>
      <c r="C422" s="115"/>
      <c r="D422" s="115"/>
      <c r="E422" s="115"/>
    </row>
    <row r="423" spans="1:5" ht="13">
      <c r="A423" s="115"/>
      <c r="B423" s="115"/>
      <c r="C423" s="115"/>
      <c r="D423" s="115"/>
      <c r="E423" s="115"/>
    </row>
    <row r="424" spans="1:5" ht="13">
      <c r="A424" s="115"/>
      <c r="B424" s="115"/>
      <c r="C424" s="115"/>
      <c r="D424" s="115"/>
      <c r="E424" s="115"/>
    </row>
    <row r="425" spans="1:5" ht="13">
      <c r="A425" s="115"/>
      <c r="B425" s="115"/>
      <c r="C425" s="115"/>
      <c r="D425" s="115"/>
      <c r="E425" s="115"/>
    </row>
    <row r="426" spans="1:5" ht="13">
      <c r="A426" s="115"/>
      <c r="B426" s="115"/>
      <c r="C426" s="115"/>
      <c r="D426" s="115"/>
      <c r="E426" s="115"/>
    </row>
    <row r="427" spans="1:5" ht="13">
      <c r="A427" s="115"/>
      <c r="B427" s="115"/>
      <c r="C427" s="115"/>
      <c r="D427" s="115"/>
      <c r="E427" s="115"/>
    </row>
    <row r="428" spans="1:5" ht="13">
      <c r="A428" s="115"/>
      <c r="B428" s="115"/>
      <c r="C428" s="115"/>
      <c r="D428" s="115"/>
      <c r="E428" s="115"/>
    </row>
    <row r="429" spans="1:5" ht="13">
      <c r="A429" s="115"/>
      <c r="B429" s="115"/>
      <c r="C429" s="115"/>
      <c r="D429" s="115"/>
      <c r="E429" s="115"/>
    </row>
    <row r="430" spans="1:5" ht="13">
      <c r="A430" s="115"/>
      <c r="B430" s="115"/>
      <c r="C430" s="115"/>
      <c r="D430" s="115"/>
      <c r="E430" s="115"/>
    </row>
    <row r="431" spans="1:5" ht="13">
      <c r="A431" s="115"/>
      <c r="B431" s="115"/>
      <c r="C431" s="115"/>
      <c r="D431" s="115"/>
      <c r="E431" s="115"/>
    </row>
    <row r="432" spans="1:5" ht="13">
      <c r="A432" s="115"/>
      <c r="B432" s="115"/>
      <c r="C432" s="115"/>
      <c r="D432" s="115"/>
      <c r="E432" s="115"/>
    </row>
    <row r="433" spans="1:5" ht="13">
      <c r="A433" s="115"/>
      <c r="B433" s="115"/>
      <c r="C433" s="115"/>
      <c r="D433" s="115"/>
      <c r="E433" s="115"/>
    </row>
    <row r="434" spans="1:5" ht="13">
      <c r="A434" s="115"/>
      <c r="B434" s="115"/>
      <c r="C434" s="115"/>
      <c r="D434" s="115"/>
      <c r="E434" s="115"/>
    </row>
    <row r="435" spans="1:5" ht="13">
      <c r="A435" s="115"/>
      <c r="B435" s="115"/>
      <c r="C435" s="115"/>
      <c r="D435" s="115"/>
      <c r="E435" s="115"/>
    </row>
    <row r="436" spans="1:5" ht="13">
      <c r="A436" s="115"/>
      <c r="B436" s="115"/>
      <c r="C436" s="115"/>
      <c r="D436" s="115"/>
      <c r="E436" s="115"/>
    </row>
    <row r="437" spans="1:5" ht="13">
      <c r="A437" s="115"/>
      <c r="B437" s="115"/>
      <c r="C437" s="115"/>
      <c r="D437" s="115"/>
      <c r="E437" s="115"/>
    </row>
    <row r="438" spans="1:5" ht="13">
      <c r="A438" s="115"/>
      <c r="B438" s="115"/>
      <c r="C438" s="115"/>
      <c r="D438" s="115"/>
      <c r="E438" s="115"/>
    </row>
    <row r="439" spans="1:5" ht="13">
      <c r="A439" s="115"/>
      <c r="B439" s="115"/>
      <c r="C439" s="115"/>
      <c r="D439" s="115"/>
      <c r="E439" s="115"/>
    </row>
    <row r="440" spans="1:5" ht="13">
      <c r="A440" s="115"/>
      <c r="B440" s="115"/>
      <c r="C440" s="115"/>
      <c r="D440" s="115"/>
      <c r="E440" s="115"/>
    </row>
    <row r="441" spans="1:5" ht="13">
      <c r="A441" s="115"/>
      <c r="B441" s="115"/>
      <c r="C441" s="115"/>
      <c r="D441" s="115"/>
      <c r="E441" s="115"/>
    </row>
    <row r="442" spans="1:5" ht="13">
      <c r="A442" s="115"/>
      <c r="B442" s="115"/>
      <c r="C442" s="115"/>
      <c r="D442" s="115"/>
      <c r="E442" s="115"/>
    </row>
    <row r="443" spans="1:5" ht="13">
      <c r="A443" s="115"/>
      <c r="B443" s="115"/>
      <c r="C443" s="115"/>
      <c r="D443" s="115"/>
      <c r="E443" s="115"/>
    </row>
    <row r="444" spans="1:5" ht="13">
      <c r="A444" s="115"/>
      <c r="B444" s="115"/>
      <c r="C444" s="115"/>
      <c r="D444" s="115"/>
      <c r="E444" s="115"/>
    </row>
    <row r="445" spans="1:5" ht="13">
      <c r="A445" s="115"/>
      <c r="B445" s="115"/>
      <c r="C445" s="115"/>
      <c r="D445" s="115"/>
      <c r="E445" s="115"/>
    </row>
    <row r="446" spans="1:5" ht="13">
      <c r="A446" s="115"/>
      <c r="B446" s="115"/>
      <c r="C446" s="115"/>
      <c r="D446" s="115"/>
      <c r="E446" s="115"/>
    </row>
    <row r="447" spans="1:5" ht="13">
      <c r="A447" s="115"/>
      <c r="B447" s="115"/>
      <c r="C447" s="115"/>
      <c r="D447" s="115"/>
      <c r="E447" s="115"/>
    </row>
    <row r="448" spans="1:5" ht="13">
      <c r="A448" s="115"/>
      <c r="B448" s="115"/>
      <c r="C448" s="115"/>
      <c r="D448" s="115"/>
      <c r="E448" s="115"/>
    </row>
    <row r="449" spans="1:5" ht="13">
      <c r="A449" s="115"/>
      <c r="B449" s="115"/>
      <c r="C449" s="115"/>
      <c r="D449" s="115"/>
      <c r="E449" s="115"/>
    </row>
    <row r="450" spans="1:5" ht="13">
      <c r="A450" s="115"/>
      <c r="B450" s="115"/>
      <c r="C450" s="115"/>
      <c r="D450" s="115"/>
      <c r="E450" s="115"/>
    </row>
    <row r="451" spans="1:5" ht="13">
      <c r="A451" s="115"/>
      <c r="B451" s="115"/>
      <c r="C451" s="115"/>
      <c r="D451" s="115"/>
      <c r="E451" s="115"/>
    </row>
    <row r="452" spans="1:5" ht="13">
      <c r="A452" s="115"/>
      <c r="B452" s="115"/>
      <c r="C452" s="115"/>
      <c r="D452" s="115"/>
      <c r="E452" s="115"/>
    </row>
    <row r="453" spans="1:5" ht="13">
      <c r="A453" s="115"/>
      <c r="B453" s="115"/>
      <c r="C453" s="115"/>
      <c r="D453" s="115"/>
      <c r="E453" s="115"/>
    </row>
    <row r="454" spans="1:5" ht="13">
      <c r="A454" s="115"/>
      <c r="B454" s="115"/>
      <c r="C454" s="115"/>
      <c r="D454" s="115"/>
      <c r="E454" s="115"/>
    </row>
    <row r="455" spans="1:5" ht="13">
      <c r="A455" s="115"/>
      <c r="B455" s="115"/>
      <c r="C455" s="115"/>
      <c r="D455" s="115"/>
      <c r="E455" s="115"/>
    </row>
    <row r="456" spans="1:5" ht="13">
      <c r="A456" s="115"/>
      <c r="B456" s="115"/>
      <c r="C456" s="115"/>
      <c r="D456" s="115"/>
      <c r="E456" s="115"/>
    </row>
    <row r="457" spans="1:5" ht="13">
      <c r="A457" s="115"/>
      <c r="B457" s="115"/>
      <c r="C457" s="115"/>
      <c r="D457" s="115"/>
      <c r="E457" s="115"/>
    </row>
    <row r="458" spans="1:5" ht="13">
      <c r="A458" s="115"/>
      <c r="B458" s="115"/>
      <c r="C458" s="115"/>
      <c r="D458" s="115"/>
      <c r="E458" s="115"/>
    </row>
    <row r="459" spans="1:5" ht="13">
      <c r="A459" s="115"/>
      <c r="B459" s="115"/>
      <c r="C459" s="115"/>
      <c r="D459" s="115"/>
      <c r="E459" s="115"/>
    </row>
    <row r="460" spans="1:5" ht="13">
      <c r="A460" s="115"/>
      <c r="B460" s="115"/>
      <c r="C460" s="115"/>
      <c r="D460" s="115"/>
      <c r="E460" s="115"/>
    </row>
    <row r="461" spans="1:5" ht="13">
      <c r="A461" s="115"/>
      <c r="B461" s="115"/>
      <c r="C461" s="115"/>
      <c r="D461" s="115"/>
      <c r="E461" s="115"/>
    </row>
    <row r="462" spans="1:5" ht="13">
      <c r="A462" s="115"/>
      <c r="B462" s="115"/>
      <c r="C462" s="115"/>
      <c r="D462" s="115"/>
      <c r="E462" s="115"/>
    </row>
    <row r="463" spans="1:5" ht="13">
      <c r="A463" s="115"/>
      <c r="B463" s="115"/>
      <c r="C463" s="115"/>
      <c r="D463" s="115"/>
      <c r="E463" s="115"/>
    </row>
    <row r="464" spans="1:5" ht="13">
      <c r="A464" s="115"/>
      <c r="B464" s="115"/>
      <c r="C464" s="115"/>
      <c r="D464" s="115"/>
      <c r="E464" s="115"/>
    </row>
    <row r="465" spans="1:5" ht="13">
      <c r="A465" s="115"/>
      <c r="B465" s="115"/>
      <c r="C465" s="115"/>
      <c r="D465" s="115"/>
      <c r="E465" s="115"/>
    </row>
    <row r="466" spans="1:5" ht="13">
      <c r="A466" s="115"/>
      <c r="B466" s="115"/>
      <c r="C466" s="115"/>
      <c r="D466" s="115"/>
      <c r="E466" s="115"/>
    </row>
    <row r="467" spans="1:5" ht="13">
      <c r="A467" s="115"/>
      <c r="B467" s="115"/>
      <c r="C467" s="115"/>
      <c r="D467" s="115"/>
      <c r="E467" s="115"/>
    </row>
    <row r="468" spans="1:5" ht="13">
      <c r="A468" s="115"/>
      <c r="B468" s="115"/>
      <c r="C468" s="115"/>
      <c r="D468" s="115"/>
      <c r="E468" s="115"/>
    </row>
    <row r="469" spans="1:5" ht="13">
      <c r="A469" s="115"/>
      <c r="B469" s="115"/>
      <c r="C469" s="115"/>
      <c r="D469" s="115"/>
      <c r="E469" s="115"/>
    </row>
    <row r="470" spans="1:5" ht="13">
      <c r="A470" s="115"/>
      <c r="B470" s="115"/>
      <c r="C470" s="115"/>
      <c r="D470" s="115"/>
      <c r="E470" s="115"/>
    </row>
    <row r="471" spans="1:5" ht="13">
      <c r="A471" s="115"/>
      <c r="B471" s="115"/>
      <c r="C471" s="115"/>
      <c r="D471" s="115"/>
      <c r="E471" s="115"/>
    </row>
    <row r="472" spans="1:5" ht="13">
      <c r="A472" s="115"/>
      <c r="B472" s="115"/>
      <c r="C472" s="115"/>
      <c r="D472" s="115"/>
      <c r="E472" s="115"/>
    </row>
    <row r="473" spans="1:5" ht="13">
      <c r="A473" s="115"/>
      <c r="B473" s="115"/>
      <c r="C473" s="115"/>
      <c r="D473" s="115"/>
      <c r="E473" s="115"/>
    </row>
    <row r="474" spans="1:5" ht="13">
      <c r="A474" s="115"/>
      <c r="B474" s="115"/>
      <c r="C474" s="115"/>
      <c r="D474" s="115"/>
      <c r="E474" s="115"/>
    </row>
    <row r="475" spans="1:5" ht="13">
      <c r="A475" s="115"/>
      <c r="B475" s="115"/>
      <c r="C475" s="115"/>
      <c r="D475" s="115"/>
      <c r="E475" s="115"/>
    </row>
    <row r="476" spans="1:5" ht="13">
      <c r="A476" s="115"/>
      <c r="B476" s="115"/>
      <c r="C476" s="115"/>
      <c r="D476" s="115"/>
      <c r="E476" s="115"/>
    </row>
    <row r="477" spans="1:5" ht="13">
      <c r="A477" s="115"/>
      <c r="B477" s="115"/>
      <c r="C477" s="115"/>
      <c r="D477" s="115"/>
      <c r="E477" s="115"/>
    </row>
    <row r="478" spans="1:5" ht="13">
      <c r="A478" s="115"/>
      <c r="B478" s="115"/>
      <c r="C478" s="115"/>
      <c r="D478" s="115"/>
      <c r="E478" s="115"/>
    </row>
    <row r="479" spans="1:5" ht="13">
      <c r="A479" s="115"/>
      <c r="B479" s="115"/>
      <c r="C479" s="115"/>
      <c r="D479" s="115"/>
      <c r="E479" s="115"/>
    </row>
    <row r="480" spans="1:5" ht="13">
      <c r="A480" s="115"/>
      <c r="B480" s="115"/>
      <c r="C480" s="115"/>
      <c r="D480" s="115"/>
      <c r="E480" s="115"/>
    </row>
    <row r="481" spans="1:5" ht="13">
      <c r="A481" s="115"/>
      <c r="B481" s="115"/>
      <c r="C481" s="115"/>
      <c r="D481" s="115"/>
      <c r="E481" s="115"/>
    </row>
    <row r="482" spans="1:5" ht="13">
      <c r="A482" s="115"/>
      <c r="B482" s="115"/>
      <c r="C482" s="115"/>
      <c r="D482" s="115"/>
      <c r="E482" s="115"/>
    </row>
    <row r="483" spans="1:5" ht="13">
      <c r="A483" s="115"/>
      <c r="B483" s="115"/>
      <c r="C483" s="115"/>
      <c r="D483" s="115"/>
      <c r="E483" s="115"/>
    </row>
    <row r="484" spans="1:5" ht="13">
      <c r="A484" s="115"/>
      <c r="B484" s="115"/>
      <c r="C484" s="115"/>
      <c r="D484" s="115"/>
      <c r="E484" s="115"/>
    </row>
    <row r="485" spans="1:5" ht="13">
      <c r="A485" s="115"/>
      <c r="B485" s="115"/>
      <c r="C485" s="115"/>
      <c r="D485" s="115"/>
      <c r="E485" s="115"/>
    </row>
    <row r="486" spans="1:5" ht="13">
      <c r="A486" s="115"/>
      <c r="B486" s="115"/>
      <c r="C486" s="115"/>
      <c r="D486" s="115"/>
      <c r="E486" s="115"/>
    </row>
    <row r="487" spans="1:5" ht="13">
      <c r="A487" s="115"/>
      <c r="B487" s="115"/>
      <c r="C487" s="115"/>
      <c r="D487" s="115"/>
      <c r="E487" s="115"/>
    </row>
    <row r="488" spans="1:5" ht="13">
      <c r="A488" s="115"/>
      <c r="B488" s="115"/>
      <c r="C488" s="115"/>
      <c r="D488" s="115"/>
      <c r="E488" s="115"/>
    </row>
    <row r="489" spans="1:5" ht="13">
      <c r="A489" s="115"/>
      <c r="B489" s="115"/>
      <c r="C489" s="115"/>
      <c r="D489" s="115"/>
      <c r="E489" s="115"/>
    </row>
    <row r="490" spans="1:5" ht="13">
      <c r="A490" s="115"/>
      <c r="B490" s="115"/>
      <c r="C490" s="115"/>
      <c r="D490" s="115"/>
      <c r="E490" s="115"/>
    </row>
    <row r="491" spans="1:5" ht="13">
      <c r="A491" s="115"/>
      <c r="B491" s="115"/>
      <c r="C491" s="115"/>
      <c r="D491" s="115"/>
      <c r="E491" s="115"/>
    </row>
    <row r="492" spans="1:5" ht="13">
      <c r="A492" s="115"/>
      <c r="B492" s="115"/>
      <c r="C492" s="115"/>
      <c r="D492" s="115"/>
      <c r="E492" s="115"/>
    </row>
    <row r="493" spans="1:5" ht="13">
      <c r="A493" s="115"/>
      <c r="B493" s="115"/>
      <c r="C493" s="115"/>
      <c r="D493" s="115"/>
      <c r="E493" s="115"/>
    </row>
    <row r="494" spans="1:5" ht="13">
      <c r="A494" s="115"/>
      <c r="B494" s="115"/>
      <c r="C494" s="115"/>
      <c r="D494" s="115"/>
      <c r="E494" s="115"/>
    </row>
    <row r="495" spans="1:5" ht="13">
      <c r="A495" s="115"/>
      <c r="B495" s="115"/>
      <c r="C495" s="115"/>
      <c r="D495" s="115"/>
      <c r="E495" s="115"/>
    </row>
    <row r="496" spans="1:5" ht="13">
      <c r="A496" s="115"/>
      <c r="B496" s="115"/>
      <c r="C496" s="115"/>
      <c r="D496" s="115"/>
      <c r="E496" s="115"/>
    </row>
    <row r="497" spans="1:5" ht="13">
      <c r="A497" s="115"/>
      <c r="B497" s="115"/>
      <c r="C497" s="115"/>
      <c r="D497" s="115"/>
      <c r="E497" s="115"/>
    </row>
    <row r="498" spans="1:5" ht="13">
      <c r="A498" s="115"/>
      <c r="B498" s="115"/>
      <c r="C498" s="115"/>
      <c r="D498" s="115"/>
      <c r="E498" s="115"/>
    </row>
    <row r="499" spans="1:5" ht="13">
      <c r="A499" s="115"/>
      <c r="B499" s="115"/>
      <c r="C499" s="115"/>
      <c r="D499" s="115"/>
      <c r="E499" s="115"/>
    </row>
    <row r="500" spans="1:5" ht="13">
      <c r="A500" s="115"/>
      <c r="B500" s="115"/>
      <c r="C500" s="115"/>
      <c r="D500" s="115"/>
      <c r="E500" s="115"/>
    </row>
    <row r="501" spans="1:5" ht="13">
      <c r="A501" s="115"/>
      <c r="B501" s="115"/>
      <c r="C501" s="115"/>
      <c r="D501" s="115"/>
      <c r="E501" s="115"/>
    </row>
    <row r="502" spans="1:5" ht="13">
      <c r="A502" s="115"/>
      <c r="B502" s="115"/>
      <c r="C502" s="115"/>
      <c r="D502" s="115"/>
      <c r="E502" s="115"/>
    </row>
    <row r="503" spans="1:5" ht="13">
      <c r="A503" s="115"/>
      <c r="B503" s="115"/>
      <c r="C503" s="115"/>
      <c r="D503" s="115"/>
      <c r="E503" s="115"/>
    </row>
    <row r="504" spans="1:5" ht="13">
      <c r="A504" s="115"/>
      <c r="B504" s="115"/>
      <c r="C504" s="115"/>
      <c r="D504" s="115"/>
      <c r="E504" s="115"/>
    </row>
    <row r="505" spans="1:5" ht="13">
      <c r="A505" s="115"/>
      <c r="B505" s="115"/>
      <c r="C505" s="115"/>
      <c r="D505" s="115"/>
      <c r="E505" s="115"/>
    </row>
    <row r="506" spans="1:5" ht="13">
      <c r="A506" s="115"/>
      <c r="B506" s="115"/>
      <c r="C506" s="115"/>
      <c r="D506" s="115"/>
      <c r="E506" s="115"/>
    </row>
    <row r="507" spans="1:5" ht="13">
      <c r="A507" s="115"/>
      <c r="B507" s="115"/>
      <c r="C507" s="115"/>
      <c r="D507" s="115"/>
      <c r="E507" s="115"/>
    </row>
    <row r="508" spans="1:5" ht="13">
      <c r="A508" s="115"/>
      <c r="B508" s="115"/>
      <c r="C508" s="115"/>
      <c r="D508" s="115"/>
      <c r="E508" s="115"/>
    </row>
    <row r="509" spans="1:5" ht="13">
      <c r="A509" s="115"/>
      <c r="B509" s="115"/>
      <c r="C509" s="115"/>
      <c r="D509" s="115"/>
      <c r="E509" s="115"/>
    </row>
    <row r="510" spans="1:5" ht="13">
      <c r="A510" s="115"/>
      <c r="B510" s="115"/>
      <c r="C510" s="115"/>
      <c r="D510" s="115"/>
      <c r="E510" s="115"/>
    </row>
    <row r="511" spans="1:5" ht="13">
      <c r="A511" s="115"/>
      <c r="B511" s="115"/>
      <c r="C511" s="115"/>
      <c r="D511" s="115"/>
      <c r="E511" s="115"/>
    </row>
    <row r="512" spans="1:5" ht="13">
      <c r="A512" s="115"/>
      <c r="B512" s="115"/>
      <c r="C512" s="115"/>
      <c r="D512" s="115"/>
      <c r="E512" s="115"/>
    </row>
    <row r="513" spans="1:5" ht="13">
      <c r="A513" s="115"/>
      <c r="B513" s="115"/>
      <c r="C513" s="115"/>
      <c r="D513" s="115"/>
      <c r="E513" s="115"/>
    </row>
    <row r="514" spans="1:5" ht="13">
      <c r="A514" s="115"/>
      <c r="B514" s="115"/>
      <c r="C514" s="115"/>
      <c r="D514" s="115"/>
      <c r="E514" s="115"/>
    </row>
    <row r="515" spans="1:5" ht="13">
      <c r="A515" s="115"/>
      <c r="B515" s="115"/>
      <c r="C515" s="115"/>
      <c r="D515" s="115"/>
      <c r="E515" s="115"/>
    </row>
    <row r="516" spans="1:5" ht="13">
      <c r="A516" s="115"/>
      <c r="B516" s="115"/>
      <c r="C516" s="115"/>
      <c r="D516" s="115"/>
      <c r="E516" s="115"/>
    </row>
    <row r="517" spans="1:5" ht="13">
      <c r="A517" s="115"/>
      <c r="B517" s="115"/>
      <c r="C517" s="115"/>
      <c r="D517" s="115"/>
      <c r="E517" s="115"/>
    </row>
    <row r="518" spans="1:5" ht="13">
      <c r="A518" s="115"/>
      <c r="B518" s="115"/>
      <c r="C518" s="115"/>
      <c r="D518" s="115"/>
      <c r="E518" s="115"/>
    </row>
    <row r="519" spans="1:5" ht="13">
      <c r="A519" s="115"/>
      <c r="B519" s="115"/>
      <c r="C519" s="115"/>
      <c r="D519" s="115"/>
      <c r="E519" s="115"/>
    </row>
    <row r="520" spans="1:5" ht="13">
      <c r="A520" s="115"/>
      <c r="B520" s="115"/>
      <c r="C520" s="115"/>
      <c r="D520" s="115"/>
      <c r="E520" s="115"/>
    </row>
    <row r="521" spans="1:5" ht="13">
      <c r="A521" s="115"/>
      <c r="B521" s="115"/>
      <c r="C521" s="115"/>
      <c r="D521" s="115"/>
      <c r="E521" s="115"/>
    </row>
    <row r="522" spans="1:5" ht="13">
      <c r="A522" s="115"/>
      <c r="B522" s="115"/>
      <c r="C522" s="115"/>
      <c r="D522" s="115"/>
      <c r="E522" s="115"/>
    </row>
    <row r="523" spans="1:5" ht="13">
      <c r="A523" s="115"/>
      <c r="B523" s="115"/>
      <c r="C523" s="115"/>
      <c r="D523" s="115"/>
      <c r="E523" s="115"/>
    </row>
    <row r="524" spans="1:5" ht="13">
      <c r="A524" s="115"/>
      <c r="B524" s="115"/>
      <c r="C524" s="115"/>
      <c r="D524" s="115"/>
      <c r="E524" s="115"/>
    </row>
    <row r="525" spans="1:5" ht="13">
      <c r="A525" s="115"/>
      <c r="B525" s="115"/>
      <c r="C525" s="115"/>
      <c r="D525" s="115"/>
      <c r="E525" s="115"/>
    </row>
    <row r="526" spans="1:5" ht="13">
      <c r="A526" s="115"/>
      <c r="B526" s="115"/>
      <c r="C526" s="115"/>
      <c r="D526" s="115"/>
      <c r="E526" s="115"/>
    </row>
    <row r="527" spans="1:5" ht="13">
      <c r="A527" s="115"/>
      <c r="B527" s="115"/>
      <c r="C527" s="115"/>
      <c r="D527" s="115"/>
      <c r="E527" s="115"/>
    </row>
    <row r="528" spans="1:5" ht="13">
      <c r="A528" s="115"/>
      <c r="B528" s="115"/>
      <c r="C528" s="115"/>
      <c r="D528" s="115"/>
      <c r="E528" s="115"/>
    </row>
    <row r="529" spans="1:5" ht="13">
      <c r="A529" s="115"/>
      <c r="B529" s="115"/>
      <c r="C529" s="115"/>
      <c r="D529" s="115"/>
      <c r="E529" s="115"/>
    </row>
    <row r="530" spans="1:5" ht="13">
      <c r="A530" s="115"/>
      <c r="B530" s="115"/>
      <c r="C530" s="115"/>
      <c r="D530" s="115"/>
      <c r="E530" s="115"/>
    </row>
    <row r="531" spans="1:5" ht="13">
      <c r="A531" s="115"/>
      <c r="B531" s="115"/>
      <c r="C531" s="115"/>
      <c r="D531" s="115"/>
      <c r="E531" s="115"/>
    </row>
    <row r="532" spans="1:5" ht="13">
      <c r="A532" s="115"/>
      <c r="B532" s="115"/>
      <c r="C532" s="115"/>
      <c r="D532" s="115"/>
      <c r="E532" s="115"/>
    </row>
    <row r="533" spans="1:5" ht="13">
      <c r="A533" s="115"/>
      <c r="B533" s="115"/>
      <c r="C533" s="115"/>
      <c r="D533" s="115"/>
      <c r="E533" s="115"/>
    </row>
    <row r="534" spans="1:5" ht="13">
      <c r="A534" s="115"/>
      <c r="B534" s="115"/>
      <c r="C534" s="115"/>
      <c r="D534" s="115"/>
      <c r="E534" s="115"/>
    </row>
    <row r="535" spans="1:5" ht="13">
      <c r="A535" s="115"/>
      <c r="B535" s="115"/>
      <c r="C535" s="115"/>
      <c r="D535" s="115"/>
      <c r="E535" s="115"/>
    </row>
    <row r="536" spans="1:5" ht="13">
      <c r="A536" s="115"/>
      <c r="B536" s="115"/>
      <c r="C536" s="115"/>
      <c r="D536" s="115"/>
      <c r="E536" s="115"/>
    </row>
    <row r="537" spans="1:5" ht="13">
      <c r="A537" s="115"/>
      <c r="B537" s="115"/>
      <c r="C537" s="115"/>
      <c r="D537" s="115"/>
      <c r="E537" s="115"/>
    </row>
    <row r="538" spans="1:5" ht="13">
      <c r="A538" s="115"/>
      <c r="B538" s="115"/>
      <c r="C538" s="115"/>
      <c r="D538" s="115"/>
      <c r="E538" s="115"/>
    </row>
    <row r="539" spans="1:5" ht="13">
      <c r="A539" s="115"/>
      <c r="B539" s="115"/>
      <c r="C539" s="115"/>
      <c r="D539" s="115"/>
      <c r="E539" s="115"/>
    </row>
    <row r="540" spans="1:5" ht="13">
      <c r="A540" s="115"/>
      <c r="B540" s="115"/>
      <c r="C540" s="115"/>
      <c r="D540" s="115"/>
      <c r="E540" s="115"/>
    </row>
    <row r="541" spans="1:5" ht="13">
      <c r="A541" s="115"/>
      <c r="B541" s="115"/>
      <c r="C541" s="115"/>
      <c r="D541" s="115"/>
      <c r="E541" s="115"/>
    </row>
    <row r="542" spans="1:5" ht="13">
      <c r="A542" s="115"/>
      <c r="B542" s="115"/>
      <c r="C542" s="115"/>
      <c r="D542" s="115"/>
      <c r="E542" s="115"/>
    </row>
    <row r="543" spans="1:5" ht="13">
      <c r="A543" s="115"/>
      <c r="B543" s="115"/>
      <c r="C543" s="115"/>
      <c r="D543" s="115"/>
      <c r="E543" s="115"/>
    </row>
    <row r="544" spans="1:5" ht="13">
      <c r="A544" s="115"/>
      <c r="B544" s="115"/>
      <c r="C544" s="115"/>
      <c r="D544" s="115"/>
      <c r="E544" s="115"/>
    </row>
    <row r="545" spans="1:5" ht="13">
      <c r="A545" s="115"/>
      <c r="B545" s="115"/>
      <c r="C545" s="115"/>
      <c r="D545" s="115"/>
      <c r="E545" s="115"/>
    </row>
    <row r="546" spans="1:5" ht="13">
      <c r="A546" s="115"/>
      <c r="B546" s="115"/>
      <c r="C546" s="115"/>
      <c r="D546" s="115"/>
      <c r="E546" s="115"/>
    </row>
    <row r="547" spans="1:5" ht="13">
      <c r="A547" s="115"/>
      <c r="B547" s="115"/>
      <c r="C547" s="115"/>
      <c r="D547" s="115"/>
      <c r="E547" s="115"/>
    </row>
    <row r="548" spans="1:5" ht="13">
      <c r="A548" s="115"/>
      <c r="B548" s="115"/>
      <c r="C548" s="115"/>
      <c r="D548" s="115"/>
      <c r="E548" s="115"/>
    </row>
    <row r="549" spans="1:5" ht="13">
      <c r="A549" s="115"/>
      <c r="B549" s="115"/>
      <c r="C549" s="115"/>
      <c r="D549" s="115"/>
      <c r="E549" s="115"/>
    </row>
    <row r="550" spans="1:5" ht="13">
      <c r="A550" s="115"/>
      <c r="B550" s="115"/>
      <c r="C550" s="115"/>
      <c r="D550" s="115"/>
      <c r="E550" s="115"/>
    </row>
    <row r="551" spans="1:5" ht="13">
      <c r="A551" s="115"/>
      <c r="B551" s="115"/>
      <c r="C551" s="115"/>
      <c r="D551" s="115"/>
      <c r="E551" s="115"/>
    </row>
    <row r="552" spans="1:5" ht="13">
      <c r="A552" s="115"/>
      <c r="B552" s="115"/>
      <c r="C552" s="115"/>
      <c r="D552" s="115"/>
      <c r="E552" s="115"/>
    </row>
    <row r="553" spans="1:5" ht="13">
      <c r="A553" s="115"/>
      <c r="B553" s="115"/>
      <c r="C553" s="115"/>
      <c r="D553" s="115"/>
      <c r="E553" s="115"/>
    </row>
    <row r="554" spans="1:5" ht="13">
      <c r="A554" s="115"/>
      <c r="B554" s="115"/>
      <c r="C554" s="115"/>
      <c r="D554" s="115"/>
      <c r="E554" s="115"/>
    </row>
    <row r="555" spans="1:5" ht="13">
      <c r="A555" s="115"/>
      <c r="B555" s="115"/>
      <c r="C555" s="115"/>
      <c r="D555" s="115"/>
      <c r="E555" s="115"/>
    </row>
    <row r="556" spans="1:5" ht="13">
      <c r="A556" s="115"/>
      <c r="B556" s="115"/>
      <c r="C556" s="115"/>
      <c r="D556" s="115"/>
      <c r="E556" s="115"/>
    </row>
    <row r="557" spans="1:5" ht="13">
      <c r="A557" s="115"/>
      <c r="B557" s="115"/>
      <c r="C557" s="115"/>
      <c r="D557" s="115"/>
      <c r="E557" s="115"/>
    </row>
    <row r="558" spans="1:5" ht="13">
      <c r="A558" s="115"/>
      <c r="B558" s="115"/>
      <c r="C558" s="115"/>
      <c r="D558" s="115"/>
      <c r="E558" s="115"/>
    </row>
    <row r="559" spans="1:5" ht="13">
      <c r="A559" s="115"/>
      <c r="B559" s="115"/>
      <c r="C559" s="115"/>
      <c r="D559" s="115"/>
      <c r="E559" s="115"/>
    </row>
    <row r="560" spans="1:5" ht="13">
      <c r="A560" s="115"/>
      <c r="B560" s="115"/>
      <c r="C560" s="115"/>
      <c r="D560" s="115"/>
      <c r="E560" s="115"/>
    </row>
    <row r="561" spans="1:5" ht="13">
      <c r="A561" s="115"/>
      <c r="B561" s="115"/>
      <c r="C561" s="115"/>
      <c r="D561" s="115"/>
      <c r="E561" s="115"/>
    </row>
    <row r="562" spans="1:5" ht="13">
      <c r="A562" s="115"/>
      <c r="B562" s="115"/>
      <c r="C562" s="115"/>
      <c r="D562" s="115"/>
      <c r="E562" s="115"/>
    </row>
    <row r="563" spans="1:5" ht="13">
      <c r="A563" s="115"/>
      <c r="B563" s="115"/>
      <c r="C563" s="115"/>
      <c r="D563" s="115"/>
      <c r="E563" s="115"/>
    </row>
    <row r="564" spans="1:5" ht="13">
      <c r="A564" s="115"/>
      <c r="B564" s="115"/>
      <c r="C564" s="115"/>
      <c r="D564" s="115"/>
      <c r="E564" s="115"/>
    </row>
    <row r="565" spans="1:5" ht="13">
      <c r="A565" s="115"/>
      <c r="B565" s="115"/>
      <c r="C565" s="115"/>
      <c r="D565" s="115"/>
      <c r="E565" s="115"/>
    </row>
    <row r="566" spans="1:5" ht="13">
      <c r="A566" s="115"/>
      <c r="B566" s="115"/>
      <c r="C566" s="115"/>
      <c r="D566" s="115"/>
      <c r="E566" s="115"/>
    </row>
    <row r="567" spans="1:5" ht="13">
      <c r="A567" s="115"/>
      <c r="B567" s="115"/>
      <c r="C567" s="115"/>
      <c r="D567" s="115"/>
      <c r="E567" s="115"/>
    </row>
    <row r="568" spans="1:5" ht="13">
      <c r="A568" s="115"/>
      <c r="B568" s="115"/>
      <c r="C568" s="115"/>
      <c r="D568" s="115"/>
      <c r="E568" s="115"/>
    </row>
    <row r="569" spans="1:5" ht="13">
      <c r="A569" s="115"/>
      <c r="B569" s="115"/>
      <c r="C569" s="115"/>
      <c r="D569" s="115"/>
      <c r="E569" s="115"/>
    </row>
    <row r="570" spans="1:5" ht="13">
      <c r="A570" s="115"/>
      <c r="B570" s="115"/>
      <c r="C570" s="115"/>
      <c r="D570" s="115"/>
      <c r="E570" s="115"/>
    </row>
    <row r="571" spans="1:5" ht="13">
      <c r="A571" s="115"/>
      <c r="B571" s="115"/>
      <c r="C571" s="115"/>
      <c r="D571" s="115"/>
      <c r="E571" s="115"/>
    </row>
    <row r="572" spans="1:5" ht="13">
      <c r="A572" s="115"/>
      <c r="B572" s="115"/>
      <c r="C572" s="115"/>
      <c r="D572" s="115"/>
      <c r="E572" s="115"/>
    </row>
    <row r="573" spans="1:5" ht="13">
      <c r="A573" s="115"/>
      <c r="B573" s="115"/>
      <c r="C573" s="115"/>
      <c r="D573" s="115"/>
      <c r="E573" s="115"/>
    </row>
    <row r="574" spans="1:5" ht="13">
      <c r="A574" s="115"/>
      <c r="B574" s="115"/>
      <c r="C574" s="115"/>
      <c r="D574" s="115"/>
      <c r="E574" s="115"/>
    </row>
    <row r="575" spans="1:5" ht="13">
      <c r="A575" s="115"/>
      <c r="B575" s="115"/>
      <c r="C575" s="115"/>
      <c r="D575" s="115"/>
      <c r="E575" s="115"/>
    </row>
    <row r="576" spans="1:5" ht="13">
      <c r="A576" s="115"/>
      <c r="B576" s="115"/>
      <c r="C576" s="115"/>
      <c r="D576" s="115"/>
      <c r="E576" s="115"/>
    </row>
    <row r="577" spans="1:5" ht="13">
      <c r="A577" s="115"/>
      <c r="B577" s="115"/>
      <c r="C577" s="115"/>
      <c r="D577" s="115"/>
      <c r="E577" s="115"/>
    </row>
    <row r="578" spans="1:5" ht="13">
      <c r="A578" s="115"/>
      <c r="B578" s="115"/>
      <c r="C578" s="115"/>
      <c r="D578" s="115"/>
      <c r="E578" s="115"/>
    </row>
    <row r="579" spans="1:5" ht="13">
      <c r="A579" s="115"/>
      <c r="B579" s="115"/>
      <c r="C579" s="115"/>
      <c r="D579" s="115"/>
      <c r="E579" s="115"/>
    </row>
    <row r="580" spans="1:5" ht="13">
      <c r="A580" s="115"/>
      <c r="B580" s="115"/>
      <c r="C580" s="115"/>
      <c r="D580" s="115"/>
      <c r="E580" s="115"/>
    </row>
    <row r="581" spans="1:5" ht="13">
      <c r="A581" s="115"/>
      <c r="B581" s="115"/>
      <c r="C581" s="115"/>
      <c r="D581" s="115"/>
      <c r="E581" s="115"/>
    </row>
    <row r="582" spans="1:5" ht="13">
      <c r="A582" s="115"/>
      <c r="B582" s="115"/>
      <c r="C582" s="115"/>
      <c r="D582" s="115"/>
      <c r="E582" s="115"/>
    </row>
    <row r="583" spans="1:5" ht="13">
      <c r="A583" s="115"/>
      <c r="B583" s="115"/>
      <c r="C583" s="115"/>
      <c r="D583" s="115"/>
      <c r="E583" s="115"/>
    </row>
    <row r="584" spans="1:5" ht="13">
      <c r="A584" s="115"/>
      <c r="B584" s="115"/>
      <c r="C584" s="115"/>
      <c r="D584" s="115"/>
      <c r="E584" s="115"/>
    </row>
    <row r="585" spans="1:5" ht="13">
      <c r="A585" s="115"/>
      <c r="B585" s="115"/>
      <c r="C585" s="115"/>
      <c r="D585" s="115"/>
      <c r="E585" s="115"/>
    </row>
    <row r="586" spans="1:5" ht="13">
      <c r="A586" s="115"/>
      <c r="B586" s="115"/>
      <c r="C586" s="115"/>
      <c r="D586" s="115"/>
      <c r="E586" s="115"/>
    </row>
    <row r="587" spans="1:5" ht="13">
      <c r="A587" s="115"/>
      <c r="B587" s="115"/>
      <c r="C587" s="115"/>
      <c r="D587" s="115"/>
      <c r="E587" s="115"/>
    </row>
    <row r="588" spans="1:5" ht="13">
      <c r="A588" s="115"/>
      <c r="B588" s="115"/>
      <c r="C588" s="115"/>
      <c r="D588" s="115"/>
      <c r="E588" s="115"/>
    </row>
    <row r="589" spans="1:5" ht="13">
      <c r="A589" s="115"/>
      <c r="B589" s="115"/>
      <c r="C589" s="115"/>
      <c r="D589" s="115"/>
      <c r="E589" s="115"/>
    </row>
    <row r="590" spans="1:5" ht="13">
      <c r="A590" s="115"/>
      <c r="B590" s="115"/>
      <c r="C590" s="115"/>
      <c r="D590" s="115"/>
      <c r="E590" s="115"/>
    </row>
    <row r="591" spans="1:5" ht="13">
      <c r="A591" s="115"/>
      <c r="B591" s="115"/>
      <c r="C591" s="115"/>
      <c r="D591" s="115"/>
      <c r="E591" s="115"/>
    </row>
    <row r="592" spans="1:5" ht="13">
      <c r="A592" s="115"/>
      <c r="B592" s="115"/>
      <c r="C592" s="115"/>
      <c r="D592" s="115"/>
      <c r="E592" s="115"/>
    </row>
    <row r="593" spans="1:5" ht="13">
      <c r="A593" s="115"/>
      <c r="B593" s="115"/>
      <c r="C593" s="115"/>
      <c r="D593" s="115"/>
      <c r="E593" s="115"/>
    </row>
    <row r="594" spans="1:5" ht="13">
      <c r="A594" s="115"/>
      <c r="B594" s="115"/>
      <c r="C594" s="115"/>
      <c r="D594" s="115"/>
      <c r="E594" s="115"/>
    </row>
    <row r="595" spans="1:5" ht="13">
      <c r="A595" s="115"/>
      <c r="B595" s="115"/>
      <c r="C595" s="115"/>
      <c r="D595" s="115"/>
      <c r="E595" s="115"/>
    </row>
    <row r="596" spans="1:5" ht="13">
      <c r="A596" s="115"/>
      <c r="B596" s="115"/>
      <c r="C596" s="115"/>
      <c r="D596" s="115"/>
      <c r="E596" s="115"/>
    </row>
    <row r="597" spans="1:5" ht="13">
      <c r="A597" s="115"/>
      <c r="B597" s="115"/>
      <c r="C597" s="115"/>
      <c r="D597" s="115"/>
      <c r="E597" s="115"/>
    </row>
    <row r="598" spans="1:5" ht="13">
      <c r="A598" s="115"/>
      <c r="B598" s="115"/>
      <c r="C598" s="115"/>
      <c r="D598" s="115"/>
      <c r="E598" s="115"/>
    </row>
    <row r="599" spans="1:5" ht="13">
      <c r="A599" s="115"/>
      <c r="B599" s="115"/>
      <c r="C599" s="115"/>
      <c r="D599" s="115"/>
      <c r="E599" s="115"/>
    </row>
    <row r="600" spans="1:5" ht="13">
      <c r="A600" s="115"/>
      <c r="B600" s="115"/>
      <c r="C600" s="115"/>
      <c r="D600" s="115"/>
      <c r="E600" s="115"/>
    </row>
    <row r="601" spans="1:5" ht="13">
      <c r="A601" s="115"/>
      <c r="B601" s="115"/>
      <c r="C601" s="115"/>
      <c r="D601" s="115"/>
      <c r="E601" s="115"/>
    </row>
    <row r="602" spans="1:5" ht="13">
      <c r="A602" s="115"/>
      <c r="B602" s="115"/>
      <c r="C602" s="115"/>
      <c r="D602" s="115"/>
      <c r="E602" s="115"/>
    </row>
    <row r="603" spans="1:5" ht="13">
      <c r="A603" s="115"/>
      <c r="B603" s="115"/>
      <c r="C603" s="115"/>
      <c r="D603" s="115"/>
      <c r="E603" s="115"/>
    </row>
    <row r="604" spans="1:5" ht="13">
      <c r="A604" s="115"/>
      <c r="B604" s="115"/>
      <c r="C604" s="115"/>
      <c r="D604" s="115"/>
      <c r="E604" s="115"/>
    </row>
    <row r="605" spans="1:5" ht="13">
      <c r="A605" s="115"/>
      <c r="B605" s="115"/>
      <c r="C605" s="115"/>
      <c r="D605" s="115"/>
      <c r="E605" s="115"/>
    </row>
    <row r="606" spans="1:5" ht="13">
      <c r="A606" s="115"/>
      <c r="B606" s="115"/>
      <c r="C606" s="115"/>
      <c r="D606" s="115"/>
      <c r="E606" s="115"/>
    </row>
    <row r="607" spans="1:5" ht="13">
      <c r="A607" s="115"/>
      <c r="B607" s="115"/>
      <c r="C607" s="115"/>
      <c r="D607" s="115"/>
      <c r="E607" s="115"/>
    </row>
    <row r="608" spans="1:5" ht="13">
      <c r="A608" s="115"/>
      <c r="B608" s="115"/>
      <c r="C608" s="115"/>
      <c r="D608" s="115"/>
      <c r="E608" s="115"/>
    </row>
    <row r="609" spans="1:5" ht="13">
      <c r="A609" s="115"/>
      <c r="B609" s="115"/>
      <c r="C609" s="115"/>
      <c r="D609" s="115"/>
      <c r="E609" s="115"/>
    </row>
    <row r="610" spans="1:5" ht="13">
      <c r="A610" s="115"/>
      <c r="B610" s="115"/>
      <c r="C610" s="115"/>
      <c r="D610" s="115"/>
      <c r="E610" s="115"/>
    </row>
    <row r="611" spans="1:5" ht="13">
      <c r="A611" s="115"/>
      <c r="B611" s="115"/>
      <c r="C611" s="115"/>
      <c r="D611" s="115"/>
      <c r="E611" s="115"/>
    </row>
    <row r="612" spans="1:5" ht="13">
      <c r="A612" s="115"/>
      <c r="B612" s="115"/>
      <c r="C612" s="115"/>
      <c r="D612" s="115"/>
      <c r="E612" s="115"/>
    </row>
    <row r="613" spans="1:5" ht="13">
      <c r="A613" s="115"/>
      <c r="B613" s="115"/>
      <c r="C613" s="115"/>
      <c r="D613" s="115"/>
      <c r="E613" s="115"/>
    </row>
    <row r="614" spans="1:5" ht="13">
      <c r="A614" s="115"/>
      <c r="B614" s="115"/>
      <c r="C614" s="115"/>
      <c r="D614" s="115"/>
      <c r="E614" s="115"/>
    </row>
    <row r="615" spans="1:5" ht="13">
      <c r="A615" s="115"/>
      <c r="B615" s="115"/>
      <c r="C615" s="115"/>
      <c r="D615" s="115"/>
      <c r="E615" s="115"/>
    </row>
    <row r="616" spans="1:5" ht="13">
      <c r="A616" s="115"/>
      <c r="B616" s="115"/>
      <c r="C616" s="115"/>
      <c r="D616" s="115"/>
      <c r="E616" s="115"/>
    </row>
    <row r="617" spans="1:5" ht="13">
      <c r="A617" s="115"/>
      <c r="B617" s="115"/>
      <c r="C617" s="115"/>
      <c r="D617" s="115"/>
      <c r="E617" s="115"/>
    </row>
    <row r="618" spans="1:5" ht="13">
      <c r="A618" s="115"/>
      <c r="B618" s="115"/>
      <c r="C618" s="115"/>
      <c r="D618" s="115"/>
      <c r="E618" s="115"/>
    </row>
    <row r="619" spans="1:5" ht="13">
      <c r="A619" s="115"/>
      <c r="B619" s="115"/>
      <c r="C619" s="115"/>
      <c r="D619" s="115"/>
      <c r="E619" s="115"/>
    </row>
    <row r="620" spans="1:5" ht="13">
      <c r="A620" s="115"/>
      <c r="B620" s="115"/>
      <c r="C620" s="115"/>
      <c r="D620" s="115"/>
      <c r="E620" s="115"/>
    </row>
    <row r="621" spans="1:5" ht="13">
      <c r="A621" s="115"/>
      <c r="B621" s="115"/>
      <c r="C621" s="115"/>
      <c r="D621" s="115"/>
      <c r="E621" s="115"/>
    </row>
    <row r="622" spans="1:5" ht="13">
      <c r="A622" s="115"/>
      <c r="B622" s="115"/>
      <c r="C622" s="115"/>
      <c r="D622" s="115"/>
      <c r="E622" s="115"/>
    </row>
    <row r="623" spans="1:5" ht="13">
      <c r="A623" s="115"/>
      <c r="B623" s="115"/>
      <c r="C623" s="115"/>
      <c r="D623" s="115"/>
      <c r="E623" s="115"/>
    </row>
    <row r="624" spans="1:5" ht="13">
      <c r="A624" s="115"/>
      <c r="B624" s="115"/>
      <c r="C624" s="115"/>
      <c r="D624" s="115"/>
      <c r="E624" s="115"/>
    </row>
    <row r="625" spans="1:5" ht="13">
      <c r="A625" s="115"/>
      <c r="B625" s="115"/>
      <c r="C625" s="115"/>
      <c r="D625" s="115"/>
      <c r="E625" s="115"/>
    </row>
    <row r="626" spans="1:5" ht="13">
      <c r="A626" s="115"/>
      <c r="B626" s="115"/>
      <c r="C626" s="115"/>
      <c r="D626" s="115"/>
      <c r="E626" s="115"/>
    </row>
    <row r="627" spans="1:5" ht="13">
      <c r="A627" s="115"/>
      <c r="B627" s="115"/>
      <c r="C627" s="115"/>
      <c r="D627" s="115"/>
      <c r="E627" s="115"/>
    </row>
    <row r="628" spans="1:5" ht="13">
      <c r="A628" s="115"/>
      <c r="B628" s="115"/>
      <c r="C628" s="115"/>
      <c r="D628" s="115"/>
      <c r="E628" s="115"/>
    </row>
    <row r="629" spans="1:5" ht="13">
      <c r="A629" s="115"/>
      <c r="B629" s="115"/>
      <c r="C629" s="115"/>
      <c r="D629" s="115"/>
      <c r="E629" s="115"/>
    </row>
    <row r="630" spans="1:5" ht="13">
      <c r="A630" s="115"/>
      <c r="B630" s="115"/>
      <c r="C630" s="115"/>
      <c r="D630" s="115"/>
      <c r="E630" s="115"/>
    </row>
    <row r="631" spans="1:5" ht="13">
      <c r="A631" s="115"/>
      <c r="B631" s="115"/>
      <c r="C631" s="115"/>
      <c r="D631" s="115"/>
      <c r="E631" s="115"/>
    </row>
    <row r="632" spans="1:5" ht="13">
      <c r="A632" s="115"/>
      <c r="B632" s="115"/>
      <c r="C632" s="115"/>
      <c r="D632" s="115"/>
      <c r="E632" s="115"/>
    </row>
    <row r="633" spans="1:5" ht="13">
      <c r="A633" s="115"/>
      <c r="B633" s="115"/>
      <c r="C633" s="115"/>
      <c r="D633" s="115"/>
      <c r="E633" s="115"/>
    </row>
    <row r="634" spans="1:5" ht="13">
      <c r="A634" s="115"/>
      <c r="B634" s="115"/>
      <c r="C634" s="115"/>
      <c r="D634" s="115"/>
      <c r="E634" s="115"/>
    </row>
    <row r="635" spans="1:5" ht="13">
      <c r="A635" s="115"/>
      <c r="B635" s="115"/>
      <c r="C635" s="115"/>
      <c r="D635" s="115"/>
      <c r="E635" s="115"/>
    </row>
    <row r="636" spans="1:5" ht="13">
      <c r="A636" s="115"/>
      <c r="B636" s="115"/>
      <c r="C636" s="115"/>
      <c r="D636" s="115"/>
      <c r="E636" s="115"/>
    </row>
    <row r="637" spans="1:5" ht="13">
      <c r="A637" s="115"/>
      <c r="B637" s="115"/>
      <c r="C637" s="115"/>
      <c r="D637" s="115"/>
      <c r="E637" s="115"/>
    </row>
    <row r="638" spans="1:5" ht="13">
      <c r="A638" s="115"/>
      <c r="B638" s="115"/>
      <c r="C638" s="115"/>
      <c r="D638" s="115"/>
      <c r="E638" s="115"/>
    </row>
    <row r="639" spans="1:5" ht="13">
      <c r="A639" s="115"/>
      <c r="B639" s="115"/>
      <c r="C639" s="115"/>
      <c r="D639" s="115"/>
      <c r="E639" s="115"/>
    </row>
    <row r="640" spans="1:5" ht="13">
      <c r="A640" s="115"/>
      <c r="B640" s="115"/>
      <c r="C640" s="115"/>
      <c r="D640" s="115"/>
      <c r="E640" s="115"/>
    </row>
    <row r="641" spans="1:5" ht="13">
      <c r="A641" s="115"/>
      <c r="B641" s="115"/>
      <c r="C641" s="115"/>
      <c r="D641" s="115"/>
      <c r="E641" s="115"/>
    </row>
    <row r="642" spans="1:5" ht="13">
      <c r="A642" s="115"/>
      <c r="B642" s="115"/>
      <c r="C642" s="115"/>
      <c r="D642" s="115"/>
      <c r="E642" s="115"/>
    </row>
    <row r="643" spans="1:5" ht="13">
      <c r="A643" s="115"/>
      <c r="B643" s="115"/>
      <c r="C643" s="115"/>
      <c r="D643" s="115"/>
      <c r="E643" s="115"/>
    </row>
    <row r="644" spans="1:5" ht="13">
      <c r="A644" s="115"/>
      <c r="B644" s="115"/>
      <c r="C644" s="115"/>
      <c r="D644" s="115"/>
      <c r="E644" s="115"/>
    </row>
    <row r="645" spans="1:5" ht="13">
      <c r="A645" s="115"/>
      <c r="B645" s="115"/>
      <c r="C645" s="115"/>
      <c r="D645" s="115"/>
      <c r="E645" s="115"/>
    </row>
    <row r="646" spans="1:5" ht="13">
      <c r="A646" s="115"/>
      <c r="B646" s="115"/>
      <c r="C646" s="115"/>
      <c r="D646" s="115"/>
      <c r="E646" s="115"/>
    </row>
    <row r="647" spans="1:5" ht="13">
      <c r="A647" s="115"/>
      <c r="B647" s="115"/>
      <c r="C647" s="115"/>
      <c r="D647" s="115"/>
      <c r="E647" s="115"/>
    </row>
    <row r="648" spans="1:5" ht="13">
      <c r="A648" s="115"/>
      <c r="B648" s="115"/>
      <c r="C648" s="115"/>
      <c r="D648" s="115"/>
      <c r="E648" s="115"/>
    </row>
    <row r="649" spans="1:5" ht="13">
      <c r="A649" s="115"/>
      <c r="B649" s="115"/>
      <c r="C649" s="115"/>
      <c r="D649" s="115"/>
      <c r="E649" s="115"/>
    </row>
    <row r="650" spans="1:5" ht="13">
      <c r="A650" s="115"/>
      <c r="B650" s="115"/>
      <c r="C650" s="115"/>
      <c r="D650" s="115"/>
      <c r="E650" s="115"/>
    </row>
    <row r="651" spans="1:5" ht="13">
      <c r="A651" s="115"/>
      <c r="B651" s="115"/>
      <c r="C651" s="115"/>
      <c r="D651" s="115"/>
      <c r="E651" s="115"/>
    </row>
    <row r="652" spans="1:5" ht="13">
      <c r="A652" s="115"/>
      <c r="B652" s="115"/>
      <c r="C652" s="115"/>
      <c r="D652" s="115"/>
      <c r="E652" s="115"/>
    </row>
    <row r="653" spans="1:5" ht="13">
      <c r="A653" s="115"/>
      <c r="B653" s="115"/>
      <c r="C653" s="115"/>
      <c r="D653" s="115"/>
      <c r="E653" s="115"/>
    </row>
    <row r="654" spans="1:5" ht="13">
      <c r="A654" s="115"/>
      <c r="B654" s="115"/>
      <c r="C654" s="115"/>
      <c r="D654" s="115"/>
      <c r="E654" s="115"/>
    </row>
    <row r="655" spans="1:5" ht="13">
      <c r="A655" s="115"/>
      <c r="B655" s="115"/>
      <c r="C655" s="115"/>
      <c r="D655" s="115"/>
      <c r="E655" s="115"/>
    </row>
    <row r="656" spans="1:5" ht="13">
      <c r="A656" s="115"/>
      <c r="B656" s="115"/>
      <c r="C656" s="115"/>
      <c r="D656" s="115"/>
      <c r="E656" s="115"/>
    </row>
    <row r="657" spans="1:5" ht="13">
      <c r="A657" s="115"/>
      <c r="B657" s="115"/>
      <c r="C657" s="115"/>
      <c r="D657" s="115"/>
      <c r="E657" s="115"/>
    </row>
    <row r="658" spans="1:5" ht="13">
      <c r="A658" s="115"/>
      <c r="B658" s="115"/>
      <c r="C658" s="115"/>
      <c r="D658" s="115"/>
      <c r="E658" s="115"/>
    </row>
    <row r="659" spans="1:5" ht="13">
      <c r="A659" s="115"/>
      <c r="B659" s="115"/>
      <c r="C659" s="115"/>
      <c r="D659" s="115"/>
      <c r="E659" s="115"/>
    </row>
    <row r="660" spans="1:5" ht="13">
      <c r="A660" s="115"/>
      <c r="B660" s="115"/>
      <c r="C660" s="115"/>
      <c r="D660" s="115"/>
      <c r="E660" s="115"/>
    </row>
    <row r="661" spans="1:5" ht="13">
      <c r="A661" s="115"/>
      <c r="B661" s="115"/>
      <c r="C661" s="115"/>
      <c r="D661" s="115"/>
      <c r="E661" s="115"/>
    </row>
    <row r="662" spans="1:5" ht="13">
      <c r="A662" s="115"/>
      <c r="B662" s="115"/>
      <c r="C662" s="115"/>
      <c r="D662" s="115"/>
      <c r="E662" s="115"/>
    </row>
    <row r="663" spans="1:5" ht="13">
      <c r="A663" s="115"/>
      <c r="B663" s="115"/>
      <c r="C663" s="115"/>
      <c r="D663" s="115"/>
      <c r="E663" s="115"/>
    </row>
    <row r="664" spans="1:5" ht="13">
      <c r="A664" s="115"/>
      <c r="B664" s="115"/>
      <c r="C664" s="115"/>
      <c r="D664" s="115"/>
      <c r="E664" s="115"/>
    </row>
    <row r="665" spans="1:5" ht="13">
      <c r="A665" s="115"/>
      <c r="B665" s="115"/>
      <c r="C665" s="115"/>
      <c r="D665" s="115"/>
      <c r="E665" s="115"/>
    </row>
    <row r="666" spans="1:5" ht="13">
      <c r="A666" s="115"/>
      <c r="B666" s="115"/>
      <c r="C666" s="115"/>
      <c r="D666" s="115"/>
      <c r="E666" s="115"/>
    </row>
    <row r="667" spans="1:5" ht="13">
      <c r="A667" s="115"/>
      <c r="B667" s="115"/>
      <c r="C667" s="115"/>
      <c r="D667" s="115"/>
      <c r="E667" s="115"/>
    </row>
    <row r="668" spans="1:5" ht="13">
      <c r="A668" s="115"/>
      <c r="B668" s="115"/>
      <c r="C668" s="115"/>
      <c r="D668" s="115"/>
      <c r="E668" s="115"/>
    </row>
    <row r="669" spans="1:5" ht="13">
      <c r="A669" s="115"/>
      <c r="B669" s="115"/>
      <c r="C669" s="115"/>
      <c r="D669" s="115"/>
      <c r="E669" s="115"/>
    </row>
    <row r="670" spans="1:5" ht="13">
      <c r="A670" s="115"/>
      <c r="B670" s="115"/>
      <c r="C670" s="115"/>
      <c r="D670" s="115"/>
      <c r="E670" s="115"/>
    </row>
    <row r="671" spans="1:5" ht="13">
      <c r="A671" s="115"/>
      <c r="B671" s="115"/>
      <c r="C671" s="115"/>
      <c r="D671" s="115"/>
      <c r="E671" s="115"/>
    </row>
    <row r="672" spans="1:5" ht="13">
      <c r="A672" s="115"/>
      <c r="B672" s="115"/>
      <c r="C672" s="115"/>
      <c r="D672" s="115"/>
      <c r="E672" s="115"/>
    </row>
    <row r="673" spans="1:5" ht="13">
      <c r="A673" s="115"/>
      <c r="B673" s="115"/>
      <c r="C673" s="115"/>
      <c r="D673" s="115"/>
      <c r="E673" s="115"/>
    </row>
    <row r="674" spans="1:5" ht="13">
      <c r="A674" s="115"/>
      <c r="B674" s="115"/>
      <c r="C674" s="115"/>
      <c r="D674" s="115"/>
      <c r="E674" s="115"/>
    </row>
    <row r="675" spans="1:5" ht="13">
      <c r="A675" s="115"/>
      <c r="B675" s="115"/>
      <c r="C675" s="115"/>
      <c r="D675" s="115"/>
      <c r="E675" s="115"/>
    </row>
    <row r="676" spans="1:5" ht="13">
      <c r="A676" s="115"/>
      <c r="B676" s="115"/>
      <c r="C676" s="115"/>
      <c r="D676" s="115"/>
      <c r="E676" s="115"/>
    </row>
    <row r="677" spans="1:5" ht="13">
      <c r="A677" s="115"/>
      <c r="B677" s="115"/>
      <c r="C677" s="115"/>
      <c r="D677" s="115"/>
      <c r="E677" s="115"/>
    </row>
    <row r="678" spans="1:5" ht="13">
      <c r="A678" s="115"/>
      <c r="B678" s="115"/>
      <c r="C678" s="115"/>
      <c r="D678" s="115"/>
      <c r="E678" s="115"/>
    </row>
    <row r="679" spans="1:5" ht="13">
      <c r="A679" s="115"/>
      <c r="B679" s="115"/>
      <c r="C679" s="115"/>
      <c r="D679" s="115"/>
      <c r="E679" s="115"/>
    </row>
    <row r="680" spans="1:5" ht="13">
      <c r="A680" s="115"/>
      <c r="B680" s="115"/>
      <c r="C680" s="115"/>
      <c r="D680" s="115"/>
      <c r="E680" s="115"/>
    </row>
    <row r="681" spans="1:5" ht="13">
      <c r="A681" s="115"/>
      <c r="B681" s="115"/>
      <c r="C681" s="115"/>
      <c r="D681" s="115"/>
      <c r="E681" s="115"/>
    </row>
    <row r="682" spans="1:5" ht="13">
      <c r="A682" s="115"/>
      <c r="B682" s="115"/>
      <c r="C682" s="115"/>
      <c r="D682" s="115"/>
      <c r="E682" s="115"/>
    </row>
    <row r="683" spans="1:5" ht="13">
      <c r="A683" s="115"/>
      <c r="B683" s="115"/>
      <c r="C683" s="115"/>
      <c r="D683" s="115"/>
      <c r="E683" s="115"/>
    </row>
    <row r="684" spans="1:5" ht="13">
      <c r="A684" s="115"/>
      <c r="B684" s="115"/>
      <c r="C684" s="115"/>
      <c r="D684" s="115"/>
      <c r="E684" s="115"/>
    </row>
    <row r="685" spans="1:5" ht="13">
      <c r="A685" s="115"/>
      <c r="B685" s="115"/>
      <c r="C685" s="115"/>
      <c r="D685" s="115"/>
      <c r="E685" s="115"/>
    </row>
    <row r="686" spans="1:5" ht="13">
      <c r="A686" s="115"/>
      <c r="B686" s="115"/>
      <c r="C686" s="115"/>
      <c r="D686" s="115"/>
      <c r="E686" s="115"/>
    </row>
    <row r="687" spans="1:5" ht="13">
      <c r="A687" s="115"/>
      <c r="B687" s="115"/>
      <c r="C687" s="115"/>
      <c r="D687" s="115"/>
      <c r="E687" s="115"/>
    </row>
    <row r="688" spans="1:5" ht="13">
      <c r="A688" s="115"/>
      <c r="B688" s="115"/>
      <c r="C688" s="115"/>
      <c r="D688" s="115"/>
      <c r="E688" s="115"/>
    </row>
    <row r="689" spans="1:5" ht="13">
      <c r="A689" s="115"/>
      <c r="B689" s="115"/>
      <c r="C689" s="115"/>
      <c r="D689" s="115"/>
      <c r="E689" s="115"/>
    </row>
    <row r="690" spans="1:5" ht="13">
      <c r="A690" s="115"/>
      <c r="B690" s="115"/>
      <c r="C690" s="115"/>
      <c r="D690" s="115"/>
      <c r="E690" s="115"/>
    </row>
    <row r="691" spans="1:5" ht="13">
      <c r="A691" s="115"/>
      <c r="B691" s="115"/>
      <c r="C691" s="115"/>
      <c r="D691" s="115"/>
      <c r="E691" s="115"/>
    </row>
    <row r="692" spans="1:5" ht="13">
      <c r="A692" s="115"/>
      <c r="B692" s="115"/>
      <c r="C692" s="115"/>
      <c r="D692" s="115"/>
      <c r="E692" s="115"/>
    </row>
    <row r="693" spans="1:5" ht="13">
      <c r="A693" s="115"/>
      <c r="B693" s="115"/>
      <c r="C693" s="115"/>
      <c r="D693" s="115"/>
      <c r="E693" s="115"/>
    </row>
    <row r="694" spans="1:5" ht="13">
      <c r="A694" s="115"/>
      <c r="B694" s="115"/>
      <c r="C694" s="115"/>
      <c r="D694" s="115"/>
      <c r="E694" s="115"/>
    </row>
    <row r="695" spans="1:5" ht="13">
      <c r="A695" s="115"/>
      <c r="B695" s="115"/>
      <c r="C695" s="115"/>
      <c r="D695" s="115"/>
      <c r="E695" s="115"/>
    </row>
    <row r="696" spans="1:5" ht="13">
      <c r="A696" s="115"/>
      <c r="B696" s="115"/>
      <c r="C696" s="115"/>
      <c r="D696" s="115"/>
      <c r="E696" s="115"/>
    </row>
    <row r="697" spans="1:5" ht="13">
      <c r="A697" s="115"/>
      <c r="B697" s="115"/>
      <c r="C697" s="115"/>
      <c r="D697" s="115"/>
      <c r="E697" s="115"/>
    </row>
    <row r="698" spans="1:5" ht="13">
      <c r="A698" s="115"/>
      <c r="B698" s="115"/>
      <c r="C698" s="115"/>
      <c r="D698" s="115"/>
      <c r="E698" s="115"/>
    </row>
    <row r="699" spans="1:5" ht="13">
      <c r="A699" s="115"/>
      <c r="B699" s="115"/>
      <c r="C699" s="115"/>
      <c r="D699" s="115"/>
      <c r="E699" s="115"/>
    </row>
    <row r="700" spans="1:5" ht="13">
      <c r="A700" s="115"/>
      <c r="B700" s="115"/>
      <c r="C700" s="115"/>
      <c r="D700" s="115"/>
      <c r="E700" s="115"/>
    </row>
    <row r="701" spans="1:5" ht="13">
      <c r="A701" s="115"/>
      <c r="B701" s="115"/>
      <c r="C701" s="115"/>
      <c r="D701" s="115"/>
      <c r="E701" s="115"/>
    </row>
    <row r="702" spans="1:5" ht="13">
      <c r="A702" s="115"/>
      <c r="B702" s="115"/>
      <c r="C702" s="115"/>
      <c r="D702" s="115"/>
      <c r="E702" s="115"/>
    </row>
    <row r="703" spans="1:5" ht="13">
      <c r="A703" s="115"/>
      <c r="B703" s="115"/>
      <c r="C703" s="115"/>
      <c r="D703" s="115"/>
      <c r="E703" s="115"/>
    </row>
    <row r="704" spans="1:5" ht="13">
      <c r="A704" s="115"/>
      <c r="B704" s="115"/>
      <c r="C704" s="115"/>
      <c r="D704" s="115"/>
      <c r="E704" s="115"/>
    </row>
    <row r="705" spans="1:5" ht="13">
      <c r="A705" s="115"/>
      <c r="B705" s="115"/>
      <c r="C705" s="115"/>
      <c r="D705" s="115"/>
      <c r="E705" s="115"/>
    </row>
    <row r="706" spans="1:5" ht="13">
      <c r="A706" s="115"/>
      <c r="B706" s="115"/>
      <c r="C706" s="115"/>
      <c r="D706" s="115"/>
      <c r="E706" s="115"/>
    </row>
    <row r="707" spans="1:5" ht="13">
      <c r="A707" s="115"/>
      <c r="B707" s="115"/>
      <c r="C707" s="115"/>
      <c r="D707" s="115"/>
      <c r="E707" s="115"/>
    </row>
    <row r="708" spans="1:5" ht="13">
      <c r="A708" s="115"/>
      <c r="B708" s="115"/>
      <c r="C708" s="115"/>
      <c r="D708" s="115"/>
      <c r="E708" s="115"/>
    </row>
    <row r="709" spans="1:5" ht="13">
      <c r="A709" s="115"/>
      <c r="B709" s="115"/>
      <c r="C709" s="115"/>
      <c r="D709" s="115"/>
      <c r="E709" s="115"/>
    </row>
    <row r="710" spans="1:5" ht="13">
      <c r="A710" s="115"/>
      <c r="B710" s="115"/>
      <c r="C710" s="115"/>
      <c r="D710" s="115"/>
      <c r="E710" s="115"/>
    </row>
    <row r="711" spans="1:5" ht="13">
      <c r="A711" s="115"/>
      <c r="B711" s="115"/>
      <c r="C711" s="115"/>
      <c r="D711" s="115"/>
      <c r="E711" s="115"/>
    </row>
    <row r="712" spans="1:5" ht="13">
      <c r="A712" s="115"/>
      <c r="B712" s="115"/>
      <c r="C712" s="115"/>
      <c r="D712" s="115"/>
      <c r="E712" s="115"/>
    </row>
    <row r="713" spans="1:5" ht="13">
      <c r="A713" s="115"/>
      <c r="B713" s="115"/>
      <c r="C713" s="115"/>
      <c r="D713" s="115"/>
      <c r="E713" s="115"/>
    </row>
    <row r="714" spans="1:5" ht="13">
      <c r="A714" s="115"/>
      <c r="B714" s="115"/>
      <c r="C714" s="115"/>
      <c r="D714" s="115"/>
      <c r="E714" s="115"/>
    </row>
    <row r="715" spans="1:5" ht="13">
      <c r="A715" s="115"/>
      <c r="B715" s="115"/>
      <c r="C715" s="115"/>
      <c r="D715" s="115"/>
      <c r="E715" s="115"/>
    </row>
    <row r="716" spans="1:5" ht="13">
      <c r="A716" s="115"/>
      <c r="B716" s="115"/>
      <c r="C716" s="115"/>
      <c r="D716" s="115"/>
      <c r="E716" s="115"/>
    </row>
    <row r="717" spans="1:5" ht="13">
      <c r="A717" s="115"/>
      <c r="B717" s="115"/>
      <c r="C717" s="115"/>
      <c r="D717" s="115"/>
      <c r="E717" s="115"/>
    </row>
    <row r="718" spans="1:5" ht="13">
      <c r="A718" s="115"/>
      <c r="B718" s="115"/>
      <c r="C718" s="115"/>
      <c r="D718" s="115"/>
      <c r="E718" s="115"/>
    </row>
    <row r="719" spans="1:5" ht="13">
      <c r="A719" s="115"/>
      <c r="B719" s="115"/>
      <c r="C719" s="115"/>
      <c r="D719" s="115"/>
      <c r="E719" s="115"/>
    </row>
    <row r="720" spans="1:5" ht="13">
      <c r="A720" s="115"/>
      <c r="B720" s="115"/>
      <c r="C720" s="115"/>
      <c r="D720" s="115"/>
      <c r="E720" s="115"/>
    </row>
    <row r="721" spans="1:5" ht="13">
      <c r="A721" s="115"/>
      <c r="B721" s="115"/>
      <c r="C721" s="115"/>
      <c r="D721" s="115"/>
      <c r="E721" s="115"/>
    </row>
    <row r="722" spans="1:5" ht="13">
      <c r="A722" s="115"/>
      <c r="B722" s="115"/>
      <c r="C722" s="115"/>
      <c r="D722" s="115"/>
      <c r="E722" s="115"/>
    </row>
    <row r="723" spans="1:5" ht="13">
      <c r="A723" s="115"/>
      <c r="B723" s="115"/>
      <c r="C723" s="115"/>
      <c r="D723" s="115"/>
      <c r="E723" s="115"/>
    </row>
    <row r="724" spans="1:5" ht="13">
      <c r="A724" s="115"/>
      <c r="B724" s="115"/>
      <c r="C724" s="115"/>
      <c r="D724" s="115"/>
      <c r="E724" s="115"/>
    </row>
    <row r="725" spans="1:5" ht="13">
      <c r="A725" s="115"/>
      <c r="B725" s="115"/>
      <c r="C725" s="115"/>
      <c r="D725" s="115"/>
      <c r="E725" s="115"/>
    </row>
    <row r="726" spans="1:5" ht="13">
      <c r="A726" s="115"/>
      <c r="B726" s="115"/>
      <c r="C726" s="115"/>
      <c r="D726" s="115"/>
      <c r="E726" s="115"/>
    </row>
    <row r="727" spans="1:5" ht="13">
      <c r="A727" s="115"/>
      <c r="B727" s="115"/>
      <c r="C727" s="115"/>
      <c r="D727" s="115"/>
      <c r="E727" s="115"/>
    </row>
    <row r="728" spans="1:5" ht="13">
      <c r="A728" s="115"/>
      <c r="B728" s="115"/>
      <c r="C728" s="115"/>
      <c r="D728" s="115"/>
      <c r="E728" s="115"/>
    </row>
    <row r="729" spans="1:5" ht="13">
      <c r="A729" s="115"/>
      <c r="B729" s="115"/>
      <c r="C729" s="115"/>
      <c r="D729" s="115"/>
      <c r="E729" s="115"/>
    </row>
    <row r="730" spans="1:5" ht="13">
      <c r="A730" s="115"/>
      <c r="B730" s="115"/>
      <c r="C730" s="115"/>
      <c r="D730" s="115"/>
      <c r="E730" s="115"/>
    </row>
    <row r="731" spans="1:5" ht="13">
      <c r="A731" s="115"/>
      <c r="B731" s="115"/>
      <c r="C731" s="115"/>
      <c r="D731" s="115"/>
      <c r="E731" s="115"/>
    </row>
    <row r="732" spans="1:5" ht="13">
      <c r="A732" s="115"/>
      <c r="B732" s="115"/>
      <c r="C732" s="115"/>
      <c r="D732" s="115"/>
      <c r="E732" s="115"/>
    </row>
    <row r="733" spans="1:5" ht="13">
      <c r="A733" s="115"/>
      <c r="B733" s="115"/>
      <c r="C733" s="115"/>
      <c r="D733" s="115"/>
      <c r="E733" s="115"/>
    </row>
    <row r="734" spans="1:5" ht="13">
      <c r="A734" s="115"/>
      <c r="B734" s="115"/>
      <c r="C734" s="115"/>
      <c r="D734" s="115"/>
      <c r="E734" s="115"/>
    </row>
    <row r="735" spans="1:5" ht="13">
      <c r="A735" s="115"/>
      <c r="B735" s="115"/>
      <c r="C735" s="115"/>
      <c r="D735" s="115"/>
      <c r="E735" s="115"/>
    </row>
    <row r="736" spans="1:5" ht="13">
      <c r="A736" s="115"/>
      <c r="B736" s="115"/>
      <c r="C736" s="115"/>
      <c r="D736" s="115"/>
      <c r="E736" s="115"/>
    </row>
    <row r="737" spans="1:5" ht="13">
      <c r="A737" s="115"/>
      <c r="B737" s="115"/>
      <c r="C737" s="115"/>
      <c r="D737" s="115"/>
      <c r="E737" s="115"/>
    </row>
    <row r="738" spans="1:5" ht="13">
      <c r="A738" s="115"/>
      <c r="B738" s="115"/>
      <c r="C738" s="115"/>
      <c r="D738" s="115"/>
      <c r="E738" s="115"/>
    </row>
    <row r="739" spans="1:5" ht="13">
      <c r="A739" s="115"/>
      <c r="B739" s="115"/>
      <c r="C739" s="115"/>
      <c r="D739" s="115"/>
      <c r="E739" s="115"/>
    </row>
    <row r="740" spans="1:5" ht="13">
      <c r="A740" s="115"/>
      <c r="B740" s="115"/>
      <c r="C740" s="115"/>
      <c r="D740" s="115"/>
      <c r="E740" s="115"/>
    </row>
    <row r="741" spans="1:5" ht="13">
      <c r="A741" s="115"/>
      <c r="B741" s="115"/>
      <c r="C741" s="115"/>
      <c r="D741" s="115"/>
      <c r="E741" s="115"/>
    </row>
    <row r="742" spans="1:5" ht="13">
      <c r="A742" s="115"/>
      <c r="B742" s="115"/>
      <c r="C742" s="115"/>
      <c r="D742" s="115"/>
      <c r="E742" s="115"/>
    </row>
    <row r="743" spans="1:5" ht="13">
      <c r="A743" s="115"/>
      <c r="B743" s="115"/>
      <c r="C743" s="115"/>
      <c r="D743" s="115"/>
      <c r="E743" s="115"/>
    </row>
    <row r="744" spans="1:5" ht="13">
      <c r="A744" s="115"/>
      <c r="B744" s="115"/>
      <c r="C744" s="115"/>
      <c r="D744" s="115"/>
      <c r="E744" s="115"/>
    </row>
    <row r="745" spans="1:5" ht="13">
      <c r="A745" s="115"/>
      <c r="B745" s="115"/>
      <c r="C745" s="115"/>
      <c r="D745" s="115"/>
      <c r="E745" s="115"/>
    </row>
    <row r="746" spans="1:5" ht="13">
      <c r="A746" s="115"/>
      <c r="B746" s="115"/>
      <c r="C746" s="115"/>
      <c r="D746" s="115"/>
      <c r="E746" s="115"/>
    </row>
    <row r="747" spans="1:5" ht="13">
      <c r="A747" s="115"/>
      <c r="B747" s="115"/>
      <c r="C747" s="115"/>
      <c r="D747" s="115"/>
      <c r="E747" s="115"/>
    </row>
    <row r="748" spans="1:5" ht="13">
      <c r="A748" s="115"/>
      <c r="B748" s="115"/>
      <c r="C748" s="115"/>
      <c r="D748" s="115"/>
      <c r="E748" s="115"/>
    </row>
    <row r="749" spans="1:5" ht="13">
      <c r="A749" s="115"/>
      <c r="B749" s="115"/>
      <c r="C749" s="115"/>
      <c r="D749" s="115"/>
      <c r="E749" s="115"/>
    </row>
    <row r="750" spans="1:5" ht="13">
      <c r="A750" s="115"/>
      <c r="B750" s="115"/>
      <c r="C750" s="115"/>
      <c r="D750" s="115"/>
      <c r="E750" s="115"/>
    </row>
    <row r="751" spans="1:5" ht="13">
      <c r="A751" s="115"/>
      <c r="B751" s="115"/>
      <c r="C751" s="115"/>
      <c r="D751" s="115"/>
      <c r="E751" s="115"/>
    </row>
    <row r="752" spans="1:5" ht="13">
      <c r="A752" s="115"/>
      <c r="B752" s="115"/>
      <c r="C752" s="115"/>
      <c r="D752" s="115"/>
      <c r="E752" s="115"/>
    </row>
    <row r="753" spans="1:5" ht="13">
      <c r="A753" s="115"/>
      <c r="B753" s="115"/>
      <c r="C753" s="115"/>
      <c r="D753" s="115"/>
      <c r="E753" s="115"/>
    </row>
    <row r="754" spans="1:5" ht="13">
      <c r="A754" s="115"/>
      <c r="B754" s="115"/>
      <c r="C754" s="115"/>
      <c r="D754" s="115"/>
      <c r="E754" s="115"/>
    </row>
    <row r="755" spans="1:5" ht="13">
      <c r="A755" s="115"/>
      <c r="B755" s="115"/>
      <c r="C755" s="115"/>
      <c r="D755" s="115"/>
      <c r="E755" s="115"/>
    </row>
    <row r="756" spans="1:5" ht="13">
      <c r="A756" s="115"/>
      <c r="B756" s="115"/>
      <c r="C756" s="115"/>
      <c r="D756" s="115"/>
      <c r="E756" s="115"/>
    </row>
    <row r="757" spans="1:5" ht="13">
      <c r="A757" s="115"/>
      <c r="B757" s="115"/>
      <c r="C757" s="115"/>
      <c r="D757" s="115"/>
      <c r="E757" s="115"/>
    </row>
    <row r="758" spans="1:5" ht="13">
      <c r="A758" s="115"/>
      <c r="B758" s="115"/>
      <c r="C758" s="115"/>
      <c r="D758" s="115"/>
      <c r="E758" s="115"/>
    </row>
    <row r="759" spans="1:5" ht="13">
      <c r="A759" s="115"/>
      <c r="B759" s="115"/>
      <c r="C759" s="115"/>
      <c r="D759" s="115"/>
      <c r="E759" s="115"/>
    </row>
    <row r="760" spans="1:5" ht="13">
      <c r="A760" s="115"/>
      <c r="B760" s="115"/>
      <c r="C760" s="115"/>
      <c r="D760" s="115"/>
      <c r="E760" s="115"/>
    </row>
    <row r="761" spans="1:5" ht="13">
      <c r="A761" s="115"/>
      <c r="B761" s="115"/>
      <c r="C761" s="115"/>
      <c r="D761" s="115"/>
      <c r="E761" s="115"/>
    </row>
    <row r="762" spans="1:5" ht="13">
      <c r="A762" s="115"/>
      <c r="B762" s="115"/>
      <c r="C762" s="115"/>
      <c r="D762" s="115"/>
      <c r="E762" s="115"/>
    </row>
    <row r="763" spans="1:5" ht="13">
      <c r="A763" s="115"/>
      <c r="B763" s="115"/>
      <c r="C763" s="115"/>
      <c r="D763" s="115"/>
      <c r="E763" s="115"/>
    </row>
    <row r="764" spans="1:5" ht="13">
      <c r="A764" s="115"/>
      <c r="B764" s="115"/>
      <c r="C764" s="115"/>
      <c r="D764" s="115"/>
      <c r="E764" s="115"/>
    </row>
    <row r="765" spans="1:5" ht="13">
      <c r="A765" s="115"/>
      <c r="B765" s="115"/>
      <c r="C765" s="115"/>
      <c r="D765" s="115"/>
      <c r="E765" s="115"/>
    </row>
    <row r="766" spans="1:5" ht="13">
      <c r="A766" s="115"/>
      <c r="B766" s="115"/>
      <c r="C766" s="115"/>
      <c r="D766" s="115"/>
      <c r="E766" s="115"/>
    </row>
    <row r="767" spans="1:5" ht="13">
      <c r="A767" s="115"/>
      <c r="B767" s="115"/>
      <c r="C767" s="115"/>
      <c r="D767" s="115"/>
      <c r="E767" s="115"/>
    </row>
    <row r="768" spans="1:5" ht="13">
      <c r="A768" s="115"/>
      <c r="B768" s="115"/>
      <c r="C768" s="115"/>
      <c r="D768" s="115"/>
      <c r="E768" s="115"/>
    </row>
    <row r="769" spans="1:5" ht="13">
      <c r="A769" s="115"/>
      <c r="B769" s="115"/>
      <c r="C769" s="115"/>
      <c r="D769" s="115"/>
      <c r="E769" s="115"/>
    </row>
    <row r="770" spans="1:5" ht="13">
      <c r="A770" s="115"/>
      <c r="B770" s="115"/>
      <c r="C770" s="115"/>
      <c r="D770" s="115"/>
      <c r="E770" s="115"/>
    </row>
    <row r="771" spans="1:5" ht="13">
      <c r="A771" s="115"/>
      <c r="B771" s="115"/>
      <c r="C771" s="115"/>
      <c r="D771" s="115"/>
      <c r="E771" s="115"/>
    </row>
    <row r="772" spans="1:5" ht="13">
      <c r="A772" s="115"/>
      <c r="B772" s="115"/>
      <c r="C772" s="115"/>
      <c r="D772" s="115"/>
      <c r="E772" s="115"/>
    </row>
    <row r="773" spans="1:5" ht="13">
      <c r="A773" s="115"/>
      <c r="B773" s="115"/>
      <c r="C773" s="115"/>
      <c r="D773" s="115"/>
      <c r="E773" s="115"/>
    </row>
    <row r="774" spans="1:5" ht="13">
      <c r="A774" s="115"/>
      <c r="B774" s="115"/>
      <c r="C774" s="115"/>
      <c r="D774" s="115"/>
      <c r="E774" s="115"/>
    </row>
    <row r="775" spans="1:5" ht="13">
      <c r="A775" s="115"/>
      <c r="B775" s="115"/>
      <c r="C775" s="115"/>
      <c r="D775" s="115"/>
      <c r="E775" s="115"/>
    </row>
    <row r="776" spans="1:5" ht="13">
      <c r="A776" s="115"/>
      <c r="B776" s="115"/>
      <c r="C776" s="115"/>
      <c r="D776" s="115"/>
      <c r="E776" s="115"/>
    </row>
    <row r="777" spans="1:5" ht="13">
      <c r="A777" s="115"/>
      <c r="B777" s="115"/>
      <c r="C777" s="115"/>
      <c r="D777" s="115"/>
      <c r="E777" s="115"/>
    </row>
    <row r="778" spans="1:5" ht="13">
      <c r="A778" s="115"/>
      <c r="B778" s="115"/>
      <c r="C778" s="115"/>
      <c r="D778" s="115"/>
      <c r="E778" s="115"/>
    </row>
    <row r="779" spans="1:5" ht="13">
      <c r="A779" s="115"/>
      <c r="B779" s="115"/>
      <c r="C779" s="115"/>
      <c r="D779" s="115"/>
      <c r="E779" s="115"/>
    </row>
    <row r="780" spans="1:5" ht="13">
      <c r="A780" s="115"/>
      <c r="B780" s="115"/>
      <c r="C780" s="115"/>
      <c r="D780" s="115"/>
      <c r="E780" s="115"/>
    </row>
    <row r="781" spans="1:5" ht="13">
      <c r="A781" s="115"/>
      <c r="B781" s="115"/>
      <c r="C781" s="115"/>
      <c r="D781" s="115"/>
      <c r="E781" s="115"/>
    </row>
    <row r="782" spans="1:5" ht="13">
      <c r="A782" s="115"/>
      <c r="B782" s="115"/>
      <c r="C782" s="115"/>
      <c r="D782" s="115"/>
      <c r="E782" s="115"/>
    </row>
    <row r="783" spans="1:5" ht="13">
      <c r="A783" s="115"/>
      <c r="B783" s="115"/>
      <c r="C783" s="115"/>
      <c r="D783" s="115"/>
      <c r="E783" s="115"/>
    </row>
    <row r="784" spans="1:5" ht="13">
      <c r="A784" s="115"/>
      <c r="B784" s="115"/>
      <c r="C784" s="115"/>
      <c r="D784" s="115"/>
      <c r="E784" s="115"/>
    </row>
    <row r="785" spans="1:5" ht="13">
      <c r="A785" s="115"/>
      <c r="B785" s="115"/>
      <c r="C785" s="115"/>
      <c r="D785" s="115"/>
      <c r="E785" s="115"/>
    </row>
    <row r="786" spans="1:5" ht="13">
      <c r="A786" s="115"/>
      <c r="B786" s="115"/>
      <c r="C786" s="115"/>
      <c r="D786" s="115"/>
      <c r="E786" s="115"/>
    </row>
    <row r="787" spans="1:5" ht="13">
      <c r="A787" s="115"/>
      <c r="B787" s="115"/>
      <c r="C787" s="115"/>
      <c r="D787" s="115"/>
      <c r="E787" s="115"/>
    </row>
    <row r="788" spans="1:5" ht="13">
      <c r="A788" s="115"/>
      <c r="B788" s="115"/>
      <c r="C788" s="115"/>
      <c r="D788" s="115"/>
      <c r="E788" s="115"/>
    </row>
    <row r="789" spans="1:5" ht="13">
      <c r="A789" s="115"/>
      <c r="B789" s="115"/>
      <c r="C789" s="115"/>
      <c r="D789" s="115"/>
      <c r="E789" s="115"/>
    </row>
    <row r="790" spans="1:5" ht="13">
      <c r="A790" s="115"/>
      <c r="B790" s="115"/>
      <c r="C790" s="115"/>
      <c r="D790" s="115"/>
      <c r="E790" s="115"/>
    </row>
    <row r="791" spans="1:5" ht="13">
      <c r="A791" s="115"/>
      <c r="B791" s="115"/>
      <c r="C791" s="115"/>
      <c r="D791" s="115"/>
      <c r="E791" s="115"/>
    </row>
    <row r="792" spans="1:5" ht="13">
      <c r="A792" s="115"/>
      <c r="B792" s="115"/>
      <c r="C792" s="115"/>
      <c r="D792" s="115"/>
      <c r="E792" s="115"/>
    </row>
    <row r="793" spans="1:5" ht="13">
      <c r="A793" s="115"/>
      <c r="B793" s="115"/>
      <c r="C793" s="115"/>
      <c r="D793" s="115"/>
      <c r="E793" s="115"/>
    </row>
    <row r="794" spans="1:5" ht="13">
      <c r="A794" s="115"/>
      <c r="B794" s="115"/>
      <c r="C794" s="115"/>
      <c r="D794" s="115"/>
      <c r="E794" s="115"/>
    </row>
    <row r="795" spans="1:5" ht="13">
      <c r="A795" s="115"/>
      <c r="B795" s="115"/>
      <c r="C795" s="115"/>
      <c r="D795" s="115"/>
      <c r="E795" s="115"/>
    </row>
    <row r="796" spans="1:5" ht="13">
      <c r="A796" s="115"/>
      <c r="B796" s="115"/>
      <c r="C796" s="115"/>
      <c r="D796" s="115"/>
      <c r="E796" s="115"/>
    </row>
    <row r="797" spans="1:5" ht="13">
      <c r="A797" s="115"/>
      <c r="B797" s="115"/>
      <c r="C797" s="115"/>
      <c r="D797" s="115"/>
      <c r="E797" s="115"/>
    </row>
    <row r="798" spans="1:5" ht="13">
      <c r="A798" s="115"/>
      <c r="B798" s="115"/>
      <c r="C798" s="115"/>
      <c r="D798" s="115"/>
      <c r="E798" s="115"/>
    </row>
    <row r="799" spans="1:5" ht="13">
      <c r="A799" s="115"/>
      <c r="B799" s="115"/>
      <c r="C799" s="115"/>
      <c r="D799" s="115"/>
      <c r="E799" s="115"/>
    </row>
    <row r="800" spans="1:5" ht="13">
      <c r="A800" s="115"/>
      <c r="B800" s="115"/>
      <c r="C800" s="115"/>
      <c r="D800" s="115"/>
      <c r="E800" s="115"/>
    </row>
    <row r="801" spans="1:5" ht="13">
      <c r="A801" s="115"/>
      <c r="B801" s="115"/>
      <c r="C801" s="115"/>
      <c r="D801" s="115"/>
      <c r="E801" s="115"/>
    </row>
    <row r="802" spans="1:5" ht="13">
      <c r="A802" s="115"/>
      <c r="B802" s="115"/>
      <c r="C802" s="115"/>
      <c r="D802" s="115"/>
      <c r="E802" s="115"/>
    </row>
    <row r="803" spans="1:5" ht="13">
      <c r="A803" s="115"/>
      <c r="B803" s="115"/>
      <c r="C803" s="115"/>
      <c r="D803" s="115"/>
      <c r="E803" s="115"/>
    </row>
    <row r="804" spans="1:5" ht="13">
      <c r="A804" s="115"/>
      <c r="B804" s="115"/>
      <c r="C804" s="115"/>
      <c r="D804" s="115"/>
      <c r="E804" s="115"/>
    </row>
    <row r="805" spans="1:5" ht="13">
      <c r="A805" s="115"/>
      <c r="B805" s="115"/>
      <c r="C805" s="115"/>
      <c r="D805" s="115"/>
      <c r="E805" s="115"/>
    </row>
    <row r="806" spans="1:5" ht="13">
      <c r="A806" s="115"/>
      <c r="B806" s="115"/>
      <c r="C806" s="115"/>
      <c r="D806" s="115"/>
      <c r="E806" s="115"/>
    </row>
    <row r="807" spans="1:5" ht="13">
      <c r="A807" s="115"/>
      <c r="B807" s="115"/>
      <c r="C807" s="115"/>
      <c r="D807" s="115"/>
      <c r="E807" s="115"/>
    </row>
    <row r="808" spans="1:5" ht="13">
      <c r="A808" s="115"/>
      <c r="B808" s="115"/>
      <c r="C808" s="115"/>
      <c r="D808" s="115"/>
      <c r="E808" s="115"/>
    </row>
    <row r="809" spans="1:5" ht="13">
      <c r="A809" s="115"/>
      <c r="B809" s="115"/>
      <c r="C809" s="115"/>
      <c r="D809" s="115"/>
      <c r="E809" s="115"/>
    </row>
    <row r="810" spans="1:5" ht="13">
      <c r="A810" s="115"/>
      <c r="B810" s="115"/>
      <c r="C810" s="115"/>
      <c r="D810" s="115"/>
      <c r="E810" s="115"/>
    </row>
    <row r="811" spans="1:5" ht="13">
      <c r="A811" s="115"/>
      <c r="B811" s="115"/>
      <c r="C811" s="115"/>
      <c r="D811" s="115"/>
      <c r="E811" s="115"/>
    </row>
    <row r="812" spans="1:5" ht="13">
      <c r="A812" s="115"/>
      <c r="B812" s="115"/>
      <c r="C812" s="115"/>
      <c r="D812" s="115"/>
      <c r="E812" s="115"/>
    </row>
    <row r="813" spans="1:5" ht="13">
      <c r="A813" s="115"/>
      <c r="B813" s="115"/>
      <c r="C813" s="115"/>
      <c r="D813" s="115"/>
      <c r="E813" s="115"/>
    </row>
    <row r="814" spans="1:5" ht="13">
      <c r="A814" s="115"/>
      <c r="B814" s="115"/>
      <c r="C814" s="115"/>
      <c r="D814" s="115"/>
      <c r="E814" s="115"/>
    </row>
    <row r="815" spans="1:5" ht="13">
      <c r="A815" s="115"/>
      <c r="B815" s="115"/>
      <c r="C815" s="115"/>
      <c r="D815" s="115"/>
      <c r="E815" s="115"/>
    </row>
    <row r="816" spans="1:5" ht="13">
      <c r="A816" s="115"/>
      <c r="B816" s="115"/>
      <c r="C816" s="115"/>
      <c r="D816" s="115"/>
      <c r="E816" s="115"/>
    </row>
    <row r="817" spans="1:5" ht="13">
      <c r="A817" s="115"/>
      <c r="B817" s="115"/>
      <c r="C817" s="115"/>
      <c r="D817" s="115"/>
      <c r="E817" s="115"/>
    </row>
    <row r="818" spans="1:5" ht="13">
      <c r="A818" s="115"/>
      <c r="B818" s="115"/>
      <c r="C818" s="115"/>
      <c r="D818" s="115"/>
      <c r="E818" s="115"/>
    </row>
    <row r="819" spans="1:5" ht="13">
      <c r="A819" s="115"/>
      <c r="B819" s="115"/>
      <c r="C819" s="115"/>
      <c r="D819" s="115"/>
      <c r="E819" s="115"/>
    </row>
    <row r="820" spans="1:5" ht="13">
      <c r="A820" s="115"/>
      <c r="B820" s="115"/>
      <c r="C820" s="115"/>
      <c r="D820" s="115"/>
      <c r="E820" s="115"/>
    </row>
    <row r="821" spans="1:5" ht="13">
      <c r="A821" s="115"/>
      <c r="B821" s="115"/>
      <c r="C821" s="115"/>
      <c r="D821" s="115"/>
      <c r="E821" s="115"/>
    </row>
    <row r="822" spans="1:5" ht="13">
      <c r="A822" s="115"/>
      <c r="B822" s="115"/>
      <c r="C822" s="115"/>
      <c r="D822" s="115"/>
      <c r="E822" s="115"/>
    </row>
    <row r="823" spans="1:5" ht="13">
      <c r="A823" s="115"/>
      <c r="B823" s="115"/>
      <c r="C823" s="115"/>
      <c r="D823" s="115"/>
      <c r="E823" s="115"/>
    </row>
    <row r="824" spans="1:5" ht="13">
      <c r="A824" s="115"/>
      <c r="B824" s="115"/>
      <c r="C824" s="115"/>
      <c r="D824" s="115"/>
      <c r="E824" s="115"/>
    </row>
    <row r="825" spans="1:5" ht="13">
      <c r="A825" s="115"/>
      <c r="B825" s="115"/>
      <c r="C825" s="115"/>
      <c r="D825" s="115"/>
      <c r="E825" s="115"/>
    </row>
    <row r="826" spans="1:5" ht="13">
      <c r="A826" s="115"/>
      <c r="B826" s="115"/>
      <c r="C826" s="115"/>
      <c r="D826" s="115"/>
      <c r="E826" s="115"/>
    </row>
    <row r="827" spans="1:5" ht="13">
      <c r="A827" s="115"/>
      <c r="B827" s="115"/>
      <c r="C827" s="115"/>
      <c r="D827" s="115"/>
      <c r="E827" s="115"/>
    </row>
    <row r="828" spans="1:5" ht="13">
      <c r="A828" s="115"/>
      <c r="B828" s="115"/>
      <c r="C828" s="115"/>
      <c r="D828" s="115"/>
      <c r="E828" s="115"/>
    </row>
    <row r="829" spans="1:5" ht="13">
      <c r="A829" s="115"/>
      <c r="B829" s="115"/>
      <c r="C829" s="115"/>
      <c r="D829" s="115"/>
      <c r="E829" s="115"/>
    </row>
    <row r="830" spans="1:5" ht="13">
      <c r="A830" s="115"/>
      <c r="B830" s="115"/>
      <c r="C830" s="115"/>
      <c r="D830" s="115"/>
      <c r="E830" s="115"/>
    </row>
    <row r="831" spans="1:5" ht="13">
      <c r="A831" s="115"/>
      <c r="B831" s="115"/>
      <c r="C831" s="115"/>
      <c r="D831" s="115"/>
      <c r="E831" s="115"/>
    </row>
    <row r="832" spans="1:5" ht="13">
      <c r="A832" s="115"/>
      <c r="B832" s="115"/>
      <c r="C832" s="115"/>
      <c r="D832" s="115"/>
      <c r="E832" s="115"/>
    </row>
    <row r="833" spans="1:5" ht="13">
      <c r="A833" s="115"/>
      <c r="B833" s="115"/>
      <c r="C833" s="115"/>
      <c r="D833" s="115"/>
      <c r="E833" s="115"/>
    </row>
    <row r="834" spans="1:5" ht="13">
      <c r="A834" s="115"/>
      <c r="B834" s="115"/>
      <c r="C834" s="115"/>
      <c r="D834" s="115"/>
      <c r="E834" s="115"/>
    </row>
    <row r="835" spans="1:5" ht="13">
      <c r="A835" s="115"/>
      <c r="B835" s="115"/>
      <c r="C835" s="115"/>
      <c r="D835" s="115"/>
      <c r="E835" s="115"/>
    </row>
    <row r="836" spans="1:5" ht="13">
      <c r="A836" s="115"/>
      <c r="B836" s="115"/>
      <c r="C836" s="115"/>
      <c r="D836" s="115"/>
      <c r="E836" s="115"/>
    </row>
    <row r="837" spans="1:5" ht="13">
      <c r="A837" s="115"/>
      <c r="B837" s="115"/>
      <c r="C837" s="115"/>
      <c r="D837" s="115"/>
      <c r="E837" s="115"/>
    </row>
    <row r="838" spans="1:5" ht="13">
      <c r="A838" s="115"/>
      <c r="B838" s="115"/>
      <c r="C838" s="115"/>
      <c r="D838" s="115"/>
      <c r="E838" s="115"/>
    </row>
    <row r="839" spans="1:5" ht="13">
      <c r="A839" s="115"/>
      <c r="B839" s="115"/>
      <c r="C839" s="115"/>
      <c r="D839" s="115"/>
      <c r="E839" s="115"/>
    </row>
    <row r="840" spans="1:5" ht="13">
      <c r="A840" s="115"/>
      <c r="B840" s="115"/>
      <c r="C840" s="115"/>
      <c r="D840" s="115"/>
      <c r="E840" s="115"/>
    </row>
    <row r="841" spans="1:5" ht="13">
      <c r="A841" s="115"/>
      <c r="B841" s="115"/>
      <c r="C841" s="115"/>
      <c r="D841" s="115"/>
      <c r="E841" s="115"/>
    </row>
    <row r="842" spans="1:5" ht="13">
      <c r="A842" s="115"/>
      <c r="B842" s="115"/>
      <c r="C842" s="115"/>
      <c r="D842" s="115"/>
      <c r="E842" s="115"/>
    </row>
    <row r="843" spans="1:5" ht="13">
      <c r="A843" s="115"/>
      <c r="B843" s="115"/>
      <c r="C843" s="115"/>
      <c r="D843" s="115"/>
      <c r="E843" s="115"/>
    </row>
    <row r="844" spans="1:5" ht="13">
      <c r="A844" s="115"/>
      <c r="B844" s="115"/>
      <c r="C844" s="115"/>
      <c r="D844" s="115"/>
      <c r="E844" s="115"/>
    </row>
    <row r="845" spans="1:5" ht="13">
      <c r="A845" s="115"/>
      <c r="B845" s="115"/>
      <c r="C845" s="115"/>
      <c r="D845" s="115"/>
      <c r="E845" s="115"/>
    </row>
    <row r="846" spans="1:5" ht="13">
      <c r="A846" s="115"/>
      <c r="B846" s="115"/>
      <c r="C846" s="115"/>
      <c r="D846" s="115"/>
      <c r="E846" s="115"/>
    </row>
    <row r="847" spans="1:5" ht="13">
      <c r="A847" s="115"/>
      <c r="B847" s="115"/>
      <c r="C847" s="115"/>
      <c r="D847" s="115"/>
      <c r="E847" s="115"/>
    </row>
    <row r="848" spans="1:5" ht="13">
      <c r="A848" s="115"/>
      <c r="B848" s="115"/>
      <c r="C848" s="115"/>
      <c r="D848" s="115"/>
      <c r="E848" s="115"/>
    </row>
    <row r="849" spans="1:5" ht="13">
      <c r="A849" s="115"/>
      <c r="B849" s="115"/>
      <c r="C849" s="115"/>
      <c r="D849" s="115"/>
      <c r="E849" s="115"/>
    </row>
    <row r="850" spans="1:5" ht="13">
      <c r="A850" s="115"/>
      <c r="B850" s="115"/>
      <c r="C850" s="115"/>
      <c r="D850" s="115"/>
      <c r="E850" s="115"/>
    </row>
    <row r="851" spans="1:5" ht="13">
      <c r="A851" s="115"/>
      <c r="B851" s="115"/>
      <c r="C851" s="115"/>
      <c r="D851" s="115"/>
      <c r="E851" s="115"/>
    </row>
    <row r="852" spans="1:5" ht="13">
      <c r="A852" s="115"/>
      <c r="B852" s="115"/>
      <c r="C852" s="115"/>
      <c r="D852" s="115"/>
      <c r="E852" s="115"/>
    </row>
    <row r="853" spans="1:5" ht="13">
      <c r="A853" s="115"/>
      <c r="B853" s="115"/>
      <c r="C853" s="115"/>
      <c r="D853" s="115"/>
      <c r="E853" s="115"/>
    </row>
    <row r="854" spans="1:5" ht="13">
      <c r="A854" s="115"/>
      <c r="B854" s="115"/>
      <c r="C854" s="115"/>
      <c r="D854" s="115"/>
      <c r="E854" s="115"/>
    </row>
    <row r="855" spans="1:5" ht="13">
      <c r="A855" s="115"/>
      <c r="B855" s="115"/>
      <c r="C855" s="115"/>
      <c r="D855" s="115"/>
      <c r="E855" s="115"/>
    </row>
    <row r="856" spans="1:5" ht="13">
      <c r="A856" s="115"/>
      <c r="B856" s="115"/>
      <c r="C856" s="115"/>
      <c r="D856" s="115"/>
      <c r="E856" s="115"/>
    </row>
    <row r="857" spans="1:5" ht="13">
      <c r="A857" s="115"/>
      <c r="B857" s="115"/>
      <c r="C857" s="115"/>
      <c r="D857" s="115"/>
      <c r="E857" s="115"/>
    </row>
    <row r="858" spans="1:5" ht="13">
      <c r="A858" s="115"/>
      <c r="B858" s="115"/>
      <c r="C858" s="115"/>
      <c r="D858" s="115"/>
      <c r="E858" s="115"/>
    </row>
    <row r="859" spans="1:5" ht="13">
      <c r="A859" s="115"/>
      <c r="B859" s="115"/>
      <c r="C859" s="115"/>
      <c r="D859" s="115"/>
      <c r="E859" s="115"/>
    </row>
    <row r="860" spans="1:5" ht="13">
      <c r="A860" s="115"/>
      <c r="B860" s="115"/>
      <c r="C860" s="115"/>
      <c r="D860" s="115"/>
      <c r="E860" s="115"/>
    </row>
    <row r="861" spans="1:5" ht="13">
      <c r="A861" s="115"/>
      <c r="B861" s="115"/>
      <c r="C861" s="115"/>
      <c r="D861" s="115"/>
      <c r="E861" s="115"/>
    </row>
    <row r="862" spans="1:5" ht="13">
      <c r="A862" s="115"/>
      <c r="B862" s="115"/>
      <c r="C862" s="115"/>
      <c r="D862" s="115"/>
      <c r="E862" s="115"/>
    </row>
    <row r="863" spans="1:5" ht="13">
      <c r="A863" s="115"/>
      <c r="B863" s="115"/>
      <c r="C863" s="115"/>
      <c r="D863" s="115"/>
      <c r="E863" s="115"/>
    </row>
    <row r="864" spans="1:5" ht="13">
      <c r="A864" s="115"/>
      <c r="B864" s="115"/>
      <c r="C864" s="115"/>
      <c r="D864" s="115"/>
      <c r="E864" s="115"/>
    </row>
    <row r="865" spans="1:5" ht="13">
      <c r="A865" s="115"/>
      <c r="B865" s="115"/>
      <c r="C865" s="115"/>
      <c r="D865" s="115"/>
      <c r="E865" s="115"/>
    </row>
    <row r="866" spans="1:5" ht="13">
      <c r="A866" s="115"/>
      <c r="B866" s="115"/>
      <c r="C866" s="115"/>
      <c r="D866" s="115"/>
      <c r="E866" s="115"/>
    </row>
    <row r="867" spans="1:5" ht="13">
      <c r="A867" s="115"/>
      <c r="B867" s="115"/>
      <c r="C867" s="115"/>
      <c r="D867" s="115"/>
      <c r="E867" s="115"/>
    </row>
    <row r="868" spans="1:5" ht="13">
      <c r="A868" s="115"/>
      <c r="B868" s="115"/>
      <c r="C868" s="115"/>
      <c r="D868" s="115"/>
      <c r="E868" s="115"/>
    </row>
    <row r="869" spans="1:5" ht="13">
      <c r="A869" s="115"/>
      <c r="B869" s="115"/>
      <c r="C869" s="115"/>
      <c r="D869" s="115"/>
      <c r="E869" s="115"/>
    </row>
    <row r="870" spans="1:5" ht="13">
      <c r="A870" s="115"/>
      <c r="B870" s="115"/>
      <c r="C870" s="115"/>
      <c r="D870" s="115"/>
      <c r="E870" s="115"/>
    </row>
    <row r="871" spans="1:5" ht="13">
      <c r="A871" s="115"/>
      <c r="B871" s="115"/>
      <c r="C871" s="115"/>
      <c r="D871" s="115"/>
      <c r="E871" s="115"/>
    </row>
    <row r="872" spans="1:5" ht="13">
      <c r="A872" s="115"/>
      <c r="B872" s="115"/>
      <c r="C872" s="115"/>
      <c r="D872" s="115"/>
      <c r="E872" s="115"/>
    </row>
    <row r="873" spans="1:5" ht="13">
      <c r="A873" s="115"/>
      <c r="B873" s="115"/>
      <c r="C873" s="115"/>
      <c r="D873" s="115"/>
      <c r="E873" s="115"/>
    </row>
    <row r="874" spans="1:5" ht="13">
      <c r="A874" s="115"/>
      <c r="B874" s="115"/>
      <c r="C874" s="115"/>
      <c r="D874" s="115"/>
      <c r="E874" s="115"/>
    </row>
    <row r="875" spans="1:5" ht="13">
      <c r="A875" s="115"/>
      <c r="B875" s="115"/>
      <c r="C875" s="115"/>
      <c r="D875" s="115"/>
      <c r="E875" s="115"/>
    </row>
    <row r="876" spans="1:5" ht="13">
      <c r="A876" s="115"/>
      <c r="B876" s="115"/>
      <c r="C876" s="115"/>
      <c r="D876" s="115"/>
      <c r="E876" s="115"/>
    </row>
    <row r="877" spans="1:5" ht="13">
      <c r="A877" s="115"/>
      <c r="B877" s="115"/>
      <c r="C877" s="115"/>
      <c r="D877" s="115"/>
      <c r="E877" s="115"/>
    </row>
    <row r="878" spans="1:5" ht="13">
      <c r="A878" s="115"/>
      <c r="B878" s="115"/>
      <c r="C878" s="115"/>
      <c r="D878" s="115"/>
      <c r="E878" s="115"/>
    </row>
    <row r="879" spans="1:5" ht="13">
      <c r="A879" s="115"/>
      <c r="B879" s="115"/>
      <c r="C879" s="115"/>
      <c r="D879" s="115"/>
      <c r="E879" s="115"/>
    </row>
    <row r="880" spans="1:5" ht="13">
      <c r="A880" s="115"/>
      <c r="B880" s="115"/>
      <c r="C880" s="115"/>
      <c r="D880" s="115"/>
      <c r="E880" s="115"/>
    </row>
    <row r="881" spans="1:5" ht="13">
      <c r="A881" s="115"/>
      <c r="B881" s="115"/>
      <c r="C881" s="115"/>
      <c r="D881" s="115"/>
      <c r="E881" s="115"/>
    </row>
    <row r="882" spans="1:5" ht="13">
      <c r="A882" s="115"/>
      <c r="B882" s="115"/>
      <c r="C882" s="115"/>
      <c r="D882" s="115"/>
      <c r="E882" s="115"/>
    </row>
    <row r="883" spans="1:5" ht="13">
      <c r="A883" s="115"/>
      <c r="B883" s="115"/>
      <c r="C883" s="115"/>
      <c r="D883" s="115"/>
      <c r="E883" s="115"/>
    </row>
    <row r="884" spans="1:5" ht="13">
      <c r="A884" s="115"/>
      <c r="B884" s="115"/>
      <c r="C884" s="115"/>
      <c r="D884" s="115"/>
      <c r="E884" s="115"/>
    </row>
    <row r="885" spans="1:5" ht="13">
      <c r="A885" s="115"/>
      <c r="B885" s="115"/>
      <c r="C885" s="115"/>
      <c r="D885" s="115"/>
      <c r="E885" s="115"/>
    </row>
    <row r="886" spans="1:5" ht="13">
      <c r="A886" s="115"/>
      <c r="B886" s="115"/>
      <c r="C886" s="115"/>
      <c r="D886" s="115"/>
      <c r="E886" s="115"/>
    </row>
    <row r="887" spans="1:5" ht="13">
      <c r="A887" s="115"/>
      <c r="B887" s="115"/>
      <c r="C887" s="115"/>
      <c r="D887" s="115"/>
      <c r="E887" s="115"/>
    </row>
    <row r="888" spans="1:5" ht="13">
      <c r="A888" s="115"/>
      <c r="B888" s="115"/>
      <c r="C888" s="115"/>
      <c r="D888" s="115"/>
      <c r="E888" s="115"/>
    </row>
    <row r="889" spans="1:5" ht="13">
      <c r="A889" s="115"/>
      <c r="B889" s="115"/>
      <c r="C889" s="115"/>
      <c r="D889" s="115"/>
      <c r="E889" s="115"/>
    </row>
    <row r="890" spans="1:5" ht="13">
      <c r="A890" s="115"/>
      <c r="B890" s="115"/>
      <c r="C890" s="115"/>
      <c r="D890" s="115"/>
      <c r="E890" s="115"/>
    </row>
    <row r="891" spans="1:5" ht="13">
      <c r="A891" s="115"/>
      <c r="B891" s="115"/>
      <c r="C891" s="115"/>
      <c r="D891" s="115"/>
      <c r="E891" s="115"/>
    </row>
    <row r="892" spans="1:5" ht="13">
      <c r="A892" s="115"/>
      <c r="B892" s="115"/>
      <c r="C892" s="115"/>
      <c r="D892" s="115"/>
      <c r="E892" s="115"/>
    </row>
    <row r="893" spans="1:5" ht="13">
      <c r="A893" s="115"/>
      <c r="B893" s="115"/>
      <c r="C893" s="115"/>
      <c r="D893" s="115"/>
      <c r="E893" s="115"/>
    </row>
    <row r="894" spans="1:5" ht="13">
      <c r="A894" s="115"/>
      <c r="B894" s="115"/>
      <c r="C894" s="115"/>
      <c r="D894" s="115"/>
      <c r="E894" s="115"/>
    </row>
    <row r="895" spans="1:5" ht="13">
      <c r="A895" s="115"/>
      <c r="B895" s="115"/>
      <c r="C895" s="115"/>
      <c r="D895" s="115"/>
      <c r="E895" s="115"/>
    </row>
    <row r="896" spans="1:5" ht="13">
      <c r="A896" s="115"/>
      <c r="B896" s="115"/>
      <c r="C896" s="115"/>
      <c r="D896" s="115"/>
      <c r="E896" s="115"/>
    </row>
    <row r="897" spans="1:5" ht="13">
      <c r="A897" s="115"/>
      <c r="B897" s="115"/>
      <c r="C897" s="115"/>
      <c r="D897" s="115"/>
      <c r="E897" s="115"/>
    </row>
    <row r="898" spans="1:5" ht="13">
      <c r="A898" s="115"/>
      <c r="B898" s="115"/>
      <c r="C898" s="115"/>
      <c r="D898" s="115"/>
      <c r="E898" s="115"/>
    </row>
    <row r="899" spans="1:5" ht="13">
      <c r="A899" s="115"/>
      <c r="B899" s="115"/>
      <c r="C899" s="115"/>
      <c r="D899" s="115"/>
      <c r="E899" s="115"/>
    </row>
    <row r="900" spans="1:5" ht="13">
      <c r="A900" s="115"/>
      <c r="B900" s="115"/>
      <c r="C900" s="115"/>
      <c r="D900" s="115"/>
      <c r="E900" s="115"/>
    </row>
    <row r="901" spans="1:5" ht="13">
      <c r="A901" s="115"/>
      <c r="B901" s="115"/>
      <c r="C901" s="115"/>
      <c r="D901" s="115"/>
      <c r="E901" s="115"/>
    </row>
    <row r="902" spans="1:5" ht="13">
      <c r="A902" s="115"/>
      <c r="B902" s="115"/>
      <c r="C902" s="115"/>
      <c r="D902" s="115"/>
      <c r="E902" s="115"/>
    </row>
    <row r="903" spans="1:5" ht="13">
      <c r="A903" s="115"/>
      <c r="B903" s="115"/>
      <c r="C903" s="115"/>
      <c r="D903" s="115"/>
      <c r="E903" s="115"/>
    </row>
    <row r="904" spans="1:5" ht="13">
      <c r="A904" s="115"/>
      <c r="B904" s="115"/>
      <c r="C904" s="115"/>
      <c r="D904" s="115"/>
      <c r="E904" s="115"/>
    </row>
    <row r="905" spans="1:5" ht="13">
      <c r="A905" s="115"/>
      <c r="B905" s="115"/>
      <c r="C905" s="115"/>
      <c r="D905" s="115"/>
      <c r="E905" s="115"/>
    </row>
    <row r="906" spans="1:5" ht="13">
      <c r="A906" s="115"/>
      <c r="B906" s="115"/>
      <c r="C906" s="115"/>
      <c r="D906" s="115"/>
      <c r="E906" s="115"/>
    </row>
    <row r="907" spans="1:5" ht="13">
      <c r="A907" s="115"/>
      <c r="B907" s="115"/>
      <c r="C907" s="115"/>
      <c r="D907" s="115"/>
      <c r="E907" s="115"/>
    </row>
    <row r="908" spans="1:5" ht="13">
      <c r="A908" s="115"/>
      <c r="B908" s="115"/>
      <c r="C908" s="115"/>
      <c r="D908" s="115"/>
      <c r="E908" s="115"/>
    </row>
    <row r="909" spans="1:5" ht="13">
      <c r="A909" s="115"/>
      <c r="B909" s="115"/>
      <c r="C909" s="115"/>
      <c r="D909" s="115"/>
      <c r="E909" s="115"/>
    </row>
    <row r="910" spans="1:5" ht="13">
      <c r="A910" s="115"/>
      <c r="B910" s="115"/>
      <c r="C910" s="115"/>
      <c r="D910" s="115"/>
      <c r="E910" s="115"/>
    </row>
    <row r="911" spans="1:5" ht="13">
      <c r="A911" s="115"/>
      <c r="B911" s="115"/>
      <c r="C911" s="115"/>
      <c r="D911" s="115"/>
      <c r="E911" s="115"/>
    </row>
    <row r="912" spans="1:5" ht="13">
      <c r="A912" s="115"/>
      <c r="B912" s="115"/>
      <c r="C912" s="115"/>
      <c r="D912" s="115"/>
      <c r="E912" s="115"/>
    </row>
    <row r="913" spans="1:5" ht="13">
      <c r="A913" s="115"/>
      <c r="B913" s="115"/>
      <c r="C913" s="115"/>
      <c r="D913" s="115"/>
      <c r="E913" s="115"/>
    </row>
    <row r="914" spans="1:5" ht="13">
      <c r="A914" s="115"/>
      <c r="B914" s="115"/>
      <c r="C914" s="115"/>
      <c r="D914" s="115"/>
      <c r="E914" s="115"/>
    </row>
    <row r="915" spans="1:5" ht="13">
      <c r="A915" s="115"/>
      <c r="B915" s="115"/>
      <c r="C915" s="115"/>
      <c r="D915" s="115"/>
      <c r="E915" s="115"/>
    </row>
    <row r="916" spans="1:5" ht="13">
      <c r="A916" s="115"/>
      <c r="B916" s="115"/>
      <c r="C916" s="115"/>
      <c r="D916" s="115"/>
      <c r="E916" s="115"/>
    </row>
    <row r="917" spans="1:5" ht="13">
      <c r="A917" s="115"/>
      <c r="B917" s="115"/>
      <c r="C917" s="115"/>
      <c r="D917" s="115"/>
      <c r="E917" s="115"/>
    </row>
    <row r="918" spans="1:5" ht="13">
      <c r="A918" s="115"/>
      <c r="B918" s="115"/>
      <c r="C918" s="115"/>
      <c r="D918" s="115"/>
      <c r="E918" s="115"/>
    </row>
    <row r="919" spans="1:5" ht="13">
      <c r="A919" s="115"/>
      <c r="B919" s="115"/>
      <c r="C919" s="115"/>
      <c r="D919" s="115"/>
      <c r="E919" s="115"/>
    </row>
    <row r="920" spans="1:5" ht="13">
      <c r="A920" s="115"/>
      <c r="B920" s="115"/>
      <c r="C920" s="115"/>
      <c r="D920" s="115"/>
      <c r="E920" s="115"/>
    </row>
    <row r="921" spans="1:5" ht="13">
      <c r="A921" s="115"/>
      <c r="B921" s="115"/>
      <c r="C921" s="115"/>
      <c r="D921" s="115"/>
      <c r="E921" s="115"/>
    </row>
    <row r="922" spans="1:5" ht="13">
      <c r="A922" s="115"/>
      <c r="B922" s="115"/>
      <c r="C922" s="115"/>
      <c r="D922" s="115"/>
      <c r="E922" s="115"/>
    </row>
    <row r="923" spans="1:5" ht="13">
      <c r="A923" s="115"/>
      <c r="B923" s="115"/>
      <c r="C923" s="115"/>
      <c r="D923" s="115"/>
      <c r="E923" s="115"/>
    </row>
    <row r="924" spans="1:5" ht="13">
      <c r="A924" s="115"/>
      <c r="B924" s="115"/>
      <c r="C924" s="115"/>
      <c r="D924" s="115"/>
      <c r="E924" s="115"/>
    </row>
    <row r="925" spans="1:5" ht="13">
      <c r="A925" s="115"/>
      <c r="B925" s="115"/>
      <c r="C925" s="115"/>
      <c r="D925" s="115"/>
      <c r="E925" s="115"/>
    </row>
    <row r="926" spans="1:5" ht="13">
      <c r="A926" s="115"/>
      <c r="B926" s="115"/>
      <c r="C926" s="115"/>
      <c r="D926" s="115"/>
      <c r="E926" s="115"/>
    </row>
    <row r="927" spans="1:5" ht="13">
      <c r="A927" s="115"/>
      <c r="B927" s="115"/>
      <c r="C927" s="115"/>
      <c r="D927" s="115"/>
      <c r="E927" s="115"/>
    </row>
    <row r="928" spans="1:5" ht="13">
      <c r="A928" s="115"/>
      <c r="B928" s="115"/>
      <c r="C928" s="115"/>
      <c r="D928" s="115"/>
      <c r="E928" s="115"/>
    </row>
    <row r="929" spans="1:5" ht="13">
      <c r="A929" s="115"/>
      <c r="B929" s="115"/>
      <c r="C929" s="115"/>
      <c r="D929" s="115"/>
      <c r="E929" s="115"/>
    </row>
    <row r="930" spans="1:5" ht="13">
      <c r="A930" s="115"/>
      <c r="B930" s="115"/>
      <c r="C930" s="115"/>
      <c r="D930" s="115"/>
      <c r="E930" s="115"/>
    </row>
    <row r="931" spans="1:5" ht="13">
      <c r="A931" s="115"/>
      <c r="B931" s="115"/>
      <c r="C931" s="115"/>
      <c r="D931" s="115"/>
      <c r="E931" s="115"/>
    </row>
    <row r="932" spans="1:5" ht="13">
      <c r="A932" s="115"/>
      <c r="B932" s="115"/>
      <c r="C932" s="115"/>
      <c r="D932" s="115"/>
      <c r="E932" s="115"/>
    </row>
    <row r="933" spans="1:5" ht="13">
      <c r="A933" s="115"/>
      <c r="B933" s="115"/>
      <c r="C933" s="115"/>
      <c r="D933" s="115"/>
      <c r="E933" s="115"/>
    </row>
    <row r="934" spans="1:5" ht="13">
      <c r="A934" s="115"/>
      <c r="B934" s="115"/>
      <c r="C934" s="115"/>
      <c r="D934" s="115"/>
      <c r="E934" s="115"/>
    </row>
    <row r="935" spans="1:5" ht="13">
      <c r="A935" s="115"/>
      <c r="B935" s="115"/>
      <c r="C935" s="115"/>
      <c r="D935" s="115"/>
      <c r="E935" s="115"/>
    </row>
    <row r="936" spans="1:5" ht="13">
      <c r="A936" s="115"/>
      <c r="B936" s="115"/>
      <c r="C936" s="115"/>
      <c r="D936" s="115"/>
      <c r="E936" s="115"/>
    </row>
    <row r="937" spans="1:5" ht="13">
      <c r="A937" s="115"/>
      <c r="B937" s="115"/>
      <c r="C937" s="115"/>
      <c r="D937" s="115"/>
      <c r="E937" s="115"/>
    </row>
    <row r="938" spans="1:5" ht="13">
      <c r="A938" s="115"/>
      <c r="B938" s="115"/>
      <c r="C938" s="115"/>
      <c r="D938" s="115"/>
      <c r="E938" s="115"/>
    </row>
    <row r="939" spans="1:5" ht="13">
      <c r="A939" s="115"/>
      <c r="B939" s="115"/>
      <c r="C939" s="115"/>
      <c r="D939" s="115"/>
      <c r="E939" s="115"/>
    </row>
    <row r="940" spans="1:5" ht="13">
      <c r="A940" s="115"/>
      <c r="B940" s="115"/>
      <c r="C940" s="115"/>
      <c r="D940" s="115"/>
      <c r="E940" s="115"/>
    </row>
    <row r="941" spans="1:5" ht="13">
      <c r="A941" s="115"/>
      <c r="B941" s="115"/>
      <c r="C941" s="115"/>
      <c r="D941" s="115"/>
      <c r="E941" s="115"/>
    </row>
    <row r="942" spans="1:5" ht="13">
      <c r="A942" s="115"/>
      <c r="B942" s="115"/>
      <c r="C942" s="115"/>
      <c r="D942" s="115"/>
      <c r="E942" s="115"/>
    </row>
    <row r="943" spans="1:5" ht="13">
      <c r="A943" s="115"/>
      <c r="B943" s="115"/>
      <c r="C943" s="115"/>
      <c r="D943" s="115"/>
      <c r="E943" s="115"/>
    </row>
    <row r="944" spans="1:5" ht="13">
      <c r="A944" s="115"/>
      <c r="B944" s="115"/>
      <c r="C944" s="115"/>
      <c r="D944" s="115"/>
      <c r="E944" s="115"/>
    </row>
    <row r="945" spans="1:5" ht="13">
      <c r="A945" s="115"/>
      <c r="B945" s="115"/>
      <c r="C945" s="115"/>
      <c r="D945" s="115"/>
      <c r="E945" s="115"/>
    </row>
    <row r="946" spans="1:5" ht="13">
      <c r="A946" s="115"/>
      <c r="B946" s="115"/>
      <c r="C946" s="115"/>
      <c r="D946" s="115"/>
      <c r="E946" s="115"/>
    </row>
    <row r="947" spans="1:5" ht="13">
      <c r="A947" s="115"/>
      <c r="B947" s="115"/>
      <c r="C947" s="115"/>
      <c r="D947" s="115"/>
      <c r="E947" s="115"/>
    </row>
    <row r="948" spans="1:5" ht="13">
      <c r="A948" s="115"/>
      <c r="B948" s="115"/>
      <c r="C948" s="115"/>
      <c r="D948" s="115"/>
      <c r="E948" s="115"/>
    </row>
    <row r="949" spans="1:5" ht="13">
      <c r="A949" s="115"/>
      <c r="B949" s="115"/>
      <c r="C949" s="115"/>
      <c r="D949" s="115"/>
      <c r="E949" s="115"/>
    </row>
    <row r="950" spans="1:5" ht="13">
      <c r="A950" s="115"/>
      <c r="B950" s="115"/>
      <c r="C950" s="115"/>
      <c r="D950" s="115"/>
      <c r="E950" s="115"/>
    </row>
    <row r="951" spans="1:5" ht="13">
      <c r="A951" s="115"/>
      <c r="B951" s="115"/>
      <c r="C951" s="115"/>
      <c r="D951" s="115"/>
      <c r="E951" s="115"/>
    </row>
    <row r="952" spans="1:5" ht="13">
      <c r="A952" s="115"/>
      <c r="B952" s="115"/>
      <c r="C952" s="115"/>
      <c r="D952" s="115"/>
      <c r="E952" s="115"/>
    </row>
    <row r="953" spans="1:5" ht="13">
      <c r="A953" s="115"/>
      <c r="B953" s="115"/>
      <c r="C953" s="115"/>
      <c r="D953" s="115"/>
      <c r="E953" s="115"/>
    </row>
    <row r="954" spans="1:5" ht="13">
      <c r="A954" s="115"/>
      <c r="B954" s="115"/>
      <c r="C954" s="115"/>
      <c r="D954" s="115"/>
      <c r="E954" s="115"/>
    </row>
    <row r="955" spans="1:5" ht="13">
      <c r="A955" s="115"/>
      <c r="B955" s="115"/>
      <c r="C955" s="115"/>
      <c r="D955" s="115"/>
      <c r="E955" s="115"/>
    </row>
    <row r="956" spans="1:5" ht="13">
      <c r="A956" s="115"/>
      <c r="B956" s="115"/>
      <c r="C956" s="115"/>
      <c r="D956" s="115"/>
      <c r="E956" s="115"/>
    </row>
    <row r="957" spans="1:5" ht="13">
      <c r="A957" s="115"/>
      <c r="B957" s="115"/>
      <c r="C957" s="115"/>
      <c r="D957" s="115"/>
      <c r="E957" s="115"/>
    </row>
    <row r="958" spans="1:5" ht="13">
      <c r="A958" s="115"/>
      <c r="B958" s="115"/>
      <c r="C958" s="115"/>
      <c r="D958" s="115"/>
      <c r="E958" s="115"/>
    </row>
    <row r="959" spans="1:5" ht="13">
      <c r="A959" s="115"/>
      <c r="B959" s="115"/>
      <c r="C959" s="115"/>
      <c r="D959" s="115"/>
      <c r="E959" s="115"/>
    </row>
    <row r="960" spans="1:5" ht="13">
      <c r="A960" s="115"/>
      <c r="B960" s="115"/>
      <c r="C960" s="115"/>
      <c r="D960" s="115"/>
      <c r="E960" s="115"/>
    </row>
    <row r="961" spans="1:5" ht="13">
      <c r="A961" s="115"/>
      <c r="B961" s="115"/>
      <c r="C961" s="115"/>
      <c r="D961" s="115"/>
      <c r="E961" s="115"/>
    </row>
    <row r="962" spans="1:5" ht="13">
      <c r="A962" s="115"/>
      <c r="B962" s="115"/>
      <c r="C962" s="115"/>
      <c r="D962" s="115"/>
      <c r="E962" s="115"/>
    </row>
    <row r="963" spans="1:5" ht="13">
      <c r="A963" s="115"/>
      <c r="B963" s="115"/>
      <c r="C963" s="115"/>
      <c r="D963" s="115"/>
      <c r="E963" s="115"/>
    </row>
    <row r="964" spans="1:5" ht="13">
      <c r="A964" s="115"/>
      <c r="B964" s="115"/>
      <c r="C964" s="115"/>
      <c r="D964" s="115"/>
      <c r="E964" s="115"/>
    </row>
    <row r="965" spans="1:5" ht="13">
      <c r="A965" s="115"/>
      <c r="B965" s="115"/>
      <c r="C965" s="115"/>
      <c r="D965" s="115"/>
      <c r="E965" s="115"/>
    </row>
    <row r="966" spans="1:5" ht="13">
      <c r="A966" s="115"/>
      <c r="B966" s="115"/>
      <c r="C966" s="115"/>
      <c r="D966" s="115"/>
      <c r="E966" s="115"/>
    </row>
    <row r="967" spans="1:5" ht="13">
      <c r="A967" s="115"/>
      <c r="B967" s="115"/>
      <c r="C967" s="115"/>
      <c r="D967" s="115"/>
      <c r="E967" s="115"/>
    </row>
    <row r="968" spans="1:5" ht="13">
      <c r="A968" s="115"/>
      <c r="B968" s="115"/>
      <c r="C968" s="115"/>
      <c r="D968" s="115"/>
      <c r="E968" s="115"/>
    </row>
    <row r="969" spans="1:5" ht="13">
      <c r="A969" s="115"/>
      <c r="B969" s="115"/>
      <c r="C969" s="115"/>
      <c r="D969" s="115"/>
      <c r="E969" s="115"/>
    </row>
    <row r="970" spans="1:5" ht="13">
      <c r="A970" s="115"/>
      <c r="B970" s="115"/>
      <c r="C970" s="115"/>
      <c r="D970" s="115"/>
      <c r="E970" s="115"/>
    </row>
    <row r="971" spans="1:5" ht="13">
      <c r="A971" s="115"/>
      <c r="B971" s="115"/>
      <c r="C971" s="115"/>
      <c r="D971" s="115"/>
      <c r="E971" s="115"/>
    </row>
    <row r="972" spans="1:5" ht="13">
      <c r="A972" s="115"/>
      <c r="B972" s="115"/>
      <c r="C972" s="115"/>
      <c r="D972" s="115"/>
      <c r="E972" s="115"/>
    </row>
    <row r="973" spans="1:5" ht="13">
      <c r="A973" s="115"/>
      <c r="B973" s="115"/>
      <c r="C973" s="115"/>
      <c r="D973" s="115"/>
      <c r="E973" s="115"/>
    </row>
    <row r="974" spans="1:5" ht="13">
      <c r="A974" s="115"/>
      <c r="B974" s="115"/>
      <c r="C974" s="115"/>
      <c r="D974" s="115"/>
      <c r="E974" s="115"/>
    </row>
    <row r="975" spans="1:5" ht="13">
      <c r="A975" s="115"/>
      <c r="B975" s="115"/>
      <c r="C975" s="115"/>
      <c r="D975" s="115"/>
      <c r="E975" s="115"/>
    </row>
    <row r="976" spans="1:5" ht="13">
      <c r="A976" s="115"/>
      <c r="B976" s="115"/>
      <c r="C976" s="115"/>
      <c r="D976" s="115"/>
      <c r="E976" s="115"/>
    </row>
    <row r="977" spans="1:5" ht="13">
      <c r="A977" s="115"/>
      <c r="B977" s="115"/>
      <c r="C977" s="115"/>
      <c r="D977" s="115"/>
      <c r="E977" s="115"/>
    </row>
    <row r="978" spans="1:5" ht="13">
      <c r="A978" s="115"/>
      <c r="B978" s="115"/>
      <c r="C978" s="115"/>
      <c r="D978" s="115"/>
      <c r="E978" s="115"/>
    </row>
    <row r="979" spans="1:5" ht="13">
      <c r="A979" s="115"/>
      <c r="B979" s="115"/>
      <c r="C979" s="115"/>
      <c r="D979" s="115"/>
      <c r="E979" s="115"/>
    </row>
    <row r="980" spans="1:5" ht="13">
      <c r="A980" s="115"/>
      <c r="B980" s="115"/>
      <c r="C980" s="115"/>
      <c r="D980" s="115"/>
      <c r="E980" s="115"/>
    </row>
    <row r="981" spans="1:5" ht="13">
      <c r="A981" s="115"/>
      <c r="B981" s="115"/>
      <c r="C981" s="115"/>
      <c r="D981" s="115"/>
      <c r="E981" s="115"/>
    </row>
    <row r="982" spans="1:5" ht="13">
      <c r="A982" s="115"/>
      <c r="B982" s="115"/>
      <c r="C982" s="115"/>
      <c r="D982" s="115"/>
      <c r="E982" s="115"/>
    </row>
    <row r="983" spans="1:5" ht="13">
      <c r="A983" s="115"/>
      <c r="B983" s="115"/>
      <c r="C983" s="115"/>
      <c r="D983" s="115"/>
      <c r="E983" s="115"/>
    </row>
    <row r="984" spans="1:5" ht="13">
      <c r="A984" s="115"/>
      <c r="B984" s="115"/>
      <c r="C984" s="115"/>
      <c r="D984" s="115"/>
      <c r="E984" s="115"/>
    </row>
    <row r="985" spans="1:5" ht="13">
      <c r="A985" s="115"/>
      <c r="B985" s="115"/>
      <c r="C985" s="115"/>
      <c r="D985" s="115"/>
      <c r="E985" s="115"/>
    </row>
    <row r="986" spans="1:5" ht="13">
      <c r="A986" s="115"/>
      <c r="B986" s="115"/>
      <c r="C986" s="115"/>
      <c r="D986" s="115"/>
      <c r="E986" s="115"/>
    </row>
    <row r="987" spans="1:5" ht="13">
      <c r="A987" s="115"/>
      <c r="B987" s="115"/>
      <c r="C987" s="115"/>
      <c r="D987" s="115"/>
      <c r="E987" s="115"/>
    </row>
    <row r="988" spans="1:5" ht="13">
      <c r="A988" s="115"/>
      <c r="B988" s="115"/>
      <c r="C988" s="115"/>
      <c r="D988" s="115"/>
      <c r="E988" s="115"/>
    </row>
    <row r="989" spans="1:5" ht="13">
      <c r="A989" s="115"/>
      <c r="B989" s="115"/>
      <c r="C989" s="115"/>
      <c r="D989" s="115"/>
      <c r="E989" s="115"/>
    </row>
    <row r="990" spans="1:5" ht="13">
      <c r="A990" s="115"/>
      <c r="B990" s="115"/>
      <c r="C990" s="115"/>
      <c r="D990" s="115"/>
      <c r="E990" s="115"/>
    </row>
    <row r="991" spans="1:5" ht="13">
      <c r="A991" s="115"/>
      <c r="B991" s="115"/>
      <c r="C991" s="115"/>
      <c r="D991" s="115"/>
      <c r="E991" s="115"/>
    </row>
    <row r="992" spans="1:5" ht="13">
      <c r="A992" s="115"/>
      <c r="B992" s="115"/>
      <c r="C992" s="115"/>
      <c r="D992" s="115"/>
      <c r="E992" s="115"/>
    </row>
    <row r="993" spans="1:5" ht="13">
      <c r="A993" s="115"/>
      <c r="B993" s="115"/>
      <c r="C993" s="115"/>
      <c r="D993" s="115"/>
      <c r="E993" s="115"/>
    </row>
    <row r="994" spans="1:5" ht="13">
      <c r="A994" s="115"/>
      <c r="B994" s="115"/>
      <c r="C994" s="115"/>
      <c r="D994" s="115"/>
      <c r="E994" s="115"/>
    </row>
    <row r="995" spans="1:5" ht="13">
      <c r="A995" s="115"/>
      <c r="B995" s="115"/>
      <c r="C995" s="115"/>
      <c r="D995" s="115"/>
      <c r="E995" s="115"/>
    </row>
    <row r="996" spans="1:5" ht="13">
      <c r="A996" s="115"/>
      <c r="B996" s="115"/>
      <c r="C996" s="115"/>
      <c r="D996" s="115"/>
      <c r="E996" s="115"/>
    </row>
    <row r="997" spans="1:5" ht="13">
      <c r="A997" s="115"/>
      <c r="B997" s="115"/>
      <c r="C997" s="115"/>
      <c r="D997" s="115"/>
      <c r="E997" s="115"/>
    </row>
    <row r="998" spans="1:5" ht="13">
      <c r="A998" s="115"/>
      <c r="B998" s="115"/>
      <c r="C998" s="115"/>
      <c r="D998" s="115"/>
      <c r="E998" s="115"/>
    </row>
    <row r="999" spans="1:5" ht="13">
      <c r="A999" s="115"/>
      <c r="B999" s="115"/>
      <c r="C999" s="115"/>
      <c r="D999" s="115"/>
      <c r="E999" s="115"/>
    </row>
    <row r="1000" spans="1:5" ht="13">
      <c r="A1000" s="115"/>
      <c r="B1000" s="115"/>
      <c r="C1000" s="115"/>
      <c r="D1000" s="115"/>
      <c r="E1000" s="115"/>
    </row>
    <row r="1001" spans="1:5" ht="13">
      <c r="A1001" s="115"/>
      <c r="B1001" s="115"/>
      <c r="C1001" s="115"/>
      <c r="D1001" s="115"/>
      <c r="E1001" s="115"/>
    </row>
    <row r="1002" spans="1:5" ht="13">
      <c r="A1002" s="115"/>
      <c r="B1002" s="115"/>
      <c r="C1002" s="115"/>
      <c r="D1002" s="115"/>
      <c r="E1002" s="115"/>
    </row>
    <row r="1003" spans="1:5" ht="13">
      <c r="A1003" s="115"/>
      <c r="B1003" s="115"/>
      <c r="C1003" s="115"/>
      <c r="D1003" s="115"/>
      <c r="E1003" s="115"/>
    </row>
    <row r="1004" spans="1:5" ht="13">
      <c r="A1004" s="115"/>
      <c r="B1004" s="115"/>
      <c r="C1004" s="115"/>
      <c r="D1004" s="115"/>
      <c r="E1004" s="115"/>
    </row>
    <row r="1005" spans="1:5" ht="13">
      <c r="A1005" s="115"/>
      <c r="B1005" s="115"/>
      <c r="C1005" s="115"/>
      <c r="D1005" s="115"/>
      <c r="E1005" s="115"/>
    </row>
    <row r="1006" spans="1:5" ht="13">
      <c r="A1006" s="115"/>
      <c r="B1006" s="115"/>
      <c r="C1006" s="115"/>
      <c r="D1006" s="115"/>
      <c r="E1006" s="115"/>
    </row>
    <row r="1007" spans="1:5" ht="13">
      <c r="A1007" s="115"/>
      <c r="B1007" s="115"/>
      <c r="C1007" s="115"/>
      <c r="D1007" s="115"/>
      <c r="E1007" s="115"/>
    </row>
    <row r="1008" spans="1:5" ht="13">
      <c r="A1008" s="115"/>
      <c r="B1008" s="115"/>
      <c r="C1008" s="115"/>
      <c r="D1008" s="115"/>
      <c r="E1008" s="115"/>
    </row>
    <row r="1009" spans="1:5" ht="13">
      <c r="A1009" s="115"/>
      <c r="B1009" s="115"/>
      <c r="C1009" s="115"/>
      <c r="D1009" s="115"/>
      <c r="E1009" s="115"/>
    </row>
    <row r="1010" spans="1:5" ht="13">
      <c r="A1010" s="115"/>
      <c r="B1010" s="115"/>
      <c r="C1010" s="115"/>
      <c r="D1010" s="115"/>
      <c r="E1010" s="115"/>
    </row>
    <row r="1011" spans="1:5" ht="13">
      <c r="A1011" s="115"/>
      <c r="B1011" s="115"/>
      <c r="C1011" s="115"/>
      <c r="D1011" s="115"/>
      <c r="E1011" s="115"/>
    </row>
    <row r="1012" spans="1:5" ht="13">
      <c r="A1012" s="115"/>
      <c r="B1012" s="115"/>
      <c r="C1012" s="115"/>
      <c r="D1012" s="115"/>
      <c r="E1012" s="115"/>
    </row>
    <row r="1013" spans="1:5" ht="13">
      <c r="A1013" s="115"/>
      <c r="B1013" s="115"/>
      <c r="C1013" s="115"/>
      <c r="D1013" s="115"/>
      <c r="E1013" s="115"/>
    </row>
    <row r="1014" spans="1:5" ht="13">
      <c r="A1014" s="115"/>
      <c r="B1014" s="115"/>
      <c r="C1014" s="115"/>
      <c r="D1014" s="115"/>
      <c r="E1014" s="115"/>
    </row>
    <row r="1015" spans="1:5" ht="13">
      <c r="A1015" s="115"/>
      <c r="B1015" s="115"/>
      <c r="C1015" s="115"/>
      <c r="D1015" s="115"/>
      <c r="E1015" s="115"/>
    </row>
    <row r="1016" spans="1:5" ht="13">
      <c r="A1016" s="115"/>
      <c r="B1016" s="115"/>
      <c r="C1016" s="115"/>
      <c r="D1016" s="115"/>
      <c r="E1016" s="115"/>
    </row>
    <row r="1017" spans="1:5" ht="13">
      <c r="A1017" s="115"/>
      <c r="B1017" s="115"/>
      <c r="C1017" s="115"/>
      <c r="D1017" s="115"/>
      <c r="E1017" s="115"/>
    </row>
    <row r="1018" spans="1:5" ht="13">
      <c r="A1018" s="115"/>
      <c r="B1018" s="115"/>
      <c r="C1018" s="115"/>
      <c r="D1018" s="115"/>
      <c r="E1018" s="115"/>
    </row>
    <row r="1019" spans="1:5" ht="13">
      <c r="A1019" s="115"/>
      <c r="B1019" s="115"/>
      <c r="C1019" s="115"/>
      <c r="D1019" s="115"/>
      <c r="E1019" s="115"/>
    </row>
    <row r="1020" spans="1:5" ht="13">
      <c r="A1020" s="115"/>
      <c r="B1020" s="115"/>
      <c r="C1020" s="115"/>
      <c r="D1020" s="115"/>
      <c r="E1020" s="115"/>
    </row>
    <row r="1021" spans="1:5" ht="13">
      <c r="A1021" s="115"/>
      <c r="B1021" s="115"/>
      <c r="C1021" s="115"/>
      <c r="D1021" s="115"/>
      <c r="E1021" s="115"/>
    </row>
    <row r="1022" spans="1:5" ht="13">
      <c r="A1022" s="115"/>
      <c r="B1022" s="115"/>
      <c r="C1022" s="115"/>
      <c r="D1022" s="115"/>
      <c r="E1022" s="115"/>
    </row>
    <row r="1023" spans="1:5" ht="13">
      <c r="A1023" s="115"/>
      <c r="B1023" s="115"/>
      <c r="C1023" s="115"/>
      <c r="D1023" s="115"/>
      <c r="E1023" s="115"/>
    </row>
    <row r="1024" spans="1:5" ht="13">
      <c r="A1024" s="115"/>
      <c r="B1024" s="115"/>
      <c r="C1024" s="115"/>
      <c r="D1024" s="115"/>
      <c r="E1024" s="115"/>
    </row>
    <row r="1025" spans="1:5" ht="13">
      <c r="A1025" s="115"/>
      <c r="B1025" s="115"/>
      <c r="C1025" s="115"/>
      <c r="D1025" s="115"/>
      <c r="E1025" s="115"/>
    </row>
    <row r="1026" spans="1:5" ht="13">
      <c r="A1026" s="115"/>
      <c r="B1026" s="115"/>
      <c r="C1026" s="115"/>
      <c r="D1026" s="115"/>
      <c r="E1026" s="115"/>
    </row>
    <row r="1027" spans="1:5" ht="13">
      <c r="A1027" s="115"/>
      <c r="B1027" s="115"/>
      <c r="C1027" s="115"/>
      <c r="D1027" s="115"/>
      <c r="E1027" s="115"/>
    </row>
    <row r="1028" spans="1:5" ht="13">
      <c r="A1028" s="115"/>
      <c r="B1028" s="115"/>
      <c r="C1028" s="115"/>
      <c r="D1028" s="115"/>
      <c r="E1028" s="115"/>
    </row>
    <row r="1029" spans="1:5" ht="13">
      <c r="A1029" s="115"/>
      <c r="B1029" s="115"/>
      <c r="C1029" s="115"/>
      <c r="D1029" s="115"/>
      <c r="E1029" s="115"/>
    </row>
    <row r="1030" spans="1:5" ht="13">
      <c r="A1030" s="115"/>
      <c r="B1030" s="115"/>
      <c r="C1030" s="115"/>
      <c r="D1030" s="115"/>
      <c r="E1030" s="115"/>
    </row>
    <row r="1031" spans="1:5" ht="13">
      <c r="A1031" s="115"/>
      <c r="B1031" s="115"/>
      <c r="C1031" s="115"/>
      <c r="D1031" s="115"/>
      <c r="E1031" s="115"/>
    </row>
    <row r="1032" spans="1:5" ht="13">
      <c r="A1032" s="115"/>
      <c r="B1032" s="115"/>
      <c r="C1032" s="115"/>
      <c r="D1032" s="115"/>
      <c r="E1032" s="115"/>
    </row>
    <row r="1033" spans="1:5" ht="13">
      <c r="A1033" s="115"/>
      <c r="B1033" s="115"/>
      <c r="C1033" s="115"/>
      <c r="D1033" s="115"/>
      <c r="E1033" s="115"/>
    </row>
    <row r="1034" spans="1:5" ht="13">
      <c r="A1034" s="115"/>
      <c r="B1034" s="115"/>
      <c r="C1034" s="115"/>
      <c r="D1034" s="115"/>
      <c r="E1034" s="115"/>
    </row>
    <row r="1035" spans="1:5" ht="13">
      <c r="A1035" s="115"/>
      <c r="B1035" s="115"/>
      <c r="C1035" s="115"/>
      <c r="D1035" s="115"/>
      <c r="E1035" s="115"/>
    </row>
    <row r="1036" spans="1:5" ht="13">
      <c r="A1036" s="115"/>
      <c r="B1036" s="115"/>
      <c r="C1036" s="115"/>
      <c r="D1036" s="115"/>
      <c r="E1036" s="115"/>
    </row>
    <row r="1037" spans="1:5" ht="13">
      <c r="A1037" s="115"/>
      <c r="B1037" s="115"/>
      <c r="C1037" s="115"/>
      <c r="D1037" s="115"/>
      <c r="E1037" s="115"/>
    </row>
    <row r="1038" spans="1:5" ht="13">
      <c r="A1038" s="115"/>
      <c r="B1038" s="115"/>
      <c r="C1038" s="115"/>
      <c r="D1038" s="115"/>
      <c r="E1038" s="115"/>
    </row>
    <row r="1039" spans="1:5" ht="13">
      <c r="A1039" s="115"/>
      <c r="B1039" s="115"/>
      <c r="C1039" s="115"/>
      <c r="D1039" s="115"/>
      <c r="E1039" s="115"/>
    </row>
    <row r="1040" spans="1:5" ht="13">
      <c r="A1040" s="115"/>
      <c r="B1040" s="115"/>
      <c r="C1040" s="115"/>
      <c r="D1040" s="115"/>
      <c r="E1040" s="115"/>
    </row>
    <row r="1041" spans="1:5" ht="13">
      <c r="A1041" s="115"/>
      <c r="B1041" s="115"/>
      <c r="C1041" s="115"/>
      <c r="D1041" s="115"/>
      <c r="E1041" s="115"/>
    </row>
    <row r="1042" spans="1:5" ht="13">
      <c r="A1042" s="115"/>
      <c r="B1042" s="115"/>
      <c r="C1042" s="115"/>
      <c r="D1042" s="115"/>
      <c r="E1042" s="115"/>
    </row>
    <row r="1043" spans="1:5" ht="13">
      <c r="A1043" s="115"/>
      <c r="B1043" s="115"/>
      <c r="C1043" s="115"/>
      <c r="D1043" s="115"/>
      <c r="E1043" s="115"/>
    </row>
    <row r="1044" spans="1:5" ht="13">
      <c r="A1044" s="115"/>
      <c r="B1044" s="115"/>
      <c r="C1044" s="115"/>
      <c r="D1044" s="115"/>
      <c r="E1044" s="115"/>
    </row>
    <row r="1045" spans="1:5" ht="13">
      <c r="A1045" s="115"/>
      <c r="B1045" s="115"/>
      <c r="C1045" s="115"/>
      <c r="D1045" s="115"/>
      <c r="E1045" s="115"/>
    </row>
    <row r="1046" spans="1:5" ht="13">
      <c r="A1046" s="115"/>
      <c r="B1046" s="115"/>
      <c r="C1046" s="115"/>
      <c r="D1046" s="115"/>
      <c r="E1046" s="115"/>
    </row>
    <row r="1047" spans="1:5" ht="13">
      <c r="A1047" s="115"/>
      <c r="B1047" s="115"/>
      <c r="C1047" s="115"/>
      <c r="D1047" s="115"/>
      <c r="E1047" s="115"/>
    </row>
    <row r="1048" spans="1:5" ht="13">
      <c r="A1048" s="115"/>
      <c r="B1048" s="115"/>
      <c r="C1048" s="115"/>
      <c r="D1048" s="115"/>
      <c r="E1048" s="115"/>
    </row>
    <row r="1049" spans="1:5" ht="13">
      <c r="A1049" s="115"/>
      <c r="B1049" s="115"/>
      <c r="C1049" s="115"/>
      <c r="D1049" s="115"/>
      <c r="E1049" s="115"/>
    </row>
    <row r="1050" spans="1:5" ht="13">
      <c r="A1050" s="115"/>
      <c r="B1050" s="115"/>
      <c r="C1050" s="115"/>
      <c r="D1050" s="115"/>
      <c r="E1050" s="115"/>
    </row>
    <row r="1051" spans="1:5" ht="13">
      <c r="A1051" s="115"/>
      <c r="B1051" s="115"/>
      <c r="C1051" s="115"/>
      <c r="D1051" s="115"/>
      <c r="E1051" s="115"/>
    </row>
    <row r="1052" spans="1:5" ht="13">
      <c r="A1052" s="115"/>
      <c r="B1052" s="115"/>
      <c r="C1052" s="115"/>
      <c r="D1052" s="115"/>
      <c r="E1052" s="115"/>
    </row>
    <row r="1053" spans="1:5" ht="13">
      <c r="A1053" s="115"/>
      <c r="B1053" s="115"/>
      <c r="C1053" s="115"/>
      <c r="D1053" s="115"/>
      <c r="E1053" s="115"/>
    </row>
    <row r="1054" spans="1:5" ht="13">
      <c r="A1054" s="115"/>
      <c r="B1054" s="115"/>
      <c r="C1054" s="115"/>
      <c r="D1054" s="115"/>
      <c r="E1054" s="115"/>
    </row>
    <row r="1055" spans="1:5" ht="13">
      <c r="A1055" s="115"/>
      <c r="B1055" s="115"/>
      <c r="C1055" s="115"/>
      <c r="D1055" s="115"/>
      <c r="E1055" s="115"/>
    </row>
    <row r="1056" spans="1:5" ht="13">
      <c r="A1056" s="115"/>
      <c r="B1056" s="115"/>
      <c r="C1056" s="115"/>
      <c r="D1056" s="115"/>
      <c r="E1056" s="115"/>
    </row>
    <row r="1057" spans="1:5" ht="13">
      <c r="A1057" s="115"/>
      <c r="B1057" s="115"/>
      <c r="C1057" s="115"/>
      <c r="D1057" s="115"/>
      <c r="E1057" s="115"/>
    </row>
    <row r="1058" spans="1:5" ht="13">
      <c r="A1058" s="115"/>
      <c r="B1058" s="115"/>
      <c r="C1058" s="115"/>
      <c r="D1058" s="115"/>
      <c r="E1058" s="115"/>
    </row>
    <row r="1059" spans="1:5" ht="13">
      <c r="A1059" s="115"/>
      <c r="B1059" s="115"/>
      <c r="C1059" s="115"/>
      <c r="D1059" s="115"/>
      <c r="E1059" s="115"/>
    </row>
    <row r="1060" spans="1:5" ht="13">
      <c r="A1060" s="115"/>
      <c r="B1060" s="115"/>
      <c r="C1060" s="115"/>
      <c r="D1060" s="115"/>
      <c r="E1060" s="115"/>
    </row>
    <row r="1061" spans="1:5" ht="13">
      <c r="A1061" s="115"/>
      <c r="B1061" s="115"/>
      <c r="C1061" s="115"/>
      <c r="D1061" s="115"/>
      <c r="E1061" s="115"/>
    </row>
    <row r="1062" spans="1:5" ht="13">
      <c r="A1062" s="115"/>
      <c r="B1062" s="115"/>
      <c r="C1062" s="115"/>
      <c r="D1062" s="115"/>
      <c r="E1062" s="115"/>
    </row>
    <row r="1063" spans="1:5" ht="13">
      <c r="A1063" s="115"/>
      <c r="B1063" s="115"/>
      <c r="C1063" s="115"/>
      <c r="D1063" s="115"/>
      <c r="E1063" s="115"/>
    </row>
    <row r="1064" spans="1:5" ht="13">
      <c r="A1064" s="115"/>
      <c r="B1064" s="115"/>
      <c r="C1064" s="115"/>
      <c r="D1064" s="115"/>
      <c r="E1064" s="115"/>
    </row>
    <row r="1065" spans="1:5" ht="13">
      <c r="A1065" s="115"/>
      <c r="B1065" s="115"/>
      <c r="C1065" s="115"/>
      <c r="D1065" s="115"/>
      <c r="E1065" s="115"/>
    </row>
    <row r="1066" spans="1:5" ht="13">
      <c r="A1066" s="115"/>
      <c r="B1066" s="115"/>
      <c r="C1066" s="115"/>
      <c r="D1066" s="115"/>
      <c r="E1066" s="115"/>
    </row>
    <row r="1067" spans="1:5" ht="13">
      <c r="A1067" s="115"/>
      <c r="B1067" s="115"/>
      <c r="C1067" s="115"/>
      <c r="D1067" s="115"/>
      <c r="E1067" s="115"/>
    </row>
    <row r="1068" spans="1:5" ht="13">
      <c r="A1068" s="115"/>
      <c r="B1068" s="115"/>
      <c r="C1068" s="115"/>
      <c r="D1068" s="115"/>
      <c r="E1068" s="115"/>
    </row>
    <row r="1069" spans="1:5" ht="13">
      <c r="A1069" s="115"/>
      <c r="B1069" s="115"/>
      <c r="C1069" s="115"/>
      <c r="D1069" s="115"/>
      <c r="E1069" s="115"/>
    </row>
    <row r="1070" spans="1:5" ht="13">
      <c r="A1070" s="115"/>
      <c r="B1070" s="115"/>
      <c r="C1070" s="115"/>
      <c r="D1070" s="115"/>
      <c r="E1070" s="115"/>
    </row>
    <row r="1071" spans="1:5" ht="13">
      <c r="A1071" s="115"/>
      <c r="B1071" s="115"/>
      <c r="C1071" s="115"/>
      <c r="D1071" s="115"/>
      <c r="E1071" s="115"/>
    </row>
    <row r="1072" spans="1:5" ht="13">
      <c r="A1072" s="115"/>
      <c r="B1072" s="115"/>
      <c r="C1072" s="115"/>
      <c r="D1072" s="115"/>
      <c r="E1072" s="115"/>
    </row>
    <row r="1073" spans="1:5" ht="13">
      <c r="A1073" s="115"/>
      <c r="B1073" s="115"/>
      <c r="C1073" s="115"/>
      <c r="D1073" s="115"/>
      <c r="E1073" s="115"/>
    </row>
    <row r="1074" spans="1:5" ht="13">
      <c r="A1074" s="115"/>
      <c r="B1074" s="115"/>
      <c r="C1074" s="115"/>
      <c r="D1074" s="115"/>
      <c r="E1074" s="115"/>
    </row>
    <row r="1075" spans="1:5" ht="13">
      <c r="A1075" s="115"/>
      <c r="B1075" s="115"/>
      <c r="C1075" s="115"/>
      <c r="D1075" s="115"/>
      <c r="E1075" s="115"/>
    </row>
    <row r="1076" spans="1:5" ht="13">
      <c r="A1076" s="115"/>
      <c r="B1076" s="115"/>
      <c r="C1076" s="115"/>
      <c r="D1076" s="115"/>
      <c r="E1076" s="115"/>
    </row>
    <row r="1077" spans="1:5" ht="13">
      <c r="A1077" s="115"/>
      <c r="B1077" s="115"/>
      <c r="C1077" s="115"/>
      <c r="D1077" s="115"/>
      <c r="E1077" s="115"/>
    </row>
    <row r="1078" spans="1:5" ht="13">
      <c r="A1078" s="115"/>
      <c r="B1078" s="115"/>
      <c r="C1078" s="115"/>
      <c r="D1078" s="115"/>
      <c r="E1078" s="115"/>
    </row>
    <row r="1079" spans="1:5" ht="13">
      <c r="A1079" s="115"/>
      <c r="B1079" s="115"/>
      <c r="C1079" s="115"/>
      <c r="D1079" s="115"/>
      <c r="E1079" s="115"/>
    </row>
    <row r="1080" spans="1:5" ht="13">
      <c r="A1080" s="115"/>
      <c r="B1080" s="115"/>
      <c r="C1080" s="115"/>
      <c r="D1080" s="115"/>
      <c r="E1080" s="115"/>
    </row>
    <row r="1081" spans="1:5" ht="13">
      <c r="A1081" s="115"/>
      <c r="B1081" s="115"/>
      <c r="C1081" s="115"/>
      <c r="D1081" s="115"/>
      <c r="E1081" s="115"/>
    </row>
    <row r="1082" spans="1:5" ht="13">
      <c r="A1082" s="115"/>
      <c r="B1082" s="115"/>
      <c r="C1082" s="115"/>
      <c r="D1082" s="115"/>
      <c r="E1082" s="115"/>
    </row>
    <row r="1083" spans="1:5" ht="13">
      <c r="A1083" s="115"/>
      <c r="B1083" s="115"/>
      <c r="C1083" s="115"/>
      <c r="D1083" s="115"/>
      <c r="E1083" s="115"/>
    </row>
    <row r="1084" spans="1:5" ht="13">
      <c r="A1084" s="115"/>
      <c r="B1084" s="115"/>
      <c r="C1084" s="115"/>
      <c r="D1084" s="115"/>
      <c r="E1084" s="115"/>
    </row>
    <row r="1085" spans="1:5" ht="13">
      <c r="A1085" s="115"/>
      <c r="B1085" s="115"/>
      <c r="C1085" s="115"/>
      <c r="D1085" s="115"/>
      <c r="E1085" s="115"/>
    </row>
    <row r="1086" spans="1:5" ht="13">
      <c r="A1086" s="115"/>
      <c r="B1086" s="115"/>
      <c r="C1086" s="115"/>
      <c r="D1086" s="115"/>
      <c r="E1086" s="115"/>
    </row>
    <row r="1087" spans="1:5" ht="13">
      <c r="A1087" s="115"/>
      <c r="B1087" s="115"/>
      <c r="C1087" s="115"/>
      <c r="D1087" s="115"/>
      <c r="E1087" s="115"/>
    </row>
    <row r="1088" spans="1:5" ht="13">
      <c r="A1088" s="115"/>
      <c r="B1088" s="115"/>
      <c r="C1088" s="115"/>
      <c r="D1088" s="115"/>
      <c r="E1088" s="115"/>
    </row>
    <row r="1089" spans="1:5" ht="13">
      <c r="A1089" s="115"/>
      <c r="B1089" s="115"/>
      <c r="C1089" s="115"/>
      <c r="D1089" s="115"/>
      <c r="E1089" s="115"/>
    </row>
    <row r="1090" spans="1:5" ht="13">
      <c r="A1090" s="115"/>
      <c r="B1090" s="115"/>
      <c r="C1090" s="115"/>
      <c r="D1090" s="115"/>
      <c r="E1090" s="115"/>
    </row>
    <row r="1091" spans="1:5" ht="13">
      <c r="A1091" s="115"/>
      <c r="B1091" s="115"/>
      <c r="C1091" s="115"/>
      <c r="D1091" s="115"/>
      <c r="E1091" s="115"/>
    </row>
    <row r="1092" spans="1:5" ht="13">
      <c r="A1092" s="115"/>
      <c r="B1092" s="115"/>
      <c r="C1092" s="115"/>
      <c r="D1092" s="115"/>
      <c r="E1092" s="115"/>
    </row>
    <row r="1093" spans="1:5" ht="13">
      <c r="A1093" s="115"/>
      <c r="B1093" s="115"/>
      <c r="C1093" s="115"/>
      <c r="D1093" s="115"/>
      <c r="E1093" s="115"/>
    </row>
    <row r="1094" spans="1:5" ht="13">
      <c r="A1094" s="115"/>
      <c r="B1094" s="115"/>
      <c r="C1094" s="115"/>
      <c r="D1094" s="115"/>
      <c r="E1094" s="115"/>
    </row>
    <row r="1095" spans="1:5" ht="13">
      <c r="A1095" s="115"/>
      <c r="B1095" s="115"/>
      <c r="C1095" s="115"/>
      <c r="D1095" s="115"/>
      <c r="E1095" s="115"/>
    </row>
    <row r="1096" spans="1:5" ht="13">
      <c r="A1096" s="115"/>
      <c r="B1096" s="115"/>
      <c r="C1096" s="115"/>
      <c r="D1096" s="115"/>
      <c r="E1096" s="115"/>
    </row>
    <row r="1097" spans="1:5" ht="13">
      <c r="A1097" s="115"/>
      <c r="B1097" s="115"/>
      <c r="C1097" s="115"/>
      <c r="D1097" s="115"/>
      <c r="E1097" s="115"/>
    </row>
    <row r="1098" spans="1:5" ht="13">
      <c r="A1098" s="115"/>
      <c r="B1098" s="115"/>
      <c r="C1098" s="115"/>
      <c r="D1098" s="115"/>
      <c r="E1098" s="115"/>
    </row>
    <row r="1099" spans="1:5" ht="13">
      <c r="A1099" s="115"/>
      <c r="B1099" s="115"/>
      <c r="C1099" s="115"/>
      <c r="D1099" s="115"/>
      <c r="E1099" s="115"/>
    </row>
    <row r="1100" spans="1:5" ht="13">
      <c r="A1100" s="115"/>
      <c r="B1100" s="115"/>
      <c r="C1100" s="115"/>
      <c r="D1100" s="115"/>
      <c r="E1100" s="115"/>
    </row>
    <row r="1101" spans="1:5" ht="13">
      <c r="A1101" s="115"/>
      <c r="B1101" s="115"/>
      <c r="C1101" s="115"/>
      <c r="D1101" s="115"/>
      <c r="E1101" s="115"/>
    </row>
    <row r="1102" spans="1:5" ht="13">
      <c r="A1102" s="115"/>
      <c r="B1102" s="115"/>
      <c r="C1102" s="115"/>
      <c r="D1102" s="115"/>
      <c r="E1102" s="115"/>
    </row>
    <row r="1103" spans="1:5" ht="13">
      <c r="A1103" s="115"/>
      <c r="B1103" s="115"/>
      <c r="C1103" s="115"/>
      <c r="D1103" s="115"/>
      <c r="E1103" s="115"/>
    </row>
    <row r="1104" spans="1:5" ht="13">
      <c r="A1104" s="115"/>
      <c r="B1104" s="115"/>
      <c r="C1104" s="115"/>
      <c r="D1104" s="115"/>
      <c r="E1104" s="115"/>
    </row>
    <row r="1105" spans="1:5" ht="13">
      <c r="A1105" s="115"/>
      <c r="B1105" s="115"/>
      <c r="C1105" s="115"/>
      <c r="D1105" s="115"/>
      <c r="E1105" s="115"/>
    </row>
    <row r="1106" spans="1:5" ht="13">
      <c r="A1106" s="115"/>
      <c r="B1106" s="115"/>
      <c r="C1106" s="115"/>
      <c r="D1106" s="115"/>
      <c r="E1106" s="115"/>
    </row>
    <row r="1107" spans="1:5" ht="13">
      <c r="A1107" s="115"/>
      <c r="B1107" s="115"/>
      <c r="C1107" s="115"/>
      <c r="D1107" s="115"/>
      <c r="E1107" s="115"/>
    </row>
    <row r="1108" spans="1:5" ht="13">
      <c r="A1108" s="115"/>
      <c r="B1108" s="115"/>
      <c r="C1108" s="115"/>
      <c r="D1108" s="115"/>
      <c r="E1108" s="115"/>
    </row>
    <row r="1109" spans="1:5" ht="13">
      <c r="A1109" s="115"/>
      <c r="B1109" s="115"/>
      <c r="C1109" s="115"/>
      <c r="D1109" s="115"/>
      <c r="E1109" s="115"/>
    </row>
    <row r="1110" spans="1:5" ht="13">
      <c r="A1110" s="115"/>
      <c r="B1110" s="115"/>
      <c r="C1110" s="115"/>
      <c r="D1110" s="115"/>
      <c r="E1110" s="115"/>
    </row>
    <row r="1111" spans="1:5" ht="13">
      <c r="A1111" s="115"/>
      <c r="B1111" s="115"/>
      <c r="C1111" s="115"/>
      <c r="D1111" s="115"/>
      <c r="E1111" s="115"/>
    </row>
    <row r="1112" spans="1:5" ht="13">
      <c r="A1112" s="115"/>
      <c r="B1112" s="115"/>
      <c r="C1112" s="115"/>
      <c r="D1112" s="115"/>
      <c r="E1112" s="115"/>
    </row>
    <row r="1113" spans="1:5" ht="13">
      <c r="A1113" s="115"/>
      <c r="B1113" s="115"/>
      <c r="C1113" s="115"/>
      <c r="D1113" s="115"/>
      <c r="E1113" s="115"/>
    </row>
    <row r="1114" spans="1:5" ht="13">
      <c r="A1114" s="115"/>
      <c r="B1114" s="115"/>
      <c r="C1114" s="115"/>
      <c r="D1114" s="115"/>
      <c r="E1114" s="115"/>
    </row>
    <row r="1115" spans="1:5" ht="13">
      <c r="A1115" s="115"/>
      <c r="B1115" s="115"/>
      <c r="C1115" s="115"/>
      <c r="D1115" s="115"/>
      <c r="E1115" s="115"/>
    </row>
    <row r="1116" spans="1:5" ht="13">
      <c r="A1116" s="115"/>
      <c r="B1116" s="115"/>
      <c r="C1116" s="115"/>
      <c r="D1116" s="115"/>
      <c r="E1116" s="115"/>
    </row>
    <row r="1117" spans="1:5" ht="13">
      <c r="A1117" s="115"/>
      <c r="B1117" s="115"/>
      <c r="C1117" s="115"/>
      <c r="D1117" s="115"/>
      <c r="E1117" s="115"/>
    </row>
    <row r="1118" spans="1:5" ht="13">
      <c r="A1118" s="115"/>
      <c r="B1118" s="115"/>
      <c r="C1118" s="115"/>
      <c r="D1118" s="115"/>
      <c r="E1118" s="115"/>
    </row>
    <row r="1119" spans="1:5" ht="13">
      <c r="A1119" s="115"/>
      <c r="B1119" s="115"/>
      <c r="C1119" s="115"/>
      <c r="D1119" s="115"/>
      <c r="E1119" s="115"/>
    </row>
    <row r="1120" spans="1:5" ht="13">
      <c r="A1120" s="115"/>
      <c r="B1120" s="115"/>
      <c r="C1120" s="115"/>
      <c r="D1120" s="115"/>
      <c r="E1120" s="115"/>
    </row>
    <row r="1121" spans="1:5" ht="13">
      <c r="A1121" s="115"/>
      <c r="B1121" s="115"/>
      <c r="C1121" s="115"/>
      <c r="D1121" s="115"/>
      <c r="E1121" s="115"/>
    </row>
    <row r="1122" spans="1:5" ht="13">
      <c r="A1122" s="115"/>
      <c r="B1122" s="115"/>
      <c r="C1122" s="115"/>
      <c r="D1122" s="115"/>
      <c r="E1122" s="115"/>
    </row>
    <row r="1123" spans="1:5" ht="13">
      <c r="A1123" s="115"/>
      <c r="B1123" s="115"/>
      <c r="C1123" s="115"/>
      <c r="D1123" s="115"/>
      <c r="E1123" s="115"/>
    </row>
    <row r="1124" spans="1:5" ht="13">
      <c r="A1124" s="115"/>
      <c r="B1124" s="115"/>
      <c r="C1124" s="115"/>
      <c r="D1124" s="115"/>
      <c r="E1124" s="115"/>
    </row>
    <row r="1125" spans="1:5" ht="13">
      <c r="A1125" s="115"/>
      <c r="B1125" s="115"/>
      <c r="C1125" s="115"/>
      <c r="D1125" s="115"/>
      <c r="E1125" s="115"/>
    </row>
    <row r="1126" spans="1:5" ht="13">
      <c r="A1126" s="115"/>
      <c r="B1126" s="115"/>
      <c r="C1126" s="115"/>
      <c r="D1126" s="115"/>
      <c r="E1126" s="115"/>
    </row>
    <row r="1127" spans="1:5" ht="13">
      <c r="A1127" s="115"/>
      <c r="B1127" s="115"/>
      <c r="C1127" s="115"/>
      <c r="D1127" s="115"/>
      <c r="E1127" s="115"/>
    </row>
    <row r="1128" spans="1:5" ht="13">
      <c r="A1128" s="115"/>
      <c r="B1128" s="115"/>
      <c r="C1128" s="115"/>
      <c r="D1128" s="115"/>
      <c r="E1128" s="115"/>
    </row>
    <row r="1129" spans="1:5" ht="13">
      <c r="A1129" s="115"/>
      <c r="B1129" s="115"/>
      <c r="C1129" s="115"/>
      <c r="D1129" s="115"/>
      <c r="E1129" s="115"/>
    </row>
    <row r="1130" spans="1:5" ht="13">
      <c r="A1130" s="115"/>
      <c r="B1130" s="115"/>
      <c r="C1130" s="115"/>
      <c r="D1130" s="115"/>
      <c r="E1130" s="115"/>
    </row>
    <row r="1131" spans="1:5" ht="13">
      <c r="A1131" s="115"/>
      <c r="B1131" s="115"/>
      <c r="C1131" s="115"/>
      <c r="D1131" s="115"/>
      <c r="E1131" s="115"/>
    </row>
    <row r="1132" spans="1:5" ht="13">
      <c r="A1132" s="115"/>
      <c r="B1132" s="115"/>
      <c r="C1132" s="115"/>
      <c r="D1132" s="115"/>
      <c r="E1132" s="115"/>
    </row>
    <row r="1133" spans="1:5" ht="13">
      <c r="A1133" s="115"/>
      <c r="B1133" s="115"/>
      <c r="C1133" s="115"/>
      <c r="D1133" s="115"/>
      <c r="E1133" s="115"/>
    </row>
    <row r="1134" spans="1:5" ht="13">
      <c r="A1134" s="115"/>
      <c r="B1134" s="115"/>
      <c r="C1134" s="115"/>
      <c r="D1134" s="115"/>
      <c r="E1134" s="115"/>
    </row>
    <row r="1135" spans="1:5" ht="13">
      <c r="A1135" s="115"/>
      <c r="B1135" s="115"/>
      <c r="C1135" s="115"/>
      <c r="D1135" s="115"/>
      <c r="E1135" s="115"/>
    </row>
    <row r="1136" spans="1:5" ht="13">
      <c r="A1136" s="115"/>
      <c r="B1136" s="115"/>
      <c r="C1136" s="115"/>
      <c r="D1136" s="115"/>
      <c r="E1136" s="115"/>
    </row>
    <row r="1137" spans="1:5" ht="13">
      <c r="A1137" s="115"/>
      <c r="B1137" s="115"/>
      <c r="C1137" s="115"/>
      <c r="D1137" s="115"/>
      <c r="E1137" s="115"/>
    </row>
    <row r="1138" spans="1:5" ht="13">
      <c r="A1138" s="115"/>
      <c r="B1138" s="115"/>
      <c r="C1138" s="115"/>
      <c r="D1138" s="115"/>
      <c r="E1138" s="115"/>
    </row>
    <row r="1139" spans="1:5" ht="13">
      <c r="A1139" s="115"/>
      <c r="B1139" s="115"/>
      <c r="C1139" s="115"/>
      <c r="D1139" s="115"/>
      <c r="E1139" s="115"/>
    </row>
    <row r="1140" spans="1:5" ht="13">
      <c r="A1140" s="115"/>
      <c r="B1140" s="115"/>
      <c r="C1140" s="115"/>
      <c r="D1140" s="115"/>
      <c r="E1140" s="115"/>
    </row>
    <row r="1141" spans="1:5" ht="13">
      <c r="A1141" s="115"/>
      <c r="B1141" s="115"/>
      <c r="C1141" s="115"/>
      <c r="D1141" s="115"/>
      <c r="E1141" s="115"/>
    </row>
    <row r="1142" spans="1:5" ht="13">
      <c r="A1142" s="115"/>
      <c r="B1142" s="115"/>
      <c r="C1142" s="115"/>
      <c r="D1142" s="115"/>
      <c r="E1142" s="115"/>
    </row>
    <row r="1143" spans="1:5" ht="13">
      <c r="A1143" s="115"/>
      <c r="B1143" s="115"/>
      <c r="C1143" s="115"/>
      <c r="D1143" s="115"/>
      <c r="E1143" s="115"/>
    </row>
    <row r="1144" spans="1:5" ht="13">
      <c r="A1144" s="115"/>
      <c r="B1144" s="115"/>
      <c r="C1144" s="115"/>
      <c r="D1144" s="115"/>
      <c r="E1144" s="115"/>
    </row>
    <row r="1145" spans="1:5" ht="13">
      <c r="A1145" s="115"/>
      <c r="B1145" s="115"/>
      <c r="C1145" s="115"/>
      <c r="D1145" s="115"/>
      <c r="E1145" s="115"/>
    </row>
    <row r="1146" spans="1:5" ht="13">
      <c r="A1146" s="115"/>
      <c r="B1146" s="115"/>
      <c r="C1146" s="115"/>
      <c r="D1146" s="115"/>
      <c r="E1146" s="115"/>
    </row>
    <row r="1147" spans="1:5" ht="13">
      <c r="A1147" s="115"/>
      <c r="B1147" s="115"/>
      <c r="C1147" s="115"/>
      <c r="D1147" s="115"/>
      <c r="E1147" s="115"/>
    </row>
    <row r="1148" spans="1:5" ht="13">
      <c r="A1148" s="115"/>
      <c r="B1148" s="115"/>
      <c r="C1148" s="115"/>
      <c r="D1148" s="115"/>
      <c r="E1148" s="115"/>
    </row>
    <row r="1149" spans="1:5" ht="13">
      <c r="A1149" s="115"/>
      <c r="B1149" s="115"/>
      <c r="C1149" s="115"/>
      <c r="D1149" s="115"/>
      <c r="E1149" s="115"/>
    </row>
    <row r="1150" spans="1:5" ht="13">
      <c r="A1150" s="115"/>
      <c r="B1150" s="115"/>
      <c r="C1150" s="115"/>
      <c r="D1150" s="115"/>
      <c r="E1150" s="115"/>
    </row>
    <row r="1151" spans="1:5" ht="13">
      <c r="A1151" s="115"/>
      <c r="B1151" s="115"/>
      <c r="C1151" s="115"/>
      <c r="D1151" s="115"/>
      <c r="E1151" s="115"/>
    </row>
    <row r="1152" spans="1:5" ht="13">
      <c r="A1152" s="115"/>
      <c r="B1152" s="115"/>
      <c r="C1152" s="115"/>
      <c r="D1152" s="115"/>
      <c r="E1152" s="115"/>
    </row>
    <row r="1153" spans="1:5" ht="13">
      <c r="A1153" s="115"/>
      <c r="B1153" s="115"/>
      <c r="C1153" s="115"/>
      <c r="D1153" s="115"/>
      <c r="E1153" s="115"/>
    </row>
    <row r="1154" spans="1:5" ht="13">
      <c r="A1154" s="115"/>
      <c r="B1154" s="115"/>
      <c r="C1154" s="115"/>
      <c r="D1154" s="115"/>
      <c r="E1154" s="115"/>
    </row>
    <row r="1155" spans="1:5" ht="13">
      <c r="A1155" s="115"/>
      <c r="B1155" s="115"/>
      <c r="C1155" s="115"/>
      <c r="D1155" s="115"/>
      <c r="E1155" s="115"/>
    </row>
    <row r="1156" spans="1:5" ht="13">
      <c r="A1156" s="115"/>
      <c r="B1156" s="115"/>
      <c r="C1156" s="115"/>
      <c r="D1156" s="115"/>
      <c r="E1156" s="115"/>
    </row>
    <row r="1157" spans="1:5" ht="13">
      <c r="A1157" s="115"/>
      <c r="B1157" s="115"/>
      <c r="C1157" s="115"/>
      <c r="D1157" s="115"/>
      <c r="E1157" s="115"/>
    </row>
    <row r="1158" spans="1:5" ht="13">
      <c r="A1158" s="115"/>
      <c r="B1158" s="115"/>
      <c r="C1158" s="115"/>
      <c r="D1158" s="115"/>
      <c r="E1158" s="115"/>
    </row>
    <row r="1159" spans="1:5" ht="13">
      <c r="A1159" s="115"/>
      <c r="B1159" s="115"/>
      <c r="C1159" s="115"/>
      <c r="D1159" s="115"/>
      <c r="E1159" s="115"/>
    </row>
    <row r="1160" spans="1:5" ht="13">
      <c r="A1160" s="115"/>
      <c r="B1160" s="115"/>
      <c r="C1160" s="115"/>
      <c r="D1160" s="115"/>
      <c r="E1160" s="115"/>
    </row>
    <row r="1161" spans="1:5" ht="13">
      <c r="A1161" s="115"/>
      <c r="B1161" s="115"/>
      <c r="C1161" s="115"/>
      <c r="D1161" s="115"/>
      <c r="E1161" s="115"/>
    </row>
    <row r="1162" spans="1:5" ht="13">
      <c r="A1162" s="115"/>
      <c r="B1162" s="115"/>
      <c r="C1162" s="115"/>
      <c r="D1162" s="115"/>
      <c r="E1162" s="115"/>
    </row>
    <row r="1163" spans="1:5" ht="13">
      <c r="A1163" s="115"/>
      <c r="B1163" s="115"/>
      <c r="C1163" s="115"/>
      <c r="D1163" s="115"/>
      <c r="E1163" s="115"/>
    </row>
    <row r="1164" spans="1:5" ht="13">
      <c r="A1164" s="115"/>
      <c r="B1164" s="115"/>
      <c r="C1164" s="115"/>
      <c r="D1164" s="115"/>
      <c r="E1164" s="115"/>
    </row>
    <row r="1165" spans="1:5" ht="13">
      <c r="A1165" s="115"/>
      <c r="B1165" s="115"/>
      <c r="C1165" s="115"/>
      <c r="D1165" s="115"/>
      <c r="E1165" s="115"/>
    </row>
    <row r="1166" spans="1:5" ht="13">
      <c r="A1166" s="115"/>
      <c r="B1166" s="115"/>
      <c r="C1166" s="115"/>
      <c r="D1166" s="115"/>
      <c r="E1166" s="115"/>
    </row>
    <row r="1167" spans="1:5" ht="13">
      <c r="A1167" s="115"/>
      <c r="B1167" s="115"/>
      <c r="C1167" s="115"/>
      <c r="D1167" s="115"/>
      <c r="E1167" s="115"/>
    </row>
    <row r="1168" spans="1:5" ht="13">
      <c r="A1168" s="115"/>
      <c r="B1168" s="115"/>
      <c r="C1168" s="115"/>
      <c r="D1168" s="115"/>
      <c r="E1168" s="115"/>
    </row>
    <row r="1169" spans="1:5" ht="13">
      <c r="A1169" s="115"/>
      <c r="B1169" s="115"/>
      <c r="C1169" s="115"/>
      <c r="D1169" s="115"/>
      <c r="E1169" s="115"/>
    </row>
    <row r="1170" spans="1:5" ht="13">
      <c r="A1170" s="115"/>
      <c r="B1170" s="115"/>
      <c r="C1170" s="115"/>
      <c r="D1170" s="115"/>
      <c r="E1170" s="115"/>
    </row>
    <row r="1171" spans="1:5" ht="13">
      <c r="A1171" s="115"/>
      <c r="B1171" s="115"/>
      <c r="C1171" s="115"/>
      <c r="D1171" s="115"/>
      <c r="E1171" s="115"/>
    </row>
    <row r="1172" spans="1:5" ht="13">
      <c r="A1172" s="115"/>
      <c r="B1172" s="115"/>
      <c r="C1172" s="115"/>
      <c r="D1172" s="115"/>
      <c r="E1172" s="115"/>
    </row>
    <row r="1173" spans="1:5" ht="13">
      <c r="A1173" s="115"/>
      <c r="B1173" s="115"/>
      <c r="C1173" s="115"/>
      <c r="D1173" s="115"/>
      <c r="E1173" s="115"/>
    </row>
    <row r="1174" spans="1:5" ht="13">
      <c r="A1174" s="115"/>
      <c r="B1174" s="115"/>
      <c r="C1174" s="115"/>
      <c r="D1174" s="115"/>
      <c r="E1174" s="115"/>
    </row>
    <row r="1175" spans="1:5" ht="13">
      <c r="A1175" s="115"/>
      <c r="B1175" s="115"/>
      <c r="C1175" s="115"/>
      <c r="D1175" s="115"/>
      <c r="E1175" s="115"/>
    </row>
    <row r="1176" spans="1:5" ht="13">
      <c r="A1176" s="115"/>
      <c r="B1176" s="115"/>
      <c r="C1176" s="115"/>
      <c r="D1176" s="115"/>
      <c r="E1176" s="115"/>
    </row>
    <row r="1177" spans="1:5" ht="13">
      <c r="A1177" s="115"/>
      <c r="B1177" s="115"/>
      <c r="C1177" s="115"/>
      <c r="D1177" s="115"/>
      <c r="E1177" s="115"/>
    </row>
    <row r="1178" spans="1:5" ht="13">
      <c r="A1178" s="115"/>
      <c r="B1178" s="115"/>
      <c r="C1178" s="115"/>
      <c r="D1178" s="115"/>
      <c r="E1178" s="115"/>
    </row>
    <row r="1179" spans="1:5" ht="13">
      <c r="A1179" s="115"/>
      <c r="B1179" s="115"/>
      <c r="C1179" s="115"/>
      <c r="D1179" s="115"/>
      <c r="E1179" s="115"/>
    </row>
    <row r="1180" spans="1:5" ht="13">
      <c r="A1180" s="115"/>
      <c r="B1180" s="115"/>
      <c r="C1180" s="115"/>
      <c r="D1180" s="115"/>
      <c r="E1180" s="115"/>
    </row>
    <row r="1181" spans="1:5" ht="13">
      <c r="A1181" s="115"/>
      <c r="B1181" s="115"/>
      <c r="C1181" s="115"/>
      <c r="D1181" s="115"/>
      <c r="E1181" s="115"/>
    </row>
    <row r="1182" spans="1:5" ht="13">
      <c r="A1182" s="115"/>
      <c r="B1182" s="115"/>
      <c r="C1182" s="115"/>
      <c r="D1182" s="115"/>
      <c r="E1182" s="115"/>
    </row>
    <row r="1183" spans="1:5" ht="13">
      <c r="A1183" s="115"/>
      <c r="B1183" s="115"/>
      <c r="C1183" s="115"/>
      <c r="D1183" s="115"/>
      <c r="E1183" s="115"/>
    </row>
    <row r="1184" spans="1:5" ht="13">
      <c r="A1184" s="115"/>
      <c r="B1184" s="115"/>
      <c r="C1184" s="115"/>
      <c r="D1184" s="115"/>
      <c r="E1184" s="115"/>
    </row>
    <row r="1185" spans="1:5" ht="13">
      <c r="A1185" s="115"/>
      <c r="B1185" s="115"/>
      <c r="C1185" s="115"/>
      <c r="D1185" s="115"/>
      <c r="E1185" s="115"/>
    </row>
    <row r="1186" spans="1:5" ht="13">
      <c r="A1186" s="115"/>
      <c r="B1186" s="115"/>
      <c r="C1186" s="115"/>
      <c r="D1186" s="115"/>
      <c r="E1186" s="115"/>
    </row>
    <row r="1187" spans="1:5" ht="13">
      <c r="A1187" s="115"/>
      <c r="B1187" s="115"/>
      <c r="C1187" s="115"/>
      <c r="D1187" s="115"/>
      <c r="E1187" s="115"/>
    </row>
    <row r="1188" spans="1:5" ht="13">
      <c r="A1188" s="115"/>
      <c r="B1188" s="115"/>
      <c r="C1188" s="115"/>
      <c r="D1188" s="115"/>
      <c r="E1188" s="115"/>
    </row>
    <row r="1189" spans="1:5" ht="13">
      <c r="A1189" s="115"/>
      <c r="B1189" s="115"/>
      <c r="C1189" s="115"/>
      <c r="D1189" s="115"/>
      <c r="E1189" s="115"/>
    </row>
    <row r="1190" spans="1:5" ht="13">
      <c r="A1190" s="115"/>
      <c r="B1190" s="115"/>
      <c r="C1190" s="115"/>
      <c r="D1190" s="115"/>
      <c r="E1190" s="115"/>
    </row>
    <row r="1191" spans="1:5" ht="13">
      <c r="A1191" s="115"/>
      <c r="B1191" s="115"/>
      <c r="C1191" s="115"/>
      <c r="D1191" s="115"/>
      <c r="E1191" s="115"/>
    </row>
    <row r="1192" spans="1:5" ht="13">
      <c r="A1192" s="115"/>
      <c r="B1192" s="115"/>
      <c r="C1192" s="115"/>
      <c r="D1192" s="115"/>
      <c r="E1192" s="115"/>
    </row>
    <row r="1193" spans="1:5" ht="13">
      <c r="A1193" s="115"/>
      <c r="B1193" s="115"/>
      <c r="C1193" s="115"/>
      <c r="D1193" s="115"/>
      <c r="E1193" s="115"/>
    </row>
    <row r="1194" spans="1:5" ht="13">
      <c r="A1194" s="115"/>
      <c r="B1194" s="115"/>
      <c r="C1194" s="115"/>
      <c r="D1194" s="115"/>
      <c r="E1194" s="115"/>
    </row>
    <row r="1195" spans="1:5" ht="13">
      <c r="A1195" s="115"/>
      <c r="B1195" s="115"/>
      <c r="C1195" s="115"/>
      <c r="D1195" s="115"/>
      <c r="E1195" s="115"/>
    </row>
    <row r="1196" spans="1:5" ht="13">
      <c r="A1196" s="115"/>
      <c r="B1196" s="115"/>
      <c r="C1196" s="115"/>
      <c r="D1196" s="115"/>
      <c r="E1196" s="115"/>
    </row>
    <row r="1197" spans="1:5" ht="13">
      <c r="A1197" s="115"/>
      <c r="B1197" s="115"/>
      <c r="C1197" s="115"/>
      <c r="D1197" s="115"/>
      <c r="E1197" s="115"/>
    </row>
    <row r="1198" spans="1:5" ht="13">
      <c r="A1198" s="115"/>
      <c r="B1198" s="115"/>
      <c r="C1198" s="115"/>
      <c r="D1198" s="115"/>
      <c r="E1198" s="115"/>
    </row>
    <row r="1199" spans="1:5" ht="13">
      <c r="A1199" s="115"/>
      <c r="B1199" s="115"/>
      <c r="C1199" s="115"/>
      <c r="D1199" s="115"/>
      <c r="E1199" s="115"/>
    </row>
    <row r="1200" spans="1:5" ht="13">
      <c r="A1200" s="115"/>
      <c r="B1200" s="115"/>
      <c r="C1200" s="115"/>
      <c r="D1200" s="115"/>
      <c r="E1200" s="115"/>
    </row>
    <row r="1201" spans="1:5" ht="13">
      <c r="A1201" s="115"/>
      <c r="B1201" s="115"/>
      <c r="C1201" s="115"/>
      <c r="D1201" s="115"/>
      <c r="E1201" s="115"/>
    </row>
    <row r="1202" spans="1:5" ht="13">
      <c r="A1202" s="115"/>
      <c r="B1202" s="115"/>
      <c r="C1202" s="115"/>
      <c r="D1202" s="115"/>
      <c r="E1202" s="115"/>
    </row>
    <row r="1203" spans="1:5" ht="13">
      <c r="A1203" s="115"/>
      <c r="B1203" s="115"/>
      <c r="C1203" s="115"/>
      <c r="D1203" s="115"/>
      <c r="E1203" s="115"/>
    </row>
    <row r="1204" spans="1:5" ht="13">
      <c r="A1204" s="115"/>
      <c r="B1204" s="115"/>
      <c r="C1204" s="115"/>
      <c r="D1204" s="115"/>
      <c r="E1204" s="115"/>
    </row>
    <row r="1205" spans="1:5" ht="13">
      <c r="A1205" s="115"/>
      <c r="B1205" s="115"/>
      <c r="C1205" s="115"/>
      <c r="D1205" s="115"/>
      <c r="E1205" s="115"/>
    </row>
    <row r="1206" spans="1:5" ht="13">
      <c r="A1206" s="115"/>
      <c r="B1206" s="115"/>
      <c r="C1206" s="115"/>
      <c r="D1206" s="115"/>
      <c r="E1206" s="115"/>
    </row>
    <row r="1207" spans="1:5" ht="13">
      <c r="A1207" s="115"/>
      <c r="B1207" s="115"/>
      <c r="C1207" s="115"/>
      <c r="D1207" s="115"/>
      <c r="E1207" s="115"/>
    </row>
    <row r="1208" spans="1:5" ht="13">
      <c r="A1208" s="115"/>
      <c r="B1208" s="115"/>
      <c r="C1208" s="115"/>
      <c r="D1208" s="115"/>
      <c r="E1208" s="115"/>
    </row>
    <row r="1209" spans="1:5" ht="13">
      <c r="A1209" s="115"/>
      <c r="B1209" s="115"/>
      <c r="C1209" s="115"/>
      <c r="D1209" s="115"/>
      <c r="E1209" s="115"/>
    </row>
    <row r="1210" spans="1:5" ht="13">
      <c r="A1210" s="115"/>
      <c r="B1210" s="115"/>
      <c r="C1210" s="115"/>
      <c r="D1210" s="115"/>
      <c r="E1210" s="115"/>
    </row>
    <row r="1211" spans="1:5" ht="13">
      <c r="A1211" s="115"/>
      <c r="B1211" s="115"/>
      <c r="C1211" s="115"/>
      <c r="D1211" s="115"/>
      <c r="E1211" s="115"/>
    </row>
    <row r="1212" spans="1:5" ht="13">
      <c r="A1212" s="115"/>
      <c r="B1212" s="115"/>
      <c r="C1212" s="115"/>
      <c r="D1212" s="115"/>
      <c r="E1212" s="115"/>
    </row>
    <row r="1213" spans="1:5" ht="13">
      <c r="A1213" s="115"/>
      <c r="B1213" s="115"/>
      <c r="C1213" s="115"/>
      <c r="D1213" s="115"/>
      <c r="E1213" s="115"/>
    </row>
    <row r="1214" spans="1:5" ht="13">
      <c r="A1214" s="115"/>
      <c r="B1214" s="115"/>
      <c r="C1214" s="115"/>
      <c r="D1214" s="115"/>
      <c r="E1214" s="115"/>
    </row>
    <row r="1215" spans="1:5" ht="13">
      <c r="A1215" s="115"/>
      <c r="B1215" s="115"/>
      <c r="C1215" s="115"/>
      <c r="D1215" s="115"/>
      <c r="E1215" s="115"/>
    </row>
    <row r="1216" spans="1:5" ht="13">
      <c r="A1216" s="115"/>
      <c r="B1216" s="115"/>
      <c r="C1216" s="115"/>
      <c r="D1216" s="115"/>
      <c r="E1216" s="115"/>
    </row>
    <row r="1217" spans="1:5" ht="13">
      <c r="A1217" s="115"/>
      <c r="B1217" s="115"/>
      <c r="C1217" s="115"/>
      <c r="D1217" s="115"/>
      <c r="E1217" s="115"/>
    </row>
    <row r="1218" spans="1:5" ht="13">
      <c r="A1218" s="115"/>
      <c r="B1218" s="115"/>
      <c r="C1218" s="115"/>
      <c r="D1218" s="115"/>
      <c r="E1218" s="115"/>
    </row>
    <row r="1219" spans="1:5" ht="13">
      <c r="A1219" s="115"/>
      <c r="B1219" s="115"/>
      <c r="C1219" s="115"/>
      <c r="D1219" s="115"/>
      <c r="E1219" s="115"/>
    </row>
    <row r="1220" spans="1:5" ht="13">
      <c r="A1220" s="115"/>
      <c r="B1220" s="115"/>
      <c r="C1220" s="115"/>
      <c r="D1220" s="115"/>
      <c r="E1220" s="115"/>
    </row>
    <row r="1221" spans="1:5" ht="13">
      <c r="A1221" s="115"/>
      <c r="B1221" s="115"/>
      <c r="C1221" s="115"/>
      <c r="D1221" s="115"/>
      <c r="E1221" s="115"/>
    </row>
    <row r="1222" spans="1:5" ht="13">
      <c r="A1222" s="115"/>
      <c r="B1222" s="115"/>
      <c r="C1222" s="115"/>
      <c r="D1222" s="115"/>
      <c r="E1222" s="115"/>
    </row>
    <row r="1223" spans="1:5" ht="13">
      <c r="A1223" s="115"/>
      <c r="B1223" s="115"/>
      <c r="C1223" s="115"/>
      <c r="D1223" s="115"/>
      <c r="E1223" s="115"/>
    </row>
    <row r="1224" spans="1:5" ht="13">
      <c r="A1224" s="115"/>
      <c r="B1224" s="115"/>
      <c r="C1224" s="115"/>
      <c r="D1224" s="115"/>
      <c r="E1224" s="115"/>
    </row>
    <row r="1225" spans="1:5" ht="13">
      <c r="A1225" s="115"/>
      <c r="B1225" s="115"/>
      <c r="C1225" s="115"/>
      <c r="D1225" s="115"/>
      <c r="E1225" s="115"/>
    </row>
    <row r="1226" spans="1:5" ht="13">
      <c r="A1226" s="115"/>
      <c r="B1226" s="115"/>
      <c r="C1226" s="115"/>
      <c r="D1226" s="115"/>
      <c r="E1226" s="115"/>
    </row>
    <row r="1227" spans="1:5" ht="13">
      <c r="A1227" s="115"/>
      <c r="B1227" s="115"/>
      <c r="C1227" s="115"/>
      <c r="D1227" s="115"/>
      <c r="E1227" s="115"/>
    </row>
    <row r="1228" spans="1:5" ht="13">
      <c r="A1228" s="115"/>
      <c r="B1228" s="115"/>
      <c r="C1228" s="115"/>
      <c r="D1228" s="115"/>
      <c r="E1228" s="115"/>
    </row>
    <row r="1229" spans="1:5" ht="13">
      <c r="A1229" s="115"/>
      <c r="B1229" s="115"/>
      <c r="C1229" s="115"/>
      <c r="D1229" s="115"/>
      <c r="E1229" s="115"/>
    </row>
    <row r="1230" spans="1:5" ht="13">
      <c r="A1230" s="115"/>
      <c r="B1230" s="115"/>
      <c r="C1230" s="115"/>
      <c r="D1230" s="115"/>
      <c r="E1230" s="115"/>
    </row>
    <row r="1231" spans="1:5" ht="13">
      <c r="A1231" s="115"/>
      <c r="B1231" s="115"/>
      <c r="C1231" s="115"/>
      <c r="D1231" s="115"/>
      <c r="E1231" s="115"/>
    </row>
    <row r="1232" spans="1:5" ht="13">
      <c r="A1232" s="115"/>
      <c r="B1232" s="115"/>
      <c r="C1232" s="115"/>
      <c r="D1232" s="115"/>
      <c r="E1232" s="115"/>
    </row>
    <row r="1233" spans="1:5" ht="13">
      <c r="A1233" s="115"/>
      <c r="B1233" s="115"/>
      <c r="C1233" s="115"/>
      <c r="D1233" s="115"/>
      <c r="E1233" s="115"/>
    </row>
    <row r="1234" spans="1:5" ht="13">
      <c r="A1234" s="115"/>
      <c r="B1234" s="115"/>
      <c r="C1234" s="115"/>
      <c r="D1234" s="115"/>
      <c r="E1234" s="115"/>
    </row>
    <row r="1235" spans="1:5" ht="13">
      <c r="A1235" s="115"/>
      <c r="B1235" s="115"/>
      <c r="C1235" s="115"/>
      <c r="D1235" s="115"/>
      <c r="E1235" s="115"/>
    </row>
    <row r="1236" spans="1:5" ht="13">
      <c r="A1236" s="115"/>
      <c r="B1236" s="115"/>
      <c r="C1236" s="115"/>
      <c r="D1236" s="115"/>
      <c r="E1236" s="115"/>
    </row>
    <row r="1237" spans="1:5" ht="13">
      <c r="A1237" s="115"/>
      <c r="B1237" s="115"/>
      <c r="C1237" s="115"/>
      <c r="D1237" s="115"/>
      <c r="E1237" s="115"/>
    </row>
    <row r="1238" spans="1:5" ht="13">
      <c r="A1238" s="115"/>
      <c r="B1238" s="115"/>
      <c r="C1238" s="115"/>
      <c r="D1238" s="115"/>
      <c r="E1238" s="115"/>
    </row>
    <row r="1239" spans="1:5" ht="13">
      <c r="A1239" s="115"/>
      <c r="B1239" s="115"/>
      <c r="C1239" s="115"/>
      <c r="D1239" s="115"/>
      <c r="E1239" s="115"/>
    </row>
    <row r="1240" spans="1:5" ht="13">
      <c r="A1240" s="115"/>
      <c r="B1240" s="115"/>
      <c r="C1240" s="115"/>
      <c r="D1240" s="115"/>
      <c r="E1240" s="115"/>
    </row>
    <row r="1241" spans="1:5" ht="13">
      <c r="A1241" s="115"/>
      <c r="B1241" s="115"/>
      <c r="C1241" s="115"/>
      <c r="D1241" s="115"/>
      <c r="E1241" s="115"/>
    </row>
    <row r="1242" spans="1:5" ht="13">
      <c r="A1242" s="115"/>
      <c r="B1242" s="115"/>
      <c r="C1242" s="115"/>
      <c r="D1242" s="115"/>
      <c r="E1242" s="115"/>
    </row>
    <row r="1243" spans="1:5" ht="13">
      <c r="A1243" s="115"/>
      <c r="B1243" s="115"/>
      <c r="C1243" s="115"/>
      <c r="D1243" s="115"/>
      <c r="E1243" s="115"/>
    </row>
    <row r="1244" spans="1:5" ht="13">
      <c r="A1244" s="115"/>
      <c r="B1244" s="115"/>
      <c r="C1244" s="115"/>
      <c r="D1244" s="115"/>
      <c r="E1244" s="115"/>
    </row>
    <row r="1245" spans="1:5" ht="13">
      <c r="A1245" s="115"/>
      <c r="B1245" s="115"/>
      <c r="C1245" s="115"/>
      <c r="D1245" s="115"/>
      <c r="E1245" s="115"/>
    </row>
    <row r="1246" spans="1:5" ht="13">
      <c r="A1246" s="115"/>
      <c r="B1246" s="115"/>
      <c r="C1246" s="115"/>
      <c r="D1246" s="115"/>
      <c r="E1246" s="115"/>
    </row>
    <row r="1247" spans="1:5" ht="13">
      <c r="A1247" s="115"/>
      <c r="B1247" s="115"/>
      <c r="C1247" s="115"/>
      <c r="D1247" s="115"/>
      <c r="E1247" s="115"/>
    </row>
    <row r="1248" spans="1:5" ht="13">
      <c r="A1248" s="115"/>
      <c r="B1248" s="115"/>
      <c r="C1248" s="115"/>
      <c r="D1248" s="115"/>
      <c r="E1248" s="115"/>
    </row>
    <row r="1249" spans="1:5" ht="13">
      <c r="A1249" s="115"/>
      <c r="B1249" s="115"/>
      <c r="C1249" s="115"/>
      <c r="D1249" s="115"/>
      <c r="E1249" s="115"/>
    </row>
    <row r="1250" spans="1:5" ht="13">
      <c r="A1250" s="115"/>
      <c r="B1250" s="115"/>
      <c r="C1250" s="115"/>
      <c r="D1250" s="115"/>
      <c r="E1250" s="115"/>
    </row>
    <row r="1251" spans="1:5" ht="13">
      <c r="A1251" s="115"/>
      <c r="B1251" s="115"/>
      <c r="C1251" s="115"/>
      <c r="D1251" s="115"/>
      <c r="E1251" s="115"/>
    </row>
    <row r="1252" spans="1:5" ht="13">
      <c r="A1252" s="115"/>
      <c r="B1252" s="115"/>
      <c r="C1252" s="115"/>
      <c r="D1252" s="115"/>
      <c r="E1252" s="115"/>
    </row>
    <row r="1253" spans="1:5" ht="13">
      <c r="A1253" s="115"/>
      <c r="B1253" s="115"/>
      <c r="C1253" s="115"/>
      <c r="D1253" s="115"/>
      <c r="E1253" s="115"/>
    </row>
    <row r="1254" spans="1:5" ht="13">
      <c r="A1254" s="115"/>
      <c r="B1254" s="115"/>
      <c r="C1254" s="115"/>
      <c r="D1254" s="115"/>
      <c r="E1254" s="115"/>
    </row>
    <row r="1255" spans="1:5" ht="13">
      <c r="A1255" s="115"/>
      <c r="B1255" s="115"/>
      <c r="C1255" s="115"/>
      <c r="D1255" s="115"/>
      <c r="E1255" s="115"/>
    </row>
    <row r="1256" spans="1:5" ht="13">
      <c r="A1256" s="115"/>
      <c r="B1256" s="115"/>
      <c r="C1256" s="115"/>
      <c r="D1256" s="115"/>
      <c r="E1256" s="115"/>
    </row>
    <row r="1257" spans="1:5" ht="13">
      <c r="A1257" s="115"/>
      <c r="B1257" s="115"/>
      <c r="C1257" s="115"/>
      <c r="D1257" s="115"/>
      <c r="E1257" s="115"/>
    </row>
    <row r="1258" spans="1:5" ht="13">
      <c r="A1258" s="115"/>
      <c r="B1258" s="115"/>
      <c r="C1258" s="115"/>
      <c r="D1258" s="115"/>
      <c r="E1258" s="115"/>
    </row>
    <row r="1259" spans="1:5" ht="13">
      <c r="A1259" s="115"/>
      <c r="B1259" s="115"/>
      <c r="C1259" s="115"/>
      <c r="D1259" s="115"/>
      <c r="E1259" s="115"/>
    </row>
    <row r="1260" spans="1:5" ht="13">
      <c r="A1260" s="115"/>
      <c r="B1260" s="115"/>
      <c r="C1260" s="115"/>
      <c r="D1260" s="115"/>
      <c r="E1260" s="115"/>
    </row>
    <row r="1261" spans="1:5" ht="13">
      <c r="A1261" s="115"/>
      <c r="B1261" s="115"/>
      <c r="C1261" s="115"/>
      <c r="D1261" s="115"/>
      <c r="E1261" s="115"/>
    </row>
    <row r="1262" spans="1:5" ht="13">
      <c r="A1262" s="115"/>
      <c r="B1262" s="115"/>
      <c r="C1262" s="115"/>
      <c r="D1262" s="115"/>
      <c r="E1262" s="115"/>
    </row>
    <row r="1263" spans="1:5" ht="13">
      <c r="A1263" s="115"/>
      <c r="B1263" s="115"/>
      <c r="C1263" s="115"/>
      <c r="D1263" s="115"/>
      <c r="E1263" s="115"/>
    </row>
    <row r="1264" spans="1:5" ht="13">
      <c r="A1264" s="115"/>
      <c r="B1264" s="115"/>
      <c r="C1264" s="115"/>
      <c r="D1264" s="115"/>
      <c r="E1264" s="115"/>
    </row>
    <row r="1265" spans="1:5" ht="13">
      <c r="A1265" s="115"/>
      <c r="B1265" s="115"/>
      <c r="C1265" s="115"/>
      <c r="D1265" s="115"/>
      <c r="E1265" s="115"/>
    </row>
    <row r="1266" spans="1:5" ht="13">
      <c r="A1266" s="115"/>
      <c r="B1266" s="115"/>
      <c r="C1266" s="115"/>
      <c r="D1266" s="115"/>
      <c r="E1266" s="115"/>
    </row>
    <row r="1267" spans="1:5" ht="13">
      <c r="A1267" s="115"/>
      <c r="B1267" s="115"/>
      <c r="C1267" s="115"/>
      <c r="D1267" s="115"/>
      <c r="E1267" s="115"/>
    </row>
    <row r="1268" spans="1:5" ht="13">
      <c r="A1268" s="115"/>
      <c r="B1268" s="115"/>
      <c r="C1268" s="115"/>
      <c r="D1268" s="115"/>
      <c r="E1268" s="115"/>
    </row>
    <row r="1269" spans="1:5" ht="13">
      <c r="A1269" s="115"/>
      <c r="B1269" s="115"/>
      <c r="C1269" s="115"/>
      <c r="D1269" s="115"/>
      <c r="E1269" s="115"/>
    </row>
    <row r="1270" spans="1:5" ht="13">
      <c r="A1270" s="115"/>
      <c r="B1270" s="115"/>
      <c r="C1270" s="115"/>
      <c r="D1270" s="115"/>
      <c r="E1270" s="115"/>
    </row>
    <row r="1271" spans="1:5" ht="13">
      <c r="A1271" s="115"/>
      <c r="B1271" s="115"/>
      <c r="C1271" s="115"/>
      <c r="D1271" s="115"/>
      <c r="E1271" s="115"/>
    </row>
    <row r="1272" spans="1:5" ht="13">
      <c r="A1272" s="115"/>
      <c r="B1272" s="115"/>
      <c r="C1272" s="115"/>
      <c r="D1272" s="115"/>
      <c r="E1272" s="115"/>
    </row>
    <row r="1273" spans="1:5" ht="13">
      <c r="A1273" s="115"/>
      <c r="B1273" s="115"/>
      <c r="C1273" s="115"/>
      <c r="D1273" s="115"/>
      <c r="E1273" s="115"/>
    </row>
    <row r="1274" spans="1:5" ht="13">
      <c r="A1274" s="115"/>
      <c r="B1274" s="115"/>
      <c r="C1274" s="115"/>
      <c r="D1274" s="115"/>
      <c r="E1274" s="115"/>
    </row>
    <row r="1275" spans="1:5" ht="13">
      <c r="A1275" s="115"/>
      <c r="B1275" s="115"/>
      <c r="C1275" s="115"/>
      <c r="D1275" s="115"/>
      <c r="E1275" s="115"/>
    </row>
    <row r="1276" spans="1:5" ht="13">
      <c r="A1276" s="115"/>
      <c r="B1276" s="115"/>
      <c r="C1276" s="115"/>
      <c r="D1276" s="115"/>
      <c r="E1276" s="115"/>
    </row>
    <row r="1277" spans="1:5" ht="13">
      <c r="A1277" s="115"/>
      <c r="B1277" s="115"/>
      <c r="C1277" s="115"/>
      <c r="D1277" s="115"/>
      <c r="E1277" s="115"/>
    </row>
    <row r="1278" spans="1:5" ht="13">
      <c r="A1278" s="115"/>
      <c r="B1278" s="115"/>
      <c r="C1278" s="115"/>
      <c r="D1278" s="115"/>
      <c r="E1278" s="115"/>
    </row>
    <row r="1279" spans="1:5" ht="13">
      <c r="A1279" s="115"/>
      <c r="B1279" s="115"/>
      <c r="C1279" s="115"/>
      <c r="D1279" s="115"/>
      <c r="E1279" s="115"/>
    </row>
    <row r="1280" spans="1:5" ht="13">
      <c r="A1280" s="115"/>
      <c r="B1280" s="115"/>
      <c r="C1280" s="115"/>
      <c r="D1280" s="115"/>
      <c r="E1280" s="115"/>
    </row>
    <row r="1281" spans="1:5" ht="13">
      <c r="A1281" s="115"/>
      <c r="B1281" s="115"/>
      <c r="C1281" s="115"/>
      <c r="D1281" s="115"/>
      <c r="E1281" s="115"/>
    </row>
    <row r="1282" spans="1:5" ht="13">
      <c r="A1282" s="115"/>
      <c r="B1282" s="115"/>
      <c r="C1282" s="115"/>
      <c r="D1282" s="115"/>
      <c r="E1282" s="115"/>
    </row>
    <row r="1283" spans="1:5" ht="13">
      <c r="A1283" s="115"/>
      <c r="B1283" s="115"/>
      <c r="C1283" s="115"/>
      <c r="D1283" s="115"/>
      <c r="E1283" s="115"/>
    </row>
    <row r="1284" spans="1:5" ht="13">
      <c r="A1284" s="115"/>
      <c r="B1284" s="115"/>
      <c r="C1284" s="115"/>
      <c r="D1284" s="115"/>
      <c r="E1284" s="115"/>
    </row>
    <row r="1285" spans="1:5" ht="13">
      <c r="A1285" s="115"/>
      <c r="B1285" s="115"/>
      <c r="C1285" s="115"/>
      <c r="D1285" s="115"/>
      <c r="E1285" s="115"/>
    </row>
    <row r="1286" spans="1:5" ht="13">
      <c r="A1286" s="115"/>
      <c r="B1286" s="115"/>
      <c r="C1286" s="115"/>
      <c r="D1286" s="115"/>
      <c r="E1286" s="115"/>
    </row>
    <row r="1287" spans="1:5" ht="13">
      <c r="A1287" s="115"/>
      <c r="B1287" s="115"/>
      <c r="C1287" s="115"/>
      <c r="D1287" s="115"/>
      <c r="E1287" s="115"/>
    </row>
    <row r="1288" spans="1:5" ht="13">
      <c r="A1288" s="115"/>
      <c r="B1288" s="115"/>
      <c r="C1288" s="115"/>
      <c r="D1288" s="115"/>
      <c r="E1288" s="115"/>
    </row>
    <row r="1289" spans="1:5" ht="13">
      <c r="A1289" s="115"/>
      <c r="B1289" s="115"/>
      <c r="C1289" s="115"/>
      <c r="D1289" s="115"/>
      <c r="E1289" s="115"/>
    </row>
    <row r="1290" spans="1:5" ht="13">
      <c r="A1290" s="115"/>
      <c r="B1290" s="115"/>
      <c r="C1290" s="115"/>
      <c r="D1290" s="115"/>
      <c r="E1290" s="115"/>
    </row>
    <row r="1291" spans="1:5" ht="13">
      <c r="A1291" s="115"/>
      <c r="B1291" s="115"/>
      <c r="C1291" s="115"/>
      <c r="D1291" s="115"/>
      <c r="E1291" s="115"/>
    </row>
    <row r="1292" spans="1:5" ht="13">
      <c r="A1292" s="115"/>
      <c r="B1292" s="115"/>
      <c r="C1292" s="115"/>
      <c r="D1292" s="115"/>
      <c r="E1292" s="115"/>
    </row>
    <row r="1293" spans="1:5" ht="13">
      <c r="A1293" s="115"/>
      <c r="B1293" s="115"/>
      <c r="C1293" s="115"/>
      <c r="D1293" s="115"/>
      <c r="E1293" s="115"/>
    </row>
    <row r="1294" spans="1:5" ht="13">
      <c r="A1294" s="115"/>
      <c r="B1294" s="115"/>
      <c r="C1294" s="115"/>
      <c r="D1294" s="115"/>
      <c r="E1294" s="115"/>
    </row>
    <row r="1295" spans="1:5" ht="13">
      <c r="A1295" s="115"/>
      <c r="B1295" s="115"/>
      <c r="C1295" s="115"/>
      <c r="D1295" s="115"/>
      <c r="E1295" s="115"/>
    </row>
    <row r="1296" spans="1:5" ht="13">
      <c r="A1296" s="115"/>
      <c r="B1296" s="115"/>
      <c r="C1296" s="115"/>
      <c r="D1296" s="115"/>
      <c r="E1296" s="115"/>
    </row>
    <row r="1297" spans="1:5" ht="13">
      <c r="A1297" s="115"/>
      <c r="B1297" s="115"/>
      <c r="C1297" s="115"/>
      <c r="D1297" s="115"/>
      <c r="E1297" s="115"/>
    </row>
    <row r="1298" spans="1:5" ht="13">
      <c r="A1298" s="115"/>
      <c r="B1298" s="115"/>
      <c r="C1298" s="115"/>
      <c r="D1298" s="115"/>
      <c r="E1298" s="115"/>
    </row>
    <row r="1299" spans="1:5" ht="13">
      <c r="A1299" s="115"/>
      <c r="B1299" s="115"/>
      <c r="C1299" s="115"/>
      <c r="D1299" s="115"/>
      <c r="E1299" s="115"/>
    </row>
    <row r="1300" spans="1:5" ht="13">
      <c r="A1300" s="115"/>
      <c r="B1300" s="115"/>
      <c r="C1300" s="115"/>
      <c r="D1300" s="115"/>
      <c r="E1300" s="115"/>
    </row>
    <row r="1301" spans="1:5" ht="13">
      <c r="A1301" s="115"/>
      <c r="B1301" s="115"/>
      <c r="C1301" s="115"/>
      <c r="D1301" s="115"/>
      <c r="E1301" s="115"/>
    </row>
    <row r="1302" spans="1:5" ht="13">
      <c r="A1302" s="115"/>
      <c r="B1302" s="115"/>
      <c r="C1302" s="115"/>
      <c r="D1302" s="115"/>
      <c r="E1302" s="115"/>
    </row>
    <row r="1303" spans="1:5" ht="13">
      <c r="A1303" s="115"/>
      <c r="B1303" s="115"/>
      <c r="C1303" s="115"/>
      <c r="D1303" s="115"/>
      <c r="E1303" s="115"/>
    </row>
    <row r="1304" spans="1:5" ht="13">
      <c r="A1304" s="115"/>
      <c r="B1304" s="115"/>
      <c r="C1304" s="115"/>
      <c r="D1304" s="115"/>
      <c r="E1304" s="115"/>
    </row>
    <row r="1305" spans="1:5" ht="13">
      <c r="A1305" s="115"/>
      <c r="B1305" s="115"/>
      <c r="C1305" s="115"/>
      <c r="D1305" s="115"/>
      <c r="E1305" s="115"/>
    </row>
    <row r="1306" spans="1:5" ht="13">
      <c r="A1306" s="115"/>
      <c r="B1306" s="115"/>
      <c r="C1306" s="115"/>
      <c r="D1306" s="115"/>
      <c r="E1306" s="115"/>
    </row>
    <row r="1307" spans="1:5" ht="13">
      <c r="A1307" s="115"/>
      <c r="B1307" s="115"/>
      <c r="C1307" s="115"/>
      <c r="D1307" s="115"/>
      <c r="E1307" s="115"/>
    </row>
    <row r="1308" spans="1:5" ht="13">
      <c r="A1308" s="115"/>
      <c r="B1308" s="115"/>
      <c r="C1308" s="115"/>
      <c r="D1308" s="115"/>
      <c r="E1308" s="115"/>
    </row>
    <row r="1309" spans="1:5" ht="13">
      <c r="A1309" s="115"/>
      <c r="B1309" s="115"/>
      <c r="C1309" s="115"/>
      <c r="D1309" s="115"/>
      <c r="E1309" s="115"/>
    </row>
    <row r="1310" spans="1:5" ht="13">
      <c r="A1310" s="115"/>
      <c r="B1310" s="115"/>
      <c r="C1310" s="115"/>
      <c r="D1310" s="115"/>
      <c r="E1310" s="115"/>
    </row>
    <row r="1311" spans="1:5" ht="13">
      <c r="A1311" s="115"/>
      <c r="B1311" s="115"/>
      <c r="C1311" s="115"/>
      <c r="D1311" s="115"/>
      <c r="E1311" s="115"/>
    </row>
    <row r="1312" spans="1:5" ht="13">
      <c r="A1312" s="115"/>
      <c r="B1312" s="115"/>
      <c r="C1312" s="115"/>
      <c r="D1312" s="115"/>
      <c r="E1312" s="115"/>
    </row>
    <row r="1313" spans="1:5" ht="13">
      <c r="A1313" s="115"/>
      <c r="B1313" s="115"/>
      <c r="C1313" s="115"/>
      <c r="D1313" s="115"/>
      <c r="E1313" s="115"/>
    </row>
    <row r="1314" spans="1:5" ht="13">
      <c r="A1314" s="115"/>
      <c r="B1314" s="115"/>
      <c r="C1314" s="115"/>
      <c r="D1314" s="115"/>
      <c r="E1314" s="115"/>
    </row>
    <row r="1315" spans="1:5" ht="13">
      <c r="A1315" s="115"/>
      <c r="B1315" s="115"/>
      <c r="C1315" s="115"/>
      <c r="D1315" s="115"/>
      <c r="E1315" s="115"/>
    </row>
    <row r="1316" spans="1:5" ht="13">
      <c r="A1316" s="115"/>
      <c r="B1316" s="115"/>
      <c r="C1316" s="115"/>
      <c r="D1316" s="115"/>
      <c r="E1316" s="115"/>
    </row>
    <row r="1317" spans="1:5" ht="13">
      <c r="A1317" s="115"/>
      <c r="B1317" s="115"/>
      <c r="C1317" s="115"/>
      <c r="D1317" s="115"/>
      <c r="E1317" s="115"/>
    </row>
    <row r="1318" spans="1:5" ht="13">
      <c r="A1318" s="115"/>
      <c r="B1318" s="115"/>
      <c r="C1318" s="115"/>
      <c r="D1318" s="115"/>
      <c r="E1318" s="115"/>
    </row>
    <row r="1319" spans="1:5" ht="13">
      <c r="A1319" s="115"/>
      <c r="B1319" s="115"/>
      <c r="C1319" s="115"/>
      <c r="D1319" s="115"/>
      <c r="E1319" s="115"/>
    </row>
    <row r="1320" spans="1:5" ht="13">
      <c r="A1320" s="115"/>
      <c r="B1320" s="115"/>
      <c r="C1320" s="115"/>
      <c r="D1320" s="115"/>
      <c r="E1320" s="115"/>
    </row>
    <row r="1321" spans="1:5" ht="13">
      <c r="A1321" s="115"/>
      <c r="B1321" s="115"/>
      <c r="C1321" s="115"/>
      <c r="D1321" s="115"/>
      <c r="E1321" s="115"/>
    </row>
    <row r="1322" spans="1:5" ht="13">
      <c r="A1322" s="115"/>
      <c r="B1322" s="115"/>
      <c r="C1322" s="115"/>
      <c r="D1322" s="115"/>
      <c r="E1322" s="115"/>
    </row>
    <row r="1323" spans="1:5" ht="13">
      <c r="A1323" s="115"/>
      <c r="B1323" s="115"/>
      <c r="C1323" s="115"/>
      <c r="D1323" s="115"/>
      <c r="E1323" s="115"/>
    </row>
    <row r="1324" spans="1:5" ht="13">
      <c r="A1324" s="115"/>
      <c r="B1324" s="115"/>
      <c r="C1324" s="115"/>
      <c r="D1324" s="115"/>
      <c r="E1324" s="115"/>
    </row>
    <row r="1325" spans="1:5" ht="13">
      <c r="A1325" s="115"/>
      <c r="B1325" s="115"/>
      <c r="C1325" s="115"/>
      <c r="D1325" s="115"/>
      <c r="E1325" s="115"/>
    </row>
    <row r="1326" spans="1:5" ht="13">
      <c r="A1326" s="115"/>
      <c r="B1326" s="115"/>
      <c r="C1326" s="115"/>
      <c r="D1326" s="115"/>
      <c r="E1326" s="115"/>
    </row>
    <row r="1327" spans="1:5" ht="13">
      <c r="A1327" s="115"/>
      <c r="B1327" s="115"/>
      <c r="C1327" s="115"/>
      <c r="D1327" s="115"/>
      <c r="E1327" s="115"/>
    </row>
    <row r="1328" spans="1:5" ht="13">
      <c r="A1328" s="115"/>
      <c r="B1328" s="115"/>
      <c r="C1328" s="115"/>
      <c r="D1328" s="115"/>
      <c r="E1328" s="115"/>
    </row>
    <row r="1329" spans="1:5" ht="13">
      <c r="A1329" s="115"/>
      <c r="B1329" s="115"/>
      <c r="C1329" s="115"/>
      <c r="D1329" s="115"/>
      <c r="E1329" s="115"/>
    </row>
    <row r="1330" spans="1:5" ht="13">
      <c r="A1330" s="115"/>
      <c r="B1330" s="115"/>
      <c r="C1330" s="115"/>
      <c r="D1330" s="115"/>
      <c r="E1330" s="115"/>
    </row>
    <row r="1331" spans="1:5" ht="13">
      <c r="A1331" s="115"/>
      <c r="B1331" s="115"/>
      <c r="C1331" s="115"/>
      <c r="D1331" s="115"/>
      <c r="E1331" s="115"/>
    </row>
    <row r="1332" spans="1:5" ht="13">
      <c r="A1332" s="115"/>
      <c r="B1332" s="115"/>
      <c r="C1332" s="115"/>
      <c r="D1332" s="115"/>
      <c r="E1332" s="115"/>
    </row>
    <row r="1333" spans="1:5" ht="13">
      <c r="A1333" s="115"/>
      <c r="B1333" s="115"/>
      <c r="C1333" s="115"/>
      <c r="D1333" s="115"/>
      <c r="E1333" s="115"/>
    </row>
    <row r="1334" spans="1:5" ht="13">
      <c r="A1334" s="115"/>
      <c r="B1334" s="115"/>
      <c r="C1334" s="115"/>
      <c r="D1334" s="115"/>
      <c r="E1334" s="115"/>
    </row>
    <row r="1335" spans="1:5" ht="13">
      <c r="A1335" s="115"/>
      <c r="B1335" s="115"/>
      <c r="C1335" s="115"/>
      <c r="D1335" s="115"/>
      <c r="E1335" s="115"/>
    </row>
    <row r="1336" spans="1:5" ht="13">
      <c r="A1336" s="115"/>
      <c r="B1336" s="115"/>
      <c r="C1336" s="115"/>
      <c r="D1336" s="115"/>
      <c r="E1336" s="115"/>
    </row>
    <row r="1337" spans="1:5" ht="13">
      <c r="A1337" s="115"/>
      <c r="B1337" s="115"/>
      <c r="C1337" s="115"/>
      <c r="D1337" s="115"/>
      <c r="E1337" s="115"/>
    </row>
    <row r="1338" spans="1:5" ht="13">
      <c r="A1338" s="115"/>
      <c r="B1338" s="115"/>
      <c r="C1338" s="115"/>
      <c r="D1338" s="115"/>
      <c r="E1338" s="115"/>
    </row>
    <row r="1339" spans="1:5" ht="13">
      <c r="A1339" s="115"/>
      <c r="B1339" s="115"/>
      <c r="C1339" s="115"/>
      <c r="D1339" s="115"/>
      <c r="E1339" s="115"/>
    </row>
    <row r="1340" spans="1:5" ht="13">
      <c r="A1340" s="115"/>
      <c r="B1340" s="115"/>
      <c r="C1340" s="115"/>
      <c r="D1340" s="115"/>
      <c r="E1340" s="115"/>
    </row>
    <row r="1341" spans="1:5" ht="13">
      <c r="A1341" s="115"/>
      <c r="B1341" s="115"/>
      <c r="C1341" s="115"/>
      <c r="D1341" s="115"/>
      <c r="E1341" s="115"/>
    </row>
    <row r="1342" spans="1:5" ht="13">
      <c r="A1342" s="115"/>
      <c r="B1342" s="115"/>
      <c r="C1342" s="115"/>
      <c r="D1342" s="115"/>
      <c r="E1342" s="115"/>
    </row>
    <row r="1343" spans="1:5" ht="13">
      <c r="A1343" s="115"/>
      <c r="B1343" s="115"/>
      <c r="C1343" s="115"/>
      <c r="D1343" s="115"/>
      <c r="E1343" s="115"/>
    </row>
    <row r="1344" spans="1:5" ht="13">
      <c r="A1344" s="115"/>
      <c r="B1344" s="115"/>
      <c r="C1344" s="115"/>
      <c r="D1344" s="115"/>
      <c r="E1344" s="115"/>
    </row>
    <row r="1345" spans="1:5" ht="13">
      <c r="A1345" s="115"/>
      <c r="B1345" s="115"/>
      <c r="C1345" s="115"/>
      <c r="D1345" s="115"/>
      <c r="E1345" s="115"/>
    </row>
    <row r="1346" spans="1:5" ht="13">
      <c r="A1346" s="115"/>
      <c r="B1346" s="115"/>
      <c r="C1346" s="115"/>
      <c r="D1346" s="115"/>
      <c r="E1346" s="115"/>
    </row>
    <row r="1347" spans="1:5" ht="13">
      <c r="A1347" s="115"/>
      <c r="B1347" s="115"/>
      <c r="C1347" s="115"/>
      <c r="D1347" s="115"/>
      <c r="E1347" s="115"/>
    </row>
    <row r="1348" spans="1:5" ht="13">
      <c r="A1348" s="115"/>
      <c r="B1348" s="115"/>
      <c r="C1348" s="115"/>
      <c r="D1348" s="115"/>
      <c r="E1348" s="115"/>
    </row>
    <row r="1349" spans="1:5" ht="13">
      <c r="A1349" s="115"/>
      <c r="B1349" s="115"/>
      <c r="C1349" s="115"/>
      <c r="D1349" s="115"/>
      <c r="E1349" s="115"/>
    </row>
    <row r="1350" spans="1:5" ht="13">
      <c r="A1350" s="115"/>
      <c r="B1350" s="115"/>
      <c r="C1350" s="115"/>
      <c r="D1350" s="115"/>
      <c r="E1350" s="115"/>
    </row>
    <row r="1351" spans="1:5" ht="13">
      <c r="A1351" s="115"/>
      <c r="B1351" s="115"/>
      <c r="C1351" s="115"/>
      <c r="D1351" s="115"/>
      <c r="E1351" s="115"/>
    </row>
    <row r="1352" spans="1:5" ht="13">
      <c r="A1352" s="115"/>
      <c r="B1352" s="115"/>
      <c r="C1352" s="115"/>
      <c r="D1352" s="115"/>
      <c r="E1352" s="115"/>
    </row>
    <row r="1353" spans="1:5" ht="13">
      <c r="A1353" s="115"/>
      <c r="B1353" s="115"/>
      <c r="C1353" s="115"/>
      <c r="D1353" s="115"/>
      <c r="E1353" s="115"/>
    </row>
    <row r="1354" spans="1:5" ht="13">
      <c r="A1354" s="115"/>
      <c r="B1354" s="115"/>
      <c r="C1354" s="115"/>
      <c r="D1354" s="115"/>
      <c r="E1354" s="115"/>
    </row>
    <row r="1355" spans="1:5" ht="13">
      <c r="A1355" s="115"/>
      <c r="B1355" s="115"/>
      <c r="C1355" s="115"/>
      <c r="D1355" s="115"/>
      <c r="E1355" s="115"/>
    </row>
    <row r="1356" spans="1:5" ht="13">
      <c r="A1356" s="115"/>
      <c r="B1356" s="115"/>
      <c r="C1356" s="115"/>
      <c r="D1356" s="115"/>
      <c r="E1356" s="115"/>
    </row>
    <row r="1357" spans="1:5" ht="13">
      <c r="A1357" s="115"/>
      <c r="B1357" s="115"/>
      <c r="C1357" s="115"/>
      <c r="D1357" s="115"/>
      <c r="E1357" s="115"/>
    </row>
    <row r="1358" spans="1:5" ht="13">
      <c r="A1358" s="115"/>
      <c r="B1358" s="115"/>
      <c r="C1358" s="115"/>
      <c r="D1358" s="115"/>
      <c r="E1358" s="115"/>
    </row>
    <row r="1359" spans="1:5" ht="13">
      <c r="A1359" s="115"/>
      <c r="B1359" s="115"/>
      <c r="C1359" s="115"/>
      <c r="D1359" s="115"/>
      <c r="E1359" s="115"/>
    </row>
    <row r="1360" spans="1:5" ht="13">
      <c r="A1360" s="115"/>
      <c r="B1360" s="115"/>
      <c r="C1360" s="115"/>
      <c r="D1360" s="115"/>
      <c r="E1360" s="115"/>
    </row>
    <row r="1361" spans="1:5" ht="13">
      <c r="A1361" s="115"/>
      <c r="B1361" s="115"/>
      <c r="C1361" s="115"/>
      <c r="D1361" s="115"/>
      <c r="E1361" s="115"/>
    </row>
    <row r="1362" spans="1:5" ht="13">
      <c r="A1362" s="115"/>
      <c r="B1362" s="115"/>
      <c r="C1362" s="115"/>
      <c r="D1362" s="115"/>
      <c r="E1362" s="115"/>
    </row>
    <row r="1363" spans="1:5" ht="13">
      <c r="A1363" s="115"/>
      <c r="B1363" s="115"/>
      <c r="C1363" s="115"/>
      <c r="D1363" s="115"/>
      <c r="E1363" s="115"/>
    </row>
    <row r="1364" spans="1:5" ht="13">
      <c r="A1364" s="115"/>
      <c r="B1364" s="115"/>
      <c r="C1364" s="115"/>
      <c r="D1364" s="115"/>
      <c r="E1364" s="115"/>
    </row>
    <row r="1365" spans="1:5" ht="13">
      <c r="A1365" s="115"/>
      <c r="B1365" s="115"/>
      <c r="C1365" s="115"/>
      <c r="D1365" s="115"/>
      <c r="E1365" s="115"/>
    </row>
    <row r="1366" spans="1:5" ht="13">
      <c r="A1366" s="115"/>
      <c r="B1366" s="115"/>
      <c r="C1366" s="115"/>
      <c r="D1366" s="115"/>
      <c r="E1366" s="115"/>
    </row>
    <row r="1367" spans="1:5" ht="13">
      <c r="A1367" s="115"/>
      <c r="B1367" s="115"/>
      <c r="C1367" s="115"/>
      <c r="D1367" s="115"/>
      <c r="E1367" s="115"/>
    </row>
    <row r="1368" spans="1:5" ht="13">
      <c r="A1368" s="115"/>
      <c r="B1368" s="115"/>
      <c r="C1368" s="115"/>
      <c r="D1368" s="115"/>
      <c r="E1368" s="115"/>
    </row>
    <row r="1369" spans="1:5" ht="13">
      <c r="A1369" s="115"/>
      <c r="B1369" s="115"/>
      <c r="C1369" s="115"/>
      <c r="D1369" s="115"/>
      <c r="E1369" s="115"/>
    </row>
    <row r="1370" spans="1:5" ht="13">
      <c r="A1370" s="115"/>
      <c r="B1370" s="115"/>
      <c r="C1370" s="115"/>
      <c r="D1370" s="115"/>
      <c r="E1370" s="115"/>
    </row>
    <row r="1371" spans="1:5" ht="13">
      <c r="A1371" s="115"/>
      <c r="B1371" s="115"/>
      <c r="C1371" s="115"/>
      <c r="D1371" s="115"/>
      <c r="E1371" s="115"/>
    </row>
    <row r="1372" spans="1:5" ht="13">
      <c r="A1372" s="115"/>
      <c r="B1372" s="115"/>
      <c r="C1372" s="115"/>
      <c r="D1372" s="115"/>
      <c r="E1372" s="115"/>
    </row>
    <row r="1373" spans="1:5" ht="13">
      <c r="A1373" s="115"/>
      <c r="B1373" s="115"/>
      <c r="C1373" s="115"/>
      <c r="D1373" s="115"/>
      <c r="E1373" s="115"/>
    </row>
    <row r="1374" spans="1:5" ht="13">
      <c r="A1374" s="115"/>
      <c r="B1374" s="115"/>
      <c r="C1374" s="115"/>
      <c r="D1374" s="115"/>
      <c r="E1374" s="115"/>
    </row>
    <row r="1375" spans="1:5" ht="13">
      <c r="A1375" s="115"/>
      <c r="B1375" s="115"/>
      <c r="C1375" s="115"/>
      <c r="D1375" s="115"/>
      <c r="E1375" s="115"/>
    </row>
    <row r="1376" spans="1:5" ht="13">
      <c r="A1376" s="115"/>
      <c r="B1376" s="115"/>
      <c r="C1376" s="115"/>
      <c r="D1376" s="115"/>
      <c r="E1376" s="115"/>
    </row>
    <row r="1377" spans="1:5" ht="13">
      <c r="A1377" s="115"/>
      <c r="B1377" s="115"/>
      <c r="C1377" s="115"/>
      <c r="D1377" s="115"/>
      <c r="E1377" s="115"/>
    </row>
    <row r="1378" spans="1:5" ht="13">
      <c r="A1378" s="115"/>
      <c r="B1378" s="115"/>
      <c r="C1378" s="115"/>
      <c r="D1378" s="115"/>
      <c r="E1378" s="115"/>
    </row>
    <row r="1379" spans="1:5" ht="13">
      <c r="A1379" s="115"/>
      <c r="B1379" s="115"/>
      <c r="C1379" s="115"/>
      <c r="D1379" s="115"/>
      <c r="E1379" s="115"/>
    </row>
    <row r="1380" spans="1:5" ht="13">
      <c r="A1380" s="115"/>
      <c r="B1380" s="115"/>
      <c r="C1380" s="115"/>
      <c r="D1380" s="115"/>
      <c r="E1380" s="115"/>
    </row>
    <row r="1381" spans="1:5" ht="13">
      <c r="A1381" s="115"/>
      <c r="B1381" s="115"/>
      <c r="C1381" s="115"/>
      <c r="D1381" s="115"/>
      <c r="E1381" s="115"/>
    </row>
    <row r="1382" spans="1:5" ht="13">
      <c r="A1382" s="115"/>
      <c r="B1382" s="115"/>
      <c r="C1382" s="115"/>
      <c r="D1382" s="115"/>
      <c r="E1382" s="115"/>
    </row>
    <row r="1383" spans="1:5" ht="13">
      <c r="A1383" s="115"/>
      <c r="B1383" s="115"/>
      <c r="C1383" s="115"/>
      <c r="D1383" s="115"/>
      <c r="E1383" s="115"/>
    </row>
    <row r="1384" spans="1:5" ht="13">
      <c r="A1384" s="115"/>
      <c r="B1384" s="115"/>
      <c r="C1384" s="115"/>
      <c r="D1384" s="115"/>
      <c r="E1384" s="115"/>
    </row>
    <row r="1385" spans="1:5" ht="13">
      <c r="A1385" s="115"/>
      <c r="B1385" s="115"/>
      <c r="C1385" s="115"/>
      <c r="D1385" s="115"/>
      <c r="E1385" s="115"/>
    </row>
    <row r="1386" spans="1:5" ht="13">
      <c r="A1386" s="115"/>
      <c r="B1386" s="115"/>
      <c r="C1386" s="115"/>
      <c r="D1386" s="115"/>
      <c r="E1386" s="115"/>
    </row>
    <row r="1387" spans="1:5" ht="13">
      <c r="A1387" s="115"/>
      <c r="B1387" s="115"/>
      <c r="C1387" s="115"/>
      <c r="D1387" s="115"/>
      <c r="E1387" s="115"/>
    </row>
    <row r="1388" spans="1:5" ht="13">
      <c r="A1388" s="115"/>
      <c r="B1388" s="115"/>
      <c r="C1388" s="115"/>
      <c r="D1388" s="115"/>
      <c r="E1388" s="115"/>
    </row>
    <row r="1389" spans="1:5" ht="13">
      <c r="A1389" s="115"/>
      <c r="B1389" s="115"/>
      <c r="C1389" s="115"/>
      <c r="D1389" s="115"/>
      <c r="E1389" s="115"/>
    </row>
    <row r="1390" spans="1:5" ht="13">
      <c r="A1390" s="115"/>
      <c r="B1390" s="115"/>
      <c r="C1390" s="115"/>
      <c r="D1390" s="115"/>
      <c r="E1390" s="115"/>
    </row>
    <row r="1391" spans="1:5" ht="13">
      <c r="A1391" s="115"/>
      <c r="B1391" s="115"/>
      <c r="C1391" s="115"/>
      <c r="D1391" s="115"/>
      <c r="E1391" s="115"/>
    </row>
    <row r="1392" spans="1:5" ht="13">
      <c r="A1392" s="115"/>
      <c r="B1392" s="115"/>
      <c r="C1392" s="115"/>
      <c r="D1392" s="115"/>
      <c r="E1392" s="115"/>
    </row>
    <row r="1393" spans="1:5" ht="13">
      <c r="A1393" s="115"/>
      <c r="B1393" s="115"/>
      <c r="C1393" s="115"/>
      <c r="D1393" s="115"/>
      <c r="E1393" s="115"/>
    </row>
    <row r="1394" spans="1:5" ht="13">
      <c r="A1394" s="115"/>
      <c r="B1394" s="115"/>
      <c r="C1394" s="115"/>
      <c r="D1394" s="115"/>
      <c r="E1394" s="115"/>
    </row>
    <row r="1395" spans="1:5" ht="13">
      <c r="A1395" s="115"/>
      <c r="B1395" s="115"/>
      <c r="C1395" s="115"/>
      <c r="D1395" s="115"/>
      <c r="E1395" s="115"/>
    </row>
    <row r="1396" spans="1:5" ht="13">
      <c r="A1396" s="115"/>
      <c r="B1396" s="115"/>
      <c r="C1396" s="115"/>
      <c r="D1396" s="115"/>
      <c r="E1396" s="115"/>
    </row>
    <row r="1397" spans="1:5" ht="13">
      <c r="A1397" s="115"/>
      <c r="B1397" s="115"/>
      <c r="C1397" s="115"/>
      <c r="D1397" s="115"/>
      <c r="E1397" s="115"/>
    </row>
    <row r="1398" spans="1:5" ht="13">
      <c r="A1398" s="115"/>
      <c r="B1398" s="115"/>
      <c r="C1398" s="115"/>
      <c r="D1398" s="115"/>
      <c r="E1398" s="115"/>
    </row>
    <row r="1399" spans="1:5" ht="13">
      <c r="A1399" s="115"/>
      <c r="B1399" s="115"/>
      <c r="C1399" s="115"/>
      <c r="D1399" s="115"/>
      <c r="E1399" s="115"/>
    </row>
    <row r="1400" spans="1:5" ht="13">
      <c r="A1400" s="115"/>
      <c r="B1400" s="115"/>
      <c r="C1400" s="115"/>
      <c r="D1400" s="115"/>
      <c r="E1400" s="115"/>
    </row>
    <row r="1401" spans="1:5" ht="13">
      <c r="A1401" s="115"/>
      <c r="B1401" s="115"/>
      <c r="C1401" s="115"/>
      <c r="D1401" s="115"/>
      <c r="E1401" s="115"/>
    </row>
    <row r="1402" spans="1:5" ht="13">
      <c r="A1402" s="115"/>
      <c r="B1402" s="115"/>
      <c r="C1402" s="115"/>
      <c r="D1402" s="115"/>
      <c r="E1402" s="115"/>
    </row>
    <row r="1403" spans="1:5" ht="13">
      <c r="A1403" s="115"/>
      <c r="B1403" s="115"/>
      <c r="C1403" s="115"/>
      <c r="D1403" s="115"/>
      <c r="E1403" s="115"/>
    </row>
    <row r="1404" spans="1:5" ht="13">
      <c r="A1404" s="115"/>
      <c r="B1404" s="115"/>
      <c r="C1404" s="115"/>
      <c r="D1404" s="115"/>
      <c r="E1404" s="115"/>
    </row>
    <row r="1405" spans="1:5" ht="13">
      <c r="A1405" s="115"/>
      <c r="B1405" s="115"/>
      <c r="C1405" s="115"/>
      <c r="D1405" s="115"/>
      <c r="E1405" s="115"/>
    </row>
    <row r="1406" spans="1:5" ht="13">
      <c r="A1406" s="115"/>
      <c r="B1406" s="115"/>
      <c r="C1406" s="115"/>
      <c r="D1406" s="115"/>
      <c r="E1406" s="115"/>
    </row>
    <row r="1407" spans="1:5" ht="13">
      <c r="A1407" s="115"/>
      <c r="B1407" s="115"/>
      <c r="C1407" s="115"/>
      <c r="D1407" s="115"/>
      <c r="E1407" s="115"/>
    </row>
    <row r="1408" spans="1:5" ht="13">
      <c r="A1408" s="115"/>
      <c r="B1408" s="115"/>
      <c r="C1408" s="115"/>
      <c r="D1408" s="115"/>
      <c r="E1408" s="115"/>
    </row>
    <row r="1409" spans="1:5" ht="13">
      <c r="A1409" s="115"/>
      <c r="B1409" s="115"/>
      <c r="C1409" s="115"/>
      <c r="D1409" s="115"/>
      <c r="E1409" s="115"/>
    </row>
    <row r="1410" spans="1:5" ht="13">
      <c r="A1410" s="115"/>
      <c r="B1410" s="115"/>
      <c r="C1410" s="115"/>
      <c r="D1410" s="115"/>
      <c r="E1410" s="115"/>
    </row>
    <row r="1411" spans="1:5" ht="13">
      <c r="A1411" s="115"/>
      <c r="B1411" s="115"/>
      <c r="C1411" s="115"/>
      <c r="D1411" s="115"/>
      <c r="E1411" s="115"/>
    </row>
    <row r="1412" spans="1:5" ht="13">
      <c r="A1412" s="115"/>
      <c r="B1412" s="115"/>
      <c r="C1412" s="115"/>
      <c r="D1412" s="115"/>
      <c r="E1412" s="115"/>
    </row>
    <row r="1413" spans="1:5" ht="13">
      <c r="A1413" s="115"/>
      <c r="B1413" s="115"/>
      <c r="C1413" s="115"/>
      <c r="D1413" s="115"/>
      <c r="E1413" s="115"/>
    </row>
    <row r="1414" spans="1:5" ht="13">
      <c r="A1414" s="115"/>
      <c r="B1414" s="115"/>
      <c r="C1414" s="115"/>
      <c r="D1414" s="115"/>
      <c r="E1414" s="115"/>
    </row>
    <row r="1415" spans="1:5" ht="13">
      <c r="A1415" s="115"/>
      <c r="B1415" s="115"/>
      <c r="C1415" s="115"/>
      <c r="D1415" s="115"/>
      <c r="E1415" s="115"/>
    </row>
    <row r="1416" spans="1:5" ht="13">
      <c r="A1416" s="115"/>
      <c r="B1416" s="115"/>
      <c r="C1416" s="115"/>
      <c r="D1416" s="115"/>
      <c r="E1416" s="115"/>
    </row>
    <row r="1417" spans="1:5" ht="13">
      <c r="A1417" s="115"/>
      <c r="B1417" s="115"/>
      <c r="C1417" s="115"/>
      <c r="D1417" s="115"/>
      <c r="E1417" s="115"/>
    </row>
    <row r="1418" spans="1:5" ht="13">
      <c r="A1418" s="115"/>
      <c r="B1418" s="115"/>
      <c r="C1418" s="115"/>
      <c r="D1418" s="115"/>
      <c r="E1418" s="115"/>
    </row>
    <row r="1419" spans="1:5" ht="13">
      <c r="A1419" s="115"/>
      <c r="B1419" s="115"/>
      <c r="C1419" s="115"/>
      <c r="D1419" s="115"/>
      <c r="E1419" s="115"/>
    </row>
    <row r="1420" spans="1:5" ht="13">
      <c r="A1420" s="115"/>
      <c r="B1420" s="115"/>
      <c r="C1420" s="115"/>
      <c r="D1420" s="115"/>
      <c r="E1420" s="115"/>
    </row>
    <row r="1421" spans="1:5" ht="13">
      <c r="A1421" s="115"/>
      <c r="B1421" s="115"/>
      <c r="C1421" s="115"/>
      <c r="D1421" s="115"/>
      <c r="E1421" s="115"/>
    </row>
    <row r="1422" spans="1:5" ht="13">
      <c r="A1422" s="115"/>
      <c r="B1422" s="115"/>
      <c r="C1422" s="115"/>
      <c r="D1422" s="115"/>
      <c r="E1422" s="115"/>
    </row>
    <row r="1423" spans="1:5" ht="13">
      <c r="A1423" s="115"/>
      <c r="B1423" s="115"/>
      <c r="C1423" s="115"/>
      <c r="D1423" s="115"/>
      <c r="E1423" s="115"/>
    </row>
    <row r="1424" spans="1:5" ht="13">
      <c r="A1424" s="115"/>
      <c r="B1424" s="115"/>
      <c r="C1424" s="115"/>
      <c r="D1424" s="115"/>
      <c r="E1424" s="115"/>
    </row>
    <row r="1425" spans="1:5" ht="13">
      <c r="A1425" s="115"/>
      <c r="B1425" s="115"/>
      <c r="C1425" s="115"/>
      <c r="D1425" s="115"/>
      <c r="E1425" s="115"/>
    </row>
    <row r="1426" spans="1:5" ht="13">
      <c r="A1426" s="115"/>
      <c r="B1426" s="115"/>
      <c r="C1426" s="115"/>
      <c r="D1426" s="115"/>
      <c r="E1426" s="115"/>
    </row>
    <row r="1427" spans="1:5" ht="13">
      <c r="A1427" s="115"/>
      <c r="B1427" s="115"/>
      <c r="C1427" s="115"/>
      <c r="D1427" s="115"/>
      <c r="E1427" s="115"/>
    </row>
    <row r="1428" spans="1:5" ht="13">
      <c r="A1428" s="115"/>
      <c r="B1428" s="115"/>
      <c r="C1428" s="115"/>
      <c r="D1428" s="115"/>
      <c r="E1428" s="115"/>
    </row>
    <row r="1429" spans="1:5" ht="13">
      <c r="A1429" s="115"/>
      <c r="B1429" s="115"/>
      <c r="C1429" s="115"/>
      <c r="D1429" s="115"/>
      <c r="E1429" s="115"/>
    </row>
    <row r="1430" spans="1:5" ht="13">
      <c r="A1430" s="115"/>
      <c r="B1430" s="115"/>
      <c r="C1430" s="115"/>
      <c r="D1430" s="115"/>
      <c r="E1430" s="115"/>
    </row>
    <row r="1431" spans="1:5" ht="13">
      <c r="A1431" s="115"/>
      <c r="B1431" s="115"/>
      <c r="C1431" s="115"/>
      <c r="D1431" s="115"/>
      <c r="E1431" s="115"/>
    </row>
    <row r="1432" spans="1:5" ht="13">
      <c r="A1432" s="115"/>
      <c r="B1432" s="115"/>
      <c r="C1432" s="115"/>
      <c r="D1432" s="115"/>
      <c r="E1432" s="115"/>
    </row>
    <row r="1433" spans="1:5" ht="13">
      <c r="A1433" s="115"/>
      <c r="B1433" s="115"/>
      <c r="C1433" s="115"/>
      <c r="D1433" s="115"/>
      <c r="E1433" s="115"/>
    </row>
    <row r="1434" spans="1:5" ht="13">
      <c r="A1434" s="115"/>
      <c r="B1434" s="115"/>
      <c r="C1434" s="115"/>
      <c r="D1434" s="115"/>
      <c r="E1434" s="115"/>
    </row>
    <row r="1435" spans="1:5" ht="13">
      <c r="A1435" s="115"/>
      <c r="B1435" s="115"/>
      <c r="C1435" s="115"/>
      <c r="D1435" s="115"/>
      <c r="E1435" s="115"/>
    </row>
    <row r="1436" spans="1:5" ht="13">
      <c r="A1436" s="115"/>
      <c r="B1436" s="115"/>
      <c r="C1436" s="115"/>
      <c r="D1436" s="115"/>
      <c r="E1436" s="115"/>
    </row>
    <row r="1437" spans="1:5" ht="13">
      <c r="A1437" s="115"/>
      <c r="B1437" s="115"/>
      <c r="C1437" s="115"/>
      <c r="D1437" s="115"/>
      <c r="E1437" s="115"/>
    </row>
    <row r="1438" spans="1:5" ht="13">
      <c r="A1438" s="115"/>
      <c r="B1438" s="115"/>
      <c r="C1438" s="115"/>
      <c r="D1438" s="115"/>
      <c r="E1438" s="115"/>
    </row>
    <row r="1439" spans="1:5" ht="13">
      <c r="A1439" s="115"/>
      <c r="B1439" s="115"/>
      <c r="C1439" s="115"/>
      <c r="D1439" s="115"/>
      <c r="E1439" s="115"/>
    </row>
    <row r="1440" spans="1:5" ht="13">
      <c r="A1440" s="115"/>
      <c r="B1440" s="115"/>
      <c r="C1440" s="115"/>
      <c r="D1440" s="115"/>
      <c r="E1440" s="115"/>
    </row>
    <row r="1441" spans="1:5" ht="13">
      <c r="A1441" s="115"/>
      <c r="B1441" s="115"/>
      <c r="C1441" s="115"/>
      <c r="D1441" s="115"/>
      <c r="E1441" s="115"/>
    </row>
    <row r="1442" spans="1:5" ht="13">
      <c r="A1442" s="115"/>
      <c r="B1442" s="115"/>
      <c r="C1442" s="115"/>
      <c r="D1442" s="115"/>
      <c r="E1442" s="115"/>
    </row>
    <row r="1443" spans="1:5" ht="13">
      <c r="A1443" s="115"/>
      <c r="B1443" s="115"/>
      <c r="C1443" s="115"/>
      <c r="D1443" s="115"/>
      <c r="E1443" s="115"/>
    </row>
    <row r="1444" spans="1:5" ht="13">
      <c r="A1444" s="115"/>
      <c r="B1444" s="115"/>
      <c r="C1444" s="115"/>
      <c r="D1444" s="115"/>
      <c r="E1444" s="115"/>
    </row>
    <row r="1445" spans="1:5" ht="13">
      <c r="A1445" s="115"/>
      <c r="B1445" s="115"/>
      <c r="C1445" s="115"/>
      <c r="D1445" s="115"/>
      <c r="E1445" s="115"/>
    </row>
    <row r="1446" spans="1:5" ht="13">
      <c r="A1446" s="115"/>
      <c r="B1446" s="115"/>
      <c r="C1446" s="115"/>
      <c r="D1446" s="115"/>
      <c r="E1446" s="115"/>
    </row>
    <row r="1447" spans="1:5" ht="13">
      <c r="A1447" s="115"/>
      <c r="B1447" s="115"/>
      <c r="C1447" s="115"/>
      <c r="D1447" s="115"/>
      <c r="E1447" s="115"/>
    </row>
    <row r="1448" spans="1:5" ht="13">
      <c r="A1448" s="115"/>
      <c r="B1448" s="115"/>
      <c r="C1448" s="115"/>
      <c r="D1448" s="115"/>
      <c r="E1448" s="115"/>
    </row>
    <row r="1449" spans="1:5" ht="13">
      <c r="A1449" s="115"/>
      <c r="B1449" s="115"/>
      <c r="C1449" s="115"/>
      <c r="D1449" s="115"/>
      <c r="E1449" s="115"/>
    </row>
    <row r="1450" spans="1:5" ht="13">
      <c r="A1450" s="115"/>
      <c r="B1450" s="115"/>
      <c r="C1450" s="115"/>
      <c r="D1450" s="115"/>
      <c r="E1450" s="115"/>
    </row>
    <row r="1451" spans="1:5" ht="13">
      <c r="A1451" s="115"/>
      <c r="B1451" s="115"/>
      <c r="C1451" s="115"/>
      <c r="D1451" s="115"/>
      <c r="E1451" s="115"/>
    </row>
    <row r="1452" spans="1:5" ht="13">
      <c r="A1452" s="115"/>
      <c r="B1452" s="115"/>
      <c r="C1452" s="115"/>
      <c r="D1452" s="115"/>
      <c r="E1452" s="115"/>
    </row>
    <row r="1453" spans="1:5" ht="13">
      <c r="A1453" s="115"/>
      <c r="B1453" s="115"/>
      <c r="C1453" s="115"/>
      <c r="D1453" s="115"/>
      <c r="E1453" s="115"/>
    </row>
    <row r="1454" spans="1:5" ht="13">
      <c r="A1454" s="115"/>
      <c r="B1454" s="115"/>
      <c r="C1454" s="115"/>
      <c r="D1454" s="115"/>
      <c r="E1454" s="115"/>
    </row>
    <row r="1455" spans="1:5" ht="13">
      <c r="A1455" s="115"/>
      <c r="B1455" s="115"/>
      <c r="C1455" s="115"/>
      <c r="D1455" s="115"/>
      <c r="E1455" s="115"/>
    </row>
    <row r="1456" spans="1:5" ht="13">
      <c r="A1456" s="115"/>
      <c r="B1456" s="115"/>
      <c r="C1456" s="115"/>
      <c r="D1456" s="115"/>
      <c r="E1456" s="115"/>
    </row>
    <row r="1457" spans="1:5" ht="13">
      <c r="A1457" s="115"/>
      <c r="B1457" s="115"/>
      <c r="C1457" s="115"/>
      <c r="D1457" s="115"/>
      <c r="E1457" s="115"/>
    </row>
    <row r="1458" spans="1:5" ht="13">
      <c r="A1458" s="115"/>
      <c r="B1458" s="115"/>
      <c r="C1458" s="115"/>
      <c r="D1458" s="115"/>
      <c r="E1458" s="115"/>
    </row>
    <row r="1459" spans="1:5" ht="13">
      <c r="A1459" s="115"/>
      <c r="B1459" s="115"/>
      <c r="C1459" s="115"/>
      <c r="D1459" s="115"/>
      <c r="E1459" s="115"/>
    </row>
    <row r="1460" spans="1:5" ht="13">
      <c r="A1460" s="115"/>
      <c r="B1460" s="115"/>
      <c r="C1460" s="115"/>
      <c r="D1460" s="115"/>
      <c r="E1460" s="115"/>
    </row>
    <row r="1461" spans="1:5" ht="13">
      <c r="A1461" s="115"/>
      <c r="B1461" s="115"/>
      <c r="C1461" s="115"/>
      <c r="D1461" s="115"/>
      <c r="E1461" s="115"/>
    </row>
    <row r="1462" spans="1:5" ht="13">
      <c r="A1462" s="115"/>
      <c r="B1462" s="115"/>
      <c r="C1462" s="115"/>
      <c r="D1462" s="115"/>
      <c r="E1462" s="115"/>
    </row>
    <row r="1463" spans="1:5" ht="13">
      <c r="A1463" s="115"/>
      <c r="B1463" s="115"/>
      <c r="C1463" s="115"/>
      <c r="D1463" s="115"/>
      <c r="E1463" s="115"/>
    </row>
    <row r="1464" spans="1:5" ht="13">
      <c r="A1464" s="115"/>
      <c r="B1464" s="115"/>
      <c r="C1464" s="115"/>
      <c r="D1464" s="115"/>
      <c r="E1464" s="115"/>
    </row>
    <row r="1465" spans="1:5" ht="13">
      <c r="A1465" s="115"/>
      <c r="B1465" s="115"/>
      <c r="C1465" s="115"/>
      <c r="D1465" s="115"/>
      <c r="E1465" s="115"/>
    </row>
    <row r="1466" spans="1:5" ht="13">
      <c r="A1466" s="115"/>
      <c r="B1466" s="115"/>
      <c r="C1466" s="115"/>
      <c r="D1466" s="115"/>
      <c r="E1466" s="115"/>
    </row>
    <row r="1467" spans="1:5" ht="13">
      <c r="A1467" s="115"/>
      <c r="B1467" s="115"/>
      <c r="C1467" s="115"/>
      <c r="D1467" s="115"/>
      <c r="E1467" s="115"/>
    </row>
    <row r="1468" spans="1:5" ht="13">
      <c r="A1468" s="115"/>
      <c r="B1468" s="115"/>
      <c r="C1468" s="115"/>
      <c r="D1468" s="115"/>
      <c r="E1468" s="115"/>
    </row>
    <row r="1469" spans="1:5" ht="13">
      <c r="A1469" s="115"/>
      <c r="B1469" s="115"/>
      <c r="C1469" s="115"/>
      <c r="D1469" s="115"/>
      <c r="E1469" s="115"/>
    </row>
    <row r="1470" spans="1:5" ht="13">
      <c r="A1470" s="115"/>
      <c r="B1470" s="115"/>
      <c r="C1470" s="115"/>
      <c r="D1470" s="115"/>
      <c r="E1470" s="115"/>
    </row>
    <row r="1471" spans="1:5" ht="13">
      <c r="A1471" s="115"/>
      <c r="B1471" s="115"/>
      <c r="C1471" s="115"/>
      <c r="D1471" s="115"/>
      <c r="E1471" s="115"/>
    </row>
    <row r="1472" spans="1:5" ht="13">
      <c r="A1472" s="115"/>
      <c r="B1472" s="115"/>
      <c r="C1472" s="115"/>
      <c r="D1472" s="115"/>
      <c r="E1472" s="115"/>
    </row>
    <row r="1473" spans="1:5" ht="13">
      <c r="A1473" s="115"/>
      <c r="B1473" s="115"/>
      <c r="C1473" s="115"/>
      <c r="D1473" s="115"/>
      <c r="E1473" s="115"/>
    </row>
    <row r="1474" spans="1:5" ht="13">
      <c r="A1474" s="115"/>
      <c r="B1474" s="115"/>
      <c r="C1474" s="115"/>
      <c r="D1474" s="115"/>
      <c r="E1474" s="115"/>
    </row>
    <row r="1475" spans="1:5" ht="13">
      <c r="A1475" s="115"/>
      <c r="B1475" s="115"/>
      <c r="C1475" s="115"/>
      <c r="D1475" s="115"/>
      <c r="E1475" s="115"/>
    </row>
    <row r="1476" spans="1:5" ht="13">
      <c r="A1476" s="115"/>
      <c r="B1476" s="115"/>
      <c r="C1476" s="115"/>
      <c r="D1476" s="115"/>
      <c r="E1476" s="115"/>
    </row>
    <row r="1477" spans="1:5" ht="13">
      <c r="A1477" s="115"/>
      <c r="B1477" s="115"/>
      <c r="C1477" s="115"/>
      <c r="D1477" s="115"/>
      <c r="E1477" s="115"/>
    </row>
    <row r="1478" spans="1:5" ht="13">
      <c r="A1478" s="115"/>
      <c r="B1478" s="115"/>
      <c r="C1478" s="115"/>
      <c r="D1478" s="115"/>
      <c r="E1478" s="115"/>
    </row>
    <row r="1479" spans="1:5" ht="13">
      <c r="A1479" s="115"/>
      <c r="B1479" s="115"/>
      <c r="C1479" s="115"/>
      <c r="D1479" s="115"/>
      <c r="E1479" s="115"/>
    </row>
    <row r="1480" spans="1:5" ht="13">
      <c r="A1480" s="115"/>
      <c r="B1480" s="115"/>
      <c r="C1480" s="115"/>
      <c r="D1480" s="115"/>
      <c r="E1480" s="115"/>
    </row>
    <row r="1481" spans="1:5" ht="13">
      <c r="A1481" s="115"/>
      <c r="B1481" s="115"/>
      <c r="C1481" s="115"/>
      <c r="D1481" s="115"/>
      <c r="E1481" s="115"/>
    </row>
    <row r="1482" spans="1:5" ht="13">
      <c r="A1482" s="115"/>
      <c r="B1482" s="115"/>
      <c r="C1482" s="115"/>
      <c r="D1482" s="115"/>
      <c r="E1482" s="115"/>
    </row>
    <row r="1483" spans="1:5" ht="13">
      <c r="A1483" s="115"/>
      <c r="B1483" s="115"/>
      <c r="C1483" s="115"/>
      <c r="D1483" s="115"/>
      <c r="E1483" s="115"/>
    </row>
    <row r="1484" spans="1:5" ht="13">
      <c r="A1484" s="115"/>
      <c r="B1484" s="115"/>
      <c r="C1484" s="115"/>
      <c r="D1484" s="115"/>
      <c r="E1484" s="115"/>
    </row>
    <row r="1485" spans="1:5" ht="13">
      <c r="A1485" s="115"/>
      <c r="B1485" s="115"/>
      <c r="C1485" s="115"/>
      <c r="D1485" s="115"/>
      <c r="E1485" s="115"/>
    </row>
    <row r="1486" spans="1:5" ht="13">
      <c r="A1486" s="115"/>
      <c r="B1486" s="115"/>
      <c r="C1486" s="115"/>
      <c r="D1486" s="115"/>
      <c r="E1486" s="115"/>
    </row>
    <row r="1487" spans="1:5" ht="13">
      <c r="A1487" s="115"/>
      <c r="B1487" s="115"/>
      <c r="C1487" s="115"/>
      <c r="D1487" s="115"/>
      <c r="E1487" s="115"/>
    </row>
    <row r="1488" spans="1:5" ht="13">
      <c r="A1488" s="115"/>
      <c r="B1488" s="115"/>
      <c r="C1488" s="115"/>
      <c r="D1488" s="115"/>
      <c r="E1488" s="115"/>
    </row>
    <row r="1489" spans="1:5" ht="13">
      <c r="A1489" s="115"/>
      <c r="B1489" s="115"/>
      <c r="C1489" s="115"/>
      <c r="D1489" s="115"/>
      <c r="E1489" s="115"/>
    </row>
    <row r="1490" spans="1:5" ht="13">
      <c r="A1490" s="115"/>
      <c r="B1490" s="115"/>
      <c r="C1490" s="115"/>
      <c r="D1490" s="115"/>
      <c r="E1490" s="115"/>
    </row>
    <row r="1491" spans="1:5" ht="13">
      <c r="A1491" s="115"/>
      <c r="B1491" s="115"/>
      <c r="C1491" s="115"/>
      <c r="D1491" s="115"/>
      <c r="E1491" s="115"/>
    </row>
    <row r="1492" spans="1:5" ht="13">
      <c r="A1492" s="115"/>
      <c r="B1492" s="115"/>
      <c r="C1492" s="115"/>
      <c r="D1492" s="115"/>
      <c r="E1492" s="115"/>
    </row>
    <row r="1493" spans="1:5" ht="13">
      <c r="A1493" s="115"/>
      <c r="B1493" s="115"/>
      <c r="C1493" s="115"/>
      <c r="D1493" s="115"/>
      <c r="E1493" s="115"/>
    </row>
    <row r="1494" spans="1:5" ht="13">
      <c r="A1494" s="115"/>
      <c r="B1494" s="115"/>
      <c r="C1494" s="115"/>
      <c r="D1494" s="115"/>
      <c r="E1494" s="115"/>
    </row>
    <row r="1495" spans="1:5" ht="13">
      <c r="A1495" s="115"/>
      <c r="B1495" s="115"/>
      <c r="C1495" s="115"/>
      <c r="D1495" s="115"/>
      <c r="E1495" s="115"/>
    </row>
    <row r="1496" spans="1:5" ht="13">
      <c r="A1496" s="115"/>
      <c r="B1496" s="115"/>
      <c r="C1496" s="115"/>
      <c r="D1496" s="115"/>
      <c r="E1496" s="115"/>
    </row>
    <row r="1497" spans="1:5" ht="13">
      <c r="A1497" s="115"/>
      <c r="B1497" s="115"/>
      <c r="C1497" s="115"/>
      <c r="D1497" s="115"/>
      <c r="E1497" s="115"/>
    </row>
    <row r="1498" spans="1:5" ht="13">
      <c r="A1498" s="115"/>
      <c r="B1498" s="115"/>
      <c r="C1498" s="115"/>
      <c r="D1498" s="115"/>
      <c r="E1498" s="115"/>
    </row>
    <row r="1499" spans="1:5" ht="13">
      <c r="A1499" s="115"/>
      <c r="B1499" s="115"/>
      <c r="C1499" s="115"/>
      <c r="D1499" s="115"/>
      <c r="E1499" s="115"/>
    </row>
    <row r="1500" spans="1:5" ht="13">
      <c r="A1500" s="115"/>
      <c r="B1500" s="115"/>
      <c r="C1500" s="115"/>
      <c r="D1500" s="115"/>
      <c r="E1500" s="115"/>
    </row>
    <row r="1501" spans="1:5" ht="13">
      <c r="A1501" s="115"/>
      <c r="B1501" s="115"/>
      <c r="C1501" s="115"/>
      <c r="D1501" s="115"/>
      <c r="E1501" s="115"/>
    </row>
    <row r="1502" spans="1:5" ht="13">
      <c r="A1502" s="115"/>
      <c r="B1502" s="115"/>
      <c r="C1502" s="115"/>
      <c r="D1502" s="115"/>
      <c r="E1502" s="115"/>
    </row>
    <row r="1503" spans="1:5" ht="13">
      <c r="A1503" s="115"/>
      <c r="B1503" s="115"/>
      <c r="C1503" s="115"/>
      <c r="D1503" s="115"/>
      <c r="E1503" s="115"/>
    </row>
    <row r="1504" spans="1:5" ht="13">
      <c r="A1504" s="115"/>
      <c r="B1504" s="115"/>
      <c r="C1504" s="115"/>
      <c r="D1504" s="115"/>
      <c r="E1504" s="115"/>
    </row>
    <row r="1505" spans="1:5" ht="13">
      <c r="A1505" s="115"/>
      <c r="B1505" s="115"/>
      <c r="C1505" s="115"/>
      <c r="D1505" s="115"/>
      <c r="E1505" s="115"/>
    </row>
    <row r="1506" spans="1:5" ht="13">
      <c r="A1506" s="115"/>
      <c r="B1506" s="115"/>
      <c r="C1506" s="115"/>
      <c r="D1506" s="115"/>
      <c r="E1506" s="115"/>
    </row>
    <row r="1507" spans="1:5" ht="13">
      <c r="A1507" s="115"/>
      <c r="B1507" s="115"/>
      <c r="C1507" s="115"/>
      <c r="D1507" s="115"/>
      <c r="E1507" s="115"/>
    </row>
    <row r="1508" spans="1:5" ht="13">
      <c r="A1508" s="115"/>
      <c r="B1508" s="115"/>
      <c r="C1508" s="115"/>
      <c r="D1508" s="115"/>
      <c r="E1508" s="115"/>
    </row>
    <row r="1509" spans="1:5" ht="13">
      <c r="A1509" s="115"/>
      <c r="B1509" s="115"/>
      <c r="C1509" s="115"/>
      <c r="D1509" s="115"/>
      <c r="E1509" s="115"/>
    </row>
    <row r="1510" spans="1:5" ht="13">
      <c r="A1510" s="115"/>
      <c r="B1510" s="115"/>
      <c r="C1510" s="115"/>
      <c r="D1510" s="115"/>
      <c r="E1510" s="115"/>
    </row>
    <row r="1511" spans="1:5" ht="13">
      <c r="A1511" s="115"/>
      <c r="B1511" s="115"/>
      <c r="C1511" s="115"/>
      <c r="D1511" s="115"/>
      <c r="E1511" s="115"/>
    </row>
    <row r="1512" spans="1:5" ht="13">
      <c r="A1512" s="115"/>
      <c r="B1512" s="115"/>
      <c r="C1512" s="115"/>
      <c r="D1512" s="115"/>
      <c r="E1512" s="115"/>
    </row>
    <row r="1513" spans="1:5" ht="13">
      <c r="A1513" s="115"/>
      <c r="B1513" s="115"/>
      <c r="C1513" s="115"/>
      <c r="D1513" s="115"/>
      <c r="E1513" s="115"/>
    </row>
    <row r="1514" spans="1:5" ht="13">
      <c r="A1514" s="115"/>
      <c r="B1514" s="115"/>
      <c r="C1514" s="115"/>
      <c r="D1514" s="115"/>
      <c r="E1514" s="115"/>
    </row>
    <row r="1515" spans="1:5" ht="13">
      <c r="A1515" s="115"/>
      <c r="B1515" s="115"/>
      <c r="C1515" s="115"/>
      <c r="D1515" s="115"/>
      <c r="E1515" s="115"/>
    </row>
    <row r="1516" spans="1:5" ht="13">
      <c r="A1516" s="115"/>
      <c r="B1516" s="115"/>
      <c r="C1516" s="115"/>
      <c r="D1516" s="115"/>
      <c r="E1516" s="115"/>
    </row>
    <row r="1517" spans="1:5" ht="13">
      <c r="A1517" s="115"/>
      <c r="B1517" s="115"/>
      <c r="C1517" s="115"/>
      <c r="D1517" s="115"/>
      <c r="E1517" s="115"/>
    </row>
    <row r="1518" spans="1:5" ht="13">
      <c r="A1518" s="115"/>
      <c r="B1518" s="115"/>
      <c r="C1518" s="115"/>
      <c r="D1518" s="115"/>
      <c r="E1518" s="115"/>
    </row>
    <row r="1519" spans="1:5" ht="13">
      <c r="A1519" s="115"/>
      <c r="B1519" s="115"/>
      <c r="C1519" s="115"/>
      <c r="D1519" s="115"/>
      <c r="E1519" s="115"/>
    </row>
    <row r="1520" spans="1:5" ht="13">
      <c r="A1520" s="115"/>
      <c r="B1520" s="115"/>
      <c r="C1520" s="115"/>
      <c r="D1520" s="115"/>
      <c r="E1520" s="115"/>
    </row>
    <row r="1521" spans="1:5" ht="13">
      <c r="A1521" s="115"/>
      <c r="B1521" s="115"/>
      <c r="C1521" s="115"/>
      <c r="D1521" s="115"/>
      <c r="E1521" s="115"/>
    </row>
    <row r="1522" spans="1:5" ht="13">
      <c r="A1522" s="115"/>
      <c r="B1522" s="115"/>
      <c r="C1522" s="115"/>
      <c r="D1522" s="115"/>
      <c r="E1522" s="115"/>
    </row>
    <row r="1523" spans="1:5" ht="13">
      <c r="A1523" s="115"/>
      <c r="B1523" s="115"/>
      <c r="C1523" s="115"/>
      <c r="D1523" s="115"/>
      <c r="E1523" s="115"/>
    </row>
    <row r="1524" spans="1:5" ht="13">
      <c r="A1524" s="115"/>
      <c r="B1524" s="115"/>
      <c r="C1524" s="115"/>
      <c r="D1524" s="115"/>
      <c r="E1524" s="115"/>
    </row>
    <row r="1525" spans="1:5" ht="13">
      <c r="A1525" s="115"/>
      <c r="B1525" s="115"/>
      <c r="C1525" s="115"/>
      <c r="D1525" s="115"/>
      <c r="E1525" s="115"/>
    </row>
    <row r="1526" spans="1:5" ht="13">
      <c r="A1526" s="115"/>
      <c r="B1526" s="115"/>
      <c r="C1526" s="115"/>
      <c r="D1526" s="115"/>
      <c r="E1526" s="115"/>
    </row>
    <row r="1527" spans="1:5" ht="13">
      <c r="A1527" s="115"/>
      <c r="B1527" s="115"/>
      <c r="C1527" s="115"/>
      <c r="D1527" s="115"/>
      <c r="E1527" s="115"/>
    </row>
    <row r="1528" spans="1:5" ht="13">
      <c r="A1528" s="115"/>
      <c r="B1528" s="115"/>
      <c r="C1528" s="115"/>
      <c r="D1528" s="115"/>
      <c r="E1528" s="115"/>
    </row>
    <row r="1529" spans="1:5" ht="13">
      <c r="A1529" s="115"/>
      <c r="B1529" s="115"/>
      <c r="C1529" s="115"/>
      <c r="D1529" s="115"/>
      <c r="E1529" s="115"/>
    </row>
    <row r="1530" spans="1:5" ht="13">
      <c r="A1530" s="115"/>
      <c r="B1530" s="115"/>
      <c r="C1530" s="115"/>
      <c r="D1530" s="115"/>
      <c r="E1530" s="115"/>
    </row>
    <row r="1531" spans="1:5" ht="13">
      <c r="A1531" s="115"/>
      <c r="B1531" s="115"/>
      <c r="C1531" s="115"/>
      <c r="D1531" s="115"/>
      <c r="E1531" s="115"/>
    </row>
    <row r="1532" spans="1:5" ht="13">
      <c r="A1532" s="115"/>
      <c r="B1532" s="115"/>
      <c r="C1532" s="115"/>
      <c r="D1532" s="115"/>
      <c r="E1532" s="115"/>
    </row>
    <row r="1533" spans="1:5" ht="13">
      <c r="A1533" s="115"/>
      <c r="B1533" s="115"/>
      <c r="C1533" s="115"/>
      <c r="D1533" s="115"/>
      <c r="E1533" s="115"/>
    </row>
    <row r="1534" spans="1:5" ht="13">
      <c r="A1534" s="115"/>
      <c r="B1534" s="115"/>
      <c r="C1534" s="115"/>
      <c r="D1534" s="115"/>
      <c r="E1534" s="115"/>
    </row>
    <row r="1535" spans="1:5" ht="13">
      <c r="A1535" s="115"/>
      <c r="B1535" s="115"/>
      <c r="C1535" s="115"/>
      <c r="D1535" s="115"/>
      <c r="E1535" s="115"/>
    </row>
    <row r="1536" spans="1:5" ht="13">
      <c r="A1536" s="115"/>
      <c r="B1536" s="115"/>
      <c r="C1536" s="115"/>
      <c r="D1536" s="115"/>
      <c r="E1536" s="115"/>
    </row>
    <row r="1537" spans="1:5" ht="13">
      <c r="A1537" s="115"/>
      <c r="B1537" s="115"/>
      <c r="C1537" s="115"/>
      <c r="D1537" s="115"/>
      <c r="E1537" s="115"/>
    </row>
    <row r="1538" spans="1:5" ht="13">
      <c r="A1538" s="115"/>
      <c r="B1538" s="115"/>
      <c r="C1538" s="115"/>
      <c r="D1538" s="115"/>
      <c r="E1538" s="115"/>
    </row>
    <row r="1539" spans="1:5" ht="13">
      <c r="A1539" s="115"/>
      <c r="B1539" s="115"/>
      <c r="C1539" s="115"/>
      <c r="D1539" s="115"/>
      <c r="E1539" s="115"/>
    </row>
    <row r="1540" spans="1:5" ht="13">
      <c r="A1540" s="115"/>
      <c r="B1540" s="115"/>
      <c r="C1540" s="115"/>
      <c r="D1540" s="115"/>
      <c r="E1540" s="115"/>
    </row>
    <row r="1541" spans="1:5" ht="13">
      <c r="A1541" s="115"/>
      <c r="B1541" s="115"/>
      <c r="C1541" s="115"/>
      <c r="D1541" s="115"/>
      <c r="E1541" s="115"/>
    </row>
    <row r="1542" spans="1:5" ht="13">
      <c r="A1542" s="115"/>
      <c r="B1542" s="115"/>
      <c r="C1542" s="115"/>
      <c r="D1542" s="115"/>
      <c r="E1542" s="115"/>
    </row>
    <row r="1543" spans="1:5" ht="13">
      <c r="A1543" s="115"/>
      <c r="B1543" s="115"/>
      <c r="C1543" s="115"/>
      <c r="D1543" s="115"/>
      <c r="E1543" s="115"/>
    </row>
    <row r="1544" spans="1:5" ht="13">
      <c r="A1544" s="115"/>
      <c r="B1544" s="115"/>
      <c r="C1544" s="115"/>
      <c r="D1544" s="115"/>
      <c r="E1544" s="115"/>
    </row>
    <row r="1545" spans="1:5" ht="13">
      <c r="A1545" s="115"/>
      <c r="B1545" s="115"/>
      <c r="C1545" s="115"/>
      <c r="D1545" s="115"/>
      <c r="E1545" s="115"/>
    </row>
    <row r="1546" spans="1:5" ht="13">
      <c r="A1546" s="115"/>
      <c r="B1546" s="115"/>
      <c r="C1546" s="115"/>
      <c r="D1546" s="115"/>
      <c r="E1546" s="115"/>
    </row>
    <row r="1547" spans="1:5" ht="13">
      <c r="A1547" s="115"/>
      <c r="B1547" s="115"/>
      <c r="C1547" s="115"/>
      <c r="D1547" s="115"/>
      <c r="E1547" s="115"/>
    </row>
    <row r="1548" spans="1:5" ht="13">
      <c r="A1548" s="115"/>
      <c r="B1548" s="115"/>
      <c r="C1548" s="115"/>
      <c r="D1548" s="115"/>
      <c r="E1548" s="115"/>
    </row>
    <row r="1549" spans="1:5" ht="13">
      <c r="A1549" s="115"/>
      <c r="B1549" s="115"/>
      <c r="C1549" s="115"/>
      <c r="D1549" s="115"/>
      <c r="E1549" s="115"/>
    </row>
    <row r="1550" spans="1:5" ht="13">
      <c r="A1550" s="115"/>
      <c r="B1550" s="115"/>
      <c r="C1550" s="115"/>
      <c r="D1550" s="115"/>
      <c r="E1550" s="115"/>
    </row>
    <row r="1551" spans="1:5" ht="13">
      <c r="A1551" s="115"/>
      <c r="B1551" s="115"/>
      <c r="C1551" s="115"/>
      <c r="D1551" s="115"/>
      <c r="E1551" s="115"/>
    </row>
    <row r="1552" spans="1:5" ht="13">
      <c r="A1552" s="115"/>
      <c r="B1552" s="115"/>
      <c r="C1552" s="115"/>
      <c r="D1552" s="115"/>
      <c r="E1552" s="115"/>
    </row>
    <row r="1553" spans="1:5" ht="13">
      <c r="A1553" s="115"/>
      <c r="B1553" s="115"/>
      <c r="C1553" s="115"/>
      <c r="D1553" s="115"/>
      <c r="E1553" s="115"/>
    </row>
    <row r="1554" spans="1:5" ht="13">
      <c r="A1554" s="115"/>
      <c r="B1554" s="115"/>
      <c r="C1554" s="115"/>
      <c r="D1554" s="115"/>
      <c r="E1554" s="115"/>
    </row>
    <row r="1555" spans="1:5" ht="13">
      <c r="A1555" s="115"/>
      <c r="B1555" s="115"/>
      <c r="C1555" s="115"/>
      <c r="D1555" s="115"/>
      <c r="E1555" s="115"/>
    </row>
    <row r="1556" spans="1:5" ht="13">
      <c r="A1556" s="115"/>
      <c r="B1556" s="115"/>
      <c r="C1556" s="115"/>
      <c r="D1556" s="115"/>
      <c r="E1556" s="115"/>
    </row>
    <row r="1557" spans="1:5" ht="13">
      <c r="A1557" s="115"/>
      <c r="B1557" s="115"/>
      <c r="C1557" s="115"/>
      <c r="D1557" s="115"/>
      <c r="E1557" s="115"/>
    </row>
    <row r="1558" spans="1:5" ht="13">
      <c r="A1558" s="115"/>
      <c r="B1558" s="115"/>
      <c r="C1558" s="115"/>
      <c r="D1558" s="115"/>
      <c r="E1558" s="115"/>
    </row>
    <row r="1559" spans="1:5" ht="13">
      <c r="A1559" s="115"/>
      <c r="B1559" s="115"/>
      <c r="C1559" s="115"/>
      <c r="D1559" s="115"/>
      <c r="E1559" s="115"/>
    </row>
    <row r="1560" spans="1:5" ht="13">
      <c r="A1560" s="115"/>
      <c r="B1560" s="115"/>
      <c r="C1560" s="115"/>
      <c r="D1560" s="115"/>
      <c r="E1560" s="115"/>
    </row>
    <row r="1561" spans="1:5" ht="13">
      <c r="A1561" s="115"/>
      <c r="B1561" s="115"/>
      <c r="C1561" s="115"/>
      <c r="D1561" s="115"/>
      <c r="E1561" s="115"/>
    </row>
    <row r="1562" spans="1:5" ht="13">
      <c r="A1562" s="115"/>
      <c r="B1562" s="115"/>
      <c r="C1562" s="115"/>
      <c r="D1562" s="115"/>
      <c r="E1562" s="115"/>
    </row>
    <row r="1563" spans="1:5" ht="13">
      <c r="A1563" s="115"/>
      <c r="B1563" s="115"/>
      <c r="C1563" s="115"/>
      <c r="D1563" s="115"/>
      <c r="E1563" s="115"/>
    </row>
    <row r="1564" spans="1:5" ht="13">
      <c r="A1564" s="115"/>
      <c r="B1564" s="115"/>
      <c r="C1564" s="115"/>
      <c r="D1564" s="115"/>
      <c r="E1564" s="115"/>
    </row>
    <row r="1565" spans="1:5" ht="13">
      <c r="A1565" s="115"/>
      <c r="B1565" s="115"/>
      <c r="C1565" s="115"/>
      <c r="D1565" s="115"/>
      <c r="E1565" s="115"/>
    </row>
    <row r="1566" spans="1:5" ht="13">
      <c r="A1566" s="115"/>
      <c r="B1566" s="115"/>
      <c r="C1566" s="115"/>
      <c r="D1566" s="115"/>
      <c r="E1566" s="115"/>
    </row>
    <row r="1567" spans="1:5" ht="13">
      <c r="A1567" s="115"/>
      <c r="B1567" s="115"/>
      <c r="C1567" s="115"/>
      <c r="D1567" s="115"/>
      <c r="E1567" s="115"/>
    </row>
    <row r="1568" spans="1:5" ht="13">
      <c r="A1568" s="115"/>
      <c r="B1568" s="115"/>
      <c r="C1568" s="115"/>
      <c r="D1568" s="115"/>
      <c r="E1568" s="115"/>
    </row>
    <row r="1569" spans="1:5" ht="13">
      <c r="A1569" s="115"/>
      <c r="B1569" s="115"/>
      <c r="C1569" s="115"/>
      <c r="D1569" s="115"/>
      <c r="E1569" s="115"/>
    </row>
    <row r="1570" spans="1:5" ht="13">
      <c r="A1570" s="115"/>
      <c r="B1570" s="115"/>
      <c r="C1570" s="115"/>
      <c r="D1570" s="115"/>
      <c r="E1570" s="115"/>
    </row>
    <row r="1571" spans="1:5" ht="13">
      <c r="A1571" s="115"/>
      <c r="B1571" s="115"/>
      <c r="C1571" s="115"/>
      <c r="D1571" s="115"/>
      <c r="E1571" s="115"/>
    </row>
    <row r="1572" spans="1:5" ht="13">
      <c r="A1572" s="115"/>
      <c r="B1572" s="115"/>
      <c r="C1572" s="115"/>
      <c r="D1572" s="115"/>
      <c r="E1572" s="115"/>
    </row>
    <row r="1573" spans="1:5" ht="13">
      <c r="A1573" s="115"/>
      <c r="B1573" s="115"/>
      <c r="C1573" s="115"/>
      <c r="D1573" s="115"/>
      <c r="E1573" s="115"/>
    </row>
    <row r="1574" spans="1:5" ht="13">
      <c r="A1574" s="115"/>
      <c r="B1574" s="115"/>
      <c r="C1574" s="115"/>
      <c r="D1574" s="115"/>
      <c r="E1574" s="115"/>
    </row>
    <row r="1575" spans="1:5" ht="13">
      <c r="A1575" s="115"/>
      <c r="B1575" s="115"/>
      <c r="C1575" s="115"/>
      <c r="D1575" s="115"/>
      <c r="E1575" s="115"/>
    </row>
    <row r="1576" spans="1:5" ht="13">
      <c r="A1576" s="115"/>
      <c r="B1576" s="115"/>
      <c r="C1576" s="115"/>
      <c r="D1576" s="115"/>
      <c r="E1576" s="115"/>
    </row>
    <row r="1577" spans="1:5" ht="13">
      <c r="A1577" s="115"/>
      <c r="B1577" s="115"/>
      <c r="C1577" s="115"/>
      <c r="D1577" s="115"/>
      <c r="E1577" s="115"/>
    </row>
    <row r="1578" spans="1:5" ht="13">
      <c r="A1578" s="115"/>
      <c r="B1578" s="115"/>
      <c r="C1578" s="115"/>
      <c r="D1578" s="115"/>
      <c r="E1578" s="115"/>
    </row>
    <row r="1579" spans="1:5" ht="13">
      <c r="A1579" s="115"/>
      <c r="B1579" s="115"/>
      <c r="C1579" s="115"/>
      <c r="D1579" s="115"/>
      <c r="E1579" s="115"/>
    </row>
    <row r="1580" spans="1:5" ht="13">
      <c r="A1580" s="115"/>
      <c r="B1580" s="115"/>
      <c r="C1580" s="115"/>
      <c r="D1580" s="115"/>
      <c r="E1580" s="115"/>
    </row>
    <row r="1581" spans="1:5" ht="13">
      <c r="A1581" s="115"/>
      <c r="B1581" s="115"/>
      <c r="C1581" s="115"/>
      <c r="D1581" s="115"/>
      <c r="E1581" s="115"/>
    </row>
    <row r="1582" spans="1:5" ht="13">
      <c r="A1582" s="115"/>
      <c r="B1582" s="115"/>
      <c r="C1582" s="115"/>
      <c r="D1582" s="115"/>
      <c r="E1582" s="115"/>
    </row>
    <row r="1583" spans="1:5" ht="13">
      <c r="A1583" s="115"/>
      <c r="B1583" s="115"/>
      <c r="C1583" s="115"/>
      <c r="D1583" s="115"/>
      <c r="E1583" s="115"/>
    </row>
    <row r="1584" spans="1:5" ht="13">
      <c r="A1584" s="115"/>
      <c r="B1584" s="115"/>
      <c r="C1584" s="115"/>
      <c r="D1584" s="115"/>
      <c r="E1584" s="115"/>
    </row>
    <row r="1585" spans="1:5" ht="13">
      <c r="A1585" s="115"/>
      <c r="B1585" s="115"/>
      <c r="C1585" s="115"/>
      <c r="D1585" s="115"/>
      <c r="E1585" s="115"/>
    </row>
    <row r="1586" spans="1:5" ht="13">
      <c r="A1586" s="115"/>
      <c r="B1586" s="115"/>
      <c r="C1586" s="115"/>
      <c r="D1586" s="115"/>
      <c r="E1586" s="115"/>
    </row>
    <row r="1587" spans="1:5" ht="13">
      <c r="A1587" s="115"/>
      <c r="B1587" s="115"/>
      <c r="C1587" s="115"/>
      <c r="D1587" s="115"/>
      <c r="E1587" s="115"/>
    </row>
    <row r="1588" spans="1:5" ht="13">
      <c r="A1588" s="115"/>
      <c r="B1588" s="115"/>
      <c r="C1588" s="115"/>
      <c r="D1588" s="115"/>
      <c r="E1588" s="115"/>
    </row>
    <row r="1589" spans="1:5" ht="13">
      <c r="A1589" s="115"/>
      <c r="B1589" s="115"/>
      <c r="C1589" s="115"/>
      <c r="D1589" s="115"/>
      <c r="E1589" s="115"/>
    </row>
    <row r="1590" spans="1:5" ht="13">
      <c r="A1590" s="115"/>
      <c r="B1590" s="115"/>
      <c r="C1590" s="115"/>
      <c r="D1590" s="115"/>
      <c r="E1590" s="115"/>
    </row>
    <row r="1591" spans="1:5" ht="13">
      <c r="A1591" s="115"/>
      <c r="B1591" s="115"/>
      <c r="C1591" s="115"/>
      <c r="D1591" s="115"/>
      <c r="E1591" s="115"/>
    </row>
    <row r="1592" spans="1:5" ht="13">
      <c r="A1592" s="115"/>
      <c r="B1592" s="115"/>
      <c r="C1592" s="115"/>
      <c r="D1592" s="115"/>
      <c r="E1592" s="115"/>
    </row>
    <row r="1593" spans="1:5" ht="13">
      <c r="A1593" s="115"/>
      <c r="B1593" s="115"/>
      <c r="C1593" s="115"/>
      <c r="D1593" s="115"/>
      <c r="E1593" s="115"/>
    </row>
    <row r="1594" spans="1:5" ht="13">
      <c r="A1594" s="115"/>
      <c r="B1594" s="115"/>
      <c r="C1594" s="115"/>
      <c r="D1594" s="115"/>
      <c r="E1594" s="115"/>
    </row>
    <row r="1595" spans="1:5" ht="13">
      <c r="A1595" s="115"/>
      <c r="B1595" s="115"/>
      <c r="C1595" s="115"/>
      <c r="D1595" s="115"/>
      <c r="E1595" s="115"/>
    </row>
    <row r="1596" spans="1:5" ht="13">
      <c r="A1596" s="115"/>
      <c r="B1596" s="115"/>
      <c r="C1596" s="115"/>
      <c r="D1596" s="115"/>
      <c r="E1596" s="115"/>
    </row>
    <row r="1597" spans="1:5" ht="13">
      <c r="A1597" s="115"/>
      <c r="B1597" s="115"/>
      <c r="C1597" s="115"/>
      <c r="D1597" s="115"/>
      <c r="E1597" s="115"/>
    </row>
    <row r="1598" spans="1:5" ht="13">
      <c r="A1598" s="115"/>
      <c r="B1598" s="115"/>
      <c r="C1598" s="115"/>
      <c r="D1598" s="115"/>
      <c r="E1598" s="115"/>
    </row>
    <row r="1599" spans="1:5" ht="13">
      <c r="A1599" s="115"/>
      <c r="B1599" s="115"/>
      <c r="C1599" s="115"/>
      <c r="D1599" s="115"/>
      <c r="E1599" s="115"/>
    </row>
    <row r="1600" spans="1:5" ht="13">
      <c r="A1600" s="115"/>
      <c r="B1600" s="115"/>
      <c r="C1600" s="115"/>
      <c r="D1600" s="115"/>
      <c r="E1600" s="115"/>
    </row>
    <row r="1601" spans="1:5" ht="13">
      <c r="A1601" s="115"/>
      <c r="B1601" s="115"/>
      <c r="C1601" s="115"/>
      <c r="D1601" s="115"/>
      <c r="E1601" s="115"/>
    </row>
    <row r="1602" spans="1:5" ht="13">
      <c r="A1602" s="115"/>
      <c r="B1602" s="115"/>
      <c r="C1602" s="115"/>
      <c r="D1602" s="115"/>
      <c r="E1602" s="115"/>
    </row>
    <row r="1603" spans="1:5" ht="13">
      <c r="A1603" s="115"/>
      <c r="B1603" s="115"/>
      <c r="C1603" s="115"/>
      <c r="D1603" s="115"/>
      <c r="E1603" s="115"/>
    </row>
    <row r="1604" spans="1:5" ht="13">
      <c r="A1604" s="115"/>
      <c r="B1604" s="115"/>
      <c r="C1604" s="115"/>
      <c r="D1604" s="115"/>
      <c r="E1604" s="115"/>
    </row>
    <row r="1605" spans="1:5" ht="13">
      <c r="A1605" s="115"/>
      <c r="B1605" s="115"/>
      <c r="C1605" s="115"/>
      <c r="D1605" s="115"/>
      <c r="E1605" s="115"/>
    </row>
    <row r="1606" spans="1:5" ht="13">
      <c r="A1606" s="115"/>
      <c r="B1606" s="115"/>
      <c r="C1606" s="115"/>
      <c r="D1606" s="115"/>
      <c r="E1606" s="115"/>
    </row>
    <row r="1607" spans="1:5" ht="13">
      <c r="A1607" s="115"/>
      <c r="B1607" s="115"/>
      <c r="C1607" s="115"/>
      <c r="D1607" s="115"/>
      <c r="E1607" s="115"/>
    </row>
    <row r="1608" spans="1:5" ht="13">
      <c r="A1608" s="115"/>
      <c r="B1608" s="115"/>
      <c r="C1608" s="115"/>
      <c r="D1608" s="115"/>
      <c r="E1608" s="115"/>
    </row>
    <row r="1609" spans="1:5" ht="13">
      <c r="A1609" s="115"/>
      <c r="B1609" s="115"/>
      <c r="C1609" s="115"/>
      <c r="D1609" s="115"/>
      <c r="E1609" s="115"/>
    </row>
    <row r="1610" spans="1:5" ht="13">
      <c r="A1610" s="115"/>
      <c r="B1610" s="115"/>
      <c r="C1610" s="115"/>
      <c r="D1610" s="115"/>
      <c r="E1610" s="115"/>
    </row>
    <row r="1611" spans="1:5" ht="13">
      <c r="A1611" s="115"/>
      <c r="B1611" s="115"/>
      <c r="C1611" s="115"/>
      <c r="D1611" s="115"/>
      <c r="E1611" s="115"/>
    </row>
    <row r="1612" spans="1:5" ht="13">
      <c r="A1612" s="115"/>
      <c r="B1612" s="115"/>
      <c r="C1612" s="115"/>
      <c r="D1612" s="115"/>
      <c r="E1612" s="115"/>
    </row>
    <row r="1613" spans="1:5" ht="13">
      <c r="A1613" s="115"/>
      <c r="B1613" s="115"/>
      <c r="C1613" s="115"/>
      <c r="D1613" s="115"/>
      <c r="E1613" s="115"/>
    </row>
    <row r="1614" spans="1:5" ht="13">
      <c r="A1614" s="115"/>
      <c r="B1614" s="115"/>
      <c r="C1614" s="115"/>
      <c r="D1614" s="115"/>
      <c r="E1614" s="115"/>
    </row>
    <row r="1615" spans="1:5" ht="13">
      <c r="A1615" s="115"/>
      <c r="B1615" s="115"/>
      <c r="C1615" s="115"/>
      <c r="D1615" s="115"/>
      <c r="E1615" s="115"/>
    </row>
    <row r="1616" spans="1:5" ht="13">
      <c r="A1616" s="115"/>
      <c r="B1616" s="115"/>
      <c r="C1616" s="115"/>
      <c r="D1616" s="115"/>
      <c r="E1616" s="115"/>
    </row>
    <row r="1617" spans="1:5" ht="13">
      <c r="A1617" s="115"/>
      <c r="B1617" s="115"/>
      <c r="C1617" s="115"/>
      <c r="D1617" s="115"/>
      <c r="E1617" s="115"/>
    </row>
    <row r="1618" spans="1:5" ht="13">
      <c r="A1618" s="115"/>
      <c r="B1618" s="115"/>
      <c r="C1618" s="115"/>
      <c r="D1618" s="115"/>
      <c r="E1618" s="115"/>
    </row>
    <row r="1619" spans="1:5" ht="13">
      <c r="A1619" s="115"/>
      <c r="B1619" s="115"/>
      <c r="C1619" s="115"/>
      <c r="D1619" s="115"/>
      <c r="E1619" s="115"/>
    </row>
    <row r="1620" spans="1:5" ht="13">
      <c r="A1620" s="115"/>
      <c r="B1620" s="115"/>
      <c r="C1620" s="115"/>
      <c r="D1620" s="115"/>
      <c r="E1620" s="115"/>
    </row>
    <row r="1621" spans="1:5" ht="13">
      <c r="A1621" s="115"/>
      <c r="B1621" s="115"/>
      <c r="C1621" s="115"/>
      <c r="D1621" s="115"/>
      <c r="E1621" s="115"/>
    </row>
    <row r="1622" spans="1:5" ht="13">
      <c r="A1622" s="115"/>
      <c r="B1622" s="115"/>
      <c r="C1622" s="115"/>
      <c r="D1622" s="115"/>
      <c r="E1622" s="115"/>
    </row>
    <row r="1623" spans="1:5" ht="13">
      <c r="A1623" s="115"/>
      <c r="B1623" s="115"/>
      <c r="C1623" s="115"/>
      <c r="D1623" s="115"/>
      <c r="E1623" s="115"/>
    </row>
    <row r="1624" spans="1:5" ht="13">
      <c r="A1624" s="115"/>
      <c r="B1624" s="115"/>
      <c r="C1624" s="115"/>
      <c r="D1624" s="115"/>
      <c r="E1624" s="115"/>
    </row>
    <row r="1625" spans="1:5" ht="13">
      <c r="A1625" s="115"/>
      <c r="B1625" s="115"/>
      <c r="C1625" s="115"/>
      <c r="D1625" s="115"/>
      <c r="E1625" s="115"/>
    </row>
    <row r="1626" spans="1:5" ht="13">
      <c r="A1626" s="115"/>
      <c r="B1626" s="115"/>
      <c r="C1626" s="115"/>
      <c r="D1626" s="115"/>
      <c r="E1626" s="115"/>
    </row>
    <row r="1627" spans="1:5" ht="13">
      <c r="A1627" s="115"/>
      <c r="B1627" s="115"/>
      <c r="C1627" s="115"/>
      <c r="D1627" s="115"/>
      <c r="E1627" s="115"/>
    </row>
    <row r="1628" spans="1:5" ht="13">
      <c r="A1628" s="115"/>
      <c r="B1628" s="115"/>
      <c r="C1628" s="115"/>
      <c r="D1628" s="115"/>
      <c r="E1628" s="115"/>
    </row>
    <row r="1629" spans="1:5" ht="13">
      <c r="A1629" s="115"/>
      <c r="B1629" s="115"/>
      <c r="C1629" s="115"/>
      <c r="D1629" s="115"/>
      <c r="E1629" s="115"/>
    </row>
    <row r="1630" spans="1:5" ht="13">
      <c r="A1630" s="115"/>
      <c r="B1630" s="115"/>
      <c r="C1630" s="115"/>
      <c r="D1630" s="115"/>
      <c r="E1630" s="115"/>
    </row>
    <row r="1631" spans="1:5" ht="13">
      <c r="A1631" s="115"/>
      <c r="B1631" s="115"/>
      <c r="C1631" s="115"/>
      <c r="D1631" s="115"/>
      <c r="E1631" s="115"/>
    </row>
    <row r="1632" spans="1:5" ht="13">
      <c r="A1632" s="115"/>
      <c r="B1632" s="115"/>
      <c r="C1632" s="115"/>
      <c r="D1632" s="115"/>
      <c r="E1632" s="115"/>
    </row>
    <row r="1633" spans="1:5" ht="13">
      <c r="A1633" s="115"/>
      <c r="B1633" s="115"/>
      <c r="C1633" s="115"/>
      <c r="D1633" s="115"/>
      <c r="E1633" s="115"/>
    </row>
    <row r="1634" spans="1:5" ht="13">
      <c r="A1634" s="115"/>
      <c r="B1634" s="115"/>
      <c r="C1634" s="115"/>
      <c r="D1634" s="115"/>
      <c r="E1634" s="115"/>
    </row>
    <row r="1635" spans="1:5" ht="13">
      <c r="A1635" s="115"/>
      <c r="B1635" s="115"/>
      <c r="C1635" s="115"/>
      <c r="D1635" s="115"/>
      <c r="E1635" s="115"/>
    </row>
    <row r="1636" spans="1:5" ht="13">
      <c r="A1636" s="115"/>
      <c r="B1636" s="115"/>
      <c r="C1636" s="115"/>
      <c r="D1636" s="115"/>
      <c r="E1636" s="115"/>
    </row>
    <row r="1637" spans="1:5" ht="13">
      <c r="A1637" s="115"/>
      <c r="B1637" s="115"/>
      <c r="C1637" s="115"/>
      <c r="D1637" s="115"/>
      <c r="E1637" s="115"/>
    </row>
    <row r="1638" spans="1:5" ht="13">
      <c r="A1638" s="115"/>
      <c r="B1638" s="115"/>
      <c r="C1638" s="115"/>
      <c r="D1638" s="115"/>
      <c r="E1638" s="115"/>
    </row>
    <row r="1639" spans="1:5" ht="13">
      <c r="A1639" s="115"/>
      <c r="B1639" s="115"/>
      <c r="C1639" s="115"/>
      <c r="D1639" s="115"/>
      <c r="E1639" s="115"/>
    </row>
    <row r="1640" spans="1:5" ht="13">
      <c r="A1640" s="115"/>
      <c r="B1640" s="115"/>
      <c r="C1640" s="115"/>
      <c r="D1640" s="115"/>
      <c r="E1640" s="115"/>
    </row>
    <row r="1641" spans="1:5" ht="13">
      <c r="A1641" s="115"/>
      <c r="B1641" s="115"/>
      <c r="C1641" s="115"/>
      <c r="D1641" s="115"/>
      <c r="E1641" s="115"/>
    </row>
    <row r="1642" spans="1:5" ht="13">
      <c r="A1642" s="115"/>
      <c r="B1642" s="115"/>
      <c r="C1642" s="115"/>
      <c r="D1642" s="115"/>
      <c r="E1642" s="115"/>
    </row>
    <row r="1643" spans="1:5" ht="13">
      <c r="A1643" s="115"/>
      <c r="B1643" s="115"/>
      <c r="C1643" s="115"/>
      <c r="D1643" s="115"/>
      <c r="E1643" s="115"/>
    </row>
    <row r="1644" spans="1:5" ht="13">
      <c r="A1644" s="115"/>
      <c r="B1644" s="115"/>
      <c r="C1644" s="115"/>
      <c r="D1644" s="115"/>
      <c r="E1644" s="115"/>
    </row>
    <row r="1645" spans="1:5" ht="13">
      <c r="A1645" s="115"/>
      <c r="B1645" s="115"/>
      <c r="C1645" s="115"/>
      <c r="D1645" s="115"/>
      <c r="E1645" s="115"/>
    </row>
    <row r="1646" spans="1:5" ht="13">
      <c r="A1646" s="115"/>
      <c r="B1646" s="115"/>
      <c r="C1646" s="115"/>
      <c r="D1646" s="115"/>
      <c r="E1646" s="115"/>
    </row>
    <row r="1647" spans="1:5" ht="13">
      <c r="A1647" s="115"/>
      <c r="B1647" s="115"/>
      <c r="C1647" s="115"/>
      <c r="D1647" s="115"/>
      <c r="E1647" s="115"/>
    </row>
    <row r="1648" spans="1:5" ht="13">
      <c r="A1648" s="115"/>
      <c r="B1648" s="115"/>
      <c r="C1648" s="115"/>
      <c r="D1648" s="115"/>
      <c r="E1648" s="115"/>
    </row>
    <row r="1649" spans="1:5" ht="13">
      <c r="A1649" s="115"/>
      <c r="B1649" s="115"/>
      <c r="C1649" s="115"/>
      <c r="D1649" s="115"/>
      <c r="E1649" s="115"/>
    </row>
    <row r="1650" spans="1:5" ht="13">
      <c r="A1650" s="115"/>
      <c r="B1650" s="115"/>
      <c r="C1650" s="115"/>
      <c r="D1650" s="115"/>
      <c r="E1650" s="115"/>
    </row>
    <row r="1651" spans="1:5" ht="13">
      <c r="A1651" s="115"/>
      <c r="B1651" s="115"/>
      <c r="C1651" s="115"/>
      <c r="D1651" s="115"/>
      <c r="E1651" s="115"/>
    </row>
    <row r="1652" spans="1:5" ht="13">
      <c r="A1652" s="115"/>
      <c r="B1652" s="115"/>
      <c r="C1652" s="115"/>
      <c r="D1652" s="115"/>
      <c r="E1652" s="115"/>
    </row>
    <row r="1653" spans="1:5" ht="13">
      <c r="A1653" s="115"/>
      <c r="B1653" s="115"/>
      <c r="C1653" s="115"/>
      <c r="D1653" s="115"/>
      <c r="E1653" s="115"/>
    </row>
    <row r="1654" spans="1:5" ht="13">
      <c r="A1654" s="115"/>
      <c r="B1654" s="115"/>
      <c r="C1654" s="115"/>
      <c r="D1654" s="115"/>
      <c r="E1654" s="115"/>
    </row>
    <row r="1655" spans="1:5" ht="13">
      <c r="A1655" s="115"/>
      <c r="B1655" s="115"/>
      <c r="C1655" s="115"/>
      <c r="D1655" s="115"/>
      <c r="E1655" s="115"/>
    </row>
    <row r="1656" spans="1:5" ht="13">
      <c r="A1656" s="115"/>
      <c r="B1656" s="115"/>
      <c r="C1656" s="115"/>
      <c r="D1656" s="115"/>
      <c r="E1656" s="115"/>
    </row>
    <row r="1657" spans="1:5" ht="13">
      <c r="A1657" s="115"/>
      <c r="B1657" s="115"/>
      <c r="C1657" s="115"/>
      <c r="D1657" s="115"/>
      <c r="E1657" s="115"/>
    </row>
    <row r="1658" spans="1:5" ht="13">
      <c r="A1658" s="115"/>
      <c r="B1658" s="115"/>
      <c r="C1658" s="115"/>
      <c r="D1658" s="115"/>
      <c r="E1658" s="115"/>
    </row>
    <row r="1659" spans="1:5" ht="13">
      <c r="A1659" s="115"/>
      <c r="B1659" s="115"/>
      <c r="C1659" s="115"/>
      <c r="D1659" s="115"/>
      <c r="E1659" s="115"/>
    </row>
    <row r="1660" spans="1:5" ht="13">
      <c r="A1660" s="115"/>
      <c r="B1660" s="115"/>
      <c r="C1660" s="115"/>
      <c r="D1660" s="115"/>
      <c r="E1660" s="115"/>
    </row>
    <row r="1661" spans="1:5" ht="13">
      <c r="A1661" s="115"/>
      <c r="B1661" s="115"/>
      <c r="C1661" s="115"/>
      <c r="D1661" s="115"/>
      <c r="E1661" s="115"/>
    </row>
    <row r="1662" spans="1:5" ht="13">
      <c r="A1662" s="115"/>
      <c r="B1662" s="115"/>
      <c r="C1662" s="115"/>
      <c r="D1662" s="115"/>
      <c r="E1662" s="115"/>
    </row>
    <row r="1663" spans="1:5" ht="13">
      <c r="A1663" s="115"/>
      <c r="B1663" s="115"/>
      <c r="C1663" s="115"/>
      <c r="D1663" s="115"/>
      <c r="E1663" s="115"/>
    </row>
    <row r="1664" spans="1:5" ht="13">
      <c r="A1664" s="115"/>
      <c r="B1664" s="115"/>
      <c r="C1664" s="115"/>
      <c r="D1664" s="115"/>
      <c r="E1664" s="115"/>
    </row>
    <row r="1665" spans="1:5" ht="13">
      <c r="A1665" s="115"/>
      <c r="B1665" s="115"/>
      <c r="C1665" s="115"/>
      <c r="D1665" s="115"/>
      <c r="E1665" s="115"/>
    </row>
    <row r="1666" spans="1:5" ht="13">
      <c r="A1666" s="115"/>
      <c r="B1666" s="115"/>
      <c r="C1666" s="115"/>
      <c r="D1666" s="115"/>
      <c r="E1666" s="115"/>
    </row>
    <row r="1667" spans="1:5" ht="13">
      <c r="A1667" s="115"/>
      <c r="B1667" s="115"/>
      <c r="C1667" s="115"/>
      <c r="D1667" s="115"/>
      <c r="E1667" s="115"/>
    </row>
    <row r="1668" spans="1:5" ht="13">
      <c r="A1668" s="115"/>
      <c r="B1668" s="115"/>
      <c r="C1668" s="115"/>
      <c r="D1668" s="115"/>
      <c r="E1668" s="115"/>
    </row>
    <row r="1669" spans="1:5" ht="13">
      <c r="A1669" s="115"/>
      <c r="B1669" s="115"/>
      <c r="C1669" s="115"/>
      <c r="D1669" s="115"/>
      <c r="E1669" s="115"/>
    </row>
    <row r="1670" spans="1:5" ht="13">
      <c r="A1670" s="115"/>
      <c r="B1670" s="115"/>
      <c r="C1670" s="115"/>
      <c r="D1670" s="115"/>
      <c r="E1670" s="115"/>
    </row>
    <row r="1671" spans="1:5" ht="13">
      <c r="A1671" s="115"/>
      <c r="B1671" s="115"/>
      <c r="C1671" s="115"/>
      <c r="D1671" s="115"/>
      <c r="E1671" s="115"/>
    </row>
    <row r="1672" spans="1:5" ht="13">
      <c r="A1672" s="115"/>
      <c r="B1672" s="115"/>
      <c r="C1672" s="115"/>
      <c r="D1672" s="115"/>
      <c r="E1672" s="115"/>
    </row>
    <row r="1673" spans="1:5" ht="13">
      <c r="A1673" s="115"/>
      <c r="B1673" s="115"/>
      <c r="C1673" s="115"/>
      <c r="D1673" s="115"/>
      <c r="E1673" s="115"/>
    </row>
    <row r="1674" spans="1:5" ht="13">
      <c r="A1674" s="115"/>
      <c r="B1674" s="115"/>
      <c r="C1674" s="115"/>
      <c r="D1674" s="115"/>
      <c r="E1674" s="115"/>
    </row>
    <row r="1675" spans="1:5" ht="13">
      <c r="A1675" s="115"/>
      <c r="B1675" s="115"/>
      <c r="C1675" s="115"/>
      <c r="D1675" s="115"/>
      <c r="E1675" s="115"/>
    </row>
    <row r="1676" spans="1:5" ht="13">
      <c r="A1676" s="115"/>
      <c r="B1676" s="115"/>
      <c r="C1676" s="115"/>
      <c r="D1676" s="115"/>
      <c r="E1676" s="115"/>
    </row>
    <row r="1677" spans="1:5" ht="13">
      <c r="A1677" s="115"/>
      <c r="B1677" s="115"/>
      <c r="C1677" s="115"/>
      <c r="D1677" s="115"/>
      <c r="E1677" s="115"/>
    </row>
    <row r="1678" spans="1:5" ht="13">
      <c r="A1678" s="115"/>
      <c r="B1678" s="115"/>
      <c r="C1678" s="115"/>
      <c r="D1678" s="115"/>
      <c r="E1678" s="115"/>
    </row>
    <row r="1679" spans="1:5" ht="13">
      <c r="A1679" s="115"/>
      <c r="B1679" s="115"/>
      <c r="C1679" s="115"/>
      <c r="D1679" s="115"/>
      <c r="E1679" s="115"/>
    </row>
    <row r="1680" spans="1:5" ht="13">
      <c r="A1680" s="115"/>
      <c r="B1680" s="115"/>
      <c r="C1680" s="115"/>
      <c r="D1680" s="115"/>
      <c r="E1680" s="115"/>
    </row>
    <row r="1681" spans="1:5" ht="13">
      <c r="A1681" s="115"/>
      <c r="B1681" s="115"/>
      <c r="C1681" s="115"/>
      <c r="D1681" s="115"/>
      <c r="E1681" s="115"/>
    </row>
    <row r="1682" spans="1:5" ht="13">
      <c r="A1682" s="115"/>
      <c r="B1682" s="115"/>
      <c r="C1682" s="115"/>
      <c r="D1682" s="115"/>
      <c r="E1682" s="115"/>
    </row>
    <row r="1683" spans="1:5" ht="13">
      <c r="A1683" s="115"/>
      <c r="B1683" s="115"/>
      <c r="C1683" s="115"/>
      <c r="D1683" s="115"/>
      <c r="E1683" s="115"/>
    </row>
    <row r="1684" spans="1:5" ht="13">
      <c r="A1684" s="115"/>
      <c r="B1684" s="115"/>
      <c r="C1684" s="115"/>
      <c r="D1684" s="115"/>
      <c r="E1684" s="115"/>
    </row>
    <row r="1685" spans="1:5" ht="13">
      <c r="A1685" s="115"/>
      <c r="B1685" s="115"/>
      <c r="C1685" s="115"/>
      <c r="D1685" s="115"/>
      <c r="E1685" s="115"/>
    </row>
    <row r="1686" spans="1:5" ht="13">
      <c r="A1686" s="115"/>
      <c r="B1686" s="115"/>
      <c r="C1686" s="115"/>
      <c r="D1686" s="115"/>
      <c r="E1686" s="115"/>
    </row>
    <row r="1687" spans="1:5" ht="13">
      <c r="A1687" s="115"/>
      <c r="B1687" s="115"/>
      <c r="C1687" s="115"/>
      <c r="D1687" s="115"/>
      <c r="E1687" s="115"/>
    </row>
    <row r="1688" spans="1:5" ht="13">
      <c r="A1688" s="115"/>
      <c r="B1688" s="115"/>
      <c r="C1688" s="115"/>
      <c r="D1688" s="115"/>
      <c r="E1688" s="115"/>
    </row>
    <row r="1689" spans="1:5" ht="13">
      <c r="A1689" s="115"/>
      <c r="B1689" s="115"/>
      <c r="C1689" s="115"/>
      <c r="D1689" s="115"/>
      <c r="E1689" s="115"/>
    </row>
    <row r="1690" spans="1:5" ht="13">
      <c r="A1690" s="115"/>
      <c r="B1690" s="115"/>
      <c r="C1690" s="115"/>
      <c r="D1690" s="115"/>
      <c r="E1690" s="115"/>
    </row>
    <row r="1691" spans="1:5" ht="13">
      <c r="A1691" s="115"/>
      <c r="B1691" s="115"/>
      <c r="C1691" s="115"/>
      <c r="D1691" s="115"/>
      <c r="E1691" s="115"/>
    </row>
    <row r="1692" spans="1:5" ht="13">
      <c r="A1692" s="115"/>
      <c r="B1692" s="115"/>
      <c r="C1692" s="115"/>
      <c r="D1692" s="115"/>
      <c r="E1692" s="115"/>
    </row>
    <row r="1693" spans="1:5" ht="13">
      <c r="A1693" s="115"/>
      <c r="B1693" s="115"/>
      <c r="C1693" s="115"/>
      <c r="D1693" s="115"/>
      <c r="E1693" s="115"/>
    </row>
    <row r="1694" spans="1:5" ht="13">
      <c r="A1694" s="115"/>
      <c r="B1694" s="115"/>
      <c r="C1694" s="115"/>
      <c r="D1694" s="115"/>
      <c r="E1694" s="115"/>
    </row>
    <row r="1695" spans="1:5" ht="13">
      <c r="A1695" s="115"/>
      <c r="B1695" s="115"/>
      <c r="C1695" s="115"/>
      <c r="D1695" s="115"/>
      <c r="E1695" s="115"/>
    </row>
    <row r="1696" spans="1:5" ht="13">
      <c r="A1696" s="115"/>
      <c r="B1696" s="115"/>
      <c r="C1696" s="115"/>
      <c r="D1696" s="115"/>
      <c r="E1696" s="115"/>
    </row>
    <row r="1697" spans="1:5" ht="13">
      <c r="A1697" s="115"/>
      <c r="B1697" s="115"/>
      <c r="C1697" s="115"/>
      <c r="D1697" s="115"/>
      <c r="E1697" s="115"/>
    </row>
    <row r="1698" spans="1:5" ht="13">
      <c r="A1698" s="115"/>
      <c r="B1698" s="115"/>
      <c r="C1698" s="115"/>
      <c r="D1698" s="115"/>
      <c r="E1698" s="115"/>
    </row>
    <row r="1699" spans="1:5" ht="13">
      <c r="A1699" s="115"/>
      <c r="B1699" s="115"/>
      <c r="C1699" s="115"/>
      <c r="D1699" s="115"/>
      <c r="E1699" s="115"/>
    </row>
    <row r="1700" spans="1:5" ht="13">
      <c r="A1700" s="115"/>
      <c r="B1700" s="115"/>
      <c r="C1700" s="115"/>
      <c r="D1700" s="115"/>
      <c r="E1700" s="115"/>
    </row>
    <row r="1701" spans="1:5" ht="13">
      <c r="A1701" s="115"/>
      <c r="B1701" s="115"/>
      <c r="C1701" s="115"/>
      <c r="D1701" s="115"/>
      <c r="E1701" s="115"/>
    </row>
    <row r="1702" spans="1:5" ht="13">
      <c r="A1702" s="115"/>
      <c r="B1702" s="115"/>
      <c r="C1702" s="115"/>
      <c r="D1702" s="115"/>
      <c r="E1702" s="115"/>
    </row>
    <row r="1703" spans="1:5" ht="13">
      <c r="A1703" s="115"/>
      <c r="B1703" s="115"/>
      <c r="C1703" s="115"/>
      <c r="D1703" s="115"/>
      <c r="E1703" s="115"/>
    </row>
    <row r="1704" spans="1:5" ht="13">
      <c r="A1704" s="115"/>
      <c r="B1704" s="115"/>
      <c r="C1704" s="115"/>
      <c r="D1704" s="115"/>
      <c r="E1704" s="115"/>
    </row>
    <row r="1705" spans="1:5" ht="13">
      <c r="A1705" s="115"/>
      <c r="B1705" s="115"/>
      <c r="C1705" s="115"/>
      <c r="D1705" s="115"/>
      <c r="E1705" s="115"/>
    </row>
    <row r="1706" spans="1:5" ht="13">
      <c r="A1706" s="115"/>
      <c r="B1706" s="115"/>
      <c r="C1706" s="115"/>
      <c r="D1706" s="115"/>
      <c r="E1706" s="115"/>
    </row>
    <row r="1707" spans="1:5" ht="13">
      <c r="A1707" s="115"/>
      <c r="B1707" s="115"/>
      <c r="C1707" s="115"/>
      <c r="D1707" s="115"/>
      <c r="E1707" s="115"/>
    </row>
    <row r="1708" spans="1:5" ht="13">
      <c r="A1708" s="115"/>
      <c r="B1708" s="115"/>
      <c r="C1708" s="115"/>
      <c r="D1708" s="115"/>
      <c r="E1708" s="115"/>
    </row>
    <row r="1709" spans="1:5" ht="13">
      <c r="A1709" s="115"/>
      <c r="B1709" s="115"/>
      <c r="C1709" s="115"/>
      <c r="D1709" s="115"/>
      <c r="E1709" s="115"/>
    </row>
    <row r="1710" spans="1:5" ht="13">
      <c r="A1710" s="115"/>
      <c r="B1710" s="115"/>
      <c r="C1710" s="115"/>
      <c r="D1710" s="115"/>
      <c r="E1710" s="115"/>
    </row>
    <row r="1711" spans="1:5" ht="13">
      <c r="A1711" s="115"/>
      <c r="B1711" s="115"/>
      <c r="C1711" s="115"/>
      <c r="D1711" s="115"/>
      <c r="E1711" s="115"/>
    </row>
    <row r="1712" spans="1:5" ht="13">
      <c r="A1712" s="115"/>
      <c r="B1712" s="115"/>
      <c r="C1712" s="115"/>
      <c r="D1712" s="115"/>
      <c r="E1712" s="115"/>
    </row>
    <row r="1713" spans="1:5" ht="13">
      <c r="A1713" s="115"/>
      <c r="B1713" s="115"/>
      <c r="C1713" s="115"/>
      <c r="D1713" s="115"/>
      <c r="E1713" s="115"/>
    </row>
    <row r="1714" spans="1:5" ht="13">
      <c r="A1714" s="115"/>
      <c r="B1714" s="115"/>
      <c r="C1714" s="115"/>
      <c r="D1714" s="115"/>
      <c r="E1714" s="115"/>
    </row>
    <row r="1715" spans="1:5" ht="13">
      <c r="A1715" s="115"/>
      <c r="B1715" s="115"/>
      <c r="C1715" s="115"/>
      <c r="D1715" s="115"/>
      <c r="E1715" s="115"/>
    </row>
    <row r="1716" spans="1:5" ht="13">
      <c r="A1716" s="115"/>
      <c r="B1716" s="115"/>
      <c r="C1716" s="115"/>
      <c r="D1716" s="115"/>
      <c r="E1716" s="115"/>
    </row>
    <row r="1717" spans="1:5" ht="13">
      <c r="A1717" s="115"/>
      <c r="B1717" s="115"/>
      <c r="C1717" s="115"/>
      <c r="D1717" s="115"/>
      <c r="E1717" s="115"/>
    </row>
    <row r="1718" spans="1:5" ht="13">
      <c r="A1718" s="115"/>
      <c r="B1718" s="115"/>
      <c r="C1718" s="115"/>
      <c r="D1718" s="115"/>
      <c r="E1718" s="115"/>
    </row>
    <row r="1719" spans="1:5" ht="13">
      <c r="A1719" s="115"/>
      <c r="B1719" s="115"/>
      <c r="C1719" s="115"/>
      <c r="D1719" s="115"/>
      <c r="E1719" s="115"/>
    </row>
    <row r="1720" spans="1:5" ht="13">
      <c r="A1720" s="115"/>
      <c r="B1720" s="115"/>
      <c r="C1720" s="115"/>
      <c r="D1720" s="115"/>
      <c r="E1720" s="115"/>
    </row>
    <row r="1721" spans="1:5" ht="13">
      <c r="A1721" s="115"/>
      <c r="B1721" s="115"/>
      <c r="C1721" s="115"/>
      <c r="D1721" s="115"/>
      <c r="E1721" s="115"/>
    </row>
    <row r="1722" spans="1:5" ht="13">
      <c r="A1722" s="115"/>
      <c r="B1722" s="115"/>
      <c r="C1722" s="115"/>
      <c r="D1722" s="115"/>
      <c r="E1722" s="115"/>
    </row>
    <row r="1723" spans="1:5" ht="13">
      <c r="A1723" s="115"/>
      <c r="B1723" s="115"/>
      <c r="C1723" s="115"/>
      <c r="D1723" s="115"/>
      <c r="E1723" s="115"/>
    </row>
    <row r="1724" spans="1:5" ht="13">
      <c r="A1724" s="115"/>
      <c r="B1724" s="115"/>
      <c r="C1724" s="115"/>
      <c r="D1724" s="115"/>
      <c r="E1724" s="115"/>
    </row>
    <row r="1725" spans="1:5" ht="13">
      <c r="A1725" s="115"/>
      <c r="B1725" s="115"/>
      <c r="C1725" s="115"/>
      <c r="D1725" s="115"/>
      <c r="E1725" s="115"/>
    </row>
    <row r="1726" spans="1:5" ht="13">
      <c r="A1726" s="115"/>
      <c r="B1726" s="115"/>
      <c r="C1726" s="115"/>
      <c r="D1726" s="115"/>
      <c r="E1726" s="115"/>
    </row>
    <row r="1727" spans="1:5" ht="13">
      <c r="A1727" s="115"/>
      <c r="B1727" s="115"/>
      <c r="C1727" s="115"/>
      <c r="D1727" s="115"/>
      <c r="E1727" s="115"/>
    </row>
    <row r="1728" spans="1:5" ht="13">
      <c r="A1728" s="115"/>
      <c r="B1728" s="115"/>
      <c r="C1728" s="115"/>
      <c r="D1728" s="115"/>
      <c r="E1728" s="115"/>
    </row>
    <row r="1729" spans="1:5" ht="13">
      <c r="A1729" s="115"/>
      <c r="B1729" s="115"/>
      <c r="C1729" s="115"/>
      <c r="D1729" s="115"/>
      <c r="E1729" s="115"/>
    </row>
    <row r="1730" spans="1:5" ht="13">
      <c r="A1730" s="115"/>
      <c r="B1730" s="115"/>
      <c r="C1730" s="115"/>
      <c r="D1730" s="115"/>
      <c r="E1730" s="115"/>
    </row>
    <row r="1731" spans="1:5" ht="13">
      <c r="A1731" s="115"/>
      <c r="B1731" s="115"/>
      <c r="C1731" s="115"/>
      <c r="D1731" s="115"/>
      <c r="E1731" s="115"/>
    </row>
    <row r="1732" spans="1:5" ht="13">
      <c r="A1732" s="115"/>
      <c r="B1732" s="115"/>
      <c r="C1732" s="115"/>
      <c r="D1732" s="115"/>
      <c r="E1732" s="115"/>
    </row>
    <row r="1733" spans="1:5" ht="13">
      <c r="A1733" s="115"/>
      <c r="B1733" s="115"/>
      <c r="C1733" s="115"/>
      <c r="D1733" s="115"/>
      <c r="E1733" s="115"/>
    </row>
    <row r="1734" spans="1:5" ht="13">
      <c r="A1734" s="115"/>
      <c r="B1734" s="115"/>
      <c r="C1734" s="115"/>
      <c r="D1734" s="115"/>
      <c r="E1734" s="115"/>
    </row>
    <row r="1735" spans="1:5" ht="13">
      <c r="A1735" s="115"/>
      <c r="B1735" s="115"/>
      <c r="C1735" s="115"/>
      <c r="D1735" s="115"/>
      <c r="E1735" s="115"/>
    </row>
    <row r="1736" spans="1:5" ht="13">
      <c r="A1736" s="115"/>
      <c r="B1736" s="115"/>
      <c r="C1736" s="115"/>
      <c r="D1736" s="115"/>
      <c r="E1736" s="115"/>
    </row>
    <row r="1737" spans="1:5" ht="13">
      <c r="A1737" s="115"/>
      <c r="B1737" s="115"/>
      <c r="C1737" s="115"/>
      <c r="D1737" s="115"/>
      <c r="E1737" s="115"/>
    </row>
    <row r="1738" spans="1:5" ht="13">
      <c r="A1738" s="115"/>
      <c r="B1738" s="115"/>
      <c r="C1738" s="115"/>
      <c r="D1738" s="115"/>
      <c r="E1738" s="115"/>
    </row>
    <row r="1739" spans="1:5" ht="13">
      <c r="A1739" s="115"/>
      <c r="B1739" s="115"/>
      <c r="C1739" s="115"/>
      <c r="D1739" s="115"/>
      <c r="E1739" s="115"/>
    </row>
    <row r="1740" spans="1:5" ht="13">
      <c r="A1740" s="115"/>
      <c r="B1740" s="115"/>
      <c r="C1740" s="115"/>
      <c r="D1740" s="115"/>
      <c r="E1740" s="115"/>
    </row>
    <row r="1741" spans="1:5" ht="13">
      <c r="A1741" s="115"/>
      <c r="B1741" s="115"/>
      <c r="C1741" s="115"/>
      <c r="D1741" s="115"/>
      <c r="E1741" s="115"/>
    </row>
    <row r="1742" spans="1:5" ht="13">
      <c r="A1742" s="115"/>
      <c r="B1742" s="115"/>
      <c r="C1742" s="115"/>
      <c r="D1742" s="115"/>
      <c r="E1742" s="115"/>
    </row>
    <row r="1743" spans="1:5" ht="13">
      <c r="A1743" s="115"/>
      <c r="B1743" s="115"/>
      <c r="C1743" s="115"/>
      <c r="D1743" s="115"/>
      <c r="E1743" s="115"/>
    </row>
    <row r="1744" spans="1:5" ht="13">
      <c r="A1744" s="115"/>
      <c r="B1744" s="115"/>
      <c r="C1744" s="115"/>
      <c r="D1744" s="115"/>
      <c r="E1744" s="115"/>
    </row>
    <row r="1745" spans="1:5" ht="13">
      <c r="A1745" s="115"/>
      <c r="B1745" s="115"/>
      <c r="C1745" s="115"/>
      <c r="D1745" s="115"/>
      <c r="E1745" s="115"/>
    </row>
    <row r="1746" spans="1:5" ht="13">
      <c r="A1746" s="115"/>
      <c r="B1746" s="115"/>
      <c r="C1746" s="115"/>
      <c r="D1746" s="115"/>
      <c r="E1746" s="115"/>
    </row>
    <row r="1747" spans="1:5" ht="13">
      <c r="A1747" s="115"/>
      <c r="B1747" s="115"/>
      <c r="C1747" s="115"/>
      <c r="D1747" s="115"/>
      <c r="E1747" s="115"/>
    </row>
    <row r="1748" spans="1:5" ht="13">
      <c r="A1748" s="115"/>
      <c r="B1748" s="115"/>
      <c r="C1748" s="115"/>
      <c r="D1748" s="115"/>
      <c r="E1748" s="115"/>
    </row>
    <row r="1749" spans="1:5" ht="13">
      <c r="A1749" s="115"/>
      <c r="B1749" s="115"/>
      <c r="C1749" s="115"/>
      <c r="D1749" s="115"/>
      <c r="E1749" s="115"/>
    </row>
    <row r="1750" spans="1:5" ht="13">
      <c r="A1750" s="115"/>
      <c r="B1750" s="115"/>
      <c r="C1750" s="115"/>
      <c r="D1750" s="115"/>
      <c r="E1750" s="115"/>
    </row>
    <row r="1751" spans="1:5" ht="13">
      <c r="A1751" s="115"/>
      <c r="B1751" s="115"/>
      <c r="C1751" s="115"/>
      <c r="D1751" s="115"/>
      <c r="E1751" s="115"/>
    </row>
    <row r="1752" spans="1:5" ht="13">
      <c r="A1752" s="115"/>
      <c r="B1752" s="115"/>
      <c r="C1752" s="115"/>
      <c r="D1752" s="115"/>
      <c r="E1752" s="115"/>
    </row>
    <row r="1753" spans="1:5" ht="13">
      <c r="A1753" s="115"/>
      <c r="B1753" s="115"/>
      <c r="C1753" s="115"/>
      <c r="D1753" s="115"/>
      <c r="E1753" s="115"/>
    </row>
    <row r="1754" spans="1:5" ht="13">
      <c r="A1754" s="115"/>
      <c r="B1754" s="115"/>
      <c r="C1754" s="115"/>
      <c r="D1754" s="115"/>
      <c r="E1754" s="115"/>
    </row>
    <row r="1755" spans="1:5" ht="13">
      <c r="A1755" s="115"/>
      <c r="B1755" s="115"/>
      <c r="C1755" s="115"/>
      <c r="D1755" s="115"/>
      <c r="E1755" s="115"/>
    </row>
    <row r="1756" spans="1:5" ht="13">
      <c r="A1756" s="115"/>
      <c r="B1756" s="115"/>
      <c r="C1756" s="115"/>
      <c r="D1756" s="115"/>
      <c r="E1756" s="115"/>
    </row>
    <row r="1757" spans="1:5" ht="13">
      <c r="A1757" s="115"/>
      <c r="B1757" s="115"/>
      <c r="C1757" s="115"/>
      <c r="D1757" s="115"/>
      <c r="E1757" s="115"/>
    </row>
    <row r="1758" spans="1:5" ht="13">
      <c r="A1758" s="115"/>
      <c r="B1758" s="115"/>
      <c r="C1758" s="115"/>
      <c r="D1758" s="115"/>
      <c r="E1758" s="115"/>
    </row>
    <row r="1759" spans="1:5" ht="13">
      <c r="A1759" s="115"/>
      <c r="B1759" s="115"/>
      <c r="C1759" s="115"/>
      <c r="D1759" s="115"/>
      <c r="E1759" s="115"/>
    </row>
    <row r="1760" spans="1:5" ht="13">
      <c r="A1760" s="115"/>
      <c r="B1760" s="115"/>
      <c r="C1760" s="115"/>
      <c r="D1760" s="115"/>
      <c r="E1760" s="115"/>
    </row>
    <row r="1761" spans="1:5" ht="13">
      <c r="A1761" s="115"/>
      <c r="B1761" s="115"/>
      <c r="C1761" s="115"/>
      <c r="D1761" s="115"/>
      <c r="E1761" s="115"/>
    </row>
    <row r="1762" spans="1:5" ht="13">
      <c r="A1762" s="115"/>
      <c r="B1762" s="115"/>
      <c r="C1762" s="115"/>
      <c r="D1762" s="115"/>
      <c r="E1762" s="115"/>
    </row>
    <row r="1763" spans="1:5" ht="13">
      <c r="A1763" s="115"/>
      <c r="B1763" s="115"/>
      <c r="C1763" s="115"/>
      <c r="D1763" s="115"/>
      <c r="E1763" s="115"/>
    </row>
    <row r="1764" spans="1:5" ht="13">
      <c r="A1764" s="115"/>
      <c r="B1764" s="115"/>
      <c r="C1764" s="115"/>
      <c r="D1764" s="115"/>
      <c r="E1764" s="115"/>
    </row>
    <row r="1765" spans="1:5" ht="13">
      <c r="A1765" s="115"/>
      <c r="B1765" s="115"/>
      <c r="C1765" s="115"/>
      <c r="D1765" s="115"/>
      <c r="E1765" s="115"/>
    </row>
    <row r="1766" spans="1:5" ht="13">
      <c r="A1766" s="115"/>
      <c r="B1766" s="115"/>
      <c r="C1766" s="115"/>
      <c r="D1766" s="115"/>
      <c r="E1766" s="115"/>
    </row>
    <row r="1767" spans="1:5" ht="13">
      <c r="A1767" s="115"/>
      <c r="B1767" s="115"/>
      <c r="C1767" s="115"/>
      <c r="D1767" s="115"/>
      <c r="E1767" s="115"/>
    </row>
    <row r="1768" spans="1:5" ht="13">
      <c r="A1768" s="115"/>
      <c r="B1768" s="115"/>
      <c r="C1768" s="115"/>
      <c r="D1768" s="115"/>
      <c r="E1768" s="115"/>
    </row>
    <row r="1769" spans="1:5" ht="13">
      <c r="A1769" s="115"/>
      <c r="B1769" s="115"/>
      <c r="C1769" s="115"/>
      <c r="D1769" s="115"/>
      <c r="E1769" s="115"/>
    </row>
    <row r="1770" spans="1:5" ht="13">
      <c r="A1770" s="115"/>
      <c r="B1770" s="115"/>
      <c r="C1770" s="115"/>
      <c r="D1770" s="115"/>
      <c r="E1770" s="115"/>
    </row>
    <row r="1771" spans="1:5" ht="13">
      <c r="A1771" s="115"/>
      <c r="B1771" s="115"/>
      <c r="C1771" s="115"/>
      <c r="D1771" s="115"/>
      <c r="E1771" s="115"/>
    </row>
    <row r="1772" spans="1:5" ht="13">
      <c r="A1772" s="115"/>
      <c r="B1772" s="115"/>
      <c r="C1772" s="115"/>
      <c r="D1772" s="115"/>
      <c r="E1772" s="115"/>
    </row>
    <row r="1773" spans="1:5" ht="13">
      <c r="A1773" s="115"/>
      <c r="B1773" s="115"/>
      <c r="C1773" s="115"/>
      <c r="D1773" s="115"/>
      <c r="E1773" s="115"/>
    </row>
    <row r="1774" spans="1:5" ht="13">
      <c r="A1774" s="115"/>
      <c r="B1774" s="115"/>
      <c r="C1774" s="115"/>
      <c r="D1774" s="115"/>
      <c r="E1774" s="115"/>
    </row>
    <row r="1775" spans="1:5" ht="13">
      <c r="A1775" s="115"/>
      <c r="B1775" s="115"/>
      <c r="C1775" s="115"/>
      <c r="D1775" s="115"/>
      <c r="E1775" s="115"/>
    </row>
    <row r="1776" spans="1:5" ht="13">
      <c r="A1776" s="115"/>
      <c r="B1776" s="115"/>
      <c r="C1776" s="115"/>
      <c r="D1776" s="115"/>
      <c r="E1776" s="115"/>
    </row>
    <row r="1777" spans="1:5" ht="13">
      <c r="A1777" s="115"/>
      <c r="B1777" s="115"/>
      <c r="C1777" s="115"/>
      <c r="D1777" s="115"/>
      <c r="E1777" s="115"/>
    </row>
    <row r="1778" spans="1:5" ht="13">
      <c r="A1778" s="115"/>
      <c r="B1778" s="115"/>
      <c r="C1778" s="115"/>
      <c r="D1778" s="115"/>
      <c r="E1778" s="115"/>
    </row>
    <row r="1779" spans="1:5" ht="13">
      <c r="A1779" s="115"/>
      <c r="B1779" s="115"/>
      <c r="C1779" s="115"/>
      <c r="D1779" s="115"/>
      <c r="E1779" s="115"/>
    </row>
    <row r="1780" spans="1:5" ht="13">
      <c r="A1780" s="115"/>
      <c r="B1780" s="115"/>
      <c r="C1780" s="115"/>
      <c r="D1780" s="115"/>
      <c r="E1780" s="115"/>
    </row>
    <row r="1781" spans="1:5" ht="13">
      <c r="A1781" s="115"/>
      <c r="B1781" s="115"/>
      <c r="C1781" s="115"/>
      <c r="D1781" s="115"/>
      <c r="E1781" s="115"/>
    </row>
    <row r="1782" spans="1:5" ht="13">
      <c r="A1782" s="115"/>
      <c r="B1782" s="115"/>
      <c r="C1782" s="115"/>
      <c r="D1782" s="115"/>
      <c r="E1782" s="115"/>
    </row>
    <row r="1783" spans="1:5" ht="13">
      <c r="A1783" s="115"/>
      <c r="B1783" s="115"/>
      <c r="C1783" s="115"/>
      <c r="D1783" s="115"/>
      <c r="E1783" s="115"/>
    </row>
    <row r="1784" spans="1:5" ht="13">
      <c r="A1784" s="115"/>
      <c r="B1784" s="115"/>
      <c r="C1784" s="115"/>
      <c r="D1784" s="115"/>
      <c r="E1784" s="115"/>
    </row>
    <row r="1785" spans="1:5" ht="13">
      <c r="A1785" s="115"/>
      <c r="B1785" s="115"/>
      <c r="C1785" s="115"/>
      <c r="D1785" s="115"/>
      <c r="E1785" s="115"/>
    </row>
    <row r="1786" spans="1:5" ht="13">
      <c r="A1786" s="115"/>
      <c r="B1786" s="115"/>
      <c r="C1786" s="115"/>
      <c r="D1786" s="115"/>
      <c r="E1786" s="115"/>
    </row>
    <row r="1787" spans="1:5" ht="13">
      <c r="A1787" s="115"/>
      <c r="B1787" s="115"/>
      <c r="C1787" s="115"/>
      <c r="D1787" s="115"/>
      <c r="E1787" s="115"/>
    </row>
    <row r="1788" spans="1:5" ht="13">
      <c r="A1788" s="115"/>
      <c r="B1788" s="115"/>
      <c r="C1788" s="115"/>
      <c r="D1788" s="115"/>
      <c r="E1788" s="115"/>
    </row>
    <row r="1789" spans="1:5" ht="13">
      <c r="A1789" s="115"/>
      <c r="B1789" s="115"/>
      <c r="C1789" s="115"/>
      <c r="D1789" s="115"/>
      <c r="E1789" s="115"/>
    </row>
    <row r="1790" spans="1:5" ht="13">
      <c r="A1790" s="115"/>
      <c r="B1790" s="115"/>
      <c r="C1790" s="115"/>
      <c r="D1790" s="115"/>
      <c r="E1790" s="115"/>
    </row>
    <row r="1791" spans="1:5" ht="13">
      <c r="A1791" s="115"/>
      <c r="B1791" s="115"/>
      <c r="C1791" s="115"/>
      <c r="D1791" s="115"/>
      <c r="E1791" s="115"/>
    </row>
    <row r="1792" spans="1:5" ht="13">
      <c r="A1792" s="115"/>
      <c r="B1792" s="115"/>
      <c r="C1792" s="115"/>
      <c r="D1792" s="115"/>
      <c r="E1792" s="115"/>
    </row>
    <row r="1793" spans="1:5" ht="13">
      <c r="A1793" s="115"/>
      <c r="B1793" s="115"/>
      <c r="C1793" s="115"/>
      <c r="D1793" s="115"/>
      <c r="E1793" s="115"/>
    </row>
    <row r="1794" spans="1:5" ht="13">
      <c r="A1794" s="115"/>
      <c r="B1794" s="115"/>
      <c r="C1794" s="115"/>
      <c r="D1794" s="115"/>
      <c r="E1794" s="115"/>
    </row>
    <row r="1795" spans="1:5" ht="13">
      <c r="A1795" s="115"/>
      <c r="B1795" s="115"/>
      <c r="C1795" s="115"/>
      <c r="D1795" s="115"/>
      <c r="E1795" s="115"/>
    </row>
    <row r="1796" spans="1:5" ht="13">
      <c r="A1796" s="115"/>
      <c r="B1796" s="115"/>
      <c r="C1796" s="115"/>
      <c r="D1796" s="115"/>
      <c r="E1796" s="115"/>
    </row>
    <row r="1797" spans="1:5" ht="13">
      <c r="A1797" s="115"/>
      <c r="B1797" s="115"/>
      <c r="C1797" s="115"/>
      <c r="D1797" s="115"/>
      <c r="E1797" s="115"/>
    </row>
    <row r="1798" spans="1:5" ht="13">
      <c r="A1798" s="115"/>
      <c r="B1798" s="115"/>
      <c r="C1798" s="115"/>
      <c r="D1798" s="115"/>
      <c r="E1798" s="115"/>
    </row>
    <row r="1799" spans="1:5" ht="13">
      <c r="A1799" s="115"/>
      <c r="B1799" s="115"/>
      <c r="C1799" s="115"/>
      <c r="D1799" s="115"/>
      <c r="E1799" s="115"/>
    </row>
    <row r="1800" spans="1:5" ht="13">
      <c r="A1800" s="115"/>
      <c r="B1800" s="115"/>
      <c r="C1800" s="115"/>
      <c r="D1800" s="115"/>
      <c r="E1800" s="115"/>
    </row>
    <row r="1801" spans="1:5" ht="13">
      <c r="A1801" s="115"/>
      <c r="B1801" s="115"/>
      <c r="C1801" s="115"/>
      <c r="D1801" s="115"/>
      <c r="E1801" s="115"/>
    </row>
    <row r="1802" spans="1:5" ht="13">
      <c r="A1802" s="115"/>
      <c r="B1802" s="115"/>
      <c r="C1802" s="115"/>
      <c r="D1802" s="115"/>
      <c r="E1802" s="115"/>
    </row>
    <row r="1803" spans="1:5" ht="13">
      <c r="A1803" s="115"/>
      <c r="B1803" s="115"/>
      <c r="C1803" s="115"/>
      <c r="D1803" s="115"/>
      <c r="E1803" s="115"/>
    </row>
    <row r="1804" spans="1:5" ht="13">
      <c r="A1804" s="115"/>
      <c r="B1804" s="115"/>
      <c r="C1804" s="115"/>
      <c r="D1804" s="115"/>
      <c r="E1804" s="115"/>
    </row>
    <row r="1805" spans="1:5" ht="13">
      <c r="A1805" s="115"/>
      <c r="B1805" s="115"/>
      <c r="C1805" s="115"/>
      <c r="D1805" s="115"/>
      <c r="E1805" s="115"/>
    </row>
    <row r="1806" spans="1:5" ht="13">
      <c r="A1806" s="115"/>
      <c r="B1806" s="115"/>
      <c r="C1806" s="115"/>
      <c r="D1806" s="115"/>
      <c r="E1806" s="115"/>
    </row>
    <row r="1807" spans="1:5" ht="13">
      <c r="A1807" s="115"/>
      <c r="B1807" s="115"/>
      <c r="C1807" s="115"/>
      <c r="D1807" s="115"/>
      <c r="E1807" s="115"/>
    </row>
    <row r="1808" spans="1:5" ht="13">
      <c r="A1808" s="115"/>
      <c r="B1808" s="115"/>
      <c r="C1808" s="115"/>
      <c r="D1808" s="115"/>
      <c r="E1808" s="115"/>
    </row>
    <row r="1809" spans="1:5" ht="13">
      <c r="A1809" s="115"/>
      <c r="B1809" s="115"/>
      <c r="C1809" s="115"/>
      <c r="D1809" s="115"/>
      <c r="E1809" s="115"/>
    </row>
    <row r="1810" spans="1:5" ht="13">
      <c r="A1810" s="115"/>
      <c r="B1810" s="115"/>
      <c r="C1810" s="115"/>
      <c r="D1810" s="115"/>
      <c r="E1810" s="115"/>
    </row>
    <row r="1811" spans="1:5" ht="13">
      <c r="A1811" s="115"/>
      <c r="B1811" s="115"/>
      <c r="C1811" s="115"/>
      <c r="D1811" s="115"/>
      <c r="E1811" s="115"/>
    </row>
    <row r="1812" spans="1:5" ht="13">
      <c r="A1812" s="115"/>
      <c r="B1812" s="115"/>
      <c r="C1812" s="115"/>
      <c r="D1812" s="115"/>
      <c r="E1812" s="115"/>
    </row>
    <row r="1813" spans="1:5" ht="13">
      <c r="A1813" s="115"/>
      <c r="B1813" s="115"/>
      <c r="C1813" s="115"/>
      <c r="D1813" s="115"/>
      <c r="E1813" s="115"/>
    </row>
    <row r="1814" spans="1:5" ht="13">
      <c r="A1814" s="115"/>
      <c r="B1814" s="115"/>
      <c r="C1814" s="115"/>
      <c r="D1814" s="115"/>
      <c r="E1814" s="115"/>
    </row>
    <row r="1815" spans="1:5" ht="13">
      <c r="A1815" s="115"/>
      <c r="B1815" s="115"/>
      <c r="C1815" s="115"/>
      <c r="D1815" s="115"/>
      <c r="E1815" s="115"/>
    </row>
    <row r="1816" spans="1:5" ht="13">
      <c r="A1816" s="115"/>
      <c r="B1816" s="115"/>
      <c r="C1816" s="115"/>
      <c r="D1816" s="115"/>
      <c r="E1816" s="115"/>
    </row>
    <row r="1817" spans="1:5" ht="13">
      <c r="A1817" s="115"/>
      <c r="B1817" s="115"/>
      <c r="C1817" s="115"/>
      <c r="D1817" s="115"/>
      <c r="E1817" s="115"/>
    </row>
    <row r="1818" spans="1:5" ht="13">
      <c r="A1818" s="115"/>
      <c r="B1818" s="115"/>
      <c r="C1818" s="115"/>
      <c r="D1818" s="115"/>
      <c r="E1818" s="115"/>
    </row>
    <row r="1819" spans="1:5" ht="13">
      <c r="A1819" s="115"/>
      <c r="B1819" s="115"/>
      <c r="C1819" s="115"/>
      <c r="D1819" s="115"/>
      <c r="E1819" s="115"/>
    </row>
    <row r="1820" spans="1:5" ht="13">
      <c r="A1820" s="115"/>
      <c r="B1820" s="115"/>
      <c r="C1820" s="115"/>
      <c r="D1820" s="115"/>
      <c r="E1820" s="115"/>
    </row>
    <row r="1821" spans="1:5" ht="13">
      <c r="A1821" s="115"/>
      <c r="B1821" s="115"/>
      <c r="C1821" s="115"/>
      <c r="D1821" s="115"/>
      <c r="E1821" s="115"/>
    </row>
    <row r="1822" spans="1:5" ht="13">
      <c r="A1822" s="115"/>
      <c r="B1822" s="115"/>
      <c r="C1822" s="115"/>
      <c r="D1822" s="115"/>
      <c r="E1822" s="115"/>
    </row>
    <row r="1823" spans="1:5" ht="13">
      <c r="A1823" s="115"/>
      <c r="B1823" s="115"/>
      <c r="C1823" s="115"/>
      <c r="D1823" s="115"/>
      <c r="E1823" s="115"/>
    </row>
    <row r="1824" spans="1:5" ht="13">
      <c r="A1824" s="115"/>
      <c r="B1824" s="115"/>
      <c r="C1824" s="115"/>
      <c r="D1824" s="115"/>
      <c r="E1824" s="115"/>
    </row>
    <row r="1825" spans="1:5" ht="13">
      <c r="A1825" s="115"/>
      <c r="B1825" s="115"/>
      <c r="C1825" s="115"/>
      <c r="D1825" s="115"/>
      <c r="E1825" s="115"/>
    </row>
    <row r="1826" spans="1:5" ht="13">
      <c r="A1826" s="115"/>
      <c r="B1826" s="115"/>
      <c r="C1826" s="115"/>
      <c r="D1826" s="115"/>
      <c r="E1826" s="115"/>
    </row>
    <row r="1827" spans="1:5" ht="13">
      <c r="A1827" s="115"/>
      <c r="B1827" s="115"/>
      <c r="C1827" s="115"/>
      <c r="D1827" s="115"/>
      <c r="E1827" s="115"/>
    </row>
    <row r="1828" spans="1:5" ht="13">
      <c r="A1828" s="115"/>
      <c r="B1828" s="115"/>
      <c r="C1828" s="115"/>
      <c r="D1828" s="115"/>
      <c r="E1828" s="115"/>
    </row>
    <row r="1829" spans="1:5" ht="13">
      <c r="A1829" s="115"/>
      <c r="B1829" s="115"/>
      <c r="C1829" s="115"/>
      <c r="D1829" s="115"/>
      <c r="E1829" s="115"/>
    </row>
    <row r="1830" spans="1:5" ht="13">
      <c r="A1830" s="115"/>
      <c r="B1830" s="115"/>
      <c r="C1830" s="115"/>
      <c r="D1830" s="115"/>
      <c r="E1830" s="115"/>
    </row>
    <row r="1831" spans="1:5" ht="13">
      <c r="A1831" s="115"/>
      <c r="B1831" s="115"/>
      <c r="C1831" s="115"/>
      <c r="D1831" s="115"/>
      <c r="E1831" s="115"/>
    </row>
    <row r="1832" spans="1:5" ht="13">
      <c r="A1832" s="115"/>
      <c r="B1832" s="115"/>
      <c r="C1832" s="115"/>
      <c r="D1832" s="115"/>
      <c r="E1832" s="115"/>
    </row>
    <row r="1833" spans="1:5" ht="13">
      <c r="A1833" s="115"/>
      <c r="B1833" s="115"/>
      <c r="C1833" s="115"/>
      <c r="D1833" s="115"/>
      <c r="E1833" s="115"/>
    </row>
    <row r="1834" spans="1:5" ht="13">
      <c r="A1834" s="115"/>
      <c r="B1834" s="115"/>
      <c r="C1834" s="115"/>
      <c r="D1834" s="115"/>
      <c r="E1834" s="115"/>
    </row>
    <row r="1835" spans="1:5" ht="13">
      <c r="A1835" s="115"/>
      <c r="B1835" s="115"/>
      <c r="C1835" s="115"/>
      <c r="D1835" s="115"/>
      <c r="E1835" s="115"/>
    </row>
    <row r="1836" spans="1:5" ht="13">
      <c r="A1836" s="115"/>
      <c r="B1836" s="115"/>
      <c r="C1836" s="115"/>
      <c r="D1836" s="115"/>
      <c r="E1836" s="115"/>
    </row>
    <row r="1837" spans="1:5" ht="13">
      <c r="A1837" s="115"/>
      <c r="B1837" s="115"/>
      <c r="C1837" s="115"/>
      <c r="D1837" s="115"/>
      <c r="E1837" s="115"/>
    </row>
    <row r="1838" spans="1:5" ht="13">
      <c r="A1838" s="115"/>
      <c r="B1838" s="115"/>
      <c r="C1838" s="115"/>
      <c r="D1838" s="115"/>
      <c r="E1838" s="115"/>
    </row>
    <row r="1839" spans="1:5" ht="13">
      <c r="A1839" s="115"/>
      <c r="B1839" s="115"/>
      <c r="C1839" s="115"/>
      <c r="D1839" s="115"/>
      <c r="E1839" s="115"/>
    </row>
    <row r="1840" spans="1:5" ht="13">
      <c r="A1840" s="115"/>
      <c r="B1840" s="115"/>
      <c r="C1840" s="115"/>
      <c r="D1840" s="115"/>
      <c r="E1840" s="115"/>
    </row>
    <row r="1841" spans="1:5" ht="13">
      <c r="A1841" s="115"/>
      <c r="B1841" s="115"/>
      <c r="C1841" s="115"/>
      <c r="D1841" s="115"/>
      <c r="E1841" s="115"/>
    </row>
    <row r="1842" spans="1:5" ht="13">
      <c r="A1842" s="115"/>
      <c r="B1842" s="115"/>
      <c r="C1842" s="115"/>
      <c r="D1842" s="115"/>
      <c r="E1842" s="115"/>
    </row>
    <row r="1843" spans="1:5" ht="13">
      <c r="A1843" s="115"/>
      <c r="B1843" s="115"/>
      <c r="C1843" s="115"/>
      <c r="D1843" s="115"/>
      <c r="E1843" s="115"/>
    </row>
    <row r="1844" spans="1:5" ht="13">
      <c r="A1844" s="115"/>
      <c r="B1844" s="115"/>
      <c r="C1844" s="115"/>
      <c r="D1844" s="115"/>
      <c r="E1844" s="115"/>
    </row>
    <row r="1845" spans="1:5" ht="13">
      <c r="A1845" s="115"/>
      <c r="B1845" s="115"/>
      <c r="C1845" s="115"/>
      <c r="D1845" s="115"/>
      <c r="E1845" s="115"/>
    </row>
    <row r="1846" spans="1:5" ht="13">
      <c r="A1846" s="115"/>
      <c r="B1846" s="115"/>
      <c r="C1846" s="115"/>
      <c r="D1846" s="115"/>
      <c r="E1846" s="115"/>
    </row>
    <row r="1847" spans="1:5" ht="13">
      <c r="A1847" s="115"/>
      <c r="B1847" s="115"/>
      <c r="C1847" s="115"/>
      <c r="D1847" s="115"/>
      <c r="E1847" s="115"/>
    </row>
    <row r="1848" spans="1:5" ht="13">
      <c r="A1848" s="115"/>
      <c r="B1848" s="115"/>
      <c r="C1848" s="115"/>
      <c r="D1848" s="115"/>
      <c r="E1848" s="115"/>
    </row>
    <row r="1849" spans="1:5" ht="13">
      <c r="A1849" s="115"/>
      <c r="B1849" s="115"/>
      <c r="C1849" s="115"/>
      <c r="D1849" s="115"/>
      <c r="E1849" s="115"/>
    </row>
    <row r="1850" spans="1:5" ht="13">
      <c r="A1850" s="115"/>
      <c r="B1850" s="115"/>
      <c r="C1850" s="115"/>
      <c r="D1850" s="115"/>
      <c r="E1850" s="115"/>
    </row>
    <row r="1851" spans="1:5" ht="13">
      <c r="A1851" s="115"/>
      <c r="B1851" s="115"/>
      <c r="C1851" s="115"/>
      <c r="D1851" s="115"/>
      <c r="E1851" s="115"/>
    </row>
    <row r="1852" spans="1:5" ht="13">
      <c r="A1852" s="115"/>
      <c r="B1852" s="115"/>
      <c r="C1852" s="115"/>
      <c r="D1852" s="115"/>
      <c r="E1852" s="115"/>
    </row>
    <row r="1853" spans="1:5" ht="13">
      <c r="A1853" s="115"/>
      <c r="B1853" s="115"/>
      <c r="C1853" s="115"/>
      <c r="D1853" s="115"/>
      <c r="E1853" s="115"/>
    </row>
    <row r="1854" spans="1:5" ht="13">
      <c r="A1854" s="115"/>
      <c r="B1854" s="115"/>
      <c r="C1854" s="115"/>
      <c r="D1854" s="115"/>
      <c r="E1854" s="115"/>
    </row>
    <row r="1855" spans="1:5" ht="13">
      <c r="A1855" s="115"/>
      <c r="B1855" s="115"/>
      <c r="C1855" s="115"/>
      <c r="D1855" s="115"/>
      <c r="E1855" s="115"/>
    </row>
    <row r="1856" spans="1:5" ht="13">
      <c r="A1856" s="115"/>
      <c r="B1856" s="115"/>
      <c r="C1856" s="115"/>
      <c r="D1856" s="115"/>
      <c r="E1856" s="115"/>
    </row>
    <row r="1857" spans="1:5" ht="13">
      <c r="A1857" s="115"/>
      <c r="B1857" s="115"/>
      <c r="C1857" s="115"/>
      <c r="D1857" s="115"/>
      <c r="E1857" s="115"/>
    </row>
    <row r="1858" spans="1:5" ht="13">
      <c r="A1858" s="115"/>
      <c r="B1858" s="115"/>
      <c r="C1858" s="115"/>
      <c r="D1858" s="115"/>
      <c r="E1858" s="115"/>
    </row>
    <row r="1859" spans="1:5" ht="13">
      <c r="A1859" s="115"/>
      <c r="B1859" s="115"/>
      <c r="C1859" s="115"/>
      <c r="D1859" s="115"/>
      <c r="E1859" s="115"/>
    </row>
    <row r="1860" spans="1:5" ht="13">
      <c r="A1860" s="115"/>
      <c r="B1860" s="115"/>
      <c r="C1860" s="115"/>
      <c r="D1860" s="115"/>
      <c r="E1860" s="115"/>
    </row>
    <row r="1861" spans="1:5" ht="13">
      <c r="A1861" s="115"/>
      <c r="B1861" s="115"/>
      <c r="C1861" s="115"/>
      <c r="D1861" s="115"/>
      <c r="E1861" s="115"/>
    </row>
    <row r="1862" spans="1:5" ht="13">
      <c r="A1862" s="115"/>
      <c r="B1862" s="115"/>
      <c r="C1862" s="115"/>
      <c r="D1862" s="115"/>
      <c r="E1862" s="115"/>
    </row>
    <row r="1863" spans="1:5" ht="13">
      <c r="A1863" s="115"/>
      <c r="B1863" s="115"/>
      <c r="C1863" s="115"/>
      <c r="D1863" s="115"/>
      <c r="E1863" s="115"/>
    </row>
    <row r="1864" spans="1:5" ht="13">
      <c r="A1864" s="115"/>
      <c r="B1864" s="115"/>
      <c r="C1864" s="115"/>
      <c r="D1864" s="115"/>
      <c r="E1864" s="115"/>
    </row>
    <row r="1865" spans="1:5" ht="13">
      <c r="A1865" s="115"/>
      <c r="B1865" s="115"/>
      <c r="C1865" s="115"/>
      <c r="D1865" s="115"/>
      <c r="E1865" s="115"/>
    </row>
    <row r="1866" spans="1:5" ht="13">
      <c r="A1866" s="115"/>
      <c r="B1866" s="115"/>
      <c r="C1866" s="115"/>
      <c r="D1866" s="115"/>
      <c r="E1866" s="115"/>
    </row>
    <row r="1867" spans="1:5" ht="13">
      <c r="A1867" s="115"/>
      <c r="B1867" s="115"/>
      <c r="C1867" s="115"/>
      <c r="D1867" s="115"/>
      <c r="E1867" s="115"/>
    </row>
    <row r="1868" spans="1:5" ht="13">
      <c r="A1868" s="115"/>
      <c r="B1868" s="115"/>
      <c r="C1868" s="115"/>
      <c r="D1868" s="115"/>
      <c r="E1868" s="115"/>
    </row>
    <row r="1869" spans="1:5" ht="13">
      <c r="A1869" s="115"/>
      <c r="B1869" s="115"/>
      <c r="C1869" s="115"/>
      <c r="D1869" s="115"/>
      <c r="E1869" s="115"/>
    </row>
    <row r="1870" spans="1:5" ht="13">
      <c r="A1870" s="115"/>
      <c r="B1870" s="115"/>
      <c r="C1870" s="115"/>
      <c r="D1870" s="115"/>
      <c r="E1870" s="115"/>
    </row>
    <row r="1871" spans="1:5" ht="13">
      <c r="A1871" s="115"/>
      <c r="B1871" s="115"/>
      <c r="C1871" s="115"/>
      <c r="D1871" s="115"/>
      <c r="E1871" s="115"/>
    </row>
    <row r="1872" spans="1:5" ht="13">
      <c r="A1872" s="115"/>
      <c r="B1872" s="115"/>
      <c r="C1872" s="115"/>
      <c r="D1872" s="115"/>
      <c r="E1872" s="115"/>
    </row>
    <row r="1873" spans="1:5" ht="13">
      <c r="A1873" s="115"/>
      <c r="B1873" s="115"/>
      <c r="C1873" s="115"/>
      <c r="D1873" s="115"/>
      <c r="E1873" s="115"/>
    </row>
    <row r="1874" spans="1:5" ht="13">
      <c r="A1874" s="115"/>
      <c r="B1874" s="115"/>
      <c r="C1874" s="115"/>
      <c r="D1874" s="115"/>
      <c r="E1874" s="115"/>
    </row>
    <row r="1875" spans="1:5" ht="13">
      <c r="A1875" s="115"/>
      <c r="B1875" s="115"/>
      <c r="C1875" s="115"/>
      <c r="D1875" s="115"/>
      <c r="E1875" s="115"/>
    </row>
    <row r="1876" spans="1:5" ht="13">
      <c r="A1876" s="115"/>
      <c r="B1876" s="115"/>
      <c r="C1876" s="115"/>
      <c r="D1876" s="115"/>
      <c r="E1876" s="115"/>
    </row>
    <row r="1877" spans="1:5" ht="13">
      <c r="A1877" s="115"/>
      <c r="B1877" s="115"/>
      <c r="C1877" s="115"/>
      <c r="D1877" s="115"/>
      <c r="E1877" s="115"/>
    </row>
    <row r="1878" spans="1:5" ht="13">
      <c r="A1878" s="115"/>
      <c r="B1878" s="115"/>
      <c r="C1878" s="115"/>
      <c r="D1878" s="115"/>
      <c r="E1878" s="115"/>
    </row>
    <row r="1879" spans="1:5" ht="13">
      <c r="A1879" s="115"/>
      <c r="B1879" s="115"/>
      <c r="C1879" s="115"/>
      <c r="D1879" s="115"/>
      <c r="E1879" s="115"/>
    </row>
    <row r="1880" spans="1:5" ht="13">
      <c r="A1880" s="115"/>
      <c r="B1880" s="115"/>
      <c r="C1880" s="115"/>
      <c r="D1880" s="115"/>
      <c r="E1880" s="115"/>
    </row>
    <row r="1881" spans="1:5" ht="13">
      <c r="A1881" s="115"/>
      <c r="B1881" s="115"/>
      <c r="C1881" s="115"/>
      <c r="D1881" s="115"/>
      <c r="E1881" s="115"/>
    </row>
    <row r="1882" spans="1:5" ht="13">
      <c r="A1882" s="115"/>
      <c r="B1882" s="115"/>
      <c r="C1882" s="115"/>
      <c r="D1882" s="115"/>
      <c r="E1882" s="115"/>
    </row>
    <row r="1883" spans="1:5" ht="13">
      <c r="A1883" s="115"/>
      <c r="B1883" s="115"/>
      <c r="C1883" s="115"/>
      <c r="D1883" s="115"/>
      <c r="E1883" s="115"/>
    </row>
    <row r="1884" spans="1:5" ht="13">
      <c r="A1884" s="115"/>
      <c r="B1884" s="115"/>
      <c r="C1884" s="115"/>
      <c r="D1884" s="115"/>
      <c r="E1884" s="115"/>
    </row>
    <row r="1885" spans="1:5" ht="13">
      <c r="A1885" s="115"/>
      <c r="B1885" s="115"/>
      <c r="C1885" s="115"/>
      <c r="D1885" s="115"/>
      <c r="E1885" s="115"/>
    </row>
    <row r="1886" spans="1:5" ht="13">
      <c r="A1886" s="115"/>
      <c r="B1886" s="115"/>
      <c r="C1886" s="115"/>
      <c r="D1886" s="115"/>
      <c r="E1886" s="115"/>
    </row>
    <row r="1887" spans="1:5" ht="13">
      <c r="A1887" s="115"/>
      <c r="B1887" s="115"/>
      <c r="C1887" s="115"/>
      <c r="D1887" s="115"/>
      <c r="E1887" s="115"/>
    </row>
    <row r="1888" spans="1:5" ht="13">
      <c r="A1888" s="115"/>
      <c r="B1888" s="115"/>
      <c r="C1888" s="115"/>
      <c r="D1888" s="115"/>
      <c r="E1888" s="115"/>
    </row>
    <row r="1889" spans="1:5" ht="13">
      <c r="A1889" s="115"/>
      <c r="B1889" s="115"/>
      <c r="C1889" s="115"/>
      <c r="D1889" s="115"/>
      <c r="E1889" s="115"/>
    </row>
    <row r="1890" spans="1:5" ht="13">
      <c r="A1890" s="115"/>
      <c r="B1890" s="115"/>
      <c r="C1890" s="115"/>
      <c r="D1890" s="115"/>
      <c r="E1890" s="115"/>
    </row>
    <row r="1891" spans="1:5" ht="13">
      <c r="A1891" s="115"/>
      <c r="B1891" s="115"/>
      <c r="C1891" s="115"/>
      <c r="D1891" s="115"/>
      <c r="E1891" s="115"/>
    </row>
    <row r="1892" spans="1:5" ht="13">
      <c r="A1892" s="115"/>
      <c r="B1892" s="115"/>
      <c r="C1892" s="115"/>
      <c r="D1892" s="115"/>
      <c r="E1892" s="115"/>
    </row>
    <row r="1893" spans="1:5" ht="13">
      <c r="A1893" s="115"/>
      <c r="B1893" s="115"/>
      <c r="C1893" s="115"/>
      <c r="D1893" s="115"/>
      <c r="E1893" s="115"/>
    </row>
    <row r="1894" spans="1:5" ht="13">
      <c r="A1894" s="115"/>
      <c r="B1894" s="115"/>
      <c r="C1894" s="115"/>
      <c r="D1894" s="115"/>
      <c r="E1894" s="115"/>
    </row>
    <row r="1895" spans="1:5" ht="13">
      <c r="A1895" s="115"/>
      <c r="B1895" s="115"/>
      <c r="C1895" s="115"/>
      <c r="D1895" s="115"/>
      <c r="E1895" s="115"/>
    </row>
    <row r="1896" spans="1:5" ht="13">
      <c r="A1896" s="115"/>
      <c r="B1896" s="115"/>
      <c r="C1896" s="115"/>
      <c r="D1896" s="115"/>
      <c r="E1896" s="115"/>
    </row>
    <row r="1897" spans="1:5" ht="13">
      <c r="A1897" s="115"/>
      <c r="B1897" s="115"/>
      <c r="C1897" s="115"/>
      <c r="D1897" s="115"/>
      <c r="E1897" s="115"/>
    </row>
    <row r="1898" spans="1:5" ht="13">
      <c r="A1898" s="115"/>
      <c r="B1898" s="115"/>
      <c r="C1898" s="115"/>
      <c r="D1898" s="115"/>
      <c r="E1898" s="115"/>
    </row>
    <row r="1899" spans="1:5" ht="13">
      <c r="A1899" s="115"/>
      <c r="B1899" s="115"/>
      <c r="C1899" s="115"/>
      <c r="D1899" s="115"/>
      <c r="E1899" s="115"/>
    </row>
    <row r="1900" spans="1:5" ht="13">
      <c r="A1900" s="115"/>
      <c r="B1900" s="115"/>
      <c r="C1900" s="115"/>
      <c r="D1900" s="115"/>
      <c r="E1900" s="115"/>
    </row>
    <row r="1901" spans="1:5" ht="13">
      <c r="A1901" s="115"/>
      <c r="B1901" s="115"/>
      <c r="C1901" s="115"/>
      <c r="D1901" s="115"/>
      <c r="E1901" s="115"/>
    </row>
    <row r="1902" spans="1:5" ht="13">
      <c r="A1902" s="115"/>
      <c r="B1902" s="115"/>
      <c r="C1902" s="115"/>
      <c r="D1902" s="115"/>
      <c r="E1902" s="115"/>
    </row>
    <row r="1903" spans="1:5" ht="13">
      <c r="A1903" s="115"/>
      <c r="B1903" s="115"/>
      <c r="C1903" s="115"/>
      <c r="D1903" s="115"/>
      <c r="E1903" s="115"/>
    </row>
    <row r="1904" spans="1:5" ht="13">
      <c r="A1904" s="115"/>
      <c r="B1904" s="115"/>
      <c r="C1904" s="115"/>
      <c r="D1904" s="115"/>
      <c r="E1904" s="115"/>
    </row>
    <row r="1905" spans="1:5" ht="13">
      <c r="A1905" s="115"/>
      <c r="B1905" s="115"/>
      <c r="C1905" s="115"/>
      <c r="D1905" s="115"/>
      <c r="E1905" s="115"/>
    </row>
    <row r="1906" spans="1:5" ht="13">
      <c r="A1906" s="115"/>
      <c r="B1906" s="115"/>
      <c r="C1906" s="115"/>
      <c r="D1906" s="115"/>
      <c r="E1906" s="115"/>
    </row>
    <row r="1907" spans="1:5" ht="13">
      <c r="A1907" s="115"/>
      <c r="B1907" s="115"/>
      <c r="C1907" s="115"/>
      <c r="D1907" s="115"/>
      <c r="E1907" s="115"/>
    </row>
    <row r="1908" spans="1:5" ht="13">
      <c r="A1908" s="115"/>
      <c r="B1908" s="115"/>
      <c r="C1908" s="115"/>
      <c r="D1908" s="115"/>
      <c r="E1908" s="115"/>
    </row>
    <row r="1909" spans="1:5" ht="13">
      <c r="A1909" s="115"/>
      <c r="B1909" s="115"/>
      <c r="C1909" s="115"/>
      <c r="D1909" s="115"/>
      <c r="E1909" s="115"/>
    </row>
    <row r="1910" spans="1:5" ht="13">
      <c r="A1910" s="115"/>
      <c r="B1910" s="115"/>
      <c r="C1910" s="115"/>
      <c r="D1910" s="115"/>
      <c r="E1910" s="115"/>
    </row>
    <row r="1911" spans="1:5" ht="13">
      <c r="A1911" s="115"/>
      <c r="B1911" s="115"/>
      <c r="C1911" s="115"/>
      <c r="D1911" s="115"/>
      <c r="E1911" s="115"/>
    </row>
    <row r="1912" spans="1:5" ht="13">
      <c r="A1912" s="115"/>
      <c r="B1912" s="115"/>
      <c r="C1912" s="115"/>
      <c r="D1912" s="115"/>
      <c r="E1912" s="115"/>
    </row>
    <row r="1913" spans="1:5" ht="13">
      <c r="A1913" s="115"/>
      <c r="B1913" s="115"/>
      <c r="C1913" s="115"/>
      <c r="D1913" s="115"/>
      <c r="E1913" s="115"/>
    </row>
    <row r="1914" spans="1:5" ht="13">
      <c r="A1914" s="115"/>
      <c r="B1914" s="115"/>
      <c r="C1914" s="115"/>
      <c r="D1914" s="115"/>
      <c r="E1914" s="115"/>
    </row>
    <row r="1915" spans="1:5" ht="13">
      <c r="A1915" s="115"/>
      <c r="B1915" s="115"/>
      <c r="C1915" s="115"/>
      <c r="D1915" s="115"/>
      <c r="E1915" s="115"/>
    </row>
    <row r="1916" spans="1:5" ht="13">
      <c r="A1916" s="115"/>
      <c r="B1916" s="115"/>
      <c r="C1916" s="115"/>
      <c r="D1916" s="115"/>
      <c r="E1916" s="115"/>
    </row>
    <row r="1917" spans="1:5" ht="13">
      <c r="A1917" s="115"/>
      <c r="B1917" s="115"/>
      <c r="C1917" s="115"/>
      <c r="D1917" s="115"/>
      <c r="E1917" s="115"/>
    </row>
    <row r="1918" spans="1:5" ht="13">
      <c r="A1918" s="115"/>
      <c r="B1918" s="115"/>
      <c r="C1918" s="115"/>
      <c r="D1918" s="115"/>
      <c r="E1918" s="115"/>
    </row>
    <row r="1919" spans="1:5" ht="13">
      <c r="A1919" s="115"/>
      <c r="B1919" s="115"/>
      <c r="C1919" s="115"/>
      <c r="D1919" s="115"/>
      <c r="E1919" s="115"/>
    </row>
    <row r="1920" spans="1:5" ht="13">
      <c r="A1920" s="115"/>
      <c r="B1920" s="115"/>
      <c r="C1920" s="115"/>
      <c r="D1920" s="115"/>
      <c r="E1920" s="115"/>
    </row>
    <row r="1921" spans="1:5" ht="13">
      <c r="A1921" s="115"/>
      <c r="B1921" s="115"/>
      <c r="C1921" s="115"/>
      <c r="D1921" s="115"/>
      <c r="E1921" s="115"/>
    </row>
    <row r="1922" spans="1:5" ht="13">
      <c r="A1922" s="115"/>
      <c r="B1922" s="115"/>
      <c r="C1922" s="115"/>
      <c r="D1922" s="115"/>
      <c r="E1922" s="115"/>
    </row>
    <row r="1923" spans="1:5" ht="13">
      <c r="A1923" s="115"/>
      <c r="B1923" s="115"/>
      <c r="C1923" s="115"/>
      <c r="D1923" s="115"/>
      <c r="E1923" s="115"/>
    </row>
    <row r="1924" spans="1:5" ht="13">
      <c r="A1924" s="115"/>
      <c r="B1924" s="115"/>
      <c r="C1924" s="115"/>
      <c r="D1924" s="115"/>
      <c r="E1924" s="115"/>
    </row>
    <row r="1925" spans="1:5" ht="13">
      <c r="A1925" s="115"/>
      <c r="B1925" s="115"/>
      <c r="C1925" s="115"/>
      <c r="D1925" s="115"/>
      <c r="E1925" s="115"/>
    </row>
    <row r="1926" spans="1:5" ht="13">
      <c r="A1926" s="115"/>
      <c r="B1926" s="115"/>
      <c r="C1926" s="115"/>
      <c r="D1926" s="115"/>
      <c r="E1926" s="115"/>
    </row>
    <row r="1927" spans="1:5" ht="13">
      <c r="A1927" s="115"/>
      <c r="B1927" s="115"/>
      <c r="C1927" s="115"/>
      <c r="D1927" s="115"/>
      <c r="E1927" s="115"/>
    </row>
    <row r="1928" spans="1:5" ht="13">
      <c r="A1928" s="115"/>
      <c r="B1928" s="115"/>
      <c r="C1928" s="115"/>
      <c r="D1928" s="115"/>
      <c r="E1928" s="115"/>
    </row>
    <row r="1929" spans="1:5" ht="13">
      <c r="A1929" s="115"/>
      <c r="B1929" s="115"/>
      <c r="C1929" s="115"/>
      <c r="D1929" s="115"/>
      <c r="E1929" s="115"/>
    </row>
    <row r="1930" spans="1:5" ht="13">
      <c r="A1930" s="115"/>
      <c r="B1930" s="115"/>
      <c r="C1930" s="115"/>
      <c r="D1930" s="115"/>
      <c r="E1930" s="115"/>
    </row>
    <row r="1931" spans="1:5" ht="13">
      <c r="A1931" s="115"/>
      <c r="B1931" s="115"/>
      <c r="C1931" s="115"/>
      <c r="D1931" s="115"/>
      <c r="E1931" s="115"/>
    </row>
    <row r="1932" spans="1:5" ht="13">
      <c r="A1932" s="115"/>
      <c r="B1932" s="115"/>
      <c r="C1932" s="115"/>
      <c r="D1932" s="115"/>
      <c r="E1932" s="115"/>
    </row>
    <row r="1933" spans="1:5" ht="13">
      <c r="A1933" s="115"/>
      <c r="B1933" s="115"/>
      <c r="C1933" s="115"/>
      <c r="D1933" s="115"/>
      <c r="E1933" s="115"/>
    </row>
    <row r="1934" spans="1:5" ht="13">
      <c r="A1934" s="115"/>
      <c r="B1934" s="115"/>
      <c r="C1934" s="115"/>
      <c r="D1934" s="115"/>
      <c r="E1934" s="115"/>
    </row>
    <row r="1935" spans="1:5" ht="13">
      <c r="A1935" s="115"/>
      <c r="B1935" s="115"/>
      <c r="C1935" s="115"/>
      <c r="D1935" s="115"/>
      <c r="E1935" s="115"/>
    </row>
    <row r="1936" spans="1:5" ht="13">
      <c r="A1936" s="115"/>
      <c r="B1936" s="115"/>
      <c r="C1936" s="115"/>
      <c r="D1936" s="115"/>
      <c r="E1936" s="115"/>
    </row>
    <row r="1937" spans="1:5" ht="13">
      <c r="A1937" s="115"/>
      <c r="B1937" s="115"/>
      <c r="C1937" s="115"/>
      <c r="D1937" s="115"/>
      <c r="E1937" s="115"/>
    </row>
    <row r="1938" spans="1:5" ht="13">
      <c r="A1938" s="115"/>
      <c r="B1938" s="115"/>
      <c r="C1938" s="115"/>
      <c r="D1938" s="115"/>
      <c r="E1938" s="115"/>
    </row>
    <row r="1939" spans="1:5" ht="13">
      <c r="A1939" s="115"/>
      <c r="B1939" s="115"/>
      <c r="C1939" s="115"/>
      <c r="D1939" s="115"/>
      <c r="E1939" s="115"/>
    </row>
    <row r="1940" spans="1:5" ht="13">
      <c r="A1940" s="115"/>
      <c r="B1940" s="115"/>
      <c r="C1940" s="115"/>
      <c r="D1940" s="115"/>
      <c r="E1940" s="115"/>
    </row>
    <row r="1941" spans="1:5" ht="13">
      <c r="A1941" s="115"/>
      <c r="B1941" s="115"/>
      <c r="C1941" s="115"/>
      <c r="D1941" s="115"/>
      <c r="E1941" s="115"/>
    </row>
    <row r="1942" spans="1:5" ht="13">
      <c r="A1942" s="115"/>
      <c r="B1942" s="115"/>
      <c r="C1942" s="115"/>
      <c r="D1942" s="115"/>
      <c r="E1942" s="115"/>
    </row>
    <row r="1943" spans="1:5" ht="13">
      <c r="A1943" s="115"/>
      <c r="B1943" s="115"/>
      <c r="C1943" s="115"/>
      <c r="D1943" s="115"/>
      <c r="E1943" s="115"/>
    </row>
    <row r="1944" spans="1:5" ht="13">
      <c r="A1944" s="115"/>
      <c r="B1944" s="115"/>
      <c r="C1944" s="115"/>
      <c r="D1944" s="115"/>
      <c r="E1944" s="115"/>
    </row>
    <row r="1945" spans="1:5" ht="13">
      <c r="A1945" s="115"/>
      <c r="B1945" s="115"/>
      <c r="C1945" s="115"/>
      <c r="D1945" s="115"/>
      <c r="E1945" s="115"/>
    </row>
    <row r="1946" spans="1:5" ht="13">
      <c r="A1946" s="115"/>
      <c r="B1946" s="115"/>
      <c r="C1946" s="115"/>
      <c r="D1946" s="115"/>
      <c r="E1946" s="115"/>
    </row>
    <row r="1947" spans="1:5" ht="13">
      <c r="A1947" s="115"/>
      <c r="B1947" s="115"/>
      <c r="C1947" s="115"/>
      <c r="D1947" s="115"/>
      <c r="E1947" s="115"/>
    </row>
    <row r="1948" spans="1:5" ht="13">
      <c r="A1948" s="115"/>
      <c r="B1948" s="115"/>
      <c r="C1948" s="115"/>
      <c r="D1948" s="115"/>
      <c r="E1948" s="115"/>
    </row>
    <row r="1949" spans="1:5" ht="13">
      <c r="A1949" s="115"/>
      <c r="B1949" s="115"/>
      <c r="C1949" s="115"/>
      <c r="D1949" s="115"/>
      <c r="E1949" s="115"/>
    </row>
    <row r="1950" spans="1:5" ht="13">
      <c r="A1950" s="115"/>
      <c r="B1950" s="115"/>
      <c r="C1950" s="115"/>
      <c r="D1950" s="115"/>
      <c r="E1950" s="115"/>
    </row>
    <row r="1951" spans="1:5" ht="13">
      <c r="A1951" s="115"/>
      <c r="B1951" s="115"/>
      <c r="C1951" s="115"/>
      <c r="D1951" s="115"/>
      <c r="E1951" s="115"/>
    </row>
    <row r="1952" spans="1:5" ht="13">
      <c r="A1952" s="115"/>
      <c r="B1952" s="115"/>
      <c r="C1952" s="115"/>
      <c r="D1952" s="115"/>
      <c r="E1952" s="115"/>
    </row>
    <row r="1953" spans="1:5" ht="13">
      <c r="A1953" s="115"/>
      <c r="B1953" s="115"/>
      <c r="C1953" s="115"/>
      <c r="D1953" s="115"/>
      <c r="E1953" s="115"/>
    </row>
    <row r="1954" spans="1:5" ht="13">
      <c r="A1954" s="115"/>
      <c r="B1954" s="115"/>
      <c r="C1954" s="115"/>
      <c r="D1954" s="115"/>
      <c r="E1954" s="115"/>
    </row>
    <row r="1955" spans="1:5" ht="13">
      <c r="A1955" s="115"/>
      <c r="B1955" s="115"/>
      <c r="C1955" s="115"/>
      <c r="D1955" s="115"/>
      <c r="E1955" s="115"/>
    </row>
    <row r="1956" spans="1:5" ht="13">
      <c r="A1956" s="115"/>
      <c r="B1956" s="115"/>
      <c r="C1956" s="115"/>
      <c r="D1956" s="115"/>
      <c r="E1956" s="115"/>
    </row>
    <row r="1957" spans="1:5" ht="13">
      <c r="A1957" s="115"/>
      <c r="B1957" s="115"/>
      <c r="C1957" s="115"/>
      <c r="D1957" s="115"/>
      <c r="E1957" s="115"/>
    </row>
    <row r="1958" spans="1:5" ht="13">
      <c r="A1958" s="115"/>
      <c r="B1958" s="115"/>
      <c r="C1958" s="115"/>
      <c r="D1958" s="115"/>
      <c r="E1958" s="115"/>
    </row>
    <row r="1959" spans="1:5" ht="13">
      <c r="A1959" s="115"/>
      <c r="B1959" s="115"/>
      <c r="C1959" s="115"/>
      <c r="D1959" s="115"/>
      <c r="E1959" s="115"/>
    </row>
    <row r="1960" spans="1:5" ht="13">
      <c r="A1960" s="115"/>
      <c r="B1960" s="115"/>
      <c r="C1960" s="115"/>
      <c r="D1960" s="115"/>
      <c r="E1960" s="115"/>
    </row>
    <row r="1961" spans="1:5" ht="13">
      <c r="A1961" s="115"/>
      <c r="B1961" s="115"/>
      <c r="C1961" s="115"/>
      <c r="D1961" s="115"/>
      <c r="E1961" s="115"/>
    </row>
    <row r="1962" spans="1:5" ht="13">
      <c r="A1962" s="115"/>
      <c r="B1962" s="115"/>
      <c r="C1962" s="115"/>
      <c r="D1962" s="115"/>
      <c r="E1962" s="115"/>
    </row>
    <row r="1963" spans="1:5" ht="13">
      <c r="A1963" s="115"/>
      <c r="B1963" s="115"/>
      <c r="C1963" s="115"/>
      <c r="D1963" s="115"/>
      <c r="E1963" s="115"/>
    </row>
    <row r="1964" spans="1:5" ht="13">
      <c r="A1964" s="115"/>
      <c r="B1964" s="115"/>
      <c r="C1964" s="115"/>
      <c r="D1964" s="115"/>
      <c r="E1964" s="115"/>
    </row>
    <row r="1965" spans="1:5" ht="13">
      <c r="A1965" s="115"/>
      <c r="B1965" s="115"/>
      <c r="C1965" s="115"/>
      <c r="D1965" s="115"/>
      <c r="E1965" s="115"/>
    </row>
    <row r="1966" spans="1:5" ht="13">
      <c r="A1966" s="115"/>
      <c r="B1966" s="115"/>
      <c r="C1966" s="115"/>
      <c r="D1966" s="115"/>
      <c r="E1966" s="115"/>
    </row>
    <row r="1967" spans="1:5" ht="13">
      <c r="A1967" s="115"/>
      <c r="B1967" s="115"/>
      <c r="C1967" s="115"/>
      <c r="D1967" s="115"/>
      <c r="E1967" s="115"/>
    </row>
    <row r="1968" spans="1:5" ht="13">
      <c r="A1968" s="115"/>
      <c r="B1968" s="115"/>
      <c r="C1968" s="115"/>
      <c r="D1968" s="115"/>
      <c r="E1968" s="115"/>
    </row>
    <row r="1969" spans="1:5" ht="13">
      <c r="A1969" s="115"/>
      <c r="B1969" s="115"/>
      <c r="C1969" s="115"/>
      <c r="D1969" s="115"/>
      <c r="E1969" s="115"/>
    </row>
    <row r="1970" spans="1:5" ht="13">
      <c r="A1970" s="115"/>
      <c r="B1970" s="115"/>
      <c r="C1970" s="115"/>
      <c r="D1970" s="115"/>
      <c r="E1970" s="115"/>
    </row>
    <row r="1971" spans="1:5" ht="13">
      <c r="A1971" s="115"/>
      <c r="B1971" s="115"/>
      <c r="C1971" s="115"/>
      <c r="D1971" s="115"/>
      <c r="E1971" s="115"/>
    </row>
    <row r="1972" spans="1:5" ht="13">
      <c r="A1972" s="115"/>
      <c r="B1972" s="115"/>
      <c r="C1972" s="115"/>
      <c r="D1972" s="115"/>
      <c r="E1972" s="115"/>
    </row>
    <row r="1973" spans="1:5" ht="13">
      <c r="A1973" s="115"/>
      <c r="B1973" s="115"/>
      <c r="C1973" s="115"/>
      <c r="D1973" s="115"/>
      <c r="E1973" s="115"/>
    </row>
    <row r="1974" spans="1:5" ht="13">
      <c r="A1974" s="115"/>
      <c r="B1974" s="115"/>
      <c r="C1974" s="115"/>
      <c r="D1974" s="115"/>
      <c r="E1974" s="115"/>
    </row>
    <row r="1975" spans="1:5" ht="13">
      <c r="A1975" s="115"/>
      <c r="B1975" s="115"/>
      <c r="C1975" s="115"/>
      <c r="D1975" s="115"/>
      <c r="E1975" s="115"/>
    </row>
    <row r="1976" spans="1:5" ht="13">
      <c r="A1976" s="115"/>
      <c r="B1976" s="115"/>
      <c r="C1976" s="115"/>
      <c r="D1976" s="115"/>
      <c r="E1976" s="115"/>
    </row>
    <row r="1977" spans="1:5" ht="13">
      <c r="A1977" s="115"/>
      <c r="B1977" s="115"/>
      <c r="C1977" s="115"/>
      <c r="D1977" s="115"/>
      <c r="E1977" s="115"/>
    </row>
    <row r="1978" spans="1:5" ht="13">
      <c r="A1978" s="115"/>
      <c r="B1978" s="115"/>
      <c r="C1978" s="115"/>
      <c r="D1978" s="115"/>
      <c r="E1978" s="115"/>
    </row>
    <row r="1979" spans="1:5" ht="13">
      <c r="A1979" s="115"/>
      <c r="B1979" s="115"/>
      <c r="C1979" s="115"/>
      <c r="D1979" s="115"/>
      <c r="E1979" s="115"/>
    </row>
    <row r="1980" spans="1:5" ht="13">
      <c r="A1980" s="115"/>
      <c r="B1980" s="115"/>
      <c r="C1980" s="115"/>
      <c r="D1980" s="115"/>
      <c r="E1980" s="115"/>
    </row>
    <row r="1981" spans="1:5" ht="13">
      <c r="A1981" s="115"/>
      <c r="B1981" s="115"/>
      <c r="C1981" s="115"/>
      <c r="D1981" s="115"/>
      <c r="E1981" s="115"/>
    </row>
    <row r="1982" spans="1:5" ht="13">
      <c r="A1982" s="115"/>
      <c r="B1982" s="115"/>
      <c r="C1982" s="115"/>
      <c r="D1982" s="115"/>
      <c r="E1982" s="115"/>
    </row>
    <row r="1983" spans="1:5" ht="13">
      <c r="A1983" s="115"/>
      <c r="B1983" s="115"/>
      <c r="C1983" s="115"/>
      <c r="D1983" s="115"/>
      <c r="E1983" s="115"/>
    </row>
    <row r="1984" spans="1:5" ht="13">
      <c r="A1984" s="115"/>
      <c r="B1984" s="115"/>
      <c r="C1984" s="115"/>
      <c r="D1984" s="115"/>
      <c r="E1984" s="115"/>
    </row>
    <row r="1985" spans="1:5" ht="13">
      <c r="A1985" s="115"/>
      <c r="B1985" s="115"/>
      <c r="C1985" s="115"/>
      <c r="D1985" s="115"/>
      <c r="E1985" s="115"/>
    </row>
    <row r="1986" spans="1:5" ht="13">
      <c r="A1986" s="115"/>
      <c r="B1986" s="115"/>
      <c r="C1986" s="115"/>
      <c r="D1986" s="115"/>
      <c r="E1986" s="115"/>
    </row>
    <row r="1987" spans="1:5" ht="13">
      <c r="A1987" s="115"/>
      <c r="B1987" s="115"/>
      <c r="C1987" s="115"/>
      <c r="D1987" s="115"/>
      <c r="E1987" s="115"/>
    </row>
    <row r="1988" spans="1:5" ht="13">
      <c r="A1988" s="115"/>
      <c r="B1988" s="115"/>
      <c r="C1988" s="115"/>
      <c r="D1988" s="115"/>
      <c r="E1988" s="115"/>
    </row>
    <row r="1989" spans="1:5" ht="13">
      <c r="A1989" s="115"/>
      <c r="B1989" s="115"/>
      <c r="C1989" s="115"/>
      <c r="D1989" s="115"/>
      <c r="E1989" s="115"/>
    </row>
    <row r="1990" spans="1:5" ht="13">
      <c r="A1990" s="115"/>
      <c r="B1990" s="115"/>
      <c r="C1990" s="115"/>
      <c r="D1990" s="115"/>
      <c r="E1990" s="115"/>
    </row>
    <row r="1991" spans="1:5" ht="13">
      <c r="A1991" s="115"/>
      <c r="B1991" s="115"/>
      <c r="C1991" s="115"/>
      <c r="D1991" s="115"/>
      <c r="E1991" s="115"/>
    </row>
    <row r="1992" spans="1:5" ht="13">
      <c r="A1992" s="115"/>
      <c r="B1992" s="115"/>
      <c r="C1992" s="115"/>
      <c r="D1992" s="115"/>
      <c r="E1992" s="115"/>
    </row>
    <row r="1993" spans="1:5" ht="13">
      <c r="A1993" s="115"/>
      <c r="B1993" s="115"/>
      <c r="C1993" s="115"/>
      <c r="D1993" s="115"/>
      <c r="E1993" s="115"/>
    </row>
    <row r="1994" spans="1:5" ht="13">
      <c r="A1994" s="115"/>
      <c r="B1994" s="115"/>
      <c r="C1994" s="115"/>
      <c r="D1994" s="115"/>
      <c r="E1994" s="115"/>
    </row>
    <row r="1995" spans="1:5" ht="13">
      <c r="A1995" s="115"/>
      <c r="B1995" s="115"/>
      <c r="C1995" s="115"/>
      <c r="D1995" s="115"/>
      <c r="E1995" s="115"/>
    </row>
    <row r="1996" spans="1:5" ht="13">
      <c r="A1996" s="115"/>
      <c r="B1996" s="115"/>
      <c r="C1996" s="115"/>
      <c r="D1996" s="115"/>
      <c r="E1996" s="115"/>
    </row>
    <row r="1997" spans="1:5" ht="13">
      <c r="A1997" s="115"/>
      <c r="B1997" s="115"/>
      <c r="C1997" s="115"/>
      <c r="D1997" s="115"/>
      <c r="E1997" s="115"/>
    </row>
    <row r="1998" spans="1:5" ht="13">
      <c r="A1998" s="115"/>
      <c r="B1998" s="115"/>
      <c r="C1998" s="115"/>
      <c r="D1998" s="115"/>
      <c r="E1998" s="115"/>
    </row>
    <row r="1999" spans="1:5" ht="13">
      <c r="A1999" s="115"/>
      <c r="B1999" s="115"/>
      <c r="C1999" s="115"/>
      <c r="D1999" s="115"/>
      <c r="E1999" s="115"/>
    </row>
    <row r="2000" spans="1:5" ht="13">
      <c r="A2000" s="115"/>
      <c r="B2000" s="115"/>
      <c r="C2000" s="115"/>
      <c r="D2000" s="115"/>
      <c r="E2000" s="115"/>
    </row>
    <row r="2001" spans="1:5" ht="13">
      <c r="A2001" s="115"/>
      <c r="B2001" s="115"/>
      <c r="C2001" s="115"/>
      <c r="D2001" s="115"/>
      <c r="E2001" s="115"/>
    </row>
    <row r="2002" spans="1:5" ht="13">
      <c r="A2002" s="115"/>
      <c r="B2002" s="115"/>
      <c r="C2002" s="115"/>
      <c r="D2002" s="115"/>
      <c r="E2002" s="115"/>
    </row>
    <row r="2003" spans="1:5" ht="13">
      <c r="A2003" s="115"/>
      <c r="B2003" s="115"/>
      <c r="C2003" s="115"/>
      <c r="D2003" s="115"/>
      <c r="E2003" s="115"/>
    </row>
    <row r="2004" spans="1:5" ht="13">
      <c r="A2004" s="115"/>
      <c r="B2004" s="115"/>
      <c r="C2004" s="115"/>
      <c r="D2004" s="115"/>
      <c r="E2004" s="115"/>
    </row>
    <row r="2005" spans="1:5" ht="13">
      <c r="A2005" s="115"/>
      <c r="B2005" s="115"/>
      <c r="C2005" s="115"/>
      <c r="D2005" s="115"/>
      <c r="E2005" s="115"/>
    </row>
    <row r="2006" spans="1:5" ht="13">
      <c r="A2006" s="115"/>
      <c r="B2006" s="115"/>
      <c r="C2006" s="115"/>
      <c r="D2006" s="115"/>
      <c r="E2006" s="115"/>
    </row>
    <row r="2007" spans="1:5" ht="13">
      <c r="A2007" s="115"/>
      <c r="B2007" s="115"/>
      <c r="C2007" s="115"/>
      <c r="D2007" s="115"/>
      <c r="E2007" s="115"/>
    </row>
    <row r="2008" spans="1:5" ht="13">
      <c r="A2008" s="115"/>
      <c r="B2008" s="115"/>
      <c r="C2008" s="115"/>
      <c r="D2008" s="115"/>
      <c r="E2008" s="115"/>
    </row>
    <row r="2009" spans="1:5" ht="13">
      <c r="A2009" s="115"/>
      <c r="B2009" s="115"/>
      <c r="C2009" s="115"/>
      <c r="D2009" s="115"/>
      <c r="E2009" s="115"/>
    </row>
    <row r="2010" spans="1:5" ht="13">
      <c r="A2010" s="115"/>
      <c r="B2010" s="115"/>
      <c r="C2010" s="115"/>
      <c r="D2010" s="115"/>
      <c r="E2010" s="115"/>
    </row>
    <row r="2011" spans="1:5" ht="13">
      <c r="A2011" s="115"/>
      <c r="B2011" s="115"/>
      <c r="C2011" s="115"/>
      <c r="D2011" s="115"/>
      <c r="E2011" s="115"/>
    </row>
    <row r="2012" spans="1:5" ht="13">
      <c r="A2012" s="115"/>
      <c r="B2012" s="115"/>
      <c r="C2012" s="115"/>
      <c r="D2012" s="115"/>
      <c r="E2012" s="115"/>
    </row>
    <row r="2013" spans="1:5" ht="13">
      <c r="A2013" s="115"/>
      <c r="B2013" s="115"/>
      <c r="C2013" s="115"/>
      <c r="D2013" s="115"/>
      <c r="E2013" s="115"/>
    </row>
    <row r="2014" spans="1:5" ht="13">
      <c r="A2014" s="115"/>
      <c r="B2014" s="115"/>
      <c r="C2014" s="115"/>
      <c r="D2014" s="115"/>
      <c r="E2014" s="115"/>
    </row>
    <row r="2015" spans="1:5" ht="13">
      <c r="A2015" s="115"/>
      <c r="B2015" s="115"/>
      <c r="C2015" s="115"/>
      <c r="D2015" s="115"/>
      <c r="E2015" s="115"/>
    </row>
    <row r="2016" spans="1:5" ht="13">
      <c r="A2016" s="115"/>
      <c r="B2016" s="115"/>
      <c r="C2016" s="115"/>
      <c r="D2016" s="115"/>
      <c r="E2016" s="115"/>
    </row>
    <row r="2017" spans="1:5" ht="13">
      <c r="A2017" s="115"/>
      <c r="B2017" s="115"/>
      <c r="C2017" s="115"/>
      <c r="D2017" s="115"/>
      <c r="E2017" s="115"/>
    </row>
    <row r="2018" spans="1:5" ht="13">
      <c r="A2018" s="115"/>
      <c r="B2018" s="115"/>
      <c r="C2018" s="115"/>
      <c r="D2018" s="115"/>
      <c r="E2018" s="115"/>
    </row>
    <row r="2019" spans="1:5" ht="13">
      <c r="A2019" s="115"/>
      <c r="B2019" s="115"/>
      <c r="C2019" s="115"/>
      <c r="D2019" s="115"/>
      <c r="E2019" s="115"/>
    </row>
    <row r="2020" spans="1:5" ht="13">
      <c r="A2020" s="115"/>
      <c r="B2020" s="115"/>
      <c r="C2020" s="115"/>
      <c r="D2020" s="115"/>
      <c r="E2020" s="115"/>
    </row>
    <row r="2021" spans="1:5" ht="13">
      <c r="A2021" s="115"/>
      <c r="B2021" s="115"/>
      <c r="C2021" s="115"/>
      <c r="D2021" s="115"/>
      <c r="E2021" s="115"/>
    </row>
    <row r="2022" spans="1:5" ht="13">
      <c r="A2022" s="115"/>
      <c r="B2022" s="115"/>
      <c r="C2022" s="115"/>
      <c r="D2022" s="115"/>
      <c r="E2022" s="115"/>
    </row>
    <row r="2023" spans="1:5" ht="13">
      <c r="A2023" s="115"/>
      <c r="B2023" s="115"/>
      <c r="C2023" s="115"/>
      <c r="D2023" s="115"/>
      <c r="E2023" s="115"/>
    </row>
    <row r="2024" spans="1:5" ht="13">
      <c r="A2024" s="115"/>
      <c r="B2024" s="115"/>
      <c r="C2024" s="115"/>
      <c r="D2024" s="115"/>
      <c r="E2024" s="115"/>
    </row>
    <row r="2025" spans="1:5" ht="13">
      <c r="A2025" s="115"/>
      <c r="B2025" s="115"/>
      <c r="C2025" s="115"/>
      <c r="D2025" s="115"/>
      <c r="E2025" s="115"/>
    </row>
    <row r="2026" spans="1:5" ht="13">
      <c r="A2026" s="115"/>
      <c r="B2026" s="115"/>
      <c r="C2026" s="115"/>
      <c r="D2026" s="115"/>
      <c r="E2026" s="115"/>
    </row>
    <row r="2027" spans="1:5" ht="13">
      <c r="A2027" s="115"/>
      <c r="B2027" s="115"/>
      <c r="C2027" s="115"/>
      <c r="D2027" s="115"/>
      <c r="E2027" s="115"/>
    </row>
    <row r="2028" spans="1:5" ht="13">
      <c r="A2028" s="115"/>
      <c r="B2028" s="115"/>
      <c r="C2028" s="115"/>
      <c r="D2028" s="115"/>
      <c r="E2028" s="115"/>
    </row>
    <row r="2029" spans="1:5" ht="13">
      <c r="A2029" s="115"/>
      <c r="B2029" s="115"/>
      <c r="C2029" s="115"/>
      <c r="D2029" s="115"/>
      <c r="E2029" s="115"/>
    </row>
    <row r="2030" spans="1:5" ht="13">
      <c r="A2030" s="115"/>
      <c r="B2030" s="115"/>
      <c r="C2030" s="115"/>
      <c r="D2030" s="115"/>
      <c r="E2030" s="115"/>
    </row>
    <row r="2031" spans="1:5" ht="13">
      <c r="A2031" s="115"/>
      <c r="B2031" s="115"/>
      <c r="C2031" s="115"/>
      <c r="D2031" s="115"/>
      <c r="E2031" s="115"/>
    </row>
    <row r="2032" spans="1:5" ht="13">
      <c r="A2032" s="115"/>
      <c r="B2032" s="115"/>
      <c r="C2032" s="115"/>
      <c r="D2032" s="115"/>
      <c r="E2032" s="115"/>
    </row>
    <row r="2033" spans="1:5" ht="13">
      <c r="A2033" s="115"/>
      <c r="B2033" s="115"/>
      <c r="C2033" s="115"/>
      <c r="D2033" s="115"/>
      <c r="E2033" s="115"/>
    </row>
    <row r="2034" spans="1:5" ht="13">
      <c r="A2034" s="115"/>
      <c r="B2034" s="115"/>
      <c r="C2034" s="115"/>
      <c r="D2034" s="115"/>
      <c r="E2034" s="115"/>
    </row>
    <row r="2035" spans="1:5" ht="13">
      <c r="A2035" s="115"/>
      <c r="B2035" s="115"/>
      <c r="C2035" s="115"/>
      <c r="D2035" s="115"/>
      <c r="E2035" s="115"/>
    </row>
    <row r="2036" spans="1:5" ht="13">
      <c r="A2036" s="115"/>
      <c r="B2036" s="115"/>
      <c r="C2036" s="115"/>
      <c r="D2036" s="115"/>
      <c r="E2036" s="115"/>
    </row>
    <row r="2037" spans="1:5" ht="13">
      <c r="A2037" s="115"/>
      <c r="B2037" s="115"/>
      <c r="C2037" s="115"/>
      <c r="D2037" s="115"/>
      <c r="E2037" s="115"/>
    </row>
    <row r="2038" spans="1:5" ht="13">
      <c r="A2038" s="115"/>
      <c r="B2038" s="115"/>
      <c r="C2038" s="115"/>
      <c r="D2038" s="115"/>
      <c r="E2038" s="115"/>
    </row>
    <row r="2039" spans="1:5" ht="13">
      <c r="A2039" s="115"/>
      <c r="B2039" s="115"/>
      <c r="C2039" s="115"/>
      <c r="D2039" s="115"/>
      <c r="E2039" s="115"/>
    </row>
    <row r="2040" spans="1:5" ht="13">
      <c r="A2040" s="115"/>
      <c r="B2040" s="115"/>
      <c r="C2040" s="115"/>
      <c r="D2040" s="115"/>
      <c r="E2040" s="115"/>
    </row>
    <row r="2041" spans="1:5" ht="13">
      <c r="A2041" s="115"/>
      <c r="B2041" s="115"/>
      <c r="C2041" s="115"/>
      <c r="D2041" s="115"/>
      <c r="E2041" s="115"/>
    </row>
    <row r="2042" spans="1:5" ht="13">
      <c r="A2042" s="115"/>
      <c r="B2042" s="115"/>
      <c r="C2042" s="115"/>
      <c r="D2042" s="115"/>
      <c r="E2042" s="115"/>
    </row>
    <row r="2043" spans="1:5" ht="13">
      <c r="A2043" s="115"/>
      <c r="B2043" s="115"/>
      <c r="C2043" s="115"/>
      <c r="D2043" s="115"/>
      <c r="E2043" s="115"/>
    </row>
    <row r="2044" spans="1:5" ht="13">
      <c r="A2044" s="115"/>
      <c r="B2044" s="115"/>
      <c r="C2044" s="115"/>
      <c r="D2044" s="115"/>
      <c r="E2044" s="115"/>
    </row>
    <row r="2045" spans="1:5" ht="13">
      <c r="A2045" s="115"/>
      <c r="B2045" s="115"/>
      <c r="C2045" s="115"/>
      <c r="D2045" s="115"/>
      <c r="E2045" s="115"/>
    </row>
    <row r="2046" spans="1:5" ht="13">
      <c r="A2046" s="115"/>
      <c r="B2046" s="115"/>
      <c r="C2046" s="115"/>
      <c r="D2046" s="115"/>
      <c r="E2046" s="115"/>
    </row>
    <row r="2047" spans="1:5" ht="13">
      <c r="A2047" s="115"/>
      <c r="B2047" s="115"/>
      <c r="C2047" s="115"/>
      <c r="D2047" s="115"/>
      <c r="E2047" s="115"/>
    </row>
    <row r="2048" spans="1:5" ht="13">
      <c r="A2048" s="115"/>
      <c r="B2048" s="115"/>
      <c r="C2048" s="115"/>
      <c r="D2048" s="115"/>
      <c r="E2048" s="115"/>
    </row>
    <row r="2049" spans="1:5" ht="13">
      <c r="A2049" s="115"/>
      <c r="B2049" s="115"/>
      <c r="C2049" s="115"/>
      <c r="D2049" s="115"/>
      <c r="E2049" s="115"/>
    </row>
    <row r="2050" spans="1:5" ht="13">
      <c r="A2050" s="115"/>
      <c r="B2050" s="115"/>
      <c r="C2050" s="115"/>
      <c r="D2050" s="115"/>
      <c r="E2050" s="115"/>
    </row>
    <row r="2051" spans="1:5" ht="13">
      <c r="A2051" s="115"/>
      <c r="B2051" s="115"/>
      <c r="C2051" s="115"/>
      <c r="D2051" s="115"/>
      <c r="E2051" s="115"/>
    </row>
    <row r="2052" spans="1:5" ht="13">
      <c r="A2052" s="115"/>
      <c r="B2052" s="115"/>
      <c r="C2052" s="115"/>
      <c r="D2052" s="115"/>
      <c r="E2052" s="115"/>
    </row>
    <row r="2053" spans="1:5" ht="13">
      <c r="A2053" s="115"/>
      <c r="B2053" s="115"/>
      <c r="C2053" s="115"/>
      <c r="D2053" s="115"/>
      <c r="E2053" s="115"/>
    </row>
    <row r="2054" spans="1:5" ht="13">
      <c r="A2054" s="115"/>
      <c r="B2054" s="115"/>
      <c r="C2054" s="115"/>
      <c r="D2054" s="115"/>
      <c r="E2054" s="115"/>
    </row>
    <row r="2055" spans="1:5" ht="13">
      <c r="A2055" s="115"/>
      <c r="B2055" s="115"/>
      <c r="C2055" s="115"/>
      <c r="D2055" s="115"/>
      <c r="E2055" s="115"/>
    </row>
    <row r="2056" spans="1:5" ht="13">
      <c r="A2056" s="115"/>
      <c r="B2056" s="115"/>
      <c r="C2056" s="115"/>
      <c r="D2056" s="115"/>
      <c r="E2056" s="115"/>
    </row>
    <row r="2057" spans="1:5" ht="13">
      <c r="A2057" s="115"/>
      <c r="B2057" s="115"/>
      <c r="C2057" s="115"/>
      <c r="D2057" s="115"/>
      <c r="E2057" s="115"/>
    </row>
    <row r="2058" spans="1:5" ht="13">
      <c r="A2058" s="115"/>
      <c r="B2058" s="115"/>
      <c r="C2058" s="115"/>
      <c r="D2058" s="115"/>
      <c r="E2058" s="115"/>
    </row>
    <row r="2059" spans="1:5" ht="13">
      <c r="A2059" s="115"/>
      <c r="B2059" s="115"/>
      <c r="C2059" s="115"/>
      <c r="D2059" s="115"/>
      <c r="E2059" s="115"/>
    </row>
    <row r="2060" spans="1:5" ht="13">
      <c r="A2060" s="115"/>
      <c r="B2060" s="115"/>
      <c r="C2060" s="115"/>
      <c r="D2060" s="115"/>
      <c r="E2060" s="115"/>
    </row>
    <row r="2061" spans="1:5" ht="13">
      <c r="A2061" s="115"/>
      <c r="B2061" s="115"/>
      <c r="C2061" s="115"/>
      <c r="D2061" s="115"/>
      <c r="E2061" s="115"/>
    </row>
    <row r="2062" spans="1:5" ht="13">
      <c r="A2062" s="115"/>
      <c r="B2062" s="115"/>
      <c r="C2062" s="115"/>
      <c r="D2062" s="115"/>
      <c r="E2062" s="115"/>
    </row>
    <row r="2063" spans="1:5" ht="13">
      <c r="A2063" s="115"/>
      <c r="B2063" s="115"/>
      <c r="C2063" s="115"/>
      <c r="D2063" s="115"/>
      <c r="E2063" s="115"/>
    </row>
    <row r="2064" spans="1:5" ht="13">
      <c r="A2064" s="115"/>
      <c r="B2064" s="115"/>
      <c r="C2064" s="115"/>
      <c r="D2064" s="115"/>
      <c r="E2064" s="115"/>
    </row>
    <row r="2065" spans="1:5" ht="13">
      <c r="A2065" s="115"/>
      <c r="B2065" s="115"/>
      <c r="C2065" s="115"/>
      <c r="D2065" s="115"/>
      <c r="E2065" s="115"/>
    </row>
    <row r="2066" spans="1:5" ht="13">
      <c r="A2066" s="115"/>
      <c r="B2066" s="115"/>
      <c r="C2066" s="115"/>
      <c r="D2066" s="115"/>
      <c r="E2066" s="115"/>
    </row>
    <row r="2067" spans="1:5" ht="13">
      <c r="A2067" s="115"/>
      <c r="B2067" s="115"/>
      <c r="C2067" s="115"/>
      <c r="D2067" s="115"/>
      <c r="E2067" s="115"/>
    </row>
    <row r="2068" spans="1:5" ht="13">
      <c r="A2068" s="115"/>
      <c r="B2068" s="115"/>
      <c r="C2068" s="115"/>
      <c r="D2068" s="115"/>
      <c r="E2068" s="115"/>
    </row>
    <row r="2069" spans="1:5" ht="13">
      <c r="A2069" s="115"/>
      <c r="B2069" s="115"/>
      <c r="C2069" s="115"/>
      <c r="D2069" s="115"/>
      <c r="E2069" s="115"/>
    </row>
    <row r="2070" spans="1:5" ht="13">
      <c r="A2070" s="115"/>
      <c r="B2070" s="115"/>
      <c r="C2070" s="115"/>
      <c r="D2070" s="115"/>
      <c r="E2070" s="115"/>
    </row>
    <row r="2071" spans="1:5" ht="13">
      <c r="A2071" s="115"/>
      <c r="B2071" s="115"/>
      <c r="C2071" s="115"/>
      <c r="D2071" s="115"/>
      <c r="E2071" s="115"/>
    </row>
    <row r="2072" spans="1:5" ht="13">
      <c r="A2072" s="115"/>
      <c r="B2072" s="115"/>
      <c r="C2072" s="115"/>
      <c r="D2072" s="115"/>
      <c r="E2072" s="115"/>
    </row>
    <row r="2073" spans="1:5" ht="13">
      <c r="A2073" s="115"/>
      <c r="B2073" s="115"/>
      <c r="C2073" s="115"/>
      <c r="D2073" s="115"/>
      <c r="E2073" s="115"/>
    </row>
    <row r="2074" spans="1:5" ht="13">
      <c r="A2074" s="115"/>
      <c r="B2074" s="115"/>
      <c r="C2074" s="115"/>
      <c r="D2074" s="115"/>
      <c r="E2074" s="115"/>
    </row>
    <row r="2075" spans="1:5" ht="13">
      <c r="A2075" s="115"/>
      <c r="B2075" s="115"/>
      <c r="C2075" s="115"/>
      <c r="D2075" s="115"/>
      <c r="E2075" s="115"/>
    </row>
    <row r="2076" spans="1:5" ht="13">
      <c r="A2076" s="115"/>
      <c r="B2076" s="115"/>
      <c r="C2076" s="115"/>
      <c r="D2076" s="115"/>
      <c r="E2076" s="115"/>
    </row>
    <row r="2077" spans="1:5" ht="13">
      <c r="A2077" s="115"/>
      <c r="B2077" s="115"/>
      <c r="C2077" s="115"/>
      <c r="D2077" s="115"/>
      <c r="E2077" s="115"/>
    </row>
    <row r="2078" spans="1:5" ht="13">
      <c r="A2078" s="115"/>
      <c r="B2078" s="115"/>
      <c r="C2078" s="115"/>
      <c r="D2078" s="115"/>
      <c r="E2078" s="115"/>
    </row>
    <row r="2079" spans="1:5" ht="13">
      <c r="A2079" s="115"/>
      <c r="B2079" s="115"/>
      <c r="C2079" s="115"/>
      <c r="D2079" s="115"/>
      <c r="E2079" s="115"/>
    </row>
    <row r="2080" spans="1:5" ht="13">
      <c r="A2080" s="115"/>
      <c r="B2080" s="115"/>
      <c r="C2080" s="115"/>
      <c r="D2080" s="115"/>
      <c r="E2080" s="115"/>
    </row>
    <row r="2081" spans="1:5" ht="13">
      <c r="A2081" s="115"/>
      <c r="B2081" s="115"/>
      <c r="C2081" s="115"/>
      <c r="D2081" s="115"/>
      <c r="E2081" s="115"/>
    </row>
    <row r="2082" spans="1:5" ht="13">
      <c r="A2082" s="115"/>
      <c r="B2082" s="115"/>
      <c r="C2082" s="115"/>
      <c r="D2082" s="115"/>
      <c r="E2082" s="115"/>
    </row>
    <row r="2083" spans="1:5" ht="13">
      <c r="A2083" s="115"/>
      <c r="B2083" s="115"/>
      <c r="C2083" s="115"/>
      <c r="D2083" s="115"/>
      <c r="E2083" s="115"/>
    </row>
    <row r="2084" spans="1:5" ht="13">
      <c r="A2084" s="115"/>
      <c r="B2084" s="115"/>
      <c r="C2084" s="115"/>
      <c r="D2084" s="115"/>
      <c r="E2084" s="115"/>
    </row>
    <row r="2085" spans="1:5" ht="13">
      <c r="A2085" s="115"/>
      <c r="B2085" s="115"/>
      <c r="C2085" s="115"/>
      <c r="D2085" s="115"/>
      <c r="E2085" s="115"/>
    </row>
    <row r="2086" spans="1:5" ht="13">
      <c r="A2086" s="115"/>
      <c r="B2086" s="115"/>
      <c r="C2086" s="115"/>
      <c r="D2086" s="115"/>
      <c r="E2086" s="115"/>
    </row>
    <row r="2087" spans="1:5" ht="13">
      <c r="A2087" s="115"/>
      <c r="B2087" s="115"/>
      <c r="C2087" s="115"/>
      <c r="D2087" s="115"/>
      <c r="E2087" s="115"/>
    </row>
    <row r="2088" spans="1:5" ht="13">
      <c r="A2088" s="115"/>
      <c r="B2088" s="115"/>
      <c r="C2088" s="115"/>
      <c r="D2088" s="115"/>
      <c r="E2088" s="115"/>
    </row>
    <row r="2089" spans="1:5" ht="13">
      <c r="A2089" s="115"/>
      <c r="B2089" s="115"/>
      <c r="C2089" s="115"/>
      <c r="D2089" s="115"/>
      <c r="E2089" s="115"/>
    </row>
    <row r="2090" spans="1:5" ht="13">
      <c r="A2090" s="115"/>
      <c r="B2090" s="115"/>
      <c r="C2090" s="115"/>
      <c r="D2090" s="115"/>
      <c r="E2090" s="115"/>
    </row>
    <row r="2091" spans="1:5" ht="13">
      <c r="A2091" s="115"/>
      <c r="B2091" s="115"/>
      <c r="C2091" s="115"/>
      <c r="D2091" s="115"/>
      <c r="E2091" s="115"/>
    </row>
    <row r="2092" spans="1:5" ht="13">
      <c r="A2092" s="115"/>
      <c r="B2092" s="115"/>
      <c r="C2092" s="115"/>
      <c r="D2092" s="115"/>
      <c r="E2092" s="115"/>
    </row>
    <row r="2093" spans="1:5" ht="13">
      <c r="A2093" s="115"/>
      <c r="B2093" s="115"/>
      <c r="C2093" s="115"/>
      <c r="D2093" s="115"/>
      <c r="E2093" s="115"/>
    </row>
    <row r="2094" spans="1:5" ht="13">
      <c r="A2094" s="115"/>
      <c r="B2094" s="115"/>
      <c r="C2094" s="115"/>
      <c r="D2094" s="115"/>
      <c r="E2094" s="115"/>
    </row>
    <row r="2095" spans="1:5" ht="13">
      <c r="A2095" s="115"/>
      <c r="B2095" s="115"/>
      <c r="C2095" s="115"/>
      <c r="D2095" s="115"/>
      <c r="E2095" s="115"/>
    </row>
    <row r="2096" spans="1:5" ht="13">
      <c r="A2096" s="115"/>
      <c r="B2096" s="115"/>
      <c r="C2096" s="115"/>
      <c r="D2096" s="115"/>
      <c r="E2096" s="115"/>
    </row>
    <row r="2097" spans="1:5" ht="13">
      <c r="A2097" s="115"/>
      <c r="B2097" s="115"/>
      <c r="C2097" s="115"/>
      <c r="D2097" s="115"/>
      <c r="E2097" s="115"/>
    </row>
    <row r="2098" spans="1:5" ht="13">
      <c r="A2098" s="115"/>
      <c r="B2098" s="115"/>
      <c r="C2098" s="115"/>
      <c r="D2098" s="115"/>
      <c r="E2098" s="115"/>
    </row>
    <row r="2099" spans="1:5" ht="13">
      <c r="A2099" s="115"/>
      <c r="B2099" s="115"/>
      <c r="C2099" s="115"/>
      <c r="D2099" s="115"/>
      <c r="E2099" s="115"/>
    </row>
    <row r="2100" spans="1:5" ht="13">
      <c r="A2100" s="115"/>
      <c r="B2100" s="115"/>
      <c r="C2100" s="115"/>
      <c r="D2100" s="115"/>
      <c r="E2100" s="115"/>
    </row>
    <row r="2101" spans="1:5" ht="13">
      <c r="A2101" s="115"/>
      <c r="B2101" s="115"/>
      <c r="C2101" s="115"/>
      <c r="D2101" s="115"/>
      <c r="E2101" s="115"/>
    </row>
    <row r="2102" spans="1:5" ht="13">
      <c r="A2102" s="115"/>
      <c r="B2102" s="115"/>
      <c r="C2102" s="115"/>
      <c r="D2102" s="115"/>
      <c r="E2102" s="115"/>
    </row>
    <row r="2103" spans="1:5" ht="13">
      <c r="A2103" s="115"/>
      <c r="B2103" s="115"/>
      <c r="C2103" s="115"/>
      <c r="D2103" s="115"/>
      <c r="E2103" s="115"/>
    </row>
    <row r="2104" spans="1:5" ht="13">
      <c r="A2104" s="115"/>
      <c r="B2104" s="115"/>
      <c r="C2104" s="115"/>
      <c r="D2104" s="115"/>
      <c r="E2104" s="115"/>
    </row>
    <row r="2105" spans="1:5" ht="13">
      <c r="A2105" s="115"/>
      <c r="B2105" s="115"/>
      <c r="C2105" s="115"/>
      <c r="D2105" s="115"/>
      <c r="E2105" s="115"/>
    </row>
    <row r="2106" spans="1:5" ht="13">
      <c r="A2106" s="115"/>
      <c r="B2106" s="115"/>
      <c r="C2106" s="115"/>
      <c r="D2106" s="115"/>
      <c r="E2106" s="115"/>
    </row>
    <row r="2107" spans="1:5" ht="13">
      <c r="A2107" s="115"/>
      <c r="B2107" s="115"/>
      <c r="C2107" s="115"/>
      <c r="D2107" s="115"/>
      <c r="E2107" s="115"/>
    </row>
    <row r="2108" spans="1:5" ht="13">
      <c r="A2108" s="115"/>
      <c r="B2108" s="115"/>
      <c r="C2108" s="115"/>
      <c r="D2108" s="115"/>
      <c r="E2108" s="115"/>
    </row>
    <row r="2109" spans="1:5" ht="13">
      <c r="A2109" s="115"/>
      <c r="B2109" s="115"/>
      <c r="C2109" s="115"/>
      <c r="D2109" s="115"/>
      <c r="E2109" s="115"/>
    </row>
    <row r="2110" spans="1:5" ht="13">
      <c r="A2110" s="115"/>
      <c r="B2110" s="115"/>
      <c r="C2110" s="115"/>
      <c r="D2110" s="115"/>
      <c r="E2110" s="115"/>
    </row>
    <row r="2111" spans="1:5" ht="13">
      <c r="A2111" s="115"/>
      <c r="B2111" s="115"/>
      <c r="C2111" s="115"/>
      <c r="D2111" s="115"/>
      <c r="E2111" s="115"/>
    </row>
    <row r="2112" spans="1:5" ht="13">
      <c r="A2112" s="115"/>
      <c r="B2112" s="115"/>
      <c r="C2112" s="115"/>
      <c r="D2112" s="115"/>
      <c r="E2112" s="115"/>
    </row>
    <row r="2113" spans="1:5" ht="13">
      <c r="A2113" s="115"/>
      <c r="B2113" s="115"/>
      <c r="C2113" s="115"/>
      <c r="D2113" s="115"/>
      <c r="E2113" s="115"/>
    </row>
    <row r="2114" spans="1:5" ht="13">
      <c r="A2114" s="115"/>
      <c r="B2114" s="115"/>
      <c r="C2114" s="115"/>
      <c r="D2114" s="115"/>
      <c r="E2114" s="115"/>
    </row>
    <row r="2115" spans="1:5" ht="13">
      <c r="A2115" s="115"/>
      <c r="B2115" s="115"/>
      <c r="C2115" s="115"/>
      <c r="D2115" s="115"/>
      <c r="E2115" s="115"/>
    </row>
    <row r="2116" spans="1:5" ht="13">
      <c r="A2116" s="115"/>
      <c r="B2116" s="115"/>
      <c r="C2116" s="115"/>
      <c r="D2116" s="115"/>
      <c r="E2116" s="115"/>
    </row>
    <row r="2117" spans="1:5" ht="13">
      <c r="A2117" s="115"/>
      <c r="B2117" s="115"/>
      <c r="C2117" s="115"/>
      <c r="D2117" s="115"/>
      <c r="E2117" s="115"/>
    </row>
    <row r="2118" spans="1:5" ht="13">
      <c r="A2118" s="115"/>
      <c r="B2118" s="115"/>
      <c r="C2118" s="115"/>
      <c r="D2118" s="115"/>
      <c r="E2118" s="115"/>
    </row>
    <row r="2119" spans="1:5" ht="13">
      <c r="A2119" s="115"/>
      <c r="B2119" s="115"/>
      <c r="C2119" s="115"/>
      <c r="D2119" s="115"/>
      <c r="E2119" s="115"/>
    </row>
    <row r="2120" spans="1:5" ht="13">
      <c r="A2120" s="115"/>
      <c r="B2120" s="115"/>
      <c r="C2120" s="115"/>
      <c r="D2120" s="115"/>
      <c r="E2120" s="115"/>
    </row>
    <row r="2121" spans="1:5" ht="13">
      <c r="A2121" s="115"/>
      <c r="B2121" s="115"/>
      <c r="C2121" s="115"/>
      <c r="D2121" s="115"/>
      <c r="E2121" s="115"/>
    </row>
    <row r="2122" spans="1:5" ht="13">
      <c r="A2122" s="115"/>
      <c r="B2122" s="115"/>
      <c r="C2122" s="115"/>
      <c r="D2122" s="115"/>
      <c r="E2122" s="115"/>
    </row>
    <row r="2123" spans="1:5" ht="13">
      <c r="A2123" s="115"/>
      <c r="B2123" s="115"/>
      <c r="C2123" s="115"/>
      <c r="D2123" s="115"/>
      <c r="E2123" s="115"/>
    </row>
    <row r="2124" spans="1:5" ht="13">
      <c r="A2124" s="115"/>
      <c r="B2124" s="115"/>
      <c r="C2124" s="115"/>
      <c r="D2124" s="115"/>
      <c r="E2124" s="115"/>
    </row>
    <row r="2125" spans="1:5" ht="13">
      <c r="A2125" s="115"/>
      <c r="B2125" s="115"/>
      <c r="C2125" s="115"/>
      <c r="D2125" s="115"/>
      <c r="E2125" s="115"/>
    </row>
    <row r="2126" spans="1:5" ht="13">
      <c r="A2126" s="115"/>
      <c r="B2126" s="115"/>
      <c r="C2126" s="115"/>
      <c r="D2126" s="115"/>
      <c r="E2126" s="115"/>
    </row>
    <row r="2127" spans="1:5" ht="13">
      <c r="A2127" s="115"/>
      <c r="B2127" s="115"/>
      <c r="C2127" s="115"/>
      <c r="D2127" s="115"/>
      <c r="E2127" s="115"/>
    </row>
    <row r="2128" spans="1:5" ht="13">
      <c r="A2128" s="115"/>
      <c r="B2128" s="115"/>
      <c r="C2128" s="115"/>
      <c r="D2128" s="115"/>
      <c r="E2128" s="115"/>
    </row>
    <row r="2129" spans="1:5" ht="13">
      <c r="A2129" s="115"/>
      <c r="B2129" s="115"/>
      <c r="C2129" s="115"/>
      <c r="D2129" s="115"/>
      <c r="E2129" s="115"/>
    </row>
    <row r="2130" spans="1:5" ht="13">
      <c r="A2130" s="115"/>
      <c r="B2130" s="115"/>
      <c r="C2130" s="115"/>
      <c r="D2130" s="115"/>
      <c r="E2130" s="115"/>
    </row>
    <row r="2131" spans="1:5" ht="13">
      <c r="A2131" s="115"/>
      <c r="B2131" s="115"/>
      <c r="C2131" s="115"/>
      <c r="D2131" s="115"/>
      <c r="E2131" s="115"/>
    </row>
    <row r="2132" spans="1:5" ht="13">
      <c r="A2132" s="115"/>
      <c r="B2132" s="115"/>
      <c r="C2132" s="115"/>
      <c r="D2132" s="115"/>
      <c r="E2132" s="115"/>
    </row>
    <row r="2133" spans="1:5" ht="13">
      <c r="A2133" s="115"/>
      <c r="B2133" s="115"/>
      <c r="C2133" s="115"/>
      <c r="D2133" s="115"/>
      <c r="E2133" s="115"/>
    </row>
    <row r="2134" spans="1:5" ht="13">
      <c r="A2134" s="115"/>
      <c r="B2134" s="115"/>
      <c r="C2134" s="115"/>
      <c r="D2134" s="115"/>
      <c r="E2134" s="115"/>
    </row>
    <row r="2135" spans="1:5" ht="13">
      <c r="A2135" s="115"/>
      <c r="B2135" s="115"/>
      <c r="C2135" s="115"/>
      <c r="D2135" s="115"/>
      <c r="E2135" s="115"/>
    </row>
    <row r="2136" spans="1:5" ht="13">
      <c r="A2136" s="115"/>
      <c r="B2136" s="115"/>
      <c r="C2136" s="115"/>
      <c r="D2136" s="115"/>
      <c r="E2136" s="115"/>
    </row>
    <row r="2137" spans="1:5" ht="13">
      <c r="A2137" s="115"/>
      <c r="B2137" s="115"/>
      <c r="C2137" s="115"/>
      <c r="D2137" s="115"/>
      <c r="E2137" s="115"/>
    </row>
    <row r="2138" spans="1:5" ht="13">
      <c r="A2138" s="115"/>
      <c r="B2138" s="115"/>
      <c r="C2138" s="115"/>
      <c r="D2138" s="115"/>
      <c r="E2138" s="115"/>
    </row>
    <row r="2139" spans="1:5" ht="13">
      <c r="A2139" s="115"/>
      <c r="B2139" s="115"/>
      <c r="C2139" s="115"/>
      <c r="D2139" s="115"/>
      <c r="E2139" s="115"/>
    </row>
    <row r="2140" spans="1:5" ht="13">
      <c r="A2140" s="115"/>
      <c r="B2140" s="115"/>
      <c r="C2140" s="115"/>
      <c r="D2140" s="115"/>
      <c r="E2140" s="115"/>
    </row>
    <row r="2141" spans="1:5" ht="13">
      <c r="A2141" s="115"/>
      <c r="B2141" s="115"/>
      <c r="C2141" s="115"/>
      <c r="D2141" s="115"/>
      <c r="E2141" s="115"/>
    </row>
    <row r="2142" spans="1:5" ht="13">
      <c r="A2142" s="115"/>
      <c r="B2142" s="115"/>
      <c r="C2142" s="115"/>
      <c r="D2142" s="115"/>
      <c r="E2142" s="115"/>
    </row>
    <row r="2143" spans="1:5" ht="13">
      <c r="A2143" s="115"/>
      <c r="B2143" s="115"/>
      <c r="C2143" s="115"/>
      <c r="D2143" s="115"/>
      <c r="E2143" s="115"/>
    </row>
    <row r="2144" spans="1:5" ht="13">
      <c r="A2144" s="115"/>
      <c r="B2144" s="115"/>
      <c r="C2144" s="115"/>
      <c r="D2144" s="115"/>
      <c r="E2144" s="115"/>
    </row>
    <row r="2145" spans="1:5" ht="13">
      <c r="A2145" s="115"/>
      <c r="B2145" s="115"/>
      <c r="C2145" s="115"/>
      <c r="D2145" s="115"/>
      <c r="E2145" s="115"/>
    </row>
    <row r="2146" spans="1:5" ht="13">
      <c r="A2146" s="115"/>
      <c r="B2146" s="115"/>
      <c r="C2146" s="115"/>
      <c r="D2146" s="115"/>
      <c r="E2146" s="115"/>
    </row>
    <row r="2147" spans="1:5" ht="13">
      <c r="A2147" s="115"/>
      <c r="B2147" s="115"/>
      <c r="C2147" s="115"/>
      <c r="D2147" s="115"/>
      <c r="E2147" s="115"/>
    </row>
    <row r="2148" spans="1:5" ht="13">
      <c r="A2148" s="115"/>
      <c r="B2148" s="115"/>
      <c r="C2148" s="115"/>
      <c r="D2148" s="115"/>
      <c r="E2148" s="115"/>
    </row>
    <row r="2149" spans="1:5" ht="13">
      <c r="A2149" s="115"/>
      <c r="B2149" s="115"/>
      <c r="C2149" s="115"/>
      <c r="D2149" s="115"/>
      <c r="E2149" s="115"/>
    </row>
    <row r="2150" spans="1:5" ht="13">
      <c r="A2150" s="115"/>
      <c r="B2150" s="115"/>
      <c r="C2150" s="115"/>
      <c r="D2150" s="115"/>
      <c r="E2150" s="115"/>
    </row>
    <row r="2151" spans="1:5" ht="13">
      <c r="A2151" s="115"/>
      <c r="B2151" s="115"/>
      <c r="C2151" s="115"/>
      <c r="D2151" s="115"/>
      <c r="E2151" s="115"/>
    </row>
    <row r="2152" spans="1:5" ht="13">
      <c r="A2152" s="115"/>
      <c r="B2152" s="115"/>
      <c r="C2152" s="115"/>
      <c r="D2152" s="115"/>
      <c r="E2152" s="115"/>
    </row>
    <row r="2153" spans="1:5" ht="13">
      <c r="A2153" s="115"/>
      <c r="B2153" s="115"/>
      <c r="C2153" s="115"/>
      <c r="D2153" s="115"/>
      <c r="E2153" s="115"/>
    </row>
    <row r="2154" spans="1:5" ht="13">
      <c r="A2154" s="115"/>
      <c r="B2154" s="115"/>
      <c r="C2154" s="115"/>
      <c r="D2154" s="115"/>
      <c r="E2154" s="115"/>
    </row>
    <row r="2155" spans="1:5" ht="13">
      <c r="A2155" s="115"/>
      <c r="B2155" s="115"/>
      <c r="C2155" s="115"/>
      <c r="D2155" s="115"/>
      <c r="E2155" s="115"/>
    </row>
    <row r="2156" spans="1:5" ht="13">
      <c r="A2156" s="115"/>
      <c r="B2156" s="115"/>
      <c r="C2156" s="115"/>
      <c r="D2156" s="115"/>
      <c r="E2156" s="115"/>
    </row>
    <row r="2157" spans="1:5" ht="13">
      <c r="A2157" s="115"/>
      <c r="B2157" s="115"/>
      <c r="C2157" s="115"/>
      <c r="D2157" s="115"/>
      <c r="E2157" s="115"/>
    </row>
    <row r="2158" spans="1:5" ht="13">
      <c r="A2158" s="115"/>
      <c r="B2158" s="115"/>
      <c r="C2158" s="115"/>
      <c r="D2158" s="115"/>
      <c r="E2158" s="115"/>
    </row>
    <row r="2159" spans="1:5" ht="13">
      <c r="A2159" s="115"/>
      <c r="B2159" s="115"/>
      <c r="C2159" s="115"/>
      <c r="D2159" s="115"/>
      <c r="E2159" s="115"/>
    </row>
    <row r="2160" spans="1:5" ht="13">
      <c r="A2160" s="115"/>
      <c r="B2160" s="115"/>
      <c r="C2160" s="115"/>
      <c r="D2160" s="115"/>
      <c r="E2160" s="115"/>
    </row>
    <row r="2161" spans="1:5" ht="13">
      <c r="A2161" s="115"/>
      <c r="B2161" s="115"/>
      <c r="C2161" s="115"/>
      <c r="D2161" s="115"/>
      <c r="E2161" s="115"/>
    </row>
    <row r="2162" spans="1:5" ht="13">
      <c r="A2162" s="115"/>
      <c r="B2162" s="115"/>
      <c r="C2162" s="115"/>
      <c r="D2162" s="115"/>
      <c r="E2162" s="115"/>
    </row>
    <row r="2163" spans="1:5" ht="13">
      <c r="A2163" s="115"/>
      <c r="B2163" s="115"/>
      <c r="C2163" s="115"/>
      <c r="D2163" s="115"/>
      <c r="E2163" s="115"/>
    </row>
    <row r="2164" spans="1:5" ht="13">
      <c r="A2164" s="115"/>
      <c r="B2164" s="115"/>
      <c r="C2164" s="115"/>
      <c r="D2164" s="115"/>
      <c r="E2164" s="115"/>
    </row>
    <row r="2165" spans="1:5" ht="13">
      <c r="A2165" s="115"/>
      <c r="B2165" s="115"/>
      <c r="C2165" s="115"/>
      <c r="D2165" s="115"/>
      <c r="E2165" s="115"/>
    </row>
    <row r="2166" spans="1:5" ht="13">
      <c r="A2166" s="115"/>
      <c r="B2166" s="115"/>
      <c r="C2166" s="115"/>
      <c r="D2166" s="115"/>
      <c r="E2166" s="115"/>
    </row>
    <row r="2167" spans="1:5" ht="13">
      <c r="A2167" s="115"/>
      <c r="B2167" s="115"/>
      <c r="C2167" s="115"/>
      <c r="D2167" s="115"/>
      <c r="E2167" s="115"/>
    </row>
    <row r="2168" spans="1:5" ht="13">
      <c r="A2168" s="115"/>
      <c r="B2168" s="115"/>
      <c r="C2168" s="115"/>
      <c r="D2168" s="115"/>
      <c r="E2168" s="115"/>
    </row>
    <row r="2169" spans="1:5" ht="13">
      <c r="A2169" s="115"/>
      <c r="B2169" s="115"/>
      <c r="C2169" s="115"/>
      <c r="D2169" s="115"/>
      <c r="E2169" s="115"/>
    </row>
    <row r="2170" spans="1:5" ht="13">
      <c r="A2170" s="115"/>
      <c r="B2170" s="115"/>
      <c r="C2170" s="115"/>
      <c r="D2170" s="115"/>
      <c r="E2170" s="115"/>
    </row>
    <row r="2171" spans="1:5" ht="13">
      <c r="A2171" s="115"/>
      <c r="B2171" s="115"/>
      <c r="C2171" s="115"/>
      <c r="D2171" s="115"/>
      <c r="E2171" s="115"/>
    </row>
    <row r="2172" spans="1:5" ht="13">
      <c r="A2172" s="115"/>
      <c r="B2172" s="115"/>
      <c r="C2172" s="115"/>
      <c r="D2172" s="115"/>
      <c r="E2172" s="115"/>
    </row>
    <row r="2173" spans="1:5" ht="13">
      <c r="A2173" s="115"/>
      <c r="B2173" s="115"/>
      <c r="C2173" s="115"/>
      <c r="D2173" s="115"/>
      <c r="E2173" s="115"/>
    </row>
    <row r="2174" spans="1:5" ht="13">
      <c r="A2174" s="115"/>
      <c r="B2174" s="115"/>
      <c r="C2174" s="115"/>
      <c r="D2174" s="115"/>
      <c r="E2174" s="115"/>
    </row>
    <row r="2175" spans="1:5" ht="13">
      <c r="A2175" s="115"/>
      <c r="B2175" s="115"/>
      <c r="C2175" s="115"/>
      <c r="D2175" s="115"/>
      <c r="E2175" s="115"/>
    </row>
    <row r="2176" spans="1:5" ht="13">
      <c r="A2176" s="115"/>
      <c r="B2176" s="115"/>
      <c r="C2176" s="115"/>
      <c r="D2176" s="115"/>
      <c r="E2176" s="115"/>
    </row>
    <row r="2177" spans="1:5" ht="13">
      <c r="A2177" s="115"/>
      <c r="B2177" s="115"/>
      <c r="C2177" s="115"/>
      <c r="D2177" s="115"/>
      <c r="E2177" s="115"/>
    </row>
    <row r="2178" spans="1:5" ht="13">
      <c r="A2178" s="115"/>
      <c r="B2178" s="115"/>
      <c r="C2178" s="115"/>
      <c r="D2178" s="115"/>
      <c r="E2178" s="115"/>
    </row>
    <row r="2179" spans="1:5" ht="13">
      <c r="A2179" s="115"/>
      <c r="B2179" s="115"/>
      <c r="C2179" s="115"/>
      <c r="D2179" s="115"/>
      <c r="E2179" s="115"/>
    </row>
    <row r="2180" spans="1:5" ht="13">
      <c r="A2180" s="115"/>
      <c r="B2180" s="115"/>
      <c r="C2180" s="115"/>
      <c r="D2180" s="115"/>
      <c r="E2180" s="115"/>
    </row>
    <row r="2181" spans="1:5" ht="13">
      <c r="A2181" s="115"/>
      <c r="B2181" s="115"/>
      <c r="C2181" s="115"/>
      <c r="D2181" s="115"/>
      <c r="E2181" s="115"/>
    </row>
    <row r="2182" spans="1:5" ht="13">
      <c r="A2182" s="115"/>
      <c r="B2182" s="115"/>
      <c r="C2182" s="115"/>
      <c r="D2182" s="115"/>
      <c r="E2182" s="115"/>
    </row>
    <row r="2183" spans="1:5" ht="13">
      <c r="A2183" s="115"/>
      <c r="B2183" s="115"/>
      <c r="C2183" s="115"/>
      <c r="D2183" s="115"/>
      <c r="E2183" s="115"/>
    </row>
    <row r="2184" spans="1:5" ht="13">
      <c r="A2184" s="115"/>
      <c r="B2184" s="115"/>
      <c r="C2184" s="115"/>
      <c r="D2184" s="115"/>
      <c r="E2184" s="115"/>
    </row>
    <row r="2185" spans="1:5" ht="13">
      <c r="A2185" s="115"/>
      <c r="B2185" s="115"/>
      <c r="C2185" s="115"/>
      <c r="D2185" s="115"/>
      <c r="E2185" s="115"/>
    </row>
    <row r="2186" spans="1:5" ht="13">
      <c r="A2186" s="115"/>
      <c r="B2186" s="115"/>
      <c r="C2186" s="115"/>
      <c r="D2186" s="115"/>
      <c r="E2186" s="115"/>
    </row>
    <row r="2187" spans="1:5" ht="13">
      <c r="A2187" s="115"/>
      <c r="B2187" s="115"/>
      <c r="C2187" s="115"/>
      <c r="D2187" s="115"/>
      <c r="E2187" s="115"/>
    </row>
    <row r="2188" spans="1:5" ht="13">
      <c r="A2188" s="115"/>
      <c r="B2188" s="115"/>
      <c r="C2188" s="115"/>
      <c r="D2188" s="115"/>
      <c r="E2188" s="115"/>
    </row>
    <row r="2189" spans="1:5" ht="13">
      <c r="A2189" s="115"/>
      <c r="B2189" s="115"/>
      <c r="C2189" s="115"/>
      <c r="D2189" s="115"/>
      <c r="E2189" s="115"/>
    </row>
    <row r="2190" spans="1:5" ht="13">
      <c r="A2190" s="115"/>
      <c r="B2190" s="115"/>
      <c r="C2190" s="115"/>
      <c r="D2190" s="115"/>
      <c r="E2190" s="115"/>
    </row>
    <row r="2191" spans="1:5" ht="13">
      <c r="A2191" s="115"/>
      <c r="B2191" s="115"/>
      <c r="C2191" s="115"/>
      <c r="D2191" s="115"/>
      <c r="E2191" s="115"/>
    </row>
    <row r="2192" spans="1:5" ht="13">
      <c r="A2192" s="115"/>
      <c r="B2192" s="115"/>
      <c r="C2192" s="115"/>
      <c r="D2192" s="115"/>
      <c r="E2192" s="115"/>
    </row>
    <row r="2193" spans="1:5" ht="13">
      <c r="A2193" s="115"/>
      <c r="B2193" s="115"/>
      <c r="C2193" s="115"/>
      <c r="D2193" s="115"/>
      <c r="E2193" s="115"/>
    </row>
    <row r="2194" spans="1:5" ht="13">
      <c r="A2194" s="115"/>
      <c r="B2194" s="115"/>
      <c r="C2194" s="115"/>
      <c r="D2194" s="115"/>
      <c r="E2194" s="115"/>
    </row>
    <row r="2195" spans="1:5" ht="13">
      <c r="A2195" s="115"/>
      <c r="B2195" s="115"/>
      <c r="C2195" s="115"/>
      <c r="D2195" s="115"/>
      <c r="E2195" s="115"/>
    </row>
    <row r="2196" spans="1:5" ht="13">
      <c r="A2196" s="115"/>
      <c r="B2196" s="115"/>
      <c r="C2196" s="115"/>
      <c r="D2196" s="115"/>
      <c r="E2196" s="115"/>
    </row>
    <row r="2197" spans="1:5" ht="13">
      <c r="A2197" s="115"/>
      <c r="B2197" s="115"/>
      <c r="C2197" s="115"/>
      <c r="D2197" s="115"/>
      <c r="E2197" s="115"/>
    </row>
    <row r="2198" spans="1:5" ht="13">
      <c r="A2198" s="115"/>
      <c r="B2198" s="115"/>
      <c r="C2198" s="115"/>
      <c r="D2198" s="115"/>
      <c r="E2198" s="115"/>
    </row>
    <row r="2199" spans="1:5" ht="13">
      <c r="A2199" s="115"/>
      <c r="B2199" s="115"/>
      <c r="C2199" s="115"/>
      <c r="D2199" s="115"/>
      <c r="E2199" s="115"/>
    </row>
    <row r="2200" spans="1:5" ht="13">
      <c r="A2200" s="115"/>
      <c r="B2200" s="115"/>
      <c r="C2200" s="115"/>
      <c r="D2200" s="115"/>
      <c r="E2200" s="115"/>
    </row>
    <row r="2201" spans="1:5" ht="13">
      <c r="A2201" s="115"/>
      <c r="B2201" s="115"/>
      <c r="C2201" s="115"/>
      <c r="D2201" s="115"/>
      <c r="E2201" s="115"/>
    </row>
    <row r="2202" spans="1:5" ht="13">
      <c r="A2202" s="115"/>
      <c r="B2202" s="115"/>
      <c r="C2202" s="115"/>
      <c r="D2202" s="115"/>
      <c r="E2202" s="115"/>
    </row>
    <row r="2203" spans="1:5" ht="13">
      <c r="A2203" s="115"/>
      <c r="B2203" s="115"/>
      <c r="C2203" s="115"/>
      <c r="D2203" s="115"/>
      <c r="E2203" s="115"/>
    </row>
    <row r="2204" spans="1:5" ht="13">
      <c r="A2204" s="115"/>
      <c r="B2204" s="115"/>
      <c r="C2204" s="115"/>
      <c r="D2204" s="115"/>
      <c r="E2204" s="115"/>
    </row>
    <row r="2205" spans="1:5" ht="13">
      <c r="A2205" s="115"/>
      <c r="B2205" s="115"/>
      <c r="C2205" s="115"/>
      <c r="D2205" s="115"/>
      <c r="E2205" s="115"/>
    </row>
    <row r="2206" spans="1:5" ht="13">
      <c r="A2206" s="115"/>
      <c r="B2206" s="115"/>
      <c r="C2206" s="115"/>
      <c r="D2206" s="115"/>
      <c r="E2206" s="115"/>
    </row>
    <row r="2207" spans="1:5" ht="13">
      <c r="A2207" s="115"/>
      <c r="B2207" s="115"/>
      <c r="C2207" s="115"/>
      <c r="D2207" s="115"/>
      <c r="E2207" s="115"/>
    </row>
    <row r="2208" spans="1:5" ht="13">
      <c r="A2208" s="115"/>
      <c r="B2208" s="115"/>
      <c r="C2208" s="115"/>
      <c r="D2208" s="115"/>
      <c r="E2208" s="115"/>
    </row>
    <row r="2209" spans="1:5" ht="13">
      <c r="A2209" s="115"/>
      <c r="B2209" s="115"/>
      <c r="C2209" s="115"/>
      <c r="D2209" s="115"/>
      <c r="E2209" s="115"/>
    </row>
    <row r="2210" spans="1:5" ht="13">
      <c r="A2210" s="115"/>
      <c r="B2210" s="115"/>
      <c r="C2210" s="115"/>
      <c r="D2210" s="115"/>
      <c r="E2210" s="115"/>
    </row>
    <row r="2211" spans="1:5" ht="13">
      <c r="A2211" s="115"/>
      <c r="B2211" s="115"/>
      <c r="C2211" s="115"/>
      <c r="D2211" s="115"/>
      <c r="E2211" s="115"/>
    </row>
    <row r="2212" spans="1:5" ht="13">
      <c r="A2212" s="115"/>
      <c r="B2212" s="115"/>
      <c r="C2212" s="115"/>
      <c r="D2212" s="115"/>
      <c r="E2212" s="115"/>
    </row>
    <row r="2213" spans="1:5" ht="13">
      <c r="A2213" s="115"/>
      <c r="B2213" s="115"/>
      <c r="C2213" s="115"/>
      <c r="D2213" s="115"/>
      <c r="E2213" s="115"/>
    </row>
    <row r="2214" spans="1:5" ht="13">
      <c r="A2214" s="115"/>
      <c r="B2214" s="115"/>
      <c r="C2214" s="115"/>
      <c r="D2214" s="115"/>
      <c r="E2214" s="115"/>
    </row>
    <row r="2215" spans="1:5" ht="13">
      <c r="A2215" s="115"/>
      <c r="B2215" s="115"/>
      <c r="C2215" s="115"/>
      <c r="D2215" s="115"/>
      <c r="E2215" s="115"/>
    </row>
    <row r="2216" spans="1:5" ht="13">
      <c r="A2216" s="115"/>
      <c r="B2216" s="115"/>
      <c r="C2216" s="115"/>
      <c r="D2216" s="115"/>
      <c r="E2216" s="115"/>
    </row>
    <row r="2217" spans="1:5" ht="13">
      <c r="A2217" s="115"/>
      <c r="B2217" s="115"/>
      <c r="C2217" s="115"/>
      <c r="D2217" s="115"/>
      <c r="E2217" s="115"/>
    </row>
    <row r="2218" spans="1:5" ht="13">
      <c r="A2218" s="115"/>
      <c r="B2218" s="115"/>
      <c r="C2218" s="115"/>
      <c r="D2218" s="115"/>
      <c r="E2218" s="115"/>
    </row>
    <row r="2219" spans="1:5" ht="13">
      <c r="A2219" s="115"/>
      <c r="B2219" s="115"/>
      <c r="C2219" s="115"/>
      <c r="D2219" s="115"/>
      <c r="E2219" s="115"/>
    </row>
    <row r="2220" spans="1:5" ht="13">
      <c r="A2220" s="115"/>
      <c r="B2220" s="115"/>
      <c r="C2220" s="115"/>
      <c r="D2220" s="115"/>
      <c r="E2220" s="115"/>
    </row>
    <row r="2221" spans="1:5" ht="13">
      <c r="A2221" s="115"/>
      <c r="B2221" s="115"/>
      <c r="C2221" s="115"/>
      <c r="D2221" s="115"/>
      <c r="E2221" s="115"/>
    </row>
    <row r="2222" spans="1:5" ht="13">
      <c r="A2222" s="115"/>
      <c r="B2222" s="115"/>
      <c r="C2222" s="115"/>
      <c r="D2222" s="115"/>
      <c r="E2222" s="115"/>
    </row>
    <row r="2223" spans="1:5" ht="13">
      <c r="A2223" s="115"/>
      <c r="B2223" s="115"/>
      <c r="C2223" s="115"/>
      <c r="D2223" s="115"/>
      <c r="E2223" s="115"/>
    </row>
    <row r="2224" spans="1:5" ht="13">
      <c r="A2224" s="115"/>
      <c r="B2224" s="115"/>
      <c r="C2224" s="115"/>
      <c r="D2224" s="115"/>
      <c r="E2224" s="115"/>
    </row>
    <row r="2225" spans="1:5" ht="13">
      <c r="A2225" s="115"/>
      <c r="B2225" s="115"/>
      <c r="C2225" s="115"/>
      <c r="D2225" s="115"/>
      <c r="E2225" s="115"/>
    </row>
    <row r="2226" spans="1:5" ht="13">
      <c r="A2226" s="115"/>
      <c r="B2226" s="115"/>
      <c r="C2226" s="115"/>
      <c r="D2226" s="115"/>
      <c r="E2226" s="115"/>
    </row>
    <row r="2227" spans="1:5" ht="13">
      <c r="A2227" s="115"/>
      <c r="B2227" s="115"/>
      <c r="C2227" s="115"/>
      <c r="D2227" s="115"/>
      <c r="E2227" s="115"/>
    </row>
    <row r="2228" spans="1:5" ht="13">
      <c r="A2228" s="115"/>
      <c r="B2228" s="115"/>
      <c r="C2228" s="115"/>
      <c r="D2228" s="115"/>
      <c r="E2228" s="115"/>
    </row>
    <row r="2229" spans="1:5" ht="13">
      <c r="A2229" s="115"/>
      <c r="B2229" s="115"/>
      <c r="C2229" s="115"/>
      <c r="D2229" s="115"/>
      <c r="E2229" s="115"/>
    </row>
    <row r="2230" spans="1:5" ht="13">
      <c r="A2230" s="115"/>
      <c r="B2230" s="115"/>
      <c r="C2230" s="115"/>
      <c r="D2230" s="115"/>
      <c r="E2230" s="115"/>
    </row>
    <row r="2231" spans="1:5" ht="13">
      <c r="A2231" s="115"/>
      <c r="B2231" s="115"/>
      <c r="C2231" s="115"/>
      <c r="D2231" s="115"/>
      <c r="E2231" s="115"/>
    </row>
    <row r="2232" spans="1:5" ht="13">
      <c r="A2232" s="115"/>
      <c r="B2232" s="115"/>
      <c r="C2232" s="115"/>
      <c r="D2232" s="115"/>
      <c r="E2232" s="115"/>
    </row>
    <row r="2233" spans="1:5" ht="13">
      <c r="A2233" s="115"/>
      <c r="B2233" s="115"/>
      <c r="C2233" s="115"/>
      <c r="D2233" s="115"/>
      <c r="E2233" s="115"/>
    </row>
    <row r="2234" spans="1:5" ht="13">
      <c r="A2234" s="115"/>
      <c r="B2234" s="115"/>
      <c r="C2234" s="115"/>
      <c r="D2234" s="115"/>
      <c r="E2234" s="115"/>
    </row>
    <row r="2235" spans="1:5" ht="13">
      <c r="A2235" s="115"/>
      <c r="B2235" s="115"/>
      <c r="C2235" s="115"/>
      <c r="D2235" s="115"/>
      <c r="E2235" s="115"/>
    </row>
    <row r="2236" spans="1:5" ht="13">
      <c r="A2236" s="115"/>
      <c r="B2236" s="115"/>
      <c r="C2236" s="115"/>
      <c r="D2236" s="115"/>
      <c r="E2236" s="115"/>
    </row>
    <row r="2237" spans="1:5" ht="13">
      <c r="A2237" s="115"/>
      <c r="B2237" s="115"/>
      <c r="C2237" s="115"/>
      <c r="D2237" s="115"/>
      <c r="E2237" s="115"/>
    </row>
    <row r="2238" spans="1:5" ht="13">
      <c r="A2238" s="115"/>
      <c r="B2238" s="115"/>
      <c r="C2238" s="115"/>
      <c r="D2238" s="115"/>
      <c r="E2238" s="115"/>
    </row>
    <row r="2239" spans="1:5" ht="13">
      <c r="A2239" s="115"/>
      <c r="B2239" s="115"/>
      <c r="C2239" s="115"/>
      <c r="D2239" s="115"/>
      <c r="E2239" s="115"/>
    </row>
    <row r="2240" spans="1:5" ht="13">
      <c r="A2240" s="115"/>
      <c r="B2240" s="115"/>
      <c r="C2240" s="115"/>
      <c r="D2240" s="115"/>
      <c r="E2240" s="115"/>
    </row>
    <row r="2241" spans="1:5" ht="13">
      <c r="A2241" s="115"/>
      <c r="B2241" s="115"/>
      <c r="C2241" s="115"/>
      <c r="D2241" s="115"/>
      <c r="E2241" s="115"/>
    </row>
    <row r="2242" spans="1:5" ht="13">
      <c r="A2242" s="115"/>
      <c r="B2242" s="115"/>
      <c r="C2242" s="115"/>
      <c r="D2242" s="115"/>
      <c r="E2242" s="115"/>
    </row>
    <row r="2243" spans="1:5" ht="13">
      <c r="A2243" s="115"/>
      <c r="B2243" s="115"/>
      <c r="C2243" s="115"/>
      <c r="D2243" s="115"/>
      <c r="E2243" s="115"/>
    </row>
    <row r="2244" spans="1:5" ht="13">
      <c r="A2244" s="115"/>
      <c r="B2244" s="115"/>
      <c r="C2244" s="115"/>
      <c r="D2244" s="115"/>
      <c r="E2244" s="115"/>
    </row>
    <row r="2245" spans="1:5" ht="13">
      <c r="A2245" s="115"/>
      <c r="B2245" s="115"/>
      <c r="C2245" s="115"/>
      <c r="D2245" s="115"/>
      <c r="E2245" s="115"/>
    </row>
    <row r="2246" spans="1:5" ht="13">
      <c r="A2246" s="115"/>
      <c r="B2246" s="115"/>
      <c r="C2246" s="115"/>
      <c r="D2246" s="115"/>
      <c r="E2246" s="115"/>
    </row>
    <row r="2247" spans="1:5" ht="13">
      <c r="A2247" s="115"/>
      <c r="B2247" s="115"/>
      <c r="C2247" s="115"/>
      <c r="D2247" s="115"/>
      <c r="E2247" s="115"/>
    </row>
    <row r="2248" spans="1:5" ht="13">
      <c r="A2248" s="115"/>
      <c r="B2248" s="115"/>
      <c r="C2248" s="115"/>
      <c r="D2248" s="115"/>
      <c r="E2248" s="115"/>
    </row>
    <row r="2249" spans="1:5" ht="13">
      <c r="A2249" s="115"/>
      <c r="B2249" s="115"/>
      <c r="C2249" s="115"/>
      <c r="D2249" s="115"/>
      <c r="E2249" s="115"/>
    </row>
    <row r="2250" spans="1:5" ht="13">
      <c r="A2250" s="115"/>
      <c r="B2250" s="115"/>
      <c r="C2250" s="115"/>
      <c r="D2250" s="115"/>
      <c r="E2250" s="115"/>
    </row>
    <row r="2251" spans="1:5" ht="13">
      <c r="A2251" s="115"/>
      <c r="B2251" s="115"/>
      <c r="C2251" s="115"/>
      <c r="D2251" s="115"/>
      <c r="E2251" s="115"/>
    </row>
    <row r="2252" spans="1:5" ht="13">
      <c r="A2252" s="115"/>
      <c r="B2252" s="115"/>
      <c r="C2252" s="115"/>
      <c r="D2252" s="115"/>
      <c r="E2252" s="115"/>
    </row>
    <row r="2253" spans="1:5" ht="13">
      <c r="A2253" s="115"/>
      <c r="B2253" s="115"/>
      <c r="C2253" s="115"/>
      <c r="D2253" s="115"/>
      <c r="E2253" s="115"/>
    </row>
    <row r="2254" spans="1:5" ht="13">
      <c r="A2254" s="115"/>
      <c r="B2254" s="115"/>
      <c r="C2254" s="115"/>
      <c r="D2254" s="115"/>
      <c r="E2254" s="115"/>
    </row>
    <row r="2255" spans="1:5" ht="13">
      <c r="A2255" s="115"/>
      <c r="B2255" s="115"/>
      <c r="C2255" s="115"/>
      <c r="D2255" s="115"/>
      <c r="E2255" s="115"/>
    </row>
    <row r="2256" spans="1:5" ht="13">
      <c r="A2256" s="115"/>
      <c r="B2256" s="115"/>
      <c r="C2256" s="115"/>
      <c r="D2256" s="115"/>
      <c r="E2256" s="115"/>
    </row>
    <row r="2257" spans="1:5" ht="13">
      <c r="A2257" s="115"/>
      <c r="B2257" s="115"/>
      <c r="C2257" s="115"/>
      <c r="D2257" s="115"/>
      <c r="E2257" s="115"/>
    </row>
    <row r="2258" spans="1:5" ht="13">
      <c r="A2258" s="115"/>
      <c r="B2258" s="115"/>
      <c r="C2258" s="115"/>
      <c r="D2258" s="115"/>
      <c r="E2258" s="115"/>
    </row>
    <row r="2259" spans="1:5" ht="13">
      <c r="A2259" s="115"/>
      <c r="B2259" s="115"/>
      <c r="C2259" s="115"/>
      <c r="D2259" s="115"/>
      <c r="E2259" s="115"/>
    </row>
    <row r="2260" spans="1:5" ht="13">
      <c r="A2260" s="115"/>
      <c r="B2260" s="115"/>
      <c r="C2260" s="115"/>
      <c r="D2260" s="115"/>
      <c r="E2260" s="115"/>
    </row>
    <row r="2261" spans="1:5" ht="13">
      <c r="A2261" s="115"/>
      <c r="B2261" s="115"/>
      <c r="C2261" s="115"/>
      <c r="D2261" s="115"/>
      <c r="E2261" s="115"/>
    </row>
    <row r="2262" spans="1:5" ht="13">
      <c r="A2262" s="115"/>
      <c r="B2262" s="115"/>
      <c r="C2262" s="115"/>
      <c r="D2262" s="115"/>
      <c r="E2262" s="115"/>
    </row>
    <row r="2263" spans="1:5" ht="13">
      <c r="A2263" s="115"/>
      <c r="B2263" s="115"/>
      <c r="C2263" s="115"/>
      <c r="D2263" s="115"/>
      <c r="E2263" s="115"/>
    </row>
    <row r="2264" spans="1:5" ht="13">
      <c r="A2264" s="115"/>
      <c r="B2264" s="115"/>
      <c r="C2264" s="115"/>
      <c r="D2264" s="115"/>
      <c r="E2264" s="115"/>
    </row>
    <row r="2265" spans="1:5" ht="13">
      <c r="A2265" s="115"/>
      <c r="B2265" s="115"/>
      <c r="C2265" s="115"/>
      <c r="D2265" s="115"/>
      <c r="E2265" s="115"/>
    </row>
    <row r="2266" spans="1:5" ht="13">
      <c r="A2266" s="115"/>
      <c r="B2266" s="115"/>
      <c r="C2266" s="115"/>
      <c r="D2266" s="115"/>
      <c r="E2266" s="115"/>
    </row>
    <row r="2267" spans="1:5" ht="13">
      <c r="A2267" s="115"/>
      <c r="B2267" s="115"/>
      <c r="C2267" s="115"/>
      <c r="D2267" s="115"/>
      <c r="E2267" s="115"/>
    </row>
    <row r="2268" spans="1:5" ht="13">
      <c r="A2268" s="115"/>
      <c r="B2268" s="115"/>
      <c r="C2268" s="115"/>
      <c r="D2268" s="115"/>
      <c r="E2268" s="115"/>
    </row>
    <row r="2269" spans="1:5" ht="13">
      <c r="A2269" s="115"/>
      <c r="B2269" s="115"/>
      <c r="C2269" s="115"/>
      <c r="D2269" s="115"/>
      <c r="E2269" s="115"/>
    </row>
    <row r="2270" spans="1:5" ht="13">
      <c r="A2270" s="115"/>
      <c r="B2270" s="115"/>
      <c r="C2270" s="115"/>
      <c r="D2270" s="115"/>
      <c r="E2270" s="115"/>
    </row>
    <row r="2271" spans="1:5" ht="13">
      <c r="A2271" s="115"/>
      <c r="B2271" s="115"/>
      <c r="C2271" s="115"/>
      <c r="D2271" s="115"/>
      <c r="E2271" s="115"/>
    </row>
    <row r="2272" spans="1:5" ht="13">
      <c r="A2272" s="115"/>
      <c r="B2272" s="115"/>
      <c r="C2272" s="115"/>
      <c r="D2272" s="115"/>
      <c r="E2272" s="115"/>
    </row>
    <row r="2273" spans="1:5" ht="13">
      <c r="A2273" s="115"/>
      <c r="B2273" s="115"/>
      <c r="C2273" s="115"/>
      <c r="D2273" s="115"/>
      <c r="E2273" s="115"/>
    </row>
    <row r="2274" spans="1:5" ht="13">
      <c r="A2274" s="115"/>
      <c r="B2274" s="115"/>
      <c r="C2274" s="115"/>
      <c r="D2274" s="115"/>
      <c r="E2274" s="115"/>
    </row>
    <row r="2275" spans="1:5" ht="13">
      <c r="A2275" s="115"/>
      <c r="B2275" s="115"/>
      <c r="C2275" s="115"/>
      <c r="D2275" s="115"/>
      <c r="E2275" s="115"/>
    </row>
    <row r="2276" spans="1:5" ht="13">
      <c r="A2276" s="115"/>
      <c r="B2276" s="115"/>
      <c r="C2276" s="115"/>
      <c r="D2276" s="115"/>
      <c r="E2276" s="115"/>
    </row>
    <row r="2277" spans="1:5" ht="13">
      <c r="A2277" s="115"/>
      <c r="B2277" s="115"/>
      <c r="C2277" s="115"/>
      <c r="D2277" s="115"/>
      <c r="E2277" s="115"/>
    </row>
    <row r="2278" spans="1:5" ht="13">
      <c r="A2278" s="115"/>
      <c r="B2278" s="115"/>
      <c r="C2278" s="115"/>
      <c r="D2278" s="115"/>
      <c r="E2278" s="115"/>
    </row>
    <row r="2279" spans="1:5" ht="13">
      <c r="A2279" s="115"/>
      <c r="B2279" s="115"/>
      <c r="C2279" s="115"/>
      <c r="D2279" s="115"/>
      <c r="E2279" s="115"/>
    </row>
    <row r="2280" spans="1:5" ht="13">
      <c r="A2280" s="115"/>
      <c r="B2280" s="115"/>
      <c r="C2280" s="115"/>
      <c r="D2280" s="115"/>
      <c r="E2280" s="115"/>
    </row>
    <row r="2281" spans="1:5" ht="13">
      <c r="A2281" s="115"/>
      <c r="B2281" s="115"/>
      <c r="C2281" s="115"/>
      <c r="D2281" s="115"/>
      <c r="E2281" s="115"/>
    </row>
    <row r="2282" spans="1:5" ht="13">
      <c r="A2282" s="115"/>
      <c r="B2282" s="115"/>
      <c r="C2282" s="115"/>
      <c r="D2282" s="115"/>
      <c r="E2282" s="115"/>
    </row>
    <row r="2283" spans="1:5" ht="13">
      <c r="A2283" s="115"/>
      <c r="B2283" s="115"/>
      <c r="C2283" s="115"/>
      <c r="D2283" s="115"/>
      <c r="E2283" s="115"/>
    </row>
    <row r="2284" spans="1:5" ht="13">
      <c r="A2284" s="115"/>
      <c r="B2284" s="115"/>
      <c r="C2284" s="115"/>
      <c r="D2284" s="115"/>
      <c r="E2284" s="115"/>
    </row>
    <row r="2285" spans="1:5" ht="13">
      <c r="A2285" s="115"/>
      <c r="B2285" s="115"/>
      <c r="C2285" s="115"/>
      <c r="D2285" s="115"/>
      <c r="E2285" s="115"/>
    </row>
    <row r="2286" spans="1:5" ht="13">
      <c r="A2286" s="115"/>
      <c r="B2286" s="115"/>
      <c r="C2286" s="115"/>
      <c r="D2286" s="115"/>
      <c r="E2286" s="115"/>
    </row>
    <row r="2287" spans="1:5" ht="13">
      <c r="A2287" s="115"/>
      <c r="B2287" s="115"/>
      <c r="C2287" s="115"/>
      <c r="D2287" s="115"/>
      <c r="E2287" s="115"/>
    </row>
    <row r="2288" spans="1:5" ht="13">
      <c r="A2288" s="115"/>
      <c r="B2288" s="115"/>
      <c r="C2288" s="115"/>
      <c r="D2288" s="115"/>
      <c r="E2288" s="115"/>
    </row>
    <row r="2289" spans="1:5" ht="13">
      <c r="A2289" s="115"/>
      <c r="B2289" s="115"/>
      <c r="C2289" s="115"/>
      <c r="D2289" s="115"/>
      <c r="E2289" s="115"/>
    </row>
    <row r="2290" spans="1:5" ht="13">
      <c r="A2290" s="115"/>
      <c r="B2290" s="115"/>
      <c r="C2290" s="115"/>
      <c r="D2290" s="115"/>
      <c r="E2290" s="115"/>
    </row>
    <row r="2291" spans="1:5" ht="13">
      <c r="A2291" s="115"/>
      <c r="B2291" s="115"/>
      <c r="C2291" s="115"/>
      <c r="D2291" s="115"/>
      <c r="E2291" s="115"/>
    </row>
    <row r="2292" spans="1:5" ht="13">
      <c r="A2292" s="115"/>
      <c r="B2292" s="115"/>
      <c r="C2292" s="115"/>
      <c r="D2292" s="115"/>
      <c r="E2292" s="115"/>
    </row>
    <row r="2293" spans="1:5" ht="13">
      <c r="A2293" s="115"/>
      <c r="B2293" s="115"/>
      <c r="C2293" s="115"/>
      <c r="D2293" s="115"/>
      <c r="E2293" s="115"/>
    </row>
    <row r="2294" spans="1:5" ht="13">
      <c r="A2294" s="115"/>
      <c r="B2294" s="115"/>
      <c r="C2294" s="115"/>
      <c r="D2294" s="115"/>
      <c r="E2294" s="115"/>
    </row>
    <row r="2295" spans="1:5" ht="13">
      <c r="A2295" s="115"/>
      <c r="B2295" s="115"/>
      <c r="C2295" s="115"/>
      <c r="D2295" s="115"/>
      <c r="E2295" s="115"/>
    </row>
    <row r="2296" spans="1:5" ht="13">
      <c r="A2296" s="115"/>
      <c r="B2296" s="115"/>
      <c r="C2296" s="115"/>
      <c r="D2296" s="115"/>
      <c r="E2296" s="115"/>
    </row>
    <row r="2297" spans="1:5" ht="13">
      <c r="A2297" s="115"/>
      <c r="B2297" s="115"/>
      <c r="C2297" s="115"/>
      <c r="D2297" s="115"/>
      <c r="E2297" s="115"/>
    </row>
    <row r="2298" spans="1:5" ht="13">
      <c r="A2298" s="115"/>
      <c r="B2298" s="115"/>
      <c r="C2298" s="115"/>
      <c r="D2298" s="115"/>
      <c r="E2298" s="115"/>
    </row>
    <row r="2299" spans="1:5" ht="13">
      <c r="A2299" s="115"/>
      <c r="B2299" s="115"/>
      <c r="C2299" s="115"/>
      <c r="D2299" s="115"/>
      <c r="E2299" s="115"/>
    </row>
    <row r="2300" spans="1:5" ht="13">
      <c r="A2300" s="115"/>
      <c r="B2300" s="115"/>
      <c r="C2300" s="115"/>
      <c r="D2300" s="115"/>
      <c r="E2300" s="115"/>
    </row>
    <row r="2301" spans="1:5" ht="13">
      <c r="A2301" s="115"/>
      <c r="B2301" s="115"/>
      <c r="C2301" s="115"/>
      <c r="D2301" s="115"/>
      <c r="E2301" s="115"/>
    </row>
    <row r="2302" spans="1:5" ht="13">
      <c r="A2302" s="115"/>
      <c r="B2302" s="115"/>
      <c r="C2302" s="115"/>
      <c r="D2302" s="115"/>
      <c r="E2302" s="115"/>
    </row>
    <row r="2303" spans="1:5" ht="13">
      <c r="A2303" s="115"/>
      <c r="B2303" s="115"/>
      <c r="C2303" s="115"/>
      <c r="D2303" s="115"/>
      <c r="E2303" s="115"/>
    </row>
    <row r="2304" spans="1:5" ht="13">
      <c r="A2304" s="115"/>
      <c r="B2304" s="115"/>
      <c r="C2304" s="115"/>
      <c r="D2304" s="115"/>
      <c r="E2304" s="115"/>
    </row>
    <row r="2305" spans="1:5" ht="13">
      <c r="A2305" s="115"/>
      <c r="B2305" s="115"/>
      <c r="C2305" s="115"/>
      <c r="D2305" s="115"/>
      <c r="E2305" s="115"/>
    </row>
    <row r="2306" spans="1:5" ht="13">
      <c r="A2306" s="115"/>
      <c r="B2306" s="115"/>
      <c r="C2306" s="115"/>
      <c r="D2306" s="115"/>
      <c r="E2306" s="115"/>
    </row>
    <row r="2307" spans="1:5" ht="13">
      <c r="A2307" s="115"/>
      <c r="B2307" s="115"/>
      <c r="C2307" s="115"/>
      <c r="D2307" s="115"/>
      <c r="E2307" s="115"/>
    </row>
    <row r="2308" spans="1:5" ht="13">
      <c r="A2308" s="115"/>
      <c r="B2308" s="115"/>
      <c r="C2308" s="115"/>
      <c r="D2308" s="115"/>
      <c r="E2308" s="115"/>
    </row>
    <row r="2309" spans="1:5" ht="13">
      <c r="A2309" s="115"/>
      <c r="B2309" s="115"/>
      <c r="C2309" s="115"/>
      <c r="D2309" s="115"/>
      <c r="E2309" s="115"/>
    </row>
    <row r="2310" spans="1:5" ht="13">
      <c r="A2310" s="115"/>
      <c r="B2310" s="115"/>
      <c r="C2310" s="115"/>
      <c r="D2310" s="115"/>
      <c r="E2310" s="115"/>
    </row>
    <row r="2311" spans="1:5" ht="13">
      <c r="A2311" s="115"/>
      <c r="B2311" s="115"/>
      <c r="C2311" s="115"/>
      <c r="D2311" s="115"/>
      <c r="E2311" s="115"/>
    </row>
    <row r="2312" spans="1:5" ht="13">
      <c r="A2312" s="115"/>
      <c r="B2312" s="115"/>
      <c r="C2312" s="115"/>
      <c r="D2312" s="115"/>
      <c r="E2312" s="115"/>
    </row>
    <row r="2313" spans="1:5" ht="13">
      <c r="A2313" s="115"/>
      <c r="B2313" s="115"/>
      <c r="C2313" s="115"/>
      <c r="D2313" s="115"/>
      <c r="E2313" s="115"/>
    </row>
    <row r="2314" spans="1:5" ht="13">
      <c r="A2314" s="115"/>
      <c r="B2314" s="115"/>
      <c r="C2314" s="115"/>
      <c r="D2314" s="115"/>
      <c r="E2314" s="115"/>
    </row>
    <row r="2315" spans="1:5" ht="13">
      <c r="A2315" s="115"/>
      <c r="B2315" s="115"/>
      <c r="C2315" s="115"/>
      <c r="D2315" s="115"/>
      <c r="E2315" s="115"/>
    </row>
    <row r="2316" spans="1:5" ht="13">
      <c r="A2316" s="115"/>
      <c r="B2316" s="115"/>
      <c r="C2316" s="115"/>
      <c r="D2316" s="115"/>
      <c r="E2316" s="115"/>
    </row>
    <row r="2317" spans="1:5" ht="13">
      <c r="A2317" s="115"/>
      <c r="B2317" s="115"/>
      <c r="C2317" s="115"/>
      <c r="D2317" s="115"/>
      <c r="E2317" s="115"/>
    </row>
    <row r="2318" spans="1:5" ht="13">
      <c r="A2318" s="115"/>
      <c r="B2318" s="115"/>
      <c r="C2318" s="115"/>
      <c r="D2318" s="115"/>
      <c r="E2318" s="115"/>
    </row>
    <row r="2319" spans="1:5" ht="13">
      <c r="A2319" s="115"/>
      <c r="B2319" s="115"/>
      <c r="C2319" s="115"/>
      <c r="D2319" s="115"/>
      <c r="E2319" s="115"/>
    </row>
    <row r="2320" spans="1:5" ht="13">
      <c r="A2320" s="115"/>
      <c r="B2320" s="115"/>
      <c r="C2320" s="115"/>
      <c r="D2320" s="115"/>
      <c r="E2320" s="115"/>
    </row>
    <row r="2321" spans="1:5" ht="13">
      <c r="A2321" s="115"/>
      <c r="B2321" s="115"/>
      <c r="C2321" s="115"/>
      <c r="D2321" s="115"/>
      <c r="E2321" s="115"/>
    </row>
    <row r="2322" spans="1:5" ht="13">
      <c r="A2322" s="115"/>
      <c r="B2322" s="115"/>
      <c r="C2322" s="115"/>
      <c r="D2322" s="115"/>
      <c r="E2322" s="115"/>
    </row>
    <row r="2323" spans="1:5" ht="13">
      <c r="A2323" s="115"/>
      <c r="B2323" s="115"/>
      <c r="C2323" s="115"/>
      <c r="D2323" s="115"/>
      <c r="E2323" s="115"/>
    </row>
    <row r="2324" spans="1:5" ht="13">
      <c r="A2324" s="115"/>
      <c r="B2324" s="115"/>
      <c r="C2324" s="115"/>
      <c r="D2324" s="115"/>
      <c r="E2324" s="115"/>
    </row>
    <row r="2325" spans="1:5" ht="13">
      <c r="A2325" s="115"/>
      <c r="B2325" s="115"/>
      <c r="C2325" s="115"/>
      <c r="D2325" s="115"/>
      <c r="E2325" s="115"/>
    </row>
    <row r="2326" spans="1:5" ht="13">
      <c r="A2326" s="115"/>
      <c r="B2326" s="115"/>
      <c r="C2326" s="115"/>
      <c r="D2326" s="115"/>
      <c r="E2326" s="115"/>
    </row>
    <row r="2327" spans="1:5" ht="13">
      <c r="A2327" s="115"/>
      <c r="B2327" s="115"/>
      <c r="C2327" s="115"/>
      <c r="D2327" s="115"/>
      <c r="E2327" s="115"/>
    </row>
    <row r="2328" spans="1:5" ht="13">
      <c r="A2328" s="115"/>
      <c r="B2328" s="115"/>
      <c r="C2328" s="115"/>
      <c r="D2328" s="115"/>
      <c r="E2328" s="115"/>
    </row>
    <row r="2329" spans="1:5" ht="13">
      <c r="A2329" s="115"/>
      <c r="B2329" s="115"/>
      <c r="C2329" s="115"/>
      <c r="D2329" s="115"/>
      <c r="E2329" s="115"/>
    </row>
    <row r="2330" spans="1:5" ht="13">
      <c r="A2330" s="115"/>
      <c r="B2330" s="115"/>
      <c r="C2330" s="115"/>
      <c r="D2330" s="115"/>
      <c r="E2330" s="115"/>
    </row>
    <row r="2331" spans="1:5" ht="13">
      <c r="A2331" s="115"/>
      <c r="B2331" s="115"/>
      <c r="C2331" s="115"/>
      <c r="D2331" s="115"/>
      <c r="E2331" s="115"/>
    </row>
    <row r="2332" spans="1:5" ht="13">
      <c r="A2332" s="115"/>
      <c r="B2332" s="115"/>
      <c r="C2332" s="115"/>
      <c r="D2332" s="115"/>
      <c r="E2332" s="115"/>
    </row>
    <row r="2333" spans="1:5" ht="13">
      <c r="A2333" s="115"/>
      <c r="B2333" s="115"/>
      <c r="C2333" s="115"/>
      <c r="D2333" s="115"/>
      <c r="E2333" s="115"/>
    </row>
    <row r="2334" spans="1:5" ht="13">
      <c r="A2334" s="115"/>
      <c r="B2334" s="115"/>
      <c r="C2334" s="115"/>
      <c r="D2334" s="115"/>
      <c r="E2334" s="115"/>
    </row>
    <row r="2335" spans="1:5" ht="13">
      <c r="A2335" s="115"/>
      <c r="B2335" s="115"/>
      <c r="C2335" s="115"/>
      <c r="D2335" s="115"/>
      <c r="E2335" s="115"/>
    </row>
    <row r="2336" spans="1:5" ht="13">
      <c r="A2336" s="115"/>
      <c r="B2336" s="115"/>
      <c r="C2336" s="115"/>
      <c r="D2336" s="115"/>
      <c r="E2336" s="115"/>
    </row>
    <row r="2337" spans="1:5" ht="13">
      <c r="A2337" s="115"/>
      <c r="B2337" s="115"/>
      <c r="C2337" s="115"/>
      <c r="D2337" s="115"/>
      <c r="E2337" s="115"/>
    </row>
    <row r="2338" spans="1:5" ht="13">
      <c r="A2338" s="115"/>
      <c r="B2338" s="115"/>
      <c r="C2338" s="115"/>
      <c r="D2338" s="115"/>
      <c r="E2338" s="115"/>
    </row>
    <row r="2339" spans="1:5" ht="13">
      <c r="A2339" s="115"/>
      <c r="B2339" s="115"/>
      <c r="C2339" s="115"/>
      <c r="D2339" s="115"/>
      <c r="E2339" s="115"/>
    </row>
    <row r="2340" spans="1:5" ht="13">
      <c r="A2340" s="115"/>
      <c r="B2340" s="115"/>
      <c r="C2340" s="115"/>
      <c r="D2340" s="115"/>
      <c r="E2340" s="115"/>
    </row>
    <row r="2341" spans="1:5" ht="13">
      <c r="A2341" s="115"/>
      <c r="B2341" s="115"/>
      <c r="C2341" s="115"/>
      <c r="D2341" s="115"/>
      <c r="E2341" s="115"/>
    </row>
    <row r="2342" spans="1:5" ht="13">
      <c r="A2342" s="115"/>
      <c r="B2342" s="115"/>
      <c r="C2342" s="115"/>
      <c r="D2342" s="115"/>
      <c r="E2342" s="115"/>
    </row>
    <row r="2343" spans="1:5" ht="13">
      <c r="A2343" s="115"/>
      <c r="B2343" s="115"/>
      <c r="C2343" s="115"/>
      <c r="D2343" s="115"/>
      <c r="E2343" s="115"/>
    </row>
    <row r="2344" spans="1:5" ht="13">
      <c r="A2344" s="115"/>
      <c r="B2344" s="115"/>
      <c r="C2344" s="115"/>
      <c r="D2344" s="115"/>
      <c r="E2344" s="115"/>
    </row>
    <row r="2345" spans="1:5" ht="13">
      <c r="A2345" s="115"/>
      <c r="B2345" s="115"/>
      <c r="C2345" s="115"/>
      <c r="D2345" s="115"/>
      <c r="E2345" s="115"/>
    </row>
    <row r="2346" spans="1:5" ht="13">
      <c r="A2346" s="115"/>
      <c r="B2346" s="115"/>
      <c r="C2346" s="115"/>
      <c r="D2346" s="115"/>
      <c r="E2346" s="115"/>
    </row>
    <row r="2347" spans="1:5" ht="13">
      <c r="A2347" s="115"/>
      <c r="B2347" s="115"/>
      <c r="C2347" s="115"/>
      <c r="D2347" s="115"/>
      <c r="E2347" s="115"/>
    </row>
    <row r="2348" spans="1:5" ht="13">
      <c r="A2348" s="115"/>
      <c r="B2348" s="115"/>
      <c r="C2348" s="115"/>
      <c r="D2348" s="115"/>
      <c r="E2348" s="115"/>
    </row>
    <row r="2349" spans="1:5" ht="13">
      <c r="A2349" s="115"/>
      <c r="B2349" s="115"/>
      <c r="C2349" s="115"/>
      <c r="D2349" s="115"/>
      <c r="E2349" s="115"/>
    </row>
    <row r="2350" spans="1:5" ht="13">
      <c r="A2350" s="115"/>
      <c r="B2350" s="115"/>
      <c r="C2350" s="115"/>
      <c r="D2350" s="115"/>
      <c r="E2350" s="115"/>
    </row>
    <row r="2351" spans="1:5" ht="13">
      <c r="A2351" s="115"/>
      <c r="B2351" s="115"/>
      <c r="C2351" s="115"/>
      <c r="D2351" s="115"/>
      <c r="E2351" s="115"/>
    </row>
    <row r="2352" spans="1:5" ht="13">
      <c r="A2352" s="115"/>
      <c r="B2352" s="115"/>
      <c r="C2352" s="115"/>
      <c r="D2352" s="115"/>
      <c r="E2352" s="115"/>
    </row>
    <row r="2353" spans="1:5" ht="13">
      <c r="A2353" s="115"/>
      <c r="B2353" s="115"/>
      <c r="C2353" s="115"/>
      <c r="D2353" s="115"/>
      <c r="E2353" s="115"/>
    </row>
    <row r="2354" spans="1:5" ht="13">
      <c r="A2354" s="115"/>
      <c r="B2354" s="115"/>
      <c r="C2354" s="115"/>
      <c r="D2354" s="115"/>
      <c r="E2354" s="115"/>
    </row>
    <row r="2355" spans="1:5" ht="13">
      <c r="A2355" s="115"/>
      <c r="B2355" s="115"/>
      <c r="C2355" s="115"/>
      <c r="D2355" s="115"/>
      <c r="E2355" s="115"/>
    </row>
    <row r="2356" spans="1:5" ht="13">
      <c r="A2356" s="115"/>
      <c r="B2356" s="115"/>
      <c r="C2356" s="115"/>
      <c r="D2356" s="115"/>
      <c r="E2356" s="115"/>
    </row>
    <row r="2357" spans="1:5" ht="13">
      <c r="A2357" s="115"/>
      <c r="B2357" s="115"/>
      <c r="C2357" s="115"/>
      <c r="D2357" s="115"/>
      <c r="E2357" s="115"/>
    </row>
    <row r="2358" spans="1:5" ht="13">
      <c r="A2358" s="115"/>
      <c r="B2358" s="115"/>
      <c r="C2358" s="115"/>
      <c r="D2358" s="115"/>
      <c r="E2358" s="115"/>
    </row>
    <row r="2359" spans="1:5" ht="13">
      <c r="A2359" s="115"/>
      <c r="B2359" s="115"/>
      <c r="C2359" s="115"/>
      <c r="D2359" s="115"/>
      <c r="E2359" s="115"/>
    </row>
    <row r="2360" spans="1:5" ht="13">
      <c r="A2360" s="115"/>
      <c r="B2360" s="115"/>
      <c r="C2360" s="115"/>
      <c r="D2360" s="115"/>
      <c r="E2360" s="115"/>
    </row>
    <row r="2361" spans="1:5" ht="13">
      <c r="A2361" s="115"/>
      <c r="B2361" s="115"/>
      <c r="C2361" s="115"/>
      <c r="D2361" s="115"/>
      <c r="E2361" s="115"/>
    </row>
    <row r="2362" spans="1:5" ht="13">
      <c r="A2362" s="115"/>
      <c r="B2362" s="115"/>
      <c r="C2362" s="115"/>
      <c r="D2362" s="115"/>
      <c r="E2362" s="115"/>
    </row>
    <row r="2363" spans="1:5" ht="13">
      <c r="A2363" s="115"/>
      <c r="B2363" s="115"/>
      <c r="C2363" s="115"/>
      <c r="D2363" s="115"/>
      <c r="E2363" s="115"/>
    </row>
    <row r="2364" spans="1:5" ht="13">
      <c r="A2364" s="115"/>
      <c r="B2364" s="115"/>
      <c r="C2364" s="115"/>
      <c r="D2364" s="115"/>
      <c r="E2364" s="115"/>
    </row>
    <row r="2365" spans="1:5" ht="13">
      <c r="A2365" s="115"/>
      <c r="B2365" s="115"/>
      <c r="C2365" s="115"/>
      <c r="D2365" s="115"/>
      <c r="E2365" s="115"/>
    </row>
    <row r="2366" spans="1:5" ht="13">
      <c r="A2366" s="115"/>
      <c r="B2366" s="115"/>
      <c r="C2366" s="115"/>
      <c r="D2366" s="115"/>
      <c r="E2366" s="115"/>
    </row>
    <row r="2367" spans="1:5" ht="13">
      <c r="A2367" s="115"/>
      <c r="B2367" s="115"/>
      <c r="C2367" s="115"/>
      <c r="D2367" s="115"/>
      <c r="E2367" s="115"/>
    </row>
    <row r="2368" spans="1:5" ht="13">
      <c r="A2368" s="115"/>
      <c r="B2368" s="115"/>
      <c r="C2368" s="115"/>
      <c r="D2368" s="115"/>
      <c r="E2368" s="115"/>
    </row>
    <row r="2369" spans="1:5" ht="13">
      <c r="A2369" s="115"/>
      <c r="B2369" s="115"/>
      <c r="C2369" s="115"/>
      <c r="D2369" s="115"/>
      <c r="E2369" s="115"/>
    </row>
    <row r="2370" spans="1:5" ht="13">
      <c r="A2370" s="115"/>
      <c r="B2370" s="115"/>
      <c r="C2370" s="115"/>
      <c r="D2370" s="115"/>
      <c r="E2370" s="115"/>
    </row>
    <row r="2371" spans="1:5" ht="13">
      <c r="A2371" s="115"/>
      <c r="B2371" s="115"/>
      <c r="C2371" s="115"/>
      <c r="D2371" s="115"/>
      <c r="E2371" s="115"/>
    </row>
    <row r="2372" spans="1:5" ht="13">
      <c r="A2372" s="115"/>
      <c r="B2372" s="115"/>
      <c r="C2372" s="115"/>
      <c r="D2372" s="115"/>
      <c r="E2372" s="115"/>
    </row>
    <row r="2373" spans="1:5" ht="13">
      <c r="A2373" s="115"/>
      <c r="B2373" s="115"/>
      <c r="C2373" s="115"/>
      <c r="D2373" s="115"/>
      <c r="E2373" s="115"/>
    </row>
    <row r="2374" spans="1:5" ht="13">
      <c r="A2374" s="115"/>
      <c r="B2374" s="115"/>
      <c r="C2374" s="115"/>
      <c r="D2374" s="115"/>
      <c r="E2374" s="115"/>
    </row>
    <row r="2375" spans="1:5" ht="13">
      <c r="A2375" s="115"/>
      <c r="B2375" s="115"/>
      <c r="C2375" s="115"/>
      <c r="D2375" s="115"/>
      <c r="E2375" s="115"/>
    </row>
    <row r="2376" spans="1:5" ht="13">
      <c r="A2376" s="115"/>
      <c r="B2376" s="115"/>
      <c r="C2376" s="115"/>
      <c r="D2376" s="115"/>
      <c r="E2376" s="115"/>
    </row>
    <row r="2377" spans="1:5" ht="13">
      <c r="A2377" s="115"/>
      <c r="B2377" s="115"/>
      <c r="C2377" s="115"/>
      <c r="D2377" s="115"/>
      <c r="E2377" s="115"/>
    </row>
    <row r="2378" spans="1:5" ht="13">
      <c r="A2378" s="115"/>
      <c r="B2378" s="115"/>
      <c r="C2378" s="115"/>
      <c r="D2378" s="115"/>
      <c r="E2378" s="115"/>
    </row>
    <row r="2379" spans="1:5" ht="13">
      <c r="A2379" s="115"/>
      <c r="B2379" s="115"/>
      <c r="C2379" s="115"/>
      <c r="D2379" s="115"/>
      <c r="E2379" s="115"/>
    </row>
    <row r="2380" spans="1:5" ht="13">
      <c r="A2380" s="115"/>
      <c r="B2380" s="115"/>
      <c r="C2380" s="115"/>
      <c r="D2380" s="115"/>
      <c r="E2380" s="115"/>
    </row>
    <row r="2381" spans="1:5" ht="13">
      <c r="A2381" s="115"/>
      <c r="B2381" s="115"/>
      <c r="C2381" s="115"/>
      <c r="D2381" s="115"/>
      <c r="E2381" s="115"/>
    </row>
    <row r="2382" spans="1:5" ht="13">
      <c r="A2382" s="115"/>
      <c r="B2382" s="115"/>
      <c r="C2382" s="115"/>
      <c r="D2382" s="115"/>
      <c r="E2382" s="115"/>
    </row>
    <row r="2383" spans="1:5" ht="13">
      <c r="A2383" s="115"/>
      <c r="B2383" s="115"/>
      <c r="C2383" s="115"/>
      <c r="D2383" s="115"/>
      <c r="E2383" s="115"/>
    </row>
    <row r="2384" spans="1:5" ht="13">
      <c r="A2384" s="115"/>
      <c r="B2384" s="115"/>
      <c r="C2384" s="115"/>
      <c r="D2384" s="115"/>
      <c r="E2384" s="115"/>
    </row>
    <row r="2385" spans="1:5" ht="13">
      <c r="A2385" s="115"/>
      <c r="B2385" s="115"/>
      <c r="C2385" s="115"/>
      <c r="D2385" s="115"/>
      <c r="E2385" s="115"/>
    </row>
    <row r="2386" spans="1:5" ht="13">
      <c r="A2386" s="115"/>
      <c r="B2386" s="115"/>
      <c r="C2386" s="115"/>
      <c r="D2386" s="115"/>
      <c r="E2386" s="115"/>
    </row>
    <row r="2387" spans="1:5" ht="13">
      <c r="A2387" s="115"/>
      <c r="B2387" s="115"/>
      <c r="C2387" s="115"/>
      <c r="D2387" s="115"/>
      <c r="E2387" s="115"/>
    </row>
    <row r="2388" spans="1:5" ht="13">
      <c r="A2388" s="115"/>
      <c r="B2388" s="115"/>
      <c r="C2388" s="115"/>
      <c r="D2388" s="115"/>
      <c r="E2388" s="115"/>
    </row>
    <row r="2389" spans="1:5" ht="13">
      <c r="A2389" s="115"/>
      <c r="B2389" s="115"/>
      <c r="C2389" s="115"/>
      <c r="D2389" s="115"/>
      <c r="E2389" s="115"/>
    </row>
    <row r="2390" spans="1:5" ht="13">
      <c r="A2390" s="115"/>
      <c r="B2390" s="115"/>
      <c r="C2390" s="115"/>
      <c r="D2390" s="115"/>
      <c r="E2390" s="115"/>
    </row>
    <row r="2391" spans="1:5" ht="13">
      <c r="A2391" s="115"/>
      <c r="B2391" s="115"/>
      <c r="C2391" s="115"/>
      <c r="D2391" s="115"/>
      <c r="E2391" s="115"/>
    </row>
    <row r="2392" spans="1:5" ht="13">
      <c r="A2392" s="115"/>
      <c r="B2392" s="115"/>
      <c r="C2392" s="115"/>
      <c r="D2392" s="115"/>
      <c r="E2392" s="115"/>
    </row>
    <row r="2393" spans="1:5" ht="13">
      <c r="A2393" s="115"/>
      <c r="B2393" s="115"/>
      <c r="C2393" s="115"/>
      <c r="D2393" s="115"/>
      <c r="E2393" s="115"/>
    </row>
    <row r="2394" spans="1:5" ht="13">
      <c r="A2394" s="115"/>
      <c r="B2394" s="115"/>
      <c r="C2394" s="115"/>
      <c r="D2394" s="115"/>
      <c r="E2394" s="115"/>
    </row>
    <row r="2395" spans="1:5" ht="13">
      <c r="A2395" s="115"/>
      <c r="B2395" s="115"/>
      <c r="C2395" s="115"/>
      <c r="D2395" s="115"/>
      <c r="E2395" s="115"/>
    </row>
    <row r="2396" spans="1:5" ht="13">
      <c r="A2396" s="115"/>
      <c r="B2396" s="115"/>
      <c r="C2396" s="115"/>
      <c r="D2396" s="115"/>
      <c r="E2396" s="115"/>
    </row>
    <row r="2397" spans="1:5" ht="13">
      <c r="A2397" s="115"/>
      <c r="B2397" s="115"/>
      <c r="C2397" s="115"/>
      <c r="D2397" s="115"/>
      <c r="E2397" s="115"/>
    </row>
    <row r="2398" spans="1:5" ht="13">
      <c r="A2398" s="115"/>
      <c r="B2398" s="115"/>
      <c r="C2398" s="115"/>
      <c r="D2398" s="115"/>
      <c r="E2398" s="115"/>
    </row>
    <row r="2399" spans="1:5" ht="13">
      <c r="A2399" s="115"/>
      <c r="B2399" s="115"/>
      <c r="C2399" s="115"/>
      <c r="D2399" s="115"/>
      <c r="E2399" s="115"/>
    </row>
    <row r="2400" spans="1:5" ht="13">
      <c r="A2400" s="115"/>
      <c r="B2400" s="115"/>
      <c r="C2400" s="115"/>
      <c r="D2400" s="115"/>
      <c r="E2400" s="115"/>
    </row>
    <row r="2401" spans="1:5" ht="13">
      <c r="A2401" s="115"/>
      <c r="B2401" s="115"/>
      <c r="C2401" s="115"/>
      <c r="D2401" s="115"/>
      <c r="E2401" s="115"/>
    </row>
    <row r="2402" spans="1:5" ht="13">
      <c r="A2402" s="115"/>
      <c r="B2402" s="115"/>
      <c r="C2402" s="115"/>
      <c r="D2402" s="115"/>
      <c r="E2402" s="115"/>
    </row>
    <row r="2403" spans="1:5" ht="13">
      <c r="A2403" s="115"/>
      <c r="B2403" s="115"/>
      <c r="C2403" s="115"/>
      <c r="D2403" s="115"/>
      <c r="E2403" s="115"/>
    </row>
    <row r="2404" spans="1:5" ht="13">
      <c r="A2404" s="115"/>
      <c r="B2404" s="115"/>
      <c r="C2404" s="115"/>
      <c r="D2404" s="115"/>
      <c r="E2404" s="115"/>
    </row>
    <row r="2405" spans="1:5" ht="13">
      <c r="A2405" s="115"/>
      <c r="B2405" s="115"/>
      <c r="C2405" s="115"/>
      <c r="D2405" s="115"/>
      <c r="E2405" s="115"/>
    </row>
    <row r="2406" spans="1:5" ht="13">
      <c r="A2406" s="115"/>
      <c r="B2406" s="115"/>
      <c r="C2406" s="115"/>
      <c r="D2406" s="115"/>
      <c r="E2406" s="115"/>
    </row>
    <row r="2407" spans="1:5" ht="13">
      <c r="A2407" s="115"/>
      <c r="B2407" s="115"/>
      <c r="C2407" s="115"/>
      <c r="D2407" s="115"/>
      <c r="E2407" s="115"/>
    </row>
    <row r="2408" spans="1:5" ht="13">
      <c r="A2408" s="115"/>
      <c r="B2408" s="115"/>
      <c r="C2408" s="115"/>
      <c r="D2408" s="115"/>
      <c r="E2408" s="115"/>
    </row>
    <row r="2409" spans="1:5" ht="13">
      <c r="A2409" s="115"/>
      <c r="B2409" s="115"/>
      <c r="C2409" s="115"/>
      <c r="D2409" s="115"/>
      <c r="E2409" s="115"/>
    </row>
    <row r="2410" spans="1:5" ht="13">
      <c r="A2410" s="115"/>
      <c r="B2410" s="115"/>
      <c r="C2410" s="115"/>
      <c r="D2410" s="115"/>
      <c r="E2410" s="115"/>
    </row>
    <row r="2411" spans="1:5" ht="13">
      <c r="A2411" s="115"/>
      <c r="B2411" s="115"/>
      <c r="C2411" s="115"/>
      <c r="D2411" s="115"/>
      <c r="E2411" s="115"/>
    </row>
    <row r="2412" spans="1:5" ht="13">
      <c r="A2412" s="115"/>
      <c r="B2412" s="115"/>
      <c r="C2412" s="115"/>
      <c r="D2412" s="115"/>
      <c r="E2412" s="115"/>
    </row>
    <row r="2413" spans="1:5" ht="13">
      <c r="A2413" s="115"/>
      <c r="B2413" s="115"/>
      <c r="C2413" s="115"/>
      <c r="D2413" s="115"/>
      <c r="E2413" s="115"/>
    </row>
    <row r="2414" spans="1:5" ht="13">
      <c r="A2414" s="115"/>
      <c r="B2414" s="115"/>
      <c r="C2414" s="115"/>
      <c r="D2414" s="115"/>
      <c r="E2414" s="115"/>
    </row>
    <row r="2415" spans="1:5" ht="13">
      <c r="A2415" s="115"/>
      <c r="B2415" s="115"/>
      <c r="C2415" s="115"/>
      <c r="D2415" s="115"/>
      <c r="E2415" s="115"/>
    </row>
    <row r="2416" spans="1:5" ht="13">
      <c r="A2416" s="115"/>
      <c r="B2416" s="115"/>
      <c r="C2416" s="115"/>
      <c r="D2416" s="115"/>
      <c r="E2416" s="115"/>
    </row>
    <row r="2417" spans="1:5" ht="13">
      <c r="A2417" s="115"/>
      <c r="B2417" s="115"/>
      <c r="C2417" s="115"/>
      <c r="D2417" s="115"/>
      <c r="E2417" s="115"/>
    </row>
    <row r="2418" spans="1:5" ht="13">
      <c r="A2418" s="115"/>
      <c r="B2418" s="115"/>
      <c r="C2418" s="115"/>
      <c r="D2418" s="115"/>
      <c r="E2418" s="115"/>
    </row>
    <row r="2419" spans="1:5" ht="13">
      <c r="A2419" s="115"/>
      <c r="B2419" s="115"/>
      <c r="C2419" s="115"/>
      <c r="D2419" s="115"/>
      <c r="E2419" s="115"/>
    </row>
    <row r="2420" spans="1:5" ht="13">
      <c r="A2420" s="115"/>
      <c r="B2420" s="115"/>
      <c r="C2420" s="115"/>
      <c r="D2420" s="115"/>
      <c r="E2420" s="115"/>
    </row>
    <row r="2421" spans="1:5" ht="13">
      <c r="A2421" s="115"/>
      <c r="B2421" s="115"/>
      <c r="C2421" s="115"/>
      <c r="D2421" s="115"/>
      <c r="E2421" s="115"/>
    </row>
    <row r="2422" spans="1:5" ht="13">
      <c r="A2422" s="115"/>
      <c r="B2422" s="115"/>
      <c r="C2422" s="115"/>
      <c r="D2422" s="115"/>
      <c r="E2422" s="115"/>
    </row>
    <row r="2423" spans="1:5" ht="13">
      <c r="A2423" s="115"/>
      <c r="B2423" s="115"/>
      <c r="C2423" s="115"/>
      <c r="D2423" s="115"/>
      <c r="E2423" s="115"/>
    </row>
    <row r="2424" spans="1:5" ht="13">
      <c r="A2424" s="115"/>
      <c r="B2424" s="115"/>
      <c r="C2424" s="115"/>
      <c r="D2424" s="115"/>
      <c r="E2424" s="115"/>
    </row>
    <row r="2425" spans="1:5" ht="13">
      <c r="A2425" s="115"/>
      <c r="B2425" s="115"/>
      <c r="C2425" s="115"/>
      <c r="D2425" s="115"/>
      <c r="E2425" s="115"/>
    </row>
    <row r="2426" spans="1:5" ht="13">
      <c r="A2426" s="115"/>
      <c r="B2426" s="115"/>
      <c r="C2426" s="115"/>
      <c r="D2426" s="115"/>
      <c r="E2426" s="115"/>
    </row>
    <row r="2427" spans="1:5" ht="13">
      <c r="A2427" s="115"/>
      <c r="B2427" s="115"/>
      <c r="C2427" s="115"/>
      <c r="D2427" s="115"/>
      <c r="E2427" s="115"/>
    </row>
    <row r="2428" spans="1:5" ht="13">
      <c r="A2428" s="115"/>
      <c r="B2428" s="115"/>
      <c r="C2428" s="115"/>
      <c r="D2428" s="115"/>
      <c r="E2428" s="115"/>
    </row>
    <row r="2429" spans="1:5" ht="13">
      <c r="A2429" s="115"/>
      <c r="B2429" s="115"/>
      <c r="C2429" s="115"/>
      <c r="D2429" s="115"/>
      <c r="E2429" s="115"/>
    </row>
    <row r="2430" spans="1:5" ht="13">
      <c r="A2430" s="115"/>
      <c r="B2430" s="115"/>
      <c r="C2430" s="115"/>
      <c r="D2430" s="115"/>
      <c r="E2430" s="115"/>
    </row>
    <row r="2431" spans="1:5" ht="13">
      <c r="A2431" s="115"/>
      <c r="B2431" s="115"/>
      <c r="C2431" s="115"/>
      <c r="D2431" s="115"/>
      <c r="E2431" s="115"/>
    </row>
    <row r="2432" spans="1:5" ht="13">
      <c r="A2432" s="115"/>
      <c r="B2432" s="115"/>
      <c r="C2432" s="115"/>
      <c r="D2432" s="115"/>
      <c r="E2432" s="115"/>
    </row>
    <row r="2433" spans="1:5" ht="13">
      <c r="A2433" s="115"/>
      <c r="B2433" s="115"/>
      <c r="C2433" s="115"/>
      <c r="D2433" s="115"/>
      <c r="E2433" s="115"/>
    </row>
    <row r="2434" spans="1:5" ht="13">
      <c r="A2434" s="115"/>
      <c r="B2434" s="115"/>
      <c r="C2434" s="115"/>
      <c r="D2434" s="115"/>
      <c r="E2434" s="115"/>
    </row>
    <row r="2435" spans="1:5" ht="13">
      <c r="A2435" s="115"/>
      <c r="B2435" s="115"/>
      <c r="C2435" s="115"/>
      <c r="D2435" s="115"/>
      <c r="E2435" s="115"/>
    </row>
    <row r="2436" spans="1:5" ht="13">
      <c r="A2436" s="115"/>
      <c r="B2436" s="115"/>
      <c r="C2436" s="115"/>
      <c r="D2436" s="115"/>
      <c r="E2436" s="115"/>
    </row>
    <row r="2437" spans="1:5" ht="13">
      <c r="A2437" s="115"/>
      <c r="B2437" s="115"/>
      <c r="C2437" s="115"/>
      <c r="D2437" s="115"/>
      <c r="E2437" s="115"/>
    </row>
    <row r="2438" spans="1:5" ht="13">
      <c r="A2438" s="115"/>
      <c r="B2438" s="115"/>
      <c r="C2438" s="115"/>
      <c r="D2438" s="115"/>
      <c r="E2438" s="115"/>
    </row>
    <row r="2439" spans="1:5" ht="13">
      <c r="A2439" s="115"/>
      <c r="B2439" s="115"/>
      <c r="C2439" s="115"/>
      <c r="D2439" s="115"/>
      <c r="E2439" s="115"/>
    </row>
    <row r="2440" spans="1:5" ht="13">
      <c r="A2440" s="115"/>
      <c r="B2440" s="115"/>
      <c r="C2440" s="115"/>
      <c r="D2440" s="115"/>
      <c r="E2440" s="115"/>
    </row>
    <row r="2441" spans="1:5" ht="13">
      <c r="A2441" s="115"/>
      <c r="B2441" s="115"/>
      <c r="C2441" s="115"/>
      <c r="D2441" s="115"/>
      <c r="E2441" s="115"/>
    </row>
    <row r="2442" spans="1:5" ht="13">
      <c r="A2442" s="115"/>
      <c r="B2442" s="115"/>
      <c r="C2442" s="115"/>
      <c r="D2442" s="115"/>
      <c r="E2442" s="115"/>
    </row>
    <row r="2443" spans="1:5" ht="13">
      <c r="A2443" s="115"/>
      <c r="B2443" s="115"/>
      <c r="C2443" s="115"/>
      <c r="D2443" s="115"/>
      <c r="E2443" s="115"/>
    </row>
    <row r="2444" spans="1:5" ht="13">
      <c r="A2444" s="115"/>
      <c r="B2444" s="115"/>
      <c r="C2444" s="115"/>
      <c r="D2444" s="115"/>
      <c r="E2444" s="115"/>
    </row>
    <row r="2445" spans="1:5" ht="13">
      <c r="A2445" s="115"/>
      <c r="B2445" s="115"/>
      <c r="C2445" s="115"/>
      <c r="D2445" s="115"/>
      <c r="E2445" s="115"/>
    </row>
    <row r="2446" spans="1:5" ht="13">
      <c r="A2446" s="115"/>
      <c r="B2446" s="115"/>
      <c r="C2446" s="115"/>
      <c r="D2446" s="115"/>
      <c r="E2446" s="115"/>
    </row>
    <row r="2447" spans="1:5" ht="13">
      <c r="A2447" s="115"/>
      <c r="B2447" s="115"/>
      <c r="C2447" s="115"/>
      <c r="D2447" s="115"/>
      <c r="E2447" s="115"/>
    </row>
    <row r="2448" spans="1:5" ht="13">
      <c r="A2448" s="115"/>
      <c r="B2448" s="115"/>
      <c r="C2448" s="115"/>
      <c r="D2448" s="115"/>
      <c r="E2448" s="115"/>
    </row>
    <row r="2449" spans="1:5" ht="13">
      <c r="A2449" s="115"/>
      <c r="B2449" s="115"/>
      <c r="C2449" s="115"/>
      <c r="D2449" s="115"/>
      <c r="E2449" s="115"/>
    </row>
    <row r="2450" spans="1:5" ht="13">
      <c r="A2450" s="115"/>
      <c r="B2450" s="115"/>
      <c r="C2450" s="115"/>
      <c r="D2450" s="115"/>
      <c r="E2450" s="115"/>
    </row>
    <row r="2451" spans="1:5" ht="13">
      <c r="A2451" s="115"/>
      <c r="B2451" s="115"/>
      <c r="C2451" s="115"/>
      <c r="D2451" s="115"/>
      <c r="E2451" s="115"/>
    </row>
    <row r="2452" spans="1:5" ht="13">
      <c r="A2452" s="115"/>
      <c r="B2452" s="115"/>
      <c r="C2452" s="115"/>
      <c r="D2452" s="115"/>
      <c r="E2452" s="115"/>
    </row>
    <row r="2453" spans="1:5" ht="13">
      <c r="A2453" s="115"/>
      <c r="B2453" s="115"/>
      <c r="C2453" s="115"/>
      <c r="D2453" s="115"/>
      <c r="E2453" s="115"/>
    </row>
    <row r="2454" spans="1:5" ht="13">
      <c r="A2454" s="115"/>
      <c r="B2454" s="115"/>
      <c r="C2454" s="115"/>
      <c r="D2454" s="115"/>
      <c r="E2454" s="115"/>
    </row>
    <row r="2455" spans="1:5" ht="13">
      <c r="A2455" s="115"/>
      <c r="B2455" s="115"/>
      <c r="C2455" s="115"/>
      <c r="D2455" s="115"/>
      <c r="E2455" s="115"/>
    </row>
    <row r="2456" spans="1:5" ht="13">
      <c r="A2456" s="115"/>
      <c r="B2456" s="115"/>
      <c r="C2456" s="115"/>
      <c r="D2456" s="115"/>
      <c r="E2456" s="115"/>
    </row>
    <row r="2457" spans="1:5" ht="13">
      <c r="A2457" s="115"/>
      <c r="B2457" s="115"/>
      <c r="C2457" s="115"/>
      <c r="D2457" s="115"/>
      <c r="E2457" s="115"/>
    </row>
    <row r="2458" spans="1:5" ht="13">
      <c r="A2458" s="115"/>
      <c r="B2458" s="115"/>
      <c r="C2458" s="115"/>
      <c r="D2458" s="115"/>
      <c r="E2458" s="115"/>
    </row>
    <row r="2459" spans="1:5" ht="13">
      <c r="A2459" s="115"/>
      <c r="B2459" s="115"/>
      <c r="C2459" s="115"/>
      <c r="D2459" s="115"/>
      <c r="E2459" s="115"/>
    </row>
    <row r="2460" spans="1:5" ht="13">
      <c r="A2460" s="115"/>
      <c r="B2460" s="115"/>
      <c r="C2460" s="115"/>
      <c r="D2460" s="115"/>
      <c r="E2460" s="115"/>
    </row>
    <row r="2461" spans="1:5" ht="13">
      <c r="A2461" s="115"/>
      <c r="B2461" s="115"/>
      <c r="C2461" s="115"/>
      <c r="D2461" s="115"/>
      <c r="E2461" s="115"/>
    </row>
    <row r="2462" spans="1:5" ht="13">
      <c r="A2462" s="115"/>
      <c r="B2462" s="115"/>
      <c r="C2462" s="115"/>
      <c r="D2462" s="115"/>
      <c r="E2462" s="115"/>
    </row>
    <row r="2463" spans="1:5" ht="13">
      <c r="A2463" s="115"/>
      <c r="B2463" s="115"/>
      <c r="C2463" s="115"/>
      <c r="D2463" s="115"/>
      <c r="E2463" s="115"/>
    </row>
    <row r="2464" spans="1:5" ht="13">
      <c r="A2464" s="115"/>
      <c r="B2464" s="115"/>
      <c r="C2464" s="115"/>
      <c r="D2464" s="115"/>
      <c r="E2464" s="115"/>
    </row>
    <row r="2465" spans="1:5" ht="13">
      <c r="A2465" s="115"/>
      <c r="B2465" s="115"/>
      <c r="C2465" s="115"/>
      <c r="D2465" s="115"/>
      <c r="E2465" s="115"/>
    </row>
    <row r="2466" spans="1:5" ht="13">
      <c r="A2466" s="115"/>
      <c r="B2466" s="115"/>
      <c r="C2466" s="115"/>
      <c r="D2466" s="115"/>
      <c r="E2466" s="115"/>
    </row>
    <row r="2467" spans="1:5" ht="13">
      <c r="A2467" s="115"/>
      <c r="B2467" s="115"/>
      <c r="C2467" s="115"/>
      <c r="D2467" s="115"/>
      <c r="E2467" s="115"/>
    </row>
    <row r="2468" spans="1:5" ht="13">
      <c r="A2468" s="115"/>
      <c r="B2468" s="115"/>
      <c r="C2468" s="115"/>
      <c r="D2468" s="115"/>
      <c r="E2468" s="115"/>
    </row>
    <row r="2469" spans="1:5" ht="13">
      <c r="A2469" s="115"/>
      <c r="B2469" s="115"/>
      <c r="C2469" s="115"/>
      <c r="D2469" s="115"/>
      <c r="E2469" s="115"/>
    </row>
    <row r="2470" spans="1:5" ht="13">
      <c r="A2470" s="115"/>
      <c r="B2470" s="115"/>
      <c r="C2470" s="115"/>
      <c r="D2470" s="115"/>
      <c r="E2470" s="115"/>
    </row>
    <row r="2471" spans="1:5" ht="13">
      <c r="A2471" s="115"/>
      <c r="B2471" s="115"/>
      <c r="C2471" s="115"/>
      <c r="D2471" s="115"/>
      <c r="E2471" s="115"/>
    </row>
    <row r="2472" spans="1:5" ht="13">
      <c r="A2472" s="115"/>
      <c r="B2472" s="115"/>
      <c r="C2472" s="115"/>
      <c r="D2472" s="115"/>
      <c r="E2472" s="115"/>
    </row>
    <row r="2473" spans="1:5" ht="13">
      <c r="A2473" s="115"/>
      <c r="B2473" s="115"/>
      <c r="C2473" s="115"/>
      <c r="D2473" s="115"/>
      <c r="E2473" s="115"/>
    </row>
    <row r="2474" spans="1:5" ht="13">
      <c r="A2474" s="115"/>
      <c r="B2474" s="115"/>
      <c r="C2474" s="115"/>
      <c r="D2474" s="115"/>
      <c r="E2474" s="115"/>
    </row>
    <row r="2475" spans="1:5" ht="13">
      <c r="A2475" s="115"/>
      <c r="B2475" s="115"/>
      <c r="C2475" s="115"/>
      <c r="D2475" s="115"/>
      <c r="E2475" s="115"/>
    </row>
    <row r="2476" spans="1:5" ht="13">
      <c r="A2476" s="115"/>
      <c r="B2476" s="115"/>
      <c r="C2476" s="115"/>
      <c r="D2476" s="115"/>
      <c r="E2476" s="115"/>
    </row>
    <row r="2477" spans="1:5" ht="13">
      <c r="A2477" s="115"/>
      <c r="B2477" s="115"/>
      <c r="C2477" s="115"/>
      <c r="D2477" s="115"/>
      <c r="E2477" s="115"/>
    </row>
    <row r="2478" spans="1:5" ht="13">
      <c r="A2478" s="115"/>
      <c r="B2478" s="115"/>
      <c r="C2478" s="115"/>
      <c r="D2478" s="115"/>
      <c r="E2478" s="115"/>
    </row>
    <row r="2479" spans="1:5" ht="13">
      <c r="A2479" s="115"/>
      <c r="B2479" s="115"/>
      <c r="C2479" s="115"/>
      <c r="D2479" s="115"/>
      <c r="E2479" s="115"/>
    </row>
    <row r="2480" spans="1:5" ht="13">
      <c r="A2480" s="115"/>
      <c r="B2480" s="115"/>
      <c r="C2480" s="115"/>
      <c r="D2480" s="115"/>
      <c r="E2480" s="115"/>
    </row>
    <row r="2481" spans="1:5" ht="13">
      <c r="A2481" s="115"/>
      <c r="B2481" s="115"/>
      <c r="C2481" s="115"/>
      <c r="D2481" s="115"/>
      <c r="E2481" s="115"/>
    </row>
    <row r="2482" spans="1:5" ht="13">
      <c r="A2482" s="115"/>
      <c r="B2482" s="115"/>
      <c r="C2482" s="115"/>
      <c r="D2482" s="115"/>
      <c r="E2482" s="115"/>
    </row>
    <row r="2483" spans="1:5" ht="13">
      <c r="A2483" s="115"/>
      <c r="B2483" s="115"/>
      <c r="C2483" s="115"/>
      <c r="D2483" s="115"/>
      <c r="E2483" s="115"/>
    </row>
    <row r="2484" spans="1:5" ht="13">
      <c r="A2484" s="115"/>
      <c r="B2484" s="115"/>
      <c r="C2484" s="115"/>
      <c r="D2484" s="115"/>
      <c r="E2484" s="115"/>
    </row>
    <row r="2485" spans="1:5" ht="13">
      <c r="A2485" s="115"/>
      <c r="B2485" s="115"/>
      <c r="C2485" s="115"/>
      <c r="D2485" s="115"/>
      <c r="E2485" s="115"/>
    </row>
    <row r="2486" spans="1:5" ht="13">
      <c r="A2486" s="115"/>
      <c r="B2486" s="115"/>
      <c r="C2486" s="115"/>
      <c r="D2486" s="115"/>
      <c r="E2486" s="115"/>
    </row>
    <row r="2487" spans="1:5" ht="13">
      <c r="A2487" s="115"/>
      <c r="B2487" s="115"/>
      <c r="C2487" s="115"/>
      <c r="D2487" s="115"/>
      <c r="E2487" s="115"/>
    </row>
    <row r="2488" spans="1:5" ht="13">
      <c r="A2488" s="115"/>
      <c r="B2488" s="115"/>
      <c r="C2488" s="115"/>
      <c r="D2488" s="115"/>
      <c r="E2488" s="115"/>
    </row>
    <row r="2489" spans="1:5" ht="13">
      <c r="A2489" s="115"/>
      <c r="B2489" s="115"/>
      <c r="C2489" s="115"/>
      <c r="D2489" s="115"/>
      <c r="E2489" s="115"/>
    </row>
    <row r="2490" spans="1:5" ht="13">
      <c r="A2490" s="115"/>
      <c r="B2490" s="115"/>
      <c r="C2490" s="115"/>
      <c r="D2490" s="115"/>
      <c r="E2490" s="115"/>
    </row>
    <row r="2491" spans="1:5" ht="13">
      <c r="A2491" s="115"/>
      <c r="B2491" s="115"/>
      <c r="C2491" s="115"/>
      <c r="D2491" s="115"/>
      <c r="E2491" s="115"/>
    </row>
    <row r="2492" spans="1:5" ht="13">
      <c r="A2492" s="115"/>
      <c r="B2492" s="115"/>
      <c r="C2492" s="115"/>
      <c r="D2492" s="115"/>
      <c r="E2492" s="115"/>
    </row>
    <row r="2493" spans="1:5" ht="13">
      <c r="A2493" s="115"/>
      <c r="B2493" s="115"/>
      <c r="C2493" s="115"/>
      <c r="D2493" s="115"/>
      <c r="E2493" s="115"/>
    </row>
    <row r="2494" spans="1:5" ht="13">
      <c r="A2494" s="115"/>
      <c r="B2494" s="115"/>
      <c r="C2494" s="115"/>
      <c r="D2494" s="115"/>
      <c r="E2494" s="115"/>
    </row>
    <row r="2495" spans="1:5" ht="13">
      <c r="A2495" s="115"/>
      <c r="B2495" s="115"/>
      <c r="C2495" s="115"/>
      <c r="D2495" s="115"/>
      <c r="E2495" s="115"/>
    </row>
    <row r="2496" spans="1:5" ht="13">
      <c r="A2496" s="115"/>
      <c r="B2496" s="115"/>
      <c r="C2496" s="115"/>
      <c r="D2496" s="115"/>
      <c r="E2496" s="115"/>
    </row>
    <row r="2497" spans="1:5" ht="13">
      <c r="A2497" s="115"/>
      <c r="B2497" s="115"/>
      <c r="C2497" s="115"/>
      <c r="D2497" s="115"/>
      <c r="E2497" s="115"/>
    </row>
    <row r="2498" spans="1:5" ht="13">
      <c r="A2498" s="115"/>
      <c r="B2498" s="115"/>
      <c r="C2498" s="115"/>
      <c r="D2498" s="115"/>
      <c r="E2498" s="115"/>
    </row>
    <row r="2499" spans="1:5" ht="13">
      <c r="A2499" s="115"/>
      <c r="B2499" s="115"/>
      <c r="C2499" s="115"/>
      <c r="D2499" s="115"/>
      <c r="E2499" s="115"/>
    </row>
    <row r="2500" spans="1:5" ht="13">
      <c r="A2500" s="115"/>
      <c r="B2500" s="115"/>
      <c r="C2500" s="115"/>
      <c r="D2500" s="115"/>
      <c r="E2500" s="115"/>
    </row>
    <row r="2501" spans="1:5" ht="13">
      <c r="A2501" s="115"/>
      <c r="B2501" s="115"/>
      <c r="C2501" s="115"/>
      <c r="D2501" s="115"/>
      <c r="E2501" s="115"/>
    </row>
    <row r="2502" spans="1:5" ht="13">
      <c r="A2502" s="115"/>
      <c r="B2502" s="115"/>
      <c r="C2502" s="115"/>
      <c r="D2502" s="115"/>
      <c r="E2502" s="115"/>
    </row>
    <row r="2503" spans="1:5" ht="13">
      <c r="A2503" s="115"/>
      <c r="B2503" s="115"/>
      <c r="C2503" s="115"/>
      <c r="D2503" s="115"/>
      <c r="E2503" s="115"/>
    </row>
    <row r="2504" spans="1:5" ht="13">
      <c r="A2504" s="115"/>
      <c r="B2504" s="115"/>
      <c r="C2504" s="115"/>
      <c r="D2504" s="115"/>
      <c r="E2504" s="115"/>
    </row>
    <row r="2505" spans="1:5" ht="13">
      <c r="A2505" s="115"/>
      <c r="B2505" s="115"/>
      <c r="C2505" s="115"/>
      <c r="D2505" s="115"/>
      <c r="E2505" s="115"/>
    </row>
    <row r="2506" spans="1:5" ht="13">
      <c r="A2506" s="115"/>
      <c r="B2506" s="115"/>
      <c r="C2506" s="115"/>
      <c r="D2506" s="115"/>
      <c r="E2506" s="115"/>
    </row>
    <row r="2507" spans="1:5" ht="13">
      <c r="A2507" s="115"/>
      <c r="B2507" s="115"/>
      <c r="C2507" s="115"/>
      <c r="D2507" s="115"/>
      <c r="E2507" s="115"/>
    </row>
    <row r="2508" spans="1:5" ht="13">
      <c r="A2508" s="115"/>
      <c r="B2508" s="115"/>
      <c r="C2508" s="115"/>
      <c r="D2508" s="115"/>
      <c r="E2508" s="115"/>
    </row>
    <row r="2509" spans="1:5" ht="13">
      <c r="A2509" s="115"/>
      <c r="B2509" s="115"/>
      <c r="C2509" s="115"/>
      <c r="D2509" s="115"/>
      <c r="E2509" s="115"/>
    </row>
    <row r="2510" spans="1:5" ht="13">
      <c r="A2510" s="115"/>
      <c r="B2510" s="115"/>
      <c r="C2510" s="115"/>
      <c r="D2510" s="115"/>
      <c r="E2510" s="115"/>
    </row>
    <row r="2511" spans="1:5" ht="13">
      <c r="A2511" s="115"/>
      <c r="B2511" s="115"/>
      <c r="C2511" s="115"/>
      <c r="D2511" s="115"/>
      <c r="E2511" s="115"/>
    </row>
    <row r="2512" spans="1:5" ht="13">
      <c r="A2512" s="115"/>
      <c r="B2512" s="115"/>
      <c r="C2512" s="115"/>
      <c r="D2512" s="115"/>
      <c r="E2512" s="115"/>
    </row>
    <row r="2513" spans="1:5" ht="13">
      <c r="A2513" s="115"/>
      <c r="B2513" s="115"/>
      <c r="C2513" s="115"/>
      <c r="D2513" s="115"/>
      <c r="E2513" s="115"/>
    </row>
    <row r="2514" spans="1:5" ht="13">
      <c r="A2514" s="115"/>
      <c r="B2514" s="115"/>
      <c r="C2514" s="115"/>
      <c r="D2514" s="115"/>
      <c r="E2514" s="115"/>
    </row>
    <row r="2515" spans="1:5" ht="13">
      <c r="A2515" s="115"/>
      <c r="B2515" s="115"/>
      <c r="C2515" s="115"/>
      <c r="D2515" s="115"/>
      <c r="E2515" s="115"/>
    </row>
    <row r="2516" spans="1:5" ht="13">
      <c r="A2516" s="115"/>
      <c r="B2516" s="115"/>
      <c r="C2516" s="115"/>
      <c r="D2516" s="115"/>
      <c r="E2516" s="115"/>
    </row>
    <row r="2517" spans="1:5" ht="13">
      <c r="A2517" s="115"/>
      <c r="B2517" s="115"/>
      <c r="C2517" s="115"/>
      <c r="D2517" s="115"/>
      <c r="E2517" s="115"/>
    </row>
    <row r="2518" spans="1:5" ht="13">
      <c r="A2518" s="115"/>
      <c r="B2518" s="115"/>
      <c r="C2518" s="115"/>
      <c r="D2518" s="115"/>
      <c r="E2518" s="115"/>
    </row>
    <row r="2519" spans="1:5" ht="13">
      <c r="A2519" s="115"/>
      <c r="B2519" s="115"/>
      <c r="C2519" s="115"/>
      <c r="D2519" s="115"/>
      <c r="E2519" s="115"/>
    </row>
    <row r="2520" spans="1:5" ht="13">
      <c r="A2520" s="115"/>
      <c r="B2520" s="115"/>
      <c r="C2520" s="115"/>
      <c r="D2520" s="115"/>
      <c r="E2520" s="115"/>
    </row>
    <row r="2521" spans="1:5" ht="13">
      <c r="A2521" s="115"/>
      <c r="B2521" s="115"/>
      <c r="C2521" s="115"/>
      <c r="D2521" s="115"/>
      <c r="E2521" s="115"/>
    </row>
    <row r="2522" spans="1:5" ht="13">
      <c r="A2522" s="115"/>
      <c r="B2522" s="115"/>
      <c r="C2522" s="115"/>
      <c r="D2522" s="115"/>
      <c r="E2522" s="115"/>
    </row>
    <row r="2523" spans="1:5" ht="13">
      <c r="A2523" s="115"/>
      <c r="B2523" s="115"/>
      <c r="C2523" s="115"/>
      <c r="D2523" s="115"/>
      <c r="E2523" s="115"/>
    </row>
    <row r="2524" spans="1:5" ht="13">
      <c r="A2524" s="115"/>
      <c r="B2524" s="115"/>
      <c r="C2524" s="115"/>
      <c r="D2524" s="115"/>
      <c r="E2524" s="115"/>
    </row>
    <row r="2525" spans="1:5" ht="13">
      <c r="A2525" s="115"/>
      <c r="B2525" s="115"/>
      <c r="C2525" s="115"/>
      <c r="D2525" s="115"/>
      <c r="E2525" s="115"/>
    </row>
    <row r="2526" spans="1:5" ht="13">
      <c r="A2526" s="115"/>
      <c r="B2526" s="115"/>
      <c r="C2526" s="115"/>
      <c r="D2526" s="115"/>
      <c r="E2526" s="115"/>
    </row>
    <row r="2527" spans="1:5" ht="13">
      <c r="A2527" s="115"/>
      <c r="B2527" s="115"/>
      <c r="C2527" s="115"/>
      <c r="D2527" s="115"/>
      <c r="E2527" s="115"/>
    </row>
    <row r="2528" spans="1:5" ht="13">
      <c r="A2528" s="115"/>
      <c r="B2528" s="115"/>
      <c r="C2528" s="115"/>
      <c r="D2528" s="115"/>
      <c r="E2528" s="115"/>
    </row>
    <row r="2529" spans="1:5" ht="13">
      <c r="A2529" s="115"/>
      <c r="B2529" s="115"/>
      <c r="C2529" s="115"/>
      <c r="D2529" s="115"/>
      <c r="E2529" s="115"/>
    </row>
    <row r="2530" spans="1:5" ht="13">
      <c r="A2530" s="115"/>
      <c r="B2530" s="115"/>
      <c r="C2530" s="115"/>
      <c r="D2530" s="115"/>
      <c r="E2530" s="115"/>
    </row>
    <row r="2531" spans="1:5" ht="13">
      <c r="A2531" s="115"/>
      <c r="B2531" s="115"/>
      <c r="C2531" s="115"/>
      <c r="D2531" s="115"/>
      <c r="E2531" s="115"/>
    </row>
    <row r="2532" spans="1:5" ht="13">
      <c r="A2532" s="115"/>
      <c r="B2532" s="115"/>
      <c r="C2532" s="115"/>
      <c r="D2532" s="115"/>
      <c r="E2532" s="115"/>
    </row>
    <row r="2533" spans="1:5" ht="13">
      <c r="A2533" s="115"/>
      <c r="B2533" s="115"/>
      <c r="C2533" s="115"/>
      <c r="D2533" s="115"/>
      <c r="E2533" s="115"/>
    </row>
    <row r="2534" spans="1:5" ht="13">
      <c r="A2534" s="115"/>
      <c r="B2534" s="115"/>
      <c r="C2534" s="115"/>
      <c r="D2534" s="115"/>
      <c r="E2534" s="115"/>
    </row>
    <row r="2535" spans="1:5" ht="13">
      <c r="A2535" s="115"/>
      <c r="B2535" s="115"/>
      <c r="C2535" s="115"/>
      <c r="D2535" s="115"/>
      <c r="E2535" s="115"/>
    </row>
    <row r="2536" spans="1:5" ht="13">
      <c r="A2536" s="115"/>
      <c r="B2536" s="115"/>
      <c r="C2536" s="115"/>
      <c r="D2536" s="115"/>
      <c r="E2536" s="115"/>
    </row>
    <row r="2537" spans="1:5" ht="13">
      <c r="A2537" s="115"/>
      <c r="B2537" s="115"/>
      <c r="C2537" s="115"/>
      <c r="D2537" s="115"/>
      <c r="E2537" s="115"/>
    </row>
    <row r="2538" spans="1:5" ht="13">
      <c r="A2538" s="115"/>
      <c r="B2538" s="115"/>
      <c r="C2538" s="115"/>
      <c r="D2538" s="115"/>
      <c r="E2538" s="115"/>
    </row>
    <row r="2539" spans="1:5" ht="13">
      <c r="A2539" s="115"/>
      <c r="B2539" s="115"/>
      <c r="C2539" s="115"/>
      <c r="D2539" s="115"/>
      <c r="E2539" s="115"/>
    </row>
    <row r="2540" spans="1:5" ht="13">
      <c r="A2540" s="115"/>
      <c r="B2540" s="115"/>
      <c r="C2540" s="115"/>
      <c r="D2540" s="115"/>
      <c r="E2540" s="115"/>
    </row>
    <row r="2541" spans="1:5" ht="13">
      <c r="A2541" s="115"/>
      <c r="B2541" s="115"/>
      <c r="C2541" s="115"/>
      <c r="D2541" s="115"/>
      <c r="E2541" s="115"/>
    </row>
    <row r="2542" spans="1:5" ht="13">
      <c r="A2542" s="115"/>
      <c r="B2542" s="115"/>
      <c r="C2542" s="115"/>
      <c r="D2542" s="115"/>
      <c r="E2542" s="115"/>
    </row>
    <row r="2543" spans="1:5" ht="13">
      <c r="A2543" s="115"/>
      <c r="B2543" s="115"/>
      <c r="C2543" s="115"/>
      <c r="D2543" s="115"/>
      <c r="E2543" s="115"/>
    </row>
    <row r="2544" spans="1:5" ht="13">
      <c r="A2544" s="115"/>
      <c r="B2544" s="115"/>
      <c r="C2544" s="115"/>
      <c r="D2544" s="115"/>
      <c r="E2544" s="115"/>
    </row>
    <row r="2545" spans="1:5" ht="13">
      <c r="A2545" s="115"/>
      <c r="B2545" s="115"/>
      <c r="C2545" s="115"/>
      <c r="D2545" s="115"/>
      <c r="E2545" s="115"/>
    </row>
    <row r="2546" spans="1:5" ht="13">
      <c r="A2546" s="115"/>
      <c r="B2546" s="115"/>
      <c r="C2546" s="115"/>
      <c r="D2546" s="115"/>
      <c r="E2546" s="115"/>
    </row>
    <row r="2547" spans="1:5" ht="13">
      <c r="A2547" s="115"/>
      <c r="B2547" s="115"/>
      <c r="C2547" s="115"/>
      <c r="D2547" s="115"/>
      <c r="E2547" s="115"/>
    </row>
    <row r="2548" spans="1:5" ht="13">
      <c r="A2548" s="115"/>
      <c r="B2548" s="115"/>
      <c r="C2548" s="115"/>
      <c r="D2548" s="115"/>
      <c r="E2548" s="115"/>
    </row>
    <row r="2549" spans="1:5" ht="13">
      <c r="A2549" s="115"/>
      <c r="B2549" s="115"/>
      <c r="C2549" s="115"/>
      <c r="D2549" s="115"/>
      <c r="E2549" s="115"/>
    </row>
    <row r="2550" spans="1:5" ht="13">
      <c r="A2550" s="115"/>
      <c r="B2550" s="115"/>
      <c r="C2550" s="115"/>
      <c r="D2550" s="115"/>
      <c r="E2550" s="115"/>
    </row>
    <row r="2551" spans="1:5" ht="13">
      <c r="A2551" s="115"/>
      <c r="B2551" s="115"/>
      <c r="C2551" s="115"/>
      <c r="D2551" s="115"/>
      <c r="E2551" s="115"/>
    </row>
    <row r="2552" spans="1:5" ht="13">
      <c r="A2552" s="115"/>
      <c r="B2552" s="115"/>
      <c r="C2552" s="115"/>
      <c r="D2552" s="115"/>
      <c r="E2552" s="115"/>
    </row>
    <row r="2553" spans="1:5" ht="13">
      <c r="A2553" s="115"/>
      <c r="B2553" s="115"/>
      <c r="C2553" s="115"/>
      <c r="D2553" s="115"/>
      <c r="E2553" s="115"/>
    </row>
    <row r="2554" spans="1:5" ht="13">
      <c r="A2554" s="115"/>
      <c r="B2554" s="115"/>
      <c r="C2554" s="115"/>
      <c r="D2554" s="115"/>
      <c r="E2554" s="115"/>
    </row>
    <row r="2555" spans="1:5" ht="13">
      <c r="A2555" s="115"/>
      <c r="B2555" s="115"/>
      <c r="C2555" s="115"/>
      <c r="D2555" s="115"/>
      <c r="E2555" s="115"/>
    </row>
    <row r="2556" spans="1:5" ht="13">
      <c r="A2556" s="115"/>
      <c r="B2556" s="115"/>
      <c r="C2556" s="115"/>
      <c r="D2556" s="115"/>
      <c r="E2556" s="115"/>
    </row>
    <row r="2557" spans="1:5" ht="13">
      <c r="A2557" s="115"/>
      <c r="B2557" s="115"/>
      <c r="C2557" s="115"/>
      <c r="D2557" s="115"/>
      <c r="E2557" s="115"/>
    </row>
    <row r="2558" spans="1:5" ht="13">
      <c r="A2558" s="115"/>
      <c r="B2558" s="115"/>
      <c r="C2558" s="115"/>
      <c r="D2558" s="115"/>
      <c r="E2558" s="115"/>
    </row>
    <row r="2559" spans="1:5" ht="13">
      <c r="A2559" s="115"/>
      <c r="B2559" s="115"/>
      <c r="C2559" s="115"/>
      <c r="D2559" s="115"/>
      <c r="E2559" s="115"/>
    </row>
    <row r="2560" spans="1:5" ht="13">
      <c r="A2560" s="115"/>
      <c r="B2560" s="115"/>
      <c r="C2560" s="115"/>
      <c r="D2560" s="115"/>
      <c r="E2560" s="115"/>
    </row>
    <row r="2561" spans="1:5" ht="13">
      <c r="A2561" s="115"/>
      <c r="B2561" s="115"/>
      <c r="C2561" s="115"/>
      <c r="D2561" s="115"/>
      <c r="E2561" s="115"/>
    </row>
    <row r="2562" spans="1:5" ht="13">
      <c r="A2562" s="115"/>
      <c r="B2562" s="115"/>
      <c r="C2562" s="115"/>
      <c r="D2562" s="115"/>
      <c r="E2562" s="115"/>
    </row>
    <row r="2563" spans="1:5" ht="13">
      <c r="A2563" s="115"/>
      <c r="B2563" s="115"/>
      <c r="C2563" s="115"/>
      <c r="D2563" s="115"/>
      <c r="E2563" s="115"/>
    </row>
    <row r="2564" spans="1:5" ht="13">
      <c r="A2564" s="115"/>
      <c r="B2564" s="115"/>
      <c r="C2564" s="115"/>
      <c r="D2564" s="115"/>
      <c r="E2564" s="115"/>
    </row>
    <row r="2565" spans="1:5" ht="13">
      <c r="A2565" s="115"/>
      <c r="B2565" s="115"/>
      <c r="C2565" s="115"/>
      <c r="D2565" s="115"/>
      <c r="E2565" s="115"/>
    </row>
    <row r="2566" spans="1:5" ht="13">
      <c r="A2566" s="115"/>
      <c r="B2566" s="115"/>
      <c r="C2566" s="115"/>
      <c r="D2566" s="115"/>
      <c r="E2566" s="115"/>
    </row>
    <row r="2567" spans="1:5" ht="13">
      <c r="A2567" s="115"/>
      <c r="B2567" s="115"/>
      <c r="C2567" s="115"/>
      <c r="D2567" s="115"/>
      <c r="E2567" s="115"/>
    </row>
    <row r="2568" spans="1:5" ht="13">
      <c r="A2568" s="115"/>
      <c r="B2568" s="115"/>
      <c r="C2568" s="115"/>
      <c r="D2568" s="115"/>
      <c r="E2568" s="115"/>
    </row>
    <row r="2569" spans="1:5" ht="13">
      <c r="A2569" s="115"/>
      <c r="B2569" s="115"/>
      <c r="C2569" s="115"/>
      <c r="D2569" s="115"/>
      <c r="E2569" s="115"/>
    </row>
    <row r="2570" spans="1:5" ht="13">
      <c r="A2570" s="115"/>
      <c r="B2570" s="115"/>
      <c r="C2570" s="115"/>
      <c r="D2570" s="115"/>
      <c r="E2570" s="115"/>
    </row>
    <row r="2571" spans="1:5" ht="13">
      <c r="A2571" s="115"/>
      <c r="B2571" s="115"/>
      <c r="C2571" s="115"/>
      <c r="D2571" s="115"/>
      <c r="E2571" s="115"/>
    </row>
    <row r="2572" spans="1:5" ht="13">
      <c r="A2572" s="115"/>
      <c r="B2572" s="115"/>
      <c r="C2572" s="115"/>
      <c r="D2572" s="115"/>
      <c r="E2572" s="115"/>
    </row>
    <row r="2573" spans="1:5" ht="13">
      <c r="A2573" s="115"/>
      <c r="B2573" s="115"/>
      <c r="C2573" s="115"/>
      <c r="D2573" s="115"/>
      <c r="E2573" s="115"/>
    </row>
    <row r="2574" spans="1:5" ht="13">
      <c r="A2574" s="115"/>
      <c r="B2574" s="115"/>
      <c r="C2574" s="115"/>
      <c r="D2574" s="115"/>
      <c r="E2574" s="115"/>
    </row>
    <row r="2575" spans="1:5" ht="13">
      <c r="A2575" s="115"/>
      <c r="B2575" s="115"/>
      <c r="C2575" s="115"/>
      <c r="D2575" s="115"/>
      <c r="E2575" s="115"/>
    </row>
    <row r="2576" spans="1:5" ht="13">
      <c r="A2576" s="115"/>
      <c r="B2576" s="115"/>
      <c r="C2576" s="115"/>
      <c r="D2576" s="115"/>
      <c r="E2576" s="115"/>
    </row>
    <row r="2577" spans="1:5" ht="13">
      <c r="A2577" s="115"/>
      <c r="B2577" s="115"/>
      <c r="C2577" s="115"/>
      <c r="D2577" s="115"/>
      <c r="E2577" s="115"/>
    </row>
    <row r="2578" spans="1:5" ht="13">
      <c r="A2578" s="115"/>
      <c r="B2578" s="115"/>
      <c r="C2578" s="115"/>
      <c r="D2578" s="115"/>
      <c r="E2578" s="115"/>
    </row>
    <row r="2579" spans="1:5" ht="13">
      <c r="A2579" s="115"/>
      <c r="B2579" s="115"/>
      <c r="C2579" s="115"/>
      <c r="D2579" s="115"/>
      <c r="E2579" s="115"/>
    </row>
    <row r="2580" spans="1:5" ht="13">
      <c r="A2580" s="115"/>
      <c r="B2580" s="115"/>
      <c r="C2580" s="115"/>
      <c r="D2580" s="115"/>
      <c r="E2580" s="115"/>
    </row>
    <row r="2581" spans="1:5" ht="13">
      <c r="A2581" s="115"/>
      <c r="B2581" s="115"/>
      <c r="C2581" s="115"/>
      <c r="D2581" s="115"/>
      <c r="E2581" s="115"/>
    </row>
    <row r="2582" spans="1:5" ht="13">
      <c r="A2582" s="115"/>
      <c r="B2582" s="115"/>
      <c r="C2582" s="115"/>
      <c r="D2582" s="115"/>
      <c r="E2582" s="115"/>
    </row>
    <row r="2583" spans="1:5" ht="13">
      <c r="A2583" s="115"/>
      <c r="B2583" s="115"/>
      <c r="C2583" s="115"/>
      <c r="D2583" s="115"/>
      <c r="E2583" s="115"/>
    </row>
    <row r="2584" spans="1:5" ht="13">
      <c r="A2584" s="115"/>
      <c r="B2584" s="115"/>
      <c r="C2584" s="115"/>
      <c r="D2584" s="115"/>
      <c r="E2584" s="115"/>
    </row>
    <row r="2585" spans="1:5" ht="13">
      <c r="A2585" s="115"/>
      <c r="B2585" s="115"/>
      <c r="C2585" s="115"/>
      <c r="D2585" s="115"/>
      <c r="E2585" s="115"/>
    </row>
    <row r="2586" spans="1:5" ht="13">
      <c r="A2586" s="115"/>
      <c r="B2586" s="115"/>
      <c r="C2586" s="115"/>
      <c r="D2586" s="115"/>
      <c r="E2586" s="115"/>
    </row>
    <row r="2587" spans="1:5" ht="13">
      <c r="A2587" s="115"/>
      <c r="B2587" s="115"/>
      <c r="C2587" s="115"/>
      <c r="D2587" s="115"/>
      <c r="E2587" s="115"/>
    </row>
    <row r="2588" spans="1:5" ht="13">
      <c r="A2588" s="115"/>
      <c r="B2588" s="115"/>
      <c r="C2588" s="115"/>
      <c r="D2588" s="115"/>
      <c r="E2588" s="115"/>
    </row>
    <row r="2589" spans="1:5" ht="13">
      <c r="A2589" s="115"/>
      <c r="B2589" s="115"/>
      <c r="C2589" s="115"/>
      <c r="D2589" s="115"/>
      <c r="E2589" s="115"/>
    </row>
    <row r="2590" spans="1:5" ht="13">
      <c r="A2590" s="115"/>
      <c r="B2590" s="115"/>
      <c r="C2590" s="115"/>
      <c r="D2590" s="115"/>
      <c r="E2590" s="115"/>
    </row>
    <row r="2591" spans="1:5" ht="13">
      <c r="A2591" s="115"/>
      <c r="B2591" s="115"/>
      <c r="C2591" s="115"/>
      <c r="D2591" s="115"/>
      <c r="E2591" s="115"/>
    </row>
    <row r="2592" spans="1:5" ht="13">
      <c r="A2592" s="115"/>
      <c r="B2592" s="115"/>
      <c r="C2592" s="115"/>
      <c r="D2592" s="115"/>
      <c r="E2592" s="115"/>
    </row>
    <row r="2593" spans="1:5" ht="13">
      <c r="A2593" s="115"/>
      <c r="B2593" s="115"/>
      <c r="C2593" s="115"/>
      <c r="D2593" s="115"/>
      <c r="E2593" s="115"/>
    </row>
    <row r="2594" spans="1:5" ht="13">
      <c r="A2594" s="115"/>
      <c r="B2594" s="115"/>
      <c r="C2594" s="115"/>
      <c r="D2594" s="115"/>
      <c r="E2594" s="115"/>
    </row>
    <row r="2595" spans="1:5" ht="13">
      <c r="A2595" s="115"/>
      <c r="B2595" s="115"/>
      <c r="C2595" s="115"/>
      <c r="D2595" s="115"/>
      <c r="E2595" s="115"/>
    </row>
    <row r="2596" spans="1:5" ht="13">
      <c r="A2596" s="115"/>
      <c r="B2596" s="115"/>
      <c r="C2596" s="115"/>
      <c r="D2596" s="115"/>
      <c r="E2596" s="115"/>
    </row>
    <row r="2597" spans="1:5" ht="13">
      <c r="A2597" s="115"/>
      <c r="B2597" s="115"/>
      <c r="C2597" s="115"/>
      <c r="D2597" s="115"/>
      <c r="E2597" s="115"/>
    </row>
    <row r="2598" spans="1:5" ht="13">
      <c r="A2598" s="115"/>
      <c r="B2598" s="115"/>
      <c r="C2598" s="115"/>
      <c r="D2598" s="115"/>
      <c r="E2598" s="115"/>
    </row>
    <row r="2599" spans="1:5" ht="13">
      <c r="A2599" s="115"/>
      <c r="B2599" s="115"/>
      <c r="C2599" s="115"/>
      <c r="D2599" s="115"/>
      <c r="E2599" s="115"/>
    </row>
    <row r="2600" spans="1:5" ht="13">
      <c r="A2600" s="115"/>
      <c r="B2600" s="115"/>
      <c r="C2600" s="115"/>
      <c r="D2600" s="115"/>
      <c r="E2600" s="115"/>
    </row>
    <row r="2601" spans="1:5" ht="13">
      <c r="A2601" s="115"/>
      <c r="B2601" s="115"/>
      <c r="C2601" s="115"/>
      <c r="D2601" s="115"/>
      <c r="E2601" s="115"/>
    </row>
    <row r="2602" spans="1:5" ht="13">
      <c r="A2602" s="115"/>
      <c r="B2602" s="115"/>
      <c r="C2602" s="115"/>
      <c r="D2602" s="115"/>
      <c r="E2602" s="115"/>
    </row>
    <row r="2603" spans="1:5" ht="13">
      <c r="A2603" s="115"/>
      <c r="B2603" s="115"/>
      <c r="C2603" s="115"/>
      <c r="D2603" s="115"/>
      <c r="E2603" s="115"/>
    </row>
    <row r="2604" spans="1:5" ht="13">
      <c r="A2604" s="115"/>
      <c r="B2604" s="115"/>
      <c r="C2604" s="115"/>
      <c r="D2604" s="115"/>
      <c r="E2604" s="115"/>
    </row>
    <row r="2605" spans="1:5" ht="13">
      <c r="A2605" s="115"/>
      <c r="B2605" s="115"/>
      <c r="C2605" s="115"/>
      <c r="D2605" s="115"/>
      <c r="E2605" s="115"/>
    </row>
    <row r="2606" spans="1:5" ht="13">
      <c r="A2606" s="115"/>
      <c r="B2606" s="115"/>
      <c r="C2606" s="115"/>
      <c r="D2606" s="115"/>
      <c r="E2606" s="115"/>
    </row>
    <row r="2607" spans="1:5" ht="13">
      <c r="A2607" s="115"/>
      <c r="B2607" s="115"/>
      <c r="C2607" s="115"/>
      <c r="D2607" s="115"/>
      <c r="E2607" s="115"/>
    </row>
    <row r="2608" spans="1:5" ht="13">
      <c r="A2608" s="115"/>
      <c r="B2608" s="115"/>
      <c r="C2608" s="115"/>
      <c r="D2608" s="115"/>
      <c r="E2608" s="115"/>
    </row>
    <row r="2609" spans="1:5" ht="13">
      <c r="A2609" s="115"/>
      <c r="B2609" s="115"/>
      <c r="C2609" s="115"/>
      <c r="D2609" s="115"/>
      <c r="E2609" s="115"/>
    </row>
    <row r="2610" spans="1:5" ht="13">
      <c r="A2610" s="115"/>
      <c r="B2610" s="115"/>
      <c r="C2610" s="115"/>
      <c r="D2610" s="115"/>
      <c r="E2610" s="115"/>
    </row>
    <row r="2611" spans="1:5" ht="13">
      <c r="A2611" s="115"/>
      <c r="B2611" s="115"/>
      <c r="C2611" s="115"/>
      <c r="D2611" s="115"/>
      <c r="E2611" s="115"/>
    </row>
    <row r="2612" spans="1:5" ht="13">
      <c r="A2612" s="115"/>
      <c r="B2612" s="115"/>
      <c r="C2612" s="115"/>
      <c r="D2612" s="115"/>
      <c r="E2612" s="115"/>
    </row>
    <row r="2613" spans="1:5" ht="13">
      <c r="A2613" s="115"/>
      <c r="B2613" s="115"/>
      <c r="C2613" s="115"/>
      <c r="D2613" s="115"/>
      <c r="E2613" s="115"/>
    </row>
    <row r="2614" spans="1:5" ht="13">
      <c r="A2614" s="115"/>
      <c r="B2614" s="115"/>
      <c r="C2614" s="115"/>
      <c r="D2614" s="115"/>
      <c r="E2614" s="115"/>
    </row>
    <row r="2615" spans="1:5" ht="13">
      <c r="A2615" s="115"/>
      <c r="B2615" s="115"/>
      <c r="C2615" s="115"/>
      <c r="D2615" s="115"/>
      <c r="E2615" s="115"/>
    </row>
    <row r="2616" spans="1:5" ht="13">
      <c r="A2616" s="115"/>
      <c r="B2616" s="115"/>
      <c r="C2616" s="115"/>
      <c r="D2616" s="115"/>
      <c r="E2616" s="115"/>
    </row>
    <row r="2617" spans="1:5" ht="13">
      <c r="A2617" s="115"/>
      <c r="B2617" s="115"/>
      <c r="C2617" s="115"/>
      <c r="D2617" s="115"/>
      <c r="E2617" s="115"/>
    </row>
    <row r="2618" spans="1:5" ht="13">
      <c r="A2618" s="115"/>
      <c r="B2618" s="115"/>
      <c r="C2618" s="115"/>
      <c r="D2618" s="115"/>
      <c r="E2618" s="115"/>
    </row>
    <row r="2619" spans="1:5" ht="13">
      <c r="A2619" s="115"/>
      <c r="B2619" s="115"/>
      <c r="C2619" s="115"/>
      <c r="D2619" s="115"/>
      <c r="E2619" s="115"/>
    </row>
    <row r="2620" spans="1:5" ht="13">
      <c r="A2620" s="115"/>
      <c r="B2620" s="115"/>
      <c r="C2620" s="115"/>
      <c r="D2620" s="115"/>
      <c r="E2620" s="115"/>
    </row>
    <row r="2621" spans="1:5" ht="13">
      <c r="A2621" s="115"/>
      <c r="B2621" s="115"/>
      <c r="C2621" s="115"/>
      <c r="D2621" s="115"/>
      <c r="E2621" s="115"/>
    </row>
    <row r="2622" spans="1:5" ht="13">
      <c r="A2622" s="115"/>
      <c r="B2622" s="115"/>
      <c r="C2622" s="115"/>
      <c r="D2622" s="115"/>
      <c r="E2622" s="115"/>
    </row>
    <row r="2623" spans="1:5" ht="13">
      <c r="A2623" s="115"/>
      <c r="B2623" s="115"/>
      <c r="C2623" s="115"/>
      <c r="D2623" s="115"/>
      <c r="E2623" s="115"/>
    </row>
    <row r="2624" spans="1:5" ht="13">
      <c r="A2624" s="115"/>
      <c r="B2624" s="115"/>
      <c r="C2624" s="115"/>
      <c r="D2624" s="115"/>
      <c r="E2624" s="115"/>
    </row>
    <row r="2625" spans="1:5" ht="13">
      <c r="A2625" s="115"/>
      <c r="B2625" s="115"/>
      <c r="C2625" s="115"/>
      <c r="D2625" s="115"/>
      <c r="E2625" s="115"/>
    </row>
    <row r="2626" spans="1:5" ht="13">
      <c r="A2626" s="115"/>
      <c r="B2626" s="115"/>
      <c r="C2626" s="115"/>
      <c r="D2626" s="115"/>
      <c r="E2626" s="115"/>
    </row>
    <row r="2627" spans="1:5" ht="13">
      <c r="A2627" s="115"/>
      <c r="B2627" s="115"/>
      <c r="C2627" s="115"/>
      <c r="D2627" s="115"/>
      <c r="E2627" s="115"/>
    </row>
    <row r="2628" spans="1:5" ht="13">
      <c r="A2628" s="115"/>
      <c r="B2628" s="115"/>
      <c r="C2628" s="115"/>
      <c r="D2628" s="115"/>
      <c r="E2628" s="115"/>
    </row>
    <row r="2629" spans="1:5" ht="13">
      <c r="A2629" s="115"/>
      <c r="B2629" s="115"/>
      <c r="C2629" s="115"/>
      <c r="D2629" s="115"/>
      <c r="E2629" s="115"/>
    </row>
    <row r="2630" spans="1:5" ht="13">
      <c r="A2630" s="115"/>
      <c r="B2630" s="115"/>
      <c r="C2630" s="115"/>
      <c r="D2630" s="115"/>
      <c r="E2630" s="115"/>
    </row>
    <row r="2631" spans="1:5" ht="13">
      <c r="A2631" s="115"/>
      <c r="B2631" s="115"/>
      <c r="C2631" s="115"/>
      <c r="D2631" s="115"/>
      <c r="E2631" s="115"/>
    </row>
    <row r="2632" spans="1:5" ht="13">
      <c r="A2632" s="115"/>
      <c r="B2632" s="115"/>
      <c r="C2632" s="115"/>
      <c r="D2632" s="115"/>
      <c r="E2632" s="115"/>
    </row>
    <row r="2633" spans="1:5" ht="13">
      <c r="A2633" s="115"/>
      <c r="B2633" s="115"/>
      <c r="C2633" s="115"/>
      <c r="D2633" s="115"/>
      <c r="E2633" s="115"/>
    </row>
    <row r="2634" spans="1:5" ht="13">
      <c r="A2634" s="115"/>
      <c r="B2634" s="115"/>
      <c r="C2634" s="115"/>
      <c r="D2634" s="115"/>
      <c r="E2634" s="115"/>
    </row>
    <row r="2635" spans="1:5" ht="13">
      <c r="A2635" s="115"/>
      <c r="B2635" s="115"/>
      <c r="C2635" s="115"/>
      <c r="D2635" s="115"/>
      <c r="E2635" s="115"/>
    </row>
    <row r="2636" spans="1:5" ht="13">
      <c r="A2636" s="115"/>
      <c r="B2636" s="115"/>
      <c r="C2636" s="115"/>
      <c r="D2636" s="115"/>
      <c r="E2636" s="115"/>
    </row>
    <row r="2637" spans="1:5" ht="13">
      <c r="A2637" s="115"/>
      <c r="B2637" s="115"/>
      <c r="C2637" s="115"/>
      <c r="D2637" s="115"/>
      <c r="E2637" s="115"/>
    </row>
    <row r="2638" spans="1:5" ht="13">
      <c r="A2638" s="115"/>
      <c r="B2638" s="115"/>
      <c r="C2638" s="115"/>
      <c r="D2638" s="115"/>
      <c r="E2638" s="115"/>
    </row>
    <row r="2639" spans="1:5" ht="13">
      <c r="A2639" s="115"/>
      <c r="B2639" s="115"/>
      <c r="C2639" s="115"/>
      <c r="D2639" s="115"/>
      <c r="E2639" s="115"/>
    </row>
    <row r="2640" spans="1:5" ht="13">
      <c r="A2640" s="115"/>
      <c r="B2640" s="115"/>
      <c r="C2640" s="115"/>
      <c r="D2640" s="115"/>
      <c r="E2640" s="115"/>
    </row>
    <row r="2641" spans="1:5" ht="13">
      <c r="A2641" s="115"/>
      <c r="B2641" s="115"/>
      <c r="C2641" s="115"/>
      <c r="D2641" s="115"/>
      <c r="E2641" s="115"/>
    </row>
    <row r="2642" spans="1:5" ht="13">
      <c r="A2642" s="115"/>
      <c r="B2642" s="115"/>
      <c r="C2642" s="115"/>
      <c r="D2642" s="115"/>
      <c r="E2642" s="115"/>
    </row>
    <row r="2643" spans="1:5" ht="13">
      <c r="A2643" s="115"/>
      <c r="B2643" s="115"/>
      <c r="C2643" s="115"/>
      <c r="D2643" s="115"/>
      <c r="E2643" s="115"/>
    </row>
    <row r="2644" spans="1:5" ht="13">
      <c r="A2644" s="115"/>
      <c r="B2644" s="115"/>
      <c r="C2644" s="115"/>
      <c r="D2644" s="115"/>
      <c r="E2644" s="115"/>
    </row>
    <row r="2645" spans="1:5" ht="13">
      <c r="A2645" s="115"/>
      <c r="B2645" s="115"/>
      <c r="C2645" s="115"/>
      <c r="D2645" s="115"/>
      <c r="E2645" s="115"/>
    </row>
    <row r="2646" spans="1:5" ht="13">
      <c r="A2646" s="115"/>
      <c r="B2646" s="115"/>
      <c r="C2646" s="115"/>
      <c r="D2646" s="115"/>
      <c r="E2646" s="115"/>
    </row>
    <row r="2647" spans="1:5" ht="13">
      <c r="A2647" s="115"/>
      <c r="B2647" s="115"/>
      <c r="C2647" s="115"/>
      <c r="D2647" s="115"/>
      <c r="E2647" s="115"/>
    </row>
    <row r="2648" spans="1:5" ht="13">
      <c r="A2648" s="115"/>
      <c r="B2648" s="115"/>
      <c r="C2648" s="115"/>
      <c r="D2648" s="115"/>
      <c r="E2648" s="115"/>
    </row>
    <row r="2649" spans="1:5" ht="13">
      <c r="A2649" s="115"/>
      <c r="B2649" s="115"/>
      <c r="C2649" s="115"/>
      <c r="D2649" s="115"/>
      <c r="E2649" s="115"/>
    </row>
    <row r="2650" spans="1:5" ht="13">
      <c r="A2650" s="115"/>
      <c r="B2650" s="115"/>
      <c r="C2650" s="115"/>
      <c r="D2650" s="115"/>
      <c r="E2650" s="115"/>
    </row>
    <row r="2651" spans="1:5" ht="13">
      <c r="A2651" s="115"/>
      <c r="B2651" s="115"/>
      <c r="C2651" s="115"/>
      <c r="D2651" s="115"/>
      <c r="E2651" s="115"/>
    </row>
    <row r="2652" spans="1:5" ht="13">
      <c r="A2652" s="115"/>
      <c r="B2652" s="115"/>
      <c r="C2652" s="115"/>
      <c r="D2652" s="115"/>
      <c r="E2652" s="115"/>
    </row>
    <row r="2653" spans="1:5" ht="13">
      <c r="A2653" s="115"/>
      <c r="B2653" s="115"/>
      <c r="C2653" s="115"/>
      <c r="D2653" s="115"/>
      <c r="E2653" s="115"/>
    </row>
    <row r="2654" spans="1:5" ht="13">
      <c r="A2654" s="115"/>
      <c r="B2654" s="115"/>
      <c r="C2654" s="115"/>
      <c r="D2654" s="115"/>
      <c r="E2654" s="115"/>
    </row>
    <row r="2655" spans="1:5" ht="13">
      <c r="A2655" s="115"/>
      <c r="B2655" s="115"/>
      <c r="C2655" s="115"/>
      <c r="D2655" s="115"/>
      <c r="E2655" s="115"/>
    </row>
    <row r="2656" spans="1:5" ht="13">
      <c r="A2656" s="115"/>
      <c r="B2656" s="115"/>
      <c r="C2656" s="115"/>
      <c r="D2656" s="115"/>
      <c r="E2656" s="115"/>
    </row>
    <row r="2657" spans="1:5" ht="13">
      <c r="A2657" s="115"/>
      <c r="B2657" s="115"/>
      <c r="C2657" s="115"/>
      <c r="D2657" s="115"/>
      <c r="E2657" s="115"/>
    </row>
    <row r="2658" spans="1:5" ht="13">
      <c r="A2658" s="115"/>
      <c r="B2658" s="115"/>
      <c r="C2658" s="115"/>
      <c r="D2658" s="115"/>
      <c r="E2658" s="115"/>
    </row>
    <row r="2659" spans="1:5" ht="13">
      <c r="A2659" s="115"/>
      <c r="B2659" s="115"/>
      <c r="C2659" s="115"/>
      <c r="D2659" s="115"/>
      <c r="E2659" s="115"/>
    </row>
    <row r="2660" spans="1:5" ht="13">
      <c r="A2660" s="115"/>
      <c r="B2660" s="115"/>
      <c r="C2660" s="115"/>
      <c r="D2660" s="115"/>
      <c r="E2660" s="115"/>
    </row>
    <row r="2661" spans="1:5" ht="13">
      <c r="A2661" s="115"/>
      <c r="B2661" s="115"/>
      <c r="C2661" s="115"/>
      <c r="D2661" s="115"/>
      <c r="E2661" s="115"/>
    </row>
    <row r="2662" spans="1:5" ht="13">
      <c r="A2662" s="115"/>
      <c r="B2662" s="115"/>
      <c r="C2662" s="115"/>
      <c r="D2662" s="115"/>
      <c r="E2662" s="115"/>
    </row>
    <row r="2663" spans="1:5" ht="13">
      <c r="A2663" s="115"/>
      <c r="B2663" s="115"/>
      <c r="C2663" s="115"/>
      <c r="D2663" s="115"/>
      <c r="E2663" s="115"/>
    </row>
    <row r="2664" spans="1:5" ht="13">
      <c r="A2664" s="115"/>
      <c r="B2664" s="115"/>
      <c r="C2664" s="115"/>
      <c r="D2664" s="115"/>
      <c r="E2664" s="115"/>
    </row>
    <row r="2665" spans="1:5" ht="13">
      <c r="A2665" s="115"/>
      <c r="B2665" s="115"/>
      <c r="C2665" s="115"/>
      <c r="D2665" s="115"/>
      <c r="E2665" s="115"/>
    </row>
    <row r="2666" spans="1:5" ht="13">
      <c r="A2666" s="115"/>
      <c r="B2666" s="115"/>
      <c r="C2666" s="115"/>
      <c r="D2666" s="115"/>
      <c r="E2666" s="115"/>
    </row>
    <row r="2667" spans="1:5" ht="13">
      <c r="A2667" s="115"/>
      <c r="B2667" s="115"/>
      <c r="C2667" s="115"/>
      <c r="D2667" s="115"/>
      <c r="E2667" s="115"/>
    </row>
    <row r="2668" spans="1:5" ht="13">
      <c r="A2668" s="115"/>
      <c r="B2668" s="115"/>
      <c r="C2668" s="115"/>
      <c r="D2668" s="115"/>
      <c r="E2668" s="115"/>
    </row>
    <row r="2669" spans="1:5" ht="13">
      <c r="A2669" s="115"/>
      <c r="B2669" s="115"/>
      <c r="C2669" s="115"/>
      <c r="D2669" s="115"/>
      <c r="E2669" s="115"/>
    </row>
    <row r="2670" spans="1:5" ht="13">
      <c r="A2670" s="115"/>
      <c r="B2670" s="115"/>
      <c r="C2670" s="115"/>
      <c r="D2670" s="115"/>
      <c r="E2670" s="115"/>
    </row>
    <row r="2671" spans="1:5" ht="13">
      <c r="A2671" s="115"/>
      <c r="B2671" s="115"/>
      <c r="C2671" s="115"/>
      <c r="D2671" s="115"/>
      <c r="E2671" s="115"/>
    </row>
    <row r="2672" spans="1:5" ht="13">
      <c r="A2672" s="115"/>
      <c r="B2672" s="115"/>
      <c r="C2672" s="115"/>
      <c r="D2672" s="115"/>
      <c r="E2672" s="115"/>
    </row>
    <row r="2673" spans="1:5" ht="13">
      <c r="A2673" s="115"/>
      <c r="B2673" s="115"/>
      <c r="C2673" s="115"/>
      <c r="D2673" s="115"/>
      <c r="E2673" s="115"/>
    </row>
    <row r="2674" spans="1:5" ht="13">
      <c r="A2674" s="115"/>
      <c r="B2674" s="115"/>
      <c r="C2674" s="115"/>
      <c r="D2674" s="115"/>
      <c r="E2674" s="115"/>
    </row>
    <row r="2675" spans="1:5" ht="13">
      <c r="A2675" s="115"/>
      <c r="B2675" s="115"/>
      <c r="C2675" s="115"/>
      <c r="D2675" s="115"/>
      <c r="E2675" s="115"/>
    </row>
    <row r="2676" spans="1:5" ht="13">
      <c r="A2676" s="115"/>
      <c r="B2676" s="115"/>
      <c r="C2676" s="115"/>
      <c r="D2676" s="115"/>
      <c r="E2676" s="115"/>
    </row>
    <row r="2677" spans="1:5" ht="13">
      <c r="A2677" s="115"/>
      <c r="B2677" s="115"/>
      <c r="C2677" s="115"/>
      <c r="D2677" s="115"/>
      <c r="E2677" s="115"/>
    </row>
    <row r="2678" spans="1:5" ht="13">
      <c r="A2678" s="115"/>
      <c r="B2678" s="115"/>
      <c r="C2678" s="115"/>
      <c r="D2678" s="115"/>
      <c r="E2678" s="115"/>
    </row>
    <row r="2679" spans="1:5" ht="13">
      <c r="A2679" s="115"/>
      <c r="B2679" s="115"/>
      <c r="C2679" s="115"/>
      <c r="D2679" s="115"/>
      <c r="E2679" s="115"/>
    </row>
    <row r="2680" spans="1:5" ht="13">
      <c r="A2680" s="115"/>
      <c r="B2680" s="115"/>
      <c r="C2680" s="115"/>
      <c r="D2680" s="115"/>
      <c r="E2680" s="115"/>
    </row>
    <row r="2681" spans="1:5" ht="13">
      <c r="A2681" s="115"/>
      <c r="B2681" s="115"/>
      <c r="C2681" s="115"/>
      <c r="D2681" s="115"/>
      <c r="E2681" s="115"/>
    </row>
    <row r="2682" spans="1:5" ht="13">
      <c r="A2682" s="115"/>
      <c r="B2682" s="115"/>
      <c r="C2682" s="115"/>
      <c r="D2682" s="115"/>
      <c r="E2682" s="115"/>
    </row>
    <row r="2683" spans="1:5" ht="13">
      <c r="A2683" s="115"/>
      <c r="B2683" s="115"/>
      <c r="C2683" s="115"/>
      <c r="D2683" s="115"/>
      <c r="E2683" s="115"/>
    </row>
    <row r="2684" spans="1:5" ht="13">
      <c r="A2684" s="115"/>
      <c r="B2684" s="115"/>
      <c r="C2684" s="115"/>
      <c r="D2684" s="115"/>
      <c r="E2684" s="115"/>
    </row>
    <row r="2685" spans="1:5" ht="13">
      <c r="A2685" s="115"/>
      <c r="B2685" s="115"/>
      <c r="C2685" s="115"/>
      <c r="D2685" s="115"/>
      <c r="E2685" s="115"/>
    </row>
    <row r="2686" spans="1:5" ht="13">
      <c r="A2686" s="115"/>
      <c r="B2686" s="115"/>
      <c r="C2686" s="115"/>
      <c r="D2686" s="115"/>
      <c r="E2686" s="115"/>
    </row>
    <row r="2687" spans="1:5" ht="13">
      <c r="A2687" s="115"/>
      <c r="B2687" s="115"/>
      <c r="C2687" s="115"/>
      <c r="D2687" s="115"/>
      <c r="E2687" s="115"/>
    </row>
    <row r="2688" spans="1:5" ht="13">
      <c r="A2688" s="115"/>
      <c r="B2688" s="115"/>
      <c r="C2688" s="115"/>
      <c r="D2688" s="115"/>
      <c r="E2688" s="115"/>
    </row>
    <row r="2689" spans="1:5" ht="13">
      <c r="A2689" s="115"/>
      <c r="B2689" s="115"/>
      <c r="C2689" s="115"/>
      <c r="D2689" s="115"/>
      <c r="E2689" s="115"/>
    </row>
    <row r="2690" spans="1:5" ht="13">
      <c r="A2690" s="115"/>
      <c r="B2690" s="115"/>
      <c r="C2690" s="115"/>
      <c r="D2690" s="115"/>
      <c r="E2690" s="115"/>
    </row>
    <row r="2691" spans="1:5" ht="13">
      <c r="A2691" s="115"/>
      <c r="B2691" s="115"/>
      <c r="C2691" s="115"/>
      <c r="D2691" s="115"/>
      <c r="E2691" s="115"/>
    </row>
    <row r="2692" spans="1:5" ht="13">
      <c r="A2692" s="115"/>
      <c r="B2692" s="115"/>
      <c r="C2692" s="115"/>
      <c r="D2692" s="115"/>
      <c r="E2692" s="115"/>
    </row>
    <row r="2693" spans="1:5" ht="13">
      <c r="A2693" s="115"/>
      <c r="B2693" s="115"/>
      <c r="C2693" s="115"/>
      <c r="D2693" s="115"/>
      <c r="E2693" s="115"/>
    </row>
    <row r="2694" spans="1:5" ht="13">
      <c r="A2694" s="115"/>
      <c r="B2694" s="115"/>
      <c r="C2694" s="115"/>
      <c r="D2694" s="115"/>
      <c r="E2694" s="115"/>
    </row>
    <row r="2695" spans="1:5" ht="13">
      <c r="A2695" s="115"/>
      <c r="B2695" s="115"/>
      <c r="C2695" s="115"/>
      <c r="D2695" s="115"/>
      <c r="E2695" s="115"/>
    </row>
    <row r="2696" spans="1:5" ht="13">
      <c r="A2696" s="115"/>
      <c r="B2696" s="115"/>
      <c r="C2696" s="115"/>
      <c r="D2696" s="115"/>
      <c r="E2696" s="115"/>
    </row>
    <row r="2697" spans="1:5" ht="13">
      <c r="A2697" s="115"/>
      <c r="B2697" s="115"/>
      <c r="C2697" s="115"/>
      <c r="D2697" s="115"/>
      <c r="E2697" s="115"/>
    </row>
    <row r="2698" spans="1:5" ht="13">
      <c r="A2698" s="115"/>
      <c r="B2698" s="115"/>
      <c r="C2698" s="115"/>
      <c r="D2698" s="115"/>
      <c r="E2698" s="115"/>
    </row>
    <row r="2699" spans="1:5" ht="13">
      <c r="A2699" s="115"/>
      <c r="B2699" s="115"/>
      <c r="C2699" s="115"/>
      <c r="D2699" s="115"/>
      <c r="E2699" s="115"/>
    </row>
    <row r="2700" spans="1:5" ht="13">
      <c r="A2700" s="115"/>
      <c r="B2700" s="115"/>
      <c r="C2700" s="115"/>
      <c r="D2700" s="115"/>
      <c r="E2700" s="115"/>
    </row>
    <row r="2701" spans="1:5" ht="13">
      <c r="A2701" s="115"/>
      <c r="B2701" s="115"/>
      <c r="C2701" s="115"/>
      <c r="D2701" s="115"/>
      <c r="E2701" s="115"/>
    </row>
    <row r="2702" spans="1:5" ht="13">
      <c r="A2702" s="115"/>
      <c r="B2702" s="115"/>
      <c r="C2702" s="115"/>
      <c r="D2702" s="115"/>
      <c r="E2702" s="115"/>
    </row>
    <row r="2703" spans="1:5" ht="13">
      <c r="A2703" s="115"/>
      <c r="B2703" s="115"/>
      <c r="C2703" s="115"/>
      <c r="D2703" s="115"/>
      <c r="E2703" s="115"/>
    </row>
    <row r="2704" spans="1:5" ht="13">
      <c r="A2704" s="115"/>
      <c r="B2704" s="115"/>
      <c r="C2704" s="115"/>
      <c r="D2704" s="115"/>
      <c r="E2704" s="115"/>
    </row>
    <row r="2705" spans="1:5" ht="13">
      <c r="A2705" s="115"/>
      <c r="B2705" s="115"/>
      <c r="C2705" s="115"/>
      <c r="D2705" s="115"/>
      <c r="E2705" s="115"/>
    </row>
    <row r="2706" spans="1:5" ht="13">
      <c r="A2706" s="115"/>
      <c r="B2706" s="115"/>
      <c r="C2706" s="115"/>
      <c r="D2706" s="115"/>
      <c r="E2706" s="115"/>
    </row>
    <row r="2707" spans="1:5" ht="13">
      <c r="A2707" s="115"/>
      <c r="B2707" s="115"/>
      <c r="C2707" s="115"/>
      <c r="D2707" s="115"/>
      <c r="E2707" s="115"/>
    </row>
    <row r="2708" spans="1:5" ht="13">
      <c r="A2708" s="115"/>
      <c r="B2708" s="115"/>
      <c r="C2708" s="115"/>
      <c r="D2708" s="115"/>
      <c r="E2708" s="115"/>
    </row>
    <row r="2709" spans="1:5" ht="13">
      <c r="A2709" s="115"/>
      <c r="B2709" s="115"/>
      <c r="C2709" s="115"/>
      <c r="D2709" s="115"/>
      <c r="E2709" s="115"/>
    </row>
    <row r="2710" spans="1:5" ht="13">
      <c r="A2710" s="115"/>
      <c r="B2710" s="115"/>
      <c r="C2710" s="115"/>
      <c r="D2710" s="115"/>
      <c r="E2710" s="115"/>
    </row>
    <row r="2711" spans="1:5" ht="13">
      <c r="A2711" s="115"/>
      <c r="B2711" s="115"/>
      <c r="C2711" s="115"/>
      <c r="D2711" s="115"/>
      <c r="E2711" s="115"/>
    </row>
    <row r="2712" spans="1:5" ht="13">
      <c r="A2712" s="115"/>
      <c r="B2712" s="115"/>
      <c r="C2712" s="115"/>
      <c r="D2712" s="115"/>
      <c r="E2712" s="115"/>
    </row>
    <row r="2713" spans="1:5" ht="13">
      <c r="A2713" s="115"/>
      <c r="B2713" s="115"/>
      <c r="C2713" s="115"/>
      <c r="D2713" s="115"/>
      <c r="E2713" s="115"/>
    </row>
    <row r="2714" spans="1:5" ht="13">
      <c r="A2714" s="115"/>
      <c r="B2714" s="115"/>
      <c r="C2714" s="115"/>
      <c r="D2714" s="115"/>
      <c r="E2714" s="115"/>
    </row>
    <row r="2715" spans="1:5" ht="13">
      <c r="A2715" s="115"/>
      <c r="B2715" s="115"/>
      <c r="C2715" s="115"/>
      <c r="D2715" s="115"/>
      <c r="E2715" s="115"/>
    </row>
    <row r="2716" spans="1:5" ht="13">
      <c r="A2716" s="115"/>
      <c r="B2716" s="115"/>
      <c r="C2716" s="115"/>
      <c r="D2716" s="115"/>
      <c r="E2716" s="115"/>
    </row>
    <row r="2717" spans="1:5" ht="13">
      <c r="A2717" s="115"/>
      <c r="B2717" s="115"/>
      <c r="C2717" s="115"/>
      <c r="D2717" s="115"/>
      <c r="E2717" s="115"/>
    </row>
    <row r="2718" spans="1:5" ht="13">
      <c r="A2718" s="115"/>
      <c r="B2718" s="115"/>
      <c r="C2718" s="115"/>
      <c r="D2718" s="115"/>
      <c r="E2718" s="115"/>
    </row>
    <row r="2719" spans="1:5" ht="13">
      <c r="A2719" s="115"/>
      <c r="B2719" s="115"/>
      <c r="C2719" s="115"/>
      <c r="D2719" s="115"/>
      <c r="E2719" s="115"/>
    </row>
    <row r="2720" spans="1:5" ht="13">
      <c r="A2720" s="115"/>
      <c r="B2720" s="115"/>
      <c r="C2720" s="115"/>
      <c r="D2720" s="115"/>
      <c r="E2720" s="115"/>
    </row>
    <row r="2721" spans="1:5" ht="13">
      <c r="A2721" s="115"/>
      <c r="B2721" s="115"/>
      <c r="C2721" s="115"/>
      <c r="D2721" s="115"/>
      <c r="E2721" s="115"/>
    </row>
    <row r="2722" spans="1:5" ht="13">
      <c r="A2722" s="115"/>
      <c r="B2722" s="115"/>
      <c r="C2722" s="115"/>
      <c r="D2722" s="115"/>
      <c r="E2722" s="115"/>
    </row>
    <row r="2723" spans="1:5" ht="13">
      <c r="A2723" s="115"/>
      <c r="B2723" s="115"/>
      <c r="C2723" s="115"/>
      <c r="D2723" s="115"/>
      <c r="E2723" s="115"/>
    </row>
    <row r="2724" spans="1:5" ht="13">
      <c r="A2724" s="115"/>
      <c r="B2724" s="115"/>
      <c r="C2724" s="115"/>
      <c r="D2724" s="115"/>
      <c r="E2724" s="115"/>
    </row>
    <row r="2725" spans="1:5" ht="13">
      <c r="A2725" s="115"/>
      <c r="B2725" s="115"/>
      <c r="C2725" s="115"/>
      <c r="D2725" s="115"/>
      <c r="E2725" s="115"/>
    </row>
    <row r="2726" spans="1:5" ht="13">
      <c r="A2726" s="115"/>
      <c r="B2726" s="115"/>
      <c r="C2726" s="115"/>
      <c r="D2726" s="115"/>
      <c r="E2726" s="115"/>
    </row>
    <row r="2727" spans="1:5" ht="13">
      <c r="A2727" s="115"/>
      <c r="B2727" s="115"/>
      <c r="C2727" s="115"/>
      <c r="D2727" s="115"/>
      <c r="E2727" s="115"/>
    </row>
    <row r="2728" spans="1:5" ht="13">
      <c r="A2728" s="115"/>
      <c r="B2728" s="115"/>
      <c r="C2728" s="115"/>
      <c r="D2728" s="115"/>
      <c r="E2728" s="115"/>
    </row>
    <row r="2729" spans="1:5" ht="13">
      <c r="A2729" s="115"/>
      <c r="B2729" s="115"/>
      <c r="C2729" s="115"/>
      <c r="D2729" s="115"/>
      <c r="E2729" s="115"/>
    </row>
    <row r="2730" spans="1:5" ht="13">
      <c r="A2730" s="115"/>
      <c r="B2730" s="115"/>
      <c r="C2730" s="115"/>
      <c r="D2730" s="115"/>
      <c r="E2730" s="115"/>
    </row>
    <row r="2731" spans="1:5" ht="13">
      <c r="A2731" s="115"/>
      <c r="B2731" s="115"/>
      <c r="C2731" s="115"/>
      <c r="D2731" s="115"/>
      <c r="E2731" s="115"/>
    </row>
    <row r="2732" spans="1:5" ht="13">
      <c r="A2732" s="115"/>
      <c r="B2732" s="115"/>
      <c r="C2732" s="115"/>
      <c r="D2732" s="115"/>
      <c r="E2732" s="115"/>
    </row>
    <row r="2733" spans="1:5" ht="13">
      <c r="A2733" s="115"/>
      <c r="B2733" s="115"/>
      <c r="C2733" s="115"/>
      <c r="D2733" s="115"/>
      <c r="E2733" s="115"/>
    </row>
    <row r="2734" spans="1:5" ht="13">
      <c r="A2734" s="115"/>
      <c r="B2734" s="115"/>
      <c r="C2734" s="115"/>
      <c r="D2734" s="115"/>
      <c r="E2734" s="115"/>
    </row>
    <row r="2735" spans="1:5" ht="13">
      <c r="A2735" s="115"/>
      <c r="B2735" s="115"/>
      <c r="C2735" s="115"/>
      <c r="D2735" s="115"/>
      <c r="E2735" s="115"/>
    </row>
    <row r="2736" spans="1:5" ht="13">
      <c r="A2736" s="115"/>
      <c r="B2736" s="115"/>
      <c r="C2736" s="115"/>
      <c r="D2736" s="115"/>
      <c r="E2736" s="115"/>
    </row>
    <row r="2737" spans="1:5" ht="13">
      <c r="A2737" s="115"/>
      <c r="B2737" s="115"/>
      <c r="C2737" s="115"/>
      <c r="D2737" s="115"/>
      <c r="E2737" s="115"/>
    </row>
    <row r="2738" spans="1:5" ht="13">
      <c r="A2738" s="115"/>
      <c r="B2738" s="115"/>
      <c r="C2738" s="115"/>
      <c r="D2738" s="115"/>
      <c r="E2738" s="115"/>
    </row>
    <row r="2739" spans="1:5" ht="13">
      <c r="A2739" s="115"/>
      <c r="B2739" s="115"/>
      <c r="C2739" s="115"/>
      <c r="D2739" s="115"/>
      <c r="E2739" s="115"/>
    </row>
    <row r="2740" spans="1:5" ht="13">
      <c r="A2740" s="115"/>
      <c r="B2740" s="115"/>
      <c r="C2740" s="115"/>
      <c r="D2740" s="115"/>
      <c r="E2740" s="115"/>
    </row>
    <row r="2741" spans="1:5" ht="13">
      <c r="A2741" s="115"/>
      <c r="B2741" s="115"/>
      <c r="C2741" s="115"/>
      <c r="D2741" s="115"/>
      <c r="E2741" s="115"/>
    </row>
    <row r="2742" spans="1:5" ht="13">
      <c r="A2742" s="115"/>
      <c r="B2742" s="115"/>
      <c r="C2742" s="115"/>
      <c r="D2742" s="115"/>
      <c r="E2742" s="115"/>
    </row>
    <row r="2743" spans="1:5" ht="13">
      <c r="A2743" s="115"/>
      <c r="B2743" s="115"/>
      <c r="C2743" s="115"/>
      <c r="D2743" s="115"/>
      <c r="E2743" s="115"/>
    </row>
    <row r="2744" spans="1:5" ht="13">
      <c r="A2744" s="115"/>
      <c r="B2744" s="115"/>
      <c r="C2744" s="115"/>
      <c r="D2744" s="115"/>
      <c r="E2744" s="115"/>
    </row>
    <row r="2745" spans="1:5" ht="13">
      <c r="A2745" s="115"/>
      <c r="B2745" s="115"/>
      <c r="C2745" s="115"/>
      <c r="D2745" s="115"/>
      <c r="E2745" s="115"/>
    </row>
    <row r="2746" spans="1:5" ht="13">
      <c r="A2746" s="115"/>
      <c r="B2746" s="115"/>
      <c r="C2746" s="115"/>
      <c r="D2746" s="115"/>
      <c r="E2746" s="115"/>
    </row>
    <row r="2747" spans="1:5" ht="13">
      <c r="A2747" s="115"/>
      <c r="B2747" s="115"/>
      <c r="C2747" s="115"/>
      <c r="D2747" s="115"/>
      <c r="E2747" s="115"/>
    </row>
    <row r="2748" spans="1:5" ht="13">
      <c r="A2748" s="115"/>
      <c r="B2748" s="115"/>
      <c r="C2748" s="115"/>
      <c r="D2748" s="115"/>
      <c r="E2748" s="115"/>
    </row>
    <row r="2749" spans="1:5" ht="13">
      <c r="A2749" s="115"/>
      <c r="B2749" s="115"/>
      <c r="C2749" s="115"/>
      <c r="D2749" s="115"/>
      <c r="E2749" s="115"/>
    </row>
    <row r="2750" spans="1:5" ht="13">
      <c r="A2750" s="115"/>
      <c r="B2750" s="115"/>
      <c r="C2750" s="115"/>
      <c r="D2750" s="115"/>
      <c r="E2750" s="115"/>
    </row>
    <row r="2751" spans="1:5" ht="13">
      <c r="A2751" s="115"/>
      <c r="B2751" s="115"/>
      <c r="C2751" s="115"/>
      <c r="D2751" s="115"/>
      <c r="E2751" s="115"/>
    </row>
    <row r="2752" spans="1:5" ht="13">
      <c r="A2752" s="115"/>
      <c r="B2752" s="115"/>
      <c r="C2752" s="115"/>
      <c r="D2752" s="115"/>
      <c r="E2752" s="115"/>
    </row>
    <row r="2753" spans="1:5" ht="13">
      <c r="A2753" s="115"/>
      <c r="B2753" s="115"/>
      <c r="C2753" s="115"/>
      <c r="D2753" s="115"/>
      <c r="E2753" s="115"/>
    </row>
    <row r="2754" spans="1:5" ht="13">
      <c r="A2754" s="115"/>
      <c r="B2754" s="115"/>
      <c r="C2754" s="115"/>
      <c r="D2754" s="115"/>
      <c r="E2754" s="115"/>
    </row>
    <row r="2755" spans="1:5" ht="13">
      <c r="A2755" s="115"/>
      <c r="B2755" s="115"/>
      <c r="C2755" s="115"/>
      <c r="D2755" s="115"/>
      <c r="E2755" s="115"/>
    </row>
    <row r="2756" spans="1:5" ht="13">
      <c r="A2756" s="115"/>
      <c r="B2756" s="115"/>
      <c r="C2756" s="115"/>
      <c r="D2756" s="115"/>
      <c r="E2756" s="115"/>
    </row>
    <row r="2757" spans="1:5" ht="13">
      <c r="A2757" s="115"/>
      <c r="B2757" s="115"/>
      <c r="C2757" s="115"/>
      <c r="D2757" s="115"/>
      <c r="E2757" s="115"/>
    </row>
    <row r="2758" spans="1:5" ht="13">
      <c r="A2758" s="115"/>
      <c r="B2758" s="115"/>
      <c r="C2758" s="115"/>
      <c r="D2758" s="115"/>
      <c r="E2758" s="115"/>
    </row>
    <row r="2759" spans="1:5" ht="13">
      <c r="A2759" s="115"/>
      <c r="B2759" s="115"/>
      <c r="C2759" s="115"/>
      <c r="D2759" s="115"/>
      <c r="E2759" s="115"/>
    </row>
    <row r="2760" spans="1:5" ht="13">
      <c r="A2760" s="115"/>
      <c r="B2760" s="115"/>
      <c r="C2760" s="115"/>
      <c r="D2760" s="115"/>
      <c r="E2760" s="115"/>
    </row>
    <row r="2761" spans="1:5" ht="13">
      <c r="A2761" s="115"/>
      <c r="B2761" s="115"/>
      <c r="C2761" s="115"/>
      <c r="D2761" s="115"/>
      <c r="E2761" s="115"/>
    </row>
    <row r="2762" spans="1:5" ht="13">
      <c r="A2762" s="115"/>
      <c r="B2762" s="115"/>
      <c r="C2762" s="115"/>
      <c r="D2762" s="115"/>
      <c r="E2762" s="115"/>
    </row>
    <row r="2763" spans="1:5" ht="13">
      <c r="A2763" s="115"/>
      <c r="B2763" s="115"/>
      <c r="C2763" s="115"/>
      <c r="D2763" s="115"/>
      <c r="E2763" s="115"/>
    </row>
    <row r="2764" spans="1:5" ht="13">
      <c r="A2764" s="115"/>
      <c r="B2764" s="115"/>
      <c r="C2764" s="115"/>
      <c r="D2764" s="115"/>
      <c r="E2764" s="115"/>
    </row>
    <row r="2765" spans="1:5" ht="13">
      <c r="A2765" s="115"/>
      <c r="B2765" s="115"/>
      <c r="C2765" s="115"/>
      <c r="D2765" s="115"/>
      <c r="E2765" s="115"/>
    </row>
    <row r="2766" spans="1:5" ht="13">
      <c r="A2766" s="115"/>
      <c r="B2766" s="115"/>
      <c r="C2766" s="115"/>
      <c r="D2766" s="115"/>
      <c r="E2766" s="115"/>
    </row>
    <row r="2767" spans="1:5" ht="13">
      <c r="A2767" s="115"/>
      <c r="B2767" s="115"/>
      <c r="C2767" s="115"/>
      <c r="D2767" s="115"/>
      <c r="E2767" s="115"/>
    </row>
    <row r="2768" spans="1:5" ht="13">
      <c r="A2768" s="115"/>
      <c r="B2768" s="115"/>
      <c r="C2768" s="115"/>
      <c r="D2768" s="115"/>
      <c r="E2768" s="115"/>
    </row>
    <row r="2769" spans="1:5" ht="13">
      <c r="A2769" s="115"/>
      <c r="B2769" s="115"/>
      <c r="C2769" s="115"/>
      <c r="D2769" s="115"/>
      <c r="E2769" s="115"/>
    </row>
    <row r="2770" spans="1:5" ht="13">
      <c r="A2770" s="115"/>
      <c r="B2770" s="115"/>
      <c r="C2770" s="115"/>
      <c r="D2770" s="115"/>
      <c r="E2770" s="115"/>
    </row>
    <row r="2771" spans="1:5" ht="13">
      <c r="A2771" s="115"/>
      <c r="B2771" s="115"/>
      <c r="C2771" s="115"/>
      <c r="D2771" s="115"/>
      <c r="E2771" s="115"/>
    </row>
    <row r="2772" spans="1:5" ht="13">
      <c r="A2772" s="115"/>
      <c r="B2772" s="115"/>
      <c r="C2772" s="115"/>
      <c r="D2772" s="115"/>
      <c r="E2772" s="115"/>
    </row>
    <row r="2773" spans="1:5" ht="13">
      <c r="A2773" s="115"/>
      <c r="B2773" s="115"/>
      <c r="C2773" s="115"/>
      <c r="D2773" s="115"/>
      <c r="E2773" s="115"/>
    </row>
    <row r="2774" spans="1:5" ht="13">
      <c r="A2774" s="115"/>
      <c r="B2774" s="115"/>
      <c r="C2774" s="115"/>
      <c r="D2774" s="115"/>
      <c r="E2774" s="115"/>
    </row>
    <row r="2775" spans="1:5" ht="13">
      <c r="A2775" s="115"/>
      <c r="B2775" s="115"/>
      <c r="C2775" s="115"/>
      <c r="D2775" s="115"/>
      <c r="E2775" s="115"/>
    </row>
    <row r="2776" spans="1:5" ht="13">
      <c r="A2776" s="115"/>
      <c r="B2776" s="115"/>
      <c r="C2776" s="115"/>
      <c r="D2776" s="115"/>
      <c r="E2776" s="115"/>
    </row>
    <row r="2777" spans="1:5" ht="13">
      <c r="A2777" s="115"/>
      <c r="B2777" s="115"/>
      <c r="C2777" s="115"/>
      <c r="D2777" s="115"/>
      <c r="E2777" s="115"/>
    </row>
    <row r="2778" spans="1:5" ht="13">
      <c r="A2778" s="115"/>
      <c r="B2778" s="115"/>
      <c r="C2778" s="115"/>
      <c r="D2778" s="115"/>
      <c r="E2778" s="115"/>
    </row>
    <row r="2779" spans="1:5" ht="13">
      <c r="A2779" s="115"/>
      <c r="B2779" s="115"/>
      <c r="C2779" s="115"/>
      <c r="D2779" s="115"/>
      <c r="E2779" s="115"/>
    </row>
    <row r="2780" spans="1:5" ht="13">
      <c r="A2780" s="115"/>
      <c r="B2780" s="115"/>
      <c r="C2780" s="115"/>
      <c r="D2780" s="115"/>
      <c r="E2780" s="115"/>
    </row>
    <row r="2781" spans="1:5" ht="13">
      <c r="A2781" s="115"/>
      <c r="B2781" s="115"/>
      <c r="C2781" s="115"/>
      <c r="D2781" s="115"/>
      <c r="E2781" s="115"/>
    </row>
    <row r="2782" spans="1:5" ht="13">
      <c r="A2782" s="115"/>
      <c r="B2782" s="115"/>
      <c r="C2782" s="115"/>
      <c r="D2782" s="115"/>
      <c r="E2782" s="115"/>
    </row>
    <row r="2783" spans="1:5" ht="13">
      <c r="A2783" s="115"/>
      <c r="B2783" s="115"/>
      <c r="C2783" s="115"/>
      <c r="D2783" s="115"/>
      <c r="E2783" s="115"/>
    </row>
    <row r="2784" spans="1:5" ht="13">
      <c r="A2784" s="115"/>
      <c r="B2784" s="115"/>
      <c r="C2784" s="115"/>
      <c r="D2784" s="115"/>
      <c r="E2784" s="115"/>
    </row>
    <row r="2785" spans="1:5" ht="13">
      <c r="A2785" s="115"/>
      <c r="B2785" s="115"/>
      <c r="C2785" s="115"/>
      <c r="D2785" s="115"/>
      <c r="E2785" s="115"/>
    </row>
    <row r="2786" spans="1:5" ht="13">
      <c r="A2786" s="115"/>
      <c r="B2786" s="115"/>
      <c r="C2786" s="115"/>
      <c r="D2786" s="115"/>
      <c r="E2786" s="115"/>
    </row>
    <row r="2787" spans="1:5" ht="13">
      <c r="A2787" s="115"/>
      <c r="B2787" s="115"/>
      <c r="C2787" s="115"/>
      <c r="D2787" s="115"/>
      <c r="E2787" s="115"/>
    </row>
    <row r="2788" spans="1:5" ht="13">
      <c r="A2788" s="115"/>
      <c r="B2788" s="115"/>
      <c r="C2788" s="115"/>
      <c r="D2788" s="115"/>
      <c r="E2788" s="115"/>
    </row>
    <row r="2789" spans="1:5" ht="13">
      <c r="A2789" s="115"/>
      <c r="B2789" s="115"/>
      <c r="C2789" s="115"/>
      <c r="D2789" s="115"/>
      <c r="E2789" s="115"/>
    </row>
    <row r="2790" spans="1:5" ht="13">
      <c r="A2790" s="115"/>
      <c r="B2790" s="115"/>
      <c r="C2790" s="115"/>
      <c r="D2790" s="115"/>
      <c r="E2790" s="115"/>
    </row>
    <row r="2791" spans="1:5" ht="13">
      <c r="A2791" s="115"/>
      <c r="B2791" s="115"/>
      <c r="C2791" s="115"/>
      <c r="D2791" s="115"/>
      <c r="E2791" s="115"/>
    </row>
    <row r="2792" spans="1:5" ht="13">
      <c r="A2792" s="115"/>
      <c r="B2792" s="115"/>
      <c r="C2792" s="115"/>
      <c r="D2792" s="115"/>
      <c r="E2792" s="115"/>
    </row>
    <row r="2793" spans="1:5" ht="13">
      <c r="A2793" s="115"/>
      <c r="B2793" s="115"/>
      <c r="C2793" s="115"/>
      <c r="D2793" s="115"/>
      <c r="E2793" s="115"/>
    </row>
    <row r="2794" spans="1:5" ht="13">
      <c r="A2794" s="115"/>
      <c r="B2794" s="115"/>
      <c r="C2794" s="115"/>
      <c r="D2794" s="115"/>
      <c r="E2794" s="115"/>
    </row>
    <row r="2795" spans="1:5" ht="13">
      <c r="A2795" s="115"/>
      <c r="B2795" s="115"/>
      <c r="C2795" s="115"/>
      <c r="D2795" s="115"/>
      <c r="E2795" s="115"/>
    </row>
    <row r="2796" spans="1:5" ht="13">
      <c r="A2796" s="115"/>
      <c r="B2796" s="115"/>
      <c r="C2796" s="115"/>
      <c r="D2796" s="115"/>
      <c r="E2796" s="115"/>
    </row>
    <row r="2797" spans="1:5" ht="13">
      <c r="A2797" s="115"/>
      <c r="B2797" s="115"/>
      <c r="C2797" s="115"/>
      <c r="D2797" s="115"/>
      <c r="E2797" s="115"/>
    </row>
    <row r="2798" spans="1:5" ht="13">
      <c r="A2798" s="115"/>
      <c r="B2798" s="115"/>
      <c r="C2798" s="115"/>
      <c r="D2798" s="115"/>
      <c r="E2798" s="115"/>
    </row>
    <row r="2799" spans="1:5" ht="13">
      <c r="A2799" s="115"/>
      <c r="B2799" s="115"/>
      <c r="C2799" s="115"/>
      <c r="D2799" s="115"/>
      <c r="E2799" s="115"/>
    </row>
    <row r="2800" spans="1:5" ht="13">
      <c r="A2800" s="115"/>
      <c r="B2800" s="115"/>
      <c r="C2800" s="115"/>
      <c r="D2800" s="115"/>
      <c r="E2800" s="115"/>
    </row>
    <row r="2801" spans="1:5" ht="13">
      <c r="A2801" s="115"/>
      <c r="B2801" s="115"/>
      <c r="C2801" s="115"/>
      <c r="D2801" s="115"/>
      <c r="E2801" s="115"/>
    </row>
    <row r="2802" spans="1:5" ht="13">
      <c r="A2802" s="115"/>
      <c r="B2802" s="115"/>
      <c r="C2802" s="115"/>
      <c r="D2802" s="115"/>
      <c r="E2802" s="115"/>
    </row>
    <row r="2803" spans="1:5" ht="13">
      <c r="A2803" s="115"/>
      <c r="B2803" s="115"/>
      <c r="C2803" s="115"/>
      <c r="D2803" s="115"/>
      <c r="E2803" s="115"/>
    </row>
    <row r="2804" spans="1:5" ht="13">
      <c r="A2804" s="115"/>
      <c r="B2804" s="115"/>
      <c r="C2804" s="115"/>
      <c r="D2804" s="115"/>
      <c r="E2804" s="115"/>
    </row>
    <row r="2805" spans="1:5" ht="13">
      <c r="A2805" s="115"/>
      <c r="B2805" s="115"/>
      <c r="C2805" s="115"/>
      <c r="D2805" s="115"/>
      <c r="E2805" s="115"/>
    </row>
    <row r="2806" spans="1:5" ht="13">
      <c r="A2806" s="115"/>
      <c r="B2806" s="115"/>
      <c r="C2806" s="115"/>
      <c r="D2806" s="115"/>
      <c r="E2806" s="115"/>
    </row>
    <row r="2807" spans="1:5" ht="13">
      <c r="A2807" s="115"/>
      <c r="B2807" s="115"/>
      <c r="C2807" s="115"/>
      <c r="D2807" s="115"/>
      <c r="E2807" s="115"/>
    </row>
    <row r="2808" spans="1:5" ht="13">
      <c r="A2808" s="115"/>
      <c r="B2808" s="115"/>
      <c r="C2808" s="115"/>
      <c r="D2808" s="115"/>
      <c r="E2808" s="115"/>
    </row>
    <row r="2809" spans="1:5" ht="13">
      <c r="A2809" s="115"/>
      <c r="B2809" s="115"/>
      <c r="C2809" s="115"/>
      <c r="D2809" s="115"/>
      <c r="E2809" s="115"/>
    </row>
    <row r="2810" spans="1:5" ht="13">
      <c r="A2810" s="115"/>
      <c r="B2810" s="115"/>
      <c r="C2810" s="115"/>
      <c r="D2810" s="115"/>
      <c r="E2810" s="115"/>
    </row>
    <row r="2811" spans="1:5" ht="13">
      <c r="A2811" s="115"/>
      <c r="B2811" s="115"/>
      <c r="C2811" s="115"/>
      <c r="D2811" s="115"/>
      <c r="E2811" s="115"/>
    </row>
    <row r="2812" spans="1:5" ht="13">
      <c r="A2812" s="115"/>
      <c r="B2812" s="115"/>
      <c r="C2812" s="115"/>
      <c r="D2812" s="115"/>
      <c r="E2812" s="115"/>
    </row>
    <row r="2813" spans="1:5" ht="13">
      <c r="A2813" s="115"/>
      <c r="B2813" s="115"/>
      <c r="C2813" s="115"/>
      <c r="D2813" s="115"/>
      <c r="E2813" s="115"/>
    </row>
    <row r="2814" spans="1:5" ht="13">
      <c r="A2814" s="115"/>
      <c r="B2814" s="115"/>
      <c r="C2814" s="115"/>
      <c r="D2814" s="115"/>
      <c r="E2814" s="115"/>
    </row>
    <row r="2815" spans="1:5" ht="13">
      <c r="A2815" s="115"/>
      <c r="B2815" s="115"/>
      <c r="C2815" s="115"/>
      <c r="D2815" s="115"/>
      <c r="E2815" s="115"/>
    </row>
    <row r="2816" spans="1:5" ht="13">
      <c r="A2816" s="115"/>
      <c r="B2816" s="115"/>
      <c r="C2816" s="115"/>
      <c r="D2816" s="115"/>
      <c r="E2816" s="115"/>
    </row>
    <row r="2817" spans="1:5" ht="13">
      <c r="A2817" s="115"/>
      <c r="B2817" s="115"/>
      <c r="C2817" s="115"/>
      <c r="D2817" s="115"/>
      <c r="E2817" s="115"/>
    </row>
    <row r="2818" spans="1:5" ht="13">
      <c r="A2818" s="115"/>
      <c r="B2818" s="115"/>
      <c r="C2818" s="115"/>
      <c r="D2818" s="115"/>
      <c r="E2818" s="115"/>
    </row>
    <row r="2819" spans="1:5" ht="13">
      <c r="A2819" s="115"/>
      <c r="B2819" s="115"/>
      <c r="C2819" s="115"/>
      <c r="D2819" s="115"/>
      <c r="E2819" s="115"/>
    </row>
    <row r="2820" spans="1:5" ht="13">
      <c r="A2820" s="115"/>
      <c r="B2820" s="115"/>
      <c r="C2820" s="115"/>
      <c r="D2820" s="115"/>
      <c r="E2820" s="115"/>
    </row>
    <row r="2821" spans="1:5" ht="13">
      <c r="A2821" s="115"/>
      <c r="B2821" s="115"/>
      <c r="C2821" s="115"/>
      <c r="D2821" s="115"/>
      <c r="E2821" s="115"/>
    </row>
    <row r="2822" spans="1:5" ht="13">
      <c r="A2822" s="115"/>
      <c r="B2822" s="115"/>
      <c r="C2822" s="115"/>
      <c r="D2822" s="115"/>
      <c r="E2822" s="115"/>
    </row>
    <row r="2823" spans="1:5" ht="13">
      <c r="A2823" s="115"/>
      <c r="B2823" s="115"/>
      <c r="C2823" s="115"/>
      <c r="D2823" s="115"/>
      <c r="E2823" s="115"/>
    </row>
    <row r="2824" spans="1:5" ht="13">
      <c r="A2824" s="115"/>
      <c r="B2824" s="115"/>
      <c r="C2824" s="115"/>
      <c r="D2824" s="115"/>
      <c r="E2824" s="115"/>
    </row>
    <row r="2825" spans="1:5" ht="13">
      <c r="A2825" s="115"/>
      <c r="B2825" s="115"/>
      <c r="C2825" s="115"/>
      <c r="D2825" s="115"/>
      <c r="E2825" s="115"/>
    </row>
    <row r="2826" spans="1:5" ht="13">
      <c r="A2826" s="115"/>
      <c r="B2826" s="115"/>
      <c r="C2826" s="115"/>
      <c r="D2826" s="115"/>
      <c r="E2826" s="115"/>
    </row>
    <row r="2827" spans="1:5" ht="13">
      <c r="A2827" s="115"/>
      <c r="B2827" s="115"/>
      <c r="C2827" s="115"/>
      <c r="D2827" s="115"/>
      <c r="E2827" s="115"/>
    </row>
    <row r="2828" spans="1:5" ht="13">
      <c r="A2828" s="115"/>
      <c r="B2828" s="115"/>
      <c r="C2828" s="115"/>
      <c r="D2828" s="115"/>
      <c r="E2828" s="115"/>
    </row>
    <row r="2829" spans="1:5" ht="13">
      <c r="A2829" s="115"/>
      <c r="B2829" s="115"/>
      <c r="C2829" s="115"/>
      <c r="D2829" s="115"/>
      <c r="E2829" s="115"/>
    </row>
    <row r="2830" spans="1:5" ht="13">
      <c r="A2830" s="115"/>
      <c r="B2830" s="115"/>
      <c r="C2830" s="115"/>
      <c r="D2830" s="115"/>
      <c r="E2830" s="115"/>
    </row>
    <row r="2831" spans="1:5" ht="13">
      <c r="A2831" s="115"/>
      <c r="B2831" s="115"/>
      <c r="C2831" s="115"/>
      <c r="D2831" s="115"/>
      <c r="E2831" s="115"/>
    </row>
    <row r="2832" spans="1:5" ht="13">
      <c r="A2832" s="115"/>
      <c r="B2832" s="115"/>
      <c r="C2832" s="115"/>
      <c r="D2832" s="115"/>
      <c r="E2832" s="115"/>
    </row>
    <row r="2833" spans="1:5" ht="13">
      <c r="A2833" s="115"/>
      <c r="B2833" s="115"/>
      <c r="C2833" s="115"/>
      <c r="D2833" s="115"/>
      <c r="E2833" s="115"/>
    </row>
    <row r="2834" spans="1:5" ht="13">
      <c r="A2834" s="115"/>
      <c r="B2834" s="115"/>
      <c r="C2834" s="115"/>
      <c r="D2834" s="115"/>
      <c r="E2834" s="115"/>
    </row>
    <row r="2835" spans="1:5" ht="13">
      <c r="A2835" s="115"/>
      <c r="B2835" s="115"/>
      <c r="C2835" s="115"/>
      <c r="D2835" s="115"/>
      <c r="E2835" s="115"/>
    </row>
    <row r="2836" spans="1:5" ht="13">
      <c r="A2836" s="115"/>
      <c r="B2836" s="115"/>
      <c r="C2836" s="115"/>
      <c r="D2836" s="115"/>
      <c r="E2836" s="115"/>
    </row>
    <row r="2837" spans="1:5" ht="13">
      <c r="A2837" s="115"/>
      <c r="B2837" s="115"/>
      <c r="C2837" s="115"/>
      <c r="D2837" s="115"/>
      <c r="E2837" s="115"/>
    </row>
    <row r="2838" spans="1:5" ht="13">
      <c r="A2838" s="115"/>
      <c r="B2838" s="115"/>
      <c r="C2838" s="115"/>
      <c r="D2838" s="115"/>
      <c r="E2838" s="115"/>
    </row>
    <row r="2839" spans="1:5" ht="13">
      <c r="A2839" s="115"/>
      <c r="B2839" s="115"/>
      <c r="C2839" s="115"/>
      <c r="D2839" s="115"/>
      <c r="E2839" s="115"/>
    </row>
    <row r="2840" spans="1:5" ht="13">
      <c r="A2840" s="115"/>
      <c r="B2840" s="115"/>
      <c r="C2840" s="115"/>
      <c r="D2840" s="115"/>
      <c r="E2840" s="115"/>
    </row>
    <row r="2841" spans="1:5" ht="13">
      <c r="A2841" s="115"/>
      <c r="B2841" s="115"/>
      <c r="C2841" s="115"/>
      <c r="D2841" s="115"/>
      <c r="E2841" s="115"/>
    </row>
    <row r="2842" spans="1:5" ht="13">
      <c r="A2842" s="115"/>
      <c r="B2842" s="115"/>
      <c r="C2842" s="115"/>
      <c r="D2842" s="115"/>
      <c r="E2842" s="115"/>
    </row>
    <row r="2843" spans="1:5" ht="13">
      <c r="A2843" s="115"/>
      <c r="B2843" s="115"/>
      <c r="C2843" s="115"/>
      <c r="D2843" s="115"/>
      <c r="E2843" s="115"/>
    </row>
    <row r="2844" spans="1:5" ht="13">
      <c r="A2844" s="115"/>
      <c r="B2844" s="115"/>
      <c r="C2844" s="115"/>
      <c r="D2844" s="115"/>
      <c r="E2844" s="115"/>
    </row>
    <row r="2845" spans="1:5" ht="13">
      <c r="A2845" s="115"/>
      <c r="B2845" s="115"/>
      <c r="C2845" s="115"/>
      <c r="D2845" s="115"/>
      <c r="E2845" s="115"/>
    </row>
    <row r="2846" spans="1:5" ht="13">
      <c r="A2846" s="115"/>
      <c r="B2846" s="115"/>
      <c r="C2846" s="115"/>
      <c r="D2846" s="115"/>
      <c r="E2846" s="115"/>
    </row>
    <row r="2847" spans="1:5" ht="13">
      <c r="A2847" s="115"/>
      <c r="B2847" s="115"/>
      <c r="C2847" s="115"/>
      <c r="D2847" s="115"/>
      <c r="E2847" s="115"/>
    </row>
    <row r="2848" spans="1:5" ht="13">
      <c r="A2848" s="115"/>
      <c r="B2848" s="115"/>
      <c r="C2848" s="115"/>
      <c r="D2848" s="115"/>
      <c r="E2848" s="115"/>
    </row>
    <row r="2849" spans="1:5" ht="13">
      <c r="A2849" s="115"/>
      <c r="B2849" s="115"/>
      <c r="C2849" s="115"/>
      <c r="D2849" s="115"/>
      <c r="E2849" s="115"/>
    </row>
    <row r="2850" spans="1:5" ht="13">
      <c r="A2850" s="115"/>
      <c r="B2850" s="115"/>
      <c r="C2850" s="115"/>
      <c r="D2850" s="115"/>
      <c r="E2850" s="115"/>
    </row>
    <row r="2851" spans="1:5" ht="13">
      <c r="A2851" s="115"/>
      <c r="B2851" s="115"/>
      <c r="C2851" s="115"/>
      <c r="D2851" s="115"/>
      <c r="E2851" s="115"/>
    </row>
    <row r="2852" spans="1:5" ht="13">
      <c r="A2852" s="115"/>
      <c r="B2852" s="115"/>
      <c r="C2852" s="115"/>
      <c r="D2852" s="115"/>
      <c r="E2852" s="115"/>
    </row>
    <row r="2853" spans="1:5" ht="13">
      <c r="A2853" s="115"/>
      <c r="B2853" s="115"/>
      <c r="C2853" s="115"/>
      <c r="D2853" s="115"/>
      <c r="E2853" s="115"/>
    </row>
    <row r="2854" spans="1:5" ht="13">
      <c r="A2854" s="115"/>
      <c r="B2854" s="115"/>
      <c r="C2854" s="115"/>
      <c r="D2854" s="115"/>
      <c r="E2854" s="115"/>
    </row>
    <row r="2855" spans="1:5" ht="13">
      <c r="A2855" s="115"/>
      <c r="B2855" s="115"/>
      <c r="C2855" s="115"/>
      <c r="D2855" s="115"/>
      <c r="E2855" s="115"/>
    </row>
    <row r="2856" spans="1:5" ht="13">
      <c r="A2856" s="115"/>
      <c r="B2856" s="115"/>
      <c r="C2856" s="115"/>
      <c r="D2856" s="115"/>
      <c r="E2856" s="115"/>
    </row>
    <row r="2857" spans="1:5" ht="13">
      <c r="A2857" s="115"/>
      <c r="B2857" s="115"/>
      <c r="C2857" s="115"/>
      <c r="D2857" s="115"/>
      <c r="E2857" s="115"/>
    </row>
    <row r="2858" spans="1:5" ht="13">
      <c r="A2858" s="115"/>
      <c r="B2858" s="115"/>
      <c r="C2858" s="115"/>
      <c r="D2858" s="115"/>
      <c r="E2858" s="115"/>
    </row>
    <row r="2859" spans="1:5" ht="13">
      <c r="A2859" s="115"/>
      <c r="B2859" s="115"/>
      <c r="C2859" s="115"/>
      <c r="D2859" s="115"/>
      <c r="E2859" s="115"/>
    </row>
    <row r="2860" spans="1:5" ht="13">
      <c r="A2860" s="115"/>
      <c r="B2860" s="115"/>
      <c r="C2860" s="115"/>
      <c r="D2860" s="115"/>
      <c r="E2860" s="115"/>
    </row>
    <row r="2861" spans="1:5" ht="13">
      <c r="A2861" s="115"/>
      <c r="B2861" s="115"/>
      <c r="C2861" s="115"/>
      <c r="D2861" s="115"/>
      <c r="E2861" s="115"/>
    </row>
    <row r="2862" spans="1:5" ht="13">
      <c r="A2862" s="115"/>
      <c r="B2862" s="115"/>
      <c r="C2862" s="115"/>
      <c r="D2862" s="115"/>
      <c r="E2862" s="115"/>
    </row>
    <row r="2863" spans="1:5" ht="13">
      <c r="A2863" s="115"/>
      <c r="B2863" s="115"/>
      <c r="C2863" s="115"/>
      <c r="D2863" s="115"/>
      <c r="E2863" s="115"/>
    </row>
    <row r="2864" spans="1:5" ht="13">
      <c r="A2864" s="115"/>
      <c r="B2864" s="115"/>
      <c r="C2864" s="115"/>
      <c r="D2864" s="115"/>
      <c r="E2864" s="115"/>
    </row>
    <row r="2865" spans="1:5" ht="13">
      <c r="A2865" s="115"/>
      <c r="B2865" s="115"/>
      <c r="C2865" s="115"/>
      <c r="D2865" s="115"/>
      <c r="E2865" s="115"/>
    </row>
    <row r="2866" spans="1:5" ht="13">
      <c r="A2866" s="115"/>
      <c r="B2866" s="115"/>
      <c r="C2866" s="115"/>
      <c r="D2866" s="115"/>
      <c r="E2866" s="115"/>
    </row>
    <row r="2867" spans="1:5" ht="13">
      <c r="A2867" s="115"/>
      <c r="B2867" s="115"/>
      <c r="C2867" s="115"/>
      <c r="D2867" s="115"/>
      <c r="E2867" s="115"/>
    </row>
    <row r="2868" spans="1:5" ht="13">
      <c r="A2868" s="115"/>
      <c r="B2868" s="115"/>
      <c r="C2868" s="115"/>
      <c r="D2868" s="115"/>
      <c r="E2868" s="115"/>
    </row>
    <row r="2869" spans="1:5" ht="13">
      <c r="A2869" s="115"/>
      <c r="B2869" s="115"/>
      <c r="C2869" s="115"/>
      <c r="D2869" s="115"/>
      <c r="E2869" s="115"/>
    </row>
    <row r="2870" spans="1:5" ht="13">
      <c r="A2870" s="115"/>
      <c r="B2870" s="115"/>
      <c r="C2870" s="115"/>
      <c r="D2870" s="115"/>
      <c r="E2870" s="115"/>
    </row>
    <row r="2871" spans="1:5" ht="13">
      <c r="A2871" s="115"/>
      <c r="B2871" s="115"/>
      <c r="C2871" s="115"/>
      <c r="D2871" s="115"/>
      <c r="E2871" s="115"/>
    </row>
    <row r="2872" spans="1:5" ht="13">
      <c r="A2872" s="115"/>
      <c r="B2872" s="115"/>
      <c r="C2872" s="115"/>
      <c r="D2872" s="115"/>
      <c r="E2872" s="115"/>
    </row>
    <row r="2873" spans="1:5" ht="13">
      <c r="A2873" s="115"/>
      <c r="B2873" s="115"/>
      <c r="C2873" s="115"/>
      <c r="D2873" s="115"/>
      <c r="E2873" s="115"/>
    </row>
    <row r="2874" spans="1:5" ht="13">
      <c r="A2874" s="115"/>
      <c r="B2874" s="115"/>
      <c r="C2874" s="115"/>
      <c r="D2874" s="115"/>
      <c r="E2874" s="115"/>
    </row>
    <row r="2875" spans="1:5" ht="13">
      <c r="A2875" s="115"/>
      <c r="B2875" s="115"/>
      <c r="C2875" s="115"/>
      <c r="D2875" s="115"/>
      <c r="E2875" s="115"/>
    </row>
    <row r="2876" spans="1:5" ht="13">
      <c r="A2876" s="115"/>
      <c r="B2876" s="115"/>
      <c r="C2876" s="115"/>
      <c r="D2876" s="115"/>
      <c r="E2876" s="115"/>
    </row>
    <row r="2877" spans="1:5" ht="13">
      <c r="A2877" s="115"/>
      <c r="B2877" s="115"/>
      <c r="C2877" s="115"/>
      <c r="D2877" s="115"/>
      <c r="E2877" s="115"/>
    </row>
    <row r="2878" spans="1:5" ht="13">
      <c r="A2878" s="115"/>
      <c r="B2878" s="115"/>
      <c r="C2878" s="115"/>
      <c r="D2878" s="115"/>
      <c r="E2878" s="115"/>
    </row>
    <row r="2879" spans="1:5" ht="13">
      <c r="A2879" s="115"/>
      <c r="B2879" s="115"/>
      <c r="C2879" s="115"/>
      <c r="D2879" s="115"/>
      <c r="E2879" s="115"/>
    </row>
    <row r="2880" spans="1:5" ht="13">
      <c r="A2880" s="115"/>
      <c r="B2880" s="115"/>
      <c r="C2880" s="115"/>
      <c r="D2880" s="115"/>
      <c r="E2880" s="115"/>
    </row>
    <row r="2881" spans="1:5" ht="13">
      <c r="A2881" s="115"/>
      <c r="B2881" s="115"/>
      <c r="C2881" s="115"/>
      <c r="D2881" s="115"/>
      <c r="E2881" s="115"/>
    </row>
    <row r="2882" spans="1:5" ht="13">
      <c r="A2882" s="115"/>
      <c r="B2882" s="115"/>
      <c r="C2882" s="115"/>
      <c r="D2882" s="115"/>
      <c r="E2882" s="115"/>
    </row>
    <row r="2883" spans="1:5" ht="13">
      <c r="A2883" s="115"/>
      <c r="B2883" s="115"/>
      <c r="C2883" s="115"/>
      <c r="D2883" s="115"/>
      <c r="E2883" s="115"/>
    </row>
    <row r="2884" spans="1:5" ht="13">
      <c r="A2884" s="115"/>
      <c r="B2884" s="115"/>
      <c r="C2884" s="115"/>
      <c r="D2884" s="115"/>
      <c r="E2884" s="115"/>
    </row>
    <row r="2885" spans="1:5" ht="13">
      <c r="A2885" s="115"/>
      <c r="B2885" s="115"/>
      <c r="C2885" s="115"/>
      <c r="D2885" s="115"/>
      <c r="E2885" s="115"/>
    </row>
    <row r="2886" spans="1:5" ht="13">
      <c r="A2886" s="115"/>
      <c r="B2886" s="115"/>
      <c r="C2886" s="115"/>
      <c r="D2886" s="115"/>
      <c r="E2886" s="115"/>
    </row>
    <row r="2887" spans="1:5" ht="13">
      <c r="A2887" s="115"/>
      <c r="B2887" s="115"/>
      <c r="C2887" s="115"/>
      <c r="D2887" s="115"/>
      <c r="E2887" s="115"/>
    </row>
    <row r="2888" spans="1:5" ht="13">
      <c r="A2888" s="115"/>
      <c r="B2888" s="115"/>
      <c r="C2888" s="115"/>
      <c r="D2888" s="115"/>
      <c r="E2888" s="115"/>
    </row>
    <row r="2889" spans="1:5" ht="13">
      <c r="A2889" s="115"/>
      <c r="B2889" s="115"/>
      <c r="C2889" s="115"/>
      <c r="D2889" s="115"/>
      <c r="E2889" s="115"/>
    </row>
    <row r="2890" spans="1:5" ht="13">
      <c r="A2890" s="115"/>
      <c r="B2890" s="115"/>
      <c r="C2890" s="115"/>
      <c r="D2890" s="115"/>
      <c r="E2890" s="115"/>
    </row>
    <row r="2891" spans="1:5" ht="13">
      <c r="A2891" s="115"/>
      <c r="B2891" s="115"/>
      <c r="C2891" s="115"/>
      <c r="D2891" s="115"/>
      <c r="E2891" s="115"/>
    </row>
    <row r="2892" spans="1:5" ht="13">
      <c r="A2892" s="115"/>
      <c r="B2892" s="115"/>
      <c r="C2892" s="115"/>
      <c r="D2892" s="115"/>
      <c r="E2892" s="115"/>
    </row>
    <row r="2893" spans="1:5" ht="13">
      <c r="A2893" s="115"/>
      <c r="B2893" s="115"/>
      <c r="C2893" s="115"/>
      <c r="D2893" s="115"/>
      <c r="E2893" s="115"/>
    </row>
    <row r="2894" spans="1:5" ht="13">
      <c r="A2894" s="115"/>
      <c r="B2894" s="115"/>
      <c r="C2894" s="115"/>
      <c r="D2894" s="115"/>
      <c r="E2894" s="115"/>
    </row>
    <row r="2895" spans="1:5" ht="13">
      <c r="A2895" s="115"/>
      <c r="B2895" s="115"/>
      <c r="C2895" s="115"/>
      <c r="D2895" s="115"/>
      <c r="E2895" s="115"/>
    </row>
    <row r="2896" spans="1:5" ht="13">
      <c r="A2896" s="115"/>
      <c r="B2896" s="115"/>
      <c r="C2896" s="115"/>
      <c r="D2896" s="115"/>
      <c r="E2896" s="115"/>
    </row>
    <row r="2897" spans="1:5" ht="13">
      <c r="A2897" s="115"/>
      <c r="B2897" s="115"/>
      <c r="C2897" s="115"/>
      <c r="D2897" s="115"/>
      <c r="E2897" s="115"/>
    </row>
    <row r="2898" spans="1:5" ht="13">
      <c r="A2898" s="115"/>
      <c r="B2898" s="115"/>
      <c r="C2898" s="115"/>
      <c r="D2898" s="115"/>
      <c r="E2898" s="115"/>
    </row>
    <row r="2899" spans="1:5" ht="13">
      <c r="A2899" s="115"/>
      <c r="B2899" s="115"/>
      <c r="C2899" s="115"/>
      <c r="D2899" s="115"/>
      <c r="E2899" s="115"/>
    </row>
    <row r="2900" spans="1:5" ht="13">
      <c r="A2900" s="115"/>
      <c r="B2900" s="115"/>
      <c r="C2900" s="115"/>
      <c r="D2900" s="115"/>
      <c r="E2900" s="115"/>
    </row>
    <row r="2901" spans="1:5" ht="13">
      <c r="A2901" s="115"/>
      <c r="B2901" s="115"/>
      <c r="C2901" s="115"/>
      <c r="D2901" s="115"/>
      <c r="E2901" s="115"/>
    </row>
    <row r="2902" spans="1:5" ht="13">
      <c r="A2902" s="115"/>
      <c r="B2902" s="115"/>
      <c r="C2902" s="115"/>
      <c r="D2902" s="115"/>
      <c r="E2902" s="115"/>
    </row>
    <row r="2903" spans="1:5" ht="13">
      <c r="A2903" s="115"/>
      <c r="B2903" s="115"/>
      <c r="C2903" s="115"/>
      <c r="D2903" s="115"/>
      <c r="E2903" s="115"/>
    </row>
    <row r="2904" spans="1:5" ht="13">
      <c r="A2904" s="115"/>
      <c r="B2904" s="115"/>
      <c r="C2904" s="115"/>
      <c r="D2904" s="115"/>
      <c r="E2904" s="115"/>
    </row>
    <row r="2905" spans="1:5" ht="13">
      <c r="A2905" s="115"/>
      <c r="B2905" s="115"/>
      <c r="C2905" s="115"/>
      <c r="D2905" s="115"/>
      <c r="E2905" s="115"/>
    </row>
    <row r="2906" spans="1:5" ht="13">
      <c r="A2906" s="115"/>
      <c r="B2906" s="115"/>
      <c r="C2906" s="115"/>
      <c r="D2906" s="115"/>
      <c r="E2906" s="115"/>
    </row>
    <row r="2907" spans="1:5" ht="13">
      <c r="A2907" s="115"/>
      <c r="B2907" s="115"/>
      <c r="C2907" s="115"/>
      <c r="D2907" s="115"/>
      <c r="E2907" s="115"/>
    </row>
    <row r="2908" spans="1:5" ht="13">
      <c r="A2908" s="115"/>
      <c r="B2908" s="115"/>
      <c r="C2908" s="115"/>
      <c r="D2908" s="115"/>
      <c r="E2908" s="115"/>
    </row>
    <row r="2909" spans="1:5" ht="13">
      <c r="A2909" s="115"/>
      <c r="B2909" s="115"/>
      <c r="C2909" s="115"/>
      <c r="D2909" s="115"/>
      <c r="E2909" s="115"/>
    </row>
    <row r="2910" spans="1:5" ht="13">
      <c r="A2910" s="115"/>
      <c r="B2910" s="115"/>
      <c r="C2910" s="115"/>
      <c r="D2910" s="115"/>
      <c r="E2910" s="115"/>
    </row>
    <row r="2911" spans="1:5" ht="13">
      <c r="A2911" s="115"/>
      <c r="B2911" s="115"/>
      <c r="C2911" s="115"/>
      <c r="D2911" s="115"/>
      <c r="E2911" s="115"/>
    </row>
    <row r="2912" spans="1:5" ht="13">
      <c r="A2912" s="115"/>
      <c r="B2912" s="115"/>
      <c r="C2912" s="115"/>
      <c r="D2912" s="115"/>
      <c r="E2912" s="115"/>
    </row>
    <row r="2913" spans="1:5" ht="13">
      <c r="A2913" s="115"/>
      <c r="B2913" s="115"/>
      <c r="C2913" s="115"/>
      <c r="D2913" s="115"/>
      <c r="E2913" s="115"/>
    </row>
    <row r="2914" spans="1:5" ht="13">
      <c r="A2914" s="115"/>
      <c r="B2914" s="115"/>
      <c r="C2914" s="115"/>
      <c r="D2914" s="115"/>
      <c r="E2914" s="115"/>
    </row>
    <row r="2915" spans="1:5" ht="13">
      <c r="A2915" s="115"/>
      <c r="B2915" s="115"/>
      <c r="C2915" s="115"/>
      <c r="D2915" s="115"/>
      <c r="E2915" s="115"/>
    </row>
    <row r="2916" spans="1:5" ht="13">
      <c r="A2916" s="115"/>
      <c r="B2916" s="115"/>
      <c r="C2916" s="115"/>
      <c r="D2916" s="115"/>
      <c r="E2916" s="115"/>
    </row>
    <row r="2917" spans="1:5" ht="13">
      <c r="A2917" s="115"/>
      <c r="B2917" s="115"/>
      <c r="C2917" s="115"/>
      <c r="D2917" s="115"/>
      <c r="E2917" s="115"/>
    </row>
    <row r="2918" spans="1:5" ht="13">
      <c r="A2918" s="115"/>
      <c r="B2918" s="115"/>
      <c r="C2918" s="115"/>
      <c r="D2918" s="115"/>
      <c r="E2918" s="115"/>
    </row>
    <row r="2919" spans="1:5" ht="13">
      <c r="A2919" s="115"/>
      <c r="B2919" s="115"/>
      <c r="C2919" s="115"/>
      <c r="D2919" s="115"/>
      <c r="E2919" s="115"/>
    </row>
    <row r="2920" spans="1:5" ht="13">
      <c r="A2920" s="115"/>
      <c r="B2920" s="115"/>
      <c r="C2920" s="115"/>
      <c r="D2920" s="115"/>
      <c r="E2920" s="115"/>
    </row>
    <row r="2921" spans="1:5" ht="13">
      <c r="A2921" s="115"/>
      <c r="B2921" s="115"/>
      <c r="C2921" s="115"/>
      <c r="D2921" s="115"/>
      <c r="E2921" s="115"/>
    </row>
    <row r="2922" spans="1:5" ht="13">
      <c r="A2922" s="115"/>
      <c r="B2922" s="115"/>
      <c r="C2922" s="115"/>
      <c r="D2922" s="115"/>
      <c r="E2922" s="115"/>
    </row>
    <row r="2923" spans="1:5" ht="13">
      <c r="A2923" s="115"/>
      <c r="B2923" s="115"/>
      <c r="C2923" s="115"/>
      <c r="D2923" s="115"/>
      <c r="E2923" s="115"/>
    </row>
    <row r="2924" spans="1:5" ht="13">
      <c r="A2924" s="115"/>
      <c r="B2924" s="115"/>
      <c r="C2924" s="115"/>
      <c r="D2924" s="115"/>
      <c r="E2924" s="115"/>
    </row>
    <row r="2925" spans="1:5" ht="13">
      <c r="A2925" s="115"/>
      <c r="B2925" s="115"/>
      <c r="C2925" s="115"/>
      <c r="D2925" s="115"/>
      <c r="E2925" s="115"/>
    </row>
    <row r="2926" spans="1:5" ht="13">
      <c r="A2926" s="115"/>
      <c r="B2926" s="115"/>
      <c r="C2926" s="115"/>
      <c r="D2926" s="115"/>
      <c r="E2926" s="115"/>
    </row>
    <row r="2927" spans="1:5" ht="13">
      <c r="A2927" s="115"/>
      <c r="B2927" s="115"/>
      <c r="C2927" s="115"/>
      <c r="D2927" s="115"/>
      <c r="E2927" s="115"/>
    </row>
    <row r="2928" spans="1:5" ht="13">
      <c r="A2928" s="115"/>
      <c r="B2928" s="115"/>
      <c r="C2928" s="115"/>
      <c r="D2928" s="115"/>
      <c r="E2928" s="115"/>
    </row>
    <row r="2929" spans="1:5" ht="13">
      <c r="A2929" s="115"/>
      <c r="B2929" s="115"/>
      <c r="C2929" s="115"/>
      <c r="D2929" s="115"/>
      <c r="E2929" s="115"/>
    </row>
    <row r="2930" spans="1:5" ht="13">
      <c r="A2930" s="115"/>
      <c r="B2930" s="115"/>
      <c r="C2930" s="115"/>
      <c r="D2930" s="115"/>
      <c r="E2930" s="115"/>
    </row>
    <row r="2931" spans="1:5" ht="13">
      <c r="A2931" s="115"/>
      <c r="B2931" s="115"/>
      <c r="C2931" s="115"/>
      <c r="D2931" s="115"/>
      <c r="E2931" s="115"/>
    </row>
    <row r="2932" spans="1:5" ht="13">
      <c r="A2932" s="115"/>
      <c r="B2932" s="115"/>
      <c r="C2932" s="115"/>
      <c r="D2932" s="115"/>
      <c r="E2932" s="115"/>
    </row>
    <row r="2933" spans="1:5" ht="13">
      <c r="A2933" s="115"/>
      <c r="B2933" s="115"/>
      <c r="C2933" s="115"/>
      <c r="D2933" s="115"/>
      <c r="E2933" s="115"/>
    </row>
    <row r="2934" spans="1:5" ht="13">
      <c r="A2934" s="115"/>
      <c r="B2934" s="115"/>
      <c r="C2934" s="115"/>
      <c r="D2934" s="115"/>
      <c r="E2934" s="115"/>
    </row>
    <row r="2935" spans="1:5" ht="13">
      <c r="A2935" s="115"/>
      <c r="B2935" s="115"/>
      <c r="C2935" s="115"/>
      <c r="D2935" s="115"/>
      <c r="E2935" s="115"/>
    </row>
    <row r="2936" spans="1:5" ht="13">
      <c r="A2936" s="115"/>
      <c r="B2936" s="115"/>
      <c r="C2936" s="115"/>
      <c r="D2936" s="115"/>
      <c r="E2936" s="115"/>
    </row>
    <row r="2937" spans="1:5" ht="13">
      <c r="A2937" s="115"/>
      <c r="B2937" s="115"/>
      <c r="C2937" s="115"/>
      <c r="D2937" s="115"/>
      <c r="E2937" s="115"/>
    </row>
    <row r="2938" spans="1:5" ht="13">
      <c r="A2938" s="115"/>
      <c r="B2938" s="115"/>
      <c r="C2938" s="115"/>
      <c r="D2938" s="115"/>
      <c r="E2938" s="115"/>
    </row>
    <row r="2939" spans="1:5" ht="13">
      <c r="A2939" s="115"/>
      <c r="B2939" s="115"/>
      <c r="C2939" s="115"/>
      <c r="D2939" s="115"/>
      <c r="E2939" s="115"/>
    </row>
    <row r="2940" spans="1:5" ht="13">
      <c r="A2940" s="115"/>
      <c r="B2940" s="115"/>
      <c r="C2940" s="115"/>
      <c r="D2940" s="115"/>
      <c r="E2940" s="115"/>
    </row>
    <row r="2941" spans="1:5" ht="13">
      <c r="A2941" s="115"/>
      <c r="B2941" s="115"/>
      <c r="C2941" s="115"/>
      <c r="D2941" s="115"/>
      <c r="E2941" s="115"/>
    </row>
    <row r="2942" spans="1:5" ht="13">
      <c r="A2942" s="115"/>
      <c r="B2942" s="115"/>
      <c r="C2942" s="115"/>
      <c r="D2942" s="115"/>
      <c r="E2942" s="115"/>
    </row>
    <row r="2943" spans="1:5" ht="13">
      <c r="A2943" s="115"/>
      <c r="B2943" s="115"/>
      <c r="C2943" s="115"/>
      <c r="D2943" s="115"/>
      <c r="E2943" s="115"/>
    </row>
    <row r="2944" spans="1:5" ht="13">
      <c r="A2944" s="115"/>
      <c r="B2944" s="115"/>
      <c r="C2944" s="115"/>
      <c r="D2944" s="115"/>
      <c r="E2944" s="115"/>
    </row>
    <row r="2945" spans="1:5" ht="13">
      <c r="A2945" s="115"/>
      <c r="B2945" s="115"/>
      <c r="C2945" s="115"/>
      <c r="D2945" s="115"/>
      <c r="E2945" s="115"/>
    </row>
    <row r="2946" spans="1:5" ht="13">
      <c r="A2946" s="115"/>
      <c r="B2946" s="115"/>
      <c r="C2946" s="115"/>
      <c r="D2946" s="115"/>
      <c r="E2946" s="115"/>
    </row>
    <row r="2947" spans="1:5" ht="13">
      <c r="A2947" s="115"/>
      <c r="B2947" s="115"/>
      <c r="C2947" s="115"/>
      <c r="D2947" s="115"/>
      <c r="E2947" s="115"/>
    </row>
    <row r="2948" spans="1:5" ht="13">
      <c r="A2948" s="115"/>
      <c r="B2948" s="115"/>
      <c r="C2948" s="115"/>
      <c r="D2948" s="115"/>
      <c r="E2948" s="115"/>
    </row>
    <row r="2949" spans="1:5" ht="13">
      <c r="A2949" s="115"/>
      <c r="B2949" s="115"/>
      <c r="C2949" s="115"/>
      <c r="D2949" s="115"/>
      <c r="E2949" s="115"/>
    </row>
    <row r="2950" spans="1:5" ht="13">
      <c r="A2950" s="115"/>
      <c r="B2950" s="115"/>
      <c r="C2950" s="115"/>
      <c r="D2950" s="115"/>
      <c r="E2950" s="115"/>
    </row>
    <row r="2951" spans="1:5" ht="13">
      <c r="A2951" s="115"/>
      <c r="B2951" s="115"/>
      <c r="C2951" s="115"/>
      <c r="D2951" s="115"/>
      <c r="E2951" s="115"/>
    </row>
    <row r="2952" spans="1:5" ht="13">
      <c r="A2952" s="115"/>
      <c r="B2952" s="115"/>
      <c r="C2952" s="115"/>
      <c r="D2952" s="115"/>
      <c r="E2952" s="115"/>
    </row>
    <row r="2953" spans="1:5" ht="13">
      <c r="A2953" s="115"/>
      <c r="B2953" s="115"/>
      <c r="C2953" s="115"/>
      <c r="D2953" s="115"/>
      <c r="E2953" s="115"/>
    </row>
    <row r="2954" spans="1:5" ht="13">
      <c r="A2954" s="115"/>
      <c r="B2954" s="115"/>
      <c r="C2954" s="115"/>
      <c r="D2954" s="115"/>
      <c r="E2954" s="115"/>
    </row>
    <row r="2955" spans="1:5" ht="13">
      <c r="A2955" s="115"/>
      <c r="B2955" s="115"/>
      <c r="C2955" s="115"/>
      <c r="D2955" s="115"/>
      <c r="E2955" s="115"/>
    </row>
    <row r="2956" spans="1:5" ht="13">
      <c r="A2956" s="115"/>
      <c r="B2956" s="115"/>
      <c r="C2956" s="115"/>
      <c r="D2956" s="115"/>
      <c r="E2956" s="115"/>
    </row>
    <row r="2957" spans="1:5" ht="13">
      <c r="A2957" s="115"/>
      <c r="B2957" s="115"/>
      <c r="C2957" s="115"/>
      <c r="D2957" s="115"/>
      <c r="E2957" s="115"/>
    </row>
    <row r="2958" spans="1:5" ht="13">
      <c r="A2958" s="115"/>
      <c r="B2958" s="115"/>
      <c r="C2958" s="115"/>
      <c r="D2958" s="115"/>
      <c r="E2958" s="115"/>
    </row>
    <row r="2959" spans="1:5" ht="13">
      <c r="A2959" s="115"/>
      <c r="B2959" s="115"/>
      <c r="C2959" s="115"/>
      <c r="D2959" s="115"/>
      <c r="E2959" s="115"/>
    </row>
    <row r="2960" spans="1:5" ht="13">
      <c r="A2960" s="115"/>
      <c r="B2960" s="115"/>
      <c r="C2960" s="115"/>
      <c r="D2960" s="115"/>
      <c r="E2960" s="115"/>
    </row>
    <row r="2961" spans="1:5" ht="13">
      <c r="A2961" s="115"/>
      <c r="B2961" s="115"/>
      <c r="C2961" s="115"/>
      <c r="D2961" s="115"/>
      <c r="E2961" s="115"/>
    </row>
    <row r="2962" spans="1:5" ht="13">
      <c r="A2962" s="115"/>
      <c r="B2962" s="115"/>
      <c r="C2962" s="115"/>
      <c r="D2962" s="115"/>
      <c r="E2962" s="115"/>
    </row>
    <row r="2963" spans="1:5" ht="13">
      <c r="A2963" s="115"/>
      <c r="B2963" s="115"/>
      <c r="C2963" s="115"/>
      <c r="D2963" s="115"/>
      <c r="E2963" s="115"/>
    </row>
    <row r="2964" spans="1:5" ht="13">
      <c r="A2964" s="115"/>
      <c r="B2964" s="115"/>
      <c r="C2964" s="115"/>
      <c r="D2964" s="115"/>
      <c r="E2964" s="115"/>
    </row>
    <row r="2965" spans="1:5" ht="13">
      <c r="A2965" s="115"/>
      <c r="B2965" s="115"/>
      <c r="C2965" s="115"/>
      <c r="D2965" s="115"/>
      <c r="E2965" s="115"/>
    </row>
    <row r="2966" spans="1:5" ht="13">
      <c r="A2966" s="115"/>
      <c r="B2966" s="115"/>
      <c r="C2966" s="115"/>
      <c r="D2966" s="115"/>
      <c r="E2966" s="115"/>
    </row>
    <row r="2967" spans="1:5" ht="13">
      <c r="A2967" s="115"/>
      <c r="B2967" s="115"/>
      <c r="C2967" s="115"/>
      <c r="D2967" s="115"/>
      <c r="E2967" s="115"/>
    </row>
    <row r="2968" spans="1:5" ht="13">
      <c r="A2968" s="115"/>
      <c r="B2968" s="115"/>
      <c r="C2968" s="115"/>
      <c r="D2968" s="115"/>
      <c r="E2968" s="115"/>
    </row>
    <row r="2969" spans="1:5" ht="13">
      <c r="A2969" s="115"/>
      <c r="B2969" s="115"/>
      <c r="C2969" s="115"/>
      <c r="D2969" s="115"/>
      <c r="E2969" s="115"/>
    </row>
    <row r="2970" spans="1:5" ht="13">
      <c r="A2970" s="115"/>
      <c r="B2970" s="115"/>
      <c r="C2970" s="115"/>
      <c r="D2970" s="115"/>
      <c r="E2970" s="115"/>
    </row>
    <row r="2971" spans="1:5" ht="13">
      <c r="A2971" s="115"/>
      <c r="B2971" s="115"/>
      <c r="C2971" s="115"/>
      <c r="D2971" s="115"/>
      <c r="E2971" s="115"/>
    </row>
    <row r="2972" spans="1:5" ht="13">
      <c r="A2972" s="115"/>
      <c r="B2972" s="115"/>
      <c r="C2972" s="115"/>
      <c r="D2972" s="115"/>
      <c r="E2972" s="115"/>
    </row>
    <row r="2973" spans="1:5" ht="13">
      <c r="A2973" s="115"/>
      <c r="B2973" s="115"/>
      <c r="C2973" s="115"/>
      <c r="D2973" s="115"/>
      <c r="E2973" s="115"/>
    </row>
    <row r="2974" spans="1:5" ht="13">
      <c r="A2974" s="115"/>
      <c r="B2974" s="115"/>
      <c r="C2974" s="115"/>
      <c r="D2974" s="115"/>
      <c r="E2974" s="115"/>
    </row>
    <row r="2975" spans="1:5" ht="13">
      <c r="A2975" s="115"/>
      <c r="B2975" s="115"/>
      <c r="C2975" s="115"/>
      <c r="D2975" s="115"/>
      <c r="E2975" s="115"/>
    </row>
    <row r="2976" spans="1:5" ht="13">
      <c r="A2976" s="115"/>
      <c r="B2976" s="115"/>
      <c r="C2976" s="115"/>
      <c r="D2976" s="115"/>
      <c r="E2976" s="115"/>
    </row>
    <row r="2977" spans="1:5" ht="13">
      <c r="A2977" s="115"/>
      <c r="B2977" s="115"/>
      <c r="C2977" s="115"/>
      <c r="D2977" s="115"/>
      <c r="E2977" s="115"/>
    </row>
    <row r="2978" spans="1:5" ht="13">
      <c r="A2978" s="115"/>
      <c r="B2978" s="115"/>
      <c r="C2978" s="115"/>
      <c r="D2978" s="115"/>
      <c r="E2978" s="115"/>
    </row>
    <row r="2979" spans="1:5" ht="13">
      <c r="A2979" s="115"/>
      <c r="B2979" s="115"/>
      <c r="C2979" s="115"/>
      <c r="D2979" s="115"/>
      <c r="E2979" s="115"/>
    </row>
    <row r="2980" spans="1:5" ht="13">
      <c r="A2980" s="115"/>
      <c r="B2980" s="115"/>
      <c r="C2980" s="115"/>
      <c r="D2980" s="115"/>
      <c r="E2980" s="115"/>
    </row>
    <row r="2981" spans="1:5" ht="13">
      <c r="A2981" s="115"/>
      <c r="B2981" s="115"/>
      <c r="C2981" s="115"/>
      <c r="D2981" s="115"/>
      <c r="E2981" s="115"/>
    </row>
    <row r="2982" spans="1:5" ht="13">
      <c r="A2982" s="115"/>
      <c r="B2982" s="115"/>
      <c r="C2982" s="115"/>
      <c r="D2982" s="115"/>
      <c r="E2982" s="115"/>
    </row>
    <row r="2983" spans="1:5" ht="13">
      <c r="A2983" s="115"/>
      <c r="B2983" s="115"/>
      <c r="C2983" s="115"/>
      <c r="D2983" s="115"/>
      <c r="E2983" s="115"/>
    </row>
    <row r="2984" spans="1:5" ht="13">
      <c r="A2984" s="115"/>
      <c r="B2984" s="115"/>
      <c r="C2984" s="115"/>
      <c r="D2984" s="115"/>
      <c r="E2984" s="115"/>
    </row>
    <row r="2985" spans="1:5" ht="13">
      <c r="A2985" s="115"/>
      <c r="B2985" s="115"/>
      <c r="C2985" s="115"/>
      <c r="D2985" s="115"/>
      <c r="E2985" s="115"/>
    </row>
    <row r="2986" spans="1:5" ht="13">
      <c r="A2986" s="115"/>
      <c r="B2986" s="115"/>
      <c r="C2986" s="115"/>
      <c r="D2986" s="115"/>
      <c r="E2986" s="115"/>
    </row>
    <row r="2987" spans="1:5" ht="13">
      <c r="A2987" s="115"/>
      <c r="B2987" s="115"/>
      <c r="C2987" s="115"/>
      <c r="D2987" s="115"/>
      <c r="E2987" s="115"/>
    </row>
    <row r="2988" spans="1:5" ht="13">
      <c r="A2988" s="115"/>
      <c r="B2988" s="115"/>
      <c r="C2988" s="115"/>
      <c r="D2988" s="115"/>
      <c r="E2988" s="115"/>
    </row>
    <row r="2989" spans="1:5" ht="13">
      <c r="A2989" s="115"/>
      <c r="B2989" s="115"/>
      <c r="C2989" s="115"/>
      <c r="D2989" s="115"/>
      <c r="E2989" s="115"/>
    </row>
    <row r="2990" spans="1:5" ht="13">
      <c r="A2990" s="115"/>
      <c r="B2990" s="115"/>
      <c r="C2990" s="115"/>
      <c r="D2990" s="115"/>
      <c r="E2990" s="115"/>
    </row>
    <row r="2991" spans="1:5" ht="13">
      <c r="A2991" s="115"/>
      <c r="B2991" s="115"/>
      <c r="C2991" s="115"/>
      <c r="D2991" s="115"/>
      <c r="E2991" s="115"/>
    </row>
    <row r="2992" spans="1:5" ht="13">
      <c r="A2992" s="115"/>
      <c r="B2992" s="115"/>
      <c r="C2992" s="115"/>
      <c r="D2992" s="115"/>
      <c r="E2992" s="115"/>
    </row>
    <row r="2993" spans="1:5" ht="13">
      <c r="A2993" s="115"/>
      <c r="B2993" s="115"/>
      <c r="C2993" s="115"/>
      <c r="D2993" s="115"/>
      <c r="E2993" s="115"/>
    </row>
    <row r="2994" spans="1:5" ht="13">
      <c r="A2994" s="115"/>
      <c r="B2994" s="115"/>
      <c r="C2994" s="115"/>
      <c r="D2994" s="115"/>
      <c r="E2994" s="115"/>
    </row>
    <row r="2995" spans="1:5" ht="13">
      <c r="A2995" s="115"/>
      <c r="B2995" s="115"/>
      <c r="C2995" s="115"/>
      <c r="D2995" s="115"/>
      <c r="E2995" s="115"/>
    </row>
    <row r="2996" spans="1:5" ht="13">
      <c r="A2996" s="115"/>
      <c r="B2996" s="115"/>
      <c r="C2996" s="115"/>
      <c r="D2996" s="115"/>
      <c r="E2996" s="115"/>
    </row>
    <row r="2997" spans="1:5" ht="13">
      <c r="A2997" s="115"/>
      <c r="B2997" s="115"/>
      <c r="C2997" s="115"/>
      <c r="D2997" s="115"/>
      <c r="E2997" s="115"/>
    </row>
    <row r="2998" spans="1:5" ht="13">
      <c r="A2998" s="115"/>
      <c r="B2998" s="115"/>
      <c r="C2998" s="115"/>
      <c r="D2998" s="115"/>
      <c r="E2998" s="115"/>
    </row>
    <row r="2999" spans="1:5" ht="13">
      <c r="A2999" s="115"/>
      <c r="B2999" s="115"/>
      <c r="C2999" s="115"/>
      <c r="D2999" s="115"/>
      <c r="E2999" s="115"/>
    </row>
    <row r="3000" spans="1:5" ht="13">
      <c r="A3000" s="115"/>
      <c r="B3000" s="115"/>
      <c r="C3000" s="115"/>
      <c r="D3000" s="115"/>
      <c r="E3000" s="115"/>
    </row>
    <row r="3001" spans="1:5" ht="13">
      <c r="A3001" s="115"/>
      <c r="B3001" s="115"/>
      <c r="C3001" s="115"/>
      <c r="D3001" s="115"/>
      <c r="E3001" s="115"/>
    </row>
    <row r="3002" spans="1:5" ht="13">
      <c r="A3002" s="115"/>
      <c r="B3002" s="115"/>
      <c r="C3002" s="115"/>
      <c r="D3002" s="115"/>
      <c r="E3002" s="115"/>
    </row>
    <row r="3003" spans="1:5" ht="13">
      <c r="A3003" s="115"/>
      <c r="B3003" s="115"/>
      <c r="C3003" s="115"/>
      <c r="D3003" s="115"/>
      <c r="E3003" s="115"/>
    </row>
    <row r="3004" spans="1:5" ht="13">
      <c r="A3004" s="115"/>
      <c r="B3004" s="115"/>
      <c r="C3004" s="115"/>
      <c r="D3004" s="115"/>
      <c r="E3004" s="115"/>
    </row>
    <row r="3005" spans="1:5" ht="13">
      <c r="A3005" s="115"/>
      <c r="B3005" s="115"/>
      <c r="C3005" s="115"/>
      <c r="D3005" s="115"/>
      <c r="E3005" s="115"/>
    </row>
    <row r="3006" spans="1:5" ht="13">
      <c r="A3006" s="115"/>
      <c r="B3006" s="115"/>
      <c r="C3006" s="115"/>
      <c r="D3006" s="115"/>
      <c r="E3006" s="115"/>
    </row>
    <row r="3007" spans="1:5" ht="13">
      <c r="A3007" s="115"/>
      <c r="B3007" s="115"/>
      <c r="C3007" s="115"/>
      <c r="D3007" s="115"/>
      <c r="E3007" s="115"/>
    </row>
    <row r="3008" spans="1:5" ht="13">
      <c r="A3008" s="115"/>
      <c r="B3008" s="115"/>
      <c r="C3008" s="115"/>
      <c r="D3008" s="115"/>
      <c r="E3008" s="115"/>
    </row>
    <row r="3009" spans="1:5" ht="13">
      <c r="A3009" s="115"/>
      <c r="B3009" s="115"/>
      <c r="C3009" s="115"/>
      <c r="D3009" s="115"/>
      <c r="E3009" s="115"/>
    </row>
    <row r="3010" spans="1:5" ht="13">
      <c r="A3010" s="115"/>
      <c r="B3010" s="115"/>
      <c r="C3010" s="115"/>
      <c r="D3010" s="115"/>
      <c r="E3010" s="115"/>
    </row>
    <row r="3011" spans="1:5" ht="13">
      <c r="A3011" s="115"/>
      <c r="B3011" s="115"/>
      <c r="C3011" s="115"/>
      <c r="D3011" s="115"/>
      <c r="E3011" s="115"/>
    </row>
    <row r="3012" spans="1:5" ht="13">
      <c r="A3012" s="115"/>
      <c r="B3012" s="115"/>
      <c r="C3012" s="115"/>
      <c r="D3012" s="115"/>
      <c r="E3012" s="115"/>
    </row>
    <row r="3013" spans="1:5" ht="13">
      <c r="A3013" s="115"/>
      <c r="B3013" s="115"/>
      <c r="C3013" s="115"/>
      <c r="D3013" s="115"/>
      <c r="E3013" s="115"/>
    </row>
    <row r="3014" spans="1:5" ht="13">
      <c r="A3014" s="115"/>
      <c r="B3014" s="115"/>
      <c r="C3014" s="115"/>
      <c r="D3014" s="115"/>
      <c r="E3014" s="115"/>
    </row>
    <row r="3015" spans="1:5" ht="13">
      <c r="A3015" s="115"/>
      <c r="B3015" s="115"/>
      <c r="C3015" s="115"/>
      <c r="D3015" s="115"/>
      <c r="E3015" s="115"/>
    </row>
    <row r="3016" spans="1:5" ht="13">
      <c r="A3016" s="115"/>
      <c r="B3016" s="115"/>
      <c r="C3016" s="115"/>
      <c r="D3016" s="115"/>
      <c r="E3016" s="115"/>
    </row>
    <row r="3017" spans="1:5" ht="13">
      <c r="A3017" s="115"/>
      <c r="B3017" s="115"/>
      <c r="C3017" s="115"/>
      <c r="D3017" s="115"/>
      <c r="E3017" s="115"/>
    </row>
    <row r="3018" spans="1:5" ht="13">
      <c r="A3018" s="115"/>
      <c r="B3018" s="115"/>
      <c r="C3018" s="115"/>
      <c r="D3018" s="115"/>
      <c r="E3018" s="115"/>
    </row>
    <row r="3019" spans="1:5" ht="13">
      <c r="A3019" s="115"/>
      <c r="B3019" s="115"/>
      <c r="C3019" s="115"/>
      <c r="D3019" s="115"/>
      <c r="E3019" s="115"/>
    </row>
    <row r="3020" spans="1:5" ht="13">
      <c r="A3020" s="115"/>
      <c r="B3020" s="115"/>
      <c r="C3020" s="115"/>
      <c r="D3020" s="115"/>
      <c r="E3020" s="115"/>
    </row>
    <row r="3021" spans="1:5" ht="13">
      <c r="A3021" s="115"/>
      <c r="B3021" s="115"/>
      <c r="C3021" s="115"/>
      <c r="D3021" s="115"/>
      <c r="E3021" s="115"/>
    </row>
    <row r="3022" spans="1:5" ht="13">
      <c r="A3022" s="115"/>
      <c r="B3022" s="115"/>
      <c r="C3022" s="115"/>
      <c r="D3022" s="115"/>
      <c r="E3022" s="115"/>
    </row>
    <row r="3023" spans="1:5" ht="13">
      <c r="A3023" s="115"/>
      <c r="B3023" s="115"/>
      <c r="C3023" s="115"/>
      <c r="D3023" s="115"/>
      <c r="E3023" s="115"/>
    </row>
    <row r="3024" spans="1:5" ht="13">
      <c r="A3024" s="115"/>
      <c r="B3024" s="115"/>
      <c r="C3024" s="115"/>
      <c r="D3024" s="115"/>
      <c r="E3024" s="115"/>
    </row>
    <row r="3025" spans="1:5" ht="13">
      <c r="A3025" s="115"/>
      <c r="B3025" s="115"/>
      <c r="C3025" s="115"/>
      <c r="D3025" s="115"/>
      <c r="E3025" s="115"/>
    </row>
    <row r="3026" spans="1:5" ht="13">
      <c r="A3026" s="115"/>
      <c r="B3026" s="115"/>
      <c r="C3026" s="115"/>
      <c r="D3026" s="115"/>
      <c r="E3026" s="115"/>
    </row>
    <row r="3027" spans="1:5" ht="13">
      <c r="A3027" s="115"/>
      <c r="B3027" s="115"/>
      <c r="C3027" s="115"/>
      <c r="D3027" s="115"/>
      <c r="E3027" s="115"/>
    </row>
    <row r="3028" spans="1:5" ht="13">
      <c r="A3028" s="115"/>
      <c r="B3028" s="115"/>
      <c r="C3028" s="115"/>
      <c r="D3028" s="115"/>
      <c r="E3028" s="115"/>
    </row>
    <row r="3029" spans="1:5" ht="13">
      <c r="A3029" s="115"/>
      <c r="B3029" s="115"/>
      <c r="C3029" s="115"/>
      <c r="D3029" s="115"/>
      <c r="E3029" s="115"/>
    </row>
    <row r="3030" spans="1:5" ht="13">
      <c r="A3030" s="115"/>
      <c r="B3030" s="115"/>
      <c r="C3030" s="115"/>
      <c r="D3030" s="115"/>
      <c r="E3030" s="115"/>
    </row>
    <row r="3031" spans="1:5" ht="13">
      <c r="A3031" s="115"/>
      <c r="B3031" s="115"/>
      <c r="C3031" s="115"/>
      <c r="D3031" s="115"/>
      <c r="E3031" s="115"/>
    </row>
    <row r="3032" spans="1:5" ht="13">
      <c r="A3032" s="115"/>
      <c r="B3032" s="115"/>
      <c r="C3032" s="115"/>
      <c r="D3032" s="115"/>
      <c r="E3032" s="115"/>
    </row>
    <row r="3033" spans="1:5" ht="13">
      <c r="A3033" s="115"/>
      <c r="B3033" s="115"/>
      <c r="C3033" s="115"/>
      <c r="D3033" s="115"/>
      <c r="E3033" s="115"/>
    </row>
    <row r="3034" spans="1:5" ht="13">
      <c r="A3034" s="115"/>
      <c r="B3034" s="115"/>
      <c r="C3034" s="115"/>
      <c r="D3034" s="115"/>
      <c r="E3034" s="115"/>
    </row>
    <row r="3035" spans="1:5" ht="13">
      <c r="A3035" s="115"/>
      <c r="B3035" s="115"/>
      <c r="C3035" s="115"/>
      <c r="D3035" s="115"/>
      <c r="E3035" s="115"/>
    </row>
    <row r="3036" spans="1:5" ht="13">
      <c r="A3036" s="115"/>
      <c r="B3036" s="115"/>
      <c r="C3036" s="115"/>
      <c r="D3036" s="115"/>
      <c r="E3036" s="115"/>
    </row>
    <row r="3037" spans="1:5" ht="13">
      <c r="A3037" s="115"/>
      <c r="B3037" s="115"/>
      <c r="C3037" s="115"/>
      <c r="D3037" s="115"/>
      <c r="E3037" s="115"/>
    </row>
    <row r="3038" spans="1:5" ht="13">
      <c r="A3038" s="115"/>
      <c r="B3038" s="115"/>
      <c r="C3038" s="115"/>
      <c r="D3038" s="115"/>
      <c r="E3038" s="115"/>
    </row>
    <row r="3039" spans="1:5" ht="13">
      <c r="A3039" s="115"/>
      <c r="B3039" s="115"/>
      <c r="C3039" s="115"/>
      <c r="D3039" s="115"/>
      <c r="E3039" s="115"/>
    </row>
    <row r="3040" spans="1:5" ht="13">
      <c r="A3040" s="115"/>
      <c r="B3040" s="115"/>
      <c r="C3040" s="115"/>
      <c r="D3040" s="115"/>
      <c r="E3040" s="115"/>
    </row>
    <row r="3041" spans="1:5" ht="13">
      <c r="A3041" s="115"/>
      <c r="B3041" s="115"/>
      <c r="C3041" s="115"/>
      <c r="D3041" s="115"/>
      <c r="E3041" s="115"/>
    </row>
    <row r="3042" spans="1:5" ht="13">
      <c r="A3042" s="115"/>
      <c r="B3042" s="115"/>
      <c r="C3042" s="115"/>
      <c r="D3042" s="115"/>
      <c r="E3042" s="115"/>
    </row>
    <row r="3043" spans="1:5" ht="13">
      <c r="A3043" s="115"/>
      <c r="B3043" s="115"/>
      <c r="C3043" s="115"/>
      <c r="D3043" s="115"/>
      <c r="E3043" s="115"/>
    </row>
    <row r="3044" spans="1:5" ht="13">
      <c r="A3044" s="115"/>
      <c r="B3044" s="115"/>
      <c r="C3044" s="115"/>
      <c r="D3044" s="115"/>
      <c r="E3044" s="115"/>
    </row>
    <row r="3045" spans="1:5" ht="13">
      <c r="A3045" s="115"/>
      <c r="B3045" s="115"/>
      <c r="C3045" s="115"/>
      <c r="D3045" s="115"/>
      <c r="E3045" s="115"/>
    </row>
    <row r="3046" spans="1:5" ht="13">
      <c r="A3046" s="115"/>
      <c r="B3046" s="115"/>
      <c r="C3046" s="115"/>
      <c r="D3046" s="115"/>
      <c r="E3046" s="115"/>
    </row>
    <row r="3047" spans="1:5" ht="13">
      <c r="A3047" s="115"/>
      <c r="B3047" s="115"/>
      <c r="C3047" s="115"/>
      <c r="D3047" s="115"/>
      <c r="E3047" s="115"/>
    </row>
    <row r="3048" spans="1:5" ht="13">
      <c r="A3048" s="115"/>
      <c r="B3048" s="115"/>
      <c r="C3048" s="115"/>
      <c r="D3048" s="115"/>
      <c r="E3048" s="115"/>
    </row>
    <row r="3049" spans="1:5" ht="13">
      <c r="A3049" s="115"/>
      <c r="B3049" s="115"/>
      <c r="C3049" s="115"/>
      <c r="D3049" s="115"/>
      <c r="E3049" s="115"/>
    </row>
    <row r="3050" spans="1:5" ht="13">
      <c r="A3050" s="115"/>
      <c r="B3050" s="115"/>
      <c r="C3050" s="115"/>
      <c r="D3050" s="115"/>
      <c r="E3050" s="115"/>
    </row>
    <row r="3051" spans="1:5" ht="13">
      <c r="A3051" s="115"/>
      <c r="B3051" s="115"/>
      <c r="C3051" s="115"/>
      <c r="D3051" s="115"/>
      <c r="E3051" s="115"/>
    </row>
    <row r="3052" spans="1:5" ht="13">
      <c r="A3052" s="115"/>
      <c r="B3052" s="115"/>
      <c r="C3052" s="115"/>
      <c r="D3052" s="115"/>
      <c r="E3052" s="115"/>
    </row>
    <row r="3053" spans="1:5" ht="13">
      <c r="A3053" s="115"/>
      <c r="B3053" s="115"/>
      <c r="C3053" s="115"/>
      <c r="D3053" s="115"/>
      <c r="E3053" s="115"/>
    </row>
    <row r="3054" spans="1:5" ht="13">
      <c r="A3054" s="115"/>
      <c r="B3054" s="115"/>
      <c r="C3054" s="115"/>
      <c r="D3054" s="115"/>
      <c r="E3054" s="115"/>
    </row>
    <row r="3055" spans="1:5" ht="13">
      <c r="A3055" s="115"/>
      <c r="B3055" s="115"/>
      <c r="C3055" s="115"/>
      <c r="D3055" s="115"/>
      <c r="E3055" s="115"/>
    </row>
    <row r="3056" spans="1:5" ht="13">
      <c r="A3056" s="115"/>
      <c r="B3056" s="115"/>
      <c r="C3056" s="115"/>
      <c r="D3056" s="115"/>
      <c r="E3056" s="115"/>
    </row>
    <row r="3057" spans="1:5" ht="13">
      <c r="A3057" s="115"/>
      <c r="B3057" s="115"/>
      <c r="C3057" s="115"/>
      <c r="D3057" s="115"/>
      <c r="E3057" s="115"/>
    </row>
    <row r="3058" spans="1:5" ht="13">
      <c r="A3058" s="115"/>
      <c r="B3058" s="115"/>
      <c r="C3058" s="115"/>
      <c r="D3058" s="115"/>
      <c r="E3058" s="115"/>
    </row>
    <row r="3059" spans="1:5" ht="13">
      <c r="A3059" s="115"/>
      <c r="B3059" s="115"/>
      <c r="C3059" s="115"/>
      <c r="D3059" s="115"/>
      <c r="E3059" s="115"/>
    </row>
    <row r="3060" spans="1:5" ht="13">
      <c r="A3060" s="115"/>
      <c r="B3060" s="115"/>
      <c r="C3060" s="115"/>
      <c r="D3060" s="115"/>
      <c r="E3060" s="115"/>
    </row>
    <row r="3061" spans="1:5" ht="13">
      <c r="A3061" s="115"/>
      <c r="B3061" s="115"/>
      <c r="C3061" s="115"/>
      <c r="D3061" s="115"/>
      <c r="E3061" s="115"/>
    </row>
    <row r="3062" spans="1:5" ht="13">
      <c r="A3062" s="115"/>
      <c r="B3062" s="115"/>
      <c r="C3062" s="115"/>
      <c r="D3062" s="115"/>
      <c r="E3062" s="115"/>
    </row>
    <row r="3063" spans="1:5" ht="13">
      <c r="A3063" s="115"/>
      <c r="B3063" s="115"/>
      <c r="C3063" s="115"/>
      <c r="D3063" s="115"/>
      <c r="E3063" s="115"/>
    </row>
    <row r="3064" spans="1:5" ht="13">
      <c r="A3064" s="115"/>
      <c r="B3064" s="115"/>
      <c r="C3064" s="115"/>
      <c r="D3064" s="115"/>
      <c r="E3064" s="115"/>
    </row>
    <row r="3065" spans="1:5" ht="13">
      <c r="A3065" s="115"/>
      <c r="B3065" s="115"/>
      <c r="C3065" s="115"/>
      <c r="D3065" s="115"/>
      <c r="E3065" s="115"/>
    </row>
    <row r="3066" spans="1:5" ht="13">
      <c r="A3066" s="115"/>
      <c r="B3066" s="115"/>
      <c r="C3066" s="115"/>
      <c r="D3066" s="115"/>
      <c r="E3066" s="115"/>
    </row>
    <row r="3067" spans="1:5" ht="13">
      <c r="A3067" s="115"/>
      <c r="B3067" s="115"/>
      <c r="C3067" s="115"/>
      <c r="D3067" s="115"/>
      <c r="E3067" s="115"/>
    </row>
    <row r="3068" spans="1:5" ht="13">
      <c r="A3068" s="115"/>
      <c r="B3068" s="115"/>
      <c r="C3068" s="115"/>
      <c r="D3068" s="115"/>
      <c r="E3068" s="115"/>
    </row>
    <row r="3069" spans="1:5" ht="13">
      <c r="A3069" s="115"/>
      <c r="B3069" s="115"/>
      <c r="C3069" s="115"/>
      <c r="D3069" s="115"/>
      <c r="E3069" s="115"/>
    </row>
    <row r="3070" spans="1:5" ht="13">
      <c r="A3070" s="115"/>
      <c r="B3070" s="115"/>
      <c r="C3070" s="115"/>
      <c r="D3070" s="115"/>
      <c r="E3070" s="115"/>
    </row>
    <row r="3071" spans="1:5" ht="13">
      <c r="A3071" s="115"/>
      <c r="B3071" s="115"/>
      <c r="C3071" s="115"/>
      <c r="D3071" s="115"/>
      <c r="E3071" s="115"/>
    </row>
    <row r="3072" spans="1:5" ht="13">
      <c r="A3072" s="115"/>
      <c r="B3072" s="115"/>
      <c r="C3072" s="115"/>
      <c r="D3072" s="115"/>
      <c r="E3072" s="115"/>
    </row>
    <row r="3073" spans="1:5" ht="13">
      <c r="A3073" s="115"/>
      <c r="B3073" s="115"/>
      <c r="C3073" s="115"/>
      <c r="D3073" s="115"/>
      <c r="E3073" s="115"/>
    </row>
    <row r="3074" spans="1:5" ht="13">
      <c r="A3074" s="115"/>
      <c r="B3074" s="115"/>
      <c r="C3074" s="115"/>
      <c r="D3074" s="115"/>
      <c r="E3074" s="115"/>
    </row>
    <row r="3075" spans="1:5" ht="13">
      <c r="A3075" s="115"/>
      <c r="B3075" s="115"/>
      <c r="C3075" s="115"/>
      <c r="D3075" s="115"/>
      <c r="E3075" s="115"/>
    </row>
    <row r="3076" spans="1:5" ht="13">
      <c r="A3076" s="115"/>
      <c r="B3076" s="115"/>
      <c r="C3076" s="115"/>
      <c r="D3076" s="115"/>
      <c r="E3076" s="115"/>
    </row>
    <row r="3077" spans="1:5" ht="13">
      <c r="A3077" s="115"/>
      <c r="B3077" s="115"/>
      <c r="C3077" s="115"/>
      <c r="D3077" s="115"/>
      <c r="E3077" s="115"/>
    </row>
    <row r="3078" spans="1:5" ht="13">
      <c r="A3078" s="115"/>
      <c r="B3078" s="115"/>
      <c r="C3078" s="115"/>
      <c r="D3078" s="115"/>
      <c r="E3078" s="115"/>
    </row>
    <row r="3079" spans="1:5" ht="13">
      <c r="A3079" s="115"/>
      <c r="B3079" s="115"/>
      <c r="C3079" s="115"/>
      <c r="D3079" s="115"/>
      <c r="E3079" s="115"/>
    </row>
    <row r="3080" spans="1:5" ht="13">
      <c r="A3080" s="115"/>
      <c r="B3080" s="115"/>
      <c r="C3080" s="115"/>
      <c r="D3080" s="115"/>
      <c r="E3080" s="115"/>
    </row>
    <row r="3081" spans="1:5" ht="13">
      <c r="A3081" s="115"/>
      <c r="B3081" s="115"/>
      <c r="C3081" s="115"/>
      <c r="D3081" s="115"/>
      <c r="E3081" s="115"/>
    </row>
    <row r="3082" spans="1:5" ht="13">
      <c r="A3082" s="115"/>
      <c r="B3082" s="115"/>
      <c r="C3082" s="115"/>
      <c r="D3082" s="115"/>
      <c r="E3082" s="115"/>
    </row>
    <row r="3083" spans="1:5" ht="13">
      <c r="A3083" s="115"/>
      <c r="B3083" s="115"/>
      <c r="C3083" s="115"/>
      <c r="D3083" s="115"/>
      <c r="E3083" s="115"/>
    </row>
    <row r="3084" spans="1:5" ht="13">
      <c r="A3084" s="115"/>
      <c r="B3084" s="115"/>
      <c r="C3084" s="115"/>
      <c r="D3084" s="115"/>
      <c r="E3084" s="115"/>
    </row>
    <row r="3085" spans="1:5" ht="13">
      <c r="A3085" s="115"/>
      <c r="B3085" s="115"/>
      <c r="C3085" s="115"/>
      <c r="D3085" s="115"/>
      <c r="E3085" s="115"/>
    </row>
    <row r="3086" spans="1:5" ht="13">
      <c r="A3086" s="115"/>
      <c r="B3086" s="115"/>
      <c r="C3086" s="115"/>
      <c r="D3086" s="115"/>
      <c r="E3086" s="115"/>
    </row>
    <row r="3087" spans="1:5" ht="13">
      <c r="A3087" s="115"/>
      <c r="B3087" s="115"/>
      <c r="C3087" s="115"/>
      <c r="D3087" s="115"/>
      <c r="E3087" s="115"/>
    </row>
    <row r="3088" spans="1:5" ht="13">
      <c r="A3088" s="115"/>
      <c r="B3088" s="115"/>
      <c r="C3088" s="115"/>
      <c r="D3088" s="115"/>
      <c r="E3088" s="115"/>
    </row>
    <row r="3089" spans="1:5" ht="13">
      <c r="A3089" s="115"/>
      <c r="B3089" s="115"/>
      <c r="C3089" s="115"/>
      <c r="D3089" s="115"/>
      <c r="E3089" s="115"/>
    </row>
    <row r="3090" spans="1:5" ht="13">
      <c r="A3090" s="115"/>
      <c r="B3090" s="115"/>
      <c r="C3090" s="115"/>
      <c r="D3090" s="115"/>
      <c r="E3090" s="115"/>
    </row>
    <row r="3091" spans="1:5" ht="13">
      <c r="A3091" s="115"/>
      <c r="B3091" s="115"/>
      <c r="C3091" s="115"/>
      <c r="D3091" s="115"/>
      <c r="E3091" s="115"/>
    </row>
    <row r="3092" spans="1:5" ht="13">
      <c r="A3092" s="115"/>
      <c r="B3092" s="115"/>
      <c r="C3092" s="115"/>
      <c r="D3092" s="115"/>
      <c r="E3092" s="115"/>
    </row>
    <row r="3093" spans="1:5" ht="13">
      <c r="A3093" s="115"/>
      <c r="B3093" s="115"/>
      <c r="C3093" s="115"/>
      <c r="D3093" s="115"/>
      <c r="E3093" s="115"/>
    </row>
    <row r="3094" spans="1:5" ht="13">
      <c r="A3094" s="115"/>
      <c r="B3094" s="115"/>
      <c r="C3094" s="115"/>
      <c r="D3094" s="115"/>
      <c r="E3094" s="115"/>
    </row>
    <row r="3095" spans="1:5" ht="13">
      <c r="A3095" s="115"/>
      <c r="B3095" s="115"/>
      <c r="C3095" s="115"/>
      <c r="D3095" s="115"/>
      <c r="E3095" s="115"/>
    </row>
    <row r="3096" spans="1:5" ht="13">
      <c r="A3096" s="115"/>
      <c r="B3096" s="115"/>
      <c r="C3096" s="115"/>
      <c r="D3096" s="115"/>
      <c r="E3096" s="115"/>
    </row>
    <row r="3097" spans="1:5" ht="13">
      <c r="A3097" s="115"/>
      <c r="B3097" s="115"/>
      <c r="C3097" s="115"/>
      <c r="D3097" s="115"/>
      <c r="E3097" s="115"/>
    </row>
    <row r="3098" spans="1:5" ht="13">
      <c r="A3098" s="115"/>
      <c r="B3098" s="115"/>
      <c r="C3098" s="115"/>
      <c r="D3098" s="115"/>
      <c r="E3098" s="115"/>
    </row>
    <row r="3099" spans="1:5" ht="13">
      <c r="A3099" s="115"/>
      <c r="B3099" s="115"/>
      <c r="C3099" s="115"/>
      <c r="D3099" s="115"/>
      <c r="E3099" s="115"/>
    </row>
    <row r="3100" spans="1:5" ht="13">
      <c r="A3100" s="115"/>
      <c r="B3100" s="115"/>
      <c r="C3100" s="115"/>
      <c r="D3100" s="115"/>
      <c r="E3100" s="115"/>
    </row>
    <row r="3101" spans="1:5" ht="13">
      <c r="A3101" s="115"/>
      <c r="B3101" s="115"/>
      <c r="C3101" s="115"/>
      <c r="D3101" s="115"/>
      <c r="E3101" s="115"/>
    </row>
    <row r="3102" spans="1:5" ht="13">
      <c r="A3102" s="115"/>
      <c r="B3102" s="115"/>
      <c r="C3102" s="115"/>
      <c r="D3102" s="115"/>
      <c r="E3102" s="115"/>
    </row>
    <row r="3103" spans="1:5" ht="13">
      <c r="A3103" s="115"/>
      <c r="B3103" s="115"/>
      <c r="C3103" s="115"/>
      <c r="D3103" s="115"/>
      <c r="E3103" s="115"/>
    </row>
    <row r="3104" spans="1:5" ht="13">
      <c r="A3104" s="115"/>
      <c r="B3104" s="115"/>
      <c r="C3104" s="115"/>
      <c r="D3104" s="115"/>
      <c r="E3104" s="115"/>
    </row>
    <row r="3105" spans="1:5" ht="13">
      <c r="A3105" s="115"/>
      <c r="B3105" s="115"/>
      <c r="C3105" s="115"/>
      <c r="D3105" s="115"/>
      <c r="E3105" s="115"/>
    </row>
    <row r="3106" spans="1:5" ht="13">
      <c r="A3106" s="115"/>
      <c r="B3106" s="115"/>
      <c r="C3106" s="115"/>
      <c r="D3106" s="115"/>
      <c r="E3106" s="115"/>
    </row>
    <row r="3107" spans="1:5" ht="13">
      <c r="A3107" s="115"/>
      <c r="B3107" s="115"/>
      <c r="C3107" s="115"/>
      <c r="D3107" s="115"/>
      <c r="E3107" s="115"/>
    </row>
    <row r="3108" spans="1:5" ht="13">
      <c r="A3108" s="115"/>
      <c r="B3108" s="115"/>
      <c r="C3108" s="115"/>
      <c r="D3108" s="115"/>
      <c r="E3108" s="115"/>
    </row>
    <row r="3109" spans="1:5" ht="13">
      <c r="A3109" s="115"/>
      <c r="B3109" s="115"/>
      <c r="C3109" s="115"/>
      <c r="D3109" s="115"/>
      <c r="E3109" s="115"/>
    </row>
    <row r="3110" spans="1:5" ht="13">
      <c r="A3110" s="115"/>
      <c r="B3110" s="115"/>
      <c r="C3110" s="115"/>
      <c r="D3110" s="115"/>
      <c r="E3110" s="115"/>
    </row>
    <row r="3111" spans="1:5" ht="13">
      <c r="A3111" s="115"/>
      <c r="B3111" s="115"/>
      <c r="C3111" s="115"/>
      <c r="D3111" s="115"/>
      <c r="E3111" s="115"/>
    </row>
    <row r="3112" spans="1:5" ht="13">
      <c r="A3112" s="115"/>
      <c r="B3112" s="115"/>
      <c r="C3112" s="115"/>
      <c r="D3112" s="115"/>
      <c r="E3112" s="115"/>
    </row>
    <row r="3113" spans="1:5" ht="13">
      <c r="A3113" s="115"/>
      <c r="B3113" s="115"/>
      <c r="C3113" s="115"/>
      <c r="D3113" s="115"/>
      <c r="E3113" s="115"/>
    </row>
    <row r="3114" spans="1:5" ht="13">
      <c r="A3114" s="115"/>
      <c r="B3114" s="115"/>
      <c r="C3114" s="115"/>
      <c r="D3114" s="115"/>
      <c r="E3114" s="115"/>
    </row>
    <row r="3115" spans="1:5" ht="13">
      <c r="A3115" s="115"/>
      <c r="B3115" s="115"/>
      <c r="C3115" s="115"/>
      <c r="D3115" s="115"/>
      <c r="E3115" s="115"/>
    </row>
    <row r="3116" spans="1:5" ht="13">
      <c r="A3116" s="115"/>
      <c r="B3116" s="115"/>
      <c r="C3116" s="115"/>
      <c r="D3116" s="115"/>
      <c r="E3116" s="115"/>
    </row>
    <row r="3117" spans="1:5" ht="13">
      <c r="A3117" s="115"/>
      <c r="B3117" s="115"/>
      <c r="C3117" s="115"/>
      <c r="D3117" s="115"/>
      <c r="E3117" s="115"/>
    </row>
    <row r="3118" spans="1:5" ht="13">
      <c r="A3118" s="115"/>
      <c r="B3118" s="115"/>
      <c r="C3118" s="115"/>
      <c r="D3118" s="115"/>
      <c r="E3118" s="115"/>
    </row>
    <row r="3119" spans="1:5" ht="13">
      <c r="A3119" s="115"/>
      <c r="B3119" s="115"/>
      <c r="C3119" s="115"/>
      <c r="D3119" s="115"/>
      <c r="E3119" s="115"/>
    </row>
    <row r="3120" spans="1:5" ht="13">
      <c r="A3120" s="115"/>
      <c r="B3120" s="115"/>
      <c r="C3120" s="115"/>
      <c r="D3120" s="115"/>
      <c r="E3120" s="115"/>
    </row>
    <row r="3121" spans="1:5" ht="13">
      <c r="A3121" s="115"/>
      <c r="B3121" s="115"/>
      <c r="C3121" s="115"/>
      <c r="D3121" s="115"/>
      <c r="E3121" s="115"/>
    </row>
    <row r="3122" spans="1:5" ht="13">
      <c r="A3122" s="115"/>
      <c r="B3122" s="115"/>
      <c r="C3122" s="115"/>
      <c r="D3122" s="115"/>
      <c r="E3122" s="115"/>
    </row>
    <row r="3123" spans="1:5" ht="13">
      <c r="A3123" s="115"/>
      <c r="B3123" s="115"/>
      <c r="C3123" s="115"/>
      <c r="D3123" s="115"/>
      <c r="E3123" s="115"/>
    </row>
    <row r="3124" spans="1:5" ht="13">
      <c r="A3124" s="115"/>
      <c r="B3124" s="115"/>
      <c r="C3124" s="115"/>
      <c r="D3124" s="115"/>
      <c r="E3124" s="115"/>
    </row>
    <row r="3125" spans="1:5" ht="13">
      <c r="A3125" s="115"/>
      <c r="B3125" s="115"/>
      <c r="C3125" s="115"/>
      <c r="D3125" s="115"/>
      <c r="E3125" s="115"/>
    </row>
    <row r="3126" spans="1:5" ht="13">
      <c r="A3126" s="115"/>
      <c r="B3126" s="115"/>
      <c r="C3126" s="115"/>
      <c r="D3126" s="115"/>
      <c r="E3126" s="115"/>
    </row>
    <row r="3127" spans="1:5" ht="13">
      <c r="A3127" s="115"/>
      <c r="B3127" s="115"/>
      <c r="C3127" s="115"/>
      <c r="D3127" s="115"/>
      <c r="E3127" s="115"/>
    </row>
    <row r="3128" spans="1:5" ht="13">
      <c r="A3128" s="115"/>
      <c r="B3128" s="115"/>
      <c r="C3128" s="115"/>
      <c r="D3128" s="115"/>
      <c r="E3128" s="115"/>
    </row>
    <row r="3129" spans="1:5" ht="13">
      <c r="A3129" s="115"/>
      <c r="B3129" s="115"/>
      <c r="C3129" s="115"/>
      <c r="D3129" s="115"/>
      <c r="E3129" s="115"/>
    </row>
    <row r="3130" spans="1:5" ht="13">
      <c r="A3130" s="115"/>
      <c r="B3130" s="115"/>
      <c r="C3130" s="115"/>
      <c r="D3130" s="115"/>
      <c r="E3130" s="115"/>
    </row>
    <row r="3131" spans="1:5" ht="13">
      <c r="A3131" s="115"/>
      <c r="B3131" s="115"/>
      <c r="C3131" s="115"/>
      <c r="D3131" s="115"/>
      <c r="E3131" s="115"/>
    </row>
    <row r="3132" spans="1:5" ht="13">
      <c r="A3132" s="115"/>
      <c r="B3132" s="115"/>
      <c r="C3132" s="115"/>
      <c r="D3132" s="115"/>
      <c r="E3132" s="115"/>
    </row>
    <row r="3133" spans="1:5" ht="13">
      <c r="A3133" s="115"/>
      <c r="B3133" s="115"/>
      <c r="C3133" s="115"/>
      <c r="D3133" s="115"/>
      <c r="E3133" s="115"/>
    </row>
    <row r="3134" spans="1:5" ht="13">
      <c r="A3134" s="115"/>
      <c r="B3134" s="115"/>
      <c r="C3134" s="115"/>
      <c r="D3134" s="115"/>
      <c r="E3134" s="115"/>
    </row>
    <row r="3135" spans="1:5" ht="13">
      <c r="A3135" s="115"/>
      <c r="B3135" s="115"/>
      <c r="C3135" s="115"/>
      <c r="D3135" s="115"/>
      <c r="E3135" s="115"/>
    </row>
    <row r="3136" spans="1:5" ht="13">
      <c r="A3136" s="115"/>
      <c r="B3136" s="115"/>
      <c r="C3136" s="115"/>
      <c r="D3136" s="115"/>
      <c r="E3136" s="115"/>
    </row>
    <row r="3137" spans="1:5" ht="13">
      <c r="A3137" s="115"/>
      <c r="B3137" s="115"/>
      <c r="C3137" s="115"/>
      <c r="D3137" s="115"/>
      <c r="E3137" s="115"/>
    </row>
    <row r="3138" spans="1:5" ht="13">
      <c r="A3138" s="115"/>
      <c r="B3138" s="115"/>
      <c r="C3138" s="115"/>
      <c r="D3138" s="115"/>
      <c r="E3138" s="115"/>
    </row>
    <row r="3139" spans="1:5" ht="13">
      <c r="A3139" s="115"/>
      <c r="B3139" s="115"/>
      <c r="C3139" s="115"/>
      <c r="D3139" s="115"/>
      <c r="E3139" s="115"/>
    </row>
    <row r="3140" spans="1:5" ht="13">
      <c r="A3140" s="115"/>
      <c r="B3140" s="115"/>
      <c r="C3140" s="115"/>
      <c r="D3140" s="115"/>
      <c r="E3140" s="115"/>
    </row>
    <row r="3141" spans="1:5" ht="13">
      <c r="A3141" s="115"/>
      <c r="B3141" s="115"/>
      <c r="C3141" s="115"/>
      <c r="D3141" s="115"/>
      <c r="E3141" s="115"/>
    </row>
    <row r="3142" spans="1:5" ht="13">
      <c r="A3142" s="115"/>
      <c r="B3142" s="115"/>
      <c r="C3142" s="115"/>
      <c r="D3142" s="115"/>
      <c r="E3142" s="115"/>
    </row>
    <row r="3143" spans="1:5" ht="13">
      <c r="A3143" s="115"/>
      <c r="B3143" s="115"/>
      <c r="C3143" s="115"/>
      <c r="D3143" s="115"/>
      <c r="E3143" s="115"/>
    </row>
    <row r="3144" spans="1:5" ht="13">
      <c r="A3144" s="115"/>
      <c r="B3144" s="115"/>
      <c r="C3144" s="115"/>
      <c r="D3144" s="115"/>
      <c r="E3144" s="115"/>
    </row>
    <row r="3145" spans="1:5" ht="13">
      <c r="A3145" s="115"/>
      <c r="B3145" s="115"/>
      <c r="C3145" s="115"/>
      <c r="D3145" s="115"/>
      <c r="E3145" s="115"/>
    </row>
    <row r="3146" spans="1:5" ht="13">
      <c r="A3146" s="115"/>
      <c r="B3146" s="115"/>
      <c r="C3146" s="115"/>
      <c r="D3146" s="115"/>
      <c r="E3146" s="115"/>
    </row>
    <row r="3147" spans="1:5" ht="13">
      <c r="A3147" s="115"/>
      <c r="B3147" s="115"/>
      <c r="C3147" s="115"/>
      <c r="D3147" s="115"/>
      <c r="E3147" s="115"/>
    </row>
    <row r="3148" spans="1:5" ht="13">
      <c r="A3148" s="115"/>
      <c r="B3148" s="115"/>
      <c r="C3148" s="115"/>
      <c r="D3148" s="115"/>
      <c r="E3148" s="115"/>
    </row>
    <row r="3149" spans="1:5" ht="13">
      <c r="A3149" s="115"/>
      <c r="B3149" s="115"/>
      <c r="C3149" s="115"/>
      <c r="D3149" s="115"/>
      <c r="E3149" s="115"/>
    </row>
    <row r="3150" spans="1:5" ht="13">
      <c r="A3150" s="115"/>
      <c r="B3150" s="115"/>
      <c r="C3150" s="115"/>
      <c r="D3150" s="115"/>
      <c r="E3150" s="115"/>
    </row>
    <row r="3151" spans="1:5" ht="13">
      <c r="A3151" s="115"/>
      <c r="B3151" s="115"/>
      <c r="C3151" s="115"/>
      <c r="D3151" s="115"/>
      <c r="E3151" s="115"/>
    </row>
    <row r="3152" spans="1:5" ht="13">
      <c r="A3152" s="115"/>
      <c r="B3152" s="115"/>
      <c r="C3152" s="115"/>
      <c r="D3152" s="115"/>
      <c r="E3152" s="115"/>
    </row>
    <row r="3153" spans="1:5" ht="13">
      <c r="A3153" s="115"/>
      <c r="B3153" s="115"/>
      <c r="C3153" s="115"/>
      <c r="D3153" s="115"/>
      <c r="E3153" s="115"/>
    </row>
    <row r="3154" spans="1:5" ht="13">
      <c r="A3154" s="115"/>
      <c r="B3154" s="115"/>
      <c r="C3154" s="115"/>
      <c r="D3154" s="115"/>
      <c r="E3154" s="115"/>
    </row>
    <row r="3155" spans="1:5" ht="13">
      <c r="A3155" s="115"/>
      <c r="B3155" s="115"/>
      <c r="C3155" s="115"/>
      <c r="D3155" s="115"/>
      <c r="E3155" s="115"/>
    </row>
    <row r="3156" spans="1:5" ht="13">
      <c r="A3156" s="115"/>
      <c r="B3156" s="115"/>
      <c r="C3156" s="115"/>
      <c r="D3156" s="115"/>
      <c r="E3156" s="115"/>
    </row>
    <row r="3157" spans="1:5" ht="13">
      <c r="A3157" s="115"/>
      <c r="B3157" s="115"/>
      <c r="C3157" s="115"/>
      <c r="D3157" s="115"/>
      <c r="E3157" s="115"/>
    </row>
    <row r="3158" spans="1:5" ht="13">
      <c r="A3158" s="115"/>
      <c r="B3158" s="115"/>
      <c r="C3158" s="115"/>
      <c r="D3158" s="115"/>
      <c r="E3158" s="115"/>
    </row>
    <row r="3159" spans="1:5" ht="13">
      <c r="A3159" s="115"/>
      <c r="B3159" s="115"/>
      <c r="C3159" s="115"/>
      <c r="D3159" s="115"/>
      <c r="E3159" s="115"/>
    </row>
    <row r="3160" spans="1:5" ht="13">
      <c r="A3160" s="115"/>
      <c r="B3160" s="115"/>
      <c r="C3160" s="115"/>
      <c r="D3160" s="115"/>
      <c r="E3160" s="115"/>
    </row>
    <row r="3161" spans="1:5" ht="13">
      <c r="A3161" s="115"/>
      <c r="B3161" s="115"/>
      <c r="C3161" s="115"/>
      <c r="D3161" s="115"/>
      <c r="E3161" s="115"/>
    </row>
    <row r="3162" spans="1:5" ht="13">
      <c r="A3162" s="115"/>
      <c r="B3162" s="115"/>
      <c r="C3162" s="115"/>
      <c r="D3162" s="115"/>
      <c r="E3162" s="115"/>
    </row>
    <row r="3163" spans="1:5" ht="13">
      <c r="A3163" s="115"/>
      <c r="B3163" s="115"/>
      <c r="C3163" s="115"/>
      <c r="D3163" s="115"/>
      <c r="E3163" s="115"/>
    </row>
    <row r="3164" spans="1:5" ht="13">
      <c r="A3164" s="115"/>
      <c r="B3164" s="115"/>
      <c r="C3164" s="115"/>
      <c r="D3164" s="115"/>
      <c r="E3164" s="115"/>
    </row>
    <row r="3165" spans="1:5" ht="13">
      <c r="A3165" s="115"/>
      <c r="B3165" s="115"/>
      <c r="C3165" s="115"/>
      <c r="D3165" s="115"/>
      <c r="E3165" s="115"/>
    </row>
    <row r="3166" spans="1:5" ht="13">
      <c r="A3166" s="115"/>
      <c r="B3166" s="115"/>
      <c r="C3166" s="115"/>
      <c r="D3166" s="115"/>
      <c r="E3166" s="115"/>
    </row>
    <row r="3167" spans="1:5" ht="13">
      <c r="A3167" s="115"/>
      <c r="B3167" s="115"/>
      <c r="C3167" s="115"/>
      <c r="D3167" s="115"/>
      <c r="E3167" s="115"/>
    </row>
    <row r="3168" spans="1:5" ht="13">
      <c r="A3168" s="115"/>
      <c r="B3168" s="115"/>
      <c r="C3168" s="115"/>
      <c r="D3168" s="115"/>
      <c r="E3168" s="115"/>
    </row>
    <row r="3169" spans="1:5" ht="13">
      <c r="A3169" s="115"/>
      <c r="B3169" s="115"/>
      <c r="C3169" s="115"/>
      <c r="D3169" s="115"/>
      <c r="E3169" s="115"/>
    </row>
    <row r="3170" spans="1:5" ht="13">
      <c r="A3170" s="115"/>
      <c r="B3170" s="115"/>
      <c r="C3170" s="115"/>
      <c r="D3170" s="115"/>
      <c r="E3170" s="115"/>
    </row>
    <row r="3171" spans="1:5" ht="13">
      <c r="A3171" s="115"/>
      <c r="B3171" s="115"/>
      <c r="C3171" s="115"/>
      <c r="D3171" s="115"/>
      <c r="E3171" s="115"/>
    </row>
    <row r="3172" spans="1:5" ht="13">
      <c r="A3172" s="115"/>
      <c r="B3172" s="115"/>
      <c r="C3172" s="115"/>
      <c r="D3172" s="115"/>
      <c r="E3172" s="115"/>
    </row>
    <row r="3173" spans="1:5" ht="13">
      <c r="A3173" s="115"/>
      <c r="B3173" s="115"/>
      <c r="C3173" s="115"/>
      <c r="D3173" s="115"/>
      <c r="E3173" s="115"/>
    </row>
    <row r="3174" spans="1:5" ht="13">
      <c r="A3174" s="115"/>
      <c r="B3174" s="115"/>
      <c r="C3174" s="115"/>
      <c r="D3174" s="115"/>
      <c r="E3174" s="115"/>
    </row>
    <row r="3175" spans="1:5" ht="13">
      <c r="A3175" s="115"/>
      <c r="B3175" s="115"/>
      <c r="C3175" s="115"/>
      <c r="D3175" s="115"/>
      <c r="E3175" s="115"/>
    </row>
    <row r="3176" spans="1:5" ht="13">
      <c r="A3176" s="115"/>
      <c r="B3176" s="115"/>
      <c r="C3176" s="115"/>
      <c r="D3176" s="115"/>
      <c r="E3176" s="115"/>
    </row>
    <row r="3177" spans="1:5" ht="13">
      <c r="A3177" s="115"/>
      <c r="B3177" s="115"/>
      <c r="C3177" s="115"/>
      <c r="D3177" s="115"/>
      <c r="E3177" s="115"/>
    </row>
    <row r="3178" spans="1:5" ht="13">
      <c r="A3178" s="115"/>
      <c r="B3178" s="115"/>
      <c r="C3178" s="115"/>
      <c r="D3178" s="115"/>
      <c r="E3178" s="115"/>
    </row>
    <row r="3179" spans="1:5" ht="13">
      <c r="A3179" s="115"/>
      <c r="B3179" s="115"/>
      <c r="C3179" s="115"/>
      <c r="D3179" s="115"/>
      <c r="E3179" s="115"/>
    </row>
    <row r="3180" spans="1:5" ht="13">
      <c r="A3180" s="115"/>
      <c r="B3180" s="115"/>
      <c r="C3180" s="115"/>
      <c r="D3180" s="115"/>
      <c r="E3180" s="115"/>
    </row>
    <row r="3181" spans="1:5" ht="13">
      <c r="A3181" s="115"/>
      <c r="B3181" s="115"/>
      <c r="C3181" s="115"/>
      <c r="D3181" s="115"/>
      <c r="E3181" s="115"/>
    </row>
    <row r="3182" spans="1:5" ht="13">
      <c r="A3182" s="115"/>
      <c r="B3182" s="115"/>
      <c r="C3182" s="115"/>
      <c r="D3182" s="115"/>
      <c r="E3182" s="115"/>
    </row>
    <row r="3183" spans="1:5" ht="13">
      <c r="A3183" s="115"/>
      <c r="B3183" s="115"/>
      <c r="C3183" s="115"/>
      <c r="D3183" s="115"/>
      <c r="E3183" s="115"/>
    </row>
    <row r="3184" spans="1:5" ht="13">
      <c r="A3184" s="115"/>
      <c r="B3184" s="115"/>
      <c r="C3184" s="115"/>
      <c r="D3184" s="115"/>
      <c r="E3184" s="115"/>
    </row>
    <row r="3185" spans="1:5" ht="13">
      <c r="A3185" s="115"/>
      <c r="B3185" s="115"/>
      <c r="C3185" s="115"/>
      <c r="D3185" s="115"/>
      <c r="E3185" s="115"/>
    </row>
    <row r="3186" spans="1:5" ht="13">
      <c r="A3186" s="115"/>
      <c r="B3186" s="115"/>
      <c r="C3186" s="115"/>
      <c r="D3186" s="115"/>
      <c r="E3186" s="115"/>
    </row>
    <row r="3187" spans="1:5" ht="13">
      <c r="A3187" s="115"/>
      <c r="B3187" s="115"/>
      <c r="C3187" s="115"/>
      <c r="D3187" s="115"/>
      <c r="E3187" s="115"/>
    </row>
    <row r="3188" spans="1:5" ht="13">
      <c r="A3188" s="115"/>
      <c r="B3188" s="115"/>
      <c r="C3188" s="115"/>
      <c r="D3188" s="115"/>
      <c r="E3188" s="115"/>
    </row>
    <row r="3189" spans="1:5" ht="13">
      <c r="A3189" s="115"/>
      <c r="B3189" s="115"/>
      <c r="C3189" s="115"/>
      <c r="D3189" s="115"/>
      <c r="E3189" s="115"/>
    </row>
    <row r="3190" spans="1:5" ht="13">
      <c r="A3190" s="115"/>
      <c r="B3190" s="115"/>
      <c r="C3190" s="115"/>
      <c r="D3190" s="115"/>
      <c r="E3190" s="115"/>
    </row>
    <row r="3191" spans="1:5" ht="13">
      <c r="A3191" s="115"/>
      <c r="B3191" s="115"/>
      <c r="C3191" s="115"/>
      <c r="D3191" s="115"/>
      <c r="E3191" s="115"/>
    </row>
    <row r="3192" spans="1:5" ht="13">
      <c r="A3192" s="115"/>
      <c r="B3192" s="115"/>
      <c r="C3192" s="115"/>
      <c r="D3192" s="115"/>
      <c r="E3192" s="115"/>
    </row>
    <row r="3193" spans="1:5" ht="13">
      <c r="A3193" s="115"/>
      <c r="B3193" s="115"/>
      <c r="C3193" s="115"/>
      <c r="D3193" s="115"/>
      <c r="E3193" s="115"/>
    </row>
    <row r="3194" spans="1:5" ht="13">
      <c r="A3194" s="115"/>
      <c r="B3194" s="115"/>
      <c r="C3194" s="115"/>
      <c r="D3194" s="115"/>
      <c r="E3194" s="115"/>
    </row>
    <row r="3195" spans="1:5" ht="13">
      <c r="A3195" s="115"/>
      <c r="B3195" s="115"/>
      <c r="C3195" s="115"/>
      <c r="D3195" s="115"/>
      <c r="E3195" s="115"/>
    </row>
    <row r="3196" spans="1:5" ht="13">
      <c r="A3196" s="115"/>
      <c r="B3196" s="115"/>
      <c r="C3196" s="115"/>
      <c r="D3196" s="115"/>
      <c r="E3196" s="115"/>
    </row>
    <row r="3197" spans="1:5" ht="13">
      <c r="A3197" s="115"/>
      <c r="B3197" s="115"/>
      <c r="C3197" s="115"/>
      <c r="D3197" s="115"/>
      <c r="E3197" s="115"/>
    </row>
    <row r="3198" spans="1:5" ht="13">
      <c r="A3198" s="115"/>
      <c r="B3198" s="115"/>
      <c r="C3198" s="115"/>
      <c r="D3198" s="115"/>
      <c r="E3198" s="115"/>
    </row>
    <row r="3199" spans="1:5" ht="13">
      <c r="A3199" s="115"/>
      <c r="B3199" s="115"/>
      <c r="C3199" s="115"/>
      <c r="D3199" s="115"/>
      <c r="E3199" s="115"/>
    </row>
    <row r="3200" spans="1:5" ht="13">
      <c r="A3200" s="115"/>
      <c r="B3200" s="115"/>
      <c r="C3200" s="115"/>
      <c r="D3200" s="115"/>
      <c r="E3200" s="115"/>
    </row>
    <row r="3201" spans="1:5" ht="13">
      <c r="A3201" s="115"/>
      <c r="B3201" s="115"/>
      <c r="C3201" s="115"/>
      <c r="D3201" s="115"/>
      <c r="E3201" s="115"/>
    </row>
    <row r="3202" spans="1:5" ht="13">
      <c r="A3202" s="115"/>
      <c r="B3202" s="115"/>
      <c r="C3202" s="115"/>
      <c r="D3202" s="115"/>
      <c r="E3202" s="115"/>
    </row>
    <row r="3203" spans="1:5" ht="13">
      <c r="A3203" s="115"/>
      <c r="B3203" s="115"/>
      <c r="C3203" s="115"/>
      <c r="D3203" s="115"/>
      <c r="E3203" s="115"/>
    </row>
    <row r="3204" spans="1:5" ht="13">
      <c r="A3204" s="115"/>
      <c r="B3204" s="115"/>
      <c r="C3204" s="115"/>
      <c r="D3204" s="115"/>
      <c r="E3204" s="115"/>
    </row>
    <row r="3205" spans="1:5" ht="13">
      <c r="A3205" s="115"/>
      <c r="B3205" s="115"/>
      <c r="C3205" s="115"/>
      <c r="D3205" s="115"/>
      <c r="E3205" s="115"/>
    </row>
    <row r="3206" spans="1:5" ht="13">
      <c r="A3206" s="115"/>
      <c r="B3206" s="115"/>
      <c r="C3206" s="115"/>
      <c r="D3206" s="115"/>
      <c r="E3206" s="115"/>
    </row>
    <row r="3207" spans="1:5" ht="13">
      <c r="A3207" s="115"/>
      <c r="B3207" s="115"/>
      <c r="C3207" s="115"/>
      <c r="D3207" s="115"/>
      <c r="E3207" s="115"/>
    </row>
    <row r="3208" spans="1:5" ht="13">
      <c r="A3208" s="115"/>
      <c r="B3208" s="115"/>
      <c r="C3208" s="115"/>
      <c r="D3208" s="115"/>
      <c r="E3208" s="115"/>
    </row>
    <row r="3209" spans="1:5" ht="13">
      <c r="A3209" s="115"/>
      <c r="B3209" s="115"/>
      <c r="C3209" s="115"/>
      <c r="D3209" s="115"/>
      <c r="E3209" s="115"/>
    </row>
    <row r="3210" spans="1:5" ht="13">
      <c r="A3210" s="115"/>
      <c r="B3210" s="115"/>
      <c r="C3210" s="115"/>
      <c r="D3210" s="115"/>
      <c r="E3210" s="115"/>
    </row>
    <row r="3211" spans="1:5" ht="13">
      <c r="A3211" s="115"/>
      <c r="B3211" s="115"/>
      <c r="C3211" s="115"/>
      <c r="D3211" s="115"/>
      <c r="E3211" s="115"/>
    </row>
    <row r="3212" spans="1:5" ht="13">
      <c r="A3212" s="115"/>
      <c r="B3212" s="115"/>
      <c r="C3212" s="115"/>
      <c r="D3212" s="115"/>
      <c r="E3212" s="115"/>
    </row>
    <row r="3213" spans="1:5" ht="13">
      <c r="A3213" s="115"/>
      <c r="B3213" s="115"/>
      <c r="C3213" s="115"/>
      <c r="D3213" s="115"/>
      <c r="E3213" s="115"/>
    </row>
    <row r="3214" spans="1:5" ht="13">
      <c r="A3214" s="115"/>
      <c r="B3214" s="115"/>
      <c r="C3214" s="115"/>
      <c r="D3214" s="115"/>
      <c r="E3214" s="115"/>
    </row>
    <row r="3215" spans="1:5" ht="13">
      <c r="A3215" s="115"/>
      <c r="B3215" s="115"/>
      <c r="C3215" s="115"/>
      <c r="D3215" s="115"/>
      <c r="E3215" s="115"/>
    </row>
    <row r="3216" spans="1:5" ht="13">
      <c r="A3216" s="115"/>
      <c r="B3216" s="115"/>
      <c r="C3216" s="115"/>
      <c r="D3216" s="115"/>
      <c r="E3216" s="115"/>
    </row>
    <row r="3217" spans="1:5" ht="13">
      <c r="A3217" s="115"/>
      <c r="B3217" s="115"/>
      <c r="C3217" s="115"/>
      <c r="D3217" s="115"/>
      <c r="E3217" s="115"/>
    </row>
    <row r="3218" spans="1:5" ht="13">
      <c r="A3218" s="115"/>
      <c r="B3218" s="115"/>
      <c r="C3218" s="115"/>
      <c r="D3218" s="115"/>
      <c r="E3218" s="115"/>
    </row>
    <row r="3219" spans="1:5" ht="13">
      <c r="A3219" s="115"/>
      <c r="B3219" s="115"/>
      <c r="C3219" s="115"/>
      <c r="D3219" s="115"/>
      <c r="E3219" s="115"/>
    </row>
    <row r="3220" spans="1:5" ht="13">
      <c r="A3220" s="115"/>
      <c r="B3220" s="115"/>
      <c r="C3220" s="115"/>
      <c r="D3220" s="115"/>
      <c r="E3220" s="115"/>
    </row>
    <row r="3221" spans="1:5" ht="13">
      <c r="A3221" s="115"/>
      <c r="B3221" s="115"/>
      <c r="C3221" s="115"/>
      <c r="D3221" s="115"/>
      <c r="E3221" s="115"/>
    </row>
    <row r="3222" spans="1:5" ht="13">
      <c r="A3222" s="115"/>
      <c r="B3222" s="115"/>
      <c r="C3222" s="115"/>
      <c r="D3222" s="115"/>
      <c r="E3222" s="115"/>
    </row>
    <row r="3223" spans="1:5" ht="13">
      <c r="A3223" s="115"/>
      <c r="B3223" s="115"/>
      <c r="C3223" s="115"/>
      <c r="D3223" s="115"/>
      <c r="E3223" s="115"/>
    </row>
    <row r="3224" spans="1:5" ht="13">
      <c r="A3224" s="115"/>
      <c r="B3224" s="115"/>
      <c r="C3224" s="115"/>
      <c r="D3224" s="115"/>
      <c r="E3224" s="115"/>
    </row>
    <row r="3225" spans="1:5" ht="13">
      <c r="A3225" s="115"/>
      <c r="B3225" s="115"/>
      <c r="C3225" s="115"/>
      <c r="D3225" s="115"/>
      <c r="E3225" s="115"/>
    </row>
    <row r="3226" spans="1:5" ht="13">
      <c r="A3226" s="115"/>
      <c r="B3226" s="115"/>
      <c r="C3226" s="115"/>
      <c r="D3226" s="115"/>
      <c r="E3226" s="115"/>
    </row>
    <row r="3227" spans="1:5" ht="13">
      <c r="A3227" s="115"/>
      <c r="B3227" s="115"/>
      <c r="C3227" s="115"/>
      <c r="D3227" s="115"/>
      <c r="E3227" s="115"/>
    </row>
    <row r="3228" spans="1:5" ht="13">
      <c r="A3228" s="115"/>
      <c r="B3228" s="115"/>
      <c r="C3228" s="115"/>
      <c r="D3228" s="115"/>
      <c r="E3228" s="115"/>
    </row>
    <row r="3229" spans="1:5" ht="13">
      <c r="A3229" s="115"/>
      <c r="B3229" s="115"/>
      <c r="C3229" s="115"/>
      <c r="D3229" s="115"/>
      <c r="E3229" s="115"/>
    </row>
    <row r="3230" spans="1:5" ht="13">
      <c r="A3230" s="115"/>
      <c r="B3230" s="115"/>
      <c r="C3230" s="115"/>
      <c r="D3230" s="115"/>
      <c r="E3230" s="115"/>
    </row>
    <row r="3231" spans="1:5" ht="13">
      <c r="A3231" s="115"/>
      <c r="B3231" s="115"/>
      <c r="C3231" s="115"/>
      <c r="D3231" s="115"/>
      <c r="E3231" s="115"/>
    </row>
    <row r="3232" spans="1:5" ht="13">
      <c r="A3232" s="115"/>
      <c r="B3232" s="115"/>
      <c r="C3232" s="115"/>
      <c r="D3232" s="115"/>
      <c r="E3232" s="115"/>
    </row>
    <row r="3233" spans="1:5" ht="13">
      <c r="A3233" s="115"/>
      <c r="B3233" s="115"/>
      <c r="C3233" s="115"/>
      <c r="D3233" s="115"/>
      <c r="E3233" s="115"/>
    </row>
    <row r="3234" spans="1:5" ht="13">
      <c r="A3234" s="115"/>
      <c r="B3234" s="115"/>
      <c r="C3234" s="115"/>
      <c r="D3234" s="115"/>
      <c r="E3234" s="115"/>
    </row>
    <row r="3235" spans="1:5" ht="13">
      <c r="A3235" s="115"/>
      <c r="B3235" s="115"/>
      <c r="C3235" s="115"/>
      <c r="D3235" s="115"/>
      <c r="E3235" s="115"/>
    </row>
    <row r="3236" spans="1:5" ht="13">
      <c r="A3236" s="115"/>
      <c r="B3236" s="115"/>
      <c r="C3236" s="115"/>
      <c r="D3236" s="115"/>
      <c r="E3236" s="115"/>
    </row>
    <row r="3237" spans="1:5" ht="13">
      <c r="A3237" s="115"/>
      <c r="B3237" s="115"/>
      <c r="C3237" s="115"/>
      <c r="D3237" s="115"/>
      <c r="E3237" s="115"/>
    </row>
    <row r="3238" spans="1:5" ht="13">
      <c r="A3238" s="115"/>
      <c r="B3238" s="115"/>
      <c r="C3238" s="115"/>
      <c r="D3238" s="115"/>
      <c r="E3238" s="115"/>
    </row>
    <row r="3239" spans="1:5" ht="13">
      <c r="A3239" s="115"/>
      <c r="B3239" s="115"/>
      <c r="C3239" s="115"/>
      <c r="D3239" s="115"/>
      <c r="E3239" s="115"/>
    </row>
    <row r="3240" spans="1:5" ht="13">
      <c r="A3240" s="115"/>
      <c r="B3240" s="115"/>
      <c r="C3240" s="115"/>
      <c r="D3240" s="115"/>
      <c r="E3240" s="115"/>
    </row>
    <row r="3241" spans="1:5" ht="13">
      <c r="A3241" s="115"/>
      <c r="B3241" s="115"/>
      <c r="C3241" s="115"/>
      <c r="D3241" s="115"/>
      <c r="E3241" s="115"/>
    </row>
    <row r="3242" spans="1:5" ht="13">
      <c r="A3242" s="115"/>
      <c r="B3242" s="115"/>
      <c r="C3242" s="115"/>
      <c r="D3242" s="115"/>
      <c r="E3242" s="115"/>
    </row>
    <row r="3243" spans="1:5" ht="13">
      <c r="A3243" s="115"/>
      <c r="B3243" s="115"/>
      <c r="C3243" s="115"/>
      <c r="D3243" s="115"/>
      <c r="E3243" s="115"/>
    </row>
    <row r="3244" spans="1:5" ht="13">
      <c r="A3244" s="115"/>
      <c r="B3244" s="115"/>
      <c r="C3244" s="115"/>
      <c r="D3244" s="115"/>
      <c r="E3244" s="115"/>
    </row>
    <row r="3245" spans="1:5" ht="13">
      <c r="A3245" s="115"/>
      <c r="B3245" s="115"/>
      <c r="C3245" s="115"/>
      <c r="D3245" s="115"/>
      <c r="E3245" s="115"/>
    </row>
    <row r="3246" spans="1:5" ht="13">
      <c r="A3246" s="115"/>
      <c r="B3246" s="115"/>
      <c r="C3246" s="115"/>
      <c r="D3246" s="115"/>
      <c r="E3246" s="115"/>
    </row>
    <row r="3247" spans="1:5" ht="13">
      <c r="A3247" s="115"/>
      <c r="B3247" s="115"/>
      <c r="C3247" s="115"/>
      <c r="D3247" s="115"/>
      <c r="E3247" s="115"/>
    </row>
    <row r="3248" spans="1:5" ht="13">
      <c r="A3248" s="115"/>
      <c r="B3248" s="115"/>
      <c r="C3248" s="115"/>
      <c r="D3248" s="115"/>
      <c r="E3248" s="115"/>
    </row>
    <row r="3249" spans="1:5" ht="13">
      <c r="A3249" s="115"/>
      <c r="B3249" s="115"/>
      <c r="C3249" s="115"/>
      <c r="D3249" s="115"/>
      <c r="E3249" s="115"/>
    </row>
    <row r="3250" spans="1:5" ht="13">
      <c r="A3250" s="115"/>
      <c r="B3250" s="115"/>
      <c r="C3250" s="115"/>
      <c r="D3250" s="115"/>
      <c r="E3250" s="115"/>
    </row>
    <row r="3251" spans="1:5" ht="13">
      <c r="A3251" s="115"/>
      <c r="B3251" s="115"/>
      <c r="C3251" s="115"/>
      <c r="D3251" s="115"/>
      <c r="E3251" s="115"/>
    </row>
    <row r="3252" spans="1:5" ht="13">
      <c r="A3252" s="115"/>
      <c r="B3252" s="115"/>
      <c r="C3252" s="115"/>
      <c r="D3252" s="115"/>
      <c r="E3252" s="115"/>
    </row>
    <row r="3253" spans="1:5" ht="13">
      <c r="A3253" s="115"/>
      <c r="B3253" s="115"/>
      <c r="C3253" s="115"/>
      <c r="D3253" s="115"/>
      <c r="E3253" s="115"/>
    </row>
    <row r="3254" spans="1:5" ht="13">
      <c r="A3254" s="115"/>
      <c r="B3254" s="115"/>
      <c r="C3254" s="115"/>
      <c r="D3254" s="115"/>
      <c r="E3254" s="115"/>
    </row>
    <row r="3255" spans="1:5" ht="13">
      <c r="A3255" s="115"/>
      <c r="B3255" s="115"/>
      <c r="C3255" s="115"/>
      <c r="D3255" s="115"/>
      <c r="E3255" s="115"/>
    </row>
    <row r="3256" spans="1:5" ht="13">
      <c r="A3256" s="115"/>
      <c r="B3256" s="115"/>
      <c r="C3256" s="115"/>
      <c r="D3256" s="115"/>
      <c r="E3256" s="115"/>
    </row>
    <row r="3257" spans="1:5" ht="13">
      <c r="A3257" s="115"/>
      <c r="B3257" s="115"/>
      <c r="C3257" s="115"/>
      <c r="D3257" s="115"/>
      <c r="E3257" s="115"/>
    </row>
    <row r="3258" spans="1:5" ht="13">
      <c r="A3258" s="115"/>
      <c r="B3258" s="115"/>
      <c r="C3258" s="115"/>
      <c r="D3258" s="115"/>
      <c r="E3258" s="115"/>
    </row>
    <row r="3259" spans="1:5" ht="13">
      <c r="A3259" s="115"/>
      <c r="B3259" s="115"/>
      <c r="C3259" s="115"/>
      <c r="D3259" s="115"/>
      <c r="E3259" s="115"/>
    </row>
    <row r="3260" spans="1:5" ht="13">
      <c r="A3260" s="115"/>
      <c r="B3260" s="115"/>
      <c r="C3260" s="115"/>
      <c r="D3260" s="115"/>
      <c r="E3260" s="115"/>
    </row>
    <row r="3261" spans="1:5" ht="13">
      <c r="A3261" s="115"/>
      <c r="B3261" s="115"/>
      <c r="C3261" s="115"/>
      <c r="D3261" s="115"/>
      <c r="E3261" s="115"/>
    </row>
    <row r="3262" spans="1:5" ht="13">
      <c r="A3262" s="115"/>
      <c r="B3262" s="115"/>
      <c r="C3262" s="115"/>
      <c r="D3262" s="115"/>
      <c r="E3262" s="115"/>
    </row>
    <row r="3263" spans="1:5" ht="13">
      <c r="A3263" s="115"/>
      <c r="B3263" s="115"/>
      <c r="C3263" s="115"/>
      <c r="D3263" s="115"/>
      <c r="E3263" s="115"/>
    </row>
    <row r="3264" spans="1:5" ht="13">
      <c r="A3264" s="115"/>
      <c r="B3264" s="115"/>
      <c r="C3264" s="115"/>
      <c r="D3264" s="115"/>
      <c r="E3264" s="115"/>
    </row>
    <row r="3265" spans="1:5" ht="13">
      <c r="A3265" s="115"/>
      <c r="B3265" s="115"/>
      <c r="C3265" s="115"/>
      <c r="D3265" s="115"/>
      <c r="E3265" s="115"/>
    </row>
    <row r="3266" spans="1:5" ht="13">
      <c r="A3266" s="115"/>
      <c r="B3266" s="115"/>
      <c r="C3266" s="115"/>
      <c r="D3266" s="115"/>
      <c r="E3266" s="115"/>
    </row>
    <row r="3267" spans="1:5" ht="13">
      <c r="A3267" s="115"/>
      <c r="B3267" s="115"/>
      <c r="C3267" s="115"/>
      <c r="D3267" s="115"/>
      <c r="E3267" s="115"/>
    </row>
    <row r="3268" spans="1:5" ht="13">
      <c r="A3268" s="115"/>
      <c r="B3268" s="115"/>
      <c r="C3268" s="115"/>
      <c r="D3268" s="115"/>
      <c r="E3268" s="115"/>
    </row>
    <row r="3269" spans="1:5" ht="13">
      <c r="A3269" s="115"/>
      <c r="B3269" s="115"/>
      <c r="C3269" s="115"/>
      <c r="D3269" s="115"/>
      <c r="E3269" s="115"/>
    </row>
    <row r="3270" spans="1:5" ht="13">
      <c r="A3270" s="115"/>
      <c r="B3270" s="115"/>
      <c r="C3270" s="115"/>
      <c r="D3270" s="115"/>
      <c r="E3270" s="115"/>
    </row>
    <row r="3271" spans="1:5" ht="13">
      <c r="A3271" s="115"/>
      <c r="B3271" s="115"/>
      <c r="C3271" s="115"/>
      <c r="D3271" s="115"/>
      <c r="E3271" s="115"/>
    </row>
    <row r="3272" spans="1:5" ht="13">
      <c r="A3272" s="115"/>
      <c r="B3272" s="115"/>
      <c r="C3272" s="115"/>
      <c r="D3272" s="115"/>
      <c r="E3272" s="115"/>
    </row>
    <row r="3273" spans="1:5" ht="13">
      <c r="A3273" s="115"/>
      <c r="B3273" s="115"/>
      <c r="C3273" s="115"/>
      <c r="D3273" s="115"/>
      <c r="E3273" s="115"/>
    </row>
    <row r="3274" spans="1:5" ht="13">
      <c r="A3274" s="115"/>
      <c r="B3274" s="115"/>
      <c r="C3274" s="115"/>
      <c r="D3274" s="115"/>
      <c r="E3274" s="115"/>
    </row>
    <row r="3275" spans="1:5" ht="13">
      <c r="A3275" s="115"/>
      <c r="B3275" s="115"/>
      <c r="C3275" s="115"/>
      <c r="D3275" s="115"/>
      <c r="E3275" s="115"/>
    </row>
    <row r="3276" spans="1:5" ht="13">
      <c r="A3276" s="115"/>
      <c r="B3276" s="115"/>
      <c r="C3276" s="115"/>
      <c r="D3276" s="115"/>
      <c r="E3276" s="115"/>
    </row>
    <row r="3277" spans="1:5" ht="13">
      <c r="A3277" s="115"/>
      <c r="B3277" s="115"/>
      <c r="C3277" s="115"/>
      <c r="D3277" s="115"/>
      <c r="E3277" s="115"/>
    </row>
    <row r="3278" spans="1:5" ht="13">
      <c r="A3278" s="115"/>
      <c r="B3278" s="115"/>
      <c r="C3278" s="115"/>
      <c r="D3278" s="115"/>
      <c r="E3278" s="115"/>
    </row>
    <row r="3279" spans="1:5" ht="13">
      <c r="A3279" s="115"/>
      <c r="B3279" s="115"/>
      <c r="C3279" s="115"/>
      <c r="D3279" s="115"/>
      <c r="E3279" s="115"/>
    </row>
    <row r="3280" spans="1:5" ht="13">
      <c r="A3280" s="115"/>
      <c r="B3280" s="115"/>
      <c r="C3280" s="115"/>
      <c r="D3280" s="115"/>
      <c r="E3280" s="115"/>
    </row>
    <row r="3281" spans="1:5" ht="13">
      <c r="A3281" s="115"/>
      <c r="B3281" s="115"/>
      <c r="C3281" s="115"/>
      <c r="D3281" s="115"/>
      <c r="E3281" s="115"/>
    </row>
    <row r="3282" spans="1:5" ht="13">
      <c r="A3282" s="115"/>
      <c r="B3282" s="115"/>
      <c r="C3282" s="115"/>
      <c r="D3282" s="115"/>
      <c r="E3282" s="115"/>
    </row>
    <row r="3283" spans="1:5" ht="13">
      <c r="A3283" s="115"/>
      <c r="B3283" s="115"/>
      <c r="C3283" s="115"/>
      <c r="D3283" s="115"/>
      <c r="E3283" s="115"/>
    </row>
    <row r="3284" spans="1:5" ht="13">
      <c r="A3284" s="115"/>
      <c r="B3284" s="115"/>
      <c r="C3284" s="115"/>
      <c r="D3284" s="115"/>
      <c r="E3284" s="115"/>
    </row>
    <row r="3285" spans="1:5" ht="13">
      <c r="A3285" s="115"/>
      <c r="B3285" s="115"/>
      <c r="C3285" s="115"/>
      <c r="D3285" s="115"/>
      <c r="E3285" s="115"/>
    </row>
    <row r="3286" spans="1:5" ht="13">
      <c r="A3286" s="115"/>
      <c r="B3286" s="115"/>
      <c r="C3286" s="115"/>
      <c r="D3286" s="115"/>
      <c r="E3286" s="115"/>
    </row>
    <row r="3287" spans="1:5" ht="13">
      <c r="A3287" s="115"/>
      <c r="B3287" s="115"/>
      <c r="C3287" s="115"/>
      <c r="D3287" s="115"/>
      <c r="E3287" s="115"/>
    </row>
    <row r="3288" spans="1:5" ht="13">
      <c r="A3288" s="115"/>
      <c r="B3288" s="115"/>
      <c r="C3288" s="115"/>
      <c r="D3288" s="115"/>
      <c r="E3288" s="115"/>
    </row>
    <row r="3289" spans="1:5" ht="13">
      <c r="A3289" s="115"/>
      <c r="B3289" s="115"/>
      <c r="C3289" s="115"/>
      <c r="D3289" s="115"/>
      <c r="E3289" s="115"/>
    </row>
    <row r="3290" spans="1:5" ht="13">
      <c r="A3290" s="115"/>
      <c r="B3290" s="115"/>
      <c r="C3290" s="115"/>
      <c r="D3290" s="115"/>
      <c r="E3290" s="115"/>
    </row>
    <row r="3291" spans="1:5" ht="13">
      <c r="A3291" s="115"/>
      <c r="B3291" s="115"/>
      <c r="C3291" s="115"/>
      <c r="D3291" s="115"/>
      <c r="E3291" s="115"/>
    </row>
    <row r="3292" spans="1:5" ht="13">
      <c r="A3292" s="115"/>
      <c r="B3292" s="115"/>
      <c r="C3292" s="115"/>
      <c r="D3292" s="115"/>
      <c r="E3292" s="115"/>
    </row>
    <row r="3293" spans="1:5" ht="13">
      <c r="A3293" s="115"/>
      <c r="B3293" s="115"/>
      <c r="C3293" s="115"/>
      <c r="D3293" s="115"/>
      <c r="E3293" s="115"/>
    </row>
    <row r="3294" spans="1:5" ht="13">
      <c r="A3294" s="115"/>
      <c r="B3294" s="115"/>
      <c r="C3294" s="115"/>
      <c r="D3294" s="115"/>
      <c r="E3294" s="115"/>
    </row>
    <row r="3295" spans="1:5" ht="13">
      <c r="A3295" s="115"/>
      <c r="B3295" s="115"/>
      <c r="C3295" s="115"/>
      <c r="D3295" s="115"/>
      <c r="E3295" s="115"/>
    </row>
    <row r="3296" spans="1:5" ht="13">
      <c r="A3296" s="115"/>
      <c r="B3296" s="115"/>
      <c r="C3296" s="115"/>
      <c r="D3296" s="115"/>
      <c r="E3296" s="115"/>
    </row>
    <row r="3297" spans="1:5" ht="13">
      <c r="A3297" s="115"/>
      <c r="B3297" s="115"/>
      <c r="C3297" s="115"/>
      <c r="D3297" s="115"/>
      <c r="E3297" s="115"/>
    </row>
    <row r="3298" spans="1:5" ht="13">
      <c r="A3298" s="115"/>
      <c r="B3298" s="115"/>
      <c r="C3298" s="115"/>
      <c r="D3298" s="115"/>
      <c r="E3298" s="115"/>
    </row>
    <row r="3299" spans="1:5" ht="13">
      <c r="A3299" s="115"/>
      <c r="B3299" s="115"/>
      <c r="C3299" s="115"/>
      <c r="D3299" s="115"/>
      <c r="E3299" s="115"/>
    </row>
    <row r="3300" spans="1:5" ht="13">
      <c r="A3300" s="115"/>
      <c r="B3300" s="115"/>
      <c r="C3300" s="115"/>
      <c r="D3300" s="115"/>
      <c r="E3300" s="115"/>
    </row>
    <row r="3301" spans="1:5" ht="13">
      <c r="A3301" s="115"/>
      <c r="B3301" s="115"/>
      <c r="C3301" s="115"/>
      <c r="D3301" s="115"/>
      <c r="E3301" s="115"/>
    </row>
    <row r="3302" spans="1:5" ht="13">
      <c r="A3302" s="115"/>
      <c r="B3302" s="115"/>
      <c r="C3302" s="115"/>
      <c r="D3302" s="115"/>
      <c r="E3302" s="115"/>
    </row>
    <row r="3303" spans="1:5" ht="13">
      <c r="A3303" s="115"/>
      <c r="B3303" s="115"/>
      <c r="C3303" s="115"/>
      <c r="D3303" s="115"/>
      <c r="E3303" s="115"/>
    </row>
    <row r="3304" spans="1:5" ht="13">
      <c r="A3304" s="115"/>
      <c r="B3304" s="115"/>
      <c r="C3304" s="115"/>
      <c r="D3304" s="115"/>
      <c r="E3304" s="115"/>
    </row>
    <row r="3305" spans="1:5" ht="13">
      <c r="A3305" s="115"/>
      <c r="B3305" s="115"/>
      <c r="C3305" s="115"/>
      <c r="D3305" s="115"/>
      <c r="E3305" s="115"/>
    </row>
    <row r="3306" spans="1:5" ht="13">
      <c r="A3306" s="115"/>
      <c r="B3306" s="115"/>
      <c r="C3306" s="115"/>
      <c r="D3306" s="115"/>
      <c r="E3306" s="115"/>
    </row>
    <row r="3307" spans="1:5" ht="13">
      <c r="A3307" s="115"/>
      <c r="B3307" s="115"/>
      <c r="C3307" s="115"/>
      <c r="D3307" s="115"/>
      <c r="E3307" s="115"/>
    </row>
    <row r="3308" spans="1:5" ht="13">
      <c r="A3308" s="115"/>
      <c r="B3308" s="115"/>
      <c r="C3308" s="115"/>
      <c r="D3308" s="115"/>
      <c r="E3308" s="115"/>
    </row>
    <row r="3309" spans="1:5" ht="13">
      <c r="A3309" s="115"/>
      <c r="B3309" s="115"/>
      <c r="C3309" s="115"/>
      <c r="D3309" s="115"/>
      <c r="E3309" s="115"/>
    </row>
    <row r="3310" spans="1:5" ht="13">
      <c r="A3310" s="115"/>
      <c r="B3310" s="115"/>
      <c r="C3310" s="115"/>
      <c r="D3310" s="115"/>
      <c r="E3310" s="115"/>
    </row>
    <row r="3311" spans="1:5" ht="13">
      <c r="A3311" s="115"/>
      <c r="B3311" s="115"/>
      <c r="C3311" s="115"/>
      <c r="D3311" s="115"/>
      <c r="E3311" s="115"/>
    </row>
    <row r="3312" spans="1:5" ht="13">
      <c r="A3312" s="115"/>
      <c r="B3312" s="115"/>
      <c r="C3312" s="115"/>
      <c r="D3312" s="115"/>
      <c r="E3312" s="115"/>
    </row>
    <row r="3313" spans="1:5" ht="13">
      <c r="A3313" s="115"/>
      <c r="B3313" s="115"/>
      <c r="C3313" s="115"/>
      <c r="D3313" s="115"/>
      <c r="E3313" s="115"/>
    </row>
    <row r="3314" spans="1:5" ht="13">
      <c r="A3314" s="115"/>
      <c r="B3314" s="115"/>
      <c r="C3314" s="115"/>
      <c r="D3314" s="115"/>
      <c r="E3314" s="115"/>
    </row>
    <row r="3315" spans="1:5" ht="13">
      <c r="A3315" s="115"/>
      <c r="B3315" s="115"/>
      <c r="C3315" s="115"/>
      <c r="D3315" s="115"/>
      <c r="E3315" s="115"/>
    </row>
    <row r="3316" spans="1:5" ht="13">
      <c r="A3316" s="115"/>
      <c r="B3316" s="115"/>
      <c r="C3316" s="115"/>
      <c r="D3316" s="115"/>
      <c r="E3316" s="115"/>
    </row>
    <row r="3317" spans="1:5" ht="13">
      <c r="A3317" s="115"/>
      <c r="B3317" s="115"/>
      <c r="C3317" s="115"/>
      <c r="D3317" s="115"/>
      <c r="E3317" s="115"/>
    </row>
    <row r="3318" spans="1:5" ht="13">
      <c r="A3318" s="115"/>
      <c r="B3318" s="115"/>
      <c r="C3318" s="115"/>
      <c r="D3318" s="115"/>
      <c r="E3318" s="115"/>
    </row>
    <row r="3319" spans="1:5" ht="13">
      <c r="A3319" s="115"/>
      <c r="B3319" s="115"/>
      <c r="C3319" s="115"/>
      <c r="D3319" s="115"/>
      <c r="E3319" s="115"/>
    </row>
    <row r="3320" spans="1:5" ht="13">
      <c r="A3320" s="115"/>
      <c r="B3320" s="115"/>
      <c r="C3320" s="115"/>
      <c r="D3320" s="115"/>
      <c r="E3320" s="115"/>
    </row>
    <row r="3321" spans="1:5" ht="13">
      <c r="A3321" s="115"/>
      <c r="B3321" s="115"/>
      <c r="C3321" s="115"/>
      <c r="D3321" s="115"/>
      <c r="E3321" s="115"/>
    </row>
    <row r="3322" spans="1:5" ht="13">
      <c r="A3322" s="115"/>
      <c r="B3322" s="115"/>
      <c r="C3322" s="115"/>
      <c r="D3322" s="115"/>
      <c r="E3322" s="115"/>
    </row>
    <row r="3323" spans="1:5" ht="13">
      <c r="A3323" s="115"/>
      <c r="B3323" s="115"/>
      <c r="C3323" s="115"/>
      <c r="D3323" s="115"/>
      <c r="E3323" s="115"/>
    </row>
    <row r="3324" spans="1:5" ht="13">
      <c r="A3324" s="115"/>
      <c r="B3324" s="115"/>
      <c r="C3324" s="115"/>
      <c r="D3324" s="115"/>
      <c r="E3324" s="115"/>
    </row>
    <row r="3325" spans="1:5" ht="13">
      <c r="A3325" s="115"/>
      <c r="B3325" s="115"/>
      <c r="C3325" s="115"/>
      <c r="D3325" s="115"/>
      <c r="E3325" s="115"/>
    </row>
    <row r="3326" spans="1:5" ht="13">
      <c r="A3326" s="115"/>
      <c r="B3326" s="115"/>
      <c r="C3326" s="115"/>
      <c r="D3326" s="115"/>
      <c r="E3326" s="115"/>
    </row>
    <row r="3327" spans="1:5" ht="13">
      <c r="A3327" s="115"/>
      <c r="B3327" s="115"/>
      <c r="C3327" s="115"/>
      <c r="D3327" s="115"/>
      <c r="E3327" s="115"/>
    </row>
    <row r="3328" spans="1:5" ht="13">
      <c r="A3328" s="115"/>
      <c r="B3328" s="115"/>
      <c r="C3328" s="115"/>
      <c r="D3328" s="115"/>
      <c r="E3328" s="115"/>
    </row>
    <row r="3329" spans="1:5" ht="13">
      <c r="A3329" s="115"/>
      <c r="B3329" s="115"/>
      <c r="C3329" s="115"/>
      <c r="D3329" s="115"/>
      <c r="E3329" s="115"/>
    </row>
    <row r="3330" spans="1:5" ht="13">
      <c r="A3330" s="115"/>
      <c r="B3330" s="115"/>
      <c r="C3330" s="115"/>
      <c r="D3330" s="115"/>
      <c r="E3330" s="115"/>
    </row>
    <row r="3331" spans="1:5" ht="13">
      <c r="A3331" s="115"/>
      <c r="B3331" s="115"/>
      <c r="C3331" s="115"/>
      <c r="D3331" s="115"/>
      <c r="E3331" s="115"/>
    </row>
    <row r="3332" spans="1:5" ht="13">
      <c r="A3332" s="115"/>
      <c r="B3332" s="115"/>
      <c r="C3332" s="115"/>
      <c r="D3332" s="115"/>
      <c r="E3332" s="115"/>
    </row>
    <row r="3333" spans="1:5" ht="13">
      <c r="A3333" s="115"/>
      <c r="B3333" s="115"/>
      <c r="C3333" s="115"/>
      <c r="D3333" s="115"/>
      <c r="E3333" s="115"/>
    </row>
    <row r="3334" spans="1:5" ht="13">
      <c r="A3334" s="115"/>
      <c r="B3334" s="115"/>
      <c r="C3334" s="115"/>
      <c r="D3334" s="115"/>
      <c r="E3334" s="115"/>
    </row>
    <row r="3335" spans="1:5" ht="13">
      <c r="A3335" s="115"/>
      <c r="B3335" s="115"/>
      <c r="C3335" s="115"/>
      <c r="D3335" s="115"/>
      <c r="E3335" s="115"/>
    </row>
    <row r="3336" spans="1:5" ht="13">
      <c r="A3336" s="115"/>
      <c r="B3336" s="115"/>
      <c r="C3336" s="115"/>
      <c r="D3336" s="115"/>
      <c r="E3336" s="115"/>
    </row>
    <row r="3337" spans="1:5" ht="13">
      <c r="A3337" s="115"/>
      <c r="B3337" s="115"/>
      <c r="C3337" s="115"/>
      <c r="D3337" s="115"/>
      <c r="E3337" s="115"/>
    </row>
    <row r="3338" spans="1:5" ht="13">
      <c r="A3338" s="115"/>
      <c r="B3338" s="115"/>
      <c r="C3338" s="115"/>
      <c r="D3338" s="115"/>
      <c r="E3338" s="115"/>
    </row>
    <row r="3339" spans="1:5" ht="13">
      <c r="A3339" s="115"/>
      <c r="B3339" s="115"/>
      <c r="C3339" s="115"/>
      <c r="D3339" s="115"/>
      <c r="E3339" s="115"/>
    </row>
    <row r="3340" spans="1:5" ht="13">
      <c r="A3340" s="115"/>
      <c r="B3340" s="115"/>
      <c r="C3340" s="115"/>
      <c r="D3340" s="115"/>
      <c r="E3340" s="115"/>
    </row>
    <row r="3341" spans="1:5" ht="13">
      <c r="A3341" s="115"/>
      <c r="B3341" s="115"/>
      <c r="C3341" s="115"/>
      <c r="D3341" s="115"/>
      <c r="E3341" s="115"/>
    </row>
    <row r="3342" spans="1:5" ht="13">
      <c r="A3342" s="115"/>
      <c r="B3342" s="115"/>
      <c r="C3342" s="115"/>
      <c r="D3342" s="115"/>
      <c r="E3342" s="115"/>
    </row>
    <row r="3343" spans="1:5" ht="13">
      <c r="A3343" s="115"/>
      <c r="B3343" s="115"/>
      <c r="C3343" s="115"/>
      <c r="D3343" s="115"/>
      <c r="E3343" s="115"/>
    </row>
    <row r="3344" spans="1:5" ht="13">
      <c r="A3344" s="115"/>
      <c r="B3344" s="115"/>
      <c r="C3344" s="115"/>
      <c r="D3344" s="115"/>
      <c r="E3344" s="115"/>
    </row>
    <row r="3345" spans="1:5" ht="13">
      <c r="A3345" s="115"/>
      <c r="B3345" s="115"/>
      <c r="C3345" s="115"/>
      <c r="D3345" s="115"/>
      <c r="E3345" s="115"/>
    </row>
    <row r="3346" spans="1:5" ht="13">
      <c r="A3346" s="115"/>
      <c r="B3346" s="115"/>
      <c r="C3346" s="115"/>
      <c r="D3346" s="115"/>
      <c r="E3346" s="115"/>
    </row>
    <row r="3347" spans="1:5" ht="13">
      <c r="A3347" s="115"/>
      <c r="B3347" s="115"/>
      <c r="C3347" s="115"/>
      <c r="D3347" s="115"/>
      <c r="E3347" s="115"/>
    </row>
    <row r="3348" spans="1:5" ht="13">
      <c r="A3348" s="115"/>
      <c r="B3348" s="115"/>
      <c r="C3348" s="115"/>
      <c r="D3348" s="115"/>
      <c r="E3348" s="115"/>
    </row>
    <row r="3349" spans="1:5" ht="13">
      <c r="A3349" s="115"/>
      <c r="B3349" s="115"/>
      <c r="C3349" s="115"/>
      <c r="D3349" s="115"/>
      <c r="E3349" s="115"/>
    </row>
    <row r="3350" spans="1:5" ht="13">
      <c r="A3350" s="115"/>
      <c r="B3350" s="115"/>
      <c r="C3350" s="115"/>
      <c r="D3350" s="115"/>
      <c r="E3350" s="115"/>
    </row>
    <row r="3351" spans="1:5" ht="13">
      <c r="A3351" s="115"/>
      <c r="B3351" s="115"/>
      <c r="C3351" s="115"/>
      <c r="D3351" s="115"/>
      <c r="E3351" s="115"/>
    </row>
    <row r="3352" spans="1:5" ht="13">
      <c r="A3352" s="115"/>
      <c r="B3352" s="115"/>
      <c r="C3352" s="115"/>
      <c r="D3352" s="115"/>
      <c r="E3352" s="115"/>
    </row>
    <row r="3353" spans="1:5" ht="13">
      <c r="A3353" s="115"/>
      <c r="B3353" s="115"/>
      <c r="C3353" s="115"/>
      <c r="D3353" s="115"/>
      <c r="E3353" s="115"/>
    </row>
    <row r="3354" spans="1:5" ht="13">
      <c r="A3354" s="115"/>
      <c r="B3354" s="115"/>
      <c r="C3354" s="115"/>
      <c r="D3354" s="115"/>
      <c r="E3354" s="115"/>
    </row>
    <row r="3355" spans="1:5" ht="13">
      <c r="A3355" s="115"/>
      <c r="B3355" s="115"/>
      <c r="C3355" s="115"/>
      <c r="D3355" s="115"/>
      <c r="E3355" s="115"/>
    </row>
    <row r="3356" spans="1:5" ht="13">
      <c r="A3356" s="115"/>
      <c r="B3356" s="115"/>
      <c r="C3356" s="115"/>
      <c r="D3356" s="115"/>
      <c r="E3356" s="115"/>
    </row>
    <row r="3357" spans="1:5" ht="13">
      <c r="A3357" s="115"/>
      <c r="B3357" s="115"/>
      <c r="C3357" s="115"/>
      <c r="D3357" s="115"/>
      <c r="E3357" s="115"/>
    </row>
    <row r="3358" spans="1:5" ht="13">
      <c r="A3358" s="115"/>
      <c r="B3358" s="115"/>
      <c r="C3358" s="115"/>
      <c r="D3358" s="115"/>
      <c r="E3358" s="115"/>
    </row>
    <row r="3359" spans="1:5" ht="13">
      <c r="A3359" s="115"/>
      <c r="B3359" s="115"/>
      <c r="C3359" s="115"/>
      <c r="D3359" s="115"/>
      <c r="E3359" s="115"/>
    </row>
    <row r="3360" spans="1:5" ht="13">
      <c r="A3360" s="115"/>
      <c r="B3360" s="115"/>
      <c r="C3360" s="115"/>
      <c r="D3360" s="115"/>
      <c r="E3360" s="115"/>
    </row>
    <row r="3361" spans="1:5" ht="13">
      <c r="A3361" s="115"/>
      <c r="B3361" s="115"/>
      <c r="C3361" s="115"/>
      <c r="D3361" s="115"/>
      <c r="E3361" s="115"/>
    </row>
    <row r="3362" spans="1:5" ht="13">
      <c r="A3362" s="115"/>
      <c r="B3362" s="115"/>
      <c r="C3362" s="115"/>
      <c r="D3362" s="115"/>
      <c r="E3362" s="115"/>
    </row>
    <row r="3363" spans="1:5" ht="13">
      <c r="A3363" s="115"/>
      <c r="B3363" s="115"/>
      <c r="C3363" s="115"/>
      <c r="D3363" s="115"/>
      <c r="E3363" s="115"/>
    </row>
    <row r="3364" spans="1:5" ht="13">
      <c r="A3364" s="115"/>
      <c r="B3364" s="115"/>
      <c r="C3364" s="115"/>
      <c r="D3364" s="115"/>
      <c r="E3364" s="115"/>
    </row>
    <row r="3365" spans="1:5" ht="13">
      <c r="A3365" s="115"/>
      <c r="B3365" s="115"/>
      <c r="C3365" s="115"/>
      <c r="D3365" s="115"/>
      <c r="E3365" s="115"/>
    </row>
    <row r="3366" spans="1:5" ht="13">
      <c r="A3366" s="115"/>
      <c r="B3366" s="115"/>
      <c r="C3366" s="115"/>
      <c r="D3366" s="115"/>
      <c r="E3366" s="115"/>
    </row>
    <row r="3367" spans="1:5" ht="13">
      <c r="A3367" s="115"/>
      <c r="B3367" s="115"/>
      <c r="C3367" s="115"/>
      <c r="D3367" s="115"/>
      <c r="E3367" s="115"/>
    </row>
    <row r="3368" spans="1:5" ht="13">
      <c r="A3368" s="115"/>
      <c r="B3368" s="115"/>
      <c r="C3368" s="115"/>
      <c r="D3368" s="115"/>
      <c r="E3368" s="115"/>
    </row>
    <row r="3369" spans="1:5" ht="13">
      <c r="A3369" s="115"/>
      <c r="B3369" s="115"/>
      <c r="C3369" s="115"/>
      <c r="D3369" s="115"/>
      <c r="E3369" s="115"/>
    </row>
    <row r="3370" spans="1:5" ht="13">
      <c r="A3370" s="115"/>
      <c r="B3370" s="115"/>
      <c r="C3370" s="115"/>
      <c r="D3370" s="115"/>
      <c r="E3370" s="115"/>
    </row>
    <row r="3371" spans="1:5" ht="13">
      <c r="A3371" s="115"/>
      <c r="B3371" s="115"/>
      <c r="C3371" s="115"/>
      <c r="D3371" s="115"/>
      <c r="E3371" s="115"/>
    </row>
    <row r="3372" spans="1:5" ht="13">
      <c r="A3372" s="115"/>
      <c r="B3372" s="115"/>
      <c r="C3372" s="115"/>
      <c r="D3372" s="115"/>
      <c r="E3372" s="115"/>
    </row>
    <row r="3373" spans="1:5" ht="13">
      <c r="A3373" s="115"/>
      <c r="B3373" s="115"/>
      <c r="C3373" s="115"/>
      <c r="D3373" s="115"/>
      <c r="E3373" s="115"/>
    </row>
    <row r="3374" spans="1:5" ht="13">
      <c r="A3374" s="115"/>
      <c r="B3374" s="115"/>
      <c r="C3374" s="115"/>
      <c r="D3374" s="115"/>
      <c r="E3374" s="115"/>
    </row>
    <row r="3375" spans="1:5" ht="13">
      <c r="A3375" s="115"/>
      <c r="B3375" s="115"/>
      <c r="C3375" s="115"/>
      <c r="D3375" s="115"/>
      <c r="E3375" s="115"/>
    </row>
    <row r="3376" spans="1:5" ht="13">
      <c r="A3376" s="115"/>
      <c r="B3376" s="115"/>
      <c r="C3376" s="115"/>
      <c r="D3376" s="115"/>
      <c r="E3376" s="115"/>
    </row>
    <row r="3377" spans="1:5" ht="13">
      <c r="A3377" s="115"/>
      <c r="B3377" s="115"/>
      <c r="C3377" s="115"/>
      <c r="D3377" s="115"/>
      <c r="E3377" s="115"/>
    </row>
    <row r="3378" spans="1:5" ht="13">
      <c r="A3378" s="115"/>
      <c r="B3378" s="115"/>
      <c r="C3378" s="115"/>
      <c r="D3378" s="115"/>
      <c r="E3378" s="115"/>
    </row>
    <row r="3379" spans="1:5" ht="13">
      <c r="A3379" s="115"/>
      <c r="B3379" s="115"/>
      <c r="C3379" s="115"/>
      <c r="D3379" s="115"/>
      <c r="E3379" s="115"/>
    </row>
    <row r="3380" spans="1:5" ht="13">
      <c r="A3380" s="115"/>
      <c r="B3380" s="115"/>
      <c r="C3380" s="115"/>
      <c r="D3380" s="115"/>
      <c r="E3380" s="115"/>
    </row>
    <row r="3381" spans="1:5" ht="13">
      <c r="A3381" s="115"/>
      <c r="B3381" s="115"/>
      <c r="C3381" s="115"/>
      <c r="D3381" s="115"/>
      <c r="E3381" s="115"/>
    </row>
    <row r="3382" spans="1:5" ht="13">
      <c r="A3382" s="115"/>
      <c r="B3382" s="115"/>
      <c r="C3382" s="115"/>
      <c r="D3382" s="115"/>
      <c r="E3382" s="115"/>
    </row>
    <row r="3383" spans="1:5" ht="13">
      <c r="A3383" s="115"/>
      <c r="B3383" s="115"/>
      <c r="C3383" s="115"/>
      <c r="D3383" s="115"/>
      <c r="E3383" s="115"/>
    </row>
    <row r="3384" spans="1:5" ht="13">
      <c r="A3384" s="115"/>
      <c r="B3384" s="115"/>
      <c r="C3384" s="115"/>
      <c r="D3384" s="115"/>
      <c r="E3384" s="115"/>
    </row>
    <row r="3385" spans="1:5" ht="13">
      <c r="A3385" s="115"/>
      <c r="B3385" s="115"/>
      <c r="C3385" s="115"/>
      <c r="D3385" s="115"/>
      <c r="E3385" s="115"/>
    </row>
    <row r="3386" spans="1:5" ht="13">
      <c r="A3386" s="115"/>
      <c r="B3386" s="115"/>
      <c r="C3386" s="115"/>
      <c r="D3386" s="115"/>
      <c r="E3386" s="115"/>
    </row>
    <row r="3387" spans="1:5" ht="13">
      <c r="A3387" s="115"/>
      <c r="B3387" s="115"/>
      <c r="C3387" s="115"/>
      <c r="D3387" s="115"/>
      <c r="E3387" s="115"/>
    </row>
    <row r="3388" spans="1:5" ht="13">
      <c r="A3388" s="115"/>
      <c r="B3388" s="115"/>
      <c r="C3388" s="115"/>
      <c r="D3388" s="115"/>
      <c r="E3388" s="115"/>
    </row>
    <row r="3389" spans="1:5" ht="13">
      <c r="A3389" s="115"/>
      <c r="B3389" s="115"/>
      <c r="C3389" s="115"/>
      <c r="D3389" s="115"/>
      <c r="E3389" s="115"/>
    </row>
    <row r="3390" spans="1:5" ht="13">
      <c r="A3390" s="115"/>
      <c r="B3390" s="115"/>
      <c r="C3390" s="115"/>
      <c r="D3390" s="115"/>
      <c r="E3390" s="115"/>
    </row>
    <row r="3391" spans="1:5" ht="13">
      <c r="A3391" s="115"/>
      <c r="B3391" s="115"/>
      <c r="C3391" s="115"/>
      <c r="D3391" s="115"/>
      <c r="E3391" s="115"/>
    </row>
    <row r="3392" spans="1:5" ht="13">
      <c r="A3392" s="115"/>
      <c r="B3392" s="115"/>
      <c r="C3392" s="115"/>
      <c r="D3392" s="115"/>
      <c r="E3392" s="115"/>
    </row>
    <row r="3393" spans="1:5" ht="13">
      <c r="A3393" s="115"/>
      <c r="B3393" s="115"/>
      <c r="C3393" s="115"/>
      <c r="D3393" s="115"/>
      <c r="E3393" s="115"/>
    </row>
    <row r="3394" spans="1:5" ht="13">
      <c r="A3394" s="115"/>
      <c r="B3394" s="115"/>
      <c r="C3394" s="115"/>
      <c r="D3394" s="115"/>
      <c r="E3394" s="115"/>
    </row>
    <row r="3395" spans="1:5" ht="13">
      <c r="A3395" s="115"/>
      <c r="B3395" s="115"/>
      <c r="C3395" s="115"/>
      <c r="D3395" s="115"/>
      <c r="E3395" s="115"/>
    </row>
    <row r="3396" spans="1:5" ht="13">
      <c r="A3396" s="115"/>
      <c r="B3396" s="115"/>
      <c r="C3396" s="115"/>
      <c r="D3396" s="115"/>
      <c r="E3396" s="115"/>
    </row>
    <row r="3397" spans="1:5" ht="13">
      <c r="A3397" s="115"/>
      <c r="B3397" s="115"/>
      <c r="C3397" s="115"/>
      <c r="D3397" s="115"/>
      <c r="E3397" s="115"/>
    </row>
    <row r="3398" spans="1:5" ht="13">
      <c r="A3398" s="115"/>
      <c r="B3398" s="115"/>
      <c r="C3398" s="115"/>
      <c r="D3398" s="115"/>
      <c r="E3398" s="115"/>
    </row>
    <row r="3399" spans="1:5" ht="13">
      <c r="A3399" s="115"/>
      <c r="B3399" s="115"/>
      <c r="C3399" s="115"/>
      <c r="D3399" s="115"/>
      <c r="E3399" s="115"/>
    </row>
    <row r="3400" spans="1:5" ht="13">
      <c r="A3400" s="115"/>
      <c r="B3400" s="115"/>
      <c r="C3400" s="115"/>
      <c r="D3400" s="115"/>
      <c r="E3400" s="115"/>
    </row>
    <row r="3401" spans="1:5" ht="13">
      <c r="A3401" s="115"/>
      <c r="B3401" s="115"/>
      <c r="C3401" s="115"/>
      <c r="D3401" s="115"/>
      <c r="E3401" s="115"/>
    </row>
    <row r="3402" spans="1:5" ht="13">
      <c r="A3402" s="115"/>
      <c r="B3402" s="115"/>
      <c r="C3402" s="115"/>
      <c r="D3402" s="115"/>
      <c r="E3402" s="115"/>
    </row>
    <row r="3403" spans="1:5" ht="13">
      <c r="A3403" s="115"/>
      <c r="B3403" s="115"/>
      <c r="C3403" s="115"/>
      <c r="D3403" s="115"/>
      <c r="E3403" s="115"/>
    </row>
    <row r="3404" spans="1:5" ht="13">
      <c r="A3404" s="115"/>
      <c r="B3404" s="115"/>
      <c r="C3404" s="115"/>
      <c r="D3404" s="115"/>
      <c r="E3404" s="115"/>
    </row>
    <row r="3405" spans="1:5" ht="13">
      <c r="A3405" s="115"/>
      <c r="B3405" s="115"/>
      <c r="C3405" s="115"/>
      <c r="D3405" s="115"/>
      <c r="E3405" s="115"/>
    </row>
    <row r="3406" spans="1:5" ht="13">
      <c r="A3406" s="115"/>
      <c r="B3406" s="115"/>
      <c r="C3406" s="115"/>
      <c r="D3406" s="115"/>
      <c r="E3406" s="115"/>
    </row>
    <row r="3407" spans="1:5" ht="13">
      <c r="A3407" s="115"/>
      <c r="B3407" s="115"/>
      <c r="C3407" s="115"/>
      <c r="D3407" s="115"/>
      <c r="E3407" s="115"/>
    </row>
    <row r="3408" spans="1:5" ht="13">
      <c r="A3408" s="115"/>
      <c r="B3408" s="115"/>
      <c r="C3408" s="115"/>
      <c r="D3408" s="115"/>
      <c r="E3408" s="115"/>
    </row>
    <row r="3409" spans="1:5" ht="13">
      <c r="A3409" s="115"/>
      <c r="B3409" s="115"/>
      <c r="C3409" s="115"/>
      <c r="D3409" s="115"/>
      <c r="E3409" s="115"/>
    </row>
    <row r="3410" spans="1:5" ht="13">
      <c r="A3410" s="115"/>
      <c r="B3410" s="115"/>
      <c r="C3410" s="115"/>
      <c r="D3410" s="115"/>
      <c r="E3410" s="115"/>
    </row>
    <row r="3411" spans="1:5" ht="13">
      <c r="A3411" s="115"/>
      <c r="B3411" s="115"/>
      <c r="C3411" s="115"/>
      <c r="D3411" s="115"/>
      <c r="E3411" s="115"/>
    </row>
    <row r="3412" spans="1:5" ht="13">
      <c r="A3412" s="115"/>
      <c r="B3412" s="115"/>
      <c r="C3412" s="115"/>
      <c r="D3412" s="115"/>
      <c r="E3412" s="115"/>
    </row>
    <row r="3413" spans="1:5" ht="13">
      <c r="A3413" s="115"/>
      <c r="B3413" s="115"/>
      <c r="C3413" s="115"/>
      <c r="D3413" s="115"/>
      <c r="E3413" s="115"/>
    </row>
    <row r="3414" spans="1:5" ht="13">
      <c r="A3414" s="115"/>
      <c r="B3414" s="115"/>
      <c r="C3414" s="115"/>
      <c r="D3414" s="115"/>
      <c r="E3414" s="115"/>
    </row>
    <row r="3415" spans="1:5" ht="13">
      <c r="A3415" s="115"/>
      <c r="B3415" s="115"/>
      <c r="C3415" s="115"/>
      <c r="D3415" s="115"/>
      <c r="E3415" s="115"/>
    </row>
    <row r="3416" spans="1:5" ht="13">
      <c r="A3416" s="115"/>
      <c r="B3416" s="115"/>
      <c r="C3416" s="115"/>
      <c r="D3416" s="115"/>
      <c r="E3416" s="115"/>
    </row>
    <row r="3417" spans="1:5" ht="13">
      <c r="A3417" s="115"/>
      <c r="B3417" s="115"/>
      <c r="C3417" s="115"/>
      <c r="D3417" s="115"/>
      <c r="E3417" s="115"/>
    </row>
    <row r="3418" spans="1:5" ht="13">
      <c r="A3418" s="115"/>
      <c r="B3418" s="115"/>
      <c r="C3418" s="115"/>
      <c r="D3418" s="115"/>
      <c r="E3418" s="115"/>
    </row>
    <row r="3419" spans="1:5" ht="13">
      <c r="A3419" s="115"/>
      <c r="B3419" s="115"/>
      <c r="C3419" s="115"/>
      <c r="D3419" s="115"/>
      <c r="E3419" s="115"/>
    </row>
    <row r="3420" spans="1:5" ht="13">
      <c r="A3420" s="115"/>
      <c r="B3420" s="115"/>
      <c r="C3420" s="115"/>
      <c r="D3420" s="115"/>
      <c r="E3420" s="115"/>
    </row>
    <row r="3421" spans="1:5" ht="13">
      <c r="A3421" s="115"/>
      <c r="B3421" s="115"/>
      <c r="C3421" s="115"/>
      <c r="D3421" s="115"/>
      <c r="E3421" s="115"/>
    </row>
    <row r="3422" spans="1:5" ht="13">
      <c r="A3422" s="115"/>
      <c r="B3422" s="115"/>
      <c r="C3422" s="115"/>
      <c r="D3422" s="115"/>
      <c r="E3422" s="115"/>
    </row>
    <row r="3423" spans="1:5" ht="13">
      <c r="A3423" s="115"/>
      <c r="B3423" s="115"/>
      <c r="C3423" s="115"/>
      <c r="D3423" s="115"/>
      <c r="E3423" s="115"/>
    </row>
    <row r="3424" spans="1:5" ht="13">
      <c r="A3424" s="115"/>
      <c r="B3424" s="115"/>
      <c r="C3424" s="115"/>
      <c r="D3424" s="115"/>
      <c r="E3424" s="115"/>
    </row>
    <row r="3425" spans="1:5" ht="13">
      <c r="A3425" s="115"/>
      <c r="B3425" s="115"/>
      <c r="C3425" s="115"/>
      <c r="D3425" s="115"/>
      <c r="E3425" s="115"/>
    </row>
    <row r="3426" spans="1:5" ht="13">
      <c r="A3426" s="115"/>
      <c r="B3426" s="115"/>
      <c r="C3426" s="115"/>
      <c r="D3426" s="115"/>
      <c r="E3426" s="115"/>
    </row>
    <row r="3427" spans="1:5" ht="13">
      <c r="A3427" s="115"/>
      <c r="B3427" s="115"/>
      <c r="C3427" s="115"/>
      <c r="D3427" s="115"/>
      <c r="E3427" s="115"/>
    </row>
    <row r="3428" spans="1:5" ht="13">
      <c r="A3428" s="115"/>
      <c r="B3428" s="115"/>
      <c r="C3428" s="115"/>
      <c r="D3428" s="115"/>
      <c r="E3428" s="115"/>
    </row>
    <row r="3429" spans="1:5" ht="13">
      <c r="A3429" s="115"/>
      <c r="B3429" s="115"/>
      <c r="C3429" s="115"/>
      <c r="D3429" s="115"/>
      <c r="E3429" s="115"/>
    </row>
    <row r="3430" spans="1:5" ht="13">
      <c r="A3430" s="115"/>
      <c r="B3430" s="115"/>
      <c r="C3430" s="115"/>
      <c r="D3430" s="115"/>
      <c r="E3430" s="115"/>
    </row>
    <row r="3431" spans="1:5" ht="13">
      <c r="A3431" s="115"/>
      <c r="B3431" s="115"/>
      <c r="C3431" s="115"/>
      <c r="D3431" s="115"/>
      <c r="E3431" s="115"/>
    </row>
    <row r="3432" spans="1:5" ht="13">
      <c r="A3432" s="115"/>
      <c r="B3432" s="115"/>
      <c r="C3432" s="115"/>
      <c r="D3432" s="115"/>
      <c r="E3432" s="115"/>
    </row>
    <row r="3433" spans="1:5" ht="13">
      <c r="A3433" s="115"/>
      <c r="B3433" s="115"/>
      <c r="C3433" s="115"/>
      <c r="D3433" s="115"/>
      <c r="E3433" s="115"/>
    </row>
    <row r="3434" spans="1:5" ht="13">
      <c r="A3434" s="115"/>
      <c r="B3434" s="115"/>
      <c r="C3434" s="115"/>
      <c r="D3434" s="115"/>
      <c r="E3434" s="115"/>
    </row>
    <row r="3435" spans="1:5" ht="13">
      <c r="A3435" s="115"/>
      <c r="B3435" s="115"/>
      <c r="C3435" s="115"/>
      <c r="D3435" s="115"/>
      <c r="E3435" s="115"/>
    </row>
    <row r="3436" spans="1:5" ht="13">
      <c r="A3436" s="115"/>
      <c r="B3436" s="115"/>
      <c r="C3436" s="115"/>
      <c r="D3436" s="115"/>
      <c r="E3436" s="115"/>
    </row>
    <row r="3437" spans="1:5" ht="13">
      <c r="A3437" s="115"/>
      <c r="B3437" s="115"/>
      <c r="C3437" s="115"/>
      <c r="D3437" s="115"/>
      <c r="E3437" s="115"/>
    </row>
    <row r="3438" spans="1:5" ht="13">
      <c r="A3438" s="115"/>
      <c r="B3438" s="115"/>
      <c r="C3438" s="115"/>
      <c r="D3438" s="115"/>
      <c r="E3438" s="115"/>
    </row>
    <row r="3439" spans="1:5" ht="13">
      <c r="A3439" s="115"/>
      <c r="B3439" s="115"/>
      <c r="C3439" s="115"/>
      <c r="D3439" s="115"/>
      <c r="E3439" s="115"/>
    </row>
    <row r="3440" spans="1:5" ht="13">
      <c r="A3440" s="115"/>
      <c r="B3440" s="115"/>
      <c r="C3440" s="115"/>
      <c r="D3440" s="115"/>
      <c r="E3440" s="115"/>
    </row>
    <row r="3441" spans="1:5" ht="13">
      <c r="A3441" s="115"/>
      <c r="B3441" s="115"/>
      <c r="C3441" s="115"/>
      <c r="D3441" s="115"/>
      <c r="E3441" s="115"/>
    </row>
    <row r="3442" spans="1:5" ht="13">
      <c r="A3442" s="115"/>
      <c r="B3442" s="115"/>
      <c r="C3442" s="115"/>
      <c r="D3442" s="115"/>
      <c r="E3442" s="115"/>
    </row>
    <row r="3443" spans="1:5" ht="13">
      <c r="A3443" s="115"/>
      <c r="B3443" s="115"/>
      <c r="C3443" s="115"/>
      <c r="D3443" s="115"/>
      <c r="E3443" s="115"/>
    </row>
    <row r="3444" spans="1:5" ht="13">
      <c r="A3444" s="115"/>
      <c r="B3444" s="115"/>
      <c r="C3444" s="115"/>
      <c r="D3444" s="115"/>
      <c r="E3444" s="115"/>
    </row>
    <row r="3445" spans="1:5" ht="13">
      <c r="A3445" s="115"/>
      <c r="B3445" s="115"/>
      <c r="C3445" s="115"/>
      <c r="D3445" s="115"/>
      <c r="E3445" s="115"/>
    </row>
    <row r="3446" spans="1:5" ht="13">
      <c r="A3446" s="115"/>
      <c r="B3446" s="115"/>
      <c r="C3446" s="115"/>
      <c r="D3446" s="115"/>
      <c r="E3446" s="115"/>
    </row>
    <row r="3447" spans="1:5" ht="13">
      <c r="A3447" s="115"/>
      <c r="B3447" s="115"/>
      <c r="C3447" s="115"/>
      <c r="D3447" s="115"/>
      <c r="E3447" s="115"/>
    </row>
    <row r="3448" spans="1:5" ht="13">
      <c r="A3448" s="115"/>
      <c r="B3448" s="115"/>
      <c r="C3448" s="115"/>
      <c r="D3448" s="115"/>
      <c r="E3448" s="115"/>
    </row>
    <row r="3449" spans="1:5" ht="13">
      <c r="A3449" s="115"/>
      <c r="B3449" s="115"/>
      <c r="C3449" s="115"/>
      <c r="D3449" s="115"/>
      <c r="E3449" s="115"/>
    </row>
    <row r="3450" spans="1:5" ht="13">
      <c r="A3450" s="115"/>
      <c r="B3450" s="115"/>
      <c r="C3450" s="115"/>
      <c r="D3450" s="115"/>
      <c r="E3450" s="115"/>
    </row>
    <row r="3451" spans="1:5" ht="13">
      <c r="A3451" s="115"/>
      <c r="B3451" s="115"/>
      <c r="C3451" s="115"/>
      <c r="D3451" s="115"/>
      <c r="E3451" s="115"/>
    </row>
    <row r="3452" spans="1:5" ht="13">
      <c r="A3452" s="115"/>
      <c r="B3452" s="115"/>
      <c r="C3452" s="115"/>
      <c r="D3452" s="115"/>
      <c r="E3452" s="115"/>
    </row>
    <row r="3453" spans="1:5" ht="13">
      <c r="A3453" s="115"/>
      <c r="B3453" s="115"/>
      <c r="C3453" s="115"/>
      <c r="D3453" s="115"/>
      <c r="E3453" s="115"/>
    </row>
    <row r="3454" spans="1:5" ht="13">
      <c r="A3454" s="115"/>
      <c r="B3454" s="115"/>
      <c r="C3454" s="115"/>
      <c r="D3454" s="115"/>
      <c r="E3454" s="115"/>
    </row>
    <row r="3455" spans="1:5" ht="13">
      <c r="A3455" s="115"/>
      <c r="B3455" s="115"/>
      <c r="C3455" s="115"/>
      <c r="D3455" s="115"/>
      <c r="E3455" s="115"/>
    </row>
    <row r="3456" spans="1:5" ht="13">
      <c r="A3456" s="115"/>
      <c r="B3456" s="115"/>
      <c r="C3456" s="115"/>
      <c r="D3456" s="115"/>
      <c r="E3456" s="115"/>
    </row>
    <row r="3457" spans="1:5" ht="13">
      <c r="A3457" s="115"/>
      <c r="B3457" s="115"/>
      <c r="C3457" s="115"/>
      <c r="D3457" s="115"/>
      <c r="E3457" s="115"/>
    </row>
    <row r="3458" spans="1:5" ht="13">
      <c r="A3458" s="115"/>
      <c r="B3458" s="115"/>
      <c r="C3458" s="115"/>
      <c r="D3458" s="115"/>
      <c r="E3458" s="115"/>
    </row>
    <row r="3459" spans="1:5" ht="13">
      <c r="A3459" s="115"/>
      <c r="B3459" s="115"/>
      <c r="C3459" s="115"/>
      <c r="D3459" s="115"/>
      <c r="E3459" s="115"/>
    </row>
    <row r="3460" spans="1:5" ht="13">
      <c r="A3460" s="115"/>
      <c r="B3460" s="115"/>
      <c r="C3460" s="115"/>
      <c r="D3460" s="115"/>
      <c r="E3460" s="115"/>
    </row>
    <row r="3461" spans="1:5" ht="13">
      <c r="A3461" s="115"/>
      <c r="B3461" s="115"/>
      <c r="C3461" s="115"/>
      <c r="D3461" s="115"/>
      <c r="E3461" s="115"/>
    </row>
    <row r="3462" spans="1:5" ht="13">
      <c r="A3462" s="115"/>
      <c r="B3462" s="115"/>
      <c r="C3462" s="115"/>
      <c r="D3462" s="115"/>
      <c r="E3462" s="115"/>
    </row>
    <row r="3463" spans="1:5" ht="13">
      <c r="A3463" s="115"/>
      <c r="B3463" s="115"/>
      <c r="C3463" s="115"/>
      <c r="D3463" s="115"/>
      <c r="E3463" s="115"/>
    </row>
    <row r="3464" spans="1:5" ht="13">
      <c r="A3464" s="115"/>
      <c r="B3464" s="115"/>
      <c r="C3464" s="115"/>
      <c r="D3464" s="115"/>
      <c r="E3464" s="115"/>
    </row>
    <row r="3465" spans="1:5" ht="13">
      <c r="A3465" s="115"/>
      <c r="B3465" s="115"/>
      <c r="C3465" s="115"/>
      <c r="D3465" s="115"/>
      <c r="E3465" s="115"/>
    </row>
    <row r="3466" spans="1:5" ht="13">
      <c r="A3466" s="115"/>
      <c r="B3466" s="115"/>
      <c r="C3466" s="115"/>
      <c r="D3466" s="115"/>
      <c r="E3466" s="115"/>
    </row>
    <row r="3467" spans="1:5" ht="13">
      <c r="A3467" s="115"/>
      <c r="B3467" s="115"/>
      <c r="C3467" s="115"/>
      <c r="D3467" s="115"/>
      <c r="E3467" s="115"/>
    </row>
    <row r="3468" spans="1:5" ht="13">
      <c r="A3468" s="115"/>
      <c r="B3468" s="115"/>
      <c r="C3468" s="115"/>
      <c r="D3468" s="115"/>
      <c r="E3468" s="115"/>
    </row>
    <row r="3469" spans="1:5" ht="13">
      <c r="A3469" s="115"/>
      <c r="B3469" s="115"/>
      <c r="C3469" s="115"/>
      <c r="D3469" s="115"/>
      <c r="E3469" s="115"/>
    </row>
    <row r="3470" spans="1:5" ht="13">
      <c r="A3470" s="115"/>
      <c r="B3470" s="115"/>
      <c r="C3470" s="115"/>
      <c r="D3470" s="115"/>
      <c r="E3470" s="115"/>
    </row>
    <row r="3471" spans="1:5" ht="13">
      <c r="A3471" s="115"/>
      <c r="B3471" s="115"/>
      <c r="C3471" s="115"/>
      <c r="D3471" s="115"/>
      <c r="E3471" s="115"/>
    </row>
    <row r="3472" spans="1:5" ht="13">
      <c r="A3472" s="115"/>
      <c r="B3472" s="115"/>
      <c r="C3472" s="115"/>
      <c r="D3472" s="115"/>
      <c r="E3472" s="115"/>
    </row>
    <row r="3473" spans="1:5" ht="13">
      <c r="A3473" s="115"/>
      <c r="B3473" s="115"/>
      <c r="C3473" s="115"/>
      <c r="D3473" s="115"/>
      <c r="E3473" s="115"/>
    </row>
    <row r="3474" spans="1:5" ht="13">
      <c r="A3474" s="115"/>
      <c r="B3474" s="115"/>
      <c r="C3474" s="115"/>
      <c r="D3474" s="115"/>
      <c r="E3474" s="115"/>
    </row>
    <row r="3475" spans="1:5" ht="13">
      <c r="A3475" s="115"/>
      <c r="B3475" s="115"/>
      <c r="C3475" s="115"/>
      <c r="D3475" s="115"/>
      <c r="E3475" s="115"/>
    </row>
    <row r="3476" spans="1:5" ht="13">
      <c r="A3476" s="115"/>
      <c r="B3476" s="115"/>
      <c r="C3476" s="115"/>
      <c r="D3476" s="115"/>
      <c r="E3476" s="115"/>
    </row>
    <row r="3477" spans="1:5" ht="13">
      <c r="A3477" s="115"/>
      <c r="B3477" s="115"/>
      <c r="C3477" s="115"/>
      <c r="D3477" s="115"/>
      <c r="E3477" s="115"/>
    </row>
    <row r="3478" spans="1:5" ht="13">
      <c r="A3478" s="115"/>
      <c r="B3478" s="115"/>
      <c r="C3478" s="115"/>
      <c r="D3478" s="115"/>
      <c r="E3478" s="115"/>
    </row>
    <row r="3479" spans="1:5" ht="13">
      <c r="A3479" s="115"/>
      <c r="B3479" s="115"/>
      <c r="C3479" s="115"/>
      <c r="D3479" s="115"/>
      <c r="E3479" s="115"/>
    </row>
    <row r="3480" spans="1:5" ht="13">
      <c r="A3480" s="115"/>
      <c r="B3480" s="115"/>
      <c r="C3480" s="115"/>
      <c r="D3480" s="115"/>
      <c r="E3480" s="115"/>
    </row>
    <row r="3481" spans="1:5" ht="13">
      <c r="A3481" s="115"/>
      <c r="B3481" s="115"/>
      <c r="C3481" s="115"/>
      <c r="D3481" s="115"/>
      <c r="E3481" s="115"/>
    </row>
    <row r="3482" spans="1:5" ht="13">
      <c r="A3482" s="115"/>
      <c r="B3482" s="115"/>
      <c r="C3482" s="115"/>
      <c r="D3482" s="115"/>
      <c r="E3482" s="115"/>
    </row>
    <row r="3483" spans="1:5" ht="13">
      <c r="A3483" s="115"/>
      <c r="B3483" s="115"/>
      <c r="C3483" s="115"/>
      <c r="D3483" s="115"/>
      <c r="E3483" s="115"/>
    </row>
    <row r="3484" spans="1:5" ht="13">
      <c r="A3484" s="115"/>
      <c r="B3484" s="115"/>
      <c r="C3484" s="115"/>
      <c r="D3484" s="115"/>
      <c r="E3484" s="115"/>
    </row>
    <row r="3485" spans="1:5" ht="13">
      <c r="A3485" s="115"/>
      <c r="B3485" s="115"/>
      <c r="C3485" s="115"/>
      <c r="D3485" s="115"/>
      <c r="E3485" s="115"/>
    </row>
    <row r="3486" spans="1:5" ht="13">
      <c r="A3486" s="115"/>
      <c r="B3486" s="115"/>
      <c r="C3486" s="115"/>
      <c r="D3486" s="115"/>
      <c r="E3486" s="115"/>
    </row>
    <row r="3487" spans="1:5" ht="13">
      <c r="A3487" s="115"/>
      <c r="B3487" s="115"/>
      <c r="C3487" s="115"/>
      <c r="D3487" s="115"/>
      <c r="E3487" s="115"/>
    </row>
    <row r="3488" spans="1:5" ht="13">
      <c r="A3488" s="115"/>
      <c r="B3488" s="115"/>
      <c r="C3488" s="115"/>
      <c r="D3488" s="115"/>
      <c r="E3488" s="115"/>
    </row>
    <row r="3489" spans="1:5" ht="13">
      <c r="A3489" s="115"/>
      <c r="B3489" s="115"/>
      <c r="C3489" s="115"/>
      <c r="D3489" s="115"/>
      <c r="E3489" s="115"/>
    </row>
    <row r="3490" spans="1:5" ht="13">
      <c r="A3490" s="115"/>
      <c r="B3490" s="115"/>
      <c r="C3490" s="115"/>
      <c r="D3490" s="115"/>
      <c r="E3490" s="115"/>
    </row>
    <row r="3491" spans="1:5" ht="13">
      <c r="A3491" s="115"/>
      <c r="B3491" s="115"/>
      <c r="C3491" s="115"/>
      <c r="D3491" s="115"/>
      <c r="E3491" s="115"/>
    </row>
    <row r="3492" spans="1:5" ht="13">
      <c r="A3492" s="115"/>
      <c r="B3492" s="115"/>
      <c r="C3492" s="115"/>
      <c r="D3492" s="115"/>
      <c r="E3492" s="115"/>
    </row>
    <row r="3493" spans="1:5" ht="13">
      <c r="A3493" s="115"/>
      <c r="B3493" s="115"/>
      <c r="C3493" s="115"/>
      <c r="D3493" s="115"/>
      <c r="E3493" s="115"/>
    </row>
    <row r="3494" spans="1:5" ht="13">
      <c r="A3494" s="115"/>
      <c r="B3494" s="115"/>
      <c r="C3494" s="115"/>
      <c r="D3494" s="115"/>
      <c r="E3494" s="115"/>
    </row>
    <row r="3495" spans="1:5" ht="13">
      <c r="A3495" s="115"/>
      <c r="B3495" s="115"/>
      <c r="C3495" s="115"/>
      <c r="D3495" s="115"/>
      <c r="E3495" s="115"/>
    </row>
    <row r="3496" spans="1:5" ht="13">
      <c r="A3496" s="115"/>
      <c r="B3496" s="115"/>
      <c r="C3496" s="115"/>
      <c r="D3496" s="115"/>
      <c r="E3496" s="115"/>
    </row>
    <row r="3497" spans="1:5" ht="13">
      <c r="A3497" s="115"/>
      <c r="B3497" s="115"/>
      <c r="C3497" s="115"/>
      <c r="D3497" s="115"/>
      <c r="E3497" s="115"/>
    </row>
    <row r="3498" spans="1:5" ht="13">
      <c r="A3498" s="115"/>
      <c r="B3498" s="115"/>
      <c r="C3498" s="115"/>
      <c r="D3498" s="115"/>
      <c r="E3498" s="115"/>
    </row>
    <row r="3499" spans="1:5" ht="13">
      <c r="A3499" s="115"/>
      <c r="B3499" s="115"/>
      <c r="C3499" s="115"/>
      <c r="D3499" s="115"/>
      <c r="E3499" s="115"/>
    </row>
    <row r="3500" spans="1:5" ht="13">
      <c r="A3500" s="115"/>
      <c r="B3500" s="115"/>
      <c r="C3500" s="115"/>
      <c r="D3500" s="115"/>
      <c r="E3500" s="115"/>
    </row>
    <row r="3501" spans="1:5" ht="13">
      <c r="A3501" s="115"/>
      <c r="B3501" s="115"/>
      <c r="C3501" s="115"/>
      <c r="D3501" s="115"/>
      <c r="E3501" s="115"/>
    </row>
    <row r="3502" spans="1:5" ht="13">
      <c r="A3502" s="115"/>
      <c r="B3502" s="115"/>
      <c r="C3502" s="115"/>
      <c r="D3502" s="115"/>
      <c r="E3502" s="115"/>
    </row>
    <row r="3503" spans="1:5" ht="13">
      <c r="A3503" s="115"/>
      <c r="B3503" s="115"/>
      <c r="C3503" s="115"/>
      <c r="D3503" s="115"/>
      <c r="E3503" s="115"/>
    </row>
    <row r="3504" spans="1:5" ht="13">
      <c r="A3504" s="115"/>
      <c r="B3504" s="115"/>
      <c r="C3504" s="115"/>
      <c r="D3504" s="115"/>
      <c r="E3504" s="115"/>
    </row>
    <row r="3505" spans="1:5" ht="13">
      <c r="A3505" s="115"/>
      <c r="B3505" s="115"/>
      <c r="C3505" s="115"/>
      <c r="D3505" s="115"/>
      <c r="E3505" s="115"/>
    </row>
    <row r="3506" spans="1:5" ht="13">
      <c r="A3506" s="115"/>
      <c r="B3506" s="115"/>
      <c r="C3506" s="115"/>
      <c r="D3506" s="115"/>
      <c r="E3506" s="115"/>
    </row>
    <row r="3507" spans="1:5" ht="13">
      <c r="A3507" s="115"/>
      <c r="B3507" s="115"/>
      <c r="C3507" s="115"/>
      <c r="D3507" s="115"/>
      <c r="E3507" s="115"/>
    </row>
    <row r="3508" spans="1:5" ht="13">
      <c r="A3508" s="115"/>
      <c r="B3508" s="115"/>
      <c r="C3508" s="115"/>
      <c r="D3508" s="115"/>
      <c r="E3508" s="115"/>
    </row>
    <row r="3509" spans="1:5" ht="13">
      <c r="A3509" s="115"/>
      <c r="B3509" s="115"/>
      <c r="C3509" s="115"/>
      <c r="D3509" s="115"/>
      <c r="E3509" s="115"/>
    </row>
    <row r="3510" spans="1:5" ht="13">
      <c r="A3510" s="115"/>
      <c r="B3510" s="115"/>
      <c r="C3510" s="115"/>
      <c r="D3510" s="115"/>
      <c r="E3510" s="115"/>
    </row>
    <row r="3511" spans="1:5" ht="13">
      <c r="A3511" s="115"/>
      <c r="B3511" s="115"/>
      <c r="C3511" s="115"/>
      <c r="D3511" s="115"/>
      <c r="E3511" s="115"/>
    </row>
    <row r="3512" spans="1:5" ht="13">
      <c r="A3512" s="115"/>
      <c r="B3512" s="115"/>
      <c r="C3512" s="115"/>
      <c r="D3512" s="115"/>
      <c r="E3512" s="115"/>
    </row>
    <row r="3513" spans="1:5" ht="13">
      <c r="A3513" s="115"/>
      <c r="B3513" s="115"/>
      <c r="C3513" s="115"/>
      <c r="D3513" s="115"/>
      <c r="E3513" s="115"/>
    </row>
    <row r="3514" spans="1:5" ht="13">
      <c r="A3514" s="115"/>
      <c r="B3514" s="115"/>
      <c r="C3514" s="115"/>
      <c r="D3514" s="115"/>
      <c r="E3514" s="115"/>
    </row>
    <row r="3515" spans="1:5" ht="13">
      <c r="A3515" s="115"/>
      <c r="B3515" s="115"/>
      <c r="C3515" s="115"/>
      <c r="D3515" s="115"/>
      <c r="E3515" s="115"/>
    </row>
    <row r="3516" spans="1:5" ht="13">
      <c r="A3516" s="115"/>
      <c r="B3516" s="115"/>
      <c r="C3516" s="115"/>
      <c r="D3516" s="115"/>
      <c r="E3516" s="115"/>
    </row>
    <row r="3517" spans="1:5" ht="13">
      <c r="A3517" s="115"/>
      <c r="B3517" s="115"/>
      <c r="C3517" s="115"/>
      <c r="D3517" s="115"/>
      <c r="E3517" s="115"/>
    </row>
    <row r="3518" spans="1:5" ht="13">
      <c r="A3518" s="115"/>
      <c r="B3518" s="115"/>
      <c r="C3518" s="115"/>
      <c r="D3518" s="115"/>
      <c r="E3518" s="115"/>
    </row>
    <row r="3519" spans="1:5" ht="13">
      <c r="A3519" s="115"/>
      <c r="B3519" s="115"/>
      <c r="C3519" s="115"/>
      <c r="D3519" s="115"/>
      <c r="E3519" s="115"/>
    </row>
    <row r="3520" spans="1:5" ht="13">
      <c r="A3520" s="115"/>
      <c r="B3520" s="115"/>
      <c r="C3520" s="115"/>
      <c r="D3520" s="115"/>
      <c r="E3520" s="115"/>
    </row>
    <row r="3521" spans="1:5" ht="13">
      <c r="A3521" s="115"/>
      <c r="B3521" s="115"/>
      <c r="C3521" s="115"/>
      <c r="D3521" s="115"/>
      <c r="E3521" s="115"/>
    </row>
    <row r="3522" spans="1:5" ht="13">
      <c r="A3522" s="115"/>
      <c r="B3522" s="115"/>
      <c r="C3522" s="115"/>
      <c r="D3522" s="115"/>
      <c r="E3522" s="115"/>
    </row>
    <row r="3523" spans="1:5" ht="13">
      <c r="A3523" s="115"/>
      <c r="B3523" s="115"/>
      <c r="C3523" s="115"/>
      <c r="D3523" s="115"/>
      <c r="E3523" s="115"/>
    </row>
    <row r="3524" spans="1:5" ht="13">
      <c r="A3524" s="115"/>
      <c r="B3524" s="115"/>
      <c r="C3524" s="115"/>
      <c r="D3524" s="115"/>
      <c r="E3524" s="115"/>
    </row>
    <row r="3525" spans="1:5" ht="13">
      <c r="A3525" s="115"/>
      <c r="B3525" s="115"/>
      <c r="C3525" s="115"/>
      <c r="D3525" s="115"/>
      <c r="E3525" s="115"/>
    </row>
    <row r="3526" spans="1:5" ht="13">
      <c r="A3526" s="115"/>
      <c r="B3526" s="115"/>
      <c r="C3526" s="115"/>
      <c r="D3526" s="115"/>
      <c r="E3526" s="115"/>
    </row>
    <row r="3527" spans="1:5" ht="13">
      <c r="A3527" s="115"/>
      <c r="B3527" s="115"/>
      <c r="C3527" s="115"/>
      <c r="D3527" s="115"/>
      <c r="E3527" s="115"/>
    </row>
    <row r="3528" spans="1:5" ht="13">
      <c r="A3528" s="115"/>
      <c r="B3528" s="115"/>
      <c r="C3528" s="115"/>
      <c r="D3528" s="115"/>
      <c r="E3528" s="115"/>
    </row>
    <row r="3529" spans="1:5" ht="13">
      <c r="A3529" s="115"/>
      <c r="B3529" s="115"/>
      <c r="C3529" s="115"/>
      <c r="D3529" s="115"/>
      <c r="E3529" s="115"/>
    </row>
    <row r="3530" spans="1:5" ht="13">
      <c r="A3530" s="115"/>
      <c r="B3530" s="115"/>
      <c r="C3530" s="115"/>
      <c r="D3530" s="115"/>
      <c r="E3530" s="115"/>
    </row>
    <row r="3531" spans="1:5" ht="13">
      <c r="A3531" s="115"/>
      <c r="B3531" s="115"/>
      <c r="C3531" s="115"/>
      <c r="D3531" s="115"/>
      <c r="E3531" s="115"/>
    </row>
    <row r="3532" spans="1:5" ht="13">
      <c r="A3532" s="115"/>
      <c r="B3532" s="115"/>
      <c r="C3532" s="115"/>
      <c r="D3532" s="115"/>
      <c r="E3532" s="115"/>
    </row>
    <row r="3533" spans="1:5" ht="13">
      <c r="A3533" s="115"/>
      <c r="B3533" s="115"/>
      <c r="C3533" s="115"/>
      <c r="D3533" s="115"/>
      <c r="E3533" s="115"/>
    </row>
    <row r="3534" spans="1:5" ht="13">
      <c r="A3534" s="115"/>
      <c r="B3534" s="115"/>
      <c r="C3534" s="115"/>
      <c r="D3534" s="115"/>
      <c r="E3534" s="115"/>
    </row>
    <row r="3535" spans="1:5" ht="13">
      <c r="A3535" s="115"/>
      <c r="B3535" s="115"/>
      <c r="C3535" s="115"/>
      <c r="D3535" s="115"/>
      <c r="E3535" s="115"/>
    </row>
    <row r="3536" spans="1:5" ht="13">
      <c r="A3536" s="115"/>
      <c r="B3536" s="115"/>
      <c r="C3536" s="115"/>
      <c r="D3536" s="115"/>
      <c r="E3536" s="115"/>
    </row>
    <row r="3537" spans="1:5" ht="13">
      <c r="A3537" s="115"/>
      <c r="B3537" s="115"/>
      <c r="C3537" s="115"/>
      <c r="D3537" s="115"/>
      <c r="E3537" s="115"/>
    </row>
    <row r="3538" spans="1:5" ht="13">
      <c r="A3538" s="115"/>
      <c r="B3538" s="115"/>
      <c r="C3538" s="115"/>
      <c r="D3538" s="115"/>
      <c r="E3538" s="115"/>
    </row>
    <row r="3539" spans="1:5" ht="13">
      <c r="A3539" s="115"/>
      <c r="B3539" s="115"/>
      <c r="C3539" s="115"/>
      <c r="D3539" s="115"/>
      <c r="E3539" s="115"/>
    </row>
    <row r="3540" spans="1:5" ht="13">
      <c r="A3540" s="115"/>
      <c r="B3540" s="115"/>
      <c r="C3540" s="115"/>
      <c r="D3540" s="115"/>
      <c r="E3540" s="115"/>
    </row>
    <row r="3541" spans="1:5" ht="13">
      <c r="A3541" s="115"/>
      <c r="B3541" s="115"/>
      <c r="C3541" s="115"/>
      <c r="D3541" s="115"/>
      <c r="E3541" s="115"/>
    </row>
    <row r="3542" spans="1:5" ht="13">
      <c r="A3542" s="115"/>
      <c r="B3542" s="115"/>
      <c r="C3542" s="115"/>
      <c r="D3542" s="115"/>
      <c r="E3542" s="115"/>
    </row>
    <row r="3543" spans="1:5" ht="13">
      <c r="A3543" s="115"/>
      <c r="B3543" s="115"/>
      <c r="C3543" s="115"/>
      <c r="D3543" s="115"/>
      <c r="E3543" s="115"/>
    </row>
    <row r="3544" spans="1:5" ht="13">
      <c r="A3544" s="115"/>
      <c r="B3544" s="115"/>
      <c r="C3544" s="115"/>
      <c r="D3544" s="115"/>
      <c r="E3544" s="115"/>
    </row>
    <row r="3545" spans="1:5" ht="13">
      <c r="A3545" s="115"/>
      <c r="B3545" s="115"/>
      <c r="C3545" s="115"/>
      <c r="D3545" s="115"/>
      <c r="E3545" s="115"/>
    </row>
    <row r="3546" spans="1:5" ht="13">
      <c r="A3546" s="115"/>
      <c r="B3546" s="115"/>
      <c r="C3546" s="115"/>
      <c r="D3546" s="115"/>
      <c r="E3546" s="115"/>
    </row>
    <row r="3547" spans="1:5" ht="13">
      <c r="A3547" s="115"/>
      <c r="B3547" s="115"/>
      <c r="C3547" s="115"/>
      <c r="D3547" s="115"/>
      <c r="E3547" s="115"/>
    </row>
    <row r="3548" spans="1:5" ht="13">
      <c r="A3548" s="115"/>
      <c r="B3548" s="115"/>
      <c r="C3548" s="115"/>
      <c r="D3548" s="115"/>
      <c r="E3548" s="115"/>
    </row>
    <row r="3549" spans="1:5" ht="13">
      <c r="A3549" s="115"/>
      <c r="B3549" s="115"/>
      <c r="C3549" s="115"/>
      <c r="D3549" s="115"/>
      <c r="E3549" s="115"/>
    </row>
    <row r="3550" spans="1:5" ht="13">
      <c r="A3550" s="115"/>
      <c r="B3550" s="115"/>
      <c r="C3550" s="115"/>
      <c r="D3550" s="115"/>
      <c r="E3550" s="115"/>
    </row>
    <row r="3551" spans="1:5" ht="13">
      <c r="A3551" s="115"/>
      <c r="B3551" s="115"/>
      <c r="C3551" s="115"/>
      <c r="D3551" s="115"/>
      <c r="E3551" s="115"/>
    </row>
    <row r="3552" spans="1:5" ht="13">
      <c r="A3552" s="115"/>
      <c r="B3552" s="115"/>
      <c r="C3552" s="115"/>
      <c r="D3552" s="115"/>
      <c r="E3552" s="115"/>
    </row>
    <row r="3553" spans="1:5" ht="13">
      <c r="A3553" s="115"/>
      <c r="B3553" s="115"/>
      <c r="C3553" s="115"/>
      <c r="D3553" s="115"/>
      <c r="E3553" s="115"/>
    </row>
    <row r="3554" spans="1:5" ht="13">
      <c r="A3554" s="115"/>
      <c r="B3554" s="115"/>
      <c r="C3554" s="115"/>
      <c r="D3554" s="115"/>
      <c r="E3554" s="115"/>
    </row>
    <row r="3555" spans="1:5" ht="13">
      <c r="A3555" s="115"/>
      <c r="B3555" s="115"/>
      <c r="C3555" s="115"/>
      <c r="D3555" s="115"/>
      <c r="E3555" s="115"/>
    </row>
    <row r="3556" spans="1:5" ht="13">
      <c r="A3556" s="115"/>
      <c r="B3556" s="115"/>
      <c r="C3556" s="115"/>
      <c r="D3556" s="115"/>
      <c r="E3556" s="115"/>
    </row>
    <row r="3557" spans="1:5" ht="13">
      <c r="A3557" s="115"/>
      <c r="B3557" s="115"/>
      <c r="C3557" s="115"/>
      <c r="D3557" s="115"/>
      <c r="E3557" s="115"/>
    </row>
    <row r="3558" spans="1:5" ht="13">
      <c r="A3558" s="115"/>
      <c r="B3558" s="115"/>
      <c r="C3558" s="115"/>
      <c r="D3558" s="115"/>
      <c r="E3558" s="115"/>
    </row>
    <row r="3559" spans="1:5" ht="13">
      <c r="A3559" s="115"/>
      <c r="B3559" s="115"/>
      <c r="C3559" s="115"/>
      <c r="D3559" s="115"/>
      <c r="E3559" s="115"/>
    </row>
    <row r="3560" spans="1:5" ht="13">
      <c r="A3560" s="115"/>
      <c r="B3560" s="115"/>
      <c r="C3560" s="115"/>
      <c r="D3560" s="115"/>
      <c r="E3560" s="115"/>
    </row>
    <row r="3561" spans="1:5" ht="13">
      <c r="A3561" s="115"/>
      <c r="B3561" s="115"/>
      <c r="C3561" s="115"/>
      <c r="D3561" s="115"/>
      <c r="E3561" s="115"/>
    </row>
    <row r="3562" spans="1:5" ht="13">
      <c r="A3562" s="115"/>
      <c r="B3562" s="115"/>
      <c r="C3562" s="115"/>
      <c r="D3562" s="115"/>
      <c r="E3562" s="115"/>
    </row>
    <row r="3563" spans="1:5" ht="13">
      <c r="A3563" s="115"/>
      <c r="B3563" s="115"/>
      <c r="C3563" s="115"/>
      <c r="D3563" s="115"/>
      <c r="E3563" s="115"/>
    </row>
    <row r="3564" spans="1:5" ht="13">
      <c r="A3564" s="115"/>
      <c r="B3564" s="115"/>
      <c r="C3564" s="115"/>
      <c r="D3564" s="115"/>
      <c r="E3564" s="115"/>
    </row>
    <row r="3565" spans="1:5" ht="13">
      <c r="A3565" s="115"/>
      <c r="B3565" s="115"/>
      <c r="C3565" s="115"/>
      <c r="D3565" s="115"/>
      <c r="E3565" s="115"/>
    </row>
    <row r="3566" spans="1:5" ht="13">
      <c r="A3566" s="115"/>
      <c r="B3566" s="115"/>
      <c r="C3566" s="115"/>
      <c r="D3566" s="115"/>
      <c r="E3566" s="115"/>
    </row>
    <row r="3567" spans="1:5" ht="13">
      <c r="A3567" s="115"/>
      <c r="B3567" s="115"/>
      <c r="C3567" s="115"/>
      <c r="D3567" s="115"/>
      <c r="E3567" s="115"/>
    </row>
    <row r="3568" spans="1:5" ht="13">
      <c r="A3568" s="115"/>
      <c r="B3568" s="115"/>
      <c r="C3568" s="115"/>
      <c r="D3568" s="115"/>
      <c r="E3568" s="115"/>
    </row>
    <row r="3569" spans="1:5" ht="13">
      <c r="A3569" s="115"/>
      <c r="B3569" s="115"/>
      <c r="C3569" s="115"/>
      <c r="D3569" s="115"/>
      <c r="E3569" s="115"/>
    </row>
    <row r="3570" spans="1:5" ht="13">
      <c r="A3570" s="115"/>
      <c r="B3570" s="115"/>
      <c r="C3570" s="115"/>
      <c r="D3570" s="115"/>
      <c r="E3570" s="115"/>
    </row>
    <row r="3571" spans="1:5" ht="13">
      <c r="A3571" s="115"/>
      <c r="B3571" s="115"/>
      <c r="C3571" s="115"/>
      <c r="D3571" s="115"/>
      <c r="E3571" s="115"/>
    </row>
    <row r="3572" spans="1:5" ht="13">
      <c r="A3572" s="115"/>
      <c r="B3572" s="115"/>
      <c r="C3572" s="115"/>
      <c r="D3572" s="115"/>
      <c r="E3572" s="115"/>
    </row>
    <row r="3573" spans="1:5" ht="13">
      <c r="A3573" s="115"/>
      <c r="B3573" s="115"/>
      <c r="C3573" s="115"/>
      <c r="D3573" s="115"/>
      <c r="E3573" s="115"/>
    </row>
    <row r="3574" spans="1:5" ht="13">
      <c r="A3574" s="115"/>
      <c r="B3574" s="115"/>
      <c r="C3574" s="115"/>
      <c r="D3574" s="115"/>
      <c r="E3574" s="115"/>
    </row>
    <row r="3575" spans="1:5" ht="13">
      <c r="A3575" s="115"/>
      <c r="B3575" s="115"/>
      <c r="C3575" s="115"/>
      <c r="D3575" s="115"/>
      <c r="E3575" s="115"/>
    </row>
    <row r="3576" spans="1:5" ht="13">
      <c r="A3576" s="115"/>
      <c r="B3576" s="115"/>
      <c r="C3576" s="115"/>
      <c r="D3576" s="115"/>
      <c r="E3576" s="115"/>
    </row>
    <row r="3577" spans="1:5" ht="13">
      <c r="A3577" s="115"/>
      <c r="B3577" s="115"/>
      <c r="C3577" s="115"/>
      <c r="D3577" s="115"/>
      <c r="E3577" s="115"/>
    </row>
    <row r="3578" spans="1:5" ht="13">
      <c r="A3578" s="115"/>
      <c r="B3578" s="115"/>
      <c r="C3578" s="115"/>
      <c r="D3578" s="115"/>
      <c r="E3578" s="115"/>
    </row>
    <row r="3579" spans="1:5" ht="13">
      <c r="A3579" s="115"/>
      <c r="B3579" s="115"/>
      <c r="C3579" s="115"/>
      <c r="D3579" s="115"/>
      <c r="E3579" s="115"/>
    </row>
    <row r="3580" spans="1:5" ht="13">
      <c r="A3580" s="115"/>
      <c r="B3580" s="115"/>
      <c r="C3580" s="115"/>
      <c r="D3580" s="115"/>
      <c r="E3580" s="115"/>
    </row>
    <row r="3581" spans="1:5" ht="13">
      <c r="A3581" s="115"/>
      <c r="B3581" s="115"/>
      <c r="C3581" s="115"/>
      <c r="D3581" s="115"/>
      <c r="E3581" s="115"/>
    </row>
    <row r="3582" spans="1:5" ht="13">
      <c r="A3582" s="115"/>
      <c r="B3582" s="115"/>
      <c r="C3582" s="115"/>
      <c r="D3582" s="115"/>
      <c r="E3582" s="115"/>
    </row>
    <row r="3583" spans="1:5" ht="13">
      <c r="A3583" s="115"/>
      <c r="B3583" s="115"/>
      <c r="C3583" s="115"/>
      <c r="D3583" s="115"/>
      <c r="E3583" s="115"/>
    </row>
    <row r="3584" spans="1:5" ht="13">
      <c r="A3584" s="115"/>
      <c r="B3584" s="115"/>
      <c r="C3584" s="115"/>
      <c r="D3584" s="115"/>
      <c r="E3584" s="115"/>
    </row>
    <row r="3585" spans="1:5" ht="13">
      <c r="A3585" s="115"/>
      <c r="B3585" s="115"/>
      <c r="C3585" s="115"/>
      <c r="D3585" s="115"/>
      <c r="E3585" s="115"/>
    </row>
    <row r="3586" spans="1:5" ht="13">
      <c r="A3586" s="115"/>
      <c r="B3586" s="115"/>
      <c r="C3586" s="115"/>
      <c r="D3586" s="115"/>
      <c r="E3586" s="115"/>
    </row>
    <row r="3587" spans="1:5" ht="13">
      <c r="A3587" s="115"/>
      <c r="B3587" s="115"/>
      <c r="C3587" s="115"/>
      <c r="D3587" s="115"/>
      <c r="E3587" s="115"/>
    </row>
    <row r="3588" spans="1:5" ht="13">
      <c r="A3588" s="115"/>
      <c r="B3588" s="115"/>
      <c r="C3588" s="115"/>
      <c r="D3588" s="115"/>
      <c r="E3588" s="115"/>
    </row>
    <row r="3589" spans="1:5" ht="13">
      <c r="A3589" s="115"/>
      <c r="B3589" s="115"/>
      <c r="C3589" s="115"/>
      <c r="D3589" s="115"/>
      <c r="E3589" s="115"/>
    </row>
    <row r="3590" spans="1:5" ht="13">
      <c r="A3590" s="115"/>
      <c r="B3590" s="115"/>
      <c r="C3590" s="115"/>
      <c r="D3590" s="115"/>
      <c r="E3590" s="115"/>
    </row>
    <row r="3591" spans="1:5" ht="13">
      <c r="A3591" s="115"/>
      <c r="B3591" s="115"/>
      <c r="C3591" s="115"/>
      <c r="D3591" s="115"/>
      <c r="E3591" s="115"/>
    </row>
    <row r="3592" spans="1:5" ht="13">
      <c r="A3592" s="115"/>
      <c r="B3592" s="115"/>
      <c r="C3592" s="115"/>
      <c r="D3592" s="115"/>
      <c r="E3592" s="115"/>
    </row>
    <row r="3593" spans="1:5" ht="13">
      <c r="A3593" s="115"/>
      <c r="B3593" s="115"/>
      <c r="C3593" s="115"/>
      <c r="D3593" s="115"/>
      <c r="E3593" s="115"/>
    </row>
    <row r="3594" spans="1:5" ht="13">
      <c r="A3594" s="115"/>
      <c r="B3594" s="115"/>
      <c r="C3594" s="115"/>
      <c r="D3594" s="115"/>
      <c r="E3594" s="115"/>
    </row>
    <row r="3595" spans="1:5" ht="13">
      <c r="A3595" s="115"/>
      <c r="B3595" s="115"/>
      <c r="C3595" s="115"/>
      <c r="D3595" s="115"/>
      <c r="E3595" s="115"/>
    </row>
    <row r="3596" spans="1:5" ht="13">
      <c r="A3596" s="115"/>
      <c r="B3596" s="115"/>
      <c r="C3596" s="115"/>
      <c r="D3596" s="115"/>
      <c r="E3596" s="115"/>
    </row>
    <row r="3597" spans="1:5" ht="13">
      <c r="A3597" s="115"/>
      <c r="B3597" s="115"/>
      <c r="C3597" s="115"/>
      <c r="D3597" s="115"/>
      <c r="E3597" s="115"/>
    </row>
    <row r="3598" spans="1:5" ht="13">
      <c r="A3598" s="115"/>
      <c r="B3598" s="115"/>
      <c r="C3598" s="115"/>
      <c r="D3598" s="115"/>
      <c r="E3598" s="115"/>
    </row>
    <row r="3599" spans="1:5" ht="13">
      <c r="A3599" s="115"/>
      <c r="B3599" s="115"/>
      <c r="C3599" s="115"/>
      <c r="D3599" s="115"/>
      <c r="E3599" s="115"/>
    </row>
    <row r="3600" spans="1:5" ht="13">
      <c r="A3600" s="115"/>
      <c r="B3600" s="115"/>
      <c r="C3600" s="115"/>
      <c r="D3600" s="115"/>
      <c r="E3600" s="115"/>
    </row>
    <row r="3601" spans="1:5" ht="13">
      <c r="A3601" s="115"/>
      <c r="B3601" s="115"/>
      <c r="C3601" s="115"/>
      <c r="D3601" s="115"/>
      <c r="E3601" s="115"/>
    </row>
    <row r="3602" spans="1:5" ht="13">
      <c r="A3602" s="115"/>
      <c r="B3602" s="115"/>
      <c r="C3602" s="115"/>
      <c r="D3602" s="115"/>
      <c r="E3602" s="115"/>
    </row>
    <row r="3603" spans="1:5" ht="13">
      <c r="A3603" s="115"/>
      <c r="B3603" s="115"/>
      <c r="C3603" s="115"/>
      <c r="D3603" s="115"/>
      <c r="E3603" s="115"/>
    </row>
    <row r="3604" spans="1:5" ht="13">
      <c r="A3604" s="115"/>
      <c r="B3604" s="115"/>
      <c r="C3604" s="115"/>
      <c r="D3604" s="115"/>
      <c r="E3604" s="115"/>
    </row>
    <row r="3605" spans="1:5" ht="13">
      <c r="A3605" s="115"/>
      <c r="B3605" s="115"/>
      <c r="C3605" s="115"/>
      <c r="D3605" s="115"/>
      <c r="E3605" s="115"/>
    </row>
    <row r="3606" spans="1:5" ht="13">
      <c r="A3606" s="115"/>
      <c r="B3606" s="115"/>
      <c r="C3606" s="115"/>
      <c r="D3606" s="115"/>
      <c r="E3606" s="115"/>
    </row>
    <row r="3607" spans="1:5" ht="13">
      <c r="A3607" s="115"/>
      <c r="B3607" s="115"/>
      <c r="C3607" s="115"/>
      <c r="D3607" s="115"/>
      <c r="E3607" s="115"/>
    </row>
    <row r="3608" spans="1:5" ht="13">
      <c r="A3608" s="115"/>
      <c r="B3608" s="115"/>
      <c r="C3608" s="115"/>
      <c r="D3608" s="115"/>
      <c r="E3608" s="115"/>
    </row>
    <row r="3609" spans="1:5" ht="13">
      <c r="A3609" s="115"/>
      <c r="B3609" s="115"/>
      <c r="C3609" s="115"/>
      <c r="D3609" s="115"/>
      <c r="E3609" s="115"/>
    </row>
    <row r="3610" spans="1:5" ht="13">
      <c r="A3610" s="115"/>
      <c r="B3610" s="115"/>
      <c r="C3610" s="115"/>
      <c r="D3610" s="115"/>
      <c r="E3610" s="115"/>
    </row>
    <row r="3611" spans="1:5" ht="13">
      <c r="A3611" s="115"/>
      <c r="B3611" s="115"/>
      <c r="C3611" s="115"/>
      <c r="D3611" s="115"/>
      <c r="E3611" s="115"/>
    </row>
    <row r="3612" spans="1:5" ht="13">
      <c r="A3612" s="115"/>
      <c r="B3612" s="115"/>
      <c r="C3612" s="115"/>
      <c r="D3612" s="115"/>
      <c r="E3612" s="115"/>
    </row>
    <row r="3613" spans="1:5" ht="13">
      <c r="A3613" s="115"/>
      <c r="B3613" s="115"/>
      <c r="C3613" s="115"/>
      <c r="D3613" s="115"/>
      <c r="E3613" s="115"/>
    </row>
    <row r="3614" spans="1:5" ht="13">
      <c r="A3614" s="115"/>
      <c r="B3614" s="115"/>
      <c r="C3614" s="115"/>
      <c r="D3614" s="115"/>
      <c r="E3614" s="115"/>
    </row>
    <row r="3615" spans="1:5" ht="13">
      <c r="A3615" s="115"/>
      <c r="B3615" s="115"/>
      <c r="C3615" s="115"/>
      <c r="D3615" s="115"/>
      <c r="E3615" s="115"/>
    </row>
    <row r="3616" spans="1:5" ht="13">
      <c r="A3616" s="115"/>
      <c r="B3616" s="115"/>
      <c r="C3616" s="115"/>
      <c r="D3616" s="115"/>
      <c r="E3616" s="115"/>
    </row>
    <row r="3617" spans="1:5" ht="13">
      <c r="A3617" s="115"/>
      <c r="B3617" s="115"/>
      <c r="C3617" s="115"/>
      <c r="D3617" s="115"/>
      <c r="E3617" s="115"/>
    </row>
    <row r="3618" spans="1:5" ht="13">
      <c r="A3618" s="115"/>
      <c r="B3618" s="115"/>
      <c r="C3618" s="115"/>
      <c r="D3618" s="115"/>
      <c r="E3618" s="115"/>
    </row>
    <row r="3619" spans="1:5" ht="13">
      <c r="A3619" s="115"/>
      <c r="B3619" s="115"/>
      <c r="C3619" s="115"/>
      <c r="D3619" s="115"/>
      <c r="E3619" s="115"/>
    </row>
    <row r="3620" spans="1:5" ht="13">
      <c r="A3620" s="115"/>
      <c r="B3620" s="115"/>
      <c r="C3620" s="115"/>
      <c r="D3620" s="115"/>
      <c r="E3620" s="115"/>
    </row>
    <row r="3621" spans="1:5" ht="13">
      <c r="A3621" s="115"/>
      <c r="B3621" s="115"/>
      <c r="C3621" s="115"/>
      <c r="D3621" s="115"/>
      <c r="E3621" s="115"/>
    </row>
    <row r="3622" spans="1:5" ht="13">
      <c r="A3622" s="115"/>
      <c r="B3622" s="115"/>
      <c r="C3622" s="115"/>
      <c r="D3622" s="115"/>
      <c r="E3622" s="115"/>
    </row>
    <row r="3623" spans="1:5" ht="13">
      <c r="A3623" s="115"/>
      <c r="B3623" s="115"/>
      <c r="C3623" s="115"/>
      <c r="D3623" s="115"/>
      <c r="E3623" s="115"/>
    </row>
    <row r="3624" spans="1:5" ht="13">
      <c r="A3624" s="115"/>
      <c r="B3624" s="115"/>
      <c r="C3624" s="115"/>
      <c r="D3624" s="115"/>
      <c r="E3624" s="115"/>
    </row>
    <row r="3625" spans="1:5" ht="13">
      <c r="A3625" s="115"/>
      <c r="B3625" s="115"/>
      <c r="C3625" s="115"/>
      <c r="D3625" s="115"/>
      <c r="E3625" s="115"/>
    </row>
    <row r="3626" spans="1:5" ht="13">
      <c r="A3626" s="115"/>
      <c r="B3626" s="115"/>
      <c r="C3626" s="115"/>
      <c r="D3626" s="115"/>
      <c r="E3626" s="115"/>
    </row>
    <row r="3627" spans="1:5" ht="13">
      <c r="A3627" s="115"/>
      <c r="B3627" s="115"/>
      <c r="C3627" s="115"/>
      <c r="D3627" s="115"/>
      <c r="E3627" s="115"/>
    </row>
    <row r="3628" spans="1:5" ht="13">
      <c r="A3628" s="115"/>
      <c r="B3628" s="115"/>
      <c r="C3628" s="115"/>
      <c r="D3628" s="115"/>
      <c r="E3628" s="115"/>
    </row>
    <row r="3629" spans="1:5" ht="13">
      <c r="A3629" s="115"/>
      <c r="B3629" s="115"/>
      <c r="C3629" s="115"/>
      <c r="D3629" s="115"/>
      <c r="E3629" s="115"/>
    </row>
    <row r="3630" spans="1:5" ht="13">
      <c r="A3630" s="115"/>
      <c r="B3630" s="115"/>
      <c r="C3630" s="115"/>
      <c r="D3630" s="115"/>
      <c r="E3630" s="115"/>
    </row>
    <row r="3631" spans="1:5" ht="13">
      <c r="A3631" s="115"/>
      <c r="B3631" s="115"/>
      <c r="C3631" s="115"/>
      <c r="D3631" s="115"/>
      <c r="E3631" s="115"/>
    </row>
    <row r="3632" spans="1:5" ht="13">
      <c r="A3632" s="115"/>
      <c r="B3632" s="115"/>
      <c r="C3632" s="115"/>
      <c r="D3632" s="115"/>
      <c r="E3632" s="115"/>
    </row>
    <row r="3633" spans="1:5" ht="13">
      <c r="A3633" s="115"/>
      <c r="B3633" s="115"/>
      <c r="C3633" s="115"/>
      <c r="D3633" s="115"/>
      <c r="E3633" s="115"/>
    </row>
    <row r="3634" spans="1:5" ht="13">
      <c r="A3634" s="115"/>
      <c r="B3634" s="115"/>
      <c r="C3634" s="115"/>
      <c r="D3634" s="115"/>
      <c r="E3634" s="115"/>
    </row>
    <row r="3635" spans="1:5" ht="13">
      <c r="A3635" s="115"/>
      <c r="B3635" s="115"/>
      <c r="C3635" s="115"/>
      <c r="D3635" s="115"/>
      <c r="E3635" s="115"/>
    </row>
    <row r="3636" spans="1:5" ht="13">
      <c r="A3636" s="115"/>
      <c r="B3636" s="115"/>
      <c r="C3636" s="115"/>
      <c r="D3636" s="115"/>
      <c r="E3636" s="115"/>
    </row>
    <row r="3637" spans="1:5" ht="13">
      <c r="A3637" s="115"/>
      <c r="B3637" s="115"/>
      <c r="C3637" s="115"/>
      <c r="D3637" s="115"/>
      <c r="E3637" s="115"/>
    </row>
    <row r="3638" spans="1:5" ht="13">
      <c r="A3638" s="115"/>
      <c r="B3638" s="115"/>
      <c r="C3638" s="115"/>
      <c r="D3638" s="115"/>
      <c r="E3638" s="115"/>
    </row>
    <row r="3639" spans="1:5" ht="13">
      <c r="A3639" s="115"/>
      <c r="B3639" s="115"/>
      <c r="C3639" s="115"/>
      <c r="D3639" s="115"/>
      <c r="E3639" s="115"/>
    </row>
    <row r="3640" spans="1:5" ht="13">
      <c r="A3640" s="115"/>
      <c r="B3640" s="115"/>
      <c r="C3640" s="115"/>
      <c r="D3640" s="115"/>
      <c r="E3640" s="115"/>
    </row>
    <row r="3641" spans="1:5" ht="13">
      <c r="A3641" s="115"/>
      <c r="B3641" s="115"/>
      <c r="C3641" s="115"/>
      <c r="D3641" s="115"/>
      <c r="E3641" s="115"/>
    </row>
    <row r="3642" spans="1:5" ht="13">
      <c r="A3642" s="115"/>
      <c r="B3642" s="115"/>
      <c r="C3642" s="115"/>
      <c r="D3642" s="115"/>
      <c r="E3642" s="115"/>
    </row>
    <row r="3643" spans="1:5" ht="13">
      <c r="A3643" s="115"/>
      <c r="B3643" s="115"/>
      <c r="C3643" s="115"/>
      <c r="D3643" s="115"/>
      <c r="E3643" s="115"/>
    </row>
    <row r="3644" spans="1:5" ht="13">
      <c r="A3644" s="115"/>
      <c r="B3644" s="115"/>
      <c r="C3644" s="115"/>
      <c r="D3644" s="115"/>
      <c r="E3644" s="115"/>
    </row>
    <row r="3645" spans="1:5" ht="13">
      <c r="A3645" s="115"/>
      <c r="B3645" s="115"/>
      <c r="C3645" s="115"/>
      <c r="D3645" s="115"/>
      <c r="E3645" s="115"/>
    </row>
    <row r="3646" spans="1:5" ht="13">
      <c r="A3646" s="115"/>
      <c r="B3646" s="115"/>
      <c r="C3646" s="115"/>
      <c r="D3646" s="115"/>
      <c r="E3646" s="115"/>
    </row>
    <row r="3647" spans="1:5" ht="13">
      <c r="A3647" s="115"/>
      <c r="B3647" s="115"/>
      <c r="C3647" s="115"/>
      <c r="D3647" s="115"/>
      <c r="E3647" s="115"/>
    </row>
    <row r="3648" spans="1:5" ht="13">
      <c r="A3648" s="115"/>
      <c r="B3648" s="115"/>
      <c r="C3648" s="115"/>
      <c r="D3648" s="115"/>
      <c r="E3648" s="115"/>
    </row>
    <row r="3649" spans="1:5" ht="13">
      <c r="A3649" s="115"/>
      <c r="B3649" s="115"/>
      <c r="C3649" s="115"/>
      <c r="D3649" s="115"/>
      <c r="E3649" s="115"/>
    </row>
    <row r="3650" spans="1:5" ht="13">
      <c r="A3650" s="115"/>
      <c r="B3650" s="115"/>
      <c r="C3650" s="115"/>
      <c r="D3650" s="115"/>
      <c r="E3650" s="115"/>
    </row>
    <row r="3651" spans="1:5" ht="13">
      <c r="A3651" s="115"/>
      <c r="B3651" s="115"/>
      <c r="C3651" s="115"/>
      <c r="D3651" s="115"/>
      <c r="E3651" s="115"/>
    </row>
    <row r="3652" spans="1:5" ht="13">
      <c r="A3652" s="115"/>
      <c r="B3652" s="115"/>
      <c r="C3652" s="115"/>
      <c r="D3652" s="115"/>
      <c r="E3652" s="115"/>
    </row>
    <row r="3653" spans="1:5" ht="13">
      <c r="A3653" s="115"/>
      <c r="B3653" s="115"/>
      <c r="C3653" s="115"/>
      <c r="D3653" s="115"/>
      <c r="E3653" s="115"/>
    </row>
    <row r="3654" spans="1:5" ht="13">
      <c r="A3654" s="115"/>
      <c r="B3654" s="115"/>
      <c r="C3654" s="115"/>
      <c r="D3654" s="115"/>
      <c r="E3654" s="115"/>
    </row>
    <row r="3655" spans="1:5" ht="13">
      <c r="A3655" s="115"/>
      <c r="B3655" s="115"/>
      <c r="C3655" s="115"/>
      <c r="D3655" s="115"/>
      <c r="E3655" s="115"/>
    </row>
    <row r="3656" spans="1:5" ht="13">
      <c r="A3656" s="115"/>
      <c r="B3656" s="115"/>
      <c r="C3656" s="115"/>
      <c r="D3656" s="115"/>
      <c r="E3656" s="115"/>
    </row>
    <row r="3657" spans="1:5" ht="13">
      <c r="A3657" s="115"/>
      <c r="B3657" s="115"/>
      <c r="C3657" s="115"/>
      <c r="D3657" s="115"/>
      <c r="E3657" s="115"/>
    </row>
    <row r="3658" spans="1:5" ht="13">
      <c r="A3658" s="115"/>
      <c r="B3658" s="115"/>
      <c r="C3658" s="115"/>
      <c r="D3658" s="115"/>
      <c r="E3658" s="115"/>
    </row>
    <row r="3659" spans="1:5" ht="13">
      <c r="A3659" s="115"/>
      <c r="B3659" s="115"/>
      <c r="C3659" s="115"/>
      <c r="D3659" s="115"/>
      <c r="E3659" s="115"/>
    </row>
    <row r="3660" spans="1:5" ht="13">
      <c r="A3660" s="115"/>
      <c r="B3660" s="115"/>
      <c r="C3660" s="115"/>
      <c r="D3660" s="115"/>
      <c r="E3660" s="115"/>
    </row>
    <row r="3661" spans="1:5" ht="13">
      <c r="A3661" s="115"/>
      <c r="B3661" s="115"/>
      <c r="C3661" s="115"/>
      <c r="D3661" s="115"/>
      <c r="E3661" s="115"/>
    </row>
    <row r="3662" spans="1:5" ht="13">
      <c r="A3662" s="115"/>
      <c r="B3662" s="115"/>
      <c r="C3662" s="115"/>
      <c r="D3662" s="115"/>
      <c r="E3662" s="115"/>
    </row>
    <row r="3663" spans="1:5" ht="13">
      <c r="A3663" s="115"/>
      <c r="B3663" s="115"/>
      <c r="C3663" s="115"/>
      <c r="D3663" s="115"/>
      <c r="E3663" s="115"/>
    </row>
    <row r="3664" spans="1:5" ht="13">
      <c r="A3664" s="115"/>
      <c r="B3664" s="115"/>
      <c r="C3664" s="115"/>
      <c r="D3664" s="115"/>
      <c r="E3664" s="115"/>
    </row>
    <row r="3665" spans="1:5" ht="13">
      <c r="A3665" s="115"/>
      <c r="B3665" s="115"/>
      <c r="C3665" s="115"/>
      <c r="D3665" s="115"/>
      <c r="E3665" s="115"/>
    </row>
    <row r="3666" spans="1:5" ht="13">
      <c r="A3666" s="115"/>
      <c r="B3666" s="115"/>
      <c r="C3666" s="115"/>
      <c r="D3666" s="115"/>
      <c r="E3666" s="115"/>
    </row>
    <row r="3667" spans="1:5" ht="13">
      <c r="A3667" s="115"/>
      <c r="B3667" s="115"/>
      <c r="C3667" s="115"/>
      <c r="D3667" s="115"/>
      <c r="E3667" s="115"/>
    </row>
    <row r="3668" spans="1:5" ht="13">
      <c r="A3668" s="115"/>
      <c r="B3668" s="115"/>
      <c r="C3668" s="115"/>
      <c r="D3668" s="115"/>
      <c r="E3668" s="115"/>
    </row>
    <row r="3669" spans="1:5" ht="13">
      <c r="A3669" s="115"/>
      <c r="B3669" s="115"/>
      <c r="C3669" s="115"/>
      <c r="D3669" s="115"/>
      <c r="E3669" s="115"/>
    </row>
    <row r="3670" spans="1:5" ht="13">
      <c r="A3670" s="115"/>
      <c r="B3670" s="115"/>
      <c r="C3670" s="115"/>
      <c r="D3670" s="115"/>
      <c r="E3670" s="115"/>
    </row>
    <row r="3671" spans="1:5" ht="13">
      <c r="A3671" s="115"/>
      <c r="B3671" s="115"/>
      <c r="C3671" s="115"/>
      <c r="D3671" s="115"/>
      <c r="E3671" s="115"/>
    </row>
    <row r="3672" spans="1:5" ht="13">
      <c r="A3672" s="115"/>
      <c r="B3672" s="115"/>
      <c r="C3672" s="115"/>
      <c r="D3672" s="115"/>
      <c r="E3672" s="115"/>
    </row>
    <row r="3673" spans="1:5" ht="13">
      <c r="A3673" s="115"/>
      <c r="B3673" s="115"/>
      <c r="C3673" s="115"/>
      <c r="D3673" s="115"/>
      <c r="E3673" s="115"/>
    </row>
    <row r="3674" spans="1:5" ht="13">
      <c r="A3674" s="115"/>
      <c r="B3674" s="115"/>
      <c r="C3674" s="115"/>
      <c r="D3674" s="115"/>
      <c r="E3674" s="115"/>
    </row>
    <row r="3675" spans="1:5" ht="13">
      <c r="A3675" s="115"/>
      <c r="B3675" s="115"/>
      <c r="C3675" s="115"/>
      <c r="D3675" s="115"/>
      <c r="E3675" s="115"/>
    </row>
    <row r="3676" spans="1:5" ht="13">
      <c r="A3676" s="115"/>
      <c r="B3676" s="115"/>
      <c r="C3676" s="115"/>
      <c r="D3676" s="115"/>
      <c r="E3676" s="115"/>
    </row>
    <row r="3677" spans="1:5" ht="13">
      <c r="A3677" s="115"/>
      <c r="B3677" s="115"/>
      <c r="C3677" s="115"/>
      <c r="D3677" s="115"/>
      <c r="E3677" s="115"/>
    </row>
    <row r="3678" spans="1:5" ht="13">
      <c r="A3678" s="115"/>
      <c r="B3678" s="115"/>
      <c r="C3678" s="115"/>
      <c r="D3678" s="115"/>
      <c r="E3678" s="115"/>
    </row>
    <row r="3679" spans="1:5" ht="13">
      <c r="A3679" s="115"/>
      <c r="B3679" s="115"/>
      <c r="C3679" s="115"/>
      <c r="D3679" s="115"/>
      <c r="E3679" s="115"/>
    </row>
    <row r="3680" spans="1:5" ht="13">
      <c r="A3680" s="115"/>
      <c r="B3680" s="115"/>
      <c r="C3680" s="115"/>
      <c r="D3680" s="115"/>
      <c r="E3680" s="115"/>
    </row>
    <row r="3681" spans="1:5" ht="13">
      <c r="A3681" s="115"/>
      <c r="B3681" s="115"/>
      <c r="C3681" s="115"/>
      <c r="D3681" s="115"/>
      <c r="E3681" s="115"/>
    </row>
    <row r="3682" spans="1:5" ht="13">
      <c r="A3682" s="115"/>
      <c r="B3682" s="115"/>
      <c r="C3682" s="115"/>
      <c r="D3682" s="115"/>
      <c r="E3682" s="115"/>
    </row>
    <row r="3683" spans="1:5" ht="13">
      <c r="A3683" s="115"/>
      <c r="B3683" s="115"/>
      <c r="C3683" s="115"/>
      <c r="D3683" s="115"/>
      <c r="E3683" s="115"/>
    </row>
    <row r="3684" spans="1:5" ht="13">
      <c r="A3684" s="115"/>
      <c r="B3684" s="115"/>
      <c r="C3684" s="115"/>
      <c r="D3684" s="115"/>
      <c r="E3684" s="115"/>
    </row>
    <row r="3685" spans="1:5" ht="13">
      <c r="A3685" s="115"/>
      <c r="B3685" s="115"/>
      <c r="C3685" s="115"/>
      <c r="D3685" s="115"/>
      <c r="E3685" s="115"/>
    </row>
    <row r="3686" spans="1:5" ht="13">
      <c r="A3686" s="115"/>
      <c r="B3686" s="115"/>
      <c r="C3686" s="115"/>
      <c r="D3686" s="115"/>
      <c r="E3686" s="115"/>
    </row>
    <row r="3687" spans="1:5" ht="13">
      <c r="A3687" s="115"/>
      <c r="B3687" s="115"/>
      <c r="C3687" s="115"/>
      <c r="D3687" s="115"/>
      <c r="E3687" s="115"/>
    </row>
    <row r="3688" spans="1:5" ht="13">
      <c r="A3688" s="115"/>
      <c r="B3688" s="115"/>
      <c r="C3688" s="115"/>
      <c r="D3688" s="115"/>
      <c r="E3688" s="115"/>
    </row>
    <row r="3689" spans="1:5" ht="13">
      <c r="A3689" s="115"/>
      <c r="B3689" s="115"/>
      <c r="C3689" s="115"/>
      <c r="D3689" s="115"/>
      <c r="E3689" s="115"/>
    </row>
    <row r="3690" spans="1:5" ht="13">
      <c r="A3690" s="115"/>
      <c r="B3690" s="115"/>
      <c r="C3690" s="115"/>
      <c r="D3690" s="115"/>
      <c r="E3690" s="115"/>
    </row>
    <row r="3691" spans="1:5" ht="13">
      <c r="A3691" s="115"/>
      <c r="B3691" s="115"/>
      <c r="C3691" s="115"/>
      <c r="D3691" s="115"/>
      <c r="E3691" s="115"/>
    </row>
    <row r="3692" spans="1:5" ht="13">
      <c r="A3692" s="115"/>
      <c r="B3692" s="115"/>
      <c r="C3692" s="115"/>
      <c r="D3692" s="115"/>
      <c r="E3692" s="115"/>
    </row>
    <row r="3693" spans="1:5" ht="13">
      <c r="A3693" s="115"/>
      <c r="B3693" s="115"/>
      <c r="C3693" s="115"/>
      <c r="D3693" s="115"/>
      <c r="E3693" s="115"/>
    </row>
    <row r="3694" spans="1:5" ht="13">
      <c r="A3694" s="115"/>
      <c r="B3694" s="115"/>
      <c r="C3694" s="115"/>
      <c r="D3694" s="115"/>
      <c r="E3694" s="115"/>
    </row>
    <row r="3695" spans="1:5" ht="13">
      <c r="A3695" s="115"/>
      <c r="B3695" s="115"/>
      <c r="C3695" s="115"/>
      <c r="D3695" s="115"/>
      <c r="E3695" s="115"/>
    </row>
    <row r="3696" spans="1:5" ht="13">
      <c r="A3696" s="115"/>
      <c r="B3696" s="115"/>
      <c r="C3696" s="115"/>
      <c r="D3696" s="115"/>
      <c r="E3696" s="115"/>
    </row>
    <row r="3697" spans="1:5" ht="13">
      <c r="A3697" s="115"/>
      <c r="B3697" s="115"/>
      <c r="C3697" s="115"/>
      <c r="D3697" s="115"/>
      <c r="E3697" s="115"/>
    </row>
    <row r="3698" spans="1:5" ht="13">
      <c r="A3698" s="115"/>
      <c r="B3698" s="115"/>
      <c r="C3698" s="115"/>
      <c r="D3698" s="115"/>
      <c r="E3698" s="115"/>
    </row>
    <row r="3699" spans="1:5" ht="13">
      <c r="A3699" s="115"/>
      <c r="B3699" s="115"/>
      <c r="C3699" s="115"/>
      <c r="D3699" s="115"/>
      <c r="E3699" s="115"/>
    </row>
    <row r="3700" spans="1:5" ht="13">
      <c r="A3700" s="115"/>
      <c r="B3700" s="115"/>
      <c r="C3700" s="115"/>
      <c r="D3700" s="115"/>
      <c r="E3700" s="115"/>
    </row>
    <row r="3701" spans="1:5" ht="13">
      <c r="A3701" s="115"/>
      <c r="B3701" s="115"/>
      <c r="C3701" s="115"/>
      <c r="D3701" s="115"/>
      <c r="E3701" s="115"/>
    </row>
    <row r="3702" spans="1:5" ht="13">
      <c r="A3702" s="115"/>
      <c r="B3702" s="115"/>
      <c r="C3702" s="115"/>
      <c r="D3702" s="115"/>
      <c r="E3702" s="115"/>
    </row>
    <row r="3703" spans="1:5" ht="13">
      <c r="A3703" s="115"/>
      <c r="B3703" s="115"/>
      <c r="C3703" s="115"/>
      <c r="D3703" s="115"/>
      <c r="E3703" s="115"/>
    </row>
    <row r="3704" spans="1:5" ht="13">
      <c r="A3704" s="115"/>
      <c r="B3704" s="115"/>
      <c r="C3704" s="115"/>
      <c r="D3704" s="115"/>
      <c r="E3704" s="115"/>
    </row>
    <row r="3705" spans="1:5" ht="13">
      <c r="A3705" s="115"/>
      <c r="B3705" s="115"/>
      <c r="C3705" s="115"/>
      <c r="D3705" s="115"/>
      <c r="E3705" s="115"/>
    </row>
    <row r="3706" spans="1:5" ht="13">
      <c r="A3706" s="115"/>
      <c r="B3706" s="115"/>
      <c r="C3706" s="115"/>
      <c r="D3706" s="115"/>
      <c r="E3706" s="115"/>
    </row>
    <row r="3707" spans="1:5" ht="13">
      <c r="A3707" s="115"/>
      <c r="B3707" s="115"/>
      <c r="C3707" s="115"/>
      <c r="D3707" s="115"/>
      <c r="E3707" s="115"/>
    </row>
    <row r="3708" spans="1:5" ht="13">
      <c r="A3708" s="115"/>
      <c r="B3708" s="115"/>
      <c r="C3708" s="115"/>
      <c r="D3708" s="115"/>
      <c r="E3708" s="115"/>
    </row>
    <row r="3709" spans="1:5" ht="13">
      <c r="A3709" s="115"/>
      <c r="B3709" s="115"/>
      <c r="C3709" s="115"/>
      <c r="D3709" s="115"/>
      <c r="E3709" s="115"/>
    </row>
    <row r="3710" spans="1:5" ht="13">
      <c r="A3710" s="115"/>
      <c r="B3710" s="115"/>
      <c r="C3710" s="115"/>
      <c r="D3710" s="115"/>
      <c r="E3710" s="115"/>
    </row>
    <row r="3711" spans="1:5" ht="13">
      <c r="A3711" s="115"/>
      <c r="B3711" s="115"/>
      <c r="C3711" s="115"/>
      <c r="D3711" s="115"/>
      <c r="E3711" s="115"/>
    </row>
    <row r="3712" spans="1:5" ht="13">
      <c r="A3712" s="115"/>
      <c r="B3712" s="115"/>
      <c r="C3712" s="115"/>
      <c r="D3712" s="115"/>
      <c r="E3712" s="115"/>
    </row>
    <row r="3713" spans="1:5" ht="13">
      <c r="A3713" s="115"/>
      <c r="B3713" s="115"/>
      <c r="C3713" s="115"/>
      <c r="D3713" s="115"/>
      <c r="E3713" s="115"/>
    </row>
    <row r="3714" spans="1:5" ht="13">
      <c r="A3714" s="115"/>
      <c r="B3714" s="115"/>
      <c r="C3714" s="115"/>
      <c r="D3714" s="115"/>
      <c r="E3714" s="115"/>
    </row>
    <row r="3715" spans="1:5" ht="13">
      <c r="A3715" s="115"/>
      <c r="B3715" s="115"/>
      <c r="C3715" s="115"/>
      <c r="D3715" s="115"/>
      <c r="E3715" s="115"/>
    </row>
    <row r="3716" spans="1:5" ht="13">
      <c r="A3716" s="115"/>
      <c r="B3716" s="115"/>
      <c r="C3716" s="115"/>
      <c r="D3716" s="115"/>
      <c r="E3716" s="115"/>
    </row>
    <row r="3717" spans="1:5" ht="13">
      <c r="A3717" s="115"/>
      <c r="B3717" s="115"/>
      <c r="C3717" s="115"/>
      <c r="D3717" s="115"/>
      <c r="E3717" s="115"/>
    </row>
    <row r="3718" spans="1:5" ht="13">
      <c r="A3718" s="115"/>
      <c r="B3718" s="115"/>
      <c r="C3718" s="115"/>
      <c r="D3718" s="115"/>
      <c r="E3718" s="115"/>
    </row>
    <row r="3719" spans="1:5" ht="13">
      <c r="A3719" s="115"/>
      <c r="B3719" s="115"/>
      <c r="C3719" s="115"/>
      <c r="D3719" s="115"/>
      <c r="E3719" s="115"/>
    </row>
    <row r="3720" spans="1:5" ht="13">
      <c r="A3720" s="115"/>
      <c r="B3720" s="115"/>
      <c r="C3720" s="115"/>
      <c r="D3720" s="115"/>
      <c r="E3720" s="115"/>
    </row>
    <row r="3721" spans="1:5" ht="13">
      <c r="A3721" s="115"/>
      <c r="B3721" s="115"/>
      <c r="C3721" s="115"/>
      <c r="D3721" s="115"/>
      <c r="E3721" s="115"/>
    </row>
    <row r="3722" spans="1:5" ht="13">
      <c r="A3722" s="115"/>
      <c r="B3722" s="115"/>
      <c r="C3722" s="115"/>
      <c r="D3722" s="115"/>
      <c r="E3722" s="115"/>
    </row>
    <row r="3723" spans="1:5" ht="13">
      <c r="A3723" s="115"/>
      <c r="B3723" s="115"/>
      <c r="C3723" s="115"/>
      <c r="D3723" s="115"/>
      <c r="E3723" s="115"/>
    </row>
    <row r="3724" spans="1:5" ht="13">
      <c r="A3724" s="115"/>
      <c r="B3724" s="115"/>
      <c r="C3724" s="115"/>
      <c r="D3724" s="115"/>
      <c r="E3724" s="115"/>
    </row>
    <row r="3725" spans="1:5" ht="13">
      <c r="A3725" s="115"/>
      <c r="B3725" s="115"/>
      <c r="C3725" s="115"/>
      <c r="D3725" s="115"/>
      <c r="E3725" s="115"/>
    </row>
    <row r="3726" spans="1:5" ht="13">
      <c r="A3726" s="115"/>
      <c r="B3726" s="115"/>
      <c r="C3726" s="115"/>
      <c r="D3726" s="115"/>
      <c r="E3726" s="115"/>
    </row>
    <row r="3727" spans="1:5" ht="13">
      <c r="A3727" s="115"/>
      <c r="B3727" s="115"/>
      <c r="C3727" s="115"/>
      <c r="D3727" s="115"/>
      <c r="E3727" s="115"/>
    </row>
    <row r="3728" spans="1:5" ht="13">
      <c r="A3728" s="115"/>
      <c r="B3728" s="115"/>
      <c r="C3728" s="115"/>
      <c r="D3728" s="115"/>
      <c r="E3728" s="115"/>
    </row>
    <row r="3729" spans="1:5" ht="13">
      <c r="A3729" s="115"/>
      <c r="B3729" s="115"/>
      <c r="C3729" s="115"/>
      <c r="D3729" s="115"/>
      <c r="E3729" s="115"/>
    </row>
    <row r="3730" spans="1:5" ht="13">
      <c r="A3730" s="115"/>
      <c r="B3730" s="115"/>
      <c r="C3730" s="115"/>
      <c r="D3730" s="115"/>
      <c r="E3730" s="115"/>
    </row>
    <row r="3731" spans="1:5" ht="13">
      <c r="A3731" s="115"/>
      <c r="B3731" s="115"/>
      <c r="C3731" s="115"/>
      <c r="D3731" s="115"/>
      <c r="E3731" s="115"/>
    </row>
    <row r="3732" spans="1:5" ht="13">
      <c r="A3732" s="115"/>
      <c r="B3732" s="115"/>
      <c r="C3732" s="115"/>
      <c r="D3732" s="115"/>
      <c r="E3732" s="115"/>
    </row>
    <row r="3733" spans="1:5" ht="13">
      <c r="A3733" s="115"/>
      <c r="B3733" s="115"/>
      <c r="C3733" s="115"/>
      <c r="D3733" s="115"/>
      <c r="E3733" s="115"/>
    </row>
    <row r="3734" spans="1:5" ht="13">
      <c r="A3734" s="115"/>
      <c r="B3734" s="115"/>
      <c r="C3734" s="115"/>
      <c r="D3734" s="115"/>
      <c r="E3734" s="115"/>
    </row>
    <row r="3735" spans="1:5" ht="13">
      <c r="A3735" s="115"/>
      <c r="B3735" s="115"/>
      <c r="C3735" s="115"/>
      <c r="D3735" s="115"/>
      <c r="E3735" s="115"/>
    </row>
    <row r="3736" spans="1:5" ht="13">
      <c r="A3736" s="115"/>
      <c r="B3736" s="115"/>
      <c r="C3736" s="115"/>
      <c r="D3736" s="115"/>
      <c r="E3736" s="115"/>
    </row>
    <row r="3737" spans="1:5" ht="13">
      <c r="A3737" s="115"/>
      <c r="B3737" s="115"/>
      <c r="C3737" s="115"/>
      <c r="D3737" s="115"/>
      <c r="E3737" s="115"/>
    </row>
    <row r="3738" spans="1:5" ht="13">
      <c r="A3738" s="115"/>
      <c r="B3738" s="115"/>
      <c r="C3738" s="115"/>
      <c r="D3738" s="115"/>
      <c r="E3738" s="115"/>
    </row>
    <row r="3739" spans="1:5" ht="13">
      <c r="A3739" s="115"/>
      <c r="B3739" s="115"/>
      <c r="C3739" s="115"/>
      <c r="D3739" s="115"/>
      <c r="E3739" s="115"/>
    </row>
    <row r="3740" spans="1:5" ht="13">
      <c r="A3740" s="115"/>
      <c r="B3740" s="115"/>
      <c r="C3740" s="115"/>
      <c r="D3740" s="115"/>
      <c r="E3740" s="115"/>
    </row>
    <row r="3741" spans="1:5" ht="13">
      <c r="A3741" s="115"/>
      <c r="B3741" s="115"/>
      <c r="C3741" s="115"/>
      <c r="D3741" s="115"/>
      <c r="E3741" s="115"/>
    </row>
    <row r="3742" spans="1:5" ht="13">
      <c r="A3742" s="115"/>
      <c r="B3742" s="115"/>
      <c r="C3742" s="115"/>
      <c r="D3742" s="115"/>
      <c r="E3742" s="115"/>
    </row>
    <row r="3743" spans="1:5" ht="13">
      <c r="A3743" s="115"/>
      <c r="B3743" s="115"/>
      <c r="C3743" s="115"/>
      <c r="D3743" s="115"/>
      <c r="E3743" s="115"/>
    </row>
    <row r="3744" spans="1:5" ht="13">
      <c r="A3744" s="115"/>
      <c r="B3744" s="115"/>
      <c r="C3744" s="115"/>
      <c r="D3744" s="115"/>
      <c r="E3744" s="115"/>
    </row>
    <row r="3745" spans="1:5" ht="13">
      <c r="A3745" s="115"/>
      <c r="B3745" s="115"/>
      <c r="C3745" s="115"/>
      <c r="D3745" s="115"/>
      <c r="E3745" s="115"/>
    </row>
    <row r="3746" spans="1:5" ht="13">
      <c r="A3746" s="115"/>
      <c r="B3746" s="115"/>
      <c r="C3746" s="115"/>
      <c r="D3746" s="115"/>
      <c r="E3746" s="115"/>
    </row>
    <row r="3747" spans="1:5" ht="13">
      <c r="A3747" s="115"/>
      <c r="B3747" s="115"/>
      <c r="C3747" s="115"/>
      <c r="D3747" s="115"/>
      <c r="E3747" s="115"/>
    </row>
    <row r="3748" spans="1:5" ht="13">
      <c r="A3748" s="115"/>
      <c r="B3748" s="115"/>
      <c r="C3748" s="115"/>
      <c r="D3748" s="115"/>
      <c r="E3748" s="115"/>
    </row>
    <row r="3749" spans="1:5" ht="13">
      <c r="A3749" s="115"/>
      <c r="B3749" s="115"/>
      <c r="C3749" s="115"/>
      <c r="D3749" s="115"/>
      <c r="E3749" s="115"/>
    </row>
    <row r="3750" spans="1:5" ht="13">
      <c r="A3750" s="115"/>
      <c r="B3750" s="115"/>
      <c r="C3750" s="115"/>
      <c r="D3750" s="115"/>
      <c r="E3750" s="115"/>
    </row>
    <row r="3751" spans="1:5" ht="13">
      <c r="A3751" s="115"/>
      <c r="B3751" s="115"/>
      <c r="C3751" s="115"/>
      <c r="D3751" s="115"/>
      <c r="E3751" s="115"/>
    </row>
    <row r="3752" spans="1:5" ht="13">
      <c r="A3752" s="115"/>
      <c r="B3752" s="115"/>
      <c r="C3752" s="115"/>
      <c r="D3752" s="115"/>
      <c r="E3752" s="115"/>
    </row>
    <row r="3753" spans="1:5" ht="13">
      <c r="A3753" s="115"/>
      <c r="B3753" s="115"/>
      <c r="C3753" s="115"/>
      <c r="D3753" s="115"/>
      <c r="E3753" s="115"/>
    </row>
    <row r="3754" spans="1:5" ht="13">
      <c r="A3754" s="115"/>
      <c r="B3754" s="115"/>
      <c r="C3754" s="115"/>
      <c r="D3754" s="115"/>
      <c r="E3754" s="115"/>
    </row>
    <row r="3755" spans="1:5" ht="13">
      <c r="A3755" s="115"/>
      <c r="B3755" s="115"/>
      <c r="C3755" s="115"/>
      <c r="D3755" s="115"/>
      <c r="E3755" s="115"/>
    </row>
    <row r="3756" spans="1:5" ht="13">
      <c r="A3756" s="115"/>
      <c r="B3756" s="115"/>
      <c r="C3756" s="115"/>
      <c r="D3756" s="115"/>
      <c r="E3756" s="115"/>
    </row>
    <row r="3757" spans="1:5" ht="13">
      <c r="A3757" s="115"/>
      <c r="B3757" s="115"/>
      <c r="C3757" s="115"/>
      <c r="D3757" s="115"/>
      <c r="E3757" s="115"/>
    </row>
    <row r="3758" spans="1:5" ht="13">
      <c r="A3758" s="115"/>
      <c r="B3758" s="115"/>
      <c r="C3758" s="115"/>
      <c r="D3758" s="115"/>
      <c r="E3758" s="115"/>
    </row>
    <row r="3759" spans="1:5" ht="13">
      <c r="A3759" s="115"/>
      <c r="B3759" s="115"/>
      <c r="C3759" s="115"/>
      <c r="D3759" s="115"/>
      <c r="E3759" s="115"/>
    </row>
    <row r="3760" spans="1:5" ht="13">
      <c r="A3760" s="115"/>
      <c r="B3760" s="115"/>
      <c r="C3760" s="115"/>
      <c r="D3760" s="115"/>
      <c r="E3760" s="115"/>
    </row>
    <row r="3761" spans="1:5" ht="13">
      <c r="A3761" s="115"/>
      <c r="B3761" s="115"/>
      <c r="C3761" s="115"/>
      <c r="D3761" s="115"/>
      <c r="E3761" s="115"/>
    </row>
    <row r="3762" spans="1:5" ht="13">
      <c r="A3762" s="115"/>
      <c r="B3762" s="115"/>
      <c r="C3762" s="115"/>
      <c r="D3762" s="115"/>
      <c r="E3762" s="115"/>
    </row>
    <row r="3763" spans="1:5" ht="13">
      <c r="A3763" s="115"/>
      <c r="B3763" s="115"/>
      <c r="C3763" s="115"/>
      <c r="D3763" s="115"/>
      <c r="E3763" s="115"/>
    </row>
    <row r="3764" spans="1:5" ht="13">
      <c r="A3764" s="115"/>
      <c r="B3764" s="115"/>
      <c r="C3764" s="115"/>
      <c r="D3764" s="115"/>
      <c r="E3764" s="115"/>
    </row>
    <row r="3765" spans="1:5" ht="13">
      <c r="A3765" s="115"/>
      <c r="B3765" s="115"/>
      <c r="C3765" s="115"/>
      <c r="D3765" s="115"/>
      <c r="E3765" s="115"/>
    </row>
    <row r="3766" spans="1:5" ht="13">
      <c r="A3766" s="115"/>
      <c r="B3766" s="115"/>
      <c r="C3766" s="115"/>
      <c r="D3766" s="115"/>
      <c r="E3766" s="115"/>
    </row>
    <row r="3767" spans="1:5" ht="13">
      <c r="A3767" s="115"/>
      <c r="B3767" s="115"/>
      <c r="C3767" s="115"/>
      <c r="D3767" s="115"/>
      <c r="E3767" s="115"/>
    </row>
    <row r="3768" spans="1:5" ht="13">
      <c r="A3768" s="115"/>
      <c r="B3768" s="115"/>
      <c r="C3768" s="115"/>
      <c r="D3768" s="115"/>
      <c r="E3768" s="115"/>
    </row>
    <row r="3769" spans="1:5" ht="13">
      <c r="A3769" s="115"/>
      <c r="B3769" s="115"/>
      <c r="C3769" s="115"/>
      <c r="D3769" s="115"/>
      <c r="E3769" s="115"/>
    </row>
    <row r="3770" spans="1:5" ht="13">
      <c r="A3770" s="115"/>
      <c r="B3770" s="115"/>
      <c r="C3770" s="115"/>
      <c r="D3770" s="115"/>
      <c r="E3770" s="115"/>
    </row>
    <row r="3771" spans="1:5" ht="13">
      <c r="A3771" s="115"/>
      <c r="B3771" s="115"/>
      <c r="C3771" s="115"/>
      <c r="D3771" s="115"/>
      <c r="E3771" s="115"/>
    </row>
    <row r="3772" spans="1:5" ht="13">
      <c r="A3772" s="115"/>
      <c r="B3772" s="115"/>
      <c r="C3772" s="115"/>
      <c r="D3772" s="115"/>
      <c r="E3772" s="115"/>
    </row>
    <row r="3773" spans="1:5" ht="13">
      <c r="A3773" s="115"/>
      <c r="B3773" s="115"/>
      <c r="C3773" s="115"/>
      <c r="D3773" s="115"/>
      <c r="E3773" s="115"/>
    </row>
    <row r="3774" spans="1:5" ht="13">
      <c r="A3774" s="115"/>
      <c r="B3774" s="115"/>
      <c r="C3774" s="115"/>
      <c r="D3774" s="115"/>
      <c r="E3774" s="115"/>
    </row>
    <row r="3775" spans="1:5" ht="13">
      <c r="A3775" s="115"/>
      <c r="B3775" s="115"/>
      <c r="C3775" s="115"/>
      <c r="D3775" s="115"/>
      <c r="E3775" s="115"/>
    </row>
    <row r="3776" spans="1:5" ht="13">
      <c r="A3776" s="115"/>
      <c r="B3776" s="115"/>
      <c r="C3776" s="115"/>
      <c r="D3776" s="115"/>
      <c r="E3776" s="115"/>
    </row>
    <row r="3777" spans="1:5" ht="13">
      <c r="A3777" s="115"/>
      <c r="B3777" s="115"/>
      <c r="C3777" s="115"/>
      <c r="D3777" s="115"/>
      <c r="E3777" s="115"/>
    </row>
    <row r="3778" spans="1:5" ht="13">
      <c r="A3778" s="115"/>
      <c r="B3778" s="115"/>
      <c r="C3778" s="115"/>
      <c r="D3778" s="115"/>
      <c r="E3778" s="115"/>
    </row>
    <row r="3779" spans="1:5" ht="13">
      <c r="A3779" s="115"/>
      <c r="B3779" s="115"/>
      <c r="C3779" s="115"/>
      <c r="D3779" s="115"/>
      <c r="E3779" s="115"/>
    </row>
    <row r="3780" spans="1:5" ht="13">
      <c r="A3780" s="115"/>
      <c r="B3780" s="115"/>
      <c r="C3780" s="115"/>
      <c r="D3780" s="115"/>
      <c r="E3780" s="115"/>
    </row>
    <row r="3781" spans="1:5" ht="13">
      <c r="A3781" s="115"/>
      <c r="B3781" s="115"/>
      <c r="C3781" s="115"/>
      <c r="D3781" s="115"/>
      <c r="E3781" s="115"/>
    </row>
    <row r="3782" spans="1:5" ht="13">
      <c r="A3782" s="115"/>
      <c r="B3782" s="115"/>
      <c r="C3782" s="115"/>
      <c r="D3782" s="115"/>
      <c r="E3782" s="115"/>
    </row>
    <row r="3783" spans="1:5" ht="13">
      <c r="A3783" s="115"/>
      <c r="B3783" s="115"/>
      <c r="C3783" s="115"/>
      <c r="D3783" s="115"/>
      <c r="E3783" s="115"/>
    </row>
    <row r="3784" spans="1:5" ht="13">
      <c r="A3784" s="115"/>
      <c r="B3784" s="115"/>
      <c r="C3784" s="115"/>
      <c r="D3784" s="115"/>
      <c r="E3784" s="115"/>
    </row>
    <row r="3785" spans="1:5" ht="13">
      <c r="A3785" s="115"/>
      <c r="B3785" s="115"/>
      <c r="C3785" s="115"/>
      <c r="D3785" s="115"/>
      <c r="E3785" s="115"/>
    </row>
    <row r="3786" spans="1:5" ht="13">
      <c r="A3786" s="115"/>
      <c r="B3786" s="115"/>
      <c r="C3786" s="115"/>
      <c r="D3786" s="115"/>
      <c r="E3786" s="115"/>
    </row>
    <row r="3787" spans="1:5" ht="13">
      <c r="A3787" s="115"/>
      <c r="B3787" s="115"/>
      <c r="C3787" s="115"/>
      <c r="D3787" s="115"/>
      <c r="E3787" s="115"/>
    </row>
    <row r="3788" spans="1:5" ht="13">
      <c r="A3788" s="115"/>
      <c r="B3788" s="115"/>
      <c r="C3788" s="115"/>
      <c r="D3788" s="115"/>
      <c r="E3788" s="115"/>
    </row>
    <row r="3789" spans="1:5" ht="13">
      <c r="A3789" s="115"/>
      <c r="B3789" s="115"/>
      <c r="C3789" s="115"/>
      <c r="D3789" s="115"/>
      <c r="E3789" s="115"/>
    </row>
    <row r="3790" spans="1:5" ht="13">
      <c r="A3790" s="115"/>
      <c r="B3790" s="115"/>
      <c r="C3790" s="115"/>
      <c r="D3790" s="115"/>
      <c r="E3790" s="115"/>
    </row>
    <row r="3791" spans="1:5" ht="13">
      <c r="A3791" s="115"/>
      <c r="B3791" s="115"/>
      <c r="C3791" s="115"/>
      <c r="D3791" s="115"/>
      <c r="E3791" s="115"/>
    </row>
    <row r="3792" spans="1:5" ht="13">
      <c r="A3792" s="115"/>
      <c r="B3792" s="115"/>
      <c r="C3792" s="115"/>
      <c r="D3792" s="115"/>
      <c r="E3792" s="115"/>
    </row>
    <row r="3793" spans="1:5" ht="13">
      <c r="A3793" s="115"/>
      <c r="B3793" s="115"/>
      <c r="C3793" s="115"/>
      <c r="D3793" s="115"/>
      <c r="E3793" s="115"/>
    </row>
    <row r="3794" spans="1:5" ht="13">
      <c r="A3794" s="115"/>
      <c r="B3794" s="115"/>
      <c r="C3794" s="115"/>
      <c r="D3794" s="115"/>
      <c r="E3794" s="115"/>
    </row>
    <row r="3795" spans="1:5" ht="13">
      <c r="A3795" s="115"/>
      <c r="B3795" s="115"/>
      <c r="C3795" s="115"/>
      <c r="D3795" s="115"/>
      <c r="E3795" s="115"/>
    </row>
    <row r="3796" spans="1:5" ht="13">
      <c r="A3796" s="115"/>
      <c r="B3796" s="115"/>
      <c r="C3796" s="115"/>
      <c r="D3796" s="115"/>
      <c r="E3796" s="115"/>
    </row>
    <row r="3797" spans="1:5" ht="13">
      <c r="A3797" s="115"/>
      <c r="B3797" s="115"/>
      <c r="C3797" s="115"/>
      <c r="D3797" s="115"/>
      <c r="E3797" s="115"/>
    </row>
    <row r="3798" spans="1:5" ht="13">
      <c r="A3798" s="115"/>
      <c r="B3798" s="115"/>
      <c r="C3798" s="115"/>
      <c r="D3798" s="115"/>
      <c r="E3798" s="115"/>
    </row>
    <row r="3799" spans="1:5" ht="13">
      <c r="A3799" s="115"/>
      <c r="B3799" s="115"/>
      <c r="C3799" s="115"/>
      <c r="D3799" s="115"/>
      <c r="E3799" s="115"/>
    </row>
    <row r="3800" spans="1:5" ht="13">
      <c r="A3800" s="115"/>
      <c r="B3800" s="115"/>
      <c r="C3800" s="115"/>
      <c r="D3800" s="115"/>
      <c r="E3800" s="115"/>
    </row>
    <row r="3801" spans="1:5" ht="13">
      <c r="A3801" s="115"/>
      <c r="B3801" s="115"/>
      <c r="C3801" s="115"/>
      <c r="D3801" s="115"/>
      <c r="E3801" s="115"/>
    </row>
    <row r="3802" spans="1:5" ht="13">
      <c r="A3802" s="115"/>
      <c r="B3802" s="115"/>
      <c r="C3802" s="115"/>
      <c r="D3802" s="115"/>
      <c r="E3802" s="115"/>
    </row>
    <row r="3803" spans="1:5" ht="13">
      <c r="A3803" s="115"/>
      <c r="B3803" s="115"/>
      <c r="C3803" s="115"/>
      <c r="D3803" s="115"/>
      <c r="E3803" s="115"/>
    </row>
    <row r="3804" spans="1:5" ht="13">
      <c r="A3804" s="115"/>
      <c r="B3804" s="115"/>
      <c r="C3804" s="115"/>
      <c r="D3804" s="115"/>
      <c r="E3804" s="115"/>
    </row>
    <row r="3805" spans="1:5" ht="13">
      <c r="A3805" s="115"/>
      <c r="B3805" s="115"/>
      <c r="C3805" s="115"/>
      <c r="D3805" s="115"/>
      <c r="E3805" s="115"/>
    </row>
    <row r="3806" spans="1:5" ht="13">
      <c r="A3806" s="115"/>
      <c r="B3806" s="115"/>
      <c r="C3806" s="115"/>
      <c r="D3806" s="115"/>
      <c r="E3806" s="115"/>
    </row>
    <row r="3807" spans="1:5" ht="13">
      <c r="A3807" s="115"/>
      <c r="B3807" s="115"/>
      <c r="C3807" s="115"/>
      <c r="D3807" s="115"/>
      <c r="E3807" s="115"/>
    </row>
    <row r="3808" spans="1:5" ht="13">
      <c r="A3808" s="115"/>
      <c r="B3808" s="115"/>
      <c r="C3808" s="115"/>
      <c r="D3808" s="115"/>
      <c r="E3808" s="115"/>
    </row>
    <row r="3809" spans="1:5" ht="13">
      <c r="A3809" s="115"/>
      <c r="B3809" s="115"/>
      <c r="C3809" s="115"/>
      <c r="D3809" s="115"/>
      <c r="E3809" s="115"/>
    </row>
    <row r="3810" spans="1:5" ht="13">
      <c r="A3810" s="115"/>
      <c r="B3810" s="115"/>
      <c r="C3810" s="115"/>
      <c r="D3810" s="115"/>
      <c r="E3810" s="115"/>
    </row>
    <row r="3811" spans="1:5" ht="13">
      <c r="A3811" s="115"/>
      <c r="B3811" s="115"/>
      <c r="C3811" s="115"/>
      <c r="D3811" s="115"/>
      <c r="E3811" s="115"/>
    </row>
    <row r="3812" spans="1:5" ht="13">
      <c r="A3812" s="115"/>
      <c r="B3812" s="115"/>
      <c r="C3812" s="115"/>
      <c r="D3812" s="115"/>
      <c r="E3812" s="115"/>
    </row>
    <row r="3813" spans="1:5" ht="13">
      <c r="A3813" s="115"/>
      <c r="B3813" s="115"/>
      <c r="C3813" s="115"/>
      <c r="D3813" s="115"/>
      <c r="E3813" s="115"/>
    </row>
    <row r="3814" spans="1:5" ht="13">
      <c r="A3814" s="115"/>
      <c r="B3814" s="115"/>
      <c r="C3814" s="115"/>
      <c r="D3814" s="115"/>
      <c r="E3814" s="115"/>
    </row>
    <row r="3815" spans="1:5" ht="13">
      <c r="A3815" s="115"/>
      <c r="B3815" s="115"/>
      <c r="C3815" s="115"/>
      <c r="D3815" s="115"/>
      <c r="E3815" s="115"/>
    </row>
    <row r="3816" spans="1:5" ht="13">
      <c r="A3816" s="115"/>
      <c r="B3816" s="115"/>
      <c r="C3816" s="115"/>
      <c r="D3816" s="115"/>
      <c r="E3816" s="115"/>
    </row>
    <row r="3817" spans="1:5" ht="13">
      <c r="A3817" s="115"/>
      <c r="B3817" s="115"/>
      <c r="C3817" s="115"/>
      <c r="D3817" s="115"/>
      <c r="E3817" s="115"/>
    </row>
    <row r="3818" spans="1:5" ht="13">
      <c r="A3818" s="115"/>
      <c r="B3818" s="115"/>
      <c r="C3818" s="115"/>
      <c r="D3818" s="115"/>
      <c r="E3818" s="115"/>
    </row>
    <row r="3819" spans="1:5" ht="13">
      <c r="A3819" s="115"/>
      <c r="B3819" s="115"/>
      <c r="C3819" s="115"/>
      <c r="D3819" s="115"/>
      <c r="E3819" s="115"/>
    </row>
    <row r="3820" spans="1:5" ht="13">
      <c r="A3820" s="115"/>
      <c r="B3820" s="115"/>
      <c r="C3820" s="115"/>
      <c r="D3820" s="115"/>
      <c r="E3820" s="115"/>
    </row>
    <row r="3821" spans="1:5" ht="13">
      <c r="A3821" s="115"/>
      <c r="B3821" s="115"/>
      <c r="C3821" s="115"/>
      <c r="D3821" s="115"/>
      <c r="E3821" s="115"/>
    </row>
    <row r="3822" spans="1:5" ht="13">
      <c r="A3822" s="115"/>
      <c r="B3822" s="115"/>
      <c r="C3822" s="115"/>
      <c r="D3822" s="115"/>
      <c r="E3822" s="115"/>
    </row>
    <row r="3823" spans="1:5" ht="13">
      <c r="A3823" s="115"/>
      <c r="B3823" s="115"/>
      <c r="C3823" s="115"/>
      <c r="D3823" s="115"/>
      <c r="E3823" s="115"/>
    </row>
    <row r="3824" spans="1:5" ht="13">
      <c r="A3824" s="115"/>
      <c r="B3824" s="115"/>
      <c r="C3824" s="115"/>
      <c r="D3824" s="115"/>
      <c r="E3824" s="115"/>
    </row>
    <row r="3825" spans="1:5" ht="13">
      <c r="A3825" s="115"/>
      <c r="B3825" s="115"/>
      <c r="C3825" s="115"/>
      <c r="D3825" s="115"/>
      <c r="E3825" s="115"/>
    </row>
    <row r="3826" spans="1:5" ht="13">
      <c r="A3826" s="115"/>
      <c r="B3826" s="115"/>
      <c r="C3826" s="115"/>
      <c r="D3826" s="115"/>
      <c r="E3826" s="115"/>
    </row>
    <row r="3827" spans="1:5" ht="13">
      <c r="A3827" s="115"/>
      <c r="B3827" s="115"/>
      <c r="C3827" s="115"/>
      <c r="D3827" s="115"/>
      <c r="E3827" s="115"/>
    </row>
    <row r="3828" spans="1:5" ht="13">
      <c r="A3828" s="115"/>
      <c r="B3828" s="115"/>
      <c r="C3828" s="115"/>
      <c r="D3828" s="115"/>
      <c r="E3828" s="115"/>
    </row>
    <row r="3829" spans="1:5" ht="13">
      <c r="A3829" s="115"/>
      <c r="B3829" s="115"/>
      <c r="C3829" s="115"/>
      <c r="D3829" s="115"/>
      <c r="E3829" s="115"/>
    </row>
    <row r="3830" spans="1:5" ht="13">
      <c r="A3830" s="115"/>
      <c r="B3830" s="115"/>
      <c r="C3830" s="115"/>
      <c r="D3830" s="115"/>
      <c r="E3830" s="115"/>
    </row>
    <row r="3831" spans="1:5" ht="13">
      <c r="A3831" s="115"/>
      <c r="B3831" s="115"/>
      <c r="C3831" s="115"/>
      <c r="D3831" s="115"/>
      <c r="E3831" s="115"/>
    </row>
    <row r="3832" spans="1:5" ht="13">
      <c r="A3832" s="115"/>
      <c r="B3832" s="115"/>
      <c r="C3832" s="115"/>
      <c r="D3832" s="115"/>
      <c r="E3832" s="115"/>
    </row>
    <row r="3833" spans="1:5" ht="13">
      <c r="A3833" s="115"/>
      <c r="B3833" s="115"/>
      <c r="C3833" s="115"/>
      <c r="D3833" s="115"/>
      <c r="E3833" s="115"/>
    </row>
    <row r="3834" spans="1:5" ht="13">
      <c r="A3834" s="115"/>
      <c r="B3834" s="115"/>
      <c r="C3834" s="115"/>
      <c r="D3834" s="115"/>
      <c r="E3834" s="115"/>
    </row>
    <row r="3835" spans="1:5" ht="13">
      <c r="A3835" s="115"/>
      <c r="B3835" s="115"/>
      <c r="C3835" s="115"/>
      <c r="D3835" s="115"/>
      <c r="E3835" s="115"/>
    </row>
    <row r="3836" spans="1:5" ht="13">
      <c r="A3836" s="115"/>
      <c r="B3836" s="115"/>
      <c r="C3836" s="115"/>
      <c r="D3836" s="115"/>
      <c r="E3836" s="115"/>
    </row>
    <row r="3837" spans="1:5" ht="13">
      <c r="A3837" s="115"/>
      <c r="B3837" s="115"/>
      <c r="C3837" s="115"/>
      <c r="D3837" s="115"/>
      <c r="E3837" s="115"/>
    </row>
    <row r="3838" spans="1:5" ht="13">
      <c r="A3838" s="115"/>
      <c r="B3838" s="115"/>
      <c r="C3838" s="115"/>
      <c r="D3838" s="115"/>
      <c r="E3838" s="115"/>
    </row>
    <row r="3839" spans="1:5" ht="13">
      <c r="A3839" s="115"/>
      <c r="B3839" s="115"/>
      <c r="C3839" s="115"/>
      <c r="D3839" s="115"/>
      <c r="E3839" s="115"/>
    </row>
    <row r="3840" spans="1:5" ht="13">
      <c r="A3840" s="115"/>
      <c r="B3840" s="115"/>
      <c r="C3840" s="115"/>
      <c r="D3840" s="115"/>
      <c r="E3840" s="115"/>
    </row>
    <row r="3841" spans="1:5" ht="13">
      <c r="A3841" s="115"/>
      <c r="B3841" s="115"/>
      <c r="C3841" s="115"/>
      <c r="D3841" s="115"/>
      <c r="E3841" s="115"/>
    </row>
    <row r="3842" spans="1:5" ht="13">
      <c r="A3842" s="115"/>
      <c r="B3842" s="115"/>
      <c r="C3842" s="115"/>
      <c r="D3842" s="115"/>
      <c r="E3842" s="115"/>
    </row>
    <row r="3843" spans="1:5" ht="13">
      <c r="A3843" s="115"/>
      <c r="B3843" s="115"/>
      <c r="C3843" s="115"/>
      <c r="D3843" s="115"/>
      <c r="E3843" s="115"/>
    </row>
    <row r="3844" spans="1:5" ht="13">
      <c r="A3844" s="115"/>
      <c r="B3844" s="115"/>
      <c r="C3844" s="115"/>
      <c r="D3844" s="115"/>
      <c r="E3844" s="115"/>
    </row>
    <row r="3845" spans="1:5" ht="13">
      <c r="A3845" s="115"/>
      <c r="B3845" s="115"/>
      <c r="C3845" s="115"/>
      <c r="D3845" s="115"/>
      <c r="E3845" s="115"/>
    </row>
    <row r="3846" spans="1:5" ht="13">
      <c r="A3846" s="115"/>
      <c r="B3846" s="115"/>
      <c r="C3846" s="115"/>
      <c r="D3846" s="115"/>
      <c r="E3846" s="115"/>
    </row>
    <row r="3847" spans="1:5" ht="13">
      <c r="A3847" s="115"/>
      <c r="B3847" s="115"/>
      <c r="C3847" s="115"/>
      <c r="D3847" s="115"/>
      <c r="E3847" s="115"/>
    </row>
    <row r="3848" spans="1:5" ht="13">
      <c r="A3848" s="115"/>
      <c r="B3848" s="115"/>
      <c r="C3848" s="115"/>
      <c r="D3848" s="115"/>
      <c r="E3848" s="115"/>
    </row>
    <row r="3849" spans="1:5" ht="13">
      <c r="A3849" s="115"/>
      <c r="B3849" s="115"/>
      <c r="C3849" s="115"/>
      <c r="D3849" s="115"/>
      <c r="E3849" s="115"/>
    </row>
    <row r="3850" spans="1:5" ht="13">
      <c r="A3850" s="115"/>
      <c r="B3850" s="115"/>
      <c r="C3850" s="115"/>
      <c r="D3850" s="115"/>
      <c r="E3850" s="115"/>
    </row>
    <row r="3851" spans="1:5" ht="13">
      <c r="A3851" s="115"/>
      <c r="B3851" s="115"/>
      <c r="C3851" s="115"/>
      <c r="D3851" s="115"/>
      <c r="E3851" s="115"/>
    </row>
    <row r="3852" spans="1:5" ht="13">
      <c r="A3852" s="115"/>
      <c r="B3852" s="115"/>
      <c r="C3852" s="115"/>
      <c r="D3852" s="115"/>
      <c r="E3852" s="115"/>
    </row>
    <row r="3853" spans="1:5" ht="13">
      <c r="A3853" s="115"/>
      <c r="B3853" s="115"/>
      <c r="C3853" s="115"/>
      <c r="D3853" s="115"/>
      <c r="E3853" s="115"/>
    </row>
    <row r="3854" spans="1:5" ht="13">
      <c r="A3854" s="115"/>
      <c r="B3854" s="115"/>
      <c r="C3854" s="115"/>
      <c r="D3854" s="115"/>
      <c r="E3854" s="115"/>
    </row>
    <row r="3855" spans="1:5" ht="13">
      <c r="A3855" s="115"/>
      <c r="B3855" s="115"/>
      <c r="C3855" s="115"/>
      <c r="D3855" s="115"/>
      <c r="E3855" s="115"/>
    </row>
    <row r="3856" spans="1:5" ht="13">
      <c r="A3856" s="115"/>
      <c r="B3856" s="115"/>
      <c r="C3856" s="115"/>
      <c r="D3856" s="115"/>
      <c r="E3856" s="115"/>
    </row>
    <row r="3857" spans="1:5" ht="13">
      <c r="A3857" s="115"/>
      <c r="B3857" s="115"/>
      <c r="C3857" s="115"/>
      <c r="D3857" s="115"/>
      <c r="E3857" s="115"/>
    </row>
    <row r="3858" spans="1:5" ht="13">
      <c r="A3858" s="115"/>
      <c r="B3858" s="115"/>
      <c r="C3858" s="115"/>
      <c r="D3858" s="115"/>
      <c r="E3858" s="115"/>
    </row>
    <row r="3859" spans="1:5" ht="13">
      <c r="A3859" s="115"/>
      <c r="B3859" s="115"/>
      <c r="C3859" s="115"/>
      <c r="D3859" s="115"/>
      <c r="E3859" s="115"/>
    </row>
    <row r="3860" spans="1:5" ht="13">
      <c r="A3860" s="115"/>
      <c r="B3860" s="115"/>
      <c r="C3860" s="115"/>
      <c r="D3860" s="115"/>
      <c r="E3860" s="115"/>
    </row>
    <row r="3861" spans="1:5" ht="13">
      <c r="A3861" s="115"/>
      <c r="B3861" s="115"/>
      <c r="C3861" s="115"/>
      <c r="D3861" s="115"/>
      <c r="E3861" s="115"/>
    </row>
    <row r="3862" spans="1:5" ht="13">
      <c r="A3862" s="115"/>
      <c r="B3862" s="115"/>
      <c r="C3862" s="115"/>
      <c r="D3862" s="115"/>
      <c r="E3862" s="115"/>
    </row>
    <row r="3863" spans="1:5" ht="13">
      <c r="A3863" s="115"/>
      <c r="B3863" s="115"/>
      <c r="C3863" s="115"/>
      <c r="D3863" s="115"/>
      <c r="E3863" s="115"/>
    </row>
    <row r="3864" spans="1:5" ht="13">
      <c r="A3864" s="115"/>
      <c r="B3864" s="115"/>
      <c r="C3864" s="115"/>
      <c r="D3864" s="115"/>
      <c r="E3864" s="115"/>
    </row>
    <row r="3865" spans="1:5" ht="13">
      <c r="A3865" s="115"/>
      <c r="B3865" s="115"/>
      <c r="C3865" s="115"/>
      <c r="D3865" s="115"/>
      <c r="E3865" s="115"/>
    </row>
    <row r="3866" spans="1:5" ht="13">
      <c r="A3866" s="115"/>
      <c r="B3866" s="115"/>
      <c r="C3866" s="115"/>
      <c r="D3866" s="115"/>
      <c r="E3866" s="115"/>
    </row>
    <row r="3867" spans="1:5" ht="13">
      <c r="A3867" s="115"/>
      <c r="B3867" s="115"/>
      <c r="C3867" s="115"/>
      <c r="D3867" s="115"/>
      <c r="E3867" s="115"/>
    </row>
    <row r="3868" spans="1:5" ht="13">
      <c r="A3868" s="115"/>
      <c r="B3868" s="115"/>
      <c r="C3868" s="115"/>
      <c r="D3868" s="115"/>
      <c r="E3868" s="115"/>
    </row>
    <row r="3869" spans="1:5" ht="13">
      <c r="A3869" s="115"/>
      <c r="B3869" s="115"/>
      <c r="C3869" s="115"/>
      <c r="D3869" s="115"/>
      <c r="E3869" s="115"/>
    </row>
    <row r="3870" spans="1:5" ht="13">
      <c r="A3870" s="115"/>
      <c r="B3870" s="115"/>
      <c r="C3870" s="115"/>
      <c r="D3870" s="115"/>
      <c r="E3870" s="115"/>
    </row>
    <row r="3871" spans="1:5" ht="13">
      <c r="A3871" s="115"/>
      <c r="B3871" s="115"/>
      <c r="C3871" s="115"/>
      <c r="D3871" s="115"/>
      <c r="E3871" s="115"/>
    </row>
    <row r="3872" spans="1:5" ht="13">
      <c r="A3872" s="115"/>
      <c r="B3872" s="115"/>
      <c r="C3872" s="115"/>
      <c r="D3872" s="115"/>
      <c r="E3872" s="115"/>
    </row>
    <row r="3873" spans="1:5" ht="13">
      <c r="A3873" s="115"/>
      <c r="B3873" s="115"/>
      <c r="C3873" s="115"/>
      <c r="D3873" s="115"/>
      <c r="E3873" s="115"/>
    </row>
    <row r="3874" spans="1:5" ht="13">
      <c r="A3874" s="115"/>
      <c r="B3874" s="115"/>
      <c r="C3874" s="115"/>
      <c r="D3874" s="115"/>
      <c r="E3874" s="115"/>
    </row>
    <row r="3875" spans="1:5" ht="13">
      <c r="A3875" s="115"/>
      <c r="B3875" s="115"/>
      <c r="C3875" s="115"/>
      <c r="D3875" s="115"/>
      <c r="E3875" s="115"/>
    </row>
    <row r="3876" spans="1:5" ht="13">
      <c r="A3876" s="115"/>
      <c r="B3876" s="115"/>
      <c r="C3876" s="115"/>
      <c r="D3876" s="115"/>
      <c r="E3876" s="115"/>
    </row>
    <row r="3877" spans="1:5" ht="13">
      <c r="A3877" s="115"/>
      <c r="B3877" s="115"/>
      <c r="C3877" s="115"/>
      <c r="D3877" s="115"/>
      <c r="E3877" s="115"/>
    </row>
    <row r="3878" spans="1:5" ht="13">
      <c r="A3878" s="115"/>
      <c r="B3878" s="115"/>
      <c r="C3878" s="115"/>
      <c r="D3878" s="115"/>
      <c r="E3878" s="115"/>
    </row>
    <row r="3879" spans="1:5" ht="13">
      <c r="A3879" s="115"/>
      <c r="B3879" s="115"/>
      <c r="C3879" s="115"/>
      <c r="D3879" s="115"/>
      <c r="E3879" s="115"/>
    </row>
    <row r="3880" spans="1:5" ht="13">
      <c r="A3880" s="115"/>
      <c r="B3880" s="115"/>
      <c r="C3880" s="115"/>
      <c r="D3880" s="115"/>
      <c r="E3880" s="115"/>
    </row>
    <row r="3881" spans="1:5" ht="13">
      <c r="A3881" s="115"/>
      <c r="B3881" s="115"/>
      <c r="C3881" s="115"/>
      <c r="D3881" s="115"/>
      <c r="E3881" s="115"/>
    </row>
    <row r="3882" spans="1:5" ht="13">
      <c r="A3882" s="115"/>
      <c r="B3882" s="115"/>
      <c r="C3882" s="115"/>
      <c r="D3882" s="115"/>
      <c r="E3882" s="115"/>
    </row>
    <row r="3883" spans="1:5" ht="13">
      <c r="A3883" s="115"/>
      <c r="B3883" s="115"/>
      <c r="C3883" s="115"/>
      <c r="D3883" s="115"/>
      <c r="E3883" s="115"/>
    </row>
    <row r="3884" spans="1:5" ht="13">
      <c r="A3884" s="115"/>
      <c r="B3884" s="115"/>
      <c r="C3884" s="115"/>
      <c r="D3884" s="115"/>
      <c r="E3884" s="115"/>
    </row>
    <row r="3885" spans="1:5" ht="13">
      <c r="A3885" s="115"/>
      <c r="B3885" s="115"/>
      <c r="C3885" s="115"/>
      <c r="D3885" s="115"/>
      <c r="E3885" s="115"/>
    </row>
    <row r="3886" spans="1:5" ht="13">
      <c r="A3886" s="115"/>
      <c r="B3886" s="115"/>
      <c r="C3886" s="115"/>
      <c r="D3886" s="115"/>
      <c r="E3886" s="115"/>
    </row>
    <row r="3887" spans="1:5" ht="13">
      <c r="A3887" s="115"/>
      <c r="B3887" s="115"/>
      <c r="C3887" s="115"/>
      <c r="D3887" s="115"/>
      <c r="E3887" s="115"/>
    </row>
    <row r="3888" spans="1:5" ht="13">
      <c r="A3888" s="115"/>
      <c r="B3888" s="115"/>
      <c r="C3888" s="115"/>
      <c r="D3888" s="115"/>
      <c r="E3888" s="115"/>
    </row>
    <row r="3889" spans="1:5" ht="13">
      <c r="A3889" s="115"/>
      <c r="B3889" s="115"/>
      <c r="C3889" s="115"/>
      <c r="D3889" s="115"/>
      <c r="E3889" s="115"/>
    </row>
    <row r="3890" spans="1:5" ht="13">
      <c r="A3890" s="115"/>
      <c r="B3890" s="115"/>
      <c r="C3890" s="115"/>
      <c r="D3890" s="115"/>
      <c r="E3890" s="115"/>
    </row>
    <row r="3891" spans="1:5" ht="13">
      <c r="A3891" s="115"/>
      <c r="B3891" s="115"/>
      <c r="C3891" s="115"/>
      <c r="D3891" s="115"/>
      <c r="E3891" s="115"/>
    </row>
    <row r="3892" spans="1:5" ht="13">
      <c r="A3892" s="115"/>
      <c r="B3892" s="115"/>
      <c r="C3892" s="115"/>
      <c r="D3892" s="115"/>
      <c r="E3892" s="115"/>
    </row>
    <row r="3893" spans="1:5" ht="13">
      <c r="A3893" s="115"/>
      <c r="B3893" s="115"/>
      <c r="C3893" s="115"/>
      <c r="D3893" s="115"/>
      <c r="E3893" s="115"/>
    </row>
    <row r="3894" spans="1:5" ht="13">
      <c r="A3894" s="115"/>
      <c r="B3894" s="115"/>
      <c r="C3894" s="115"/>
      <c r="D3894" s="115"/>
      <c r="E3894" s="115"/>
    </row>
    <row r="3895" spans="1:5" ht="13">
      <c r="A3895" s="115"/>
      <c r="B3895" s="115"/>
      <c r="C3895" s="115"/>
      <c r="D3895" s="115"/>
      <c r="E3895" s="115"/>
    </row>
    <row r="3896" spans="1:5" ht="13">
      <c r="A3896" s="115"/>
      <c r="B3896" s="115"/>
      <c r="C3896" s="115"/>
      <c r="D3896" s="115"/>
      <c r="E3896" s="115"/>
    </row>
    <row r="3897" spans="1:5" ht="13">
      <c r="A3897" s="115"/>
      <c r="B3897" s="115"/>
      <c r="C3897" s="115"/>
      <c r="D3897" s="115"/>
      <c r="E3897" s="115"/>
    </row>
    <row r="3898" spans="1:5" ht="13">
      <c r="A3898" s="115"/>
      <c r="B3898" s="115"/>
      <c r="C3898" s="115"/>
      <c r="D3898" s="115"/>
      <c r="E3898" s="115"/>
    </row>
    <row r="3899" spans="1:5" ht="13">
      <c r="A3899" s="115"/>
      <c r="B3899" s="115"/>
      <c r="C3899" s="115"/>
      <c r="D3899" s="115"/>
      <c r="E3899" s="115"/>
    </row>
    <row r="3900" spans="1:5" ht="13">
      <c r="A3900" s="115"/>
      <c r="B3900" s="115"/>
      <c r="C3900" s="115"/>
      <c r="D3900" s="115"/>
      <c r="E3900" s="115"/>
    </row>
    <row r="3901" spans="1:5" ht="13">
      <c r="A3901" s="115"/>
      <c r="B3901" s="115"/>
      <c r="C3901" s="115"/>
      <c r="D3901" s="115"/>
      <c r="E3901" s="115"/>
    </row>
    <row r="3902" spans="1:5" ht="13">
      <c r="A3902" s="115"/>
      <c r="B3902" s="115"/>
      <c r="C3902" s="115"/>
      <c r="D3902" s="115"/>
      <c r="E3902" s="115"/>
    </row>
    <row r="3903" spans="1:5" ht="13">
      <c r="A3903" s="115"/>
      <c r="B3903" s="115"/>
      <c r="C3903" s="115"/>
      <c r="D3903" s="115"/>
      <c r="E3903" s="115"/>
    </row>
    <row r="3904" spans="1:5" ht="13">
      <c r="A3904" s="115"/>
      <c r="B3904" s="115"/>
      <c r="C3904" s="115"/>
      <c r="D3904" s="115"/>
      <c r="E3904" s="115"/>
    </row>
    <row r="3905" spans="1:5" ht="13">
      <c r="A3905" s="115"/>
      <c r="B3905" s="115"/>
      <c r="C3905" s="115"/>
      <c r="D3905" s="115"/>
      <c r="E3905" s="115"/>
    </row>
    <row r="3906" spans="1:5" ht="13">
      <c r="A3906" s="115"/>
      <c r="B3906" s="115"/>
      <c r="C3906" s="115"/>
      <c r="D3906" s="115"/>
      <c r="E3906" s="115"/>
    </row>
    <row r="3907" spans="1:5" ht="13">
      <c r="A3907" s="115"/>
      <c r="B3907" s="115"/>
      <c r="C3907" s="115"/>
      <c r="D3907" s="115"/>
      <c r="E3907" s="115"/>
    </row>
    <row r="3908" spans="1:5" ht="13">
      <c r="A3908" s="115"/>
      <c r="B3908" s="115"/>
      <c r="C3908" s="115"/>
      <c r="D3908" s="115"/>
      <c r="E3908" s="115"/>
    </row>
    <row r="3909" spans="1:5" ht="13">
      <c r="A3909" s="115"/>
      <c r="B3909" s="115"/>
      <c r="C3909" s="115"/>
      <c r="D3909" s="115"/>
      <c r="E3909" s="115"/>
    </row>
    <row r="3910" spans="1:5" ht="13">
      <c r="A3910" s="115"/>
      <c r="B3910" s="115"/>
      <c r="C3910" s="115"/>
      <c r="D3910" s="115"/>
      <c r="E3910" s="115"/>
    </row>
    <row r="3911" spans="1:5" ht="13">
      <c r="A3911" s="115"/>
      <c r="B3911" s="115"/>
      <c r="C3911" s="115"/>
      <c r="D3911" s="115"/>
      <c r="E3911" s="115"/>
    </row>
    <row r="3912" spans="1:5" ht="13">
      <c r="A3912" s="115"/>
      <c r="B3912" s="115"/>
      <c r="C3912" s="115"/>
      <c r="D3912" s="115"/>
      <c r="E3912" s="115"/>
    </row>
    <row r="3913" spans="1:5" ht="13">
      <c r="A3913" s="115"/>
      <c r="B3913" s="115"/>
      <c r="C3913" s="115"/>
      <c r="D3913" s="115"/>
      <c r="E3913" s="115"/>
    </row>
    <row r="3914" spans="1:5" ht="13">
      <c r="A3914" s="115"/>
      <c r="B3914" s="115"/>
      <c r="C3914" s="115"/>
      <c r="D3914" s="115"/>
      <c r="E3914" s="115"/>
    </row>
    <row r="3915" spans="1:5" ht="13">
      <c r="A3915" s="115"/>
      <c r="B3915" s="115"/>
      <c r="C3915" s="115"/>
      <c r="D3915" s="115"/>
      <c r="E3915" s="115"/>
    </row>
    <row r="3916" spans="1:5" ht="13">
      <c r="A3916" s="115"/>
      <c r="B3916" s="115"/>
      <c r="C3916" s="115"/>
      <c r="D3916" s="115"/>
      <c r="E3916" s="115"/>
    </row>
    <row r="3917" spans="1:5" ht="13">
      <c r="A3917" s="115"/>
      <c r="B3917" s="115"/>
      <c r="C3917" s="115"/>
      <c r="D3917" s="115"/>
      <c r="E3917" s="115"/>
    </row>
    <row r="3918" spans="1:5" ht="13">
      <c r="A3918" s="115"/>
      <c r="B3918" s="115"/>
      <c r="C3918" s="115"/>
      <c r="D3918" s="115"/>
      <c r="E3918" s="115"/>
    </row>
    <row r="3919" spans="1:5" ht="13">
      <c r="A3919" s="115"/>
      <c r="B3919" s="115"/>
      <c r="C3919" s="115"/>
      <c r="D3919" s="115"/>
      <c r="E3919" s="115"/>
    </row>
    <row r="3920" spans="1:5" ht="13">
      <c r="A3920" s="115"/>
      <c r="B3920" s="115"/>
      <c r="C3920" s="115"/>
      <c r="D3920" s="115"/>
      <c r="E3920" s="115"/>
    </row>
    <row r="3921" spans="1:5" ht="13">
      <c r="A3921" s="115"/>
      <c r="B3921" s="115"/>
      <c r="C3921" s="115"/>
      <c r="D3921" s="115"/>
      <c r="E3921" s="115"/>
    </row>
    <row r="3922" spans="1:5" ht="13">
      <c r="A3922" s="115"/>
      <c r="B3922" s="115"/>
      <c r="C3922" s="115"/>
      <c r="D3922" s="115"/>
      <c r="E3922" s="115"/>
    </row>
    <row r="3923" spans="1:5" ht="13">
      <c r="A3923" s="115"/>
      <c r="B3923" s="115"/>
      <c r="C3923" s="115"/>
      <c r="D3923" s="115"/>
      <c r="E3923" s="115"/>
    </row>
    <row r="3924" spans="1:5" ht="13">
      <c r="A3924" s="115"/>
      <c r="B3924" s="115"/>
      <c r="C3924" s="115"/>
      <c r="D3924" s="115"/>
      <c r="E3924" s="115"/>
    </row>
    <row r="3925" spans="1:5" ht="13">
      <c r="A3925" s="115"/>
      <c r="B3925" s="115"/>
      <c r="C3925" s="115"/>
      <c r="D3925" s="115"/>
      <c r="E3925" s="115"/>
    </row>
    <row r="3926" spans="1:5" ht="13">
      <c r="A3926" s="115"/>
      <c r="B3926" s="115"/>
      <c r="C3926" s="115"/>
      <c r="D3926" s="115"/>
      <c r="E3926" s="115"/>
    </row>
    <row r="3927" spans="1:5" ht="13">
      <c r="A3927" s="115"/>
      <c r="B3927" s="115"/>
      <c r="C3927" s="115"/>
      <c r="D3927" s="115"/>
      <c r="E3927" s="115"/>
    </row>
    <row r="3928" spans="1:5" ht="13">
      <c r="A3928" s="115"/>
      <c r="B3928" s="115"/>
      <c r="C3928" s="115"/>
      <c r="D3928" s="115"/>
      <c r="E3928" s="115"/>
    </row>
    <row r="3929" spans="1:5" ht="13">
      <c r="A3929" s="115"/>
      <c r="B3929" s="115"/>
      <c r="C3929" s="115"/>
      <c r="D3929" s="115"/>
      <c r="E3929" s="115"/>
    </row>
    <row r="3930" spans="1:5" ht="13">
      <c r="A3930" s="115"/>
      <c r="B3930" s="115"/>
      <c r="C3930" s="115"/>
      <c r="D3930" s="115"/>
      <c r="E3930" s="115"/>
    </row>
    <row r="3931" spans="1:5" ht="13">
      <c r="A3931" s="115"/>
      <c r="B3931" s="115"/>
      <c r="C3931" s="115"/>
      <c r="D3931" s="115"/>
      <c r="E3931" s="115"/>
    </row>
    <row r="3932" spans="1:5" ht="13">
      <c r="A3932" s="115"/>
      <c r="B3932" s="115"/>
      <c r="C3932" s="115"/>
      <c r="D3932" s="115"/>
      <c r="E3932" s="115"/>
    </row>
    <row r="3933" spans="1:5" ht="13">
      <c r="A3933" s="115"/>
      <c r="B3933" s="115"/>
      <c r="C3933" s="115"/>
      <c r="D3933" s="115"/>
      <c r="E3933" s="115"/>
    </row>
    <row r="3934" spans="1:5" ht="13">
      <c r="A3934" s="115"/>
      <c r="B3934" s="115"/>
      <c r="C3934" s="115"/>
      <c r="D3934" s="115"/>
      <c r="E3934" s="115"/>
    </row>
    <row r="3935" spans="1:5" ht="13">
      <c r="A3935" s="115"/>
      <c r="B3935" s="115"/>
      <c r="C3935" s="115"/>
      <c r="D3935" s="115"/>
      <c r="E3935" s="115"/>
    </row>
    <row r="3936" spans="1:5" ht="13">
      <c r="A3936" s="115"/>
      <c r="B3936" s="115"/>
      <c r="C3936" s="115"/>
      <c r="D3936" s="115"/>
      <c r="E3936" s="115"/>
    </row>
    <row r="3937" spans="1:5" ht="13">
      <c r="A3937" s="115"/>
      <c r="B3937" s="115"/>
      <c r="C3937" s="115"/>
      <c r="D3937" s="115"/>
      <c r="E3937" s="115"/>
    </row>
    <row r="3938" spans="1:5" ht="13">
      <c r="A3938" s="115"/>
      <c r="B3938" s="115"/>
      <c r="C3938" s="115"/>
      <c r="D3938" s="115"/>
      <c r="E3938" s="115"/>
    </row>
    <row r="3939" spans="1:5" ht="13">
      <c r="A3939" s="115"/>
      <c r="B3939" s="115"/>
      <c r="C3939" s="115"/>
      <c r="D3939" s="115"/>
      <c r="E3939" s="115"/>
    </row>
    <row r="3940" spans="1:5" ht="13">
      <c r="A3940" s="115"/>
      <c r="B3940" s="115"/>
      <c r="C3940" s="115"/>
      <c r="D3940" s="115"/>
      <c r="E3940" s="115"/>
    </row>
    <row r="3941" spans="1:5" ht="13">
      <c r="A3941" s="115"/>
      <c r="B3941" s="115"/>
      <c r="C3941" s="115"/>
      <c r="D3941" s="115"/>
      <c r="E3941" s="115"/>
    </row>
    <row r="3942" spans="1:5" ht="13">
      <c r="A3942" s="115"/>
      <c r="B3942" s="115"/>
      <c r="C3942" s="115"/>
      <c r="D3942" s="115"/>
      <c r="E3942" s="115"/>
    </row>
    <row r="3943" spans="1:5" ht="13">
      <c r="A3943" s="115"/>
      <c r="B3943" s="115"/>
      <c r="C3943" s="115"/>
      <c r="D3943" s="115"/>
      <c r="E3943" s="115"/>
    </row>
    <row r="3944" spans="1:5" ht="13">
      <c r="A3944" s="115"/>
      <c r="B3944" s="115"/>
      <c r="C3944" s="115"/>
      <c r="D3944" s="115"/>
      <c r="E3944" s="115"/>
    </row>
    <row r="3945" spans="1:5" ht="13">
      <c r="A3945" s="115"/>
      <c r="B3945" s="115"/>
      <c r="C3945" s="115"/>
      <c r="D3945" s="115"/>
      <c r="E3945" s="115"/>
    </row>
    <row r="3946" spans="1:5" ht="13">
      <c r="A3946" s="115"/>
      <c r="B3946" s="115"/>
      <c r="C3946" s="115"/>
      <c r="D3946" s="115"/>
      <c r="E3946" s="115"/>
    </row>
    <row r="3947" spans="1:5" ht="13">
      <c r="A3947" s="115"/>
      <c r="B3947" s="115"/>
      <c r="C3947" s="115"/>
      <c r="D3947" s="115"/>
      <c r="E3947" s="115"/>
    </row>
    <row r="3948" spans="1:5" ht="13">
      <c r="A3948" s="115"/>
      <c r="B3948" s="115"/>
      <c r="C3948" s="115"/>
      <c r="D3948" s="115"/>
      <c r="E3948" s="115"/>
    </row>
    <row r="3949" spans="1:5" ht="13">
      <c r="A3949" s="115"/>
      <c r="B3949" s="115"/>
      <c r="C3949" s="115"/>
      <c r="D3949" s="115"/>
      <c r="E3949" s="115"/>
    </row>
    <row r="3950" spans="1:5" ht="13">
      <c r="A3950" s="115"/>
      <c r="B3950" s="115"/>
      <c r="C3950" s="115"/>
      <c r="D3950" s="115"/>
      <c r="E3950" s="115"/>
    </row>
    <row r="3951" spans="1:5" ht="13">
      <c r="A3951" s="115"/>
      <c r="B3951" s="115"/>
      <c r="C3951" s="115"/>
      <c r="D3951" s="115"/>
      <c r="E3951" s="115"/>
    </row>
    <row r="3952" spans="1:5" ht="13">
      <c r="A3952" s="115"/>
      <c r="B3952" s="115"/>
      <c r="C3952" s="115"/>
      <c r="D3952" s="115"/>
      <c r="E3952" s="115"/>
    </row>
    <row r="3953" spans="1:5" ht="13">
      <c r="A3953" s="115"/>
      <c r="B3953" s="115"/>
      <c r="C3953" s="115"/>
      <c r="D3953" s="115"/>
      <c r="E3953" s="115"/>
    </row>
    <row r="3954" spans="1:5" ht="13">
      <c r="A3954" s="115"/>
      <c r="B3954" s="115"/>
      <c r="C3954" s="115"/>
      <c r="D3954" s="115"/>
      <c r="E3954" s="115"/>
    </row>
    <row r="3955" spans="1:5" ht="13">
      <c r="A3955" s="115"/>
      <c r="B3955" s="115"/>
      <c r="C3955" s="115"/>
      <c r="D3955" s="115"/>
      <c r="E3955" s="115"/>
    </row>
    <row r="3956" spans="1:5" ht="13">
      <c r="A3956" s="115"/>
      <c r="B3956" s="115"/>
      <c r="C3956" s="115"/>
      <c r="D3956" s="115"/>
      <c r="E3956" s="115"/>
    </row>
    <row r="3957" spans="1:5" ht="13">
      <c r="A3957" s="115"/>
      <c r="B3957" s="115"/>
      <c r="C3957" s="115"/>
      <c r="D3957" s="115"/>
      <c r="E3957" s="115"/>
    </row>
    <row r="3958" spans="1:5" ht="13">
      <c r="A3958" s="115"/>
      <c r="B3958" s="115"/>
      <c r="C3958" s="115"/>
      <c r="D3958" s="115"/>
      <c r="E3958" s="115"/>
    </row>
    <row r="3959" spans="1:5" ht="13">
      <c r="A3959" s="115"/>
      <c r="B3959" s="115"/>
      <c r="C3959" s="115"/>
      <c r="D3959" s="115"/>
      <c r="E3959" s="115"/>
    </row>
    <row r="3960" spans="1:5" ht="13">
      <c r="A3960" s="115"/>
      <c r="B3960" s="115"/>
      <c r="C3960" s="115"/>
      <c r="D3960" s="115"/>
      <c r="E3960" s="115"/>
    </row>
    <row r="3961" spans="1:5" ht="13">
      <c r="A3961" s="115"/>
      <c r="B3961" s="115"/>
      <c r="C3961" s="115"/>
      <c r="D3961" s="115"/>
      <c r="E3961" s="115"/>
    </row>
    <row r="3962" spans="1:5" ht="13">
      <c r="A3962" s="115"/>
      <c r="B3962" s="115"/>
      <c r="C3962" s="115"/>
      <c r="D3962" s="115"/>
      <c r="E3962" s="115"/>
    </row>
    <row r="3963" spans="1:5" ht="13">
      <c r="A3963" s="115"/>
      <c r="B3963" s="115"/>
      <c r="C3963" s="115"/>
      <c r="D3963" s="115"/>
      <c r="E3963" s="115"/>
    </row>
    <row r="3964" spans="1:5" ht="13">
      <c r="A3964" s="115"/>
      <c r="B3964" s="115"/>
      <c r="C3964" s="115"/>
      <c r="D3964" s="115"/>
      <c r="E3964" s="115"/>
    </row>
    <row r="3965" spans="1:5" ht="13">
      <c r="A3965" s="115"/>
      <c r="B3965" s="115"/>
      <c r="C3965" s="115"/>
      <c r="D3965" s="115"/>
      <c r="E3965" s="115"/>
    </row>
    <row r="3966" spans="1:5" ht="13">
      <c r="A3966" s="115"/>
      <c r="B3966" s="115"/>
      <c r="C3966" s="115"/>
      <c r="D3966" s="115"/>
      <c r="E3966" s="115"/>
    </row>
    <row r="3967" spans="1:5" ht="13">
      <c r="A3967" s="115"/>
      <c r="B3967" s="115"/>
      <c r="C3967" s="115"/>
      <c r="D3967" s="115"/>
      <c r="E3967" s="115"/>
    </row>
    <row r="3968" spans="1:5" ht="13">
      <c r="A3968" s="115"/>
      <c r="B3968" s="115"/>
      <c r="C3968" s="115"/>
      <c r="D3968" s="115"/>
      <c r="E3968" s="115"/>
    </row>
    <row r="3969" spans="1:5" ht="13">
      <c r="A3969" s="115"/>
      <c r="B3969" s="115"/>
      <c r="C3969" s="115"/>
      <c r="D3969" s="115"/>
      <c r="E3969" s="115"/>
    </row>
    <row r="3970" spans="1:5" ht="13">
      <c r="A3970" s="115"/>
      <c r="B3970" s="115"/>
      <c r="C3970" s="115"/>
      <c r="D3970" s="115"/>
      <c r="E3970" s="115"/>
    </row>
    <row r="3971" spans="1:5" ht="13">
      <c r="A3971" s="115"/>
      <c r="B3971" s="115"/>
      <c r="C3971" s="115"/>
      <c r="D3971" s="115"/>
      <c r="E3971" s="115"/>
    </row>
    <row r="3972" spans="1:5" ht="13">
      <c r="A3972" s="115"/>
      <c r="B3972" s="115"/>
      <c r="C3972" s="115"/>
      <c r="D3972" s="115"/>
      <c r="E3972" s="115"/>
    </row>
    <row r="3973" spans="1:5" ht="13">
      <c r="A3973" s="115"/>
      <c r="B3973" s="115"/>
      <c r="C3973" s="115"/>
      <c r="D3973" s="115"/>
      <c r="E3973" s="115"/>
    </row>
    <row r="3974" spans="1:5" ht="13">
      <c r="A3974" s="115"/>
      <c r="B3974" s="115"/>
      <c r="C3974" s="115"/>
      <c r="D3974" s="115"/>
      <c r="E3974" s="115"/>
    </row>
    <row r="3975" spans="1:5" ht="13">
      <c r="A3975" s="115"/>
      <c r="B3975" s="115"/>
      <c r="C3975" s="115"/>
      <c r="D3975" s="115"/>
      <c r="E3975" s="115"/>
    </row>
    <row r="3976" spans="1:5" ht="13">
      <c r="A3976" s="115"/>
      <c r="B3976" s="115"/>
      <c r="C3976" s="115"/>
      <c r="D3976" s="115"/>
      <c r="E3976" s="115"/>
    </row>
    <row r="3977" spans="1:5" ht="13">
      <c r="A3977" s="115"/>
      <c r="B3977" s="115"/>
      <c r="C3977" s="115"/>
      <c r="D3977" s="115"/>
      <c r="E3977" s="115"/>
    </row>
    <row r="3978" spans="1:5" ht="13">
      <c r="A3978" s="115"/>
      <c r="B3978" s="115"/>
      <c r="C3978" s="115"/>
      <c r="D3978" s="115"/>
      <c r="E3978" s="115"/>
    </row>
    <row r="3979" spans="1:5" ht="13">
      <c r="A3979" s="115"/>
      <c r="B3979" s="115"/>
      <c r="C3979" s="115"/>
      <c r="D3979" s="115"/>
      <c r="E3979" s="115"/>
    </row>
    <row r="3980" spans="1:5" ht="13">
      <c r="A3980" s="115"/>
      <c r="B3980" s="115"/>
      <c r="C3980" s="115"/>
      <c r="D3980" s="115"/>
      <c r="E3980" s="115"/>
    </row>
    <row r="3981" spans="1:5" ht="13">
      <c r="A3981" s="115"/>
      <c r="B3981" s="115"/>
      <c r="C3981" s="115"/>
      <c r="D3981" s="115"/>
      <c r="E3981" s="115"/>
    </row>
    <row r="3982" spans="1:5" ht="13">
      <c r="A3982" s="115"/>
      <c r="B3982" s="115"/>
      <c r="C3982" s="115"/>
      <c r="D3982" s="115"/>
      <c r="E3982" s="115"/>
    </row>
    <row r="3983" spans="1:5" ht="13">
      <c r="A3983" s="115"/>
      <c r="B3983" s="115"/>
      <c r="C3983" s="115"/>
      <c r="D3983" s="115"/>
      <c r="E3983" s="115"/>
    </row>
    <row r="3984" spans="1:5" ht="13">
      <c r="A3984" s="115"/>
      <c r="B3984" s="115"/>
      <c r="C3984" s="115"/>
      <c r="D3984" s="115"/>
      <c r="E3984" s="115"/>
    </row>
    <row r="3985" spans="1:5" ht="13">
      <c r="A3985" s="115"/>
      <c r="B3985" s="115"/>
      <c r="C3985" s="115"/>
      <c r="D3985" s="115"/>
      <c r="E3985" s="115"/>
    </row>
    <row r="3986" spans="1:5" ht="13">
      <c r="A3986" s="115"/>
      <c r="B3986" s="115"/>
      <c r="C3986" s="115"/>
      <c r="D3986" s="115"/>
      <c r="E3986" s="115"/>
    </row>
    <row r="3987" spans="1:5" ht="13">
      <c r="A3987" s="115"/>
      <c r="B3987" s="115"/>
      <c r="C3987" s="115"/>
      <c r="D3987" s="115"/>
      <c r="E3987" s="115"/>
    </row>
    <row r="3988" spans="1:5" ht="13">
      <c r="A3988" s="115"/>
      <c r="B3988" s="115"/>
      <c r="C3988" s="115"/>
      <c r="D3988" s="115"/>
      <c r="E3988" s="115"/>
    </row>
    <row r="3989" spans="1:5" ht="13">
      <c r="A3989" s="115"/>
      <c r="B3989" s="115"/>
      <c r="C3989" s="115"/>
      <c r="D3989" s="115"/>
      <c r="E3989" s="115"/>
    </row>
    <row r="3990" spans="1:5" ht="13">
      <c r="A3990" s="115"/>
      <c r="B3990" s="115"/>
      <c r="C3990" s="115"/>
      <c r="D3990" s="115"/>
      <c r="E3990" s="115"/>
    </row>
    <row r="3991" spans="1:5" ht="13">
      <c r="A3991" s="115"/>
      <c r="B3991" s="115"/>
      <c r="C3991" s="115"/>
      <c r="D3991" s="115"/>
      <c r="E3991" s="115"/>
    </row>
    <row r="3992" spans="1:5" ht="13">
      <c r="A3992" s="115"/>
      <c r="B3992" s="115"/>
      <c r="C3992" s="115"/>
      <c r="D3992" s="115"/>
      <c r="E3992" s="115"/>
    </row>
    <row r="3993" spans="1:5" ht="13">
      <c r="A3993" s="115"/>
      <c r="B3993" s="115"/>
      <c r="C3993" s="115"/>
      <c r="D3993" s="115"/>
      <c r="E3993" s="115"/>
    </row>
    <row r="3994" spans="1:5" ht="13">
      <c r="A3994" s="115"/>
      <c r="B3994" s="115"/>
      <c r="C3994" s="115"/>
      <c r="D3994" s="115"/>
      <c r="E3994" s="115"/>
    </row>
    <row r="3995" spans="1:5" ht="13">
      <c r="A3995" s="115"/>
      <c r="B3995" s="115"/>
      <c r="C3995" s="115"/>
      <c r="D3995" s="115"/>
      <c r="E3995" s="115"/>
    </row>
    <row r="3996" spans="1:5" ht="13">
      <c r="A3996" s="115"/>
      <c r="B3996" s="115"/>
      <c r="C3996" s="115"/>
      <c r="D3996" s="115"/>
      <c r="E3996" s="115"/>
    </row>
    <row r="3997" spans="1:5" ht="13">
      <c r="A3997" s="115"/>
      <c r="B3997" s="115"/>
      <c r="C3997" s="115"/>
      <c r="D3997" s="115"/>
      <c r="E3997" s="115"/>
    </row>
    <row r="3998" spans="1:5" ht="13">
      <c r="A3998" s="115"/>
      <c r="B3998" s="115"/>
      <c r="C3998" s="115"/>
      <c r="D3998" s="115"/>
      <c r="E3998" s="115"/>
    </row>
    <row r="3999" spans="1:5" ht="13">
      <c r="A3999" s="115"/>
      <c r="B3999" s="115"/>
      <c r="C3999" s="115"/>
      <c r="D3999" s="115"/>
      <c r="E3999" s="115"/>
    </row>
    <row r="4000" spans="1:5" ht="13">
      <c r="A4000" s="115"/>
      <c r="B4000" s="115"/>
      <c r="C4000" s="115"/>
      <c r="D4000" s="115"/>
      <c r="E4000" s="115"/>
    </row>
    <row r="4001" spans="1:5" ht="13">
      <c r="A4001" s="115"/>
      <c r="B4001" s="115"/>
      <c r="C4001" s="115"/>
      <c r="D4001" s="115"/>
      <c r="E4001" s="115"/>
    </row>
    <row r="4002" spans="1:5" ht="13">
      <c r="A4002" s="115"/>
      <c r="B4002" s="115"/>
      <c r="C4002" s="115"/>
      <c r="D4002" s="115"/>
      <c r="E4002" s="115"/>
    </row>
    <row r="4003" spans="1:5" ht="13">
      <c r="A4003" s="115"/>
      <c r="B4003" s="115"/>
      <c r="C4003" s="115"/>
      <c r="D4003" s="115"/>
      <c r="E4003" s="115"/>
    </row>
    <row r="4004" spans="1:5" ht="13">
      <c r="A4004" s="115"/>
      <c r="B4004" s="115"/>
      <c r="C4004" s="115"/>
      <c r="D4004" s="115"/>
      <c r="E4004" s="115"/>
    </row>
    <row r="4005" spans="1:5" ht="13">
      <c r="A4005" s="115"/>
      <c r="B4005" s="115"/>
      <c r="C4005" s="115"/>
      <c r="D4005" s="115"/>
      <c r="E4005" s="115"/>
    </row>
    <row r="4006" spans="1:5" ht="13">
      <c r="A4006" s="115"/>
      <c r="B4006" s="115"/>
      <c r="C4006" s="115"/>
      <c r="D4006" s="115"/>
      <c r="E4006" s="115"/>
    </row>
    <row r="4007" spans="1:5" ht="13">
      <c r="A4007" s="115"/>
      <c r="B4007" s="115"/>
      <c r="C4007" s="115"/>
      <c r="D4007" s="115"/>
      <c r="E4007" s="115"/>
    </row>
    <row r="4008" spans="1:5" ht="13">
      <c r="A4008" s="115"/>
      <c r="B4008" s="115"/>
      <c r="C4008" s="115"/>
      <c r="D4008" s="115"/>
      <c r="E4008" s="115"/>
    </row>
    <row r="4009" spans="1:5" ht="13">
      <c r="A4009" s="115"/>
      <c r="B4009" s="115"/>
      <c r="C4009" s="115"/>
      <c r="D4009" s="115"/>
      <c r="E4009" s="115"/>
    </row>
    <row r="4010" spans="1:5" ht="13">
      <c r="A4010" s="115"/>
      <c r="B4010" s="115"/>
      <c r="C4010" s="115"/>
      <c r="D4010" s="115"/>
      <c r="E4010" s="115"/>
    </row>
    <row r="4011" spans="1:5" ht="13">
      <c r="A4011" s="115"/>
      <c r="B4011" s="115"/>
      <c r="C4011" s="115"/>
      <c r="D4011" s="115"/>
      <c r="E4011" s="115"/>
    </row>
    <row r="4012" spans="1:5" ht="13">
      <c r="A4012" s="115"/>
      <c r="B4012" s="115"/>
      <c r="C4012" s="115"/>
      <c r="D4012" s="115"/>
      <c r="E4012" s="115"/>
    </row>
    <row r="4013" spans="1:5" ht="13">
      <c r="A4013" s="115"/>
      <c r="B4013" s="115"/>
      <c r="C4013" s="115"/>
      <c r="D4013" s="115"/>
      <c r="E4013" s="115"/>
    </row>
    <row r="4014" spans="1:5" ht="13">
      <c r="A4014" s="115"/>
      <c r="B4014" s="115"/>
      <c r="C4014" s="115"/>
      <c r="D4014" s="115"/>
      <c r="E4014" s="115"/>
    </row>
    <row r="4015" spans="1:5" ht="13">
      <c r="A4015" s="115"/>
      <c r="B4015" s="115"/>
      <c r="C4015" s="115"/>
      <c r="D4015" s="115"/>
      <c r="E4015" s="115"/>
    </row>
    <row r="4016" spans="1:5" ht="13">
      <c r="A4016" s="115"/>
      <c r="B4016" s="115"/>
      <c r="C4016" s="115"/>
      <c r="D4016" s="115"/>
      <c r="E4016" s="115"/>
    </row>
    <row r="4017" spans="1:5" ht="13">
      <c r="A4017" s="115"/>
      <c r="B4017" s="115"/>
      <c r="C4017" s="115"/>
      <c r="D4017" s="115"/>
      <c r="E4017" s="115"/>
    </row>
    <row r="4018" spans="1:5" ht="13">
      <c r="A4018" s="115"/>
      <c r="B4018" s="115"/>
      <c r="C4018" s="115"/>
      <c r="D4018" s="115"/>
      <c r="E4018" s="115"/>
    </row>
    <row r="4019" spans="1:5" ht="13">
      <c r="A4019" s="115"/>
      <c r="B4019" s="115"/>
      <c r="C4019" s="115"/>
      <c r="D4019" s="115"/>
      <c r="E4019" s="115"/>
    </row>
    <row r="4020" spans="1:5" ht="13">
      <c r="A4020" s="115"/>
      <c r="B4020" s="115"/>
      <c r="C4020" s="115"/>
      <c r="D4020" s="115"/>
      <c r="E4020" s="115"/>
    </row>
    <row r="4021" spans="1:5" ht="13">
      <c r="A4021" s="115"/>
      <c r="B4021" s="115"/>
      <c r="C4021" s="115"/>
      <c r="D4021" s="115"/>
      <c r="E4021" s="115"/>
    </row>
    <row r="4022" spans="1:5" ht="13">
      <c r="A4022" s="115"/>
      <c r="B4022" s="115"/>
      <c r="C4022" s="115"/>
      <c r="D4022" s="115"/>
      <c r="E4022" s="115"/>
    </row>
    <row r="4023" spans="1:5" ht="13">
      <c r="A4023" s="115"/>
      <c r="B4023" s="115"/>
      <c r="C4023" s="115"/>
      <c r="D4023" s="115"/>
      <c r="E4023" s="115"/>
    </row>
    <row r="4024" spans="1:5" ht="13">
      <c r="A4024" s="115"/>
      <c r="B4024" s="115"/>
      <c r="C4024" s="115"/>
      <c r="D4024" s="115"/>
      <c r="E4024" s="115"/>
    </row>
    <row r="4025" spans="1:5" ht="13">
      <c r="A4025" s="115"/>
      <c r="B4025" s="115"/>
      <c r="C4025" s="115"/>
      <c r="D4025" s="115"/>
      <c r="E4025" s="115"/>
    </row>
    <row r="4026" spans="1:5" ht="13">
      <c r="A4026" s="115"/>
      <c r="B4026" s="115"/>
      <c r="C4026" s="115"/>
      <c r="D4026" s="115"/>
      <c r="E4026" s="115"/>
    </row>
    <row r="4027" spans="1:5" ht="13">
      <c r="A4027" s="115"/>
      <c r="B4027" s="115"/>
      <c r="C4027" s="115"/>
      <c r="D4027" s="115"/>
      <c r="E4027" s="115"/>
    </row>
    <row r="4028" spans="1:5" ht="13">
      <c r="A4028" s="115"/>
      <c r="B4028" s="115"/>
      <c r="C4028" s="115"/>
      <c r="D4028" s="115"/>
      <c r="E4028" s="115"/>
    </row>
    <row r="4029" spans="1:5" ht="13">
      <c r="A4029" s="115"/>
      <c r="B4029" s="115"/>
      <c r="C4029" s="115"/>
      <c r="D4029" s="115"/>
      <c r="E4029" s="115"/>
    </row>
    <row r="4030" spans="1:5" ht="13">
      <c r="A4030" s="115"/>
      <c r="B4030" s="115"/>
      <c r="C4030" s="115"/>
      <c r="D4030" s="115"/>
      <c r="E4030" s="115"/>
    </row>
    <row r="4031" spans="1:5" ht="13">
      <c r="A4031" s="115"/>
      <c r="B4031" s="115"/>
      <c r="C4031" s="115"/>
      <c r="D4031" s="115"/>
      <c r="E4031" s="115"/>
    </row>
    <row r="4032" spans="1:5" ht="13">
      <c r="A4032" s="115"/>
      <c r="B4032" s="115"/>
      <c r="C4032" s="115"/>
      <c r="D4032" s="115"/>
      <c r="E4032" s="115"/>
    </row>
    <row r="4033" spans="1:5" ht="13">
      <c r="A4033" s="115"/>
      <c r="B4033" s="115"/>
      <c r="C4033" s="115"/>
      <c r="D4033" s="115"/>
      <c r="E4033" s="115"/>
    </row>
    <row r="4034" spans="1:5" ht="13">
      <c r="A4034" s="115"/>
      <c r="B4034" s="115"/>
      <c r="C4034" s="115"/>
      <c r="D4034" s="115"/>
      <c r="E4034" s="115"/>
    </row>
    <row r="4035" spans="1:5" ht="13">
      <c r="A4035" s="115"/>
      <c r="B4035" s="115"/>
      <c r="C4035" s="115"/>
      <c r="D4035" s="115"/>
      <c r="E4035" s="115"/>
    </row>
    <row r="4036" spans="1:5" ht="13">
      <c r="A4036" s="115"/>
      <c r="B4036" s="115"/>
      <c r="C4036" s="115"/>
      <c r="D4036" s="115"/>
      <c r="E4036" s="115"/>
    </row>
    <row r="4037" spans="1:5" ht="13">
      <c r="A4037" s="115"/>
      <c r="B4037" s="115"/>
      <c r="C4037" s="115"/>
      <c r="D4037" s="115"/>
      <c r="E4037" s="115"/>
    </row>
    <row r="4038" spans="1:5" ht="13">
      <c r="A4038" s="115"/>
      <c r="B4038" s="115"/>
      <c r="C4038" s="115"/>
      <c r="D4038" s="115"/>
      <c r="E4038" s="115"/>
    </row>
    <row r="4039" spans="1:5" ht="13">
      <c r="A4039" s="115"/>
      <c r="B4039" s="115"/>
      <c r="C4039" s="115"/>
      <c r="D4039" s="115"/>
      <c r="E4039" s="115"/>
    </row>
    <row r="4040" spans="1:5" ht="13">
      <c r="A4040" s="115"/>
      <c r="B4040" s="115"/>
      <c r="C4040" s="115"/>
      <c r="D4040" s="115"/>
      <c r="E4040" s="115"/>
    </row>
    <row r="4041" spans="1:5" ht="13">
      <c r="A4041" s="115"/>
      <c r="B4041" s="115"/>
      <c r="C4041" s="115"/>
      <c r="D4041" s="115"/>
      <c r="E4041" s="115"/>
    </row>
    <row r="4042" spans="1:5" ht="13">
      <c r="A4042" s="115"/>
      <c r="B4042" s="115"/>
      <c r="C4042" s="115"/>
      <c r="D4042" s="115"/>
      <c r="E4042" s="115"/>
    </row>
    <row r="4043" spans="1:5" ht="13">
      <c r="A4043" s="115"/>
      <c r="B4043" s="115"/>
      <c r="C4043" s="115"/>
      <c r="D4043" s="115"/>
      <c r="E4043" s="115"/>
    </row>
    <row r="4044" spans="1:5" ht="13">
      <c r="A4044" s="115"/>
      <c r="B4044" s="115"/>
      <c r="C4044" s="115"/>
      <c r="D4044" s="115"/>
      <c r="E4044" s="115"/>
    </row>
    <row r="4045" spans="1:5" ht="13">
      <c r="A4045" s="115"/>
      <c r="B4045" s="115"/>
      <c r="C4045" s="115"/>
      <c r="D4045" s="115"/>
      <c r="E4045" s="115"/>
    </row>
    <row r="4046" spans="1:5" ht="13">
      <c r="A4046" s="115"/>
      <c r="B4046" s="115"/>
      <c r="C4046" s="115"/>
      <c r="D4046" s="115"/>
      <c r="E4046" s="115"/>
    </row>
    <row r="4047" spans="1:5" ht="13">
      <c r="A4047" s="115"/>
      <c r="B4047" s="115"/>
      <c r="C4047" s="115"/>
      <c r="D4047" s="115"/>
      <c r="E4047" s="115"/>
    </row>
    <row r="4048" spans="1:5" ht="13">
      <c r="A4048" s="115"/>
      <c r="B4048" s="115"/>
      <c r="C4048" s="115"/>
      <c r="D4048" s="115"/>
      <c r="E4048" s="115"/>
    </row>
    <row r="4049" spans="1:5" ht="13">
      <c r="A4049" s="115"/>
      <c r="B4049" s="115"/>
      <c r="C4049" s="115"/>
      <c r="D4049" s="115"/>
      <c r="E4049" s="115"/>
    </row>
    <row r="4050" spans="1:5" ht="13">
      <c r="A4050" s="115"/>
      <c r="B4050" s="115"/>
      <c r="C4050" s="115"/>
      <c r="D4050" s="115"/>
      <c r="E4050" s="115"/>
    </row>
    <row r="4051" spans="1:5" ht="13">
      <c r="A4051" s="115"/>
      <c r="B4051" s="115"/>
      <c r="C4051" s="115"/>
      <c r="D4051" s="115"/>
      <c r="E4051" s="115"/>
    </row>
    <row r="4052" spans="1:5" ht="13">
      <c r="A4052" s="115"/>
      <c r="B4052" s="115"/>
      <c r="C4052" s="115"/>
      <c r="D4052" s="115"/>
      <c r="E4052" s="115"/>
    </row>
    <row r="4053" spans="1:5" ht="13">
      <c r="A4053" s="115"/>
      <c r="B4053" s="115"/>
      <c r="C4053" s="115"/>
      <c r="D4053" s="115"/>
      <c r="E4053" s="115"/>
    </row>
    <row r="4054" spans="1:5" ht="13">
      <c r="A4054" s="115"/>
      <c r="B4054" s="115"/>
      <c r="C4054" s="115"/>
      <c r="D4054" s="115"/>
      <c r="E4054" s="115"/>
    </row>
    <row r="4055" spans="1:5" ht="13">
      <c r="A4055" s="115"/>
      <c r="B4055" s="115"/>
      <c r="C4055" s="115"/>
      <c r="D4055" s="115"/>
      <c r="E4055" s="115"/>
    </row>
    <row r="4056" spans="1:5" ht="13">
      <c r="A4056" s="115"/>
      <c r="B4056" s="115"/>
      <c r="C4056" s="115"/>
      <c r="D4056" s="115"/>
      <c r="E4056" s="115"/>
    </row>
    <row r="4057" spans="1:5" ht="13">
      <c r="A4057" s="115"/>
      <c r="B4057" s="115"/>
      <c r="C4057" s="115"/>
      <c r="D4057" s="115"/>
      <c r="E4057" s="115"/>
    </row>
    <row r="4058" spans="1:5" ht="13">
      <c r="A4058" s="115"/>
      <c r="B4058" s="115"/>
      <c r="C4058" s="115"/>
      <c r="D4058" s="115"/>
      <c r="E4058" s="115"/>
    </row>
    <row r="4059" spans="1:5" ht="13">
      <c r="A4059" s="115"/>
      <c r="B4059" s="115"/>
      <c r="C4059" s="115"/>
      <c r="D4059" s="115"/>
      <c r="E4059" s="115"/>
    </row>
    <row r="4060" spans="1:5" ht="13">
      <c r="A4060" s="115"/>
      <c r="B4060" s="115"/>
      <c r="C4060" s="115"/>
      <c r="D4060" s="115"/>
      <c r="E4060" s="115"/>
    </row>
    <row r="4061" spans="1:5" ht="13">
      <c r="A4061" s="115"/>
      <c r="B4061" s="115"/>
      <c r="C4061" s="115"/>
      <c r="D4061" s="115"/>
      <c r="E4061" s="115"/>
    </row>
    <row r="4062" spans="1:5" ht="13">
      <c r="A4062" s="115"/>
      <c r="B4062" s="115"/>
      <c r="C4062" s="115"/>
      <c r="D4062" s="115"/>
      <c r="E4062" s="115"/>
    </row>
    <row r="4063" spans="1:5" ht="13">
      <c r="A4063" s="115"/>
      <c r="B4063" s="115"/>
      <c r="C4063" s="115"/>
      <c r="D4063" s="115"/>
      <c r="E4063" s="115"/>
    </row>
    <row r="4064" spans="1:5" ht="13">
      <c r="A4064" s="115"/>
      <c r="B4064" s="115"/>
      <c r="C4064" s="115"/>
      <c r="D4064" s="115"/>
      <c r="E4064" s="115"/>
    </row>
    <row r="4065" spans="1:5" ht="13">
      <c r="A4065" s="115"/>
      <c r="B4065" s="115"/>
      <c r="C4065" s="115"/>
      <c r="D4065" s="115"/>
      <c r="E4065" s="115"/>
    </row>
    <row r="4066" spans="1:5" ht="13">
      <c r="A4066" s="115"/>
      <c r="B4066" s="115"/>
      <c r="C4066" s="115"/>
      <c r="D4066" s="115"/>
      <c r="E4066" s="115"/>
    </row>
    <row r="4067" spans="1:5" ht="13">
      <c r="A4067" s="115"/>
      <c r="B4067" s="115"/>
      <c r="C4067" s="115"/>
      <c r="D4067" s="115"/>
      <c r="E4067" s="115"/>
    </row>
    <row r="4068" spans="1:5" ht="13">
      <c r="A4068" s="115"/>
      <c r="B4068" s="115"/>
      <c r="C4068" s="115"/>
      <c r="D4068" s="115"/>
      <c r="E4068" s="115"/>
    </row>
    <row r="4069" spans="1:5" ht="13">
      <c r="A4069" s="115"/>
      <c r="B4069" s="115"/>
      <c r="C4069" s="115"/>
      <c r="D4069" s="115"/>
      <c r="E4069" s="115"/>
    </row>
    <row r="4070" spans="1:5" ht="13">
      <c r="A4070" s="115"/>
      <c r="B4070" s="115"/>
      <c r="C4070" s="115"/>
      <c r="D4070" s="115"/>
      <c r="E4070" s="115"/>
    </row>
    <row r="4071" spans="1:5" ht="13">
      <c r="A4071" s="115"/>
      <c r="B4071" s="115"/>
      <c r="C4071" s="115"/>
      <c r="D4071" s="115"/>
      <c r="E4071" s="115"/>
    </row>
    <row r="4072" spans="1:5" ht="13">
      <c r="A4072" s="115"/>
      <c r="B4072" s="115"/>
      <c r="C4072" s="115"/>
      <c r="D4072" s="115"/>
      <c r="E4072" s="115"/>
    </row>
    <row r="4073" spans="1:5" ht="13">
      <c r="A4073" s="115"/>
      <c r="B4073" s="115"/>
      <c r="C4073" s="115"/>
      <c r="D4073" s="115"/>
      <c r="E4073" s="115"/>
    </row>
    <row r="4074" spans="1:5" ht="13">
      <c r="A4074" s="115"/>
      <c r="B4074" s="115"/>
      <c r="C4074" s="115"/>
      <c r="D4074" s="115"/>
      <c r="E4074" s="115"/>
    </row>
    <row r="4075" spans="1:5" ht="13">
      <c r="A4075" s="115"/>
      <c r="B4075" s="115"/>
      <c r="C4075" s="115"/>
      <c r="D4075" s="115"/>
      <c r="E4075" s="115"/>
    </row>
    <row r="4076" spans="1:5" ht="13">
      <c r="A4076" s="115"/>
      <c r="B4076" s="115"/>
      <c r="C4076" s="115"/>
      <c r="D4076" s="115"/>
      <c r="E4076" s="115"/>
    </row>
    <row r="4077" spans="1:5" ht="13">
      <c r="A4077" s="115"/>
      <c r="B4077" s="115"/>
      <c r="C4077" s="115"/>
      <c r="D4077" s="115"/>
      <c r="E4077" s="115"/>
    </row>
    <row r="4078" spans="1:5" ht="13">
      <c r="A4078" s="115"/>
      <c r="B4078" s="115"/>
      <c r="C4078" s="115"/>
      <c r="D4078" s="115"/>
      <c r="E4078" s="115"/>
    </row>
    <row r="4079" spans="1:5" ht="13">
      <c r="A4079" s="115"/>
      <c r="B4079" s="115"/>
      <c r="C4079" s="115"/>
      <c r="D4079" s="115"/>
      <c r="E4079" s="115"/>
    </row>
    <row r="4080" spans="1:5" ht="13">
      <c r="A4080" s="115"/>
      <c r="B4080" s="115"/>
      <c r="C4080" s="115"/>
      <c r="D4080" s="115"/>
      <c r="E4080" s="115"/>
    </row>
    <row r="4081" spans="1:5" ht="13">
      <c r="A4081" s="115"/>
      <c r="B4081" s="115"/>
      <c r="C4081" s="115"/>
      <c r="D4081" s="115"/>
      <c r="E4081" s="115"/>
    </row>
    <row r="4082" spans="1:5" ht="13">
      <c r="A4082" s="115"/>
      <c r="B4082" s="115"/>
      <c r="C4082" s="115"/>
      <c r="D4082" s="115"/>
      <c r="E4082" s="115"/>
    </row>
    <row r="4083" spans="1:5" ht="13">
      <c r="A4083" s="115"/>
      <c r="B4083" s="115"/>
      <c r="C4083" s="115"/>
      <c r="D4083" s="115"/>
      <c r="E4083" s="115"/>
    </row>
    <row r="4084" spans="1:5" ht="13">
      <c r="A4084" s="115"/>
      <c r="B4084" s="115"/>
      <c r="C4084" s="115"/>
      <c r="D4084" s="115"/>
      <c r="E4084" s="115"/>
    </row>
    <row r="4085" spans="1:5" ht="13">
      <c r="A4085" s="115"/>
      <c r="B4085" s="115"/>
      <c r="C4085" s="115"/>
      <c r="D4085" s="115"/>
      <c r="E4085" s="115"/>
    </row>
    <row r="4086" spans="1:5" ht="13">
      <c r="A4086" s="115"/>
      <c r="B4086" s="115"/>
      <c r="C4086" s="115"/>
      <c r="D4086" s="115"/>
      <c r="E4086" s="115"/>
    </row>
    <row r="4087" spans="1:5" ht="13">
      <c r="A4087" s="115"/>
      <c r="B4087" s="115"/>
      <c r="C4087" s="115"/>
      <c r="D4087" s="115"/>
      <c r="E4087" s="115"/>
    </row>
    <row r="4088" spans="1:5" ht="13">
      <c r="A4088" s="115"/>
      <c r="B4088" s="115"/>
      <c r="C4088" s="115"/>
      <c r="D4088" s="115"/>
      <c r="E4088" s="115"/>
    </row>
    <row r="4089" spans="1:5" ht="13">
      <c r="A4089" s="115"/>
      <c r="B4089" s="115"/>
      <c r="C4089" s="115"/>
      <c r="D4089" s="115"/>
      <c r="E4089" s="115"/>
    </row>
    <row r="4090" spans="1:5" ht="13">
      <c r="A4090" s="115"/>
      <c r="B4090" s="115"/>
      <c r="C4090" s="115"/>
      <c r="D4090" s="115"/>
      <c r="E4090" s="115"/>
    </row>
    <row r="4091" spans="1:5" ht="13">
      <c r="A4091" s="115"/>
      <c r="B4091" s="115"/>
      <c r="C4091" s="115"/>
      <c r="D4091" s="115"/>
      <c r="E4091" s="115"/>
    </row>
    <row r="4092" spans="1:5" ht="13">
      <c r="A4092" s="115"/>
      <c r="B4092" s="115"/>
      <c r="C4092" s="115"/>
      <c r="D4092" s="115"/>
      <c r="E4092" s="115"/>
    </row>
    <row r="4093" spans="1:5" ht="13">
      <c r="A4093" s="115"/>
      <c r="B4093" s="115"/>
      <c r="C4093" s="115"/>
      <c r="D4093" s="115"/>
      <c r="E4093" s="115"/>
    </row>
    <row r="4094" spans="1:5" ht="13">
      <c r="A4094" s="115"/>
      <c r="B4094" s="115"/>
      <c r="C4094" s="115"/>
      <c r="D4094" s="115"/>
      <c r="E4094" s="115"/>
    </row>
    <row r="4095" spans="1:5" ht="13">
      <c r="A4095" s="115"/>
      <c r="B4095" s="115"/>
      <c r="C4095" s="115"/>
      <c r="D4095" s="115"/>
      <c r="E4095" s="115"/>
    </row>
    <row r="4096" spans="1:5" ht="13">
      <c r="A4096" s="115"/>
      <c r="B4096" s="115"/>
      <c r="C4096" s="115"/>
      <c r="D4096" s="115"/>
      <c r="E4096" s="115"/>
    </row>
    <row r="4097" spans="1:5" ht="13">
      <c r="A4097" s="115"/>
      <c r="B4097" s="115"/>
      <c r="C4097" s="115"/>
      <c r="D4097" s="115"/>
      <c r="E4097" s="115"/>
    </row>
    <row r="4098" spans="1:5" ht="13">
      <c r="A4098" s="115"/>
      <c r="B4098" s="115"/>
      <c r="C4098" s="115"/>
      <c r="D4098" s="115"/>
      <c r="E4098" s="115"/>
    </row>
    <row r="4099" spans="1:5" ht="13">
      <c r="A4099" s="115"/>
      <c r="B4099" s="115"/>
      <c r="C4099" s="115"/>
      <c r="D4099" s="115"/>
      <c r="E4099" s="115"/>
    </row>
    <row r="4100" spans="1:5" ht="13">
      <c r="A4100" s="115"/>
      <c r="B4100" s="115"/>
      <c r="C4100" s="115"/>
      <c r="D4100" s="115"/>
      <c r="E4100" s="115"/>
    </row>
    <row r="4101" spans="1:5" ht="13">
      <c r="A4101" s="115"/>
      <c r="B4101" s="115"/>
      <c r="C4101" s="115"/>
      <c r="D4101" s="115"/>
      <c r="E4101" s="115"/>
    </row>
    <row r="4102" spans="1:5" ht="13">
      <c r="A4102" s="115"/>
      <c r="B4102" s="115"/>
      <c r="C4102" s="115"/>
      <c r="D4102" s="115"/>
      <c r="E4102" s="115"/>
    </row>
    <row r="4103" spans="1:5" ht="13">
      <c r="A4103" s="115"/>
      <c r="B4103" s="115"/>
      <c r="C4103" s="115"/>
      <c r="D4103" s="115"/>
      <c r="E4103" s="115"/>
    </row>
    <row r="4104" spans="1:5" ht="13">
      <c r="A4104" s="115"/>
      <c r="B4104" s="115"/>
      <c r="C4104" s="115"/>
      <c r="D4104" s="115"/>
      <c r="E4104" s="115"/>
    </row>
    <row r="4105" spans="1:5" ht="13">
      <c r="A4105" s="115"/>
      <c r="B4105" s="115"/>
      <c r="C4105" s="115"/>
      <c r="D4105" s="115"/>
      <c r="E4105" s="115"/>
    </row>
    <row r="4106" spans="1:5" ht="13">
      <c r="A4106" s="115"/>
      <c r="B4106" s="115"/>
      <c r="C4106" s="115"/>
      <c r="D4106" s="115"/>
      <c r="E4106" s="115"/>
    </row>
    <row r="4107" spans="1:5" ht="13">
      <c r="A4107" s="115"/>
      <c r="B4107" s="115"/>
      <c r="C4107" s="115"/>
      <c r="D4107" s="115"/>
      <c r="E4107" s="115"/>
    </row>
    <row r="4108" spans="1:5" ht="13">
      <c r="A4108" s="115"/>
      <c r="B4108" s="115"/>
      <c r="C4108" s="115"/>
      <c r="D4108" s="115"/>
      <c r="E4108" s="115"/>
    </row>
    <row r="4109" spans="1:5" ht="13">
      <c r="A4109" s="115"/>
      <c r="B4109" s="115"/>
      <c r="C4109" s="115"/>
      <c r="D4109" s="115"/>
      <c r="E4109" s="115"/>
    </row>
    <row r="4110" spans="1:5" ht="13">
      <c r="A4110" s="115"/>
      <c r="B4110" s="115"/>
      <c r="C4110" s="115"/>
      <c r="D4110" s="115"/>
      <c r="E4110" s="115"/>
    </row>
    <row r="4111" spans="1:5" ht="13">
      <c r="A4111" s="115"/>
      <c r="B4111" s="115"/>
      <c r="C4111" s="115"/>
      <c r="D4111" s="115"/>
      <c r="E4111" s="115"/>
    </row>
    <row r="4112" spans="1:5" ht="13">
      <c r="A4112" s="115"/>
      <c r="B4112" s="115"/>
      <c r="C4112" s="115"/>
      <c r="D4112" s="115"/>
      <c r="E4112" s="115"/>
    </row>
    <row r="4113" spans="1:5" ht="13">
      <c r="A4113" s="115"/>
      <c r="B4113" s="115"/>
      <c r="C4113" s="115"/>
      <c r="D4113" s="115"/>
      <c r="E4113" s="115"/>
    </row>
    <row r="4114" spans="1:5" ht="13">
      <c r="A4114" s="115"/>
      <c r="B4114" s="115"/>
      <c r="C4114" s="115"/>
      <c r="D4114" s="115"/>
      <c r="E4114" s="115"/>
    </row>
    <row r="4115" spans="1:5" ht="13">
      <c r="A4115" s="115"/>
      <c r="B4115" s="115"/>
      <c r="C4115" s="115"/>
      <c r="D4115" s="115"/>
      <c r="E4115" s="115"/>
    </row>
    <row r="4116" spans="1:5" ht="13">
      <c r="A4116" s="115"/>
      <c r="B4116" s="115"/>
      <c r="C4116" s="115"/>
      <c r="D4116" s="115"/>
      <c r="E4116" s="115"/>
    </row>
    <row r="4117" spans="1:5" ht="13">
      <c r="A4117" s="115"/>
      <c r="B4117" s="115"/>
      <c r="C4117" s="115"/>
      <c r="D4117" s="115"/>
      <c r="E4117" s="115"/>
    </row>
    <row r="4118" spans="1:5" ht="13">
      <c r="A4118" s="115"/>
      <c r="B4118" s="115"/>
      <c r="C4118" s="115"/>
      <c r="D4118" s="115"/>
      <c r="E4118" s="115"/>
    </row>
    <row r="4119" spans="1:5" ht="13">
      <c r="A4119" s="115"/>
      <c r="B4119" s="115"/>
      <c r="C4119" s="115"/>
      <c r="D4119" s="115"/>
      <c r="E4119" s="115"/>
    </row>
    <row r="4120" spans="1:5" ht="13">
      <c r="A4120" s="115"/>
      <c r="B4120" s="115"/>
      <c r="C4120" s="115"/>
      <c r="D4120" s="115"/>
      <c r="E4120" s="115"/>
    </row>
    <row r="4121" spans="1:5" ht="13">
      <c r="A4121" s="115"/>
      <c r="B4121" s="115"/>
      <c r="C4121" s="115"/>
      <c r="D4121" s="115"/>
      <c r="E4121" s="115"/>
    </row>
    <row r="4122" spans="1:5" ht="13">
      <c r="A4122" s="115"/>
      <c r="B4122" s="115"/>
      <c r="C4122" s="115"/>
      <c r="D4122" s="115"/>
      <c r="E4122" s="115"/>
    </row>
    <row r="4123" spans="1:5" ht="13">
      <c r="A4123" s="115"/>
      <c r="B4123" s="115"/>
      <c r="C4123" s="115"/>
      <c r="D4123" s="115"/>
      <c r="E4123" s="115"/>
    </row>
    <row r="4124" spans="1:5" ht="13">
      <c r="A4124" s="115"/>
      <c r="B4124" s="115"/>
      <c r="C4124" s="115"/>
      <c r="D4124" s="115"/>
      <c r="E4124" s="115"/>
    </row>
    <row r="4125" spans="1:5" ht="13">
      <c r="A4125" s="115"/>
      <c r="B4125" s="115"/>
      <c r="C4125" s="115"/>
      <c r="D4125" s="115"/>
      <c r="E4125" s="115"/>
    </row>
    <row r="4126" spans="1:5" ht="13">
      <c r="A4126" s="115"/>
      <c r="B4126" s="115"/>
      <c r="C4126" s="115"/>
      <c r="D4126" s="115"/>
      <c r="E4126" s="115"/>
    </row>
    <row r="4127" spans="1:5" ht="13">
      <c r="A4127" s="115"/>
      <c r="B4127" s="115"/>
      <c r="C4127" s="115"/>
      <c r="D4127" s="115"/>
      <c r="E4127" s="115"/>
    </row>
    <row r="4128" spans="1:5" ht="13">
      <c r="A4128" s="115"/>
      <c r="B4128" s="115"/>
      <c r="C4128" s="115"/>
      <c r="D4128" s="115"/>
      <c r="E4128" s="115"/>
    </row>
    <row r="4129" spans="1:5" ht="13">
      <c r="A4129" s="115"/>
      <c r="B4129" s="115"/>
      <c r="C4129" s="115"/>
      <c r="D4129" s="115"/>
      <c r="E4129" s="115"/>
    </row>
    <row r="4130" spans="1:5" ht="13">
      <c r="A4130" s="115"/>
      <c r="B4130" s="115"/>
      <c r="C4130" s="115"/>
      <c r="D4130" s="115"/>
      <c r="E4130" s="115"/>
    </row>
    <row r="4131" spans="1:5" ht="13">
      <c r="A4131" s="115"/>
      <c r="B4131" s="115"/>
      <c r="C4131" s="115"/>
      <c r="D4131" s="115"/>
      <c r="E4131" s="115"/>
    </row>
    <row r="4132" spans="1:5" ht="13">
      <c r="A4132" s="115"/>
      <c r="B4132" s="115"/>
      <c r="C4132" s="115"/>
      <c r="D4132" s="115"/>
      <c r="E4132" s="115"/>
    </row>
    <row r="4133" spans="1:5" ht="13">
      <c r="A4133" s="115"/>
      <c r="B4133" s="115"/>
      <c r="C4133" s="115"/>
      <c r="D4133" s="115"/>
      <c r="E4133" s="115"/>
    </row>
    <row r="4134" spans="1:5" ht="13">
      <c r="A4134" s="115"/>
      <c r="B4134" s="115"/>
      <c r="C4134" s="115"/>
      <c r="D4134" s="115"/>
      <c r="E4134" s="115"/>
    </row>
    <row r="4135" spans="1:5" ht="13">
      <c r="A4135" s="115"/>
      <c r="B4135" s="115"/>
      <c r="C4135" s="115"/>
      <c r="D4135" s="115"/>
      <c r="E4135" s="115"/>
    </row>
    <row r="4136" spans="1:5" ht="13">
      <c r="A4136" s="115"/>
      <c r="B4136" s="115"/>
      <c r="C4136" s="115"/>
      <c r="D4136" s="115"/>
      <c r="E4136" s="115"/>
    </row>
    <row r="4137" spans="1:5" ht="13">
      <c r="A4137" s="115"/>
      <c r="B4137" s="115"/>
      <c r="C4137" s="115"/>
      <c r="D4137" s="115"/>
      <c r="E4137" s="115"/>
    </row>
    <row r="4138" spans="1:5" ht="13">
      <c r="A4138" s="115"/>
      <c r="B4138" s="115"/>
      <c r="C4138" s="115"/>
      <c r="D4138" s="115"/>
      <c r="E4138" s="115"/>
    </row>
    <row r="4139" spans="1:5" ht="13">
      <c r="A4139" s="115"/>
      <c r="B4139" s="115"/>
      <c r="C4139" s="115"/>
      <c r="D4139" s="115"/>
      <c r="E4139" s="115"/>
    </row>
    <row r="4140" spans="1:5" ht="13">
      <c r="A4140" s="115"/>
      <c r="B4140" s="115"/>
      <c r="C4140" s="115"/>
      <c r="D4140" s="115"/>
      <c r="E4140" s="115"/>
    </row>
    <row r="4141" spans="1:5" ht="13">
      <c r="A4141" s="115"/>
      <c r="B4141" s="115"/>
      <c r="C4141" s="115"/>
      <c r="D4141" s="115"/>
      <c r="E4141" s="115"/>
    </row>
    <row r="4142" spans="1:5" ht="13">
      <c r="A4142" s="115"/>
      <c r="B4142" s="115"/>
      <c r="C4142" s="115"/>
      <c r="D4142" s="115"/>
      <c r="E4142" s="115"/>
    </row>
    <row r="4143" spans="1:5" ht="13">
      <c r="A4143" s="115"/>
      <c r="B4143" s="115"/>
      <c r="C4143" s="115"/>
      <c r="D4143" s="115"/>
      <c r="E4143" s="115"/>
    </row>
    <row r="4144" spans="1:5" ht="13">
      <c r="A4144" s="115"/>
      <c r="B4144" s="115"/>
      <c r="C4144" s="115"/>
      <c r="D4144" s="115"/>
      <c r="E4144" s="115"/>
    </row>
    <row r="4145" spans="1:5" ht="13">
      <c r="A4145" s="115"/>
      <c r="B4145" s="115"/>
      <c r="C4145" s="115"/>
      <c r="D4145" s="115"/>
      <c r="E4145" s="115"/>
    </row>
    <row r="4146" spans="1:5" ht="13">
      <c r="A4146" s="115"/>
      <c r="B4146" s="115"/>
      <c r="C4146" s="115"/>
      <c r="D4146" s="115"/>
      <c r="E4146" s="115"/>
    </row>
    <row r="4147" spans="1:5" ht="13">
      <c r="A4147" s="115"/>
      <c r="B4147" s="115"/>
      <c r="C4147" s="115"/>
      <c r="D4147" s="115"/>
      <c r="E4147" s="115"/>
    </row>
    <row r="4148" spans="1:5" ht="13">
      <c r="A4148" s="115"/>
      <c r="B4148" s="115"/>
      <c r="C4148" s="115"/>
      <c r="D4148" s="115"/>
      <c r="E4148" s="115"/>
    </row>
    <row r="4149" spans="1:5" ht="13">
      <c r="A4149" s="115"/>
      <c r="B4149" s="115"/>
      <c r="C4149" s="115"/>
      <c r="D4149" s="115"/>
      <c r="E4149" s="115"/>
    </row>
    <row r="4150" spans="1:5" ht="13">
      <c r="A4150" s="115"/>
      <c r="B4150" s="115"/>
      <c r="C4150" s="115"/>
      <c r="D4150" s="115"/>
      <c r="E4150" s="115"/>
    </row>
    <row r="4151" spans="1:5" ht="13">
      <c r="A4151" s="115"/>
      <c r="B4151" s="115"/>
      <c r="C4151" s="115"/>
      <c r="D4151" s="115"/>
      <c r="E4151" s="115"/>
    </row>
    <row r="4152" spans="1:5" ht="13">
      <c r="A4152" s="115"/>
      <c r="B4152" s="115"/>
      <c r="C4152" s="115"/>
      <c r="D4152" s="115"/>
      <c r="E4152" s="115"/>
    </row>
    <row r="4153" spans="1:5" ht="13">
      <c r="A4153" s="115"/>
      <c r="B4153" s="115"/>
      <c r="C4153" s="115"/>
      <c r="D4153" s="115"/>
      <c r="E4153" s="115"/>
    </row>
    <row r="4154" spans="1:5" ht="13">
      <c r="A4154" s="115"/>
      <c r="B4154" s="115"/>
      <c r="C4154" s="115"/>
      <c r="D4154" s="115"/>
      <c r="E4154" s="115"/>
    </row>
    <row r="4155" spans="1:5" ht="13">
      <c r="A4155" s="115"/>
      <c r="B4155" s="115"/>
      <c r="C4155" s="115"/>
      <c r="D4155" s="115"/>
      <c r="E4155" s="115"/>
    </row>
    <row r="4156" spans="1:5" ht="13">
      <c r="A4156" s="115"/>
      <c r="B4156" s="115"/>
      <c r="C4156" s="115"/>
      <c r="D4156" s="115"/>
      <c r="E4156" s="115"/>
    </row>
    <row r="4157" spans="1:5" ht="13">
      <c r="A4157" s="115"/>
      <c r="B4157" s="115"/>
      <c r="C4157" s="115"/>
      <c r="D4157" s="115"/>
      <c r="E4157" s="115"/>
    </row>
    <row r="4158" spans="1:5" ht="13">
      <c r="A4158" s="115"/>
      <c r="B4158" s="115"/>
      <c r="C4158" s="115"/>
      <c r="D4158" s="115"/>
      <c r="E4158" s="115"/>
    </row>
    <row r="4159" spans="1:5" ht="13">
      <c r="A4159" s="115"/>
      <c r="B4159" s="115"/>
      <c r="C4159" s="115"/>
      <c r="D4159" s="115"/>
      <c r="E4159" s="115"/>
    </row>
    <row r="4160" spans="1:5" ht="13">
      <c r="A4160" s="115"/>
      <c r="B4160" s="115"/>
      <c r="C4160" s="115"/>
      <c r="D4160" s="115"/>
      <c r="E4160" s="115"/>
    </row>
    <row r="4161" spans="1:5" ht="13">
      <c r="A4161" s="115"/>
      <c r="B4161" s="115"/>
      <c r="C4161" s="115"/>
      <c r="D4161" s="115"/>
      <c r="E4161" s="115"/>
    </row>
    <row r="4162" spans="1:5" ht="13">
      <c r="A4162" s="115"/>
      <c r="B4162" s="115"/>
      <c r="C4162" s="115"/>
      <c r="D4162" s="115"/>
      <c r="E4162" s="115"/>
    </row>
    <row r="4163" spans="1:5" ht="13">
      <c r="A4163" s="115"/>
      <c r="B4163" s="115"/>
      <c r="C4163" s="115"/>
      <c r="D4163" s="115"/>
      <c r="E4163" s="115"/>
    </row>
    <row r="4164" spans="1:5" ht="13">
      <c r="A4164" s="115"/>
      <c r="B4164" s="115"/>
      <c r="C4164" s="115"/>
      <c r="D4164" s="115"/>
      <c r="E4164" s="115"/>
    </row>
    <row r="4165" spans="1:5" ht="13">
      <c r="A4165" s="115"/>
      <c r="B4165" s="115"/>
      <c r="C4165" s="115"/>
      <c r="D4165" s="115"/>
      <c r="E4165" s="115"/>
    </row>
    <row r="4166" spans="1:5" ht="13">
      <c r="A4166" s="115"/>
      <c r="B4166" s="115"/>
      <c r="C4166" s="115"/>
      <c r="D4166" s="115"/>
      <c r="E4166" s="115"/>
    </row>
    <row r="4167" spans="1:5" ht="13">
      <c r="A4167" s="115"/>
      <c r="B4167" s="115"/>
      <c r="C4167" s="115"/>
      <c r="D4167" s="115"/>
      <c r="E4167" s="115"/>
    </row>
    <row r="4168" spans="1:5" ht="13">
      <c r="A4168" s="115"/>
      <c r="B4168" s="115"/>
      <c r="C4168" s="115"/>
      <c r="D4168" s="115"/>
      <c r="E4168" s="115"/>
    </row>
    <row r="4169" spans="1:5" ht="13">
      <c r="A4169" s="115"/>
      <c r="B4169" s="115"/>
      <c r="C4169" s="115"/>
      <c r="D4169" s="115"/>
      <c r="E4169" s="115"/>
    </row>
    <row r="4170" spans="1:5" ht="13">
      <c r="A4170" s="115"/>
      <c r="B4170" s="115"/>
      <c r="C4170" s="115"/>
      <c r="D4170" s="115"/>
      <c r="E4170" s="115"/>
    </row>
    <row r="4171" spans="1:5" ht="13">
      <c r="A4171" s="115"/>
      <c r="B4171" s="115"/>
      <c r="C4171" s="115"/>
      <c r="D4171" s="115"/>
      <c r="E4171" s="115"/>
    </row>
    <row r="4172" spans="1:5" ht="13">
      <c r="A4172" s="115"/>
      <c r="B4172" s="115"/>
      <c r="C4172" s="115"/>
      <c r="D4172" s="115"/>
      <c r="E4172" s="115"/>
    </row>
    <row r="4173" spans="1:5" ht="13">
      <c r="A4173" s="115"/>
      <c r="B4173" s="115"/>
      <c r="C4173" s="115"/>
      <c r="D4173" s="115"/>
      <c r="E4173" s="115"/>
    </row>
    <row r="4174" spans="1:5" ht="13">
      <c r="A4174" s="115"/>
      <c r="B4174" s="115"/>
      <c r="C4174" s="115"/>
      <c r="D4174" s="115"/>
      <c r="E4174" s="115"/>
    </row>
    <row r="4175" spans="1:5" ht="13">
      <c r="A4175" s="115"/>
      <c r="B4175" s="115"/>
      <c r="C4175" s="115"/>
      <c r="D4175" s="115"/>
      <c r="E4175" s="115"/>
    </row>
    <row r="4176" spans="1:5" ht="13">
      <c r="A4176" s="115"/>
      <c r="B4176" s="115"/>
      <c r="C4176" s="115"/>
      <c r="D4176" s="115"/>
      <c r="E4176" s="115"/>
    </row>
    <row r="4177" spans="1:5" ht="13">
      <c r="A4177" s="115"/>
      <c r="B4177" s="115"/>
      <c r="C4177" s="115"/>
      <c r="D4177" s="115"/>
      <c r="E4177" s="115"/>
    </row>
    <row r="4178" spans="1:5" ht="13">
      <c r="A4178" s="115"/>
      <c r="B4178" s="115"/>
      <c r="C4178" s="115"/>
      <c r="D4178" s="115"/>
      <c r="E4178" s="115"/>
    </row>
    <row r="4179" spans="1:5" ht="13">
      <c r="A4179" s="115"/>
      <c r="B4179" s="115"/>
      <c r="C4179" s="115"/>
      <c r="D4179" s="115"/>
      <c r="E4179" s="115"/>
    </row>
    <row r="4180" spans="1:5" ht="13">
      <c r="A4180" s="115"/>
      <c r="B4180" s="115"/>
      <c r="C4180" s="115"/>
      <c r="D4180" s="115"/>
      <c r="E4180" s="115"/>
    </row>
    <row r="4181" spans="1:5" ht="13">
      <c r="A4181" s="115"/>
      <c r="B4181" s="115"/>
      <c r="C4181" s="115"/>
      <c r="D4181" s="115"/>
      <c r="E4181" s="115"/>
    </row>
    <row r="4182" spans="1:5" ht="13">
      <c r="A4182" s="115"/>
      <c r="B4182" s="115"/>
      <c r="C4182" s="115"/>
      <c r="D4182" s="115"/>
      <c r="E4182" s="115"/>
    </row>
    <row r="4183" spans="1:5" ht="13">
      <c r="A4183" s="115"/>
      <c r="B4183" s="115"/>
      <c r="C4183" s="115"/>
      <c r="D4183" s="115"/>
      <c r="E4183" s="115"/>
    </row>
    <row r="4184" spans="1:5" ht="13">
      <c r="A4184" s="115"/>
      <c r="B4184" s="115"/>
      <c r="C4184" s="115"/>
      <c r="D4184" s="115"/>
      <c r="E4184" s="115"/>
    </row>
    <row r="4185" spans="1:5" ht="13">
      <c r="A4185" s="115"/>
      <c r="B4185" s="115"/>
      <c r="C4185" s="115"/>
      <c r="D4185" s="115"/>
      <c r="E4185" s="115"/>
    </row>
    <row r="4186" spans="1:5" ht="13">
      <c r="A4186" s="115"/>
      <c r="B4186" s="115"/>
      <c r="C4186" s="115"/>
      <c r="D4186" s="115"/>
      <c r="E4186" s="115"/>
    </row>
    <row r="4187" spans="1:5" ht="13">
      <c r="A4187" s="115"/>
      <c r="B4187" s="115"/>
      <c r="C4187" s="115"/>
      <c r="D4187" s="115"/>
      <c r="E4187" s="115"/>
    </row>
    <row r="4188" spans="1:5" ht="13">
      <c r="A4188" s="115"/>
      <c r="B4188" s="115"/>
      <c r="C4188" s="115"/>
      <c r="D4188" s="115"/>
      <c r="E4188" s="115"/>
    </row>
    <row r="4189" spans="1:5" ht="13">
      <c r="A4189" s="115"/>
      <c r="B4189" s="115"/>
      <c r="C4189" s="115"/>
      <c r="D4189" s="115"/>
      <c r="E4189" s="115"/>
    </row>
    <row r="4190" spans="1:5" ht="13">
      <c r="A4190" s="115"/>
      <c r="B4190" s="115"/>
      <c r="C4190" s="115"/>
      <c r="D4190" s="115"/>
      <c r="E4190" s="115"/>
    </row>
    <row r="4191" spans="1:5" ht="13">
      <c r="A4191" s="115"/>
      <c r="B4191" s="115"/>
      <c r="C4191" s="115"/>
      <c r="D4191" s="115"/>
      <c r="E4191" s="115"/>
    </row>
    <row r="4192" spans="1:5" ht="13">
      <c r="A4192" s="115"/>
      <c r="B4192" s="115"/>
      <c r="C4192" s="115"/>
      <c r="D4192" s="115"/>
      <c r="E4192" s="115"/>
    </row>
    <row r="4193" spans="1:5" ht="13">
      <c r="A4193" s="115"/>
      <c r="B4193" s="115"/>
      <c r="C4193" s="115"/>
      <c r="D4193" s="115"/>
      <c r="E4193" s="115"/>
    </row>
    <row r="4194" spans="1:5" ht="13">
      <c r="A4194" s="115"/>
      <c r="B4194" s="115"/>
      <c r="C4194" s="115"/>
      <c r="D4194" s="115"/>
      <c r="E4194" s="115"/>
    </row>
    <row r="4195" spans="1:5" ht="13">
      <c r="A4195" s="115"/>
      <c r="B4195" s="115"/>
      <c r="C4195" s="115"/>
      <c r="D4195" s="115"/>
      <c r="E4195" s="115"/>
    </row>
    <row r="4196" spans="1:5" ht="13">
      <c r="A4196" s="115"/>
      <c r="B4196" s="115"/>
      <c r="C4196" s="115"/>
      <c r="D4196" s="115"/>
      <c r="E4196" s="115"/>
    </row>
    <row r="4197" spans="1:5" ht="13">
      <c r="A4197" s="115"/>
      <c r="B4197" s="115"/>
      <c r="C4197" s="115"/>
      <c r="D4197" s="115"/>
      <c r="E4197" s="115"/>
    </row>
    <row r="4198" spans="1:5" ht="13">
      <c r="A4198" s="115"/>
      <c r="B4198" s="115"/>
      <c r="C4198" s="115"/>
      <c r="D4198" s="115"/>
      <c r="E4198" s="115"/>
    </row>
    <row r="4199" spans="1:5" ht="13">
      <c r="A4199" s="115"/>
      <c r="B4199" s="115"/>
      <c r="C4199" s="115"/>
      <c r="D4199" s="115"/>
      <c r="E4199" s="115"/>
    </row>
    <row r="4200" spans="1:5" ht="13">
      <c r="A4200" s="115"/>
      <c r="B4200" s="115"/>
      <c r="C4200" s="115"/>
      <c r="D4200" s="115"/>
      <c r="E4200" s="115"/>
    </row>
    <row r="4201" spans="1:5" ht="13">
      <c r="A4201" s="115"/>
      <c r="B4201" s="115"/>
      <c r="C4201" s="115"/>
      <c r="D4201" s="115"/>
      <c r="E4201" s="115"/>
    </row>
    <row r="4202" spans="1:5" ht="13">
      <c r="A4202" s="115"/>
      <c r="B4202" s="115"/>
      <c r="C4202" s="115"/>
      <c r="D4202" s="115"/>
      <c r="E4202" s="115"/>
    </row>
    <row r="4203" spans="1:5" ht="13">
      <c r="A4203" s="115"/>
      <c r="B4203" s="115"/>
      <c r="C4203" s="115"/>
      <c r="D4203" s="115"/>
      <c r="E4203" s="115"/>
    </row>
    <row r="4204" spans="1:5" ht="13">
      <c r="A4204" s="115"/>
      <c r="B4204" s="115"/>
      <c r="C4204" s="115"/>
      <c r="D4204" s="115"/>
      <c r="E4204" s="115"/>
    </row>
    <row r="4205" spans="1:5" ht="13">
      <c r="A4205" s="115"/>
      <c r="B4205" s="115"/>
      <c r="C4205" s="115"/>
      <c r="D4205" s="115"/>
      <c r="E4205" s="115"/>
    </row>
    <row r="4206" spans="1:5" ht="13">
      <c r="A4206" s="115"/>
      <c r="B4206" s="115"/>
      <c r="C4206" s="115"/>
      <c r="D4206" s="115"/>
      <c r="E4206" s="115"/>
    </row>
    <row r="4207" spans="1:5" ht="13">
      <c r="A4207" s="115"/>
      <c r="B4207" s="115"/>
      <c r="C4207" s="115"/>
      <c r="D4207" s="115"/>
      <c r="E4207" s="115"/>
    </row>
    <row r="4208" spans="1:5" ht="13">
      <c r="A4208" s="115"/>
      <c r="B4208" s="115"/>
      <c r="C4208" s="115"/>
      <c r="D4208" s="115"/>
      <c r="E4208" s="115"/>
    </row>
    <row r="4209" spans="1:5" ht="13">
      <c r="A4209" s="115"/>
      <c r="B4209" s="115"/>
      <c r="C4209" s="115"/>
      <c r="D4209" s="115"/>
      <c r="E4209" s="115"/>
    </row>
    <row r="4210" spans="1:5" ht="13">
      <c r="A4210" s="115"/>
      <c r="B4210" s="115"/>
      <c r="C4210" s="115"/>
      <c r="D4210" s="115"/>
      <c r="E4210" s="115"/>
    </row>
    <row r="4211" spans="1:5" ht="13">
      <c r="A4211" s="115"/>
      <c r="B4211" s="115"/>
      <c r="C4211" s="115"/>
      <c r="D4211" s="115"/>
      <c r="E4211" s="115"/>
    </row>
    <row r="4212" spans="1:5" ht="13">
      <c r="A4212" s="115"/>
      <c r="B4212" s="115"/>
      <c r="C4212" s="115"/>
      <c r="D4212" s="115"/>
      <c r="E4212" s="115"/>
    </row>
    <row r="4213" spans="1:5" ht="13">
      <c r="A4213" s="115"/>
      <c r="B4213" s="115"/>
      <c r="C4213" s="115"/>
      <c r="D4213" s="115"/>
      <c r="E4213" s="115"/>
    </row>
    <row r="4214" spans="1:5" ht="13">
      <c r="A4214" s="115"/>
      <c r="B4214" s="115"/>
      <c r="C4214" s="115"/>
      <c r="D4214" s="115"/>
      <c r="E4214" s="115"/>
    </row>
    <row r="4215" spans="1:5" ht="13">
      <c r="A4215" s="115"/>
      <c r="B4215" s="115"/>
      <c r="C4215" s="115"/>
      <c r="D4215" s="115"/>
      <c r="E4215" s="115"/>
    </row>
    <row r="4216" spans="1:5" ht="13">
      <c r="A4216" s="115"/>
      <c r="B4216" s="115"/>
      <c r="C4216" s="115"/>
      <c r="D4216" s="115"/>
      <c r="E4216" s="115"/>
    </row>
    <row r="4217" spans="1:5" ht="13">
      <c r="A4217" s="115"/>
      <c r="B4217" s="115"/>
      <c r="C4217" s="115"/>
      <c r="D4217" s="115"/>
      <c r="E4217" s="115"/>
    </row>
    <row r="4218" spans="1:5" ht="13">
      <c r="A4218" s="115"/>
      <c r="B4218" s="115"/>
      <c r="C4218" s="115"/>
      <c r="D4218" s="115"/>
      <c r="E4218" s="115"/>
    </row>
    <row r="4219" spans="1:5" ht="13">
      <c r="A4219" s="115"/>
      <c r="B4219" s="115"/>
      <c r="C4219" s="115"/>
      <c r="D4219" s="115"/>
      <c r="E4219" s="115"/>
    </row>
    <row r="4220" spans="1:5" ht="13">
      <c r="A4220" s="115"/>
      <c r="B4220" s="115"/>
      <c r="C4220" s="115"/>
      <c r="D4220" s="115"/>
      <c r="E4220" s="115"/>
    </row>
    <row r="4221" spans="1:5" ht="13">
      <c r="A4221" s="115"/>
      <c r="B4221" s="115"/>
      <c r="C4221" s="115"/>
      <c r="D4221" s="115"/>
      <c r="E4221" s="115"/>
    </row>
    <row r="4222" spans="1:5" ht="13">
      <c r="A4222" s="115"/>
      <c r="B4222" s="115"/>
      <c r="C4222" s="115"/>
      <c r="D4222" s="115"/>
      <c r="E4222" s="115"/>
    </row>
    <row r="4223" spans="1:5" ht="13">
      <c r="A4223" s="115"/>
      <c r="B4223" s="115"/>
      <c r="C4223" s="115"/>
      <c r="D4223" s="115"/>
      <c r="E4223" s="115"/>
    </row>
    <row r="4224" spans="1:5" ht="13">
      <c r="A4224" s="115"/>
      <c r="B4224" s="115"/>
      <c r="C4224" s="115"/>
      <c r="D4224" s="115"/>
      <c r="E4224" s="115"/>
    </row>
    <row r="4225" spans="1:5" ht="13">
      <c r="A4225" s="115"/>
      <c r="B4225" s="115"/>
      <c r="C4225" s="115"/>
      <c r="D4225" s="115"/>
      <c r="E4225" s="115"/>
    </row>
    <row r="4226" spans="1:5" ht="13">
      <c r="A4226" s="115"/>
      <c r="B4226" s="115"/>
      <c r="C4226" s="115"/>
      <c r="D4226" s="115"/>
      <c r="E4226" s="115"/>
    </row>
    <row r="4227" spans="1:5" ht="13">
      <c r="A4227" s="115"/>
      <c r="B4227" s="115"/>
      <c r="C4227" s="115"/>
      <c r="D4227" s="115"/>
      <c r="E4227" s="115"/>
    </row>
    <row r="4228" spans="1:5" ht="13">
      <c r="A4228" s="115"/>
      <c r="B4228" s="115"/>
      <c r="C4228" s="115"/>
      <c r="D4228" s="115"/>
      <c r="E4228" s="115"/>
    </row>
    <row r="4229" spans="1:5" ht="13">
      <c r="A4229" s="115"/>
      <c r="B4229" s="115"/>
      <c r="C4229" s="115"/>
      <c r="D4229" s="115"/>
      <c r="E4229" s="115"/>
    </row>
    <row r="4230" spans="1:5" ht="13">
      <c r="A4230" s="115"/>
      <c r="B4230" s="115"/>
      <c r="C4230" s="115"/>
      <c r="D4230" s="115"/>
      <c r="E4230" s="115"/>
    </row>
    <row r="4231" spans="1:5" ht="13">
      <c r="A4231" s="115"/>
      <c r="B4231" s="115"/>
      <c r="C4231" s="115"/>
      <c r="D4231" s="115"/>
      <c r="E4231" s="115"/>
    </row>
    <row r="4232" spans="1:5" ht="13">
      <c r="A4232" s="115"/>
      <c r="B4232" s="115"/>
      <c r="C4232" s="115"/>
      <c r="D4232" s="115"/>
      <c r="E4232" s="115"/>
    </row>
    <row r="4233" spans="1:5" ht="13">
      <c r="A4233" s="115"/>
      <c r="B4233" s="115"/>
      <c r="C4233" s="115"/>
      <c r="D4233" s="115"/>
      <c r="E4233" s="115"/>
    </row>
    <row r="4234" spans="1:5" ht="13">
      <c r="A4234" s="115"/>
      <c r="B4234" s="115"/>
      <c r="C4234" s="115"/>
      <c r="D4234" s="115"/>
      <c r="E4234" s="115"/>
    </row>
    <row r="4235" spans="1:5" ht="13">
      <c r="A4235" s="115"/>
      <c r="B4235" s="115"/>
      <c r="C4235" s="115"/>
      <c r="D4235" s="115"/>
      <c r="E4235" s="115"/>
    </row>
    <row r="4236" spans="1:5" ht="13">
      <c r="A4236" s="115"/>
      <c r="B4236" s="115"/>
      <c r="C4236" s="115"/>
      <c r="D4236" s="115"/>
      <c r="E4236" s="115"/>
    </row>
    <row r="4237" spans="1:5" ht="13">
      <c r="A4237" s="115"/>
      <c r="B4237" s="115"/>
      <c r="C4237" s="115"/>
      <c r="D4237" s="115"/>
      <c r="E4237" s="115"/>
    </row>
    <row r="4238" spans="1:5" ht="13">
      <c r="A4238" s="115"/>
      <c r="B4238" s="115"/>
      <c r="C4238" s="115"/>
      <c r="D4238" s="115"/>
      <c r="E4238" s="115"/>
    </row>
    <row r="4239" spans="1:5" ht="13">
      <c r="A4239" s="115"/>
      <c r="B4239" s="115"/>
      <c r="C4239" s="115"/>
      <c r="D4239" s="115"/>
      <c r="E4239" s="115"/>
    </row>
    <row r="4240" spans="1:5" ht="13">
      <c r="A4240" s="115"/>
      <c r="B4240" s="115"/>
      <c r="C4240" s="115"/>
      <c r="D4240" s="115"/>
      <c r="E4240" s="115"/>
    </row>
    <row r="4241" spans="1:5" ht="13">
      <c r="A4241" s="115"/>
      <c r="B4241" s="115"/>
      <c r="C4241" s="115"/>
      <c r="D4241" s="115"/>
      <c r="E4241" s="115"/>
    </row>
    <row r="4242" spans="1:5" ht="13">
      <c r="A4242" s="115"/>
      <c r="B4242" s="115"/>
      <c r="C4242" s="115"/>
      <c r="D4242" s="115"/>
      <c r="E4242" s="115"/>
    </row>
    <row r="4243" spans="1:5" ht="13">
      <c r="A4243" s="115"/>
      <c r="B4243" s="115"/>
      <c r="C4243" s="115"/>
      <c r="D4243" s="115"/>
      <c r="E4243" s="115"/>
    </row>
    <row r="4244" spans="1:5" ht="13">
      <c r="A4244" s="115"/>
      <c r="B4244" s="115"/>
      <c r="C4244" s="115"/>
      <c r="D4244" s="115"/>
      <c r="E4244" s="115"/>
    </row>
    <row r="4245" spans="1:5" ht="13">
      <c r="A4245" s="115"/>
      <c r="B4245" s="115"/>
      <c r="C4245" s="115"/>
      <c r="D4245" s="115"/>
      <c r="E4245" s="115"/>
    </row>
    <row r="4246" spans="1:5" ht="13">
      <c r="A4246" s="115"/>
      <c r="B4246" s="115"/>
      <c r="C4246" s="115"/>
      <c r="D4246" s="115"/>
      <c r="E4246" s="115"/>
    </row>
    <row r="4247" spans="1:5" ht="13">
      <c r="A4247" s="115"/>
      <c r="B4247" s="115"/>
      <c r="C4247" s="115"/>
      <c r="D4247" s="115"/>
      <c r="E4247" s="115"/>
    </row>
    <row r="4248" spans="1:5" ht="13">
      <c r="A4248" s="115"/>
      <c r="B4248" s="115"/>
      <c r="C4248" s="115"/>
      <c r="D4248" s="115"/>
      <c r="E4248" s="115"/>
    </row>
    <row r="4249" spans="1:5" ht="13">
      <c r="A4249" s="115"/>
      <c r="B4249" s="115"/>
      <c r="C4249" s="115"/>
      <c r="D4249" s="115"/>
      <c r="E4249" s="115"/>
    </row>
    <row r="4250" spans="1:5" ht="13">
      <c r="A4250" s="115"/>
      <c r="B4250" s="115"/>
      <c r="C4250" s="115"/>
      <c r="D4250" s="115"/>
      <c r="E4250" s="115"/>
    </row>
    <row r="4251" spans="1:5" ht="13">
      <c r="A4251" s="115"/>
      <c r="B4251" s="115"/>
      <c r="C4251" s="115"/>
      <c r="D4251" s="115"/>
      <c r="E4251" s="115"/>
    </row>
    <row r="4252" spans="1:5" ht="13">
      <c r="A4252" s="115"/>
      <c r="B4252" s="115"/>
      <c r="C4252" s="115"/>
      <c r="D4252" s="115"/>
      <c r="E4252" s="115"/>
    </row>
    <row r="4253" spans="1:5" ht="13">
      <c r="A4253" s="115"/>
      <c r="B4253" s="115"/>
      <c r="C4253" s="115"/>
      <c r="D4253" s="115"/>
      <c r="E4253" s="115"/>
    </row>
    <row r="4254" spans="1:5" ht="13">
      <c r="A4254" s="115"/>
      <c r="B4254" s="115"/>
      <c r="C4254" s="115"/>
      <c r="D4254" s="115"/>
      <c r="E4254" s="115"/>
    </row>
    <row r="4255" spans="1:5" ht="13">
      <c r="A4255" s="115"/>
      <c r="B4255" s="115"/>
      <c r="C4255" s="115"/>
      <c r="D4255" s="115"/>
      <c r="E4255" s="115"/>
    </row>
    <row r="4256" spans="1:5" ht="13">
      <c r="A4256" s="115"/>
      <c r="B4256" s="115"/>
      <c r="C4256" s="115"/>
      <c r="D4256" s="115"/>
      <c r="E4256" s="115"/>
    </row>
    <row r="4257" spans="1:5" ht="13">
      <c r="A4257" s="115"/>
      <c r="B4257" s="115"/>
      <c r="C4257" s="115"/>
      <c r="D4257" s="115"/>
      <c r="E4257" s="115"/>
    </row>
    <row r="4258" spans="1:5" ht="13">
      <c r="A4258" s="115"/>
      <c r="B4258" s="115"/>
      <c r="C4258" s="115"/>
      <c r="D4258" s="115"/>
      <c r="E4258" s="115"/>
    </row>
    <row r="4259" spans="1:5" ht="13">
      <c r="A4259" s="115"/>
      <c r="B4259" s="115"/>
      <c r="C4259" s="115"/>
      <c r="D4259" s="115"/>
      <c r="E4259" s="115"/>
    </row>
    <row r="4260" spans="1:5" ht="13">
      <c r="A4260" s="115"/>
      <c r="B4260" s="115"/>
      <c r="C4260" s="115"/>
      <c r="D4260" s="115"/>
      <c r="E4260" s="115"/>
    </row>
    <row r="4261" spans="1:5" ht="13">
      <c r="A4261" s="115"/>
      <c r="B4261" s="115"/>
      <c r="C4261" s="115"/>
      <c r="D4261" s="115"/>
      <c r="E4261" s="115"/>
    </row>
    <row r="4262" spans="1:5" ht="13">
      <c r="A4262" s="115"/>
      <c r="B4262" s="115"/>
      <c r="C4262" s="115"/>
      <c r="D4262" s="115"/>
      <c r="E4262" s="115"/>
    </row>
    <row r="4263" spans="1:5" ht="13">
      <c r="A4263" s="115"/>
      <c r="B4263" s="115"/>
      <c r="C4263" s="115"/>
      <c r="D4263" s="115"/>
      <c r="E4263" s="115"/>
    </row>
    <row r="4264" spans="1:5" ht="13">
      <c r="A4264" s="115"/>
      <c r="B4264" s="115"/>
      <c r="C4264" s="115"/>
      <c r="D4264" s="115"/>
      <c r="E4264" s="115"/>
    </row>
    <row r="4265" spans="1:5" ht="13">
      <c r="A4265" s="115"/>
      <c r="B4265" s="115"/>
      <c r="C4265" s="115"/>
      <c r="D4265" s="115"/>
      <c r="E4265" s="115"/>
    </row>
    <row r="4266" spans="1:5" ht="13">
      <c r="A4266" s="115"/>
      <c r="B4266" s="115"/>
      <c r="C4266" s="115"/>
      <c r="D4266" s="115"/>
      <c r="E4266" s="115"/>
    </row>
    <row r="4267" spans="1:5" ht="13">
      <c r="A4267" s="115"/>
      <c r="B4267" s="115"/>
      <c r="C4267" s="115"/>
      <c r="D4267" s="115"/>
      <c r="E4267" s="115"/>
    </row>
    <row r="4268" spans="1:5" ht="13">
      <c r="A4268" s="115"/>
      <c r="B4268" s="115"/>
      <c r="C4268" s="115"/>
      <c r="D4268" s="115"/>
      <c r="E4268" s="115"/>
    </row>
    <row r="4269" spans="1:5" ht="13">
      <c r="A4269" s="115"/>
      <c r="B4269" s="115"/>
      <c r="C4269" s="115"/>
      <c r="D4269" s="115"/>
      <c r="E4269" s="115"/>
    </row>
    <row r="4270" spans="1:5" ht="13">
      <c r="A4270" s="115"/>
      <c r="B4270" s="115"/>
      <c r="C4270" s="115"/>
      <c r="D4270" s="115"/>
      <c r="E4270" s="115"/>
    </row>
    <row r="4271" spans="1:5" ht="13">
      <c r="A4271" s="115"/>
      <c r="B4271" s="115"/>
      <c r="C4271" s="115"/>
      <c r="D4271" s="115"/>
      <c r="E4271" s="115"/>
    </row>
    <row r="4272" spans="1:5" ht="13">
      <c r="A4272" s="115"/>
      <c r="B4272" s="115"/>
      <c r="C4272" s="115"/>
      <c r="D4272" s="115"/>
      <c r="E4272" s="115"/>
    </row>
    <row r="4273" spans="1:5" ht="13">
      <c r="A4273" s="115"/>
      <c r="B4273" s="115"/>
      <c r="C4273" s="115"/>
      <c r="D4273" s="115"/>
      <c r="E4273" s="115"/>
    </row>
    <row r="4274" spans="1:5" ht="13">
      <c r="A4274" s="115"/>
      <c r="B4274" s="115"/>
      <c r="C4274" s="115"/>
      <c r="D4274" s="115"/>
      <c r="E4274" s="115"/>
    </row>
    <row r="4275" spans="1:5" ht="13">
      <c r="A4275" s="115"/>
      <c r="B4275" s="115"/>
      <c r="C4275" s="115"/>
      <c r="D4275" s="115"/>
      <c r="E4275" s="115"/>
    </row>
    <row r="4276" spans="1:5" ht="13">
      <c r="A4276" s="115"/>
      <c r="B4276" s="115"/>
      <c r="C4276" s="115"/>
      <c r="D4276" s="115"/>
      <c r="E4276" s="115"/>
    </row>
    <row r="4277" spans="1:5" ht="13">
      <c r="A4277" s="115"/>
      <c r="B4277" s="115"/>
      <c r="C4277" s="115"/>
      <c r="D4277" s="115"/>
      <c r="E4277" s="115"/>
    </row>
    <row r="4278" spans="1:5" ht="13">
      <c r="A4278" s="115"/>
      <c r="B4278" s="115"/>
      <c r="C4278" s="115"/>
      <c r="D4278" s="115"/>
      <c r="E4278" s="115"/>
    </row>
    <row r="4279" spans="1:5" ht="13">
      <c r="A4279" s="115"/>
      <c r="B4279" s="115"/>
      <c r="C4279" s="115"/>
      <c r="D4279" s="115"/>
      <c r="E4279" s="115"/>
    </row>
    <row r="4280" spans="1:5" ht="13">
      <c r="A4280" s="115"/>
      <c r="B4280" s="115"/>
      <c r="C4280" s="115"/>
      <c r="D4280" s="115"/>
      <c r="E4280" s="115"/>
    </row>
    <row r="4281" spans="1:5" ht="13">
      <c r="A4281" s="115"/>
      <c r="B4281" s="115"/>
      <c r="C4281" s="115"/>
      <c r="D4281" s="115"/>
      <c r="E4281" s="115"/>
    </row>
    <row r="4282" spans="1:5" ht="13">
      <c r="A4282" s="115"/>
      <c r="B4282" s="115"/>
      <c r="C4282" s="115"/>
      <c r="D4282" s="115"/>
      <c r="E4282" s="115"/>
    </row>
    <row r="4283" spans="1:5" ht="13">
      <c r="A4283" s="115"/>
      <c r="B4283" s="115"/>
      <c r="C4283" s="115"/>
      <c r="D4283" s="115"/>
      <c r="E4283" s="115"/>
    </row>
    <row r="4284" spans="1:5" ht="13">
      <c r="A4284" s="115"/>
      <c r="B4284" s="115"/>
      <c r="C4284" s="115"/>
      <c r="D4284" s="115"/>
      <c r="E4284" s="115"/>
    </row>
    <row r="4285" spans="1:5" ht="13">
      <c r="A4285" s="115"/>
      <c r="B4285" s="115"/>
      <c r="C4285" s="115"/>
      <c r="D4285" s="115"/>
      <c r="E4285" s="115"/>
    </row>
    <row r="4286" spans="1:5" ht="13">
      <c r="A4286" s="115"/>
      <c r="B4286" s="115"/>
      <c r="C4286" s="115"/>
      <c r="D4286" s="115"/>
      <c r="E4286" s="115"/>
    </row>
    <row r="4287" spans="1:5" ht="13">
      <c r="A4287" s="115"/>
      <c r="B4287" s="115"/>
      <c r="C4287" s="115"/>
      <c r="D4287" s="115"/>
      <c r="E4287" s="115"/>
    </row>
    <row r="4288" spans="1:5" ht="13">
      <c r="A4288" s="115"/>
      <c r="B4288" s="115"/>
      <c r="C4288" s="115"/>
      <c r="D4288" s="115"/>
      <c r="E4288" s="115"/>
    </row>
    <row r="4289" spans="1:5" ht="13">
      <c r="A4289" s="115"/>
      <c r="B4289" s="115"/>
      <c r="C4289" s="115"/>
      <c r="D4289" s="115"/>
      <c r="E4289" s="115"/>
    </row>
    <row r="4290" spans="1:5" ht="13">
      <c r="A4290" s="115"/>
      <c r="B4290" s="115"/>
      <c r="C4290" s="115"/>
      <c r="D4290" s="115"/>
      <c r="E4290" s="115"/>
    </row>
    <row r="4291" spans="1:5" ht="13">
      <c r="A4291" s="115"/>
      <c r="B4291" s="115"/>
      <c r="C4291" s="115"/>
      <c r="D4291" s="115"/>
      <c r="E4291" s="115"/>
    </row>
    <row r="4292" spans="1:5" ht="13">
      <c r="A4292" s="115"/>
      <c r="B4292" s="115"/>
      <c r="C4292" s="115"/>
      <c r="D4292" s="115"/>
      <c r="E4292" s="115"/>
    </row>
    <row r="4293" spans="1:5" ht="13">
      <c r="A4293" s="115"/>
      <c r="B4293" s="115"/>
      <c r="C4293" s="115"/>
      <c r="D4293" s="115"/>
      <c r="E4293" s="115"/>
    </row>
    <row r="4294" spans="1:5" ht="13">
      <c r="A4294" s="115"/>
      <c r="B4294" s="115"/>
      <c r="C4294" s="115"/>
      <c r="D4294" s="115"/>
      <c r="E4294" s="115"/>
    </row>
    <row r="4295" spans="1:5" ht="13">
      <c r="A4295" s="115"/>
      <c r="B4295" s="115"/>
      <c r="C4295" s="115"/>
      <c r="D4295" s="115"/>
      <c r="E4295" s="115"/>
    </row>
    <row r="4296" spans="1:5" ht="13">
      <c r="A4296" s="115"/>
      <c r="B4296" s="115"/>
      <c r="C4296" s="115"/>
      <c r="D4296" s="115"/>
      <c r="E4296" s="115"/>
    </row>
    <row r="4297" spans="1:5" ht="13">
      <c r="A4297" s="115"/>
      <c r="B4297" s="115"/>
      <c r="C4297" s="115"/>
      <c r="D4297" s="115"/>
      <c r="E4297" s="115"/>
    </row>
    <row r="4298" spans="1:5" ht="13">
      <c r="A4298" s="115"/>
      <c r="B4298" s="115"/>
      <c r="C4298" s="115"/>
      <c r="D4298" s="115"/>
      <c r="E4298" s="115"/>
    </row>
    <row r="4299" spans="1:5" ht="13">
      <c r="A4299" s="115"/>
      <c r="B4299" s="115"/>
      <c r="C4299" s="115"/>
      <c r="D4299" s="115"/>
      <c r="E4299" s="115"/>
    </row>
    <row r="4300" spans="1:5" ht="13">
      <c r="A4300" s="115"/>
      <c r="B4300" s="115"/>
      <c r="C4300" s="115"/>
      <c r="D4300" s="115"/>
      <c r="E4300" s="115"/>
    </row>
    <row r="4301" spans="1:5" ht="13">
      <c r="A4301" s="115"/>
      <c r="B4301" s="115"/>
      <c r="C4301" s="115"/>
      <c r="D4301" s="115"/>
      <c r="E4301" s="115"/>
    </row>
    <row r="4302" spans="1:5" ht="13">
      <c r="A4302" s="115"/>
      <c r="B4302" s="115"/>
      <c r="C4302" s="115"/>
      <c r="D4302" s="115"/>
      <c r="E4302" s="115"/>
    </row>
    <row r="4303" spans="1:5" ht="13">
      <c r="A4303" s="115"/>
      <c r="B4303" s="115"/>
      <c r="C4303" s="115"/>
      <c r="D4303" s="115"/>
      <c r="E4303" s="115"/>
    </row>
    <row r="4304" spans="1:5" ht="13">
      <c r="A4304" s="115"/>
      <c r="B4304" s="115"/>
      <c r="C4304" s="115"/>
      <c r="D4304" s="115"/>
      <c r="E4304" s="115"/>
    </row>
    <row r="4305" spans="1:5" ht="13">
      <c r="A4305" s="115"/>
      <c r="B4305" s="115"/>
      <c r="C4305" s="115"/>
      <c r="D4305" s="115"/>
      <c r="E4305" s="115"/>
    </row>
    <row r="4306" spans="1:5" ht="13">
      <c r="A4306" s="115"/>
      <c r="B4306" s="115"/>
      <c r="C4306" s="115"/>
      <c r="D4306" s="115"/>
      <c r="E4306" s="115"/>
    </row>
    <row r="4307" spans="1:5" ht="13">
      <c r="A4307" s="115"/>
      <c r="B4307" s="115"/>
      <c r="C4307" s="115"/>
      <c r="D4307" s="115"/>
      <c r="E4307" s="115"/>
    </row>
    <row r="4308" spans="1:5" ht="13">
      <c r="A4308" s="115"/>
      <c r="B4308" s="115"/>
      <c r="C4308" s="115"/>
      <c r="D4308" s="115"/>
      <c r="E4308" s="115"/>
    </row>
    <row r="4309" spans="1:5" ht="13">
      <c r="A4309" s="115"/>
      <c r="B4309" s="115"/>
      <c r="C4309" s="115"/>
      <c r="D4309" s="115"/>
      <c r="E4309" s="115"/>
    </row>
    <row r="4310" spans="1:5" ht="13">
      <c r="A4310" s="115"/>
      <c r="B4310" s="115"/>
      <c r="C4310" s="115"/>
      <c r="D4310" s="115"/>
      <c r="E4310" s="115"/>
    </row>
    <row r="4311" spans="1:5" ht="13">
      <c r="A4311" s="115"/>
      <c r="B4311" s="115"/>
      <c r="C4311" s="115"/>
      <c r="D4311" s="115"/>
      <c r="E4311" s="115"/>
    </row>
    <row r="4312" spans="1:5" ht="13">
      <c r="A4312" s="115"/>
      <c r="B4312" s="115"/>
      <c r="C4312" s="115"/>
      <c r="D4312" s="115"/>
      <c r="E4312" s="115"/>
    </row>
    <row r="4313" spans="1:5" ht="13">
      <c r="A4313" s="115"/>
      <c r="B4313" s="115"/>
      <c r="C4313" s="115"/>
      <c r="D4313" s="115"/>
      <c r="E4313" s="115"/>
    </row>
    <row r="4314" spans="1:5" ht="13">
      <c r="A4314" s="115"/>
      <c r="B4314" s="115"/>
      <c r="C4314" s="115"/>
      <c r="D4314" s="115"/>
      <c r="E4314" s="115"/>
    </row>
    <row r="4315" spans="1:5" ht="13">
      <c r="A4315" s="115"/>
      <c r="B4315" s="115"/>
      <c r="C4315" s="115"/>
      <c r="D4315" s="115"/>
      <c r="E4315" s="115"/>
    </row>
    <row r="4316" spans="1:5" ht="13">
      <c r="A4316" s="115"/>
      <c r="B4316" s="115"/>
      <c r="C4316" s="115"/>
      <c r="D4316" s="115"/>
      <c r="E4316" s="115"/>
    </row>
    <row r="4317" spans="1:5" ht="13">
      <c r="A4317" s="115"/>
      <c r="B4317" s="115"/>
      <c r="C4317" s="115"/>
      <c r="D4317" s="115"/>
      <c r="E4317" s="115"/>
    </row>
    <row r="4318" spans="1:5" ht="13">
      <c r="A4318" s="115"/>
      <c r="B4318" s="115"/>
      <c r="C4318" s="115"/>
      <c r="D4318" s="115"/>
      <c r="E4318" s="115"/>
    </row>
    <row r="4319" spans="1:5" ht="13">
      <c r="A4319" s="115"/>
      <c r="B4319" s="115"/>
      <c r="C4319" s="115"/>
      <c r="D4319" s="115"/>
      <c r="E4319" s="115"/>
    </row>
    <row r="4320" spans="1:5" ht="13">
      <c r="A4320" s="115"/>
      <c r="B4320" s="115"/>
      <c r="C4320" s="115"/>
      <c r="D4320" s="115"/>
      <c r="E4320" s="115"/>
    </row>
    <row r="4321" spans="1:5" ht="13">
      <c r="A4321" s="115"/>
      <c r="B4321" s="115"/>
      <c r="C4321" s="115"/>
      <c r="D4321" s="115"/>
      <c r="E4321" s="115"/>
    </row>
    <row r="4322" spans="1:5" ht="13">
      <c r="A4322" s="115"/>
      <c r="B4322" s="115"/>
      <c r="C4322" s="115"/>
      <c r="D4322" s="115"/>
      <c r="E4322" s="115"/>
    </row>
    <row r="4323" spans="1:5" ht="13">
      <c r="A4323" s="115"/>
      <c r="B4323" s="115"/>
      <c r="C4323" s="115"/>
      <c r="D4323" s="115"/>
      <c r="E4323" s="115"/>
    </row>
    <row r="4324" spans="1:5" ht="13">
      <c r="A4324" s="115"/>
      <c r="B4324" s="115"/>
      <c r="C4324" s="115"/>
      <c r="D4324" s="115"/>
      <c r="E4324" s="115"/>
    </row>
    <row r="4325" spans="1:5" ht="13">
      <c r="A4325" s="115"/>
      <c r="B4325" s="115"/>
      <c r="C4325" s="115"/>
      <c r="D4325" s="115"/>
      <c r="E4325" s="115"/>
    </row>
    <row r="4326" spans="1:5" ht="13">
      <c r="A4326" s="115"/>
      <c r="B4326" s="115"/>
      <c r="C4326" s="115"/>
      <c r="D4326" s="115"/>
      <c r="E4326" s="115"/>
    </row>
    <row r="4327" spans="1:5" ht="13">
      <c r="A4327" s="115"/>
      <c r="B4327" s="115"/>
      <c r="C4327" s="115"/>
      <c r="D4327" s="115"/>
      <c r="E4327" s="115"/>
    </row>
    <row r="4328" spans="1:5" ht="13">
      <c r="A4328" s="115"/>
      <c r="B4328" s="115"/>
      <c r="C4328" s="115"/>
      <c r="D4328" s="115"/>
      <c r="E4328" s="115"/>
    </row>
    <row r="4329" spans="1:5" ht="13">
      <c r="A4329" s="115"/>
      <c r="B4329" s="115"/>
      <c r="C4329" s="115"/>
      <c r="D4329" s="115"/>
      <c r="E4329" s="115"/>
    </row>
    <row r="4330" spans="1:5" ht="13">
      <c r="A4330" s="115"/>
      <c r="B4330" s="115"/>
      <c r="C4330" s="115"/>
      <c r="D4330" s="115"/>
      <c r="E4330" s="115"/>
    </row>
    <row r="4331" spans="1:5" ht="13">
      <c r="A4331" s="115"/>
      <c r="B4331" s="115"/>
      <c r="C4331" s="115"/>
      <c r="D4331" s="115"/>
      <c r="E4331" s="115"/>
    </row>
    <row r="4332" spans="1:5" ht="13">
      <c r="A4332" s="115"/>
      <c r="B4332" s="115"/>
      <c r="C4332" s="115"/>
      <c r="D4332" s="115"/>
      <c r="E4332" s="115"/>
    </row>
    <row r="4333" spans="1:5" ht="13">
      <c r="A4333" s="115"/>
      <c r="B4333" s="115"/>
      <c r="C4333" s="115"/>
      <c r="D4333" s="115"/>
      <c r="E4333" s="115"/>
    </row>
    <row r="4334" spans="1:5" ht="13">
      <c r="A4334" s="115"/>
      <c r="B4334" s="115"/>
      <c r="C4334" s="115"/>
      <c r="D4334" s="115"/>
      <c r="E4334" s="115"/>
    </row>
    <row r="4335" spans="1:5" ht="13">
      <c r="A4335" s="115"/>
      <c r="B4335" s="115"/>
      <c r="C4335" s="115"/>
      <c r="D4335" s="115"/>
      <c r="E4335" s="115"/>
    </row>
    <row r="4336" spans="1:5" ht="13">
      <c r="A4336" s="115"/>
      <c r="B4336" s="115"/>
      <c r="C4336" s="115"/>
      <c r="D4336" s="115"/>
      <c r="E4336" s="115"/>
    </row>
    <row r="4337" spans="1:5" ht="13">
      <c r="A4337" s="115"/>
      <c r="B4337" s="115"/>
      <c r="C4337" s="115"/>
      <c r="D4337" s="115"/>
      <c r="E4337" s="115"/>
    </row>
    <row r="4338" spans="1:5" ht="13">
      <c r="A4338" s="115"/>
      <c r="B4338" s="115"/>
      <c r="C4338" s="115"/>
      <c r="D4338" s="115"/>
      <c r="E4338" s="115"/>
    </row>
    <row r="4339" spans="1:5" ht="13">
      <c r="A4339" s="115"/>
      <c r="B4339" s="115"/>
      <c r="C4339" s="115"/>
      <c r="D4339" s="115"/>
      <c r="E4339" s="115"/>
    </row>
    <row r="4340" spans="1:5" ht="13">
      <c r="A4340" s="115"/>
      <c r="B4340" s="115"/>
      <c r="C4340" s="115"/>
      <c r="D4340" s="115"/>
      <c r="E4340" s="115"/>
    </row>
    <row r="4341" spans="1:5" ht="13">
      <c r="A4341" s="115"/>
      <c r="B4341" s="115"/>
      <c r="C4341" s="115"/>
      <c r="D4341" s="115"/>
      <c r="E4341" s="115"/>
    </row>
    <row r="4342" spans="1:5" ht="13">
      <c r="A4342" s="115"/>
      <c r="B4342" s="115"/>
      <c r="C4342" s="115"/>
      <c r="D4342" s="115"/>
      <c r="E4342" s="115"/>
    </row>
    <row r="4343" spans="1:5" ht="13">
      <c r="A4343" s="115"/>
      <c r="B4343" s="115"/>
      <c r="C4343" s="115"/>
      <c r="D4343" s="115"/>
      <c r="E4343" s="115"/>
    </row>
    <row r="4344" spans="1:5" ht="13">
      <c r="A4344" s="115"/>
      <c r="B4344" s="115"/>
      <c r="C4344" s="115"/>
      <c r="D4344" s="115"/>
      <c r="E4344" s="115"/>
    </row>
    <row r="4345" spans="1:5" ht="13">
      <c r="A4345" s="115"/>
      <c r="B4345" s="115"/>
      <c r="C4345" s="115"/>
      <c r="D4345" s="115"/>
      <c r="E4345" s="115"/>
    </row>
    <row r="4346" spans="1:5" ht="13">
      <c r="A4346" s="115"/>
      <c r="B4346" s="115"/>
      <c r="C4346" s="115"/>
      <c r="D4346" s="115"/>
      <c r="E4346" s="115"/>
    </row>
    <row r="4347" spans="1:5" ht="13">
      <c r="A4347" s="115"/>
      <c r="B4347" s="115"/>
      <c r="C4347" s="115"/>
      <c r="D4347" s="115"/>
      <c r="E4347" s="115"/>
    </row>
    <row r="4348" spans="1:5" ht="13">
      <c r="A4348" s="115"/>
      <c r="B4348" s="115"/>
      <c r="C4348" s="115"/>
      <c r="D4348" s="115"/>
      <c r="E4348" s="115"/>
    </row>
    <row r="4349" spans="1:5" ht="13">
      <c r="A4349" s="115"/>
      <c r="B4349" s="115"/>
      <c r="C4349" s="115"/>
      <c r="D4349" s="115"/>
      <c r="E4349" s="115"/>
    </row>
    <row r="4350" spans="1:5" ht="13">
      <c r="A4350" s="115"/>
      <c r="B4350" s="115"/>
      <c r="C4350" s="115"/>
      <c r="D4350" s="115"/>
      <c r="E4350" s="115"/>
    </row>
    <row r="4351" spans="1:5" ht="13">
      <c r="A4351" s="115"/>
      <c r="B4351" s="115"/>
      <c r="C4351" s="115"/>
      <c r="D4351" s="115"/>
      <c r="E4351" s="115"/>
    </row>
    <row r="4352" spans="1:5" ht="13">
      <c r="A4352" s="115"/>
      <c r="B4352" s="115"/>
      <c r="C4352" s="115"/>
      <c r="D4352" s="115"/>
      <c r="E4352" s="115"/>
    </row>
    <row r="4353" spans="1:5" ht="13">
      <c r="A4353" s="115"/>
      <c r="B4353" s="115"/>
      <c r="C4353" s="115"/>
      <c r="D4353" s="115"/>
      <c r="E4353" s="115"/>
    </row>
    <row r="4354" spans="1:5" ht="13">
      <c r="A4354" s="115"/>
      <c r="B4354" s="115"/>
      <c r="C4354" s="115"/>
      <c r="D4354" s="115"/>
      <c r="E4354" s="115"/>
    </row>
    <row r="4355" spans="1:5" ht="13">
      <c r="A4355" s="115"/>
      <c r="B4355" s="115"/>
      <c r="C4355" s="115"/>
      <c r="D4355" s="115"/>
      <c r="E4355" s="115"/>
    </row>
    <row r="4356" spans="1:5" ht="13">
      <c r="A4356" s="115"/>
      <c r="B4356" s="115"/>
      <c r="C4356" s="115"/>
      <c r="D4356" s="115"/>
      <c r="E4356" s="115"/>
    </row>
    <row r="4357" spans="1:5" ht="13">
      <c r="A4357" s="115"/>
      <c r="B4357" s="115"/>
      <c r="C4357" s="115"/>
      <c r="D4357" s="115"/>
      <c r="E4357" s="115"/>
    </row>
    <row r="4358" spans="1:5" ht="13">
      <c r="A4358" s="115"/>
      <c r="B4358" s="115"/>
      <c r="C4358" s="115"/>
      <c r="D4358" s="115"/>
      <c r="E4358" s="115"/>
    </row>
    <row r="4359" spans="1:5" ht="13">
      <c r="A4359" s="115"/>
      <c r="B4359" s="115"/>
      <c r="C4359" s="115"/>
      <c r="D4359" s="115"/>
      <c r="E4359" s="115"/>
    </row>
    <row r="4360" spans="1:5" ht="13">
      <c r="A4360" s="115"/>
      <c r="B4360" s="115"/>
      <c r="C4360" s="115"/>
      <c r="D4360" s="115"/>
      <c r="E4360" s="115"/>
    </row>
    <row r="4361" spans="1:5" ht="13">
      <c r="A4361" s="115"/>
      <c r="B4361" s="115"/>
      <c r="C4361" s="115"/>
      <c r="D4361" s="115"/>
      <c r="E4361" s="115"/>
    </row>
    <row r="4362" spans="1:5" ht="13">
      <c r="A4362" s="115"/>
      <c r="B4362" s="115"/>
      <c r="C4362" s="115"/>
      <c r="D4362" s="115"/>
      <c r="E4362" s="115"/>
    </row>
    <row r="4363" spans="1:5" ht="13">
      <c r="A4363" s="115"/>
      <c r="B4363" s="115"/>
      <c r="C4363" s="115"/>
      <c r="D4363" s="115"/>
      <c r="E4363" s="115"/>
    </row>
    <row r="4364" spans="1:5" ht="13">
      <c r="A4364" s="115"/>
      <c r="B4364" s="115"/>
      <c r="C4364" s="115"/>
      <c r="D4364" s="115"/>
      <c r="E4364" s="115"/>
    </row>
    <row r="4365" spans="1:5" ht="13">
      <c r="A4365" s="115"/>
      <c r="B4365" s="115"/>
      <c r="C4365" s="115"/>
      <c r="D4365" s="115"/>
      <c r="E4365" s="115"/>
    </row>
    <row r="4366" spans="1:5" ht="13">
      <c r="A4366" s="115"/>
      <c r="B4366" s="115"/>
      <c r="C4366" s="115"/>
      <c r="D4366" s="115"/>
      <c r="E4366" s="115"/>
    </row>
    <row r="4367" spans="1:5" ht="13">
      <c r="A4367" s="115"/>
      <c r="B4367" s="115"/>
      <c r="C4367" s="115"/>
      <c r="D4367" s="115"/>
      <c r="E4367" s="115"/>
    </row>
    <row r="4368" spans="1:5" ht="13">
      <c r="A4368" s="115"/>
      <c r="B4368" s="115"/>
      <c r="C4368" s="115"/>
      <c r="D4368" s="115"/>
      <c r="E4368" s="115"/>
    </row>
    <row r="4369" spans="1:5" ht="13">
      <c r="A4369" s="115"/>
      <c r="B4369" s="115"/>
      <c r="C4369" s="115"/>
      <c r="D4369" s="115"/>
      <c r="E4369" s="115"/>
    </row>
    <row r="4370" spans="1:5" ht="13">
      <c r="A4370" s="115"/>
      <c r="B4370" s="115"/>
      <c r="C4370" s="115"/>
      <c r="D4370" s="115"/>
      <c r="E4370" s="115"/>
    </row>
    <row r="4371" spans="1:5" ht="13">
      <c r="A4371" s="115"/>
      <c r="B4371" s="115"/>
      <c r="C4371" s="115"/>
      <c r="D4371" s="115"/>
      <c r="E4371" s="115"/>
    </row>
    <row r="4372" spans="1:5" ht="13">
      <c r="A4372" s="115"/>
      <c r="B4372" s="115"/>
      <c r="C4372" s="115"/>
      <c r="D4372" s="115"/>
      <c r="E4372" s="115"/>
    </row>
    <row r="4373" spans="1:5" ht="13">
      <c r="A4373" s="115"/>
      <c r="B4373" s="115"/>
      <c r="C4373" s="115"/>
      <c r="D4373" s="115"/>
      <c r="E4373" s="115"/>
    </row>
    <row r="4374" spans="1:5" ht="13">
      <c r="A4374" s="115"/>
      <c r="B4374" s="115"/>
      <c r="C4374" s="115"/>
      <c r="D4374" s="115"/>
      <c r="E4374" s="115"/>
    </row>
    <row r="4375" spans="1:5" ht="13">
      <c r="A4375" s="115"/>
      <c r="B4375" s="115"/>
      <c r="C4375" s="115"/>
      <c r="D4375" s="115"/>
      <c r="E4375" s="115"/>
    </row>
    <row r="4376" spans="1:5" ht="13">
      <c r="A4376" s="115"/>
      <c r="B4376" s="115"/>
      <c r="C4376" s="115"/>
      <c r="D4376" s="115"/>
      <c r="E4376" s="115"/>
    </row>
    <row r="4377" spans="1:5" ht="13">
      <c r="A4377" s="115"/>
      <c r="B4377" s="115"/>
      <c r="C4377" s="115"/>
      <c r="D4377" s="115"/>
      <c r="E4377" s="115"/>
    </row>
    <row r="4378" spans="1:5" ht="13">
      <c r="A4378" s="115"/>
      <c r="B4378" s="115"/>
      <c r="C4378" s="115"/>
      <c r="D4378" s="115"/>
      <c r="E4378" s="115"/>
    </row>
    <row r="4379" spans="1:5" ht="13">
      <c r="A4379" s="115"/>
      <c r="B4379" s="115"/>
      <c r="C4379" s="115"/>
      <c r="D4379" s="115"/>
      <c r="E4379" s="115"/>
    </row>
    <row r="4380" spans="1:5" ht="13">
      <c r="A4380" s="115"/>
      <c r="B4380" s="115"/>
      <c r="C4380" s="115"/>
      <c r="D4380" s="115"/>
      <c r="E4380" s="115"/>
    </row>
    <row r="4381" spans="1:5" ht="13">
      <c r="A4381" s="115"/>
      <c r="B4381" s="115"/>
      <c r="C4381" s="115"/>
      <c r="D4381" s="115"/>
      <c r="E4381" s="115"/>
    </row>
    <row r="4382" spans="1:5" ht="13">
      <c r="A4382" s="115"/>
      <c r="B4382" s="115"/>
      <c r="C4382" s="115"/>
      <c r="D4382" s="115"/>
      <c r="E4382" s="115"/>
    </row>
    <row r="4383" spans="1:5" ht="13">
      <c r="A4383" s="115"/>
      <c r="B4383" s="115"/>
      <c r="C4383" s="115"/>
      <c r="D4383" s="115"/>
      <c r="E4383" s="115"/>
    </row>
    <row r="4384" spans="1:5" ht="13">
      <c r="A4384" s="115"/>
      <c r="B4384" s="115"/>
      <c r="C4384" s="115"/>
      <c r="D4384" s="115"/>
      <c r="E4384" s="115"/>
    </row>
    <row r="4385" spans="1:5" ht="13">
      <c r="A4385" s="115"/>
      <c r="B4385" s="115"/>
      <c r="C4385" s="115"/>
      <c r="D4385" s="115"/>
      <c r="E4385" s="115"/>
    </row>
    <row r="4386" spans="1:5" ht="13">
      <c r="A4386" s="115"/>
      <c r="B4386" s="115"/>
      <c r="C4386" s="115"/>
      <c r="D4386" s="115"/>
      <c r="E4386" s="115"/>
    </row>
    <row r="4387" spans="1:5" ht="13">
      <c r="A4387" s="115"/>
      <c r="B4387" s="115"/>
      <c r="C4387" s="115"/>
      <c r="D4387" s="115"/>
      <c r="E4387" s="115"/>
    </row>
    <row r="4388" spans="1:5" ht="13">
      <c r="A4388" s="115"/>
      <c r="B4388" s="115"/>
      <c r="C4388" s="115"/>
      <c r="D4388" s="115"/>
      <c r="E4388" s="115"/>
    </row>
    <row r="4389" spans="1:5" ht="13">
      <c r="A4389" s="115"/>
      <c r="B4389" s="115"/>
      <c r="C4389" s="115"/>
      <c r="D4389" s="115"/>
      <c r="E4389" s="115"/>
    </row>
    <row r="4390" spans="1:5" ht="13">
      <c r="A4390" s="115"/>
      <c r="B4390" s="115"/>
      <c r="C4390" s="115"/>
      <c r="D4390" s="115"/>
      <c r="E4390" s="115"/>
    </row>
    <row r="4391" spans="1:5" ht="13">
      <c r="A4391" s="115"/>
      <c r="B4391" s="115"/>
      <c r="C4391" s="115"/>
      <c r="D4391" s="115"/>
      <c r="E4391" s="115"/>
    </row>
    <row r="4392" spans="1:5" ht="13">
      <c r="A4392" s="115"/>
      <c r="B4392" s="115"/>
      <c r="C4392" s="115"/>
      <c r="D4392" s="115"/>
      <c r="E4392" s="115"/>
    </row>
    <row r="4393" spans="1:5" ht="13">
      <c r="A4393" s="115"/>
      <c r="B4393" s="115"/>
      <c r="C4393" s="115"/>
      <c r="D4393" s="115"/>
      <c r="E4393" s="115"/>
    </row>
    <row r="4394" spans="1:5" ht="13">
      <c r="A4394" s="115"/>
      <c r="B4394" s="115"/>
      <c r="C4394" s="115"/>
      <c r="D4394" s="115"/>
      <c r="E4394" s="115"/>
    </row>
    <row r="4395" spans="1:5" ht="13">
      <c r="A4395" s="115"/>
      <c r="B4395" s="115"/>
      <c r="C4395" s="115"/>
      <c r="D4395" s="115"/>
      <c r="E4395" s="115"/>
    </row>
    <row r="4396" spans="1:5" ht="13">
      <c r="A4396" s="115"/>
      <c r="B4396" s="115"/>
      <c r="C4396" s="115"/>
      <c r="D4396" s="115"/>
      <c r="E4396" s="115"/>
    </row>
    <row r="4397" spans="1:5" ht="13">
      <c r="A4397" s="115"/>
      <c r="B4397" s="115"/>
      <c r="C4397" s="115"/>
      <c r="D4397" s="115"/>
      <c r="E4397" s="115"/>
    </row>
    <row r="4398" spans="1:5" ht="13">
      <c r="A4398" s="115"/>
      <c r="B4398" s="115"/>
      <c r="C4398" s="115"/>
      <c r="D4398" s="115"/>
      <c r="E4398" s="115"/>
    </row>
    <row r="4399" spans="1:5" ht="13">
      <c r="A4399" s="115"/>
      <c r="B4399" s="115"/>
      <c r="C4399" s="115"/>
      <c r="D4399" s="115"/>
      <c r="E4399" s="115"/>
    </row>
    <row r="4400" spans="1:5" ht="13">
      <c r="A4400" s="115"/>
      <c r="B4400" s="115"/>
      <c r="C4400" s="115"/>
      <c r="D4400" s="115"/>
      <c r="E4400" s="115"/>
    </row>
    <row r="4401" spans="1:5" ht="13">
      <c r="A4401" s="115"/>
      <c r="B4401" s="115"/>
      <c r="C4401" s="115"/>
      <c r="D4401" s="115"/>
      <c r="E4401" s="115"/>
    </row>
    <row r="4402" spans="1:5" ht="13">
      <c r="A4402" s="115"/>
      <c r="B4402" s="115"/>
      <c r="C4402" s="115"/>
      <c r="D4402" s="115"/>
      <c r="E4402" s="115"/>
    </row>
    <row r="4403" spans="1:5" ht="13">
      <c r="A4403" s="115"/>
      <c r="B4403" s="115"/>
      <c r="C4403" s="115"/>
      <c r="D4403" s="115"/>
      <c r="E4403" s="115"/>
    </row>
    <row r="4404" spans="1:5" ht="13">
      <c r="A4404" s="115"/>
      <c r="B4404" s="115"/>
      <c r="C4404" s="115"/>
      <c r="D4404" s="115"/>
      <c r="E4404" s="115"/>
    </row>
    <row r="4405" spans="1:5" ht="13">
      <c r="A4405" s="115"/>
      <c r="B4405" s="115"/>
      <c r="C4405" s="115"/>
      <c r="D4405" s="115"/>
      <c r="E4405" s="115"/>
    </row>
    <row r="4406" spans="1:5" ht="13">
      <c r="A4406" s="115"/>
      <c r="B4406" s="115"/>
      <c r="C4406" s="115"/>
      <c r="D4406" s="115"/>
      <c r="E4406" s="115"/>
    </row>
    <row r="4407" spans="1:5" ht="13">
      <c r="A4407" s="115"/>
      <c r="B4407" s="115"/>
      <c r="C4407" s="115"/>
      <c r="D4407" s="115"/>
      <c r="E4407" s="115"/>
    </row>
    <row r="4408" spans="1:5" ht="13">
      <c r="A4408" s="115"/>
      <c r="B4408" s="115"/>
      <c r="C4408" s="115"/>
      <c r="D4408" s="115"/>
      <c r="E4408" s="115"/>
    </row>
    <row r="4409" spans="1:5" ht="13">
      <c r="A4409" s="115"/>
      <c r="B4409" s="115"/>
      <c r="C4409" s="115"/>
      <c r="D4409" s="115"/>
      <c r="E4409" s="115"/>
    </row>
    <row r="4410" spans="1:5" ht="13">
      <c r="A4410" s="115"/>
      <c r="B4410" s="115"/>
      <c r="C4410" s="115"/>
      <c r="D4410" s="115"/>
      <c r="E4410" s="115"/>
    </row>
    <row r="4411" spans="1:5" ht="13">
      <c r="A4411" s="115"/>
      <c r="B4411" s="115"/>
      <c r="C4411" s="115"/>
      <c r="D4411" s="115"/>
      <c r="E4411" s="115"/>
    </row>
    <row r="4412" spans="1:5" ht="13">
      <c r="A4412" s="115"/>
      <c r="B4412" s="115"/>
      <c r="C4412" s="115"/>
      <c r="D4412" s="115"/>
      <c r="E4412" s="115"/>
    </row>
    <row r="4413" spans="1:5" ht="13">
      <c r="A4413" s="115"/>
      <c r="B4413" s="115"/>
      <c r="C4413" s="115"/>
      <c r="D4413" s="115"/>
      <c r="E4413" s="115"/>
    </row>
    <row r="4414" spans="1:5" ht="13">
      <c r="A4414" s="115"/>
      <c r="B4414" s="115"/>
      <c r="C4414" s="115"/>
      <c r="D4414" s="115"/>
      <c r="E4414" s="115"/>
    </row>
    <row r="4415" spans="1:5" ht="13">
      <c r="A4415" s="115"/>
      <c r="B4415" s="115"/>
      <c r="C4415" s="115"/>
      <c r="D4415" s="115"/>
      <c r="E4415" s="115"/>
    </row>
    <row r="4416" spans="1:5" ht="13">
      <c r="A4416" s="115"/>
      <c r="B4416" s="115"/>
      <c r="C4416" s="115"/>
      <c r="D4416" s="115"/>
      <c r="E4416" s="115"/>
    </row>
    <row r="4417" spans="1:5" ht="13">
      <c r="A4417" s="115"/>
      <c r="B4417" s="115"/>
      <c r="C4417" s="115"/>
      <c r="D4417" s="115"/>
      <c r="E4417" s="115"/>
    </row>
    <row r="4418" spans="1:5" ht="13">
      <c r="A4418" s="115"/>
      <c r="B4418" s="115"/>
      <c r="C4418" s="115"/>
      <c r="D4418" s="115"/>
      <c r="E4418" s="115"/>
    </row>
    <row r="4419" spans="1:5" ht="13">
      <c r="A4419" s="115"/>
      <c r="B4419" s="115"/>
      <c r="C4419" s="115"/>
      <c r="D4419" s="115"/>
      <c r="E4419" s="115"/>
    </row>
    <row r="4420" spans="1:5" ht="13">
      <c r="A4420" s="115"/>
      <c r="B4420" s="115"/>
      <c r="C4420" s="115"/>
      <c r="D4420" s="115"/>
      <c r="E4420" s="115"/>
    </row>
    <row r="4421" spans="1:5" ht="13">
      <c r="A4421" s="115"/>
      <c r="B4421" s="115"/>
      <c r="C4421" s="115"/>
      <c r="D4421" s="115"/>
      <c r="E4421" s="115"/>
    </row>
    <row r="4422" spans="1:5" ht="13">
      <c r="A4422" s="115"/>
      <c r="B4422" s="115"/>
      <c r="C4422" s="115"/>
      <c r="D4422" s="115"/>
      <c r="E4422" s="115"/>
    </row>
    <row r="4423" spans="1:5" ht="13">
      <c r="A4423" s="115"/>
      <c r="B4423" s="115"/>
      <c r="C4423" s="115"/>
      <c r="D4423" s="115"/>
      <c r="E4423" s="115"/>
    </row>
    <row r="4424" spans="1:5" ht="13">
      <c r="A4424" s="115"/>
      <c r="B4424" s="115"/>
      <c r="C4424" s="115"/>
      <c r="D4424" s="115"/>
      <c r="E4424" s="115"/>
    </row>
    <row r="4425" spans="1:5" ht="13">
      <c r="A4425" s="115"/>
      <c r="B4425" s="115"/>
      <c r="C4425" s="115"/>
      <c r="D4425" s="115"/>
      <c r="E4425" s="115"/>
    </row>
    <row r="4426" spans="1:5" ht="13">
      <c r="A4426" s="115"/>
      <c r="B4426" s="115"/>
      <c r="C4426" s="115"/>
      <c r="D4426" s="115"/>
      <c r="E4426" s="115"/>
    </row>
    <row r="4427" spans="1:5" ht="13">
      <c r="A4427" s="115"/>
      <c r="B4427" s="115"/>
      <c r="C4427" s="115"/>
      <c r="D4427" s="115"/>
      <c r="E4427" s="115"/>
    </row>
    <row r="4428" spans="1:5" ht="13">
      <c r="A4428" s="115"/>
      <c r="B4428" s="115"/>
      <c r="C4428" s="115"/>
      <c r="D4428" s="115"/>
      <c r="E4428" s="115"/>
    </row>
    <row r="4429" spans="1:5" ht="13">
      <c r="A4429" s="115"/>
      <c r="B4429" s="115"/>
      <c r="C4429" s="115"/>
      <c r="D4429" s="115"/>
      <c r="E4429" s="115"/>
    </row>
    <row r="4430" spans="1:5" ht="13">
      <c r="A4430" s="115"/>
      <c r="B4430" s="115"/>
      <c r="C4430" s="115"/>
      <c r="D4430" s="115"/>
      <c r="E4430" s="115"/>
    </row>
    <row r="4431" spans="1:5" ht="13">
      <c r="A4431" s="115"/>
      <c r="B4431" s="115"/>
      <c r="C4431" s="115"/>
      <c r="D4431" s="115"/>
      <c r="E4431" s="115"/>
    </row>
    <row r="4432" spans="1:5" ht="13">
      <c r="A4432" s="115"/>
      <c r="B4432" s="115"/>
      <c r="C4432" s="115"/>
      <c r="D4432" s="115"/>
      <c r="E4432" s="115"/>
    </row>
    <row r="4433" spans="1:5" ht="13">
      <c r="A4433" s="115"/>
      <c r="B4433" s="115"/>
      <c r="C4433" s="115"/>
      <c r="D4433" s="115"/>
      <c r="E4433" s="115"/>
    </row>
    <row r="4434" spans="1:5" ht="13">
      <c r="A4434" s="115"/>
      <c r="B4434" s="115"/>
      <c r="C4434" s="115"/>
      <c r="D4434" s="115"/>
      <c r="E4434" s="115"/>
    </row>
    <row r="4435" spans="1:5" ht="13">
      <c r="A4435" s="115"/>
      <c r="B4435" s="115"/>
      <c r="C4435" s="115"/>
      <c r="D4435" s="115"/>
      <c r="E4435" s="115"/>
    </row>
    <row r="4436" spans="1:5" ht="13">
      <c r="A4436" s="115"/>
      <c r="B4436" s="115"/>
      <c r="C4436" s="115"/>
      <c r="D4436" s="115"/>
      <c r="E4436" s="115"/>
    </row>
    <row r="4437" spans="1:5" ht="13">
      <c r="A4437" s="115"/>
      <c r="B4437" s="115"/>
      <c r="C4437" s="115"/>
      <c r="D4437" s="115"/>
      <c r="E4437" s="115"/>
    </row>
    <row r="4438" spans="1:5" ht="13">
      <c r="A4438" s="115"/>
      <c r="B4438" s="115"/>
      <c r="C4438" s="115"/>
      <c r="D4438" s="115"/>
      <c r="E4438" s="115"/>
    </row>
    <row r="4439" spans="1:5" ht="13">
      <c r="A4439" s="115"/>
      <c r="B4439" s="115"/>
      <c r="C4439" s="115"/>
      <c r="D4439" s="115"/>
      <c r="E4439" s="115"/>
    </row>
    <row r="4440" spans="1:5" ht="13">
      <c r="A4440" s="115"/>
      <c r="B4440" s="115"/>
      <c r="C4440" s="115"/>
      <c r="D4440" s="115"/>
      <c r="E4440" s="115"/>
    </row>
    <row r="4441" spans="1:5" ht="13">
      <c r="A4441" s="115"/>
      <c r="B4441" s="115"/>
      <c r="C4441" s="115"/>
      <c r="D4441" s="115"/>
      <c r="E4441" s="115"/>
    </row>
    <row r="4442" spans="1:5" ht="13">
      <c r="A4442" s="115"/>
      <c r="B4442" s="115"/>
      <c r="C4442" s="115"/>
      <c r="D4442" s="115"/>
      <c r="E4442" s="115"/>
    </row>
    <row r="4443" spans="1:5" ht="13">
      <c r="A4443" s="115"/>
      <c r="B4443" s="115"/>
      <c r="C4443" s="115"/>
      <c r="D4443" s="115"/>
      <c r="E4443" s="115"/>
    </row>
    <row r="4444" spans="1:5" ht="13">
      <c r="A4444" s="115"/>
      <c r="B4444" s="115"/>
      <c r="C4444" s="115"/>
      <c r="D4444" s="115"/>
      <c r="E4444" s="115"/>
    </row>
    <row r="4445" spans="1:5" ht="13">
      <c r="A4445" s="115"/>
      <c r="B4445" s="115"/>
      <c r="C4445" s="115"/>
      <c r="D4445" s="115"/>
      <c r="E4445" s="115"/>
    </row>
    <row r="4446" spans="1:5" ht="13">
      <c r="A4446" s="115"/>
      <c r="B4446" s="115"/>
      <c r="C4446" s="115"/>
      <c r="D4446" s="115"/>
      <c r="E4446" s="115"/>
    </row>
    <row r="4447" spans="1:5" ht="13">
      <c r="A4447" s="115"/>
      <c r="B4447" s="115"/>
      <c r="C4447" s="115"/>
      <c r="D4447" s="115"/>
      <c r="E4447" s="115"/>
    </row>
    <row r="4448" spans="1:5" ht="13">
      <c r="A4448" s="115"/>
      <c r="B4448" s="115"/>
      <c r="C4448" s="115"/>
      <c r="D4448" s="115"/>
      <c r="E4448" s="115"/>
    </row>
    <row r="4449" spans="1:5" ht="13">
      <c r="A4449" s="115"/>
      <c r="B4449" s="115"/>
      <c r="C4449" s="115"/>
      <c r="D4449" s="115"/>
      <c r="E4449" s="115"/>
    </row>
    <row r="4450" spans="1:5" ht="13">
      <c r="A4450" s="115"/>
      <c r="B4450" s="115"/>
      <c r="C4450" s="115"/>
      <c r="D4450" s="115"/>
      <c r="E4450" s="115"/>
    </row>
    <row r="4451" spans="1:5" ht="13">
      <c r="A4451" s="115"/>
      <c r="B4451" s="115"/>
      <c r="C4451" s="115"/>
      <c r="D4451" s="115"/>
      <c r="E4451" s="115"/>
    </row>
    <row r="4452" spans="1:5" ht="13">
      <c r="A4452" s="115"/>
      <c r="B4452" s="115"/>
      <c r="C4452" s="115"/>
      <c r="D4452" s="115"/>
      <c r="E4452" s="115"/>
    </row>
    <row r="4453" spans="1:5" ht="13">
      <c r="A4453" s="115"/>
      <c r="B4453" s="115"/>
      <c r="C4453" s="115"/>
      <c r="D4453" s="115"/>
      <c r="E4453" s="115"/>
    </row>
    <row r="4454" spans="1:5" ht="13">
      <c r="A4454" s="115"/>
      <c r="B4454" s="115"/>
      <c r="C4454" s="115"/>
      <c r="D4454" s="115"/>
      <c r="E4454" s="115"/>
    </row>
    <row r="4455" spans="1:5" ht="13">
      <c r="A4455" s="115"/>
      <c r="B4455" s="115"/>
      <c r="C4455" s="115"/>
      <c r="D4455" s="115"/>
      <c r="E4455" s="115"/>
    </row>
    <row r="4456" spans="1:5" ht="13">
      <c r="A4456" s="115"/>
      <c r="B4456" s="115"/>
      <c r="C4456" s="115"/>
      <c r="D4456" s="115"/>
      <c r="E4456" s="115"/>
    </row>
    <row r="4457" spans="1:5" ht="13">
      <c r="A4457" s="115"/>
      <c r="B4457" s="115"/>
      <c r="C4457" s="115"/>
      <c r="D4457" s="115"/>
      <c r="E4457" s="115"/>
    </row>
    <row r="4458" spans="1:5" ht="13">
      <c r="A4458" s="115"/>
      <c r="B4458" s="115"/>
      <c r="C4458" s="115"/>
      <c r="D4458" s="115"/>
      <c r="E4458" s="115"/>
    </row>
    <row r="4459" spans="1:5" ht="13">
      <c r="A4459" s="115"/>
      <c r="B4459" s="115"/>
      <c r="C4459" s="115"/>
      <c r="D4459" s="115"/>
      <c r="E4459" s="115"/>
    </row>
    <row r="4460" spans="1:5" ht="13">
      <c r="A4460" s="115"/>
      <c r="B4460" s="115"/>
      <c r="C4460" s="115"/>
      <c r="D4460" s="115"/>
      <c r="E4460" s="115"/>
    </row>
    <row r="4461" spans="1:5" ht="13">
      <c r="A4461" s="115"/>
      <c r="B4461" s="115"/>
      <c r="C4461" s="115"/>
      <c r="D4461" s="115"/>
      <c r="E4461" s="115"/>
    </row>
    <row r="4462" spans="1:5" ht="13">
      <c r="A4462" s="115"/>
      <c r="B4462" s="115"/>
      <c r="C4462" s="115"/>
      <c r="D4462" s="115"/>
      <c r="E4462" s="115"/>
    </row>
    <row r="4463" spans="1:5" ht="13">
      <c r="A4463" s="115"/>
      <c r="B4463" s="115"/>
      <c r="C4463" s="115"/>
      <c r="D4463" s="115"/>
      <c r="E4463" s="115"/>
    </row>
    <row r="4464" spans="1:5" ht="13">
      <c r="A4464" s="115"/>
      <c r="B4464" s="115"/>
      <c r="C4464" s="115"/>
      <c r="D4464" s="115"/>
      <c r="E4464" s="115"/>
    </row>
    <row r="4465" spans="1:5" ht="13">
      <c r="A4465" s="115"/>
      <c r="B4465" s="115"/>
      <c r="C4465" s="115"/>
      <c r="D4465" s="115"/>
      <c r="E4465" s="115"/>
    </row>
    <row r="4466" spans="1:5" ht="13">
      <c r="A4466" s="115"/>
      <c r="B4466" s="115"/>
      <c r="C4466" s="115"/>
      <c r="D4466" s="115"/>
      <c r="E4466" s="115"/>
    </row>
    <row r="4467" spans="1:5" ht="13">
      <c r="A4467" s="115"/>
      <c r="B4467" s="115"/>
      <c r="C4467" s="115"/>
      <c r="D4467" s="115"/>
      <c r="E4467" s="115"/>
    </row>
    <row r="4468" spans="1:5" ht="13">
      <c r="A4468" s="115"/>
      <c r="B4468" s="115"/>
      <c r="C4468" s="115"/>
      <c r="D4468" s="115"/>
      <c r="E4468" s="115"/>
    </row>
    <row r="4469" spans="1:5" ht="13">
      <c r="A4469" s="115"/>
      <c r="B4469" s="115"/>
      <c r="C4469" s="115"/>
      <c r="D4469" s="115"/>
      <c r="E4469" s="115"/>
    </row>
    <row r="4470" spans="1:5" ht="13">
      <c r="A4470" s="115"/>
      <c r="B4470" s="115"/>
      <c r="C4470" s="115"/>
      <c r="D4470" s="115"/>
      <c r="E4470" s="115"/>
    </row>
    <row r="4471" spans="1:5" ht="13">
      <c r="A4471" s="115"/>
      <c r="B4471" s="115"/>
      <c r="C4471" s="115"/>
      <c r="D4471" s="115"/>
      <c r="E4471" s="115"/>
    </row>
    <row r="4472" spans="1:5" ht="13">
      <c r="A4472" s="115"/>
      <c r="B4472" s="115"/>
      <c r="C4472" s="115"/>
      <c r="D4472" s="115"/>
      <c r="E4472" s="115"/>
    </row>
    <row r="4473" spans="1:5" ht="13">
      <c r="A4473" s="115"/>
      <c r="B4473" s="115"/>
      <c r="C4473" s="115"/>
      <c r="D4473" s="115"/>
      <c r="E4473" s="115"/>
    </row>
    <row r="4474" spans="1:5" ht="13">
      <c r="A4474" s="115"/>
      <c r="B4474" s="115"/>
      <c r="C4474" s="115"/>
      <c r="D4474" s="115"/>
      <c r="E4474" s="115"/>
    </row>
    <row r="4475" spans="1:5" ht="13">
      <c r="A4475" s="115"/>
      <c r="B4475" s="115"/>
      <c r="C4475" s="115"/>
      <c r="D4475" s="115"/>
      <c r="E4475" s="115"/>
    </row>
    <row r="4476" spans="1:5" ht="13">
      <c r="A4476" s="115"/>
      <c r="B4476" s="115"/>
      <c r="C4476" s="115"/>
      <c r="D4476" s="115"/>
      <c r="E4476" s="115"/>
    </row>
    <row r="4477" spans="1:5" ht="13">
      <c r="A4477" s="115"/>
      <c r="B4477" s="115"/>
      <c r="C4477" s="115"/>
      <c r="D4477" s="115"/>
      <c r="E4477" s="115"/>
    </row>
    <row r="4478" spans="1:5" ht="13">
      <c r="A4478" s="115"/>
      <c r="B4478" s="115"/>
      <c r="C4478" s="115"/>
      <c r="D4478" s="115"/>
      <c r="E4478" s="115"/>
    </row>
    <row r="4479" spans="1:5" ht="13">
      <c r="A4479" s="115"/>
      <c r="B4479" s="115"/>
      <c r="C4479" s="115"/>
      <c r="D4479" s="115"/>
      <c r="E4479" s="115"/>
    </row>
    <row r="4480" spans="1:5" ht="13">
      <c r="A4480" s="115"/>
      <c r="B4480" s="115"/>
      <c r="C4480" s="115"/>
      <c r="D4480" s="115"/>
      <c r="E4480" s="115"/>
    </row>
    <row r="4481" spans="1:5" ht="13">
      <c r="A4481" s="115"/>
      <c r="B4481" s="115"/>
      <c r="C4481" s="115"/>
      <c r="D4481" s="115"/>
      <c r="E4481" s="115"/>
    </row>
    <row r="4482" spans="1:5" ht="13">
      <c r="A4482" s="115"/>
      <c r="B4482" s="115"/>
      <c r="C4482" s="115"/>
      <c r="D4482" s="115"/>
      <c r="E4482" s="115"/>
    </row>
    <row r="4483" spans="1:5" ht="13">
      <c r="A4483" s="115"/>
      <c r="B4483" s="115"/>
      <c r="C4483" s="115"/>
      <c r="D4483" s="115"/>
      <c r="E4483" s="115"/>
    </row>
    <row r="4484" spans="1:5" ht="13">
      <c r="A4484" s="115"/>
      <c r="B4484" s="115"/>
      <c r="C4484" s="115"/>
      <c r="D4484" s="115"/>
      <c r="E4484" s="115"/>
    </row>
    <row r="4485" spans="1:5" ht="13">
      <c r="A4485" s="115"/>
      <c r="B4485" s="115"/>
      <c r="C4485" s="115"/>
      <c r="D4485" s="115"/>
      <c r="E4485" s="115"/>
    </row>
    <row r="4486" spans="1:5" ht="13">
      <c r="A4486" s="115"/>
      <c r="B4486" s="115"/>
      <c r="C4486" s="115"/>
      <c r="D4486" s="115"/>
      <c r="E4486" s="115"/>
    </row>
    <row r="4487" spans="1:5" ht="13">
      <c r="A4487" s="115"/>
      <c r="B4487" s="115"/>
      <c r="C4487" s="115"/>
      <c r="D4487" s="115"/>
      <c r="E4487" s="115"/>
    </row>
    <row r="4488" spans="1:5" ht="13">
      <c r="A4488" s="115"/>
      <c r="B4488" s="115"/>
      <c r="C4488" s="115"/>
      <c r="D4488" s="115"/>
      <c r="E4488" s="115"/>
    </row>
    <row r="4489" spans="1:5" ht="13">
      <c r="A4489" s="115"/>
      <c r="B4489" s="115"/>
      <c r="C4489" s="115"/>
      <c r="D4489" s="115"/>
      <c r="E4489" s="115"/>
    </row>
    <row r="4490" spans="1:5" ht="13">
      <c r="A4490" s="115"/>
      <c r="B4490" s="115"/>
      <c r="C4490" s="115"/>
      <c r="D4490" s="115"/>
      <c r="E4490" s="115"/>
    </row>
    <row r="4491" spans="1:5" ht="13">
      <c r="A4491" s="115"/>
      <c r="B4491" s="115"/>
      <c r="C4491" s="115"/>
      <c r="D4491" s="115"/>
      <c r="E4491" s="115"/>
    </row>
    <row r="4492" spans="1:5" ht="13">
      <c r="A4492" s="115"/>
      <c r="B4492" s="115"/>
      <c r="C4492" s="115"/>
      <c r="D4492" s="115"/>
      <c r="E4492" s="115"/>
    </row>
    <row r="4493" spans="1:5" ht="13">
      <c r="A4493" s="115"/>
      <c r="B4493" s="115"/>
      <c r="C4493" s="115"/>
      <c r="D4493" s="115"/>
      <c r="E4493" s="115"/>
    </row>
    <row r="4494" spans="1:5" ht="13">
      <c r="A4494" s="115"/>
      <c r="B4494" s="115"/>
      <c r="C4494" s="115"/>
      <c r="D4494" s="115"/>
      <c r="E4494" s="115"/>
    </row>
    <row r="4495" spans="1:5" ht="13">
      <c r="A4495" s="115"/>
      <c r="B4495" s="115"/>
      <c r="C4495" s="115"/>
      <c r="D4495" s="115"/>
      <c r="E4495" s="115"/>
    </row>
    <row r="4496" spans="1:5" ht="13">
      <c r="A4496" s="115"/>
      <c r="B4496" s="115"/>
      <c r="C4496" s="115"/>
      <c r="D4496" s="115"/>
      <c r="E4496" s="115"/>
    </row>
    <row r="4497" spans="1:5" ht="13">
      <c r="A4497" s="115"/>
      <c r="B4497" s="115"/>
      <c r="C4497" s="115"/>
      <c r="D4497" s="115"/>
      <c r="E4497" s="115"/>
    </row>
    <row r="4498" spans="1:5" ht="13">
      <c r="A4498" s="115"/>
      <c r="B4498" s="115"/>
      <c r="C4498" s="115"/>
      <c r="D4498" s="115"/>
      <c r="E4498" s="115"/>
    </row>
    <row r="4499" spans="1:5" ht="13">
      <c r="A4499" s="115"/>
      <c r="B4499" s="115"/>
      <c r="C4499" s="115"/>
      <c r="D4499" s="115"/>
      <c r="E4499" s="115"/>
    </row>
    <row r="4500" spans="1:5" ht="13">
      <c r="A4500" s="115"/>
      <c r="B4500" s="115"/>
      <c r="C4500" s="115"/>
      <c r="D4500" s="115"/>
      <c r="E4500" s="115"/>
    </row>
    <row r="4501" spans="1:5" ht="13">
      <c r="A4501" s="115"/>
      <c r="B4501" s="115"/>
      <c r="C4501" s="115"/>
      <c r="D4501" s="115"/>
      <c r="E4501" s="115"/>
    </row>
    <row r="4502" spans="1:5" ht="13">
      <c r="A4502" s="115"/>
      <c r="B4502" s="115"/>
      <c r="C4502" s="115"/>
      <c r="D4502" s="115"/>
      <c r="E4502" s="115"/>
    </row>
    <row r="4503" spans="1:5" ht="13">
      <c r="A4503" s="115"/>
      <c r="B4503" s="115"/>
      <c r="C4503" s="115"/>
      <c r="D4503" s="115"/>
      <c r="E4503" s="115"/>
    </row>
    <row r="4504" spans="1:5" ht="13">
      <c r="A4504" s="115"/>
      <c r="B4504" s="115"/>
      <c r="C4504" s="115"/>
      <c r="D4504" s="115"/>
      <c r="E4504" s="115"/>
    </row>
    <row r="4505" spans="1:5" ht="13">
      <c r="A4505" s="115"/>
      <c r="B4505" s="115"/>
      <c r="C4505" s="115"/>
      <c r="D4505" s="115"/>
      <c r="E4505" s="115"/>
    </row>
    <row r="4506" spans="1:5" ht="13">
      <c r="A4506" s="115"/>
      <c r="B4506" s="115"/>
      <c r="C4506" s="115"/>
      <c r="D4506" s="115"/>
      <c r="E4506" s="115"/>
    </row>
    <row r="4507" spans="1:5" ht="13">
      <c r="A4507" s="115"/>
      <c r="B4507" s="115"/>
      <c r="C4507" s="115"/>
      <c r="D4507" s="115"/>
      <c r="E4507" s="115"/>
    </row>
    <row r="4508" spans="1:5" ht="13">
      <c r="A4508" s="115"/>
      <c r="B4508" s="115"/>
      <c r="C4508" s="115"/>
      <c r="D4508" s="115"/>
      <c r="E4508" s="115"/>
    </row>
    <row r="4509" spans="1:5" ht="13">
      <c r="A4509" s="115"/>
      <c r="B4509" s="115"/>
      <c r="C4509" s="115"/>
      <c r="D4509" s="115"/>
      <c r="E4509" s="115"/>
    </row>
    <row r="4510" spans="1:5" ht="13">
      <c r="A4510" s="115"/>
      <c r="B4510" s="115"/>
      <c r="C4510" s="115"/>
      <c r="D4510" s="115"/>
      <c r="E4510" s="115"/>
    </row>
    <row r="4511" spans="1:5" ht="13">
      <c r="A4511" s="115"/>
      <c r="B4511" s="115"/>
      <c r="C4511" s="115"/>
      <c r="D4511" s="115"/>
      <c r="E4511" s="115"/>
    </row>
    <row r="4512" spans="1:5" ht="13">
      <c r="A4512" s="115"/>
      <c r="B4512" s="115"/>
      <c r="C4512" s="115"/>
      <c r="D4512" s="115"/>
      <c r="E4512" s="115"/>
    </row>
    <row r="4513" spans="1:5" ht="13">
      <c r="A4513" s="115"/>
      <c r="B4513" s="115"/>
      <c r="C4513" s="115"/>
      <c r="D4513" s="115"/>
      <c r="E4513" s="115"/>
    </row>
    <row r="4514" spans="1:5" ht="13">
      <c r="A4514" s="115"/>
      <c r="B4514" s="115"/>
      <c r="C4514" s="115"/>
      <c r="D4514" s="115"/>
      <c r="E4514" s="115"/>
    </row>
    <row r="4515" spans="1:5" ht="13">
      <c r="A4515" s="115"/>
      <c r="B4515" s="115"/>
      <c r="C4515" s="115"/>
      <c r="D4515" s="115"/>
      <c r="E4515" s="115"/>
    </row>
    <row r="4516" spans="1:5" ht="13">
      <c r="A4516" s="115"/>
      <c r="B4516" s="115"/>
      <c r="C4516" s="115"/>
      <c r="D4516" s="115"/>
      <c r="E4516" s="115"/>
    </row>
    <row r="4517" spans="1:5" ht="13">
      <c r="A4517" s="115"/>
      <c r="B4517" s="115"/>
      <c r="C4517" s="115"/>
      <c r="D4517" s="115"/>
      <c r="E4517" s="115"/>
    </row>
    <row r="4518" spans="1:5" ht="13">
      <c r="A4518" s="115"/>
      <c r="B4518" s="115"/>
      <c r="C4518" s="115"/>
      <c r="D4518" s="115"/>
      <c r="E4518" s="115"/>
    </row>
    <row r="4519" spans="1:5" ht="13">
      <c r="A4519" s="115"/>
      <c r="B4519" s="115"/>
      <c r="C4519" s="115"/>
      <c r="D4519" s="115"/>
      <c r="E4519" s="115"/>
    </row>
    <row r="4520" spans="1:5" ht="13">
      <c r="A4520" s="115"/>
      <c r="B4520" s="115"/>
      <c r="C4520" s="115"/>
      <c r="D4520" s="115"/>
      <c r="E4520" s="115"/>
    </row>
    <row r="4521" spans="1:5" ht="13">
      <c r="A4521" s="115"/>
      <c r="B4521" s="115"/>
      <c r="C4521" s="115"/>
      <c r="D4521" s="115"/>
      <c r="E4521" s="115"/>
    </row>
    <row r="4522" spans="1:5" ht="13">
      <c r="A4522" s="115"/>
      <c r="B4522" s="115"/>
      <c r="C4522" s="115"/>
      <c r="D4522" s="115"/>
      <c r="E4522" s="115"/>
    </row>
    <row r="4523" spans="1:5" ht="13">
      <c r="A4523" s="115"/>
      <c r="B4523" s="115"/>
      <c r="C4523" s="115"/>
      <c r="D4523" s="115"/>
      <c r="E4523" s="115"/>
    </row>
    <row r="4524" spans="1:5" ht="13">
      <c r="A4524" s="115"/>
      <c r="B4524" s="115"/>
      <c r="C4524" s="115"/>
      <c r="D4524" s="115"/>
      <c r="E4524" s="115"/>
    </row>
    <row r="4525" spans="1:5" ht="13">
      <c r="A4525" s="115"/>
      <c r="B4525" s="115"/>
      <c r="C4525" s="115"/>
      <c r="D4525" s="115"/>
      <c r="E4525" s="115"/>
    </row>
    <row r="4526" spans="1:5" ht="13">
      <c r="A4526" s="115"/>
      <c r="B4526" s="115"/>
      <c r="C4526" s="115"/>
      <c r="D4526" s="115"/>
      <c r="E4526" s="115"/>
    </row>
    <row r="4527" spans="1:5" ht="13">
      <c r="A4527" s="115"/>
      <c r="B4527" s="115"/>
      <c r="C4527" s="115"/>
      <c r="D4527" s="115"/>
      <c r="E4527" s="115"/>
    </row>
    <row r="4528" spans="1:5" ht="13">
      <c r="A4528" s="115"/>
      <c r="B4528" s="115"/>
      <c r="C4528" s="115"/>
      <c r="D4528" s="115"/>
      <c r="E4528" s="115"/>
    </row>
    <row r="4529" spans="1:5" ht="13">
      <c r="A4529" s="115"/>
      <c r="B4529" s="115"/>
      <c r="C4529" s="115"/>
      <c r="D4529" s="115"/>
      <c r="E4529" s="115"/>
    </row>
    <row r="4530" spans="1:5" ht="13">
      <c r="A4530" s="115"/>
      <c r="B4530" s="115"/>
      <c r="C4530" s="115"/>
      <c r="D4530" s="115"/>
      <c r="E4530" s="115"/>
    </row>
    <row r="4531" spans="1:5" ht="13">
      <c r="A4531" s="115"/>
      <c r="B4531" s="115"/>
      <c r="C4531" s="115"/>
      <c r="D4531" s="115"/>
      <c r="E4531" s="115"/>
    </row>
    <row r="4532" spans="1:5" ht="13">
      <c r="A4532" s="115"/>
      <c r="B4532" s="115"/>
      <c r="C4532" s="115"/>
      <c r="D4532" s="115"/>
      <c r="E4532" s="115"/>
    </row>
    <row r="4533" spans="1:5" ht="13">
      <c r="A4533" s="115"/>
      <c r="B4533" s="115"/>
      <c r="C4533" s="115"/>
      <c r="D4533" s="115"/>
      <c r="E4533" s="115"/>
    </row>
    <row r="4534" spans="1:5" ht="13">
      <c r="A4534" s="115"/>
      <c r="B4534" s="115"/>
      <c r="C4534" s="115"/>
      <c r="D4534" s="115"/>
      <c r="E4534" s="115"/>
    </row>
    <row r="4535" spans="1:5" ht="13">
      <c r="A4535" s="115"/>
      <c r="B4535" s="115"/>
      <c r="C4535" s="115"/>
      <c r="D4535" s="115"/>
      <c r="E4535" s="115"/>
    </row>
    <row r="4536" spans="1:5" ht="13">
      <c r="A4536" s="115"/>
      <c r="B4536" s="115"/>
      <c r="C4536" s="115"/>
      <c r="D4536" s="115"/>
      <c r="E4536" s="115"/>
    </row>
    <row r="4537" spans="1:5" ht="13">
      <c r="A4537" s="115"/>
      <c r="B4537" s="115"/>
      <c r="C4537" s="115"/>
      <c r="D4537" s="115"/>
      <c r="E4537" s="115"/>
    </row>
    <row r="4538" spans="1:5" ht="13">
      <c r="A4538" s="115"/>
      <c r="B4538" s="115"/>
      <c r="C4538" s="115"/>
      <c r="D4538" s="115"/>
      <c r="E4538" s="115"/>
    </row>
    <row r="4539" spans="1:5" ht="13">
      <c r="A4539" s="115"/>
      <c r="B4539" s="115"/>
      <c r="C4539" s="115"/>
      <c r="D4539" s="115"/>
      <c r="E4539" s="115"/>
    </row>
    <row r="4540" spans="1:5" ht="13">
      <c r="A4540" s="115"/>
      <c r="B4540" s="115"/>
      <c r="C4540" s="115"/>
      <c r="D4540" s="115"/>
      <c r="E4540" s="115"/>
    </row>
    <row r="4541" spans="1:5" ht="13">
      <c r="A4541" s="115"/>
      <c r="B4541" s="115"/>
      <c r="C4541" s="115"/>
      <c r="D4541" s="115"/>
      <c r="E4541" s="115"/>
    </row>
    <row r="4542" spans="1:5" ht="13">
      <c r="A4542" s="115"/>
      <c r="B4542" s="115"/>
      <c r="C4542" s="115"/>
      <c r="D4542" s="115"/>
      <c r="E4542" s="115"/>
    </row>
    <row r="4543" spans="1:5" ht="13">
      <c r="A4543" s="115"/>
      <c r="B4543" s="115"/>
      <c r="C4543" s="115"/>
      <c r="D4543" s="115"/>
      <c r="E4543" s="115"/>
    </row>
    <row r="4544" spans="1:5" ht="13">
      <c r="A4544" s="115"/>
      <c r="B4544" s="115"/>
      <c r="C4544" s="115"/>
      <c r="D4544" s="115"/>
      <c r="E4544" s="115"/>
    </row>
    <row r="4545" spans="1:5" ht="13">
      <c r="A4545" s="115"/>
      <c r="B4545" s="115"/>
      <c r="C4545" s="115"/>
      <c r="D4545" s="115"/>
      <c r="E4545" s="115"/>
    </row>
    <row r="4546" spans="1:5" ht="13">
      <c r="A4546" s="115"/>
      <c r="B4546" s="115"/>
      <c r="C4546" s="115"/>
      <c r="D4546" s="115"/>
      <c r="E4546" s="115"/>
    </row>
    <row r="4547" spans="1:5" ht="13">
      <c r="A4547" s="115"/>
      <c r="B4547" s="115"/>
      <c r="C4547" s="115"/>
      <c r="D4547" s="115"/>
      <c r="E4547" s="115"/>
    </row>
    <row r="4548" spans="1:5" ht="13">
      <c r="A4548" s="115"/>
      <c r="B4548" s="115"/>
      <c r="C4548" s="115"/>
      <c r="D4548" s="115"/>
      <c r="E4548" s="115"/>
    </row>
    <row r="4549" spans="1:5" ht="13">
      <c r="A4549" s="115"/>
      <c r="B4549" s="115"/>
      <c r="C4549" s="115"/>
      <c r="D4549" s="115"/>
      <c r="E4549" s="115"/>
    </row>
    <row r="4550" spans="1:5" ht="13">
      <c r="A4550" s="115"/>
      <c r="B4550" s="115"/>
      <c r="C4550" s="115"/>
      <c r="D4550" s="115"/>
      <c r="E4550" s="115"/>
    </row>
    <row r="4551" spans="1:5" ht="13">
      <c r="A4551" s="115"/>
      <c r="B4551" s="115"/>
      <c r="C4551" s="115"/>
      <c r="D4551" s="115"/>
      <c r="E4551" s="115"/>
    </row>
    <row r="4552" spans="1:5" ht="13">
      <c r="A4552" s="115"/>
      <c r="B4552" s="115"/>
      <c r="C4552" s="115"/>
      <c r="D4552" s="115"/>
      <c r="E4552" s="115"/>
    </row>
    <row r="4553" spans="1:5" ht="13">
      <c r="A4553" s="115"/>
      <c r="B4553" s="115"/>
      <c r="C4553" s="115"/>
      <c r="D4553" s="115"/>
      <c r="E4553" s="115"/>
    </row>
    <row r="4554" spans="1:5" ht="13">
      <c r="A4554" s="115"/>
      <c r="B4554" s="115"/>
      <c r="C4554" s="115"/>
      <c r="D4554" s="115"/>
      <c r="E4554" s="115"/>
    </row>
    <row r="4555" spans="1:5" ht="13">
      <c r="A4555" s="115"/>
      <c r="B4555" s="115"/>
      <c r="C4555" s="115"/>
      <c r="D4555" s="115"/>
      <c r="E4555" s="115"/>
    </row>
    <row r="4556" spans="1:5" ht="13">
      <c r="A4556" s="115"/>
      <c r="B4556" s="115"/>
      <c r="C4556" s="115"/>
      <c r="D4556" s="115"/>
      <c r="E4556" s="115"/>
    </row>
    <row r="4557" spans="1:5" ht="13">
      <c r="A4557" s="115"/>
      <c r="B4557" s="115"/>
      <c r="C4557" s="115"/>
      <c r="D4557" s="115"/>
      <c r="E4557" s="115"/>
    </row>
    <row r="4558" spans="1:5" ht="13">
      <c r="A4558" s="115"/>
      <c r="B4558" s="115"/>
      <c r="C4558" s="115"/>
      <c r="D4558" s="115"/>
      <c r="E4558" s="115"/>
    </row>
    <row r="4559" spans="1:5" ht="13">
      <c r="A4559" s="115"/>
      <c r="B4559" s="115"/>
      <c r="C4559" s="115"/>
      <c r="D4559" s="115"/>
      <c r="E4559" s="115"/>
    </row>
    <row r="4560" spans="1:5" ht="13">
      <c r="A4560" s="115"/>
      <c r="B4560" s="115"/>
      <c r="C4560" s="115"/>
      <c r="D4560" s="115"/>
      <c r="E4560" s="115"/>
    </row>
    <row r="4561" spans="1:5" ht="13">
      <c r="A4561" s="115"/>
      <c r="B4561" s="115"/>
      <c r="C4561" s="115"/>
      <c r="D4561" s="115"/>
      <c r="E4561" s="115"/>
    </row>
    <row r="4562" spans="1:5" ht="13">
      <c r="A4562" s="115"/>
      <c r="B4562" s="115"/>
      <c r="C4562" s="115"/>
      <c r="D4562" s="115"/>
      <c r="E4562" s="115"/>
    </row>
    <row r="4563" spans="1:5" ht="13">
      <c r="A4563" s="115"/>
      <c r="B4563" s="115"/>
      <c r="C4563" s="115"/>
      <c r="D4563" s="115"/>
      <c r="E4563" s="115"/>
    </row>
    <row r="4564" spans="1:5" ht="13">
      <c r="A4564" s="115"/>
      <c r="B4564" s="115"/>
      <c r="C4564" s="115"/>
      <c r="D4564" s="115"/>
      <c r="E4564" s="115"/>
    </row>
    <row r="4565" spans="1:5" ht="13">
      <c r="A4565" s="115"/>
      <c r="B4565" s="115"/>
      <c r="C4565" s="115"/>
      <c r="D4565" s="115"/>
      <c r="E4565" s="115"/>
    </row>
    <row r="4566" spans="1:5" ht="13">
      <c r="A4566" s="115"/>
      <c r="B4566" s="115"/>
      <c r="C4566" s="115"/>
      <c r="D4566" s="115"/>
      <c r="E4566" s="115"/>
    </row>
    <row r="4567" spans="1:5" ht="13">
      <c r="A4567" s="115"/>
      <c r="B4567" s="115"/>
      <c r="C4567" s="115"/>
      <c r="D4567" s="115"/>
      <c r="E4567" s="115"/>
    </row>
    <row r="4568" spans="1:5" ht="13">
      <c r="A4568" s="115"/>
      <c r="B4568" s="115"/>
      <c r="C4568" s="115"/>
      <c r="D4568" s="115"/>
      <c r="E4568" s="115"/>
    </row>
    <row r="4569" spans="1:5" ht="13">
      <c r="A4569" s="115"/>
      <c r="B4569" s="115"/>
      <c r="C4569" s="115"/>
      <c r="D4569" s="115"/>
      <c r="E4569" s="115"/>
    </row>
    <row r="4570" spans="1:5" ht="13">
      <c r="A4570" s="115"/>
      <c r="B4570" s="115"/>
      <c r="C4570" s="115"/>
      <c r="D4570" s="115"/>
      <c r="E4570" s="115"/>
    </row>
    <row r="4571" spans="1:5" ht="13">
      <c r="A4571" s="115"/>
      <c r="B4571" s="115"/>
      <c r="C4571" s="115"/>
      <c r="D4571" s="115"/>
      <c r="E4571" s="115"/>
    </row>
    <row r="4572" spans="1:5" ht="13">
      <c r="A4572" s="115"/>
      <c r="B4572" s="115"/>
      <c r="C4572" s="115"/>
      <c r="D4572" s="115"/>
      <c r="E4572" s="115"/>
    </row>
    <row r="4573" spans="1:5" ht="13">
      <c r="A4573" s="115"/>
      <c r="B4573" s="115"/>
      <c r="C4573" s="115"/>
      <c r="D4573" s="115"/>
      <c r="E4573" s="115"/>
    </row>
    <row r="4574" spans="1:5" ht="13">
      <c r="A4574" s="115"/>
      <c r="B4574" s="115"/>
      <c r="C4574" s="115"/>
      <c r="D4574" s="115"/>
      <c r="E4574" s="115"/>
    </row>
    <row r="4575" spans="1:5" ht="13">
      <c r="A4575" s="115"/>
      <c r="B4575" s="115"/>
      <c r="C4575" s="115"/>
      <c r="D4575" s="115"/>
      <c r="E4575" s="115"/>
    </row>
    <row r="4576" spans="1:5" ht="13">
      <c r="A4576" s="115"/>
      <c r="B4576" s="115"/>
      <c r="C4576" s="115"/>
      <c r="D4576" s="115"/>
      <c r="E4576" s="115"/>
    </row>
    <row r="4577" spans="1:5" ht="13">
      <c r="A4577" s="115"/>
      <c r="B4577" s="115"/>
      <c r="C4577" s="115"/>
      <c r="D4577" s="115"/>
      <c r="E4577" s="115"/>
    </row>
    <row r="4578" spans="1:5" ht="13">
      <c r="A4578" s="115"/>
      <c r="B4578" s="115"/>
      <c r="C4578" s="115"/>
      <c r="D4578" s="115"/>
      <c r="E4578" s="115"/>
    </row>
    <row r="4579" spans="1:5" ht="13">
      <c r="A4579" s="115"/>
      <c r="B4579" s="115"/>
      <c r="C4579" s="115"/>
      <c r="D4579" s="115"/>
      <c r="E4579" s="115"/>
    </row>
    <row r="4580" spans="1:5" ht="13">
      <c r="A4580" s="115"/>
      <c r="B4580" s="115"/>
      <c r="C4580" s="115"/>
      <c r="D4580" s="115"/>
      <c r="E4580" s="115"/>
    </row>
    <row r="4581" spans="1:5" ht="13">
      <c r="A4581" s="115"/>
      <c r="B4581" s="115"/>
      <c r="C4581" s="115"/>
      <c r="D4581" s="115"/>
      <c r="E4581" s="115"/>
    </row>
    <row r="4582" spans="1:5" ht="13">
      <c r="A4582" s="115"/>
      <c r="B4582" s="115"/>
      <c r="C4582" s="115"/>
      <c r="D4582" s="115"/>
      <c r="E4582" s="115"/>
    </row>
    <row r="4583" spans="1:5" ht="13">
      <c r="A4583" s="115"/>
      <c r="B4583" s="115"/>
      <c r="C4583" s="115"/>
      <c r="D4583" s="115"/>
      <c r="E4583" s="115"/>
    </row>
    <row r="4584" spans="1:5" ht="13">
      <c r="A4584" s="115"/>
      <c r="B4584" s="115"/>
      <c r="C4584" s="115"/>
      <c r="D4584" s="115"/>
      <c r="E4584" s="115"/>
    </row>
    <row r="4585" spans="1:5" ht="13">
      <c r="A4585" s="115"/>
      <c r="B4585" s="115"/>
      <c r="C4585" s="115"/>
      <c r="D4585" s="115"/>
      <c r="E4585" s="115"/>
    </row>
    <row r="4586" spans="1:5" ht="13">
      <c r="A4586" s="115"/>
      <c r="B4586" s="115"/>
      <c r="C4586" s="115"/>
      <c r="D4586" s="115"/>
      <c r="E4586" s="115"/>
    </row>
    <row r="4587" spans="1:5" ht="13">
      <c r="A4587" s="115"/>
      <c r="B4587" s="115"/>
      <c r="C4587" s="115"/>
      <c r="D4587" s="115"/>
      <c r="E4587" s="115"/>
    </row>
    <row r="4588" spans="1:5" ht="13">
      <c r="A4588" s="115"/>
      <c r="B4588" s="115"/>
      <c r="C4588" s="115"/>
      <c r="D4588" s="115"/>
      <c r="E4588" s="115"/>
    </row>
    <row r="4589" spans="1:5" ht="13">
      <c r="A4589" s="115"/>
      <c r="B4589" s="115"/>
      <c r="C4589" s="115"/>
      <c r="D4589" s="115"/>
      <c r="E4589" s="115"/>
    </row>
    <row r="4590" spans="1:5" ht="13">
      <c r="A4590" s="115"/>
      <c r="B4590" s="115"/>
      <c r="C4590" s="115"/>
      <c r="D4590" s="115"/>
      <c r="E4590" s="115"/>
    </row>
    <row r="4591" spans="1:5" ht="13">
      <c r="A4591" s="115"/>
      <c r="B4591" s="115"/>
      <c r="C4591" s="115"/>
      <c r="D4591" s="115"/>
      <c r="E4591" s="115"/>
    </row>
    <row r="4592" spans="1:5" ht="13">
      <c r="A4592" s="115"/>
      <c r="B4592" s="115"/>
      <c r="C4592" s="115"/>
      <c r="D4592" s="115"/>
      <c r="E4592" s="115"/>
    </row>
    <row r="4593" spans="1:5" ht="13">
      <c r="A4593" s="115"/>
      <c r="B4593" s="115"/>
      <c r="C4593" s="115"/>
      <c r="D4593" s="115"/>
      <c r="E4593" s="115"/>
    </row>
    <row r="4594" spans="1:5" ht="13">
      <c r="A4594" s="115"/>
      <c r="B4594" s="115"/>
      <c r="C4594" s="115"/>
      <c r="D4594" s="115"/>
      <c r="E4594" s="115"/>
    </row>
    <row r="4595" spans="1:5" ht="13">
      <c r="A4595" s="115"/>
      <c r="B4595" s="115"/>
      <c r="C4595" s="115"/>
      <c r="D4595" s="115"/>
      <c r="E4595" s="115"/>
    </row>
    <row r="4596" spans="1:5" ht="13">
      <c r="A4596" s="115"/>
      <c r="B4596" s="115"/>
      <c r="C4596" s="115"/>
      <c r="D4596" s="115"/>
      <c r="E4596" s="115"/>
    </row>
    <row r="4597" spans="1:5" ht="13">
      <c r="A4597" s="115"/>
      <c r="B4597" s="115"/>
      <c r="C4597" s="115"/>
      <c r="D4597" s="115"/>
      <c r="E4597" s="115"/>
    </row>
    <row r="4598" spans="1:5" ht="13">
      <c r="A4598" s="115"/>
      <c r="B4598" s="115"/>
      <c r="C4598" s="115"/>
      <c r="D4598" s="115"/>
      <c r="E4598" s="115"/>
    </row>
    <row r="4599" spans="1:5" ht="13">
      <c r="A4599" s="115"/>
      <c r="B4599" s="115"/>
      <c r="C4599" s="115"/>
      <c r="D4599" s="115"/>
      <c r="E4599" s="115"/>
    </row>
    <row r="4600" spans="1:5" ht="13">
      <c r="A4600" s="115"/>
      <c r="B4600" s="115"/>
      <c r="C4600" s="115"/>
      <c r="D4600" s="115"/>
      <c r="E4600" s="115"/>
    </row>
    <row r="4601" spans="1:5" ht="13">
      <c r="A4601" s="115"/>
      <c r="B4601" s="115"/>
      <c r="C4601" s="115"/>
      <c r="D4601" s="115"/>
      <c r="E4601" s="115"/>
    </row>
    <row r="4602" spans="1:5" ht="13">
      <c r="A4602" s="115"/>
      <c r="B4602" s="115"/>
      <c r="C4602" s="115"/>
      <c r="D4602" s="115"/>
      <c r="E4602" s="115"/>
    </row>
    <row r="4603" spans="1:5" ht="13">
      <c r="A4603" s="115"/>
      <c r="B4603" s="115"/>
      <c r="C4603" s="115"/>
      <c r="D4603" s="115"/>
      <c r="E4603" s="115"/>
    </row>
    <row r="4604" spans="1:5" ht="13">
      <c r="A4604" s="115"/>
      <c r="B4604" s="115"/>
      <c r="C4604" s="115"/>
      <c r="D4604" s="115"/>
      <c r="E4604" s="115"/>
    </row>
    <row r="4605" spans="1:5" ht="13">
      <c r="A4605" s="115"/>
      <c r="B4605" s="115"/>
      <c r="C4605" s="115"/>
      <c r="D4605" s="115"/>
      <c r="E4605" s="115"/>
    </row>
    <row r="4606" spans="1:5" ht="13">
      <c r="A4606" s="115"/>
      <c r="B4606" s="115"/>
      <c r="C4606" s="115"/>
      <c r="D4606" s="115"/>
      <c r="E4606" s="115"/>
    </row>
    <row r="4607" spans="1:5" ht="13">
      <c r="A4607" s="115"/>
      <c r="B4607" s="115"/>
      <c r="C4607" s="115"/>
      <c r="D4607" s="115"/>
      <c r="E4607" s="115"/>
    </row>
    <row r="4608" spans="1:5" ht="13">
      <c r="A4608" s="115"/>
      <c r="B4608" s="115"/>
      <c r="C4608" s="115"/>
      <c r="D4608" s="115"/>
      <c r="E4608" s="115"/>
    </row>
    <row r="4609" spans="1:5" ht="13">
      <c r="A4609" s="115"/>
      <c r="B4609" s="115"/>
      <c r="C4609" s="115"/>
      <c r="D4609" s="115"/>
      <c r="E4609" s="115"/>
    </row>
    <row r="4610" spans="1:5" ht="13">
      <c r="A4610" s="115"/>
      <c r="B4610" s="115"/>
      <c r="C4610" s="115"/>
      <c r="D4610" s="115"/>
      <c r="E4610" s="115"/>
    </row>
    <row r="4611" spans="1:5" ht="13">
      <c r="A4611" s="115"/>
      <c r="B4611" s="115"/>
      <c r="C4611" s="115"/>
      <c r="D4611" s="115"/>
      <c r="E4611" s="115"/>
    </row>
    <row r="4612" spans="1:5" ht="13">
      <c r="A4612" s="115"/>
      <c r="B4612" s="115"/>
      <c r="C4612" s="115"/>
      <c r="D4612" s="115"/>
      <c r="E4612" s="115"/>
    </row>
    <row r="4613" spans="1:5" ht="13">
      <c r="A4613" s="115"/>
      <c r="B4613" s="115"/>
      <c r="C4613" s="115"/>
      <c r="D4613" s="115"/>
      <c r="E4613" s="115"/>
    </row>
    <row r="4614" spans="1:5" ht="13">
      <c r="A4614" s="115"/>
      <c r="B4614" s="115"/>
      <c r="C4614" s="115"/>
      <c r="D4614" s="115"/>
      <c r="E4614" s="115"/>
    </row>
    <row r="4615" spans="1:5" ht="13">
      <c r="A4615" s="115"/>
      <c r="B4615" s="115"/>
      <c r="C4615" s="115"/>
      <c r="D4615" s="115"/>
      <c r="E4615" s="115"/>
    </row>
    <row r="4616" spans="1:5" ht="13">
      <c r="A4616" s="115"/>
      <c r="B4616" s="115"/>
      <c r="C4616" s="115"/>
      <c r="D4616" s="115"/>
      <c r="E4616" s="115"/>
    </row>
    <row r="4617" spans="1:5" ht="13">
      <c r="A4617" s="115"/>
      <c r="B4617" s="115"/>
      <c r="C4617" s="115"/>
      <c r="D4617" s="115"/>
      <c r="E4617" s="115"/>
    </row>
    <row r="4618" spans="1:5" ht="13">
      <c r="A4618" s="115"/>
      <c r="B4618" s="115"/>
      <c r="C4618" s="115"/>
      <c r="D4618" s="115"/>
      <c r="E4618" s="115"/>
    </row>
    <row r="4619" spans="1:5" ht="13">
      <c r="A4619" s="115"/>
      <c r="B4619" s="115"/>
      <c r="C4619" s="115"/>
      <c r="D4619" s="115"/>
      <c r="E4619" s="115"/>
    </row>
    <row r="4620" spans="1:5" ht="13">
      <c r="A4620" s="115"/>
      <c r="B4620" s="115"/>
      <c r="C4620" s="115"/>
      <c r="D4620" s="115"/>
      <c r="E4620" s="115"/>
    </row>
    <row r="4621" spans="1:5" ht="13">
      <c r="A4621" s="115"/>
      <c r="B4621" s="115"/>
      <c r="C4621" s="115"/>
      <c r="D4621" s="115"/>
      <c r="E4621" s="115"/>
    </row>
    <row r="4622" spans="1:5" ht="13">
      <c r="A4622" s="115"/>
      <c r="B4622" s="115"/>
      <c r="C4622" s="115"/>
      <c r="D4622" s="115"/>
      <c r="E4622" s="115"/>
    </row>
    <row r="4623" spans="1:5" ht="13">
      <c r="A4623" s="115"/>
      <c r="B4623" s="115"/>
      <c r="C4623" s="115"/>
      <c r="D4623" s="115"/>
      <c r="E4623" s="115"/>
    </row>
    <row r="4624" spans="1:5" ht="13">
      <c r="A4624" s="115"/>
      <c r="B4624" s="115"/>
      <c r="C4624" s="115"/>
      <c r="D4624" s="115"/>
      <c r="E4624" s="115"/>
    </row>
    <row r="4625" spans="1:5" ht="13">
      <c r="A4625" s="115"/>
      <c r="B4625" s="115"/>
      <c r="C4625" s="115"/>
      <c r="D4625" s="115"/>
      <c r="E4625" s="115"/>
    </row>
    <row r="4626" spans="1:5" ht="13">
      <c r="A4626" s="115"/>
      <c r="B4626" s="115"/>
      <c r="C4626" s="115"/>
      <c r="D4626" s="115"/>
      <c r="E4626" s="115"/>
    </row>
    <row r="4627" spans="1:5" ht="13">
      <c r="A4627" s="115"/>
      <c r="B4627" s="115"/>
      <c r="C4627" s="115"/>
      <c r="D4627" s="115"/>
      <c r="E4627" s="115"/>
    </row>
    <row r="4628" spans="1:5" ht="13">
      <c r="A4628" s="115"/>
      <c r="B4628" s="115"/>
      <c r="C4628" s="115"/>
      <c r="D4628" s="115"/>
      <c r="E4628" s="115"/>
    </row>
    <row r="4629" spans="1:5" ht="13">
      <c r="A4629" s="115"/>
      <c r="B4629" s="115"/>
      <c r="C4629" s="115"/>
      <c r="D4629" s="115"/>
      <c r="E4629" s="115"/>
    </row>
    <row r="4630" spans="1:5" ht="13">
      <c r="A4630" s="115"/>
      <c r="B4630" s="115"/>
      <c r="C4630" s="115"/>
      <c r="D4630" s="115"/>
      <c r="E4630" s="115"/>
    </row>
    <row r="4631" spans="1:5" ht="13">
      <c r="A4631" s="115"/>
      <c r="B4631" s="115"/>
      <c r="C4631" s="115"/>
      <c r="D4631" s="115"/>
      <c r="E4631" s="115"/>
    </row>
    <row r="4632" spans="1:5" ht="13">
      <c r="A4632" s="115"/>
      <c r="B4632" s="115"/>
      <c r="C4632" s="115"/>
      <c r="D4632" s="115"/>
      <c r="E4632" s="115"/>
    </row>
    <row r="4633" spans="1:5" ht="13">
      <c r="A4633" s="115"/>
      <c r="B4633" s="115"/>
      <c r="C4633" s="115"/>
      <c r="D4633" s="115"/>
      <c r="E4633" s="115"/>
    </row>
    <row r="4634" spans="1:5" ht="13">
      <c r="A4634" s="115"/>
      <c r="B4634" s="115"/>
      <c r="C4634" s="115"/>
      <c r="D4634" s="115"/>
      <c r="E4634" s="115"/>
    </row>
    <row r="4635" spans="1:5" ht="13">
      <c r="A4635" s="115"/>
      <c r="B4635" s="115"/>
      <c r="C4635" s="115"/>
      <c r="D4635" s="115"/>
      <c r="E4635" s="115"/>
    </row>
    <row r="4636" spans="1:5" ht="13">
      <c r="A4636" s="115"/>
      <c r="B4636" s="115"/>
      <c r="C4636" s="115"/>
      <c r="D4636" s="115"/>
      <c r="E4636" s="115"/>
    </row>
    <row r="4637" spans="1:5" ht="13">
      <c r="A4637" s="115"/>
      <c r="B4637" s="115"/>
      <c r="C4637" s="115"/>
      <c r="D4637" s="115"/>
      <c r="E4637" s="115"/>
    </row>
    <row r="4638" spans="1:5" ht="13">
      <c r="A4638" s="115"/>
      <c r="B4638" s="115"/>
      <c r="C4638" s="115"/>
      <c r="D4638" s="115"/>
      <c r="E4638" s="115"/>
    </row>
    <row r="4639" spans="1:5" ht="13">
      <c r="A4639" s="115"/>
      <c r="B4639" s="115"/>
      <c r="C4639" s="115"/>
      <c r="D4639" s="115"/>
      <c r="E4639" s="115"/>
    </row>
    <row r="4640" spans="1:5" ht="13">
      <c r="A4640" s="115"/>
      <c r="B4640" s="115"/>
      <c r="C4640" s="115"/>
      <c r="D4640" s="115"/>
      <c r="E4640" s="115"/>
    </row>
    <row r="4641" spans="1:5" ht="13">
      <c r="A4641" s="115"/>
      <c r="B4641" s="115"/>
      <c r="C4641" s="115"/>
      <c r="D4641" s="115"/>
      <c r="E4641" s="115"/>
    </row>
    <row r="4642" spans="1:5" ht="13">
      <c r="A4642" s="115"/>
      <c r="B4642" s="115"/>
      <c r="C4642" s="115"/>
      <c r="D4642" s="115"/>
      <c r="E4642" s="115"/>
    </row>
    <row r="4643" spans="1:5" ht="13">
      <c r="A4643" s="115"/>
      <c r="B4643" s="115"/>
      <c r="C4643" s="115"/>
      <c r="D4643" s="115"/>
      <c r="E4643" s="115"/>
    </row>
    <row r="4644" spans="1:5" ht="13">
      <c r="A4644" s="115"/>
      <c r="B4644" s="115"/>
      <c r="C4644" s="115"/>
      <c r="D4644" s="115"/>
      <c r="E4644" s="115"/>
    </row>
    <row r="4645" spans="1:5" ht="13">
      <c r="A4645" s="115"/>
      <c r="B4645" s="115"/>
      <c r="C4645" s="115"/>
      <c r="D4645" s="115"/>
      <c r="E4645" s="115"/>
    </row>
    <row r="4646" spans="1:5" ht="13">
      <c r="A4646" s="115"/>
      <c r="B4646" s="115"/>
      <c r="C4646" s="115"/>
      <c r="D4646" s="115"/>
      <c r="E4646" s="115"/>
    </row>
    <row r="4647" spans="1:5" ht="13">
      <c r="A4647" s="115"/>
      <c r="B4647" s="115"/>
      <c r="C4647" s="115"/>
      <c r="D4647" s="115"/>
      <c r="E4647" s="115"/>
    </row>
    <row r="4648" spans="1:5" ht="13">
      <c r="A4648" s="115"/>
      <c r="B4648" s="115"/>
      <c r="C4648" s="115"/>
      <c r="D4648" s="115"/>
      <c r="E4648" s="115"/>
    </row>
    <row r="4649" spans="1:5" ht="13">
      <c r="A4649" s="115"/>
      <c r="B4649" s="115"/>
      <c r="C4649" s="115"/>
      <c r="D4649" s="115"/>
      <c r="E4649" s="115"/>
    </row>
    <row r="4650" spans="1:5" ht="13">
      <c r="A4650" s="115"/>
      <c r="B4650" s="115"/>
      <c r="C4650" s="115"/>
      <c r="D4650" s="115"/>
      <c r="E4650" s="115"/>
    </row>
    <row r="4651" spans="1:5" ht="13">
      <c r="A4651" s="115"/>
      <c r="B4651" s="115"/>
      <c r="C4651" s="115"/>
      <c r="D4651" s="115"/>
      <c r="E4651" s="115"/>
    </row>
    <row r="4652" spans="1:5" ht="13">
      <c r="A4652" s="115"/>
      <c r="B4652" s="115"/>
      <c r="C4652" s="115"/>
      <c r="D4652" s="115"/>
      <c r="E4652" s="115"/>
    </row>
    <row r="4653" spans="1:5" ht="13">
      <c r="A4653" s="115"/>
      <c r="B4653" s="115"/>
      <c r="C4653" s="115"/>
      <c r="D4653" s="115"/>
      <c r="E4653" s="115"/>
    </row>
    <row r="4654" spans="1:5" ht="13">
      <c r="A4654" s="115"/>
      <c r="B4654" s="115"/>
      <c r="C4654" s="115"/>
      <c r="D4654" s="115"/>
      <c r="E4654" s="115"/>
    </row>
    <row r="4655" spans="1:5" ht="13">
      <c r="A4655" s="115"/>
      <c r="B4655" s="115"/>
      <c r="C4655" s="115"/>
      <c r="D4655" s="115"/>
      <c r="E4655" s="115"/>
    </row>
    <row r="4656" spans="1:5" ht="13">
      <c r="A4656" s="115"/>
      <c r="B4656" s="115"/>
      <c r="C4656" s="115"/>
      <c r="D4656" s="115"/>
      <c r="E4656" s="115"/>
    </row>
    <row r="4657" spans="1:5" ht="13">
      <c r="A4657" s="115"/>
      <c r="B4657" s="115"/>
      <c r="C4657" s="115"/>
      <c r="D4657" s="115"/>
      <c r="E4657" s="115"/>
    </row>
    <row r="4658" spans="1:5" ht="13">
      <c r="A4658" s="115"/>
      <c r="B4658" s="115"/>
      <c r="C4658" s="115"/>
      <c r="D4658" s="115"/>
      <c r="E4658" s="115"/>
    </row>
    <row r="4659" spans="1:5" ht="13">
      <c r="A4659" s="115"/>
      <c r="B4659" s="115"/>
      <c r="C4659" s="115"/>
      <c r="D4659" s="115"/>
      <c r="E4659" s="115"/>
    </row>
    <row r="4660" spans="1:5" ht="13">
      <c r="A4660" s="115"/>
      <c r="B4660" s="115"/>
      <c r="C4660" s="115"/>
      <c r="D4660" s="115"/>
      <c r="E4660" s="115"/>
    </row>
    <row r="4661" spans="1:5" ht="13">
      <c r="A4661" s="115"/>
      <c r="B4661" s="115"/>
      <c r="C4661" s="115"/>
      <c r="D4661" s="115"/>
      <c r="E4661" s="115"/>
    </row>
    <row r="4662" spans="1:5" ht="13">
      <c r="A4662" s="115"/>
      <c r="B4662" s="115"/>
      <c r="C4662" s="115"/>
      <c r="D4662" s="115"/>
      <c r="E4662" s="115"/>
    </row>
    <row r="4663" spans="1:5" ht="13">
      <c r="A4663" s="115"/>
      <c r="B4663" s="115"/>
      <c r="C4663" s="115"/>
      <c r="D4663" s="115"/>
      <c r="E4663" s="115"/>
    </row>
    <row r="4664" spans="1:5" ht="13">
      <c r="A4664" s="115"/>
      <c r="B4664" s="115"/>
      <c r="C4664" s="115"/>
      <c r="D4664" s="115"/>
      <c r="E4664" s="115"/>
    </row>
    <row r="4665" spans="1:5" ht="13">
      <c r="A4665" s="115"/>
      <c r="B4665" s="115"/>
      <c r="C4665" s="115"/>
      <c r="D4665" s="115"/>
      <c r="E4665" s="115"/>
    </row>
    <row r="4666" spans="1:5" ht="13">
      <c r="A4666" s="115"/>
      <c r="B4666" s="115"/>
      <c r="C4666" s="115"/>
      <c r="D4666" s="115"/>
      <c r="E4666" s="115"/>
    </row>
    <row r="4667" spans="1:5" ht="13">
      <c r="A4667" s="115"/>
      <c r="B4667" s="115"/>
      <c r="C4667" s="115"/>
      <c r="D4667" s="115"/>
      <c r="E4667" s="115"/>
    </row>
    <row r="4668" spans="1:5" ht="13">
      <c r="A4668" s="115"/>
      <c r="B4668" s="115"/>
      <c r="C4668" s="115"/>
      <c r="D4668" s="115"/>
      <c r="E4668" s="115"/>
    </row>
    <row r="4669" spans="1:5" ht="13">
      <c r="A4669" s="115"/>
      <c r="B4669" s="115"/>
      <c r="C4669" s="115"/>
      <c r="D4669" s="115"/>
      <c r="E4669" s="115"/>
    </row>
    <row r="4670" spans="1:5" ht="13">
      <c r="A4670" s="115"/>
      <c r="B4670" s="115"/>
      <c r="C4670" s="115"/>
      <c r="D4670" s="115"/>
      <c r="E4670" s="115"/>
    </row>
    <row r="4671" spans="1:5" ht="13">
      <c r="A4671" s="115"/>
      <c r="B4671" s="115"/>
      <c r="C4671" s="115"/>
      <c r="D4671" s="115"/>
      <c r="E4671" s="115"/>
    </row>
    <row r="4672" spans="1:5" ht="13">
      <c r="A4672" s="115"/>
      <c r="B4672" s="115"/>
      <c r="C4672" s="115"/>
      <c r="D4672" s="115"/>
      <c r="E4672" s="115"/>
    </row>
    <row r="4673" spans="1:5" ht="13">
      <c r="A4673" s="115"/>
      <c r="B4673" s="115"/>
      <c r="C4673" s="115"/>
      <c r="D4673" s="115"/>
      <c r="E4673" s="115"/>
    </row>
    <row r="4674" spans="1:5" ht="13">
      <c r="A4674" s="115"/>
      <c r="B4674" s="115"/>
      <c r="C4674" s="115"/>
      <c r="D4674" s="115"/>
      <c r="E4674" s="115"/>
    </row>
    <row r="4675" spans="1:5" ht="13">
      <c r="A4675" s="115"/>
      <c r="B4675" s="115"/>
      <c r="C4675" s="115"/>
      <c r="D4675" s="115"/>
      <c r="E4675" s="115"/>
    </row>
    <row r="4676" spans="1:5" ht="13">
      <c r="A4676" s="115"/>
      <c r="B4676" s="115"/>
      <c r="C4676" s="115"/>
      <c r="D4676" s="115"/>
      <c r="E4676" s="115"/>
    </row>
    <row r="4677" spans="1:5" ht="13">
      <c r="A4677" s="115"/>
      <c r="B4677" s="115"/>
      <c r="C4677" s="115"/>
      <c r="D4677" s="115"/>
      <c r="E4677" s="115"/>
    </row>
    <row r="4678" spans="1:5" ht="13">
      <c r="A4678" s="115"/>
      <c r="B4678" s="115"/>
      <c r="C4678" s="115"/>
      <c r="D4678" s="115"/>
      <c r="E4678" s="115"/>
    </row>
    <row r="4679" spans="1:5" ht="13">
      <c r="A4679" s="115"/>
      <c r="B4679" s="115"/>
      <c r="C4679" s="115"/>
      <c r="D4679" s="115"/>
      <c r="E4679" s="115"/>
    </row>
    <row r="4680" spans="1:5" ht="13">
      <c r="A4680" s="115"/>
      <c r="B4680" s="115"/>
      <c r="C4680" s="115"/>
      <c r="D4680" s="115"/>
      <c r="E4680" s="115"/>
    </row>
    <row r="4681" spans="1:5" ht="13">
      <c r="A4681" s="115"/>
      <c r="B4681" s="115"/>
      <c r="C4681" s="115"/>
      <c r="D4681" s="115"/>
      <c r="E4681" s="115"/>
    </row>
    <row r="4682" spans="1:5" ht="13">
      <c r="A4682" s="115"/>
      <c r="B4682" s="115"/>
      <c r="C4682" s="115"/>
      <c r="D4682" s="115"/>
      <c r="E4682" s="115"/>
    </row>
    <row r="4683" spans="1:5" ht="13">
      <c r="A4683" s="115"/>
      <c r="B4683" s="115"/>
      <c r="C4683" s="115"/>
      <c r="D4683" s="115"/>
      <c r="E4683" s="115"/>
    </row>
    <row r="4684" spans="1:5" ht="13">
      <c r="A4684" s="115"/>
      <c r="B4684" s="115"/>
      <c r="C4684" s="115"/>
      <c r="D4684" s="115"/>
      <c r="E4684" s="115"/>
    </row>
    <row r="4685" spans="1:5" ht="13">
      <c r="A4685" s="115"/>
      <c r="B4685" s="115"/>
      <c r="C4685" s="115"/>
      <c r="D4685" s="115"/>
      <c r="E4685" s="115"/>
    </row>
    <row r="4686" spans="1:5" ht="13">
      <c r="A4686" s="115"/>
      <c r="B4686" s="115"/>
      <c r="C4686" s="115"/>
      <c r="D4686" s="115"/>
      <c r="E4686" s="115"/>
    </row>
    <row r="4687" spans="1:5" ht="13">
      <c r="A4687" s="115"/>
      <c r="B4687" s="115"/>
      <c r="C4687" s="115"/>
      <c r="D4687" s="115"/>
      <c r="E4687" s="115"/>
    </row>
    <row r="4688" spans="1:5" ht="13">
      <c r="A4688" s="115"/>
      <c r="B4688" s="115"/>
      <c r="C4688" s="115"/>
      <c r="D4688" s="115"/>
      <c r="E4688" s="115"/>
    </row>
    <row r="4689" spans="1:5" ht="13">
      <c r="A4689" s="115"/>
      <c r="B4689" s="115"/>
      <c r="C4689" s="115"/>
      <c r="D4689" s="115"/>
      <c r="E4689" s="115"/>
    </row>
    <row r="4690" spans="1:5" ht="13">
      <c r="A4690" s="115"/>
      <c r="B4690" s="115"/>
      <c r="C4690" s="115"/>
      <c r="D4690" s="115"/>
      <c r="E4690" s="115"/>
    </row>
    <row r="4691" spans="1:5" ht="13">
      <c r="A4691" s="115"/>
      <c r="B4691" s="115"/>
      <c r="C4691" s="115"/>
      <c r="D4691" s="115"/>
      <c r="E4691" s="115"/>
    </row>
    <row r="4692" spans="1:5" ht="13">
      <c r="A4692" s="115"/>
      <c r="B4692" s="115"/>
      <c r="C4692" s="115"/>
      <c r="D4692" s="115"/>
      <c r="E4692" s="115"/>
    </row>
    <row r="4693" spans="1:5" ht="13">
      <c r="A4693" s="115"/>
      <c r="B4693" s="115"/>
      <c r="C4693" s="115"/>
      <c r="D4693" s="115"/>
      <c r="E4693" s="115"/>
    </row>
    <row r="4694" spans="1:5" ht="13">
      <c r="A4694" s="115"/>
      <c r="B4694" s="115"/>
      <c r="C4694" s="115"/>
      <c r="D4694" s="115"/>
      <c r="E4694" s="115"/>
    </row>
    <row r="4695" spans="1:5" ht="13">
      <c r="A4695" s="115"/>
      <c r="B4695" s="115"/>
      <c r="C4695" s="115"/>
      <c r="D4695" s="115"/>
      <c r="E4695" s="115"/>
    </row>
    <row r="4696" spans="1:5" ht="13">
      <c r="A4696" s="115"/>
      <c r="B4696" s="115"/>
      <c r="C4696" s="115"/>
      <c r="D4696" s="115"/>
      <c r="E4696" s="115"/>
    </row>
    <row r="4697" spans="1:5" ht="13">
      <c r="A4697" s="115"/>
      <c r="B4697" s="115"/>
      <c r="C4697" s="115"/>
      <c r="D4697" s="115"/>
      <c r="E4697" s="115"/>
    </row>
    <row r="4698" spans="1:5" ht="13">
      <c r="A4698" s="115"/>
      <c r="B4698" s="115"/>
      <c r="C4698" s="115"/>
      <c r="D4698" s="115"/>
      <c r="E4698" s="115"/>
    </row>
    <row r="4699" spans="1:5" ht="13">
      <c r="A4699" s="115"/>
      <c r="B4699" s="115"/>
      <c r="C4699" s="115"/>
      <c r="D4699" s="115"/>
      <c r="E4699" s="115"/>
    </row>
    <row r="4700" spans="1:5" ht="13">
      <c r="A4700" s="115"/>
      <c r="B4700" s="115"/>
      <c r="C4700" s="115"/>
      <c r="D4700" s="115"/>
      <c r="E4700" s="115"/>
    </row>
    <row r="4701" spans="1:5" ht="13">
      <c r="A4701" s="115"/>
      <c r="B4701" s="115"/>
      <c r="C4701" s="115"/>
      <c r="D4701" s="115"/>
      <c r="E4701" s="115"/>
    </row>
    <row r="4702" spans="1:5" ht="13">
      <c r="A4702" s="115"/>
      <c r="B4702" s="115"/>
      <c r="C4702" s="115"/>
      <c r="D4702" s="115"/>
      <c r="E4702" s="115"/>
    </row>
    <row r="4703" spans="1:5" ht="13">
      <c r="A4703" s="115"/>
      <c r="B4703" s="115"/>
      <c r="C4703" s="115"/>
      <c r="D4703" s="115"/>
      <c r="E4703" s="115"/>
    </row>
    <row r="4704" spans="1:5" ht="13">
      <c r="A4704" s="115"/>
      <c r="B4704" s="115"/>
      <c r="C4704" s="115"/>
      <c r="D4704" s="115"/>
      <c r="E4704" s="115"/>
    </row>
    <row r="4705" spans="1:5" ht="13">
      <c r="A4705" s="115"/>
      <c r="B4705" s="115"/>
      <c r="C4705" s="115"/>
      <c r="D4705" s="115"/>
      <c r="E4705" s="115"/>
    </row>
    <row r="4706" spans="1:5" ht="13">
      <c r="A4706" s="115"/>
      <c r="B4706" s="115"/>
      <c r="C4706" s="115"/>
      <c r="D4706" s="115"/>
      <c r="E4706" s="115"/>
    </row>
    <row r="4707" spans="1:5" ht="13">
      <c r="A4707" s="115"/>
      <c r="B4707" s="115"/>
      <c r="C4707" s="115"/>
      <c r="D4707" s="115"/>
      <c r="E4707" s="115"/>
    </row>
    <row r="4708" spans="1:5" ht="13">
      <c r="A4708" s="115"/>
      <c r="B4708" s="115"/>
      <c r="C4708" s="115"/>
      <c r="D4708" s="115"/>
      <c r="E4708" s="115"/>
    </row>
    <row r="4709" spans="1:5" ht="13">
      <c r="A4709" s="115"/>
      <c r="B4709" s="115"/>
      <c r="C4709" s="115"/>
      <c r="D4709" s="115"/>
      <c r="E4709" s="115"/>
    </row>
    <row r="4710" spans="1:5" ht="13">
      <c r="A4710" s="115"/>
      <c r="B4710" s="115"/>
      <c r="C4710" s="115"/>
      <c r="D4710" s="115"/>
      <c r="E4710" s="115"/>
    </row>
    <row r="4711" spans="1:5" ht="13">
      <c r="A4711" s="115"/>
      <c r="B4711" s="115"/>
      <c r="C4711" s="115"/>
      <c r="D4711" s="115"/>
      <c r="E4711" s="115"/>
    </row>
    <row r="4712" spans="1:5" ht="13">
      <c r="A4712" s="115"/>
      <c r="B4712" s="115"/>
      <c r="C4712" s="115"/>
      <c r="D4712" s="115"/>
      <c r="E4712" s="115"/>
    </row>
    <row r="4713" spans="1:5" ht="13">
      <c r="A4713" s="115"/>
      <c r="B4713" s="115"/>
      <c r="C4713" s="115"/>
      <c r="D4713" s="115"/>
      <c r="E4713" s="115"/>
    </row>
    <row r="4714" spans="1:5" ht="13">
      <c r="A4714" s="115"/>
      <c r="B4714" s="115"/>
      <c r="C4714" s="115"/>
      <c r="D4714" s="115"/>
      <c r="E4714" s="115"/>
    </row>
    <row r="4715" spans="1:5" ht="13">
      <c r="A4715" s="115"/>
      <c r="B4715" s="115"/>
      <c r="C4715" s="115"/>
      <c r="D4715" s="115"/>
      <c r="E4715" s="115"/>
    </row>
    <row r="4716" spans="1:5" ht="13">
      <c r="A4716" s="115"/>
      <c r="B4716" s="115"/>
      <c r="C4716" s="115"/>
      <c r="D4716" s="115"/>
      <c r="E4716" s="115"/>
    </row>
    <row r="4717" spans="1:5" ht="13">
      <c r="A4717" s="115"/>
      <c r="B4717" s="115"/>
      <c r="C4717" s="115"/>
      <c r="D4717" s="115"/>
      <c r="E4717" s="115"/>
    </row>
    <row r="4718" spans="1:5" ht="13">
      <c r="A4718" s="115"/>
      <c r="B4718" s="115"/>
      <c r="C4718" s="115"/>
      <c r="D4718" s="115"/>
      <c r="E4718" s="115"/>
    </row>
    <row r="4719" spans="1:5" ht="13">
      <c r="A4719" s="115"/>
      <c r="B4719" s="115"/>
      <c r="C4719" s="115"/>
      <c r="D4719" s="115"/>
      <c r="E4719" s="115"/>
    </row>
    <row r="4720" spans="1:5" ht="13">
      <c r="A4720" s="115"/>
      <c r="B4720" s="115"/>
      <c r="C4720" s="115"/>
      <c r="D4720" s="115"/>
      <c r="E4720" s="115"/>
    </row>
    <row r="4721" spans="1:5" ht="13">
      <c r="A4721" s="115"/>
      <c r="B4721" s="115"/>
      <c r="C4721" s="115"/>
      <c r="D4721" s="115"/>
      <c r="E4721" s="115"/>
    </row>
    <row r="4722" spans="1:5" ht="13">
      <c r="A4722" s="115"/>
      <c r="B4722" s="115"/>
      <c r="C4722" s="115"/>
      <c r="D4722" s="115"/>
      <c r="E4722" s="115"/>
    </row>
    <row r="4723" spans="1:5" ht="13">
      <c r="A4723" s="115"/>
      <c r="B4723" s="115"/>
      <c r="C4723" s="115"/>
      <c r="D4723" s="115"/>
      <c r="E4723" s="115"/>
    </row>
    <row r="4724" spans="1:5" ht="13">
      <c r="A4724" s="115"/>
      <c r="B4724" s="115"/>
      <c r="C4724" s="115"/>
      <c r="D4724" s="115"/>
      <c r="E4724" s="115"/>
    </row>
    <row r="4725" spans="1:5" ht="13">
      <c r="A4725" s="115"/>
      <c r="B4725" s="115"/>
      <c r="C4725" s="115"/>
      <c r="D4725" s="115"/>
      <c r="E4725" s="115"/>
    </row>
    <row r="4726" spans="1:5" ht="13">
      <c r="A4726" s="115"/>
      <c r="B4726" s="115"/>
      <c r="C4726" s="115"/>
      <c r="D4726" s="115"/>
      <c r="E4726" s="115"/>
    </row>
    <row r="4727" spans="1:5" ht="13">
      <c r="A4727" s="115"/>
      <c r="B4727" s="115"/>
      <c r="C4727" s="115"/>
      <c r="D4727" s="115"/>
      <c r="E4727" s="115"/>
    </row>
    <row r="4728" spans="1:5" ht="13">
      <c r="A4728" s="115"/>
      <c r="B4728" s="115"/>
      <c r="C4728" s="115"/>
      <c r="D4728" s="115"/>
      <c r="E4728" s="115"/>
    </row>
    <row r="4729" spans="1:5" ht="13">
      <c r="A4729" s="115"/>
      <c r="B4729" s="115"/>
      <c r="C4729" s="115"/>
      <c r="D4729" s="115"/>
      <c r="E4729" s="115"/>
    </row>
    <row r="4730" spans="1:5" ht="13">
      <c r="A4730" s="115"/>
      <c r="B4730" s="115"/>
      <c r="C4730" s="115"/>
      <c r="D4730" s="115"/>
      <c r="E4730" s="115"/>
    </row>
    <row r="4731" spans="1:5" ht="13">
      <c r="A4731" s="115"/>
      <c r="B4731" s="115"/>
      <c r="C4731" s="115"/>
      <c r="D4731" s="115"/>
      <c r="E4731" s="115"/>
    </row>
    <row r="4732" spans="1:5" ht="13">
      <c r="A4732" s="115"/>
      <c r="B4732" s="115"/>
      <c r="C4732" s="115"/>
      <c r="D4732" s="115"/>
      <c r="E4732" s="115"/>
    </row>
    <row r="4733" spans="1:5" ht="13">
      <c r="A4733" s="115"/>
      <c r="B4733" s="115"/>
      <c r="C4733" s="115"/>
      <c r="D4733" s="115"/>
      <c r="E4733" s="115"/>
    </row>
    <row r="4734" spans="1:5" ht="13">
      <c r="A4734" s="115"/>
      <c r="B4734" s="115"/>
      <c r="C4734" s="115"/>
      <c r="D4734" s="115"/>
      <c r="E4734" s="115"/>
    </row>
    <row r="4735" spans="1:5" ht="13">
      <c r="A4735" s="115"/>
      <c r="B4735" s="115"/>
      <c r="C4735" s="115"/>
      <c r="D4735" s="115"/>
      <c r="E4735" s="115"/>
    </row>
    <row r="4736" spans="1:5" ht="13">
      <c r="A4736" s="115"/>
      <c r="B4736" s="115"/>
      <c r="C4736" s="115"/>
      <c r="D4736" s="115"/>
      <c r="E4736" s="115"/>
    </row>
    <row r="4737" spans="1:5" ht="13">
      <c r="A4737" s="115"/>
      <c r="B4737" s="115"/>
      <c r="C4737" s="115"/>
      <c r="D4737" s="115"/>
      <c r="E4737" s="115"/>
    </row>
    <row r="4738" spans="1:5" ht="13">
      <c r="A4738" s="115"/>
      <c r="B4738" s="115"/>
      <c r="C4738" s="115"/>
      <c r="D4738" s="115"/>
      <c r="E4738" s="115"/>
    </row>
    <row r="4739" spans="1:5" ht="13">
      <c r="A4739" s="115"/>
      <c r="B4739" s="115"/>
      <c r="C4739" s="115"/>
      <c r="D4739" s="115"/>
      <c r="E4739" s="115"/>
    </row>
    <row r="4740" spans="1:5" ht="13">
      <c r="A4740" s="115"/>
      <c r="B4740" s="115"/>
      <c r="C4740" s="115"/>
      <c r="D4740" s="115"/>
      <c r="E4740" s="115"/>
    </row>
    <row r="4741" spans="1:5" ht="13">
      <c r="A4741" s="115"/>
      <c r="B4741" s="115"/>
      <c r="C4741" s="115"/>
      <c r="D4741" s="115"/>
      <c r="E4741" s="115"/>
    </row>
    <row r="4742" spans="1:5" ht="13">
      <c r="A4742" s="115"/>
      <c r="B4742" s="115"/>
      <c r="C4742" s="115"/>
      <c r="D4742" s="115"/>
      <c r="E4742" s="115"/>
    </row>
    <row r="4743" spans="1:5" ht="13">
      <c r="A4743" s="115"/>
      <c r="B4743" s="115"/>
      <c r="C4743" s="115"/>
      <c r="D4743" s="115"/>
      <c r="E4743" s="115"/>
    </row>
    <row r="4744" spans="1:5" ht="13">
      <c r="A4744" s="115"/>
      <c r="B4744" s="115"/>
      <c r="C4744" s="115"/>
      <c r="D4744" s="115"/>
      <c r="E4744" s="115"/>
    </row>
    <row r="4745" spans="1:5" ht="13">
      <c r="A4745" s="115"/>
      <c r="B4745" s="115"/>
      <c r="C4745" s="115"/>
      <c r="D4745" s="115"/>
      <c r="E4745" s="115"/>
    </row>
    <row r="4746" spans="1:5" ht="13">
      <c r="A4746" s="115"/>
      <c r="B4746" s="115"/>
      <c r="C4746" s="115"/>
      <c r="D4746" s="115"/>
      <c r="E4746" s="115"/>
    </row>
    <row r="4747" spans="1:5" ht="13">
      <c r="A4747" s="115"/>
      <c r="B4747" s="115"/>
      <c r="C4747" s="115"/>
      <c r="D4747" s="115"/>
      <c r="E4747" s="115"/>
    </row>
    <row r="4748" spans="1:5" ht="13">
      <c r="A4748" s="115"/>
      <c r="B4748" s="115"/>
      <c r="C4748" s="115"/>
      <c r="D4748" s="115"/>
      <c r="E4748" s="115"/>
    </row>
    <row r="4749" spans="1:5" ht="13">
      <c r="A4749" s="115"/>
      <c r="B4749" s="115"/>
      <c r="C4749" s="115"/>
      <c r="D4749" s="115"/>
      <c r="E4749" s="115"/>
    </row>
    <row r="4750" spans="1:5" ht="13">
      <c r="A4750" s="115"/>
      <c r="B4750" s="115"/>
      <c r="C4750" s="115"/>
      <c r="D4750" s="115"/>
      <c r="E4750" s="115"/>
    </row>
    <row r="4751" spans="1:5" ht="13">
      <c r="A4751" s="115"/>
      <c r="B4751" s="115"/>
      <c r="C4751" s="115"/>
      <c r="D4751" s="115"/>
      <c r="E4751" s="115"/>
    </row>
    <row r="4752" spans="1:5" ht="13">
      <c r="A4752" s="115"/>
      <c r="B4752" s="115"/>
      <c r="C4752" s="115"/>
      <c r="D4752" s="115"/>
      <c r="E4752" s="115"/>
    </row>
    <row r="4753" spans="1:5" ht="13">
      <c r="A4753" s="115"/>
      <c r="B4753" s="115"/>
      <c r="C4753" s="115"/>
      <c r="D4753" s="115"/>
      <c r="E4753" s="115"/>
    </row>
    <row r="4754" spans="1:5" ht="13">
      <c r="A4754" s="115"/>
      <c r="B4754" s="115"/>
      <c r="C4754" s="115"/>
      <c r="D4754" s="115"/>
      <c r="E4754" s="115"/>
    </row>
    <row r="4755" spans="1:5" ht="13">
      <c r="A4755" s="115"/>
      <c r="B4755" s="115"/>
      <c r="C4755" s="115"/>
      <c r="D4755" s="115"/>
      <c r="E4755" s="115"/>
    </row>
    <row r="4756" spans="1:5" ht="13">
      <c r="A4756" s="115"/>
      <c r="B4756" s="115"/>
      <c r="C4756" s="115"/>
      <c r="D4756" s="115"/>
      <c r="E4756" s="115"/>
    </row>
    <row r="4757" spans="1:5" ht="13">
      <c r="A4757" s="115"/>
      <c r="B4757" s="115"/>
      <c r="C4757" s="115"/>
      <c r="D4757" s="115"/>
      <c r="E4757" s="115"/>
    </row>
    <row r="4758" spans="1:5" ht="13">
      <c r="A4758" s="115"/>
      <c r="B4758" s="115"/>
      <c r="C4758" s="115"/>
      <c r="D4758" s="115"/>
      <c r="E4758" s="115"/>
    </row>
    <row r="4759" spans="1:5" ht="13">
      <c r="A4759" s="115"/>
      <c r="B4759" s="115"/>
      <c r="C4759" s="115"/>
      <c r="D4759" s="115"/>
      <c r="E4759" s="115"/>
    </row>
    <row r="4760" spans="1:5" ht="13">
      <c r="A4760" s="115"/>
      <c r="B4760" s="115"/>
      <c r="C4760" s="115"/>
      <c r="D4760" s="115"/>
      <c r="E4760" s="115"/>
    </row>
    <row r="4761" spans="1:5" ht="13">
      <c r="A4761" s="115"/>
      <c r="B4761" s="115"/>
      <c r="C4761" s="115"/>
      <c r="D4761" s="115"/>
      <c r="E4761" s="115"/>
    </row>
    <row r="4762" spans="1:5" ht="13">
      <c r="A4762" s="115"/>
      <c r="B4762" s="115"/>
      <c r="C4762" s="115"/>
      <c r="D4762" s="115"/>
      <c r="E4762" s="115"/>
    </row>
    <row r="4763" spans="1:5" ht="13">
      <c r="A4763" s="115"/>
      <c r="B4763" s="115"/>
      <c r="C4763" s="115"/>
      <c r="D4763" s="115"/>
      <c r="E4763" s="115"/>
    </row>
    <row r="4764" spans="1:5" ht="13">
      <c r="A4764" s="115"/>
      <c r="B4764" s="115"/>
      <c r="C4764" s="115"/>
      <c r="D4764" s="115"/>
      <c r="E4764" s="115"/>
    </row>
    <row r="4765" spans="1:5" ht="13">
      <c r="A4765" s="115"/>
      <c r="B4765" s="115"/>
      <c r="C4765" s="115"/>
      <c r="D4765" s="115"/>
      <c r="E4765" s="115"/>
    </row>
    <row r="4766" spans="1:5" ht="13">
      <c r="A4766" s="115"/>
      <c r="B4766" s="115"/>
      <c r="C4766" s="115"/>
      <c r="D4766" s="115"/>
      <c r="E4766" s="115"/>
    </row>
    <row r="4767" spans="1:5" ht="13">
      <c r="A4767" s="115"/>
      <c r="B4767" s="115"/>
      <c r="C4767" s="115"/>
      <c r="D4767" s="115"/>
      <c r="E4767" s="115"/>
    </row>
    <row r="4768" spans="1:5" ht="13">
      <c r="A4768" s="115"/>
      <c r="B4768" s="115"/>
      <c r="C4768" s="115"/>
      <c r="D4768" s="115"/>
      <c r="E4768" s="115"/>
    </row>
    <row r="4769" spans="1:5" ht="13">
      <c r="A4769" s="115"/>
      <c r="B4769" s="115"/>
      <c r="C4769" s="115"/>
      <c r="D4769" s="115"/>
      <c r="E4769" s="115"/>
    </row>
    <row r="4770" spans="1:5" ht="13">
      <c r="A4770" s="115"/>
      <c r="B4770" s="115"/>
      <c r="C4770" s="115"/>
      <c r="D4770" s="115"/>
      <c r="E4770" s="115"/>
    </row>
    <row r="4771" spans="1:5" ht="13">
      <c r="A4771" s="115"/>
      <c r="B4771" s="115"/>
      <c r="C4771" s="115"/>
      <c r="D4771" s="115"/>
      <c r="E4771" s="115"/>
    </row>
    <row r="4772" spans="1:5" ht="13">
      <c r="A4772" s="115"/>
      <c r="B4772" s="115"/>
      <c r="C4772" s="115"/>
      <c r="D4772" s="115"/>
      <c r="E4772" s="115"/>
    </row>
    <row r="4773" spans="1:5" ht="13">
      <c r="A4773" s="115"/>
      <c r="B4773" s="115"/>
      <c r="C4773" s="115"/>
      <c r="D4773" s="115"/>
      <c r="E4773" s="115"/>
    </row>
    <row r="4774" spans="1:5" ht="13">
      <c r="A4774" s="115"/>
      <c r="B4774" s="115"/>
      <c r="C4774" s="115"/>
      <c r="D4774" s="115"/>
      <c r="E4774" s="115"/>
    </row>
    <row r="4775" spans="1:5" ht="13">
      <c r="A4775" s="115"/>
      <c r="B4775" s="115"/>
      <c r="C4775" s="115"/>
      <c r="D4775" s="115"/>
      <c r="E4775" s="115"/>
    </row>
    <row r="4776" spans="1:5" ht="13">
      <c r="A4776" s="115"/>
      <c r="B4776" s="115"/>
      <c r="C4776" s="115"/>
      <c r="D4776" s="115"/>
      <c r="E4776" s="115"/>
    </row>
    <row r="4777" spans="1:5" ht="13">
      <c r="A4777" s="115"/>
      <c r="B4777" s="115"/>
      <c r="C4777" s="115"/>
      <c r="D4777" s="115"/>
      <c r="E4777" s="115"/>
    </row>
    <row r="4778" spans="1:5" ht="13">
      <c r="A4778" s="115"/>
      <c r="B4778" s="115"/>
      <c r="C4778" s="115"/>
      <c r="D4778" s="115"/>
      <c r="E4778" s="115"/>
    </row>
    <row r="4779" spans="1:5" ht="13">
      <c r="A4779" s="115"/>
      <c r="B4779" s="115"/>
      <c r="C4779" s="115"/>
      <c r="D4779" s="115"/>
      <c r="E4779" s="115"/>
    </row>
    <row r="4780" spans="1:5" ht="13">
      <c r="A4780" s="115"/>
      <c r="B4780" s="115"/>
      <c r="C4780" s="115"/>
      <c r="D4780" s="115"/>
      <c r="E4780" s="115"/>
    </row>
    <row r="4781" spans="1:5" ht="13">
      <c r="A4781" s="115"/>
      <c r="B4781" s="115"/>
      <c r="C4781" s="115"/>
      <c r="D4781" s="115"/>
      <c r="E4781" s="115"/>
    </row>
    <row r="4782" spans="1:5" ht="13">
      <c r="A4782" s="115"/>
      <c r="B4782" s="115"/>
      <c r="C4782" s="115"/>
      <c r="D4782" s="115"/>
      <c r="E4782" s="115"/>
    </row>
    <row r="4783" spans="1:5" ht="13">
      <c r="A4783" s="115"/>
      <c r="B4783" s="115"/>
      <c r="C4783" s="115"/>
      <c r="D4783" s="115"/>
      <c r="E4783" s="115"/>
    </row>
    <row r="4784" spans="1:5" ht="13">
      <c r="A4784" s="115"/>
      <c r="B4784" s="115"/>
      <c r="C4784" s="115"/>
      <c r="D4784" s="115"/>
      <c r="E4784" s="115"/>
    </row>
    <row r="4785" spans="1:5" ht="13">
      <c r="A4785" s="115"/>
      <c r="B4785" s="115"/>
      <c r="C4785" s="115"/>
      <c r="D4785" s="115"/>
      <c r="E4785" s="115"/>
    </row>
    <row r="4786" spans="1:5" ht="13">
      <c r="A4786" s="115"/>
      <c r="B4786" s="115"/>
      <c r="C4786" s="115"/>
      <c r="D4786" s="115"/>
      <c r="E4786" s="115"/>
    </row>
    <row r="4787" spans="1:5" ht="13">
      <c r="A4787" s="115"/>
      <c r="B4787" s="115"/>
      <c r="C4787" s="115"/>
      <c r="D4787" s="115"/>
      <c r="E4787" s="115"/>
    </row>
    <row r="4788" spans="1:5" ht="13">
      <c r="A4788" s="115"/>
      <c r="B4788" s="115"/>
      <c r="C4788" s="115"/>
      <c r="D4788" s="115"/>
      <c r="E4788" s="115"/>
    </row>
    <row r="4789" spans="1:5" ht="13">
      <c r="A4789" s="115"/>
      <c r="B4789" s="115"/>
      <c r="C4789" s="115"/>
      <c r="D4789" s="115"/>
      <c r="E4789" s="115"/>
    </row>
    <row r="4790" spans="1:5" ht="13">
      <c r="A4790" s="115"/>
      <c r="B4790" s="115"/>
      <c r="C4790" s="115"/>
      <c r="D4790" s="115"/>
      <c r="E4790" s="115"/>
    </row>
    <row r="4791" spans="1:5" ht="13">
      <c r="A4791" s="115"/>
      <c r="B4791" s="115"/>
      <c r="C4791" s="115"/>
      <c r="D4791" s="115"/>
      <c r="E4791" s="115"/>
    </row>
    <row r="4792" spans="1:5" ht="13">
      <c r="A4792" s="115"/>
      <c r="B4792" s="115"/>
      <c r="C4792" s="115"/>
      <c r="D4792" s="115"/>
      <c r="E4792" s="115"/>
    </row>
    <row r="4793" spans="1:5" ht="13">
      <c r="A4793" s="115"/>
      <c r="B4793" s="115"/>
      <c r="C4793" s="115"/>
      <c r="D4793" s="115"/>
      <c r="E4793" s="115"/>
    </row>
    <row r="4794" spans="1:5" ht="13">
      <c r="A4794" s="115"/>
      <c r="B4794" s="115"/>
      <c r="C4794" s="115"/>
      <c r="D4794" s="115"/>
      <c r="E4794" s="115"/>
    </row>
    <row r="4795" spans="1:5" ht="13">
      <c r="A4795" s="115"/>
      <c r="B4795" s="115"/>
      <c r="C4795" s="115"/>
      <c r="D4795" s="115"/>
      <c r="E4795" s="115"/>
    </row>
    <row r="4796" spans="1:5" ht="13">
      <c r="A4796" s="115"/>
      <c r="B4796" s="115"/>
      <c r="C4796" s="115"/>
      <c r="D4796" s="115"/>
      <c r="E4796" s="115"/>
    </row>
    <row r="4797" spans="1:5" ht="13">
      <c r="A4797" s="115"/>
      <c r="B4797" s="115"/>
      <c r="C4797" s="115"/>
      <c r="D4797" s="115"/>
      <c r="E4797" s="115"/>
    </row>
    <row r="4798" spans="1:5" ht="13">
      <c r="A4798" s="115"/>
      <c r="B4798" s="115"/>
      <c r="C4798" s="115"/>
      <c r="D4798" s="115"/>
      <c r="E4798" s="115"/>
    </row>
    <row r="4799" spans="1:5" ht="13">
      <c r="A4799" s="115"/>
      <c r="B4799" s="115"/>
      <c r="C4799" s="115"/>
      <c r="D4799" s="115"/>
      <c r="E4799" s="115"/>
    </row>
    <row r="4800" spans="1:5" ht="13">
      <c r="A4800" s="115"/>
      <c r="B4800" s="115"/>
      <c r="C4800" s="115"/>
      <c r="D4800" s="115"/>
      <c r="E4800" s="115"/>
    </row>
    <row r="4801" spans="1:5" ht="13">
      <c r="A4801" s="115"/>
      <c r="B4801" s="115"/>
      <c r="C4801" s="115"/>
      <c r="D4801" s="115"/>
      <c r="E4801" s="115"/>
    </row>
    <row r="4802" spans="1:5" ht="13">
      <c r="A4802" s="115"/>
      <c r="B4802" s="115"/>
      <c r="C4802" s="115"/>
      <c r="D4802" s="115"/>
      <c r="E4802" s="115"/>
    </row>
    <row r="4803" spans="1:5" ht="13">
      <c r="A4803" s="115"/>
      <c r="B4803" s="115"/>
      <c r="C4803" s="115"/>
      <c r="D4803" s="115"/>
      <c r="E4803" s="115"/>
    </row>
    <row r="4804" spans="1:5" ht="13">
      <c r="A4804" s="115"/>
      <c r="B4804" s="115"/>
      <c r="C4804" s="115"/>
      <c r="D4804" s="115"/>
      <c r="E4804" s="115"/>
    </row>
    <row r="4805" spans="1:5" ht="13">
      <c r="A4805" s="115"/>
      <c r="B4805" s="115"/>
      <c r="C4805" s="115"/>
      <c r="D4805" s="115"/>
      <c r="E4805" s="115"/>
    </row>
    <row r="4806" spans="1:5" ht="13">
      <c r="A4806" s="115"/>
      <c r="B4806" s="115"/>
      <c r="C4806" s="115"/>
      <c r="D4806" s="115"/>
      <c r="E4806" s="115"/>
    </row>
    <row r="4807" spans="1:5" ht="13">
      <c r="A4807" s="115"/>
      <c r="B4807" s="115"/>
      <c r="C4807" s="115"/>
      <c r="D4807" s="115"/>
      <c r="E4807" s="115"/>
    </row>
    <row r="4808" spans="1:5" ht="13">
      <c r="A4808" s="115"/>
      <c r="B4808" s="115"/>
      <c r="C4808" s="115"/>
      <c r="D4808" s="115"/>
      <c r="E4808" s="115"/>
    </row>
    <row r="4809" spans="1:5" ht="13">
      <c r="A4809" s="115"/>
      <c r="B4809" s="115"/>
      <c r="C4809" s="115"/>
      <c r="D4809" s="115"/>
      <c r="E4809" s="115"/>
    </row>
    <row r="4810" spans="1:5" ht="13">
      <c r="A4810" s="115"/>
      <c r="B4810" s="115"/>
      <c r="C4810" s="115"/>
      <c r="D4810" s="115"/>
      <c r="E4810" s="115"/>
    </row>
    <row r="4811" spans="1:5" ht="13">
      <c r="A4811" s="115"/>
      <c r="B4811" s="115"/>
      <c r="C4811" s="115"/>
      <c r="D4811" s="115"/>
      <c r="E4811" s="115"/>
    </row>
    <row r="4812" spans="1:5" ht="13">
      <c r="A4812" s="115"/>
      <c r="B4812" s="115"/>
      <c r="C4812" s="115"/>
      <c r="D4812" s="115"/>
      <c r="E4812" s="115"/>
    </row>
    <row r="4813" spans="1:5" ht="13">
      <c r="A4813" s="115"/>
      <c r="B4813" s="115"/>
      <c r="C4813" s="115"/>
      <c r="D4813" s="115"/>
      <c r="E4813" s="115"/>
    </row>
    <row r="4814" spans="1:5" ht="13">
      <c r="A4814" s="115"/>
      <c r="B4814" s="115"/>
      <c r="C4814" s="115"/>
      <c r="D4814" s="115"/>
      <c r="E4814" s="115"/>
    </row>
    <row r="4815" spans="1:5" ht="13">
      <c r="A4815" s="115"/>
      <c r="B4815" s="115"/>
      <c r="C4815" s="115"/>
      <c r="D4815" s="115"/>
      <c r="E4815" s="115"/>
    </row>
    <row r="4816" spans="1:5" ht="13">
      <c r="A4816" s="115"/>
      <c r="B4816" s="115"/>
      <c r="C4816" s="115"/>
      <c r="D4816" s="115"/>
      <c r="E4816" s="115"/>
    </row>
    <row r="4817" spans="1:5" ht="13">
      <c r="A4817" s="115"/>
      <c r="B4817" s="115"/>
      <c r="C4817" s="115"/>
      <c r="D4817" s="115"/>
      <c r="E4817" s="115"/>
    </row>
    <row r="4818" spans="1:5" ht="13">
      <c r="A4818" s="115"/>
      <c r="B4818" s="115"/>
      <c r="C4818" s="115"/>
      <c r="D4818" s="115"/>
      <c r="E4818" s="115"/>
    </row>
    <row r="4819" spans="1:5" ht="13">
      <c r="A4819" s="115"/>
      <c r="B4819" s="115"/>
      <c r="C4819" s="115"/>
      <c r="D4819" s="115"/>
      <c r="E4819" s="115"/>
    </row>
    <row r="4820" spans="1:5" ht="13">
      <c r="A4820" s="115"/>
      <c r="B4820" s="115"/>
      <c r="C4820" s="115"/>
      <c r="D4820" s="115"/>
      <c r="E4820" s="115"/>
    </row>
    <row r="4821" spans="1:5" ht="13">
      <c r="A4821" s="115"/>
      <c r="B4821" s="115"/>
      <c r="C4821" s="115"/>
      <c r="D4821" s="115"/>
      <c r="E4821" s="115"/>
    </row>
    <row r="4822" spans="1:5" ht="13">
      <c r="A4822" s="115"/>
      <c r="B4822" s="115"/>
      <c r="C4822" s="115"/>
      <c r="D4822" s="115"/>
      <c r="E4822" s="115"/>
    </row>
    <row r="4823" spans="1:5" ht="13">
      <c r="A4823" s="115"/>
      <c r="B4823" s="115"/>
      <c r="C4823" s="115"/>
      <c r="D4823" s="115"/>
      <c r="E4823" s="115"/>
    </row>
    <row r="4824" spans="1:5" ht="13">
      <c r="A4824" s="115"/>
      <c r="B4824" s="115"/>
      <c r="C4824" s="115"/>
      <c r="D4824" s="115"/>
      <c r="E4824" s="115"/>
    </row>
    <row r="4825" spans="1:5" ht="13">
      <c r="A4825" s="115"/>
      <c r="B4825" s="115"/>
      <c r="C4825" s="115"/>
      <c r="D4825" s="115"/>
      <c r="E4825" s="115"/>
    </row>
    <row r="4826" spans="1:5" ht="13">
      <c r="A4826" s="115"/>
      <c r="B4826" s="115"/>
      <c r="C4826" s="115"/>
      <c r="D4826" s="115"/>
      <c r="E4826" s="115"/>
    </row>
    <row r="4827" spans="1:5" ht="13">
      <c r="A4827" s="115"/>
      <c r="B4827" s="115"/>
      <c r="C4827" s="115"/>
      <c r="D4827" s="115"/>
      <c r="E4827" s="115"/>
    </row>
    <row r="4828" spans="1:5" ht="13">
      <c r="A4828" s="115"/>
      <c r="B4828" s="115"/>
      <c r="C4828" s="115"/>
      <c r="D4828" s="115"/>
      <c r="E4828" s="115"/>
    </row>
    <row r="4829" spans="1:5" ht="13">
      <c r="A4829" s="115"/>
      <c r="B4829" s="115"/>
      <c r="C4829" s="115"/>
      <c r="D4829" s="115"/>
      <c r="E4829" s="115"/>
    </row>
    <row r="4830" spans="1:5" ht="13">
      <c r="A4830" s="115"/>
      <c r="B4830" s="115"/>
      <c r="C4830" s="115"/>
      <c r="D4830" s="115"/>
      <c r="E4830" s="115"/>
    </row>
    <row r="4831" spans="1:5" ht="13">
      <c r="A4831" s="115"/>
      <c r="B4831" s="115"/>
      <c r="C4831" s="115"/>
      <c r="D4831" s="115"/>
      <c r="E4831" s="115"/>
    </row>
    <row r="4832" spans="1:5" ht="13">
      <c r="A4832" s="115"/>
      <c r="B4832" s="115"/>
      <c r="C4832" s="115"/>
      <c r="D4832" s="115"/>
      <c r="E4832" s="115"/>
    </row>
    <row r="4833" spans="1:5" ht="13">
      <c r="A4833" s="115"/>
      <c r="B4833" s="115"/>
      <c r="C4833" s="115"/>
      <c r="D4833" s="115"/>
      <c r="E4833" s="115"/>
    </row>
    <row r="4834" spans="1:5" ht="13">
      <c r="A4834" s="115"/>
      <c r="B4834" s="115"/>
      <c r="C4834" s="115"/>
      <c r="D4834" s="115"/>
      <c r="E4834" s="115"/>
    </row>
    <row r="4835" spans="1:5" ht="13">
      <c r="A4835" s="115"/>
      <c r="B4835" s="115"/>
      <c r="C4835" s="115"/>
      <c r="D4835" s="115"/>
      <c r="E4835" s="115"/>
    </row>
    <row r="4836" spans="1:5" ht="13">
      <c r="A4836" s="115"/>
      <c r="B4836" s="115"/>
      <c r="C4836" s="115"/>
      <c r="D4836" s="115"/>
      <c r="E4836" s="115"/>
    </row>
    <row r="4837" spans="1:5" ht="13">
      <c r="A4837" s="115"/>
      <c r="B4837" s="115"/>
      <c r="C4837" s="115"/>
      <c r="D4837" s="115"/>
      <c r="E4837" s="115"/>
    </row>
    <row r="4838" spans="1:5" ht="13">
      <c r="A4838" s="115"/>
      <c r="B4838" s="115"/>
      <c r="C4838" s="115"/>
      <c r="D4838" s="115"/>
      <c r="E4838" s="115"/>
    </row>
    <row r="4839" spans="1:5" ht="13">
      <c r="A4839" s="115"/>
      <c r="B4839" s="115"/>
      <c r="C4839" s="115"/>
      <c r="D4839" s="115"/>
      <c r="E4839" s="115"/>
    </row>
    <row r="4840" spans="1:5" ht="13">
      <c r="A4840" s="115"/>
      <c r="B4840" s="115"/>
      <c r="C4840" s="115"/>
      <c r="D4840" s="115"/>
      <c r="E4840" s="115"/>
    </row>
    <row r="4841" spans="1:5" ht="13">
      <c r="A4841" s="115"/>
      <c r="B4841" s="115"/>
      <c r="C4841" s="115"/>
      <c r="D4841" s="115"/>
      <c r="E4841" s="115"/>
    </row>
    <row r="4842" spans="1:5" ht="13">
      <c r="A4842" s="115"/>
      <c r="B4842" s="115"/>
      <c r="C4842" s="115"/>
      <c r="D4842" s="115"/>
      <c r="E4842" s="115"/>
    </row>
    <row r="4843" spans="1:5" ht="13">
      <c r="A4843" s="115"/>
      <c r="B4843" s="115"/>
      <c r="C4843" s="115"/>
      <c r="D4843" s="115"/>
      <c r="E4843" s="115"/>
    </row>
    <row r="4844" spans="1:5" ht="13">
      <c r="A4844" s="115"/>
      <c r="B4844" s="115"/>
      <c r="C4844" s="115"/>
      <c r="D4844" s="115"/>
      <c r="E4844" s="115"/>
    </row>
    <row r="4845" spans="1:5" ht="13">
      <c r="A4845" s="115"/>
      <c r="B4845" s="115"/>
      <c r="C4845" s="115"/>
      <c r="D4845" s="115"/>
      <c r="E4845" s="115"/>
    </row>
    <row r="4846" spans="1:5" ht="13">
      <c r="A4846" s="115"/>
      <c r="B4846" s="115"/>
      <c r="C4846" s="115"/>
      <c r="D4846" s="115"/>
      <c r="E4846" s="115"/>
    </row>
    <row r="4847" spans="1:5" ht="13">
      <c r="A4847" s="115"/>
      <c r="B4847" s="115"/>
      <c r="C4847" s="115"/>
      <c r="D4847" s="115"/>
      <c r="E4847" s="115"/>
    </row>
    <row r="4848" spans="1:5" ht="13">
      <c r="A4848" s="115"/>
      <c r="B4848" s="115"/>
      <c r="C4848" s="115"/>
      <c r="D4848" s="115"/>
      <c r="E4848" s="115"/>
    </row>
    <row r="4849" spans="1:5" ht="13">
      <c r="A4849" s="115"/>
      <c r="B4849" s="115"/>
      <c r="C4849" s="115"/>
      <c r="D4849" s="115"/>
      <c r="E4849" s="115"/>
    </row>
    <row r="4850" spans="1:5" ht="13">
      <c r="A4850" s="115"/>
      <c r="B4850" s="115"/>
      <c r="C4850" s="115"/>
      <c r="D4850" s="115"/>
      <c r="E4850" s="115"/>
    </row>
    <row r="4851" spans="1:5" ht="13">
      <c r="A4851" s="115"/>
      <c r="B4851" s="115"/>
      <c r="C4851" s="115"/>
      <c r="D4851" s="115"/>
      <c r="E4851" s="115"/>
    </row>
    <row r="4852" spans="1:5" ht="13">
      <c r="A4852" s="115"/>
      <c r="B4852" s="115"/>
      <c r="C4852" s="115"/>
      <c r="D4852" s="115"/>
      <c r="E4852" s="115"/>
    </row>
    <row r="4853" spans="1:5" ht="13">
      <c r="A4853" s="115"/>
      <c r="B4853" s="115"/>
      <c r="C4853" s="115"/>
      <c r="D4853" s="115"/>
      <c r="E4853" s="115"/>
    </row>
    <row r="4854" spans="1:5" ht="13">
      <c r="A4854" s="115"/>
      <c r="B4854" s="115"/>
      <c r="C4854" s="115"/>
      <c r="D4854" s="115"/>
      <c r="E4854" s="115"/>
    </row>
    <row r="4855" spans="1:5" ht="13">
      <c r="A4855" s="115"/>
      <c r="B4855" s="115"/>
      <c r="C4855" s="115"/>
      <c r="D4855" s="115"/>
      <c r="E4855" s="115"/>
    </row>
    <row r="4856" spans="1:5" ht="13">
      <c r="A4856" s="115"/>
      <c r="B4856" s="115"/>
      <c r="C4856" s="115"/>
      <c r="D4856" s="115"/>
      <c r="E4856" s="115"/>
    </row>
    <row r="4857" spans="1:5" ht="13">
      <c r="A4857" s="115"/>
      <c r="B4857" s="115"/>
      <c r="C4857" s="115"/>
      <c r="D4857" s="115"/>
      <c r="E4857" s="115"/>
    </row>
    <row r="4858" spans="1:5" ht="13">
      <c r="A4858" s="115"/>
      <c r="B4858" s="115"/>
      <c r="C4858" s="115"/>
      <c r="D4858" s="115"/>
      <c r="E4858" s="115"/>
    </row>
    <row r="4859" spans="1:5" ht="13">
      <c r="A4859" s="115"/>
      <c r="B4859" s="115"/>
      <c r="C4859" s="115"/>
      <c r="D4859" s="115"/>
      <c r="E4859" s="115"/>
    </row>
    <row r="4860" spans="1:5" ht="13">
      <c r="A4860" s="115"/>
      <c r="B4860" s="115"/>
      <c r="C4860" s="115"/>
      <c r="D4860" s="115"/>
      <c r="E4860" s="115"/>
    </row>
    <row r="4861" spans="1:5" ht="13">
      <c r="A4861" s="115"/>
      <c r="B4861" s="115"/>
      <c r="C4861" s="115"/>
      <c r="D4861" s="115"/>
      <c r="E4861" s="115"/>
    </row>
    <row r="4862" spans="1:5" ht="13">
      <c r="A4862" s="115"/>
      <c r="B4862" s="115"/>
      <c r="C4862" s="115"/>
      <c r="D4862" s="115"/>
      <c r="E4862" s="115"/>
    </row>
    <row r="4863" spans="1:5" ht="13">
      <c r="A4863" s="115"/>
      <c r="B4863" s="115"/>
      <c r="C4863" s="115"/>
      <c r="D4863" s="115"/>
      <c r="E4863" s="115"/>
    </row>
    <row r="4864" spans="1:5" ht="13">
      <c r="A4864" s="115"/>
      <c r="B4864" s="115"/>
      <c r="C4864" s="115"/>
      <c r="D4864" s="115"/>
      <c r="E4864" s="115"/>
    </row>
    <row r="4865" spans="1:5" ht="13">
      <c r="A4865" s="115"/>
      <c r="B4865" s="115"/>
      <c r="C4865" s="115"/>
      <c r="D4865" s="115"/>
      <c r="E4865" s="115"/>
    </row>
    <row r="4866" spans="1:5" ht="13">
      <c r="A4866" s="115"/>
      <c r="B4866" s="115"/>
      <c r="C4866" s="115"/>
      <c r="D4866" s="115"/>
      <c r="E4866" s="115"/>
    </row>
    <row r="4867" spans="1:5" ht="13">
      <c r="A4867" s="115"/>
      <c r="B4867" s="115"/>
      <c r="C4867" s="115"/>
      <c r="D4867" s="115"/>
      <c r="E4867" s="115"/>
    </row>
    <row r="4868" spans="1:5" ht="13">
      <c r="A4868" s="115"/>
      <c r="B4868" s="115"/>
      <c r="C4868" s="115"/>
      <c r="D4868" s="115"/>
      <c r="E4868" s="115"/>
    </row>
    <row r="4869" spans="1:5" ht="13">
      <c r="A4869" s="115"/>
      <c r="B4869" s="115"/>
      <c r="C4869" s="115"/>
      <c r="D4869" s="115"/>
      <c r="E4869" s="115"/>
    </row>
    <row r="4870" spans="1:5" ht="13">
      <c r="A4870" s="115"/>
      <c r="B4870" s="115"/>
      <c r="C4870" s="115"/>
      <c r="D4870" s="115"/>
      <c r="E4870" s="115"/>
    </row>
    <row r="4871" spans="1:5" ht="13">
      <c r="A4871" s="115"/>
      <c r="B4871" s="115"/>
      <c r="C4871" s="115"/>
      <c r="D4871" s="115"/>
      <c r="E4871" s="115"/>
    </row>
    <row r="4872" spans="1:5" ht="13">
      <c r="A4872" s="115"/>
      <c r="B4872" s="115"/>
      <c r="C4872" s="115"/>
      <c r="D4872" s="115"/>
      <c r="E4872" s="115"/>
    </row>
    <row r="4873" spans="1:5" ht="13">
      <c r="A4873" s="115"/>
      <c r="B4873" s="115"/>
      <c r="C4873" s="115"/>
      <c r="D4873" s="115"/>
      <c r="E4873" s="115"/>
    </row>
    <row r="4874" spans="1:5" ht="13">
      <c r="A4874" s="115"/>
      <c r="B4874" s="115"/>
      <c r="C4874" s="115"/>
      <c r="D4874" s="115"/>
      <c r="E4874" s="115"/>
    </row>
    <row r="4875" spans="1:5" ht="13">
      <c r="A4875" s="115"/>
      <c r="B4875" s="115"/>
      <c r="C4875" s="115"/>
      <c r="D4875" s="115"/>
      <c r="E4875" s="115"/>
    </row>
    <row r="4876" spans="1:5" ht="13">
      <c r="A4876" s="115"/>
      <c r="B4876" s="115"/>
      <c r="C4876" s="115"/>
      <c r="D4876" s="115"/>
      <c r="E4876" s="115"/>
    </row>
    <row r="4877" spans="1:5" ht="13">
      <c r="A4877" s="115"/>
      <c r="B4877" s="115"/>
      <c r="C4877" s="115"/>
      <c r="D4877" s="115"/>
      <c r="E4877" s="115"/>
    </row>
    <row r="4878" spans="1:5" ht="13">
      <c r="A4878" s="115"/>
      <c r="B4878" s="115"/>
      <c r="C4878" s="115"/>
      <c r="D4878" s="115"/>
      <c r="E4878" s="115"/>
    </row>
    <row r="4879" spans="1:5" ht="13">
      <c r="A4879" s="115"/>
      <c r="B4879" s="115"/>
      <c r="C4879" s="115"/>
      <c r="D4879" s="115"/>
      <c r="E4879" s="115"/>
    </row>
    <row r="4880" spans="1:5" ht="13">
      <c r="A4880" s="115"/>
      <c r="B4880" s="115"/>
      <c r="C4880" s="115"/>
      <c r="D4880" s="115"/>
      <c r="E4880" s="115"/>
    </row>
    <row r="4881" spans="1:5" ht="13">
      <c r="A4881" s="115"/>
      <c r="B4881" s="115"/>
      <c r="C4881" s="115"/>
      <c r="D4881" s="115"/>
      <c r="E4881" s="115"/>
    </row>
    <row r="4882" spans="1:5" ht="13">
      <c r="A4882" s="115"/>
      <c r="B4882" s="115"/>
      <c r="C4882" s="115"/>
      <c r="D4882" s="115"/>
      <c r="E4882" s="115"/>
    </row>
    <row r="4883" spans="1:5" ht="13">
      <c r="A4883" s="115"/>
      <c r="B4883" s="115"/>
      <c r="C4883" s="115"/>
      <c r="D4883" s="115"/>
      <c r="E4883" s="115"/>
    </row>
    <row r="4884" spans="1:5" ht="13">
      <c r="A4884" s="115"/>
      <c r="B4884" s="115"/>
      <c r="C4884" s="115"/>
      <c r="D4884" s="115"/>
      <c r="E4884" s="115"/>
    </row>
    <row r="4885" spans="1:5" ht="13">
      <c r="A4885" s="115"/>
      <c r="B4885" s="115"/>
      <c r="C4885" s="115"/>
      <c r="D4885" s="115"/>
      <c r="E4885" s="115"/>
    </row>
    <row r="4886" spans="1:5" ht="13">
      <c r="A4886" s="115"/>
      <c r="B4886" s="115"/>
      <c r="C4886" s="115"/>
      <c r="D4886" s="115"/>
      <c r="E4886" s="115"/>
    </row>
    <row r="4887" spans="1:5" ht="13">
      <c r="A4887" s="115"/>
      <c r="B4887" s="115"/>
      <c r="C4887" s="115"/>
      <c r="D4887" s="115"/>
      <c r="E4887" s="115"/>
    </row>
    <row r="4888" spans="1:5" ht="13">
      <c r="A4888" s="115"/>
      <c r="B4888" s="115"/>
      <c r="C4888" s="115"/>
      <c r="D4888" s="115"/>
      <c r="E4888" s="115"/>
    </row>
    <row r="4889" spans="1:5" ht="13">
      <c r="A4889" s="115"/>
      <c r="B4889" s="115"/>
      <c r="C4889" s="115"/>
      <c r="D4889" s="115"/>
      <c r="E4889" s="115"/>
    </row>
    <row r="4890" spans="1:5" ht="13">
      <c r="A4890" s="115"/>
      <c r="B4890" s="115"/>
      <c r="C4890" s="115"/>
      <c r="D4890" s="115"/>
      <c r="E4890" s="115"/>
    </row>
    <row r="4891" spans="1:5" ht="13">
      <c r="A4891" s="115"/>
      <c r="B4891" s="115"/>
      <c r="C4891" s="115"/>
      <c r="D4891" s="115"/>
      <c r="E4891" s="115"/>
    </row>
    <row r="4892" spans="1:5" ht="13">
      <c r="A4892" s="115"/>
      <c r="B4892" s="115"/>
      <c r="C4892" s="115"/>
      <c r="D4892" s="115"/>
      <c r="E4892" s="115"/>
    </row>
    <row r="4893" spans="1:5" ht="13">
      <c r="A4893" s="115"/>
      <c r="B4893" s="115"/>
      <c r="C4893" s="115"/>
      <c r="D4893" s="115"/>
      <c r="E4893" s="115"/>
    </row>
    <row r="4894" spans="1:5" ht="13">
      <c r="A4894" s="115"/>
      <c r="B4894" s="115"/>
      <c r="C4894" s="115"/>
      <c r="D4894" s="115"/>
      <c r="E4894" s="115"/>
    </row>
    <row r="4895" spans="1:5" ht="13">
      <c r="A4895" s="115"/>
      <c r="B4895" s="115"/>
      <c r="C4895" s="115"/>
      <c r="D4895" s="115"/>
      <c r="E4895" s="115"/>
    </row>
    <row r="4896" spans="1:5" ht="13">
      <c r="A4896" s="115"/>
      <c r="B4896" s="115"/>
      <c r="C4896" s="115"/>
      <c r="D4896" s="115"/>
      <c r="E4896" s="115"/>
    </row>
    <row r="4897" spans="1:5" ht="13">
      <c r="A4897" s="115"/>
      <c r="B4897" s="115"/>
      <c r="C4897" s="115"/>
      <c r="D4897" s="115"/>
      <c r="E4897" s="115"/>
    </row>
    <row r="4898" spans="1:5" ht="13">
      <c r="A4898" s="115"/>
      <c r="B4898" s="115"/>
      <c r="C4898" s="115"/>
      <c r="D4898" s="115"/>
      <c r="E4898" s="115"/>
    </row>
    <row r="4899" spans="1:5" ht="13">
      <c r="A4899" s="115"/>
      <c r="B4899" s="115"/>
      <c r="C4899" s="115"/>
      <c r="D4899" s="115"/>
      <c r="E4899" s="115"/>
    </row>
    <row r="4900" spans="1:5" ht="13">
      <c r="A4900" s="115"/>
      <c r="B4900" s="115"/>
      <c r="C4900" s="115"/>
      <c r="D4900" s="115"/>
      <c r="E4900" s="115"/>
    </row>
    <row r="4901" spans="1:5" ht="13">
      <c r="A4901" s="115"/>
      <c r="B4901" s="115"/>
      <c r="C4901" s="115"/>
      <c r="D4901" s="115"/>
      <c r="E4901" s="115"/>
    </row>
    <row r="4902" spans="1:5" ht="13">
      <c r="A4902" s="115"/>
      <c r="B4902" s="115"/>
      <c r="C4902" s="115"/>
      <c r="D4902" s="115"/>
      <c r="E4902" s="115"/>
    </row>
    <row r="4903" spans="1:5" ht="13">
      <c r="A4903" s="115"/>
      <c r="B4903" s="115"/>
      <c r="C4903" s="115"/>
      <c r="D4903" s="115"/>
      <c r="E4903" s="115"/>
    </row>
    <row r="4904" spans="1:5" ht="13">
      <c r="A4904" s="115"/>
      <c r="B4904" s="115"/>
      <c r="C4904" s="115"/>
      <c r="D4904" s="115"/>
      <c r="E4904" s="115"/>
    </row>
    <row r="4905" spans="1:5" ht="13">
      <c r="A4905" s="115"/>
      <c r="B4905" s="115"/>
      <c r="C4905" s="115"/>
      <c r="D4905" s="115"/>
      <c r="E4905" s="115"/>
    </row>
    <row r="4906" spans="1:5" ht="13">
      <c r="A4906" s="115"/>
      <c r="B4906" s="115"/>
      <c r="C4906" s="115"/>
      <c r="D4906" s="115"/>
      <c r="E4906" s="115"/>
    </row>
    <row r="4907" spans="1:5" ht="13">
      <c r="A4907" s="115"/>
      <c r="B4907" s="115"/>
      <c r="C4907" s="115"/>
      <c r="D4907" s="115"/>
      <c r="E4907" s="115"/>
    </row>
    <row r="4908" spans="1:5" ht="13">
      <c r="A4908" s="115"/>
      <c r="B4908" s="115"/>
      <c r="C4908" s="115"/>
      <c r="D4908" s="115"/>
      <c r="E4908" s="115"/>
    </row>
    <row r="4909" spans="1:5" ht="13">
      <c r="A4909" s="115"/>
      <c r="B4909" s="115"/>
      <c r="C4909" s="115"/>
      <c r="D4909" s="115"/>
      <c r="E4909" s="115"/>
    </row>
    <row r="4910" spans="1:5" ht="13">
      <c r="A4910" s="115"/>
      <c r="B4910" s="115"/>
      <c r="C4910" s="115"/>
      <c r="D4910" s="115"/>
      <c r="E4910" s="115"/>
    </row>
    <row r="4911" spans="1:5" ht="13">
      <c r="A4911" s="115"/>
      <c r="B4911" s="115"/>
      <c r="C4911" s="115"/>
      <c r="D4911" s="115"/>
      <c r="E4911" s="115"/>
    </row>
    <row r="4912" spans="1:5" ht="13">
      <c r="A4912" s="115"/>
      <c r="B4912" s="115"/>
      <c r="C4912" s="115"/>
      <c r="D4912" s="115"/>
      <c r="E4912" s="115"/>
    </row>
    <row r="4913" spans="1:5" ht="13">
      <c r="A4913" s="115"/>
      <c r="B4913" s="115"/>
      <c r="C4913" s="115"/>
      <c r="D4913" s="115"/>
      <c r="E4913" s="115"/>
    </row>
    <row r="4914" spans="1:5" ht="13">
      <c r="A4914" s="115"/>
      <c r="B4914" s="115"/>
      <c r="C4914" s="115"/>
      <c r="D4914" s="115"/>
      <c r="E4914" s="115"/>
    </row>
    <row r="4915" spans="1:5" ht="13">
      <c r="A4915" s="115"/>
      <c r="B4915" s="115"/>
      <c r="C4915" s="115"/>
      <c r="D4915" s="115"/>
      <c r="E4915" s="115"/>
    </row>
    <row r="4916" spans="1:5" ht="13">
      <c r="A4916" s="115"/>
      <c r="B4916" s="115"/>
      <c r="C4916" s="115"/>
      <c r="D4916" s="115"/>
      <c r="E4916" s="115"/>
    </row>
    <row r="4917" spans="1:5" ht="13">
      <c r="A4917" s="115"/>
      <c r="B4917" s="115"/>
      <c r="C4917" s="115"/>
      <c r="D4917" s="115"/>
      <c r="E4917" s="115"/>
    </row>
    <row r="4918" spans="1:5" ht="13">
      <c r="A4918" s="115"/>
      <c r="B4918" s="115"/>
      <c r="C4918" s="115"/>
      <c r="D4918" s="115"/>
      <c r="E4918" s="115"/>
    </row>
    <row r="4919" spans="1:5" ht="13">
      <c r="A4919" s="115"/>
      <c r="B4919" s="115"/>
      <c r="C4919" s="115"/>
      <c r="D4919" s="115"/>
      <c r="E4919" s="115"/>
    </row>
    <row r="4920" spans="1:5" ht="13">
      <c r="A4920" s="115"/>
      <c r="B4920" s="115"/>
      <c r="C4920" s="115"/>
      <c r="D4920" s="115"/>
      <c r="E4920" s="115"/>
    </row>
    <row r="4921" spans="1:5" ht="13">
      <c r="A4921" s="115"/>
      <c r="B4921" s="115"/>
      <c r="C4921" s="115"/>
      <c r="D4921" s="115"/>
      <c r="E4921" s="115"/>
    </row>
    <row r="4922" spans="1:5" ht="13">
      <c r="A4922" s="115"/>
      <c r="B4922" s="115"/>
      <c r="C4922" s="115"/>
      <c r="D4922" s="115"/>
      <c r="E4922" s="115"/>
    </row>
    <row r="4923" spans="1:5" ht="13">
      <c r="A4923" s="115"/>
      <c r="B4923" s="115"/>
      <c r="C4923" s="115"/>
      <c r="D4923" s="115"/>
      <c r="E4923" s="115"/>
    </row>
    <row r="4924" spans="1:5" ht="13">
      <c r="A4924" s="115"/>
      <c r="B4924" s="115"/>
      <c r="C4924" s="115"/>
      <c r="D4924" s="115"/>
      <c r="E4924" s="115"/>
    </row>
    <row r="4925" spans="1:5" ht="13">
      <c r="A4925" s="115"/>
      <c r="B4925" s="115"/>
      <c r="C4925" s="115"/>
      <c r="D4925" s="115"/>
      <c r="E4925" s="115"/>
    </row>
    <row r="4926" spans="1:5" ht="13">
      <c r="A4926" s="115"/>
      <c r="B4926" s="115"/>
      <c r="C4926" s="115"/>
      <c r="D4926" s="115"/>
      <c r="E4926" s="115"/>
    </row>
    <row r="4927" spans="1:5" ht="13">
      <c r="A4927" s="115"/>
      <c r="B4927" s="115"/>
      <c r="C4927" s="115"/>
      <c r="D4927" s="115"/>
      <c r="E4927" s="115"/>
    </row>
    <row r="4928" spans="1:5" ht="13">
      <c r="A4928" s="115"/>
      <c r="B4928" s="115"/>
      <c r="C4928" s="115"/>
      <c r="D4928" s="115"/>
      <c r="E4928" s="115"/>
    </row>
    <row r="4929" spans="1:5" ht="13">
      <c r="A4929" s="115"/>
      <c r="B4929" s="115"/>
      <c r="C4929" s="115"/>
      <c r="D4929" s="115"/>
      <c r="E4929" s="115"/>
    </row>
    <row r="4930" spans="1:5" ht="13">
      <c r="A4930" s="115"/>
      <c r="B4930" s="115"/>
      <c r="C4930" s="115"/>
      <c r="D4930" s="115"/>
      <c r="E4930" s="115"/>
    </row>
    <row r="4931" spans="1:5" ht="13">
      <c r="A4931" s="115"/>
      <c r="B4931" s="115"/>
      <c r="C4931" s="115"/>
      <c r="D4931" s="115"/>
      <c r="E4931" s="115"/>
    </row>
    <row r="4932" spans="1:5" ht="13">
      <c r="A4932" s="115"/>
      <c r="B4932" s="115"/>
      <c r="C4932" s="115"/>
      <c r="D4932" s="115"/>
      <c r="E4932" s="115"/>
    </row>
    <row r="4933" spans="1:5" ht="13">
      <c r="A4933" s="115"/>
      <c r="B4933" s="115"/>
      <c r="C4933" s="115"/>
      <c r="D4933" s="115"/>
      <c r="E4933" s="115"/>
    </row>
    <row r="4934" spans="1:5" ht="13">
      <c r="A4934" s="115"/>
      <c r="B4934" s="115"/>
      <c r="C4934" s="115"/>
      <c r="D4934" s="115"/>
      <c r="E4934" s="115"/>
    </row>
    <row r="4935" spans="1:5" ht="13">
      <c r="A4935" s="115"/>
      <c r="B4935" s="115"/>
      <c r="C4935" s="115"/>
      <c r="D4935" s="115"/>
      <c r="E4935" s="115"/>
    </row>
    <row r="4936" spans="1:5" ht="13">
      <c r="A4936" s="115"/>
      <c r="B4936" s="115"/>
      <c r="C4936" s="115"/>
      <c r="D4936" s="115"/>
      <c r="E4936" s="115"/>
    </row>
    <row r="4937" spans="1:5" ht="13">
      <c r="A4937" s="115"/>
      <c r="B4937" s="115"/>
      <c r="C4937" s="115"/>
      <c r="D4937" s="115"/>
      <c r="E4937" s="115"/>
    </row>
    <row r="4938" spans="1:5" ht="13">
      <c r="A4938" s="115"/>
      <c r="B4938" s="115"/>
      <c r="C4938" s="115"/>
      <c r="D4938" s="115"/>
      <c r="E4938" s="115"/>
    </row>
    <row r="4939" spans="1:5" ht="13">
      <c r="A4939" s="115"/>
      <c r="B4939" s="115"/>
      <c r="C4939" s="115"/>
      <c r="D4939" s="115"/>
      <c r="E4939" s="115"/>
    </row>
    <row r="4940" spans="1:5" ht="13">
      <c r="A4940" s="115"/>
      <c r="B4940" s="115"/>
      <c r="C4940" s="115"/>
      <c r="D4940" s="115"/>
      <c r="E4940" s="115"/>
    </row>
    <row r="4941" spans="1:5" ht="13">
      <c r="A4941" s="115"/>
      <c r="B4941" s="115"/>
      <c r="C4941" s="115"/>
      <c r="D4941" s="115"/>
      <c r="E4941" s="115"/>
    </row>
    <row r="4942" spans="1:5" ht="13">
      <c r="A4942" s="115"/>
      <c r="B4942" s="115"/>
      <c r="C4942" s="115"/>
      <c r="D4942" s="115"/>
      <c r="E4942" s="115"/>
    </row>
    <row r="4943" spans="1:5" ht="13">
      <c r="A4943" s="115"/>
      <c r="B4943" s="115"/>
      <c r="C4943" s="115"/>
      <c r="D4943" s="115"/>
      <c r="E4943" s="115"/>
    </row>
    <row r="4944" spans="1:5" ht="13">
      <c r="A4944" s="115"/>
      <c r="B4944" s="115"/>
      <c r="C4944" s="115"/>
      <c r="D4944" s="115"/>
      <c r="E4944" s="115"/>
    </row>
    <row r="4945" spans="1:5" ht="13">
      <c r="A4945" s="115"/>
      <c r="B4945" s="115"/>
      <c r="C4945" s="115"/>
      <c r="D4945" s="115"/>
      <c r="E4945" s="115"/>
    </row>
    <row r="4946" spans="1:5" ht="13">
      <c r="A4946" s="115"/>
      <c r="B4946" s="115"/>
      <c r="C4946" s="115"/>
      <c r="D4946" s="115"/>
      <c r="E4946" s="115"/>
    </row>
    <row r="4947" spans="1:5" ht="13">
      <c r="A4947" s="115"/>
      <c r="B4947" s="115"/>
      <c r="C4947" s="115"/>
      <c r="D4947" s="115"/>
      <c r="E4947" s="115"/>
    </row>
    <row r="4948" spans="1:5" ht="13">
      <c r="A4948" s="115"/>
      <c r="B4948" s="115"/>
      <c r="C4948" s="115"/>
      <c r="D4948" s="115"/>
      <c r="E4948" s="115"/>
    </row>
    <row r="4949" spans="1:5" ht="13">
      <c r="A4949" s="115"/>
      <c r="B4949" s="115"/>
      <c r="C4949" s="115"/>
      <c r="D4949" s="115"/>
      <c r="E4949" s="115"/>
    </row>
    <row r="4950" spans="1:5" ht="13">
      <c r="A4950" s="115"/>
      <c r="B4950" s="115"/>
      <c r="C4950" s="115"/>
      <c r="D4950" s="115"/>
      <c r="E4950" s="115"/>
    </row>
    <row r="4951" spans="1:5" ht="13">
      <c r="A4951" s="115"/>
      <c r="B4951" s="115"/>
      <c r="C4951" s="115"/>
      <c r="D4951" s="115"/>
      <c r="E4951" s="115"/>
    </row>
    <row r="4952" spans="1:5" ht="13">
      <c r="A4952" s="115"/>
      <c r="B4952" s="115"/>
      <c r="C4952" s="115"/>
      <c r="D4952" s="115"/>
      <c r="E4952" s="115"/>
    </row>
    <row r="4953" spans="1:5" ht="13">
      <c r="A4953" s="115"/>
      <c r="B4953" s="115"/>
      <c r="C4953" s="115"/>
      <c r="D4953" s="115"/>
      <c r="E4953" s="115"/>
    </row>
    <row r="4954" spans="1:5" ht="13">
      <c r="A4954" s="115"/>
      <c r="B4954" s="115"/>
      <c r="C4954" s="115"/>
      <c r="D4954" s="115"/>
      <c r="E4954" s="115"/>
    </row>
    <row r="4955" spans="1:5" ht="13">
      <c r="A4955" s="115"/>
      <c r="B4955" s="115"/>
      <c r="C4955" s="115"/>
      <c r="D4955" s="115"/>
      <c r="E4955" s="115"/>
    </row>
    <row r="4956" spans="1:5" ht="13">
      <c r="A4956" s="115"/>
      <c r="B4956" s="115"/>
      <c r="C4956" s="115"/>
      <c r="D4956" s="115"/>
      <c r="E4956" s="115"/>
    </row>
    <row r="4957" spans="1:5" ht="13">
      <c r="A4957" s="115"/>
      <c r="B4957" s="115"/>
      <c r="C4957" s="115"/>
      <c r="D4957" s="115"/>
      <c r="E4957" s="115"/>
    </row>
    <row r="4958" spans="1:5" ht="13">
      <c r="A4958" s="115"/>
      <c r="B4958" s="115"/>
      <c r="C4958" s="115"/>
      <c r="D4958" s="115"/>
      <c r="E4958" s="115"/>
    </row>
    <row r="4959" spans="1:5" ht="13">
      <c r="A4959" s="115"/>
      <c r="B4959" s="115"/>
      <c r="C4959" s="115"/>
      <c r="D4959" s="115"/>
      <c r="E4959" s="115"/>
    </row>
    <row r="4960" spans="1:5" ht="13">
      <c r="A4960" s="115"/>
      <c r="B4960" s="115"/>
      <c r="C4960" s="115"/>
      <c r="D4960" s="115"/>
      <c r="E4960" s="115"/>
    </row>
    <row r="4961" spans="1:5" ht="13">
      <c r="A4961" s="115"/>
      <c r="B4961" s="115"/>
      <c r="C4961" s="115"/>
      <c r="D4961" s="115"/>
      <c r="E4961" s="115"/>
    </row>
    <row r="4962" spans="1:5" ht="13">
      <c r="A4962" s="115"/>
      <c r="B4962" s="115"/>
      <c r="C4962" s="115"/>
      <c r="D4962" s="115"/>
      <c r="E4962" s="115"/>
    </row>
    <row r="4963" spans="1:5" ht="13">
      <c r="A4963" s="115"/>
      <c r="B4963" s="115"/>
      <c r="C4963" s="115"/>
      <c r="D4963" s="115"/>
      <c r="E4963" s="115"/>
    </row>
    <row r="4964" spans="1:5" ht="13">
      <c r="A4964" s="115"/>
      <c r="B4964" s="115"/>
      <c r="C4964" s="115"/>
      <c r="D4964" s="115"/>
      <c r="E4964" s="115"/>
    </row>
    <row r="4965" spans="1:5" ht="13">
      <c r="A4965" s="115"/>
      <c r="B4965" s="115"/>
      <c r="C4965" s="115"/>
      <c r="D4965" s="115"/>
      <c r="E4965" s="115"/>
    </row>
    <row r="4966" spans="1:5" ht="13">
      <c r="A4966" s="115"/>
      <c r="B4966" s="115"/>
      <c r="C4966" s="115"/>
      <c r="D4966" s="115"/>
      <c r="E4966" s="115"/>
    </row>
    <row r="4967" spans="1:5" ht="13">
      <c r="A4967" s="115"/>
      <c r="B4967" s="115"/>
      <c r="C4967" s="115"/>
      <c r="D4967" s="115"/>
      <c r="E4967" s="115"/>
    </row>
    <row r="4968" spans="1:5" ht="13">
      <c r="A4968" s="115"/>
      <c r="B4968" s="115"/>
      <c r="C4968" s="115"/>
      <c r="D4968" s="115"/>
      <c r="E4968" s="115"/>
    </row>
    <row r="4969" spans="1:5" ht="13">
      <c r="A4969" s="115"/>
      <c r="B4969" s="115"/>
      <c r="C4969" s="115"/>
      <c r="D4969" s="115"/>
      <c r="E4969" s="115"/>
    </row>
    <row r="4970" spans="1:5" ht="13">
      <c r="A4970" s="115"/>
      <c r="B4970" s="115"/>
      <c r="C4970" s="115"/>
      <c r="D4970" s="115"/>
      <c r="E4970" s="115"/>
    </row>
    <row r="4971" spans="1:5" ht="13">
      <c r="A4971" s="115"/>
      <c r="B4971" s="115"/>
      <c r="C4971" s="115"/>
      <c r="D4971" s="115"/>
      <c r="E4971" s="115"/>
    </row>
    <row r="4972" spans="1:5" ht="13">
      <c r="A4972" s="115"/>
      <c r="B4972" s="115"/>
      <c r="C4972" s="115"/>
      <c r="D4972" s="115"/>
      <c r="E4972" s="115"/>
    </row>
    <row r="4973" spans="1:5" ht="13">
      <c r="A4973" s="115"/>
      <c r="B4973" s="115"/>
      <c r="C4973" s="115"/>
      <c r="D4973" s="115"/>
      <c r="E4973" s="115"/>
    </row>
    <row r="4974" spans="1:5" ht="13">
      <c r="A4974" s="115"/>
      <c r="B4974" s="115"/>
      <c r="C4974" s="115"/>
      <c r="D4974" s="115"/>
      <c r="E4974" s="115"/>
    </row>
    <row r="4975" spans="1:5" ht="13">
      <c r="A4975" s="115"/>
      <c r="B4975" s="115"/>
      <c r="C4975" s="115"/>
      <c r="D4975" s="115"/>
      <c r="E4975" s="115"/>
    </row>
    <row r="4976" spans="1:5" ht="13">
      <c r="A4976" s="115"/>
      <c r="B4976" s="115"/>
      <c r="C4976" s="115"/>
      <c r="D4976" s="115"/>
      <c r="E4976" s="115"/>
    </row>
    <row r="4977" spans="1:5" ht="13">
      <c r="A4977" s="115"/>
      <c r="B4977" s="115"/>
      <c r="C4977" s="115"/>
      <c r="D4977" s="115"/>
      <c r="E4977" s="115"/>
    </row>
    <row r="4978" spans="1:5" ht="13">
      <c r="A4978" s="115"/>
      <c r="B4978" s="115"/>
      <c r="C4978" s="115"/>
      <c r="D4978" s="115"/>
      <c r="E4978" s="115"/>
    </row>
    <row r="4979" spans="1:5" ht="13">
      <c r="A4979" s="115"/>
      <c r="B4979" s="115"/>
      <c r="C4979" s="115"/>
      <c r="D4979" s="115"/>
      <c r="E4979" s="115"/>
    </row>
    <row r="4980" spans="1:5" ht="13">
      <c r="A4980" s="115"/>
      <c r="B4980" s="115"/>
      <c r="C4980" s="115"/>
      <c r="D4980" s="115"/>
      <c r="E4980" s="115"/>
    </row>
    <row r="4981" spans="1:5" ht="13">
      <c r="A4981" s="115"/>
      <c r="B4981" s="115"/>
      <c r="C4981" s="115"/>
      <c r="D4981" s="115"/>
      <c r="E4981" s="115"/>
    </row>
    <row r="4982" spans="1:5" ht="13">
      <c r="A4982" s="115"/>
      <c r="B4982" s="115"/>
      <c r="C4982" s="115"/>
      <c r="D4982" s="115"/>
      <c r="E4982" s="115"/>
    </row>
    <row r="4983" spans="1:5" ht="13">
      <c r="A4983" s="115"/>
      <c r="B4983" s="115"/>
      <c r="C4983" s="115"/>
      <c r="D4983" s="115"/>
      <c r="E4983" s="115"/>
    </row>
    <row r="4984" spans="1:5" ht="13">
      <c r="A4984" s="115"/>
      <c r="B4984" s="115"/>
      <c r="C4984" s="115"/>
      <c r="D4984" s="115"/>
      <c r="E4984" s="115"/>
    </row>
    <row r="4985" spans="1:5" ht="13">
      <c r="A4985" s="115"/>
      <c r="B4985" s="115"/>
      <c r="C4985" s="115"/>
      <c r="D4985" s="115"/>
      <c r="E4985" s="115"/>
    </row>
    <row r="4986" spans="1:5" ht="13">
      <c r="A4986" s="115"/>
      <c r="B4986" s="115"/>
      <c r="C4986" s="115"/>
      <c r="D4986" s="115"/>
      <c r="E4986" s="115"/>
    </row>
    <row r="4987" spans="1:5" ht="13">
      <c r="A4987" s="115"/>
      <c r="B4987" s="115"/>
      <c r="C4987" s="115"/>
      <c r="D4987" s="115"/>
      <c r="E4987" s="115"/>
    </row>
    <row r="4988" spans="1:5" ht="13">
      <c r="A4988" s="115"/>
      <c r="B4988" s="115"/>
      <c r="C4988" s="115"/>
      <c r="D4988" s="115"/>
      <c r="E4988" s="115"/>
    </row>
    <row r="4989" spans="1:5" ht="13">
      <c r="A4989" s="115"/>
      <c r="B4989" s="115"/>
      <c r="C4989" s="115"/>
      <c r="D4989" s="115"/>
      <c r="E4989" s="115"/>
    </row>
    <row r="4990" spans="1:5" ht="13">
      <c r="A4990" s="115"/>
      <c r="B4990" s="115"/>
      <c r="C4990" s="115"/>
      <c r="D4990" s="115"/>
      <c r="E4990" s="115"/>
    </row>
    <row r="4991" spans="1:5" ht="13">
      <c r="A4991" s="115"/>
      <c r="B4991" s="115"/>
      <c r="C4991" s="115"/>
      <c r="D4991" s="115"/>
      <c r="E4991" s="115"/>
    </row>
    <row r="4992" spans="1:5" ht="13">
      <c r="A4992" s="115"/>
      <c r="B4992" s="115"/>
      <c r="C4992" s="115"/>
      <c r="D4992" s="115"/>
      <c r="E4992" s="115"/>
    </row>
    <row r="4993" spans="1:5" ht="13">
      <c r="A4993" s="115"/>
      <c r="B4993" s="115"/>
      <c r="C4993" s="115"/>
      <c r="D4993" s="115"/>
      <c r="E4993" s="115"/>
    </row>
    <row r="4994" spans="1:5" ht="13">
      <c r="A4994" s="115"/>
      <c r="B4994" s="115"/>
      <c r="C4994" s="115"/>
      <c r="D4994" s="115"/>
      <c r="E4994" s="115"/>
    </row>
    <row r="4995" spans="1:5" ht="13">
      <c r="A4995" s="115"/>
      <c r="B4995" s="115"/>
      <c r="C4995" s="115"/>
      <c r="D4995" s="115"/>
      <c r="E4995" s="115"/>
    </row>
    <row r="4996" spans="1:5" ht="13">
      <c r="A4996" s="115"/>
      <c r="B4996" s="115"/>
      <c r="C4996" s="115"/>
      <c r="D4996" s="115"/>
      <c r="E4996" s="115"/>
    </row>
    <row r="4997" spans="1:5" ht="13">
      <c r="A4997" s="115"/>
      <c r="B4997" s="115"/>
      <c r="C4997" s="115"/>
      <c r="D4997" s="115"/>
      <c r="E4997" s="115"/>
    </row>
    <row r="4998" spans="1:5" ht="13">
      <c r="A4998" s="115"/>
      <c r="B4998" s="115"/>
      <c r="C4998" s="115"/>
      <c r="D4998" s="115"/>
      <c r="E4998" s="115"/>
    </row>
    <row r="4999" spans="1:5" ht="13">
      <c r="A4999" s="115"/>
      <c r="B4999" s="115"/>
      <c r="C4999" s="115"/>
      <c r="D4999" s="115"/>
      <c r="E4999" s="115"/>
    </row>
    <row r="5000" spans="1:5" ht="13">
      <c r="A5000" s="115"/>
      <c r="B5000" s="115"/>
      <c r="C5000" s="115"/>
      <c r="D5000" s="115"/>
      <c r="E5000" s="115"/>
    </row>
    <row r="5001" spans="1:5" ht="13">
      <c r="A5001" s="115"/>
      <c r="B5001" s="115"/>
      <c r="C5001" s="115"/>
      <c r="D5001" s="115"/>
      <c r="E5001" s="115"/>
    </row>
    <row r="5002" spans="1:5" ht="13">
      <c r="A5002" s="115"/>
      <c r="B5002" s="115"/>
      <c r="C5002" s="115"/>
      <c r="D5002" s="115"/>
      <c r="E5002" s="115"/>
    </row>
    <row r="5003" spans="1:5" ht="13">
      <c r="A5003" s="115"/>
      <c r="B5003" s="115"/>
      <c r="C5003" s="115"/>
      <c r="D5003" s="115"/>
      <c r="E5003" s="115"/>
    </row>
    <row r="5004" spans="1:5" ht="13">
      <c r="A5004" s="115"/>
      <c r="B5004" s="115"/>
      <c r="C5004" s="115"/>
      <c r="D5004" s="115"/>
      <c r="E5004" s="115"/>
    </row>
    <row r="5005" spans="1:5" ht="13">
      <c r="A5005" s="115"/>
      <c r="B5005" s="115"/>
      <c r="C5005" s="115"/>
      <c r="D5005" s="115"/>
      <c r="E5005" s="115"/>
    </row>
    <row r="5006" spans="1:5" ht="13">
      <c r="A5006" s="115"/>
      <c r="B5006" s="115"/>
      <c r="C5006" s="115"/>
      <c r="D5006" s="115"/>
      <c r="E5006" s="115"/>
    </row>
    <row r="5007" spans="1:5" ht="13">
      <c r="A5007" s="115"/>
      <c r="B5007" s="115"/>
      <c r="C5007" s="115"/>
      <c r="D5007" s="115"/>
      <c r="E5007" s="115"/>
    </row>
    <row r="5008" spans="1:5" ht="13">
      <c r="A5008" s="115"/>
      <c r="B5008" s="115"/>
      <c r="C5008" s="115"/>
      <c r="D5008" s="115"/>
      <c r="E5008" s="115"/>
    </row>
    <row r="5009" spans="1:5" ht="13">
      <c r="A5009" s="115"/>
      <c r="B5009" s="115"/>
      <c r="C5009" s="115"/>
      <c r="D5009" s="115"/>
      <c r="E5009" s="115"/>
    </row>
    <row r="5010" spans="1:5" ht="13">
      <c r="A5010" s="115"/>
      <c r="B5010" s="115"/>
      <c r="C5010" s="115"/>
      <c r="D5010" s="115"/>
      <c r="E5010" s="115"/>
    </row>
    <row r="5011" spans="1:5" ht="13">
      <c r="A5011" s="115"/>
      <c r="B5011" s="115"/>
      <c r="C5011" s="115"/>
      <c r="D5011" s="115"/>
      <c r="E5011" s="115"/>
    </row>
    <row r="5012" spans="1:5" ht="13">
      <c r="A5012" s="115"/>
      <c r="B5012" s="115"/>
      <c r="C5012" s="115"/>
      <c r="D5012" s="115"/>
      <c r="E5012" s="115"/>
    </row>
    <row r="5013" spans="1:5" ht="13">
      <c r="A5013" s="115"/>
      <c r="B5013" s="115"/>
      <c r="C5013" s="115"/>
      <c r="D5013" s="115"/>
      <c r="E5013" s="115"/>
    </row>
    <row r="5014" spans="1:5" ht="13">
      <c r="A5014" s="115"/>
      <c r="B5014" s="115"/>
      <c r="C5014" s="115"/>
      <c r="D5014" s="115"/>
      <c r="E5014" s="115"/>
    </row>
    <row r="5015" spans="1:5" ht="13">
      <c r="A5015" s="115"/>
      <c r="B5015" s="115"/>
      <c r="C5015" s="115"/>
      <c r="D5015" s="115"/>
      <c r="E5015" s="115"/>
    </row>
    <row r="5016" spans="1:5" ht="13">
      <c r="A5016" s="115"/>
      <c r="B5016" s="115"/>
      <c r="C5016" s="115"/>
      <c r="D5016" s="115"/>
      <c r="E5016" s="115"/>
    </row>
    <row r="5017" spans="1:5" ht="13">
      <c r="A5017" s="115"/>
      <c r="B5017" s="115"/>
      <c r="C5017" s="115"/>
      <c r="D5017" s="115"/>
      <c r="E5017" s="115"/>
    </row>
    <row r="5018" spans="1:5" ht="13">
      <c r="A5018" s="115"/>
      <c r="B5018" s="115"/>
      <c r="C5018" s="115"/>
      <c r="D5018" s="115"/>
      <c r="E5018" s="115"/>
    </row>
    <row r="5019" spans="1:5" ht="13">
      <c r="A5019" s="115"/>
      <c r="B5019" s="115"/>
      <c r="C5019" s="115"/>
      <c r="D5019" s="115"/>
      <c r="E5019" s="115"/>
    </row>
    <row r="5020" spans="1:5" ht="13">
      <c r="A5020" s="115"/>
      <c r="B5020" s="115"/>
      <c r="C5020" s="115"/>
      <c r="D5020" s="115"/>
      <c r="E5020" s="115"/>
    </row>
    <row r="5021" spans="1:5" ht="13">
      <c r="A5021" s="115"/>
      <c r="B5021" s="115"/>
      <c r="C5021" s="115"/>
      <c r="D5021" s="115"/>
      <c r="E5021" s="115"/>
    </row>
    <row r="5022" spans="1:5" ht="13">
      <c r="A5022" s="115"/>
      <c r="B5022" s="115"/>
      <c r="C5022" s="115"/>
      <c r="D5022" s="115"/>
      <c r="E5022" s="115"/>
    </row>
    <row r="5023" spans="1:5" ht="13">
      <c r="A5023" s="115"/>
      <c r="B5023" s="115"/>
      <c r="C5023" s="115"/>
      <c r="D5023" s="115"/>
      <c r="E5023" s="115"/>
    </row>
    <row r="5024" spans="1:5" ht="13">
      <c r="A5024" s="115"/>
      <c r="B5024" s="115"/>
      <c r="C5024" s="115"/>
      <c r="D5024" s="115"/>
      <c r="E5024" s="115"/>
    </row>
    <row r="5025" spans="1:5" ht="13">
      <c r="A5025" s="115"/>
      <c r="B5025" s="115"/>
      <c r="C5025" s="115"/>
      <c r="D5025" s="115"/>
      <c r="E5025" s="115"/>
    </row>
    <row r="5026" spans="1:5" ht="13">
      <c r="A5026" s="115"/>
      <c r="B5026" s="115"/>
      <c r="C5026" s="115"/>
      <c r="D5026" s="115"/>
      <c r="E5026" s="115"/>
    </row>
    <row r="5027" spans="1:5" ht="13">
      <c r="A5027" s="115"/>
      <c r="B5027" s="115"/>
      <c r="C5027" s="115"/>
      <c r="D5027" s="115"/>
      <c r="E5027" s="115"/>
    </row>
    <row r="5028" spans="1:5" ht="13">
      <c r="A5028" s="115"/>
      <c r="B5028" s="115"/>
      <c r="C5028" s="115"/>
      <c r="D5028" s="115"/>
      <c r="E5028" s="115"/>
    </row>
    <row r="5029" spans="1:5" ht="13">
      <c r="A5029" s="115"/>
      <c r="B5029" s="115"/>
      <c r="C5029" s="115"/>
      <c r="D5029" s="115"/>
      <c r="E5029" s="115"/>
    </row>
    <row r="5030" spans="1:5" ht="13">
      <c r="A5030" s="115"/>
      <c r="B5030" s="115"/>
      <c r="C5030" s="115"/>
      <c r="D5030" s="115"/>
      <c r="E5030" s="115"/>
    </row>
    <row r="5031" spans="1:5" ht="13">
      <c r="A5031" s="115"/>
      <c r="B5031" s="115"/>
      <c r="C5031" s="115"/>
      <c r="D5031" s="115"/>
      <c r="E5031" s="115"/>
    </row>
    <row r="5032" spans="1:5" ht="13">
      <c r="A5032" s="115"/>
      <c r="B5032" s="115"/>
      <c r="C5032" s="115"/>
      <c r="D5032" s="115"/>
      <c r="E5032" s="115"/>
    </row>
    <row r="5033" spans="1:5" ht="13">
      <c r="A5033" s="115"/>
      <c r="B5033" s="115"/>
      <c r="C5033" s="115"/>
      <c r="D5033" s="115"/>
      <c r="E5033" s="115"/>
    </row>
    <row r="5034" spans="1:5" ht="13">
      <c r="A5034" s="115"/>
      <c r="B5034" s="115"/>
      <c r="C5034" s="115"/>
      <c r="D5034" s="115"/>
      <c r="E5034" s="115"/>
    </row>
    <row r="5035" spans="1:5" ht="13">
      <c r="A5035" s="115"/>
      <c r="B5035" s="115"/>
      <c r="C5035" s="115"/>
      <c r="D5035" s="115"/>
      <c r="E5035" s="115"/>
    </row>
    <row r="5036" spans="1:5" ht="13">
      <c r="A5036" s="115"/>
      <c r="B5036" s="115"/>
      <c r="C5036" s="115"/>
      <c r="D5036" s="115"/>
      <c r="E5036" s="115"/>
    </row>
    <row r="5037" spans="1:5" ht="13">
      <c r="A5037" s="115"/>
      <c r="B5037" s="115"/>
      <c r="C5037" s="115"/>
      <c r="D5037" s="115"/>
      <c r="E5037" s="115"/>
    </row>
    <row r="5038" spans="1:5" ht="13">
      <c r="A5038" s="115"/>
      <c r="B5038" s="115"/>
      <c r="C5038" s="115"/>
      <c r="D5038" s="115"/>
      <c r="E5038" s="115"/>
    </row>
    <row r="5039" spans="1:5" ht="13">
      <c r="A5039" s="115"/>
      <c r="B5039" s="115"/>
      <c r="C5039" s="115"/>
      <c r="D5039" s="115"/>
      <c r="E5039" s="115"/>
    </row>
    <row r="5040" spans="1:5" ht="13">
      <c r="A5040" s="115"/>
      <c r="B5040" s="115"/>
      <c r="C5040" s="115"/>
      <c r="D5040" s="115"/>
      <c r="E5040" s="115"/>
    </row>
    <row r="5041" spans="1:5" ht="13">
      <c r="A5041" s="115"/>
      <c r="B5041" s="115"/>
      <c r="C5041" s="115"/>
      <c r="D5041" s="115"/>
      <c r="E5041" s="115"/>
    </row>
    <row r="5042" spans="1:5" ht="13">
      <c r="A5042" s="115"/>
      <c r="B5042" s="115"/>
      <c r="C5042" s="115"/>
      <c r="D5042" s="115"/>
      <c r="E5042" s="115"/>
    </row>
    <row r="5043" spans="1:5" ht="13">
      <c r="A5043" s="115"/>
      <c r="B5043" s="115"/>
      <c r="C5043" s="115"/>
      <c r="D5043" s="115"/>
      <c r="E5043" s="115"/>
    </row>
    <row r="5044" spans="1:5" ht="13">
      <c r="A5044" s="115"/>
      <c r="B5044" s="115"/>
      <c r="C5044" s="115"/>
      <c r="D5044" s="115"/>
      <c r="E5044" s="115"/>
    </row>
    <row r="5045" spans="1:5" ht="13">
      <c r="A5045" s="115"/>
      <c r="B5045" s="115"/>
      <c r="C5045" s="115"/>
      <c r="D5045" s="115"/>
      <c r="E5045" s="115"/>
    </row>
    <row r="5046" spans="1:5" ht="13">
      <c r="A5046" s="115"/>
      <c r="B5046" s="115"/>
      <c r="C5046" s="115"/>
      <c r="D5046" s="115"/>
      <c r="E5046" s="115"/>
    </row>
    <row r="5047" spans="1:5" ht="13">
      <c r="A5047" s="115"/>
      <c r="B5047" s="115"/>
      <c r="C5047" s="115"/>
      <c r="D5047" s="115"/>
      <c r="E5047" s="115"/>
    </row>
    <row r="5048" spans="1:5" ht="13">
      <c r="A5048" s="115"/>
      <c r="B5048" s="115"/>
      <c r="C5048" s="115"/>
      <c r="D5048" s="115"/>
      <c r="E5048" s="115"/>
    </row>
    <row r="5049" spans="1:5" ht="13">
      <c r="A5049" s="115"/>
      <c r="B5049" s="115"/>
      <c r="C5049" s="115"/>
      <c r="D5049" s="115"/>
      <c r="E5049" s="115"/>
    </row>
    <row r="5050" spans="1:5" ht="13">
      <c r="A5050" s="115"/>
      <c r="B5050" s="115"/>
      <c r="C5050" s="115"/>
      <c r="D5050" s="115"/>
      <c r="E5050" s="115"/>
    </row>
    <row r="5051" spans="1:5" ht="13">
      <c r="A5051" s="115"/>
      <c r="B5051" s="115"/>
      <c r="C5051" s="115"/>
      <c r="D5051" s="115"/>
      <c r="E5051" s="115"/>
    </row>
    <row r="5052" spans="1:5" ht="13">
      <c r="A5052" s="115"/>
      <c r="B5052" s="115"/>
      <c r="C5052" s="115"/>
      <c r="D5052" s="115"/>
      <c r="E5052" s="115"/>
    </row>
    <row r="5053" spans="1:5" ht="13">
      <c r="A5053" s="115"/>
      <c r="B5053" s="115"/>
      <c r="C5053" s="115"/>
      <c r="D5053" s="115"/>
      <c r="E5053" s="115"/>
    </row>
    <row r="5054" spans="1:5" ht="13">
      <c r="A5054" s="115"/>
      <c r="B5054" s="115"/>
      <c r="C5054" s="115"/>
      <c r="D5054" s="115"/>
      <c r="E5054" s="115"/>
    </row>
    <row r="5055" spans="1:5" ht="13">
      <c r="A5055" s="115"/>
      <c r="B5055" s="115"/>
      <c r="C5055" s="115"/>
      <c r="D5055" s="115"/>
      <c r="E5055" s="115"/>
    </row>
    <row r="5056" spans="1:5" ht="13">
      <c r="A5056" s="115"/>
      <c r="B5056" s="115"/>
      <c r="C5056" s="115"/>
      <c r="D5056" s="115"/>
      <c r="E5056" s="115"/>
    </row>
    <row r="5057" spans="1:5" ht="13">
      <c r="A5057" s="115"/>
      <c r="B5057" s="115"/>
      <c r="C5057" s="115"/>
      <c r="D5057" s="115"/>
      <c r="E5057" s="115"/>
    </row>
    <row r="5058" spans="1:5" ht="13">
      <c r="A5058" s="115"/>
      <c r="B5058" s="115"/>
      <c r="C5058" s="115"/>
      <c r="D5058" s="115"/>
      <c r="E5058" s="115"/>
    </row>
    <row r="5059" spans="1:5" ht="13">
      <c r="A5059" s="115"/>
      <c r="B5059" s="115"/>
      <c r="C5059" s="115"/>
      <c r="D5059" s="115"/>
      <c r="E5059" s="115"/>
    </row>
    <row r="5060" spans="1:5" ht="13">
      <c r="A5060" s="115"/>
      <c r="B5060" s="115"/>
      <c r="C5060" s="115"/>
      <c r="D5060" s="115"/>
      <c r="E5060" s="115"/>
    </row>
    <row r="5061" spans="1:5" ht="13">
      <c r="A5061" s="115"/>
      <c r="B5061" s="115"/>
      <c r="C5061" s="115"/>
      <c r="D5061" s="115"/>
      <c r="E5061" s="115"/>
    </row>
    <row r="5062" spans="1:5" ht="13">
      <c r="A5062" s="115"/>
      <c r="B5062" s="115"/>
      <c r="C5062" s="115"/>
      <c r="D5062" s="115"/>
      <c r="E5062" s="115"/>
    </row>
    <row r="5063" spans="1:5" ht="13">
      <c r="A5063" s="115"/>
      <c r="B5063" s="115"/>
      <c r="C5063" s="115"/>
      <c r="D5063" s="115"/>
      <c r="E5063" s="115"/>
    </row>
    <row r="5064" spans="1:5" ht="13">
      <c r="A5064" s="115"/>
      <c r="B5064" s="115"/>
      <c r="C5064" s="115"/>
      <c r="D5064" s="115"/>
      <c r="E5064" s="115"/>
    </row>
    <row r="5065" spans="1:5" ht="13">
      <c r="A5065" s="115"/>
      <c r="B5065" s="115"/>
      <c r="C5065" s="115"/>
      <c r="D5065" s="115"/>
      <c r="E5065" s="115"/>
    </row>
    <row r="5066" spans="1:5" ht="13">
      <c r="A5066" s="115"/>
      <c r="B5066" s="115"/>
      <c r="C5066" s="115"/>
      <c r="D5066" s="115"/>
      <c r="E5066" s="115"/>
    </row>
    <row r="5067" spans="1:5" ht="13">
      <c r="A5067" s="115"/>
      <c r="B5067" s="115"/>
      <c r="C5067" s="115"/>
      <c r="D5067" s="115"/>
      <c r="E5067" s="115"/>
    </row>
    <row r="5068" spans="1:5" ht="13">
      <c r="A5068" s="115"/>
      <c r="B5068" s="115"/>
      <c r="C5068" s="115"/>
      <c r="D5068" s="115"/>
      <c r="E5068" s="115"/>
    </row>
    <row r="5069" spans="1:5" ht="13">
      <c r="A5069" s="115"/>
      <c r="B5069" s="115"/>
      <c r="C5069" s="115"/>
      <c r="D5069" s="115"/>
      <c r="E5069" s="115"/>
    </row>
    <row r="5070" spans="1:5" ht="13">
      <c r="A5070" s="115"/>
      <c r="B5070" s="115"/>
      <c r="C5070" s="115"/>
      <c r="D5070" s="115"/>
      <c r="E5070" s="115"/>
    </row>
    <row r="5071" spans="1:5" ht="13">
      <c r="A5071" s="115"/>
      <c r="B5071" s="115"/>
      <c r="C5071" s="115"/>
      <c r="D5071" s="115"/>
      <c r="E5071" s="115"/>
    </row>
    <row r="5072" spans="1:5" ht="13">
      <c r="A5072" s="115"/>
      <c r="B5072" s="115"/>
      <c r="C5072" s="115"/>
      <c r="D5072" s="115"/>
      <c r="E5072" s="115"/>
    </row>
    <row r="5073" spans="1:5" ht="13">
      <c r="A5073" s="115"/>
      <c r="B5073" s="115"/>
      <c r="C5073" s="115"/>
      <c r="D5073" s="115"/>
      <c r="E5073" s="115"/>
    </row>
    <row r="5074" spans="1:5" ht="13">
      <c r="A5074" s="115"/>
      <c r="B5074" s="115"/>
      <c r="C5074" s="115"/>
      <c r="D5074" s="115"/>
      <c r="E5074" s="115"/>
    </row>
    <row r="5075" spans="1:5" ht="13">
      <c r="A5075" s="115"/>
      <c r="B5075" s="115"/>
      <c r="C5075" s="115"/>
      <c r="D5075" s="115"/>
      <c r="E5075" s="115"/>
    </row>
    <row r="5076" spans="1:5" ht="13">
      <c r="A5076" s="115"/>
      <c r="B5076" s="115"/>
      <c r="C5076" s="115"/>
      <c r="D5076" s="115"/>
      <c r="E5076" s="115"/>
    </row>
    <row r="5077" spans="1:5" ht="13">
      <c r="A5077" s="115"/>
      <c r="B5077" s="115"/>
      <c r="C5077" s="115"/>
      <c r="D5077" s="115"/>
      <c r="E5077" s="115"/>
    </row>
    <row r="5078" spans="1:5" ht="13">
      <c r="A5078" s="115"/>
      <c r="B5078" s="115"/>
      <c r="C5078" s="115"/>
      <c r="D5078" s="115"/>
      <c r="E5078" s="115"/>
    </row>
    <row r="5079" spans="1:5" ht="13">
      <c r="A5079" s="115"/>
      <c r="B5079" s="115"/>
      <c r="C5079" s="115"/>
      <c r="D5079" s="115"/>
      <c r="E5079" s="115"/>
    </row>
    <row r="5080" spans="1:5" ht="13">
      <c r="A5080" s="115"/>
      <c r="B5080" s="115"/>
      <c r="C5080" s="115"/>
      <c r="D5080" s="115"/>
      <c r="E5080" s="115"/>
    </row>
    <row r="5081" spans="1:5" ht="13">
      <c r="A5081" s="115"/>
      <c r="B5081" s="115"/>
      <c r="C5081" s="115"/>
      <c r="D5081" s="115"/>
      <c r="E5081" s="115"/>
    </row>
    <row r="5082" spans="1:5" ht="13">
      <c r="A5082" s="115"/>
      <c r="B5082" s="115"/>
      <c r="C5082" s="115"/>
      <c r="D5082" s="115"/>
      <c r="E5082" s="115"/>
    </row>
    <row r="5083" spans="1:5" ht="13">
      <c r="A5083" s="115"/>
      <c r="B5083" s="115"/>
      <c r="C5083" s="115"/>
      <c r="D5083" s="115"/>
      <c r="E5083" s="115"/>
    </row>
    <row r="5084" spans="1:5" ht="13">
      <c r="A5084" s="115"/>
      <c r="B5084" s="115"/>
      <c r="C5084" s="115"/>
      <c r="D5084" s="115"/>
      <c r="E5084" s="115"/>
    </row>
    <row r="5085" spans="1:5" ht="13">
      <c r="A5085" s="115"/>
      <c r="B5085" s="115"/>
      <c r="C5085" s="115"/>
      <c r="D5085" s="115"/>
      <c r="E5085" s="115"/>
    </row>
    <row r="5086" spans="1:5" ht="13">
      <c r="A5086" s="115"/>
      <c r="B5086" s="115"/>
      <c r="C5086" s="115"/>
      <c r="D5086" s="115"/>
      <c r="E5086" s="115"/>
    </row>
    <row r="5087" spans="1:5" ht="13">
      <c r="A5087" s="115"/>
      <c r="B5087" s="115"/>
      <c r="C5087" s="115"/>
      <c r="D5087" s="115"/>
      <c r="E5087" s="115"/>
    </row>
    <row r="5088" spans="1:5" ht="13">
      <c r="A5088" s="115"/>
      <c r="B5088" s="115"/>
      <c r="C5088" s="115"/>
      <c r="D5088" s="115"/>
      <c r="E5088" s="115"/>
    </row>
    <row r="5089" spans="1:5" ht="13">
      <c r="A5089" s="115"/>
      <c r="B5089" s="115"/>
      <c r="C5089" s="115"/>
      <c r="D5089" s="115"/>
      <c r="E5089" s="115"/>
    </row>
    <row r="5090" spans="1:5" ht="13">
      <c r="A5090" s="115"/>
      <c r="B5090" s="115"/>
      <c r="C5090" s="115"/>
      <c r="D5090" s="115"/>
      <c r="E5090" s="115"/>
    </row>
    <row r="5091" spans="1:5" ht="13">
      <c r="A5091" s="115"/>
      <c r="B5091" s="115"/>
      <c r="C5091" s="115"/>
      <c r="D5091" s="115"/>
      <c r="E5091" s="115"/>
    </row>
    <row r="5092" spans="1:5" ht="13">
      <c r="A5092" s="115"/>
      <c r="B5092" s="115"/>
      <c r="C5092" s="115"/>
      <c r="D5092" s="115"/>
      <c r="E5092" s="115"/>
    </row>
    <row r="5093" spans="1:5" ht="13">
      <c r="A5093" s="115"/>
      <c r="B5093" s="115"/>
      <c r="C5093" s="115"/>
      <c r="D5093" s="115"/>
      <c r="E5093" s="115"/>
    </row>
    <row r="5094" spans="1:5" ht="13">
      <c r="A5094" s="115"/>
      <c r="B5094" s="115"/>
      <c r="C5094" s="115"/>
      <c r="D5094" s="115"/>
      <c r="E5094" s="115"/>
    </row>
    <row r="5095" spans="1:5" ht="13">
      <c r="A5095" s="115"/>
      <c r="B5095" s="115"/>
      <c r="C5095" s="115"/>
      <c r="D5095" s="115"/>
      <c r="E5095" s="115"/>
    </row>
    <row r="5096" spans="1:5" ht="13">
      <c r="A5096" s="115"/>
      <c r="B5096" s="115"/>
      <c r="C5096" s="115"/>
      <c r="D5096" s="115"/>
      <c r="E5096" s="115"/>
    </row>
    <row r="5097" spans="1:5" ht="13">
      <c r="A5097" s="115"/>
      <c r="B5097" s="115"/>
      <c r="C5097" s="115"/>
      <c r="D5097" s="115"/>
      <c r="E5097" s="115"/>
    </row>
    <row r="5098" spans="1:5" ht="13">
      <c r="A5098" s="115"/>
      <c r="B5098" s="115"/>
      <c r="C5098" s="115"/>
      <c r="D5098" s="115"/>
      <c r="E5098" s="115"/>
    </row>
    <row r="5099" spans="1:5" ht="13">
      <c r="A5099" s="115"/>
      <c r="B5099" s="115"/>
      <c r="C5099" s="115"/>
      <c r="D5099" s="115"/>
      <c r="E5099" s="115"/>
    </row>
    <row r="5100" spans="1:5" ht="13">
      <c r="A5100" s="115"/>
      <c r="B5100" s="115"/>
      <c r="C5100" s="115"/>
      <c r="D5100" s="115"/>
      <c r="E5100" s="115"/>
    </row>
    <row r="5101" spans="1:5" ht="13">
      <c r="A5101" s="115"/>
      <c r="B5101" s="115"/>
      <c r="C5101" s="115"/>
      <c r="D5101" s="115"/>
      <c r="E5101" s="115"/>
    </row>
    <row r="5102" spans="1:5" ht="13">
      <c r="A5102" s="115"/>
      <c r="B5102" s="115"/>
      <c r="C5102" s="115"/>
      <c r="D5102" s="115"/>
      <c r="E5102" s="115"/>
    </row>
    <row r="5103" spans="1:5" ht="13">
      <c r="A5103" s="115"/>
      <c r="B5103" s="115"/>
      <c r="C5103" s="115"/>
      <c r="D5103" s="115"/>
      <c r="E5103" s="115"/>
    </row>
    <row r="5104" spans="1:5" ht="13">
      <c r="A5104" s="115"/>
      <c r="B5104" s="115"/>
      <c r="C5104" s="115"/>
      <c r="D5104" s="115"/>
      <c r="E5104" s="115"/>
    </row>
    <row r="5105" spans="1:5" ht="13">
      <c r="A5105" s="115"/>
      <c r="B5105" s="115"/>
      <c r="C5105" s="115"/>
      <c r="D5105" s="115"/>
      <c r="E5105" s="115"/>
    </row>
    <row r="5106" spans="1:5" ht="13">
      <c r="A5106" s="115"/>
      <c r="B5106" s="115"/>
      <c r="C5106" s="115"/>
      <c r="D5106" s="115"/>
      <c r="E5106" s="115"/>
    </row>
    <row r="5107" spans="1:5" ht="13">
      <c r="A5107" s="115"/>
      <c r="B5107" s="115"/>
      <c r="C5107" s="115"/>
      <c r="D5107" s="115"/>
      <c r="E5107" s="115"/>
    </row>
    <row r="5108" spans="1:5" ht="13">
      <c r="A5108" s="115"/>
      <c r="B5108" s="115"/>
      <c r="C5108" s="115"/>
      <c r="D5108" s="115"/>
      <c r="E5108" s="115"/>
    </row>
    <row r="5109" spans="1:5" ht="13">
      <c r="A5109" s="115"/>
      <c r="B5109" s="115"/>
      <c r="C5109" s="115"/>
      <c r="D5109" s="115"/>
      <c r="E5109" s="115"/>
    </row>
    <row r="5110" spans="1:5" ht="13">
      <c r="A5110" s="115"/>
      <c r="B5110" s="115"/>
      <c r="C5110" s="115"/>
      <c r="D5110" s="115"/>
      <c r="E5110" s="115"/>
    </row>
    <row r="5111" spans="1:5" ht="13">
      <c r="A5111" s="115"/>
      <c r="B5111" s="115"/>
      <c r="C5111" s="115"/>
      <c r="D5111" s="115"/>
      <c r="E5111" s="115"/>
    </row>
    <row r="5112" spans="1:5" ht="13">
      <c r="A5112" s="115"/>
      <c r="B5112" s="115"/>
      <c r="C5112" s="115"/>
      <c r="D5112" s="115"/>
      <c r="E5112" s="115"/>
    </row>
    <row r="5113" spans="1:5" ht="13">
      <c r="A5113" s="115"/>
      <c r="B5113" s="115"/>
      <c r="C5113" s="115"/>
      <c r="D5113" s="115"/>
      <c r="E5113" s="115"/>
    </row>
    <row r="5114" spans="1:5" ht="13">
      <c r="A5114" s="115"/>
      <c r="B5114" s="115"/>
      <c r="C5114" s="115"/>
      <c r="D5114" s="115"/>
      <c r="E5114" s="115"/>
    </row>
    <row r="5115" spans="1:5" ht="13">
      <c r="A5115" s="115"/>
      <c r="B5115" s="115"/>
      <c r="C5115" s="115"/>
      <c r="D5115" s="115"/>
      <c r="E5115" s="115"/>
    </row>
    <row r="5116" spans="1:5" ht="13">
      <c r="A5116" s="115"/>
      <c r="B5116" s="115"/>
      <c r="C5116" s="115"/>
      <c r="D5116" s="115"/>
      <c r="E5116" s="115"/>
    </row>
    <row r="5117" spans="1:5" ht="13">
      <c r="A5117" s="115"/>
      <c r="B5117" s="115"/>
      <c r="C5117" s="115"/>
      <c r="D5117" s="115"/>
      <c r="E5117" s="115"/>
    </row>
    <row r="5118" spans="1:5" ht="13">
      <c r="A5118" s="115"/>
      <c r="B5118" s="115"/>
      <c r="C5118" s="115"/>
      <c r="D5118" s="115"/>
      <c r="E5118" s="115"/>
    </row>
    <row r="5119" spans="1:5" ht="13">
      <c r="A5119" s="115"/>
      <c r="B5119" s="115"/>
      <c r="C5119" s="115"/>
      <c r="D5119" s="115"/>
      <c r="E5119" s="115"/>
    </row>
    <row r="5120" spans="1:5" ht="13">
      <c r="A5120" s="115"/>
      <c r="B5120" s="115"/>
      <c r="C5120" s="115"/>
      <c r="D5120" s="115"/>
      <c r="E5120" s="115"/>
    </row>
    <row r="5121" spans="1:5" ht="13">
      <c r="A5121" s="115"/>
      <c r="B5121" s="115"/>
      <c r="C5121" s="115"/>
      <c r="D5121" s="115"/>
      <c r="E5121" s="115"/>
    </row>
    <row r="5122" spans="1:5" ht="13">
      <c r="A5122" s="115"/>
      <c r="B5122" s="115"/>
      <c r="C5122" s="115"/>
      <c r="D5122" s="115"/>
      <c r="E5122" s="115"/>
    </row>
    <row r="5123" spans="1:5" ht="13">
      <c r="A5123" s="115"/>
      <c r="B5123" s="115"/>
      <c r="C5123" s="115"/>
      <c r="D5123" s="115"/>
      <c r="E5123" s="115"/>
    </row>
    <row r="5124" spans="1:5" ht="13">
      <c r="A5124" s="115"/>
      <c r="B5124" s="115"/>
      <c r="C5124" s="115"/>
      <c r="D5124" s="115"/>
      <c r="E5124" s="115"/>
    </row>
    <row r="5125" spans="1:5" ht="13">
      <c r="A5125" s="115"/>
      <c r="B5125" s="115"/>
      <c r="C5125" s="115"/>
      <c r="D5125" s="115"/>
      <c r="E5125" s="115"/>
    </row>
    <row r="5126" spans="1:5" ht="13">
      <c r="A5126" s="115"/>
      <c r="B5126" s="115"/>
      <c r="C5126" s="115"/>
      <c r="D5126" s="115"/>
      <c r="E5126" s="115"/>
    </row>
    <row r="5127" spans="1:5" ht="13">
      <c r="A5127" s="115"/>
      <c r="B5127" s="115"/>
      <c r="C5127" s="115"/>
      <c r="D5127" s="115"/>
      <c r="E5127" s="115"/>
    </row>
    <row r="5128" spans="1:5" ht="13">
      <c r="A5128" s="115"/>
      <c r="B5128" s="115"/>
      <c r="C5128" s="115"/>
      <c r="D5128" s="115"/>
      <c r="E5128" s="115"/>
    </row>
    <row r="5129" spans="1:5" ht="13">
      <c r="A5129" s="115"/>
      <c r="B5129" s="115"/>
      <c r="C5129" s="115"/>
      <c r="D5129" s="115"/>
      <c r="E5129" s="115"/>
    </row>
    <row r="5130" spans="1:5" ht="13">
      <c r="A5130" s="115"/>
      <c r="B5130" s="115"/>
      <c r="C5130" s="115"/>
      <c r="D5130" s="115"/>
      <c r="E5130" s="115"/>
    </row>
    <row r="5131" spans="1:5" ht="13">
      <c r="A5131" s="115"/>
      <c r="B5131" s="115"/>
      <c r="C5131" s="115"/>
      <c r="D5131" s="115"/>
      <c r="E5131" s="115"/>
    </row>
    <row r="5132" spans="1:5" ht="13">
      <c r="A5132" s="115"/>
      <c r="B5132" s="115"/>
      <c r="C5132" s="115"/>
      <c r="D5132" s="115"/>
      <c r="E5132" s="115"/>
    </row>
    <row r="5133" spans="1:5" ht="13">
      <c r="A5133" s="115"/>
      <c r="B5133" s="115"/>
      <c r="C5133" s="115"/>
      <c r="D5133" s="115"/>
      <c r="E5133" s="115"/>
    </row>
    <row r="5134" spans="1:5" ht="13">
      <c r="A5134" s="115"/>
      <c r="B5134" s="115"/>
      <c r="C5134" s="115"/>
      <c r="D5134" s="115"/>
      <c r="E5134" s="115"/>
    </row>
    <row r="5135" spans="1:5" ht="13">
      <c r="A5135" s="115"/>
      <c r="B5135" s="115"/>
      <c r="C5135" s="115"/>
      <c r="D5135" s="115"/>
      <c r="E5135" s="115"/>
    </row>
    <row r="5136" spans="1:5" ht="13">
      <c r="A5136" s="115"/>
      <c r="B5136" s="115"/>
      <c r="C5136" s="115"/>
      <c r="D5136" s="115"/>
      <c r="E5136" s="115"/>
    </row>
    <row r="5137" spans="1:5" ht="13">
      <c r="A5137" s="115"/>
      <c r="B5137" s="115"/>
      <c r="C5137" s="115"/>
      <c r="D5137" s="115"/>
      <c r="E5137" s="115"/>
    </row>
    <row r="5138" spans="1:5" ht="13">
      <c r="A5138" s="115"/>
      <c r="B5138" s="115"/>
      <c r="C5138" s="115"/>
      <c r="D5138" s="115"/>
      <c r="E5138" s="115"/>
    </row>
    <row r="5139" spans="1:5" ht="13">
      <c r="A5139" s="115"/>
      <c r="B5139" s="115"/>
      <c r="C5139" s="115"/>
      <c r="D5139" s="115"/>
      <c r="E5139" s="115"/>
    </row>
    <row r="5140" spans="1:5" ht="13">
      <c r="A5140" s="115"/>
      <c r="B5140" s="115"/>
      <c r="C5140" s="115"/>
      <c r="D5140" s="115"/>
      <c r="E5140" s="115"/>
    </row>
    <row r="5141" spans="1:5" ht="13">
      <c r="A5141" s="115"/>
      <c r="B5141" s="115"/>
      <c r="C5141" s="115"/>
      <c r="D5141" s="115"/>
      <c r="E5141" s="115"/>
    </row>
    <row r="5142" spans="1:5" ht="13">
      <c r="A5142" s="115"/>
      <c r="B5142" s="115"/>
      <c r="C5142" s="115"/>
      <c r="D5142" s="115"/>
      <c r="E5142" s="115"/>
    </row>
    <row r="5143" spans="1:5" ht="13">
      <c r="A5143" s="115"/>
      <c r="B5143" s="115"/>
      <c r="C5143" s="115"/>
      <c r="D5143" s="115"/>
      <c r="E5143" s="115"/>
    </row>
    <row r="5144" spans="1:5" ht="13">
      <c r="A5144" s="115"/>
      <c r="B5144" s="115"/>
      <c r="C5144" s="115"/>
      <c r="D5144" s="115"/>
      <c r="E5144" s="115"/>
    </row>
    <row r="5145" spans="1:5" ht="13">
      <c r="A5145" s="115"/>
      <c r="B5145" s="115"/>
      <c r="C5145" s="115"/>
      <c r="D5145" s="115"/>
      <c r="E5145" s="115"/>
    </row>
    <row r="5146" spans="1:5" ht="13">
      <c r="A5146" s="115"/>
      <c r="B5146" s="115"/>
      <c r="C5146" s="115"/>
      <c r="D5146" s="115"/>
      <c r="E5146" s="115"/>
    </row>
    <row r="5147" spans="1:5" ht="13">
      <c r="A5147" s="115"/>
      <c r="B5147" s="115"/>
      <c r="C5147" s="115"/>
      <c r="D5147" s="115"/>
      <c r="E5147" s="115"/>
    </row>
    <row r="5148" spans="1:5" ht="13">
      <c r="A5148" s="115"/>
      <c r="B5148" s="115"/>
      <c r="C5148" s="115"/>
      <c r="D5148" s="115"/>
      <c r="E5148" s="115"/>
    </row>
    <row r="5149" spans="1:5" ht="13">
      <c r="A5149" s="115"/>
      <c r="B5149" s="115"/>
      <c r="C5149" s="115"/>
      <c r="D5149" s="115"/>
      <c r="E5149" s="115"/>
    </row>
    <row r="5150" spans="1:5" ht="13">
      <c r="A5150" s="115"/>
      <c r="B5150" s="115"/>
      <c r="C5150" s="115"/>
      <c r="D5150" s="115"/>
      <c r="E5150" s="115"/>
    </row>
    <row r="5151" spans="1:5" ht="13">
      <c r="A5151" s="115"/>
      <c r="B5151" s="115"/>
      <c r="C5151" s="115"/>
      <c r="D5151" s="115"/>
      <c r="E5151" s="115"/>
    </row>
    <row r="5152" spans="1:5" ht="13">
      <c r="A5152" s="115"/>
      <c r="B5152" s="115"/>
      <c r="C5152" s="115"/>
      <c r="D5152" s="115"/>
      <c r="E5152" s="115"/>
    </row>
    <row r="5153" spans="1:5" ht="13">
      <c r="A5153" s="115"/>
      <c r="B5153" s="115"/>
      <c r="C5153" s="115"/>
      <c r="D5153" s="115"/>
      <c r="E5153" s="115"/>
    </row>
    <row r="5154" spans="1:5" ht="13">
      <c r="A5154" s="115"/>
      <c r="B5154" s="115"/>
      <c r="C5154" s="115"/>
      <c r="D5154" s="115"/>
      <c r="E5154" s="115"/>
    </row>
    <row r="5155" spans="1:5" ht="13">
      <c r="A5155" s="115"/>
      <c r="B5155" s="115"/>
      <c r="C5155" s="115"/>
      <c r="D5155" s="115"/>
      <c r="E5155" s="115"/>
    </row>
    <row r="5156" spans="1:5" ht="13">
      <c r="A5156" s="115"/>
      <c r="B5156" s="115"/>
      <c r="C5156" s="115"/>
      <c r="D5156" s="115"/>
      <c r="E5156" s="115"/>
    </row>
    <row r="5157" spans="1:5" ht="13">
      <c r="A5157" s="115"/>
      <c r="B5157" s="115"/>
      <c r="C5157" s="115"/>
      <c r="D5157" s="115"/>
      <c r="E5157" s="115"/>
    </row>
    <row r="5158" spans="1:5" ht="13">
      <c r="A5158" s="115"/>
      <c r="B5158" s="115"/>
      <c r="C5158" s="115"/>
      <c r="D5158" s="115"/>
      <c r="E5158" s="115"/>
    </row>
    <row r="5159" spans="1:5" ht="13">
      <c r="A5159" s="115"/>
      <c r="B5159" s="115"/>
      <c r="C5159" s="115"/>
      <c r="D5159" s="115"/>
      <c r="E5159" s="115"/>
    </row>
    <row r="5160" spans="1:5" ht="13">
      <c r="A5160" s="115"/>
      <c r="B5160" s="115"/>
      <c r="C5160" s="115"/>
      <c r="D5160" s="115"/>
      <c r="E5160" s="115"/>
    </row>
    <row r="5161" spans="1:5" ht="13">
      <c r="A5161" s="115"/>
      <c r="B5161" s="115"/>
      <c r="C5161" s="115"/>
      <c r="D5161" s="115"/>
      <c r="E5161" s="115"/>
    </row>
    <row r="5162" spans="1:5" ht="13">
      <c r="A5162" s="115"/>
      <c r="B5162" s="115"/>
      <c r="C5162" s="115"/>
      <c r="D5162" s="115"/>
      <c r="E5162" s="115"/>
    </row>
    <row r="5163" spans="1:5" ht="13">
      <c r="A5163" s="115"/>
      <c r="B5163" s="115"/>
      <c r="C5163" s="115"/>
      <c r="D5163" s="115"/>
      <c r="E5163" s="115"/>
    </row>
    <row r="5164" spans="1:5" ht="13">
      <c r="A5164" s="115"/>
      <c r="B5164" s="115"/>
      <c r="C5164" s="115"/>
      <c r="D5164" s="115"/>
      <c r="E5164" s="115"/>
    </row>
    <row r="5165" spans="1:5" ht="13">
      <c r="A5165" s="115"/>
      <c r="B5165" s="115"/>
      <c r="C5165" s="115"/>
      <c r="D5165" s="115"/>
      <c r="E5165" s="115"/>
    </row>
    <row r="5166" spans="1:5" ht="13">
      <c r="A5166" s="115"/>
      <c r="B5166" s="115"/>
      <c r="C5166" s="115"/>
      <c r="D5166" s="115"/>
      <c r="E5166" s="115"/>
    </row>
    <row r="5167" spans="1:5" ht="13">
      <c r="A5167" s="115"/>
      <c r="B5167" s="115"/>
      <c r="C5167" s="115"/>
      <c r="D5167" s="115"/>
      <c r="E5167" s="115"/>
    </row>
    <row r="5168" spans="1:5" ht="13">
      <c r="A5168" s="115"/>
      <c r="B5168" s="115"/>
      <c r="C5168" s="115"/>
      <c r="D5168" s="115"/>
      <c r="E5168" s="115"/>
    </row>
    <row r="5169" spans="1:5" ht="13">
      <c r="A5169" s="115"/>
      <c r="B5169" s="115"/>
      <c r="C5169" s="115"/>
      <c r="D5169" s="115"/>
      <c r="E5169" s="115"/>
    </row>
    <row r="5170" spans="1:5" ht="13">
      <c r="A5170" s="115"/>
      <c r="B5170" s="115"/>
      <c r="C5170" s="115"/>
      <c r="D5170" s="115"/>
      <c r="E5170" s="115"/>
    </row>
    <row r="5171" spans="1:5" ht="13">
      <c r="A5171" s="115"/>
      <c r="B5171" s="115"/>
      <c r="C5171" s="115"/>
      <c r="D5171" s="115"/>
      <c r="E5171" s="115"/>
    </row>
    <row r="5172" spans="1:5" ht="13">
      <c r="A5172" s="115"/>
      <c r="B5172" s="115"/>
      <c r="C5172" s="115"/>
      <c r="D5172" s="115"/>
      <c r="E5172" s="115"/>
    </row>
    <row r="5173" spans="1:5" ht="13">
      <c r="A5173" s="115"/>
      <c r="B5173" s="115"/>
      <c r="C5173" s="115"/>
      <c r="D5173" s="115"/>
      <c r="E5173" s="115"/>
    </row>
    <row r="5174" spans="1:5" ht="13">
      <c r="A5174" s="115"/>
      <c r="B5174" s="115"/>
      <c r="C5174" s="115"/>
      <c r="D5174" s="115"/>
      <c r="E5174" s="115"/>
    </row>
    <row r="5175" spans="1:5" ht="13">
      <c r="A5175" s="115"/>
      <c r="B5175" s="115"/>
      <c r="C5175" s="115"/>
      <c r="D5175" s="115"/>
      <c r="E5175" s="115"/>
    </row>
    <row r="5176" spans="1:5" ht="13">
      <c r="A5176" s="115"/>
      <c r="B5176" s="115"/>
      <c r="C5176" s="115"/>
      <c r="D5176" s="115"/>
      <c r="E5176" s="115"/>
    </row>
    <row r="5177" spans="1:5" ht="13">
      <c r="A5177" s="115"/>
      <c r="B5177" s="115"/>
      <c r="C5177" s="115"/>
      <c r="D5177" s="115"/>
      <c r="E5177" s="115"/>
    </row>
    <row r="5178" spans="1:5" ht="13">
      <c r="A5178" s="115"/>
      <c r="B5178" s="115"/>
      <c r="C5178" s="115"/>
      <c r="D5178" s="115"/>
      <c r="E5178" s="115"/>
    </row>
    <row r="5179" spans="1:5" ht="13">
      <c r="A5179" s="115"/>
      <c r="B5179" s="115"/>
      <c r="C5179" s="115"/>
      <c r="D5179" s="115"/>
      <c r="E5179" s="115"/>
    </row>
    <row r="5180" spans="1:5" ht="13">
      <c r="A5180" s="115"/>
      <c r="B5180" s="115"/>
      <c r="C5180" s="115"/>
      <c r="D5180" s="115"/>
      <c r="E5180" s="115"/>
    </row>
    <row r="5181" spans="1:5" ht="13">
      <c r="A5181" s="115"/>
      <c r="B5181" s="115"/>
      <c r="C5181" s="115"/>
      <c r="D5181" s="115"/>
      <c r="E5181" s="115"/>
    </row>
    <row r="5182" spans="1:5" ht="13">
      <c r="A5182" s="115"/>
      <c r="B5182" s="115"/>
      <c r="C5182" s="115"/>
      <c r="D5182" s="115"/>
      <c r="E5182" s="115"/>
    </row>
    <row r="5183" spans="1:5" ht="13">
      <c r="A5183" s="115"/>
      <c r="B5183" s="115"/>
      <c r="C5183" s="115"/>
      <c r="D5183" s="115"/>
      <c r="E5183" s="115"/>
    </row>
    <row r="5184" spans="1:5" ht="13">
      <c r="A5184" s="115"/>
      <c r="B5184" s="115"/>
      <c r="C5184" s="115"/>
      <c r="D5184" s="115"/>
      <c r="E5184" s="115"/>
    </row>
    <row r="5185" spans="1:5" ht="13">
      <c r="A5185" s="115"/>
      <c r="B5185" s="115"/>
      <c r="C5185" s="115"/>
      <c r="D5185" s="115"/>
      <c r="E5185" s="115"/>
    </row>
    <row r="5186" spans="1:5" ht="13">
      <c r="A5186" s="115"/>
      <c r="B5186" s="115"/>
      <c r="C5186" s="115"/>
      <c r="D5186" s="115"/>
      <c r="E5186" s="115"/>
    </row>
    <row r="5187" spans="1:5" ht="13">
      <c r="A5187" s="115"/>
      <c r="B5187" s="115"/>
      <c r="C5187" s="115"/>
      <c r="D5187" s="115"/>
      <c r="E5187" s="115"/>
    </row>
    <row r="5188" spans="1:5" ht="13">
      <c r="A5188" s="115"/>
      <c r="B5188" s="115"/>
      <c r="C5188" s="115"/>
      <c r="D5188" s="115"/>
      <c r="E5188" s="115"/>
    </row>
    <row r="5189" spans="1:5" ht="13">
      <c r="A5189" s="115"/>
      <c r="B5189" s="115"/>
      <c r="C5189" s="115"/>
      <c r="D5189" s="115"/>
      <c r="E5189" s="115"/>
    </row>
    <row r="5190" spans="1:5" ht="13">
      <c r="A5190" s="115"/>
      <c r="B5190" s="115"/>
      <c r="C5190" s="115"/>
      <c r="D5190" s="115"/>
      <c r="E5190" s="115"/>
    </row>
    <row r="5191" spans="1:5" ht="13">
      <c r="A5191" s="115"/>
      <c r="B5191" s="115"/>
      <c r="C5191" s="115"/>
      <c r="D5191" s="115"/>
      <c r="E5191" s="115"/>
    </row>
    <row r="5192" spans="1:5" ht="13">
      <c r="A5192" s="115"/>
      <c r="B5192" s="115"/>
      <c r="C5192" s="115"/>
      <c r="D5192" s="115"/>
      <c r="E5192" s="115"/>
    </row>
    <row r="5193" spans="1:5" ht="13">
      <c r="A5193" s="115"/>
      <c r="B5193" s="115"/>
      <c r="C5193" s="115"/>
      <c r="D5193" s="115"/>
      <c r="E5193" s="115"/>
    </row>
    <row r="5194" spans="1:5" ht="13">
      <c r="A5194" s="115"/>
      <c r="B5194" s="115"/>
      <c r="C5194" s="115"/>
      <c r="D5194" s="115"/>
      <c r="E5194" s="115"/>
    </row>
    <row r="5195" spans="1:5" ht="13">
      <c r="A5195" s="115"/>
      <c r="B5195" s="115"/>
      <c r="C5195" s="115"/>
      <c r="D5195" s="115"/>
      <c r="E5195" s="115"/>
    </row>
    <row r="5196" spans="1:5" ht="13">
      <c r="A5196" s="115"/>
      <c r="B5196" s="115"/>
      <c r="C5196" s="115"/>
      <c r="D5196" s="115"/>
      <c r="E5196" s="115"/>
    </row>
    <row r="5197" spans="1:5" ht="13">
      <c r="A5197" s="115"/>
      <c r="B5197" s="115"/>
      <c r="C5197" s="115"/>
      <c r="D5197" s="115"/>
      <c r="E5197" s="115"/>
    </row>
    <row r="5198" spans="1:5" ht="13">
      <c r="A5198" s="115"/>
      <c r="B5198" s="115"/>
      <c r="C5198" s="115"/>
      <c r="D5198" s="115"/>
      <c r="E5198" s="115"/>
    </row>
    <row r="5199" spans="1:5" ht="13">
      <c r="A5199" s="115"/>
      <c r="B5199" s="115"/>
      <c r="C5199" s="115"/>
      <c r="D5199" s="115"/>
      <c r="E5199" s="115"/>
    </row>
    <row r="5200" spans="1:5" ht="13">
      <c r="A5200" s="115"/>
      <c r="B5200" s="115"/>
      <c r="C5200" s="115"/>
      <c r="D5200" s="115"/>
      <c r="E5200" s="115"/>
    </row>
    <row r="5201" spans="1:5" ht="13">
      <c r="A5201" s="115"/>
      <c r="B5201" s="115"/>
      <c r="C5201" s="115"/>
      <c r="D5201" s="115"/>
      <c r="E5201" s="115"/>
    </row>
    <row r="5202" spans="1:5" ht="13">
      <c r="A5202" s="115"/>
      <c r="B5202" s="115"/>
      <c r="C5202" s="115"/>
      <c r="D5202" s="115"/>
      <c r="E5202" s="115"/>
    </row>
    <row r="5203" spans="1:5" ht="13">
      <c r="A5203" s="115"/>
      <c r="B5203" s="115"/>
      <c r="C5203" s="115"/>
      <c r="D5203" s="115"/>
      <c r="E5203" s="115"/>
    </row>
    <row r="5204" spans="1:5" ht="13">
      <c r="A5204" s="115"/>
      <c r="B5204" s="115"/>
      <c r="C5204" s="115"/>
      <c r="D5204" s="115"/>
      <c r="E5204" s="115"/>
    </row>
    <row r="5205" spans="1:5" ht="13">
      <c r="A5205" s="115"/>
      <c r="B5205" s="115"/>
      <c r="C5205" s="115"/>
      <c r="D5205" s="115"/>
      <c r="E5205" s="115"/>
    </row>
    <row r="5206" spans="1:5" ht="13">
      <c r="A5206" s="115"/>
      <c r="B5206" s="115"/>
      <c r="C5206" s="115"/>
      <c r="D5206" s="115"/>
      <c r="E5206" s="115"/>
    </row>
    <row r="5207" spans="1:5" ht="13">
      <c r="A5207" s="115"/>
      <c r="B5207" s="115"/>
      <c r="C5207" s="115"/>
      <c r="D5207" s="115"/>
      <c r="E5207" s="115"/>
    </row>
    <row r="5208" spans="1:5" ht="13">
      <c r="A5208" s="115"/>
      <c r="B5208" s="115"/>
      <c r="C5208" s="115"/>
      <c r="D5208" s="115"/>
      <c r="E5208" s="115"/>
    </row>
    <row r="5209" spans="1:5" ht="13">
      <c r="A5209" s="115"/>
      <c r="B5209" s="115"/>
      <c r="C5209" s="115"/>
      <c r="D5209" s="115"/>
      <c r="E5209" s="115"/>
    </row>
    <row r="5210" spans="1:5" ht="13">
      <c r="A5210" s="115"/>
      <c r="B5210" s="115"/>
      <c r="C5210" s="115"/>
      <c r="D5210" s="115"/>
      <c r="E5210" s="115"/>
    </row>
    <row r="5211" spans="1:5" ht="13">
      <c r="A5211" s="115"/>
      <c r="B5211" s="115"/>
      <c r="C5211" s="115"/>
      <c r="D5211" s="115"/>
      <c r="E5211" s="115"/>
    </row>
    <row r="5212" spans="1:5" ht="13">
      <c r="A5212" s="115"/>
      <c r="B5212" s="115"/>
      <c r="C5212" s="115"/>
      <c r="D5212" s="115"/>
      <c r="E5212" s="115"/>
    </row>
    <row r="5213" spans="1:5" ht="13">
      <c r="A5213" s="115"/>
      <c r="B5213" s="115"/>
      <c r="C5213" s="115"/>
      <c r="D5213" s="115"/>
      <c r="E5213" s="115"/>
    </row>
    <row r="5214" spans="1:5" ht="13">
      <c r="A5214" s="115"/>
      <c r="B5214" s="115"/>
      <c r="C5214" s="115"/>
      <c r="D5214" s="115"/>
      <c r="E5214" s="115"/>
    </row>
    <row r="5215" spans="1:5" ht="13">
      <c r="A5215" s="115"/>
      <c r="B5215" s="115"/>
      <c r="C5215" s="115"/>
      <c r="D5215" s="115"/>
      <c r="E5215" s="115"/>
    </row>
    <row r="5216" spans="1:5" ht="13">
      <c r="A5216" s="115"/>
      <c r="B5216" s="115"/>
      <c r="C5216" s="115"/>
      <c r="D5216" s="115"/>
      <c r="E5216" s="115"/>
    </row>
    <row r="5217" spans="1:5" ht="13">
      <c r="A5217" s="115"/>
      <c r="B5217" s="115"/>
      <c r="C5217" s="115"/>
      <c r="D5217" s="115"/>
      <c r="E5217" s="115"/>
    </row>
    <row r="5218" spans="1:5" ht="13">
      <c r="A5218" s="115"/>
      <c r="B5218" s="115"/>
      <c r="C5218" s="115"/>
      <c r="D5218" s="115"/>
      <c r="E5218" s="115"/>
    </row>
    <row r="5219" spans="1:5" ht="13">
      <c r="A5219" s="115"/>
      <c r="B5219" s="115"/>
      <c r="C5219" s="115"/>
      <c r="D5219" s="115"/>
      <c r="E5219" s="115"/>
    </row>
    <row r="5220" spans="1:5" ht="13">
      <c r="A5220" s="115"/>
      <c r="B5220" s="115"/>
      <c r="C5220" s="115"/>
      <c r="D5220" s="115"/>
      <c r="E5220" s="115"/>
    </row>
    <row r="5221" spans="1:5" ht="13">
      <c r="A5221" s="115"/>
      <c r="B5221" s="115"/>
      <c r="C5221" s="115"/>
      <c r="D5221" s="115"/>
      <c r="E5221" s="115"/>
    </row>
    <row r="5222" spans="1:5" ht="13">
      <c r="A5222" s="115"/>
      <c r="B5222" s="115"/>
      <c r="C5222" s="115"/>
      <c r="D5222" s="115"/>
      <c r="E5222" s="115"/>
    </row>
    <row r="5223" spans="1:5" ht="13">
      <c r="A5223" s="115"/>
      <c r="B5223" s="115"/>
      <c r="C5223" s="115"/>
      <c r="D5223" s="115"/>
      <c r="E5223" s="115"/>
    </row>
    <row r="5224" spans="1:5" ht="13">
      <c r="A5224" s="115"/>
      <c r="B5224" s="115"/>
      <c r="C5224" s="115"/>
      <c r="D5224" s="115"/>
      <c r="E5224" s="115"/>
    </row>
    <row r="5225" spans="1:5" ht="13">
      <c r="A5225" s="115"/>
      <c r="B5225" s="115"/>
      <c r="C5225" s="115"/>
      <c r="D5225" s="115"/>
      <c r="E5225" s="115"/>
    </row>
    <row r="5226" spans="1:5" ht="13">
      <c r="A5226" s="115"/>
      <c r="B5226" s="115"/>
      <c r="C5226" s="115"/>
      <c r="D5226" s="115"/>
      <c r="E5226" s="115"/>
    </row>
    <row r="5227" spans="1:5" ht="13">
      <c r="A5227" s="115"/>
      <c r="B5227" s="115"/>
      <c r="C5227" s="115"/>
      <c r="D5227" s="115"/>
      <c r="E5227" s="115"/>
    </row>
    <row r="5228" spans="1:5" ht="13">
      <c r="A5228" s="115"/>
      <c r="B5228" s="115"/>
      <c r="C5228" s="115"/>
      <c r="D5228" s="115"/>
      <c r="E5228" s="115"/>
    </row>
    <row r="5229" spans="1:5" ht="13">
      <c r="A5229" s="115"/>
      <c r="B5229" s="115"/>
      <c r="C5229" s="115"/>
      <c r="D5229" s="115"/>
      <c r="E5229" s="115"/>
    </row>
    <row r="5230" spans="1:5" ht="13">
      <c r="A5230" s="115"/>
      <c r="B5230" s="115"/>
      <c r="C5230" s="115"/>
      <c r="D5230" s="115"/>
      <c r="E5230" s="115"/>
    </row>
    <row r="5231" spans="1:5" ht="13">
      <c r="A5231" s="115"/>
      <c r="B5231" s="115"/>
      <c r="C5231" s="115"/>
      <c r="D5231" s="115"/>
      <c r="E5231" s="115"/>
    </row>
    <row r="5232" spans="1:5" ht="13">
      <c r="A5232" s="115"/>
      <c r="B5232" s="115"/>
      <c r="C5232" s="115"/>
      <c r="D5232" s="115"/>
      <c r="E5232" s="115"/>
    </row>
    <row r="5233" spans="1:5" ht="13">
      <c r="A5233" s="115"/>
      <c r="B5233" s="115"/>
      <c r="C5233" s="115"/>
      <c r="D5233" s="115"/>
      <c r="E5233" s="115"/>
    </row>
    <row r="5234" spans="1:5" ht="13">
      <c r="A5234" s="115"/>
      <c r="B5234" s="115"/>
      <c r="C5234" s="115"/>
      <c r="D5234" s="115"/>
      <c r="E5234" s="115"/>
    </row>
    <row r="5235" spans="1:5" ht="13">
      <c r="A5235" s="115"/>
      <c r="B5235" s="115"/>
      <c r="C5235" s="115"/>
      <c r="D5235" s="115"/>
      <c r="E5235" s="115"/>
    </row>
    <row r="5236" spans="1:5" ht="13">
      <c r="A5236" s="115"/>
      <c r="B5236" s="115"/>
      <c r="C5236" s="115"/>
      <c r="D5236" s="115"/>
      <c r="E5236" s="115"/>
    </row>
    <row r="5237" spans="1:5" ht="13">
      <c r="A5237" s="115"/>
      <c r="B5237" s="115"/>
      <c r="C5237" s="115"/>
      <c r="D5237" s="115"/>
      <c r="E5237" s="115"/>
    </row>
    <row r="5238" spans="1:5" ht="13">
      <c r="A5238" s="115"/>
      <c r="B5238" s="115"/>
      <c r="C5238" s="115"/>
      <c r="D5238" s="115"/>
      <c r="E5238" s="115"/>
    </row>
    <row r="5239" spans="1:5" ht="13">
      <c r="A5239" s="115"/>
      <c r="B5239" s="115"/>
      <c r="C5239" s="115"/>
      <c r="D5239" s="115"/>
      <c r="E5239" s="115"/>
    </row>
    <row r="5240" spans="1:5" ht="13">
      <c r="A5240" s="115"/>
      <c r="B5240" s="115"/>
      <c r="C5240" s="115"/>
      <c r="D5240" s="115"/>
      <c r="E5240" s="115"/>
    </row>
    <row r="5241" spans="1:5" ht="13">
      <c r="A5241" s="115"/>
      <c r="B5241" s="115"/>
      <c r="C5241" s="115"/>
      <c r="D5241" s="115"/>
      <c r="E5241" s="115"/>
    </row>
    <row r="5242" spans="1:5" ht="13">
      <c r="A5242" s="115"/>
      <c r="B5242" s="115"/>
      <c r="C5242" s="115"/>
      <c r="D5242" s="115"/>
      <c r="E5242" s="115"/>
    </row>
    <row r="5243" spans="1:5" ht="13">
      <c r="A5243" s="115"/>
      <c r="B5243" s="115"/>
      <c r="C5243" s="115"/>
      <c r="D5243" s="115"/>
      <c r="E5243" s="115"/>
    </row>
    <row r="5244" spans="1:5" ht="13">
      <c r="A5244" s="115"/>
      <c r="B5244" s="115"/>
      <c r="C5244" s="115"/>
      <c r="D5244" s="115"/>
      <c r="E5244" s="115"/>
    </row>
    <row r="5245" spans="1:5" ht="13">
      <c r="A5245" s="115"/>
      <c r="B5245" s="115"/>
      <c r="C5245" s="115"/>
      <c r="D5245" s="115"/>
      <c r="E5245" s="115"/>
    </row>
    <row r="5246" spans="1:5" ht="13">
      <c r="A5246" s="115"/>
      <c r="B5246" s="115"/>
      <c r="C5246" s="115"/>
      <c r="D5246" s="115"/>
      <c r="E5246" s="115"/>
    </row>
    <row r="5247" spans="1:5" ht="13">
      <c r="A5247" s="115"/>
      <c r="B5247" s="115"/>
      <c r="C5247" s="115"/>
      <c r="D5247" s="115"/>
      <c r="E5247" s="115"/>
    </row>
    <row r="5248" spans="1:5" ht="13">
      <c r="A5248" s="115"/>
      <c r="B5248" s="115"/>
      <c r="C5248" s="115"/>
      <c r="D5248" s="115"/>
      <c r="E5248" s="115"/>
    </row>
    <row r="5249" spans="1:5" ht="13">
      <c r="A5249" s="115"/>
      <c r="B5249" s="115"/>
      <c r="C5249" s="115"/>
      <c r="D5249" s="115"/>
      <c r="E5249" s="115"/>
    </row>
    <row r="5250" spans="1:5" ht="13">
      <c r="A5250" s="115"/>
      <c r="B5250" s="115"/>
      <c r="C5250" s="115"/>
      <c r="D5250" s="115"/>
      <c r="E5250" s="115"/>
    </row>
    <row r="5251" spans="1:5" ht="13">
      <c r="A5251" s="115"/>
      <c r="B5251" s="115"/>
      <c r="C5251" s="115"/>
      <c r="D5251" s="115"/>
      <c r="E5251" s="115"/>
    </row>
    <row r="5252" spans="1:5" ht="13">
      <c r="A5252" s="115"/>
      <c r="B5252" s="115"/>
      <c r="C5252" s="115"/>
      <c r="D5252" s="115"/>
      <c r="E5252" s="115"/>
    </row>
    <row r="5253" spans="1:5" ht="13">
      <c r="A5253" s="115"/>
      <c r="B5253" s="115"/>
      <c r="C5253" s="115"/>
      <c r="D5253" s="115"/>
      <c r="E5253" s="115"/>
    </row>
    <row r="5254" spans="1:5" ht="13">
      <c r="A5254" s="115"/>
      <c r="B5254" s="115"/>
      <c r="C5254" s="115"/>
      <c r="D5254" s="115"/>
      <c r="E5254" s="115"/>
    </row>
    <row r="5255" spans="1:5" ht="13">
      <c r="A5255" s="115"/>
      <c r="B5255" s="115"/>
      <c r="C5255" s="115"/>
      <c r="D5255" s="115"/>
      <c r="E5255" s="115"/>
    </row>
    <row r="5256" spans="1:5" ht="13">
      <c r="A5256" s="115"/>
      <c r="B5256" s="115"/>
      <c r="C5256" s="115"/>
      <c r="D5256" s="115"/>
      <c r="E5256" s="115"/>
    </row>
    <row r="5257" spans="1:5" ht="13">
      <c r="A5257" s="115"/>
      <c r="B5257" s="115"/>
      <c r="C5257" s="115"/>
      <c r="D5257" s="115"/>
      <c r="E5257" s="115"/>
    </row>
    <row r="5258" spans="1:5" ht="13">
      <c r="A5258" s="115"/>
      <c r="B5258" s="115"/>
      <c r="C5258" s="115"/>
      <c r="D5258" s="115"/>
      <c r="E5258" s="115"/>
    </row>
    <row r="5259" spans="1:5" ht="13">
      <c r="A5259" s="115"/>
      <c r="B5259" s="115"/>
      <c r="C5259" s="115"/>
      <c r="D5259" s="115"/>
      <c r="E5259" s="115"/>
    </row>
    <row r="5260" spans="1:5" ht="13">
      <c r="A5260" s="115"/>
      <c r="B5260" s="115"/>
      <c r="C5260" s="115"/>
      <c r="D5260" s="115"/>
      <c r="E5260" s="115"/>
    </row>
    <row r="5261" spans="1:5" ht="13">
      <c r="A5261" s="115"/>
      <c r="B5261" s="115"/>
      <c r="C5261" s="115"/>
      <c r="D5261" s="115"/>
      <c r="E5261" s="115"/>
    </row>
    <row r="5262" spans="1:5" ht="13">
      <c r="A5262" s="115"/>
      <c r="B5262" s="115"/>
      <c r="C5262" s="115"/>
      <c r="D5262" s="115"/>
      <c r="E5262" s="115"/>
    </row>
    <row r="5263" spans="1:5" ht="13">
      <c r="A5263" s="115"/>
      <c r="B5263" s="115"/>
      <c r="C5263" s="115"/>
      <c r="D5263" s="115"/>
      <c r="E5263" s="115"/>
    </row>
    <row r="5264" spans="1:5" ht="13">
      <c r="A5264" s="115"/>
      <c r="B5264" s="115"/>
      <c r="C5264" s="115"/>
      <c r="D5264" s="115"/>
      <c r="E5264" s="115"/>
    </row>
    <row r="5265" spans="1:5" ht="13">
      <c r="A5265" s="115"/>
      <c r="B5265" s="115"/>
      <c r="C5265" s="115"/>
      <c r="D5265" s="115"/>
      <c r="E5265" s="115"/>
    </row>
    <row r="5266" spans="1:5" ht="13">
      <c r="A5266" s="115"/>
      <c r="B5266" s="115"/>
      <c r="C5266" s="115"/>
      <c r="D5266" s="115"/>
      <c r="E5266" s="115"/>
    </row>
    <row r="5267" spans="1:5" ht="13">
      <c r="A5267" s="115"/>
      <c r="B5267" s="115"/>
      <c r="C5267" s="115"/>
      <c r="D5267" s="115"/>
      <c r="E5267" s="115"/>
    </row>
    <row r="5268" spans="1:5" ht="13">
      <c r="A5268" s="115"/>
      <c r="B5268" s="115"/>
      <c r="C5268" s="115"/>
      <c r="D5268" s="115"/>
      <c r="E5268" s="115"/>
    </row>
    <row r="5269" spans="1:5" ht="13">
      <c r="A5269" s="115"/>
      <c r="B5269" s="115"/>
      <c r="C5269" s="115"/>
      <c r="D5269" s="115"/>
      <c r="E5269" s="115"/>
    </row>
    <row r="5270" spans="1:5" ht="13">
      <c r="A5270" s="115"/>
      <c r="B5270" s="115"/>
      <c r="C5270" s="115"/>
      <c r="D5270" s="115"/>
      <c r="E5270" s="115"/>
    </row>
    <row r="5271" spans="1:5" ht="13">
      <c r="A5271" s="115"/>
      <c r="B5271" s="115"/>
      <c r="C5271" s="115"/>
      <c r="D5271" s="115"/>
      <c r="E5271" s="115"/>
    </row>
    <row r="5272" spans="1:5" ht="13">
      <c r="A5272" s="115"/>
      <c r="B5272" s="115"/>
      <c r="C5272" s="115"/>
      <c r="D5272" s="115"/>
      <c r="E5272" s="115"/>
    </row>
    <row r="5273" spans="1:5" ht="13">
      <c r="A5273" s="115"/>
      <c r="B5273" s="115"/>
      <c r="C5273" s="115"/>
      <c r="D5273" s="115"/>
      <c r="E5273" s="115"/>
    </row>
    <row r="5274" spans="1:5" ht="13">
      <c r="A5274" s="115"/>
      <c r="B5274" s="115"/>
      <c r="C5274" s="115"/>
      <c r="D5274" s="115"/>
      <c r="E5274" s="115"/>
    </row>
    <row r="5275" spans="1:5" ht="13">
      <c r="A5275" s="115"/>
      <c r="B5275" s="115"/>
      <c r="C5275" s="115"/>
      <c r="D5275" s="115"/>
      <c r="E5275" s="115"/>
    </row>
    <row r="5276" spans="1:5" ht="13">
      <c r="A5276" s="115"/>
      <c r="B5276" s="115"/>
      <c r="C5276" s="115"/>
      <c r="D5276" s="115"/>
      <c r="E5276" s="115"/>
    </row>
    <row r="5277" spans="1:5" ht="13">
      <c r="A5277" s="115"/>
      <c r="B5277" s="115"/>
      <c r="C5277" s="115"/>
      <c r="D5277" s="115"/>
      <c r="E5277" s="115"/>
    </row>
    <row r="5278" spans="1:5" ht="13">
      <c r="A5278" s="115"/>
      <c r="B5278" s="115"/>
      <c r="C5278" s="115"/>
      <c r="D5278" s="115"/>
      <c r="E5278" s="115"/>
    </row>
    <row r="5279" spans="1:5" ht="13">
      <c r="A5279" s="115"/>
      <c r="B5279" s="115"/>
      <c r="C5279" s="115"/>
      <c r="D5279" s="115"/>
      <c r="E5279" s="115"/>
    </row>
    <row r="5280" spans="1:5" ht="13">
      <c r="A5280" s="115"/>
      <c r="B5280" s="115"/>
      <c r="C5280" s="115"/>
      <c r="D5280" s="115"/>
      <c r="E5280" s="115"/>
    </row>
    <row r="5281" spans="1:5" ht="13">
      <c r="A5281" s="115"/>
      <c r="B5281" s="115"/>
      <c r="C5281" s="115"/>
      <c r="D5281" s="115"/>
      <c r="E5281" s="115"/>
    </row>
    <row r="5282" spans="1:5" ht="13">
      <c r="A5282" s="115"/>
      <c r="B5282" s="115"/>
      <c r="C5282" s="115"/>
      <c r="D5282" s="115"/>
      <c r="E5282" s="115"/>
    </row>
    <row r="5283" spans="1:5" ht="13">
      <c r="A5283" s="115"/>
      <c r="B5283" s="115"/>
      <c r="C5283" s="115"/>
      <c r="D5283" s="115"/>
      <c r="E5283" s="115"/>
    </row>
    <row r="5284" spans="1:5" ht="13">
      <c r="A5284" s="115"/>
      <c r="B5284" s="115"/>
      <c r="C5284" s="115"/>
      <c r="D5284" s="115"/>
      <c r="E5284" s="115"/>
    </row>
    <row r="5285" spans="1:5" ht="13">
      <c r="A5285" s="115"/>
      <c r="B5285" s="115"/>
      <c r="C5285" s="115"/>
      <c r="D5285" s="115"/>
      <c r="E5285" s="115"/>
    </row>
    <row r="5286" spans="1:5" ht="13">
      <c r="A5286" s="115"/>
      <c r="B5286" s="115"/>
      <c r="C5286" s="115"/>
      <c r="D5286" s="115"/>
      <c r="E5286" s="115"/>
    </row>
    <row r="5287" spans="1:5" ht="13">
      <c r="A5287" s="115"/>
      <c r="B5287" s="115"/>
      <c r="C5287" s="115"/>
      <c r="D5287" s="115"/>
      <c r="E5287" s="115"/>
    </row>
    <row r="5288" spans="1:5" ht="13">
      <c r="A5288" s="115"/>
      <c r="B5288" s="115"/>
      <c r="C5288" s="115"/>
      <c r="D5288" s="115"/>
      <c r="E5288" s="115"/>
    </row>
    <row r="5289" spans="1:5" ht="13">
      <c r="A5289" s="115"/>
      <c r="B5289" s="115"/>
      <c r="C5289" s="115"/>
      <c r="D5289" s="115"/>
      <c r="E5289" s="115"/>
    </row>
    <row r="5290" spans="1:5" ht="13">
      <c r="A5290" s="115"/>
      <c r="B5290" s="115"/>
      <c r="C5290" s="115"/>
      <c r="D5290" s="115"/>
      <c r="E5290" s="115"/>
    </row>
    <row r="5291" spans="1:5" ht="13">
      <c r="A5291" s="115"/>
      <c r="B5291" s="115"/>
      <c r="C5291" s="115"/>
      <c r="D5291" s="115"/>
      <c r="E5291" s="115"/>
    </row>
    <row r="5292" spans="1:5" ht="13">
      <c r="A5292" s="115"/>
      <c r="B5292" s="115"/>
      <c r="C5292" s="115"/>
      <c r="D5292" s="115"/>
      <c r="E5292" s="115"/>
    </row>
    <row r="5293" spans="1:5" ht="13">
      <c r="A5293" s="115"/>
      <c r="B5293" s="115"/>
      <c r="C5293" s="115"/>
      <c r="D5293" s="115"/>
      <c r="E5293" s="115"/>
    </row>
    <row r="5294" spans="1:5" ht="13">
      <c r="A5294" s="115"/>
      <c r="B5294" s="115"/>
      <c r="C5294" s="115"/>
      <c r="D5294" s="115"/>
      <c r="E5294" s="115"/>
    </row>
    <row r="5295" spans="1:5" ht="13">
      <c r="A5295" s="115"/>
      <c r="B5295" s="115"/>
      <c r="C5295" s="115"/>
      <c r="D5295" s="115"/>
      <c r="E5295" s="115"/>
    </row>
    <row r="5296" spans="1:5" ht="13">
      <c r="A5296" s="115"/>
      <c r="B5296" s="115"/>
      <c r="C5296" s="115"/>
      <c r="D5296" s="115"/>
      <c r="E5296" s="115"/>
    </row>
    <row r="5297" spans="1:5" ht="13">
      <c r="A5297" s="115"/>
      <c r="B5297" s="115"/>
      <c r="C5297" s="115"/>
      <c r="D5297" s="115"/>
      <c r="E5297" s="115"/>
    </row>
    <row r="5298" spans="1:5" ht="13">
      <c r="A5298" s="115"/>
      <c r="B5298" s="115"/>
      <c r="C5298" s="115"/>
      <c r="D5298" s="115"/>
      <c r="E5298" s="115"/>
    </row>
    <row r="5299" spans="1:5" ht="13">
      <c r="A5299" s="115"/>
      <c r="B5299" s="115"/>
      <c r="C5299" s="115"/>
      <c r="D5299" s="115"/>
      <c r="E5299" s="115"/>
    </row>
    <row r="5300" spans="1:5" ht="13">
      <c r="A5300" s="115"/>
      <c r="B5300" s="115"/>
      <c r="C5300" s="115"/>
      <c r="D5300" s="115"/>
      <c r="E5300" s="115"/>
    </row>
    <row r="5301" spans="1:5" ht="13">
      <c r="A5301" s="115"/>
      <c r="B5301" s="115"/>
      <c r="C5301" s="115"/>
      <c r="D5301" s="115"/>
      <c r="E5301" s="115"/>
    </row>
    <row r="5302" spans="1:5" ht="13">
      <c r="A5302" s="115"/>
      <c r="B5302" s="115"/>
      <c r="C5302" s="115"/>
      <c r="D5302" s="115"/>
      <c r="E5302" s="115"/>
    </row>
    <row r="5303" spans="1:5" ht="13">
      <c r="A5303" s="115"/>
      <c r="B5303" s="115"/>
      <c r="C5303" s="115"/>
      <c r="D5303" s="115"/>
      <c r="E5303" s="115"/>
    </row>
    <row r="5304" spans="1:5" ht="13">
      <c r="A5304" s="115"/>
      <c r="B5304" s="115"/>
      <c r="C5304" s="115"/>
      <c r="D5304" s="115"/>
      <c r="E5304" s="115"/>
    </row>
    <row r="5305" spans="1:5" ht="13">
      <c r="A5305" s="115"/>
      <c r="B5305" s="115"/>
      <c r="C5305" s="115"/>
      <c r="D5305" s="115"/>
      <c r="E5305" s="115"/>
    </row>
    <row r="5306" spans="1:5" ht="13">
      <c r="A5306" s="115"/>
      <c r="B5306" s="115"/>
      <c r="C5306" s="115"/>
      <c r="D5306" s="115"/>
      <c r="E5306" s="115"/>
    </row>
    <row r="5307" spans="1:5" ht="13">
      <c r="A5307" s="115"/>
      <c r="B5307" s="115"/>
      <c r="C5307" s="115"/>
      <c r="D5307" s="115"/>
      <c r="E5307" s="115"/>
    </row>
    <row r="5308" spans="1:5" ht="13">
      <c r="A5308" s="115"/>
      <c r="B5308" s="115"/>
      <c r="C5308" s="115"/>
      <c r="D5308" s="115"/>
      <c r="E5308" s="115"/>
    </row>
    <row r="5309" spans="1:5" ht="13">
      <c r="A5309" s="115"/>
      <c r="B5309" s="115"/>
      <c r="C5309" s="115"/>
      <c r="D5309" s="115"/>
      <c r="E5309" s="115"/>
    </row>
    <row r="5310" spans="1:5" ht="13">
      <c r="A5310" s="115"/>
      <c r="B5310" s="115"/>
      <c r="C5310" s="115"/>
      <c r="D5310" s="115"/>
      <c r="E5310" s="115"/>
    </row>
    <row r="5311" spans="1:5" ht="13">
      <c r="A5311" s="115"/>
      <c r="B5311" s="115"/>
      <c r="C5311" s="115"/>
      <c r="D5311" s="115"/>
      <c r="E5311" s="115"/>
    </row>
    <row r="5312" spans="1:5" ht="13">
      <c r="A5312" s="115"/>
      <c r="B5312" s="115"/>
      <c r="C5312" s="115"/>
      <c r="D5312" s="115"/>
      <c r="E5312" s="115"/>
    </row>
    <row r="5313" spans="1:5" ht="13">
      <c r="A5313" s="115"/>
      <c r="B5313" s="115"/>
      <c r="C5313" s="115"/>
      <c r="D5313" s="115"/>
      <c r="E5313" s="115"/>
    </row>
    <row r="5314" spans="1:5" ht="13">
      <c r="A5314" s="115"/>
      <c r="B5314" s="115"/>
      <c r="C5314" s="115"/>
      <c r="D5314" s="115"/>
      <c r="E5314" s="115"/>
    </row>
    <row r="5315" spans="1:5" ht="13">
      <c r="A5315" s="115"/>
      <c r="B5315" s="115"/>
      <c r="C5315" s="115"/>
      <c r="D5315" s="115"/>
      <c r="E5315" s="115"/>
    </row>
    <row r="5316" spans="1:5" ht="13">
      <c r="A5316" s="115"/>
      <c r="B5316" s="115"/>
      <c r="C5316" s="115"/>
      <c r="D5316" s="115"/>
      <c r="E5316" s="115"/>
    </row>
    <row r="5317" spans="1:5" ht="13">
      <c r="A5317" s="115"/>
      <c r="B5317" s="115"/>
      <c r="C5317" s="115"/>
      <c r="D5317" s="115"/>
      <c r="E5317" s="115"/>
    </row>
    <row r="5318" spans="1:5" ht="13">
      <c r="A5318" s="115"/>
      <c r="B5318" s="115"/>
      <c r="C5318" s="115"/>
      <c r="D5318" s="115"/>
      <c r="E5318" s="115"/>
    </row>
    <row r="5319" spans="1:5" ht="13">
      <c r="A5319" s="115"/>
      <c r="B5319" s="115"/>
      <c r="C5319" s="115"/>
      <c r="D5319" s="115"/>
      <c r="E5319" s="115"/>
    </row>
    <row r="5320" spans="1:5" ht="13">
      <c r="A5320" s="115"/>
      <c r="B5320" s="115"/>
      <c r="C5320" s="115"/>
      <c r="D5320" s="115"/>
      <c r="E5320" s="115"/>
    </row>
    <row r="5321" spans="1:5" ht="13">
      <c r="A5321" s="115"/>
      <c r="B5321" s="115"/>
      <c r="C5321" s="115"/>
      <c r="D5321" s="115"/>
      <c r="E5321" s="115"/>
    </row>
    <row r="5322" spans="1:5" ht="13">
      <c r="A5322" s="115"/>
      <c r="B5322" s="115"/>
      <c r="C5322" s="115"/>
      <c r="D5322" s="115"/>
      <c r="E5322" s="115"/>
    </row>
    <row r="5323" spans="1:5" ht="13">
      <c r="A5323" s="115"/>
      <c r="B5323" s="115"/>
      <c r="C5323" s="115"/>
      <c r="D5323" s="115"/>
      <c r="E5323" s="115"/>
    </row>
    <row r="5324" spans="1:5" ht="13">
      <c r="A5324" s="115"/>
      <c r="B5324" s="115"/>
      <c r="C5324" s="115"/>
      <c r="D5324" s="115"/>
      <c r="E5324" s="115"/>
    </row>
    <row r="5325" spans="1:5" ht="13">
      <c r="A5325" s="115"/>
      <c r="B5325" s="115"/>
      <c r="C5325" s="115"/>
      <c r="D5325" s="115"/>
      <c r="E5325" s="115"/>
    </row>
    <row r="5326" spans="1:5" ht="13">
      <c r="A5326" s="115"/>
      <c r="B5326" s="115"/>
      <c r="C5326" s="115"/>
      <c r="D5326" s="115"/>
      <c r="E5326" s="115"/>
    </row>
    <row r="5327" spans="1:5" ht="13">
      <c r="A5327" s="115"/>
      <c r="B5327" s="115"/>
      <c r="C5327" s="115"/>
      <c r="D5327" s="115"/>
      <c r="E5327" s="115"/>
    </row>
    <row r="5328" spans="1:5" ht="13">
      <c r="A5328" s="115"/>
      <c r="B5328" s="115"/>
      <c r="C5328" s="115"/>
      <c r="D5328" s="115"/>
      <c r="E5328" s="115"/>
    </row>
    <row r="5329" spans="1:5" ht="13">
      <c r="A5329" s="115"/>
      <c r="B5329" s="115"/>
      <c r="C5329" s="115"/>
      <c r="D5329" s="115"/>
      <c r="E5329" s="115"/>
    </row>
    <row r="5330" spans="1:5" ht="13">
      <c r="A5330" s="115"/>
      <c r="B5330" s="115"/>
      <c r="C5330" s="115"/>
      <c r="D5330" s="115"/>
      <c r="E5330" s="115"/>
    </row>
    <row r="5331" spans="1:5" ht="13">
      <c r="A5331" s="115"/>
      <c r="B5331" s="115"/>
      <c r="C5331" s="115"/>
      <c r="D5331" s="115"/>
      <c r="E5331" s="115"/>
    </row>
    <row r="5332" spans="1:5" ht="13">
      <c r="A5332" s="115"/>
      <c r="B5332" s="115"/>
      <c r="C5332" s="115"/>
      <c r="D5332" s="115"/>
      <c r="E5332" s="115"/>
    </row>
    <row r="5333" spans="1:5" ht="13">
      <c r="A5333" s="115"/>
      <c r="B5333" s="115"/>
      <c r="C5333" s="115"/>
      <c r="D5333" s="115"/>
      <c r="E5333" s="115"/>
    </row>
    <row r="5334" spans="1:5" ht="13">
      <c r="A5334" s="115"/>
      <c r="B5334" s="115"/>
      <c r="C5334" s="115"/>
      <c r="D5334" s="115"/>
      <c r="E5334" s="115"/>
    </row>
    <row r="5335" spans="1:5" ht="13">
      <c r="A5335" s="115"/>
      <c r="B5335" s="115"/>
      <c r="C5335" s="115"/>
      <c r="D5335" s="115"/>
      <c r="E5335" s="115"/>
    </row>
    <row r="5336" spans="1:5" ht="13">
      <c r="A5336" s="115"/>
      <c r="B5336" s="115"/>
      <c r="C5336" s="115"/>
      <c r="D5336" s="115"/>
      <c r="E5336" s="115"/>
    </row>
    <row r="5337" spans="1:5" ht="13">
      <c r="A5337" s="115"/>
      <c r="B5337" s="115"/>
      <c r="C5337" s="115"/>
      <c r="D5337" s="115"/>
      <c r="E5337" s="115"/>
    </row>
    <row r="5338" spans="1:5" ht="13">
      <c r="A5338" s="115"/>
      <c r="B5338" s="115"/>
      <c r="C5338" s="115"/>
      <c r="D5338" s="115"/>
      <c r="E5338" s="115"/>
    </row>
    <row r="5339" spans="1:5" ht="13">
      <c r="A5339" s="115"/>
      <c r="B5339" s="115"/>
      <c r="C5339" s="115"/>
      <c r="D5339" s="115"/>
      <c r="E5339" s="115"/>
    </row>
    <row r="5340" spans="1:5" ht="13">
      <c r="A5340" s="115"/>
      <c r="B5340" s="115"/>
      <c r="C5340" s="115"/>
      <c r="D5340" s="115"/>
      <c r="E5340" s="115"/>
    </row>
    <row r="5341" spans="1:5" ht="13">
      <c r="A5341" s="115"/>
      <c r="B5341" s="115"/>
      <c r="C5341" s="115"/>
      <c r="D5341" s="115"/>
      <c r="E5341" s="115"/>
    </row>
    <row r="5342" spans="1:5" ht="13">
      <c r="A5342" s="115"/>
      <c r="B5342" s="115"/>
      <c r="C5342" s="115"/>
      <c r="D5342" s="115"/>
      <c r="E5342" s="115"/>
    </row>
    <row r="5343" spans="1:5" ht="13">
      <c r="A5343" s="115"/>
      <c r="B5343" s="115"/>
      <c r="C5343" s="115"/>
      <c r="D5343" s="115"/>
      <c r="E5343" s="115"/>
    </row>
    <row r="5344" spans="1:5" ht="13">
      <c r="A5344" s="115"/>
      <c r="B5344" s="115"/>
      <c r="C5344" s="115"/>
      <c r="D5344" s="115"/>
      <c r="E5344" s="115"/>
    </row>
    <row r="5345" spans="1:5" ht="13">
      <c r="A5345" s="115"/>
      <c r="B5345" s="115"/>
      <c r="C5345" s="115"/>
      <c r="D5345" s="115"/>
      <c r="E5345" s="115"/>
    </row>
    <row r="5346" spans="1:5" ht="13">
      <c r="A5346" s="115"/>
      <c r="B5346" s="115"/>
      <c r="C5346" s="115"/>
      <c r="D5346" s="115"/>
      <c r="E5346" s="115"/>
    </row>
    <row r="5347" spans="1:5" ht="13">
      <c r="A5347" s="115"/>
      <c r="B5347" s="115"/>
      <c r="C5347" s="115"/>
      <c r="D5347" s="115"/>
      <c r="E5347" s="115"/>
    </row>
    <row r="5348" spans="1:5" ht="13">
      <c r="A5348" s="115"/>
      <c r="B5348" s="115"/>
      <c r="C5348" s="115"/>
      <c r="D5348" s="115"/>
      <c r="E5348" s="115"/>
    </row>
    <row r="5349" spans="1:5" ht="13">
      <c r="A5349" s="115"/>
      <c r="B5349" s="115"/>
      <c r="C5349" s="115"/>
      <c r="D5349" s="115"/>
      <c r="E5349" s="115"/>
    </row>
    <row r="5350" spans="1:5" ht="13">
      <c r="A5350" s="115"/>
      <c r="B5350" s="115"/>
      <c r="C5350" s="115"/>
      <c r="D5350" s="115"/>
      <c r="E5350" s="115"/>
    </row>
    <row r="5351" spans="1:5" ht="13">
      <c r="A5351" s="115"/>
      <c r="B5351" s="115"/>
      <c r="C5351" s="115"/>
      <c r="D5351" s="115"/>
      <c r="E5351" s="115"/>
    </row>
    <row r="5352" spans="1:5" ht="13">
      <c r="A5352" s="115"/>
      <c r="B5352" s="115"/>
      <c r="C5352" s="115"/>
      <c r="D5352" s="115"/>
      <c r="E5352" s="115"/>
    </row>
    <row r="5353" spans="1:5" ht="13">
      <c r="A5353" s="115"/>
      <c r="B5353" s="115"/>
      <c r="C5353" s="115"/>
      <c r="D5353" s="115"/>
      <c r="E5353" s="115"/>
    </row>
    <row r="5354" spans="1:5" ht="13">
      <c r="A5354" s="115"/>
      <c r="B5354" s="115"/>
      <c r="C5354" s="115"/>
      <c r="D5354" s="115"/>
      <c r="E5354" s="115"/>
    </row>
    <row r="5355" spans="1:5" ht="13">
      <c r="A5355" s="115"/>
      <c r="B5355" s="115"/>
      <c r="C5355" s="115"/>
      <c r="D5355" s="115"/>
      <c r="E5355" s="115"/>
    </row>
    <row r="5356" spans="1:5" ht="13">
      <c r="A5356" s="115"/>
      <c r="B5356" s="115"/>
      <c r="C5356" s="115"/>
      <c r="D5356" s="115"/>
      <c r="E5356" s="115"/>
    </row>
    <row r="5357" spans="1:5" ht="13">
      <c r="A5357" s="115"/>
      <c r="B5357" s="115"/>
      <c r="C5357" s="115"/>
      <c r="D5357" s="115"/>
      <c r="E5357" s="115"/>
    </row>
    <row r="5358" spans="1:5" ht="13">
      <c r="A5358" s="115"/>
      <c r="B5358" s="115"/>
      <c r="C5358" s="115"/>
      <c r="D5358" s="115"/>
      <c r="E5358" s="115"/>
    </row>
    <row r="5359" spans="1:5" ht="13">
      <c r="A5359" s="115"/>
      <c r="B5359" s="115"/>
      <c r="C5359" s="115"/>
      <c r="D5359" s="115"/>
      <c r="E5359" s="115"/>
    </row>
    <row r="5360" spans="1:5" ht="13">
      <c r="A5360" s="115"/>
      <c r="B5360" s="115"/>
      <c r="C5360" s="115"/>
      <c r="D5360" s="115"/>
      <c r="E5360" s="115"/>
    </row>
    <row r="5361" spans="1:5" ht="13">
      <c r="A5361" s="115"/>
      <c r="B5361" s="115"/>
      <c r="C5361" s="115"/>
      <c r="D5361" s="115"/>
      <c r="E5361" s="115"/>
    </row>
    <row r="5362" spans="1:5" ht="13">
      <c r="A5362" s="115"/>
      <c r="B5362" s="115"/>
      <c r="C5362" s="115"/>
      <c r="D5362" s="115"/>
      <c r="E5362" s="115"/>
    </row>
    <row r="5363" spans="1:5" ht="13">
      <c r="A5363" s="115"/>
      <c r="B5363" s="115"/>
      <c r="C5363" s="115"/>
      <c r="D5363" s="115"/>
      <c r="E5363" s="115"/>
    </row>
    <row r="5364" spans="1:5" ht="13">
      <c r="A5364" s="115"/>
      <c r="B5364" s="115"/>
      <c r="C5364" s="115"/>
      <c r="D5364" s="115"/>
      <c r="E5364" s="115"/>
    </row>
    <row r="5365" spans="1:5" ht="13">
      <c r="A5365" s="115"/>
      <c r="B5365" s="115"/>
      <c r="C5365" s="115"/>
      <c r="D5365" s="115"/>
      <c r="E5365" s="115"/>
    </row>
    <row r="5366" spans="1:5" ht="13">
      <c r="A5366" s="115"/>
      <c r="B5366" s="115"/>
      <c r="C5366" s="115"/>
      <c r="D5366" s="115"/>
      <c r="E5366" s="115"/>
    </row>
    <row r="5367" spans="1:5" ht="13">
      <c r="A5367" s="115"/>
      <c r="B5367" s="115"/>
      <c r="C5367" s="115"/>
      <c r="D5367" s="115"/>
      <c r="E5367" s="115"/>
    </row>
    <row r="5368" spans="1:5" ht="13">
      <c r="A5368" s="115"/>
      <c r="B5368" s="115"/>
      <c r="C5368" s="115"/>
      <c r="D5368" s="115"/>
      <c r="E5368" s="115"/>
    </row>
    <row r="5369" spans="1:5" ht="13">
      <c r="A5369" s="115"/>
      <c r="B5369" s="115"/>
      <c r="C5369" s="115"/>
      <c r="D5369" s="115"/>
      <c r="E5369" s="115"/>
    </row>
    <row r="5370" spans="1:5" ht="13">
      <c r="A5370" s="115"/>
      <c r="B5370" s="115"/>
      <c r="C5370" s="115"/>
      <c r="D5370" s="115"/>
      <c r="E5370" s="115"/>
    </row>
    <row r="5371" spans="1:5" ht="13">
      <c r="A5371" s="115"/>
      <c r="B5371" s="115"/>
      <c r="C5371" s="115"/>
      <c r="D5371" s="115"/>
      <c r="E5371" s="115"/>
    </row>
    <row r="5372" spans="1:5" ht="13">
      <c r="A5372" s="115"/>
      <c r="B5372" s="115"/>
      <c r="C5372" s="115"/>
      <c r="D5372" s="115"/>
      <c r="E5372" s="115"/>
    </row>
    <row r="5373" spans="1:5" ht="13">
      <c r="A5373" s="115"/>
      <c r="B5373" s="115"/>
      <c r="C5373" s="115"/>
      <c r="D5373" s="115"/>
      <c r="E5373" s="115"/>
    </row>
    <row r="5374" spans="1:5" ht="13">
      <c r="A5374" s="115"/>
      <c r="B5374" s="115"/>
      <c r="C5374" s="115"/>
      <c r="D5374" s="115"/>
      <c r="E5374" s="115"/>
    </row>
    <row r="5375" spans="1:5" ht="13">
      <c r="A5375" s="115"/>
      <c r="B5375" s="115"/>
      <c r="C5375" s="115"/>
      <c r="D5375" s="115"/>
      <c r="E5375" s="115"/>
    </row>
    <row r="5376" spans="1:5" ht="13">
      <c r="A5376" s="115"/>
      <c r="B5376" s="115"/>
      <c r="C5376" s="115"/>
      <c r="D5376" s="115"/>
      <c r="E5376" s="115"/>
    </row>
    <row r="5377" spans="1:5" ht="13">
      <c r="A5377" s="115"/>
      <c r="B5377" s="115"/>
      <c r="C5377" s="115"/>
      <c r="D5377" s="115"/>
      <c r="E5377" s="115"/>
    </row>
    <row r="5378" spans="1:5" ht="13">
      <c r="A5378" s="115"/>
      <c r="B5378" s="115"/>
      <c r="C5378" s="115"/>
      <c r="D5378" s="115"/>
      <c r="E5378" s="115"/>
    </row>
    <row r="5379" spans="1:5" ht="13">
      <c r="A5379" s="115"/>
      <c r="B5379" s="115"/>
      <c r="C5379" s="115"/>
      <c r="D5379" s="115"/>
      <c r="E5379" s="115"/>
    </row>
    <row r="5380" spans="1:5" ht="13">
      <c r="A5380" s="115"/>
      <c r="B5380" s="115"/>
      <c r="C5380" s="115"/>
      <c r="D5380" s="115"/>
      <c r="E5380" s="115"/>
    </row>
    <row r="5381" spans="1:5" ht="13">
      <c r="A5381" s="115"/>
      <c r="B5381" s="115"/>
      <c r="C5381" s="115"/>
      <c r="D5381" s="115"/>
      <c r="E5381" s="115"/>
    </row>
    <row r="5382" spans="1:5" ht="13">
      <c r="A5382" s="115"/>
      <c r="B5382" s="115"/>
      <c r="C5382" s="115"/>
      <c r="D5382" s="115"/>
      <c r="E5382" s="115"/>
    </row>
    <row r="5383" spans="1:5" ht="13">
      <c r="A5383" s="115"/>
      <c r="B5383" s="115"/>
      <c r="C5383" s="115"/>
      <c r="D5383" s="115"/>
      <c r="E5383" s="115"/>
    </row>
    <row r="5384" spans="1:5" ht="13">
      <c r="A5384" s="115"/>
      <c r="B5384" s="115"/>
      <c r="C5384" s="115"/>
      <c r="D5384" s="115"/>
      <c r="E5384" s="115"/>
    </row>
    <row r="5385" spans="1:5" ht="13">
      <c r="A5385" s="115"/>
      <c r="B5385" s="115"/>
      <c r="C5385" s="115"/>
      <c r="D5385" s="115"/>
      <c r="E5385" s="115"/>
    </row>
    <row r="5386" spans="1:5" ht="13">
      <c r="A5386" s="115"/>
      <c r="B5386" s="115"/>
      <c r="C5386" s="115"/>
      <c r="D5386" s="115"/>
      <c r="E5386" s="115"/>
    </row>
    <row r="5387" spans="1:5" ht="13">
      <c r="A5387" s="115"/>
      <c r="B5387" s="115"/>
      <c r="C5387" s="115"/>
      <c r="D5387" s="115"/>
      <c r="E5387" s="115"/>
    </row>
    <row r="5388" spans="1:5" ht="13">
      <c r="A5388" s="115"/>
      <c r="B5388" s="115"/>
      <c r="C5388" s="115"/>
      <c r="D5388" s="115"/>
      <c r="E5388" s="115"/>
    </row>
    <row r="5389" spans="1:5" ht="13">
      <c r="A5389" s="115"/>
      <c r="B5389" s="115"/>
      <c r="C5389" s="115"/>
      <c r="D5389" s="115"/>
      <c r="E5389" s="115"/>
    </row>
    <row r="5390" spans="1:5" ht="13">
      <c r="A5390" s="115"/>
      <c r="B5390" s="115"/>
      <c r="C5390" s="115"/>
      <c r="D5390" s="115"/>
      <c r="E5390" s="115"/>
    </row>
    <row r="5391" spans="1:5" ht="13">
      <c r="A5391" s="115"/>
      <c r="B5391" s="115"/>
      <c r="C5391" s="115"/>
      <c r="D5391" s="115"/>
      <c r="E5391" s="115"/>
    </row>
    <row r="5392" spans="1:5" ht="13">
      <c r="A5392" s="115"/>
      <c r="B5392" s="115"/>
      <c r="C5392" s="115"/>
      <c r="D5392" s="115"/>
      <c r="E5392" s="115"/>
    </row>
    <row r="5393" spans="1:5" ht="13">
      <c r="A5393" s="115"/>
      <c r="B5393" s="115"/>
      <c r="C5393" s="115"/>
      <c r="D5393" s="115"/>
      <c r="E5393" s="115"/>
    </row>
    <row r="5394" spans="1:5" ht="13">
      <c r="A5394" s="115"/>
      <c r="B5394" s="115"/>
      <c r="C5394" s="115"/>
      <c r="D5394" s="115"/>
      <c r="E5394" s="115"/>
    </row>
    <row r="5395" spans="1:5" ht="13">
      <c r="A5395" s="115"/>
      <c r="B5395" s="115"/>
      <c r="C5395" s="115"/>
      <c r="D5395" s="115"/>
      <c r="E5395" s="115"/>
    </row>
    <row r="5396" spans="1:5" ht="13">
      <c r="A5396" s="115"/>
      <c r="B5396" s="115"/>
      <c r="C5396" s="115"/>
      <c r="D5396" s="115"/>
      <c r="E5396" s="115"/>
    </row>
    <row r="5397" spans="1:5" ht="13">
      <c r="A5397" s="115"/>
      <c r="B5397" s="115"/>
      <c r="C5397" s="115"/>
      <c r="D5397" s="115"/>
      <c r="E5397" s="115"/>
    </row>
    <row r="5398" spans="1:5" ht="13">
      <c r="A5398" s="115"/>
      <c r="B5398" s="115"/>
      <c r="C5398" s="115"/>
      <c r="D5398" s="115"/>
      <c r="E5398" s="115"/>
    </row>
    <row r="5399" spans="1:5" ht="13">
      <c r="A5399" s="115"/>
      <c r="B5399" s="115"/>
      <c r="C5399" s="115"/>
      <c r="D5399" s="115"/>
      <c r="E5399" s="115"/>
    </row>
    <row r="5400" spans="1:5" ht="13">
      <c r="A5400" s="115"/>
      <c r="B5400" s="115"/>
      <c r="C5400" s="115"/>
      <c r="D5400" s="115"/>
      <c r="E5400" s="115"/>
    </row>
    <row r="5401" spans="1:5" ht="13">
      <c r="A5401" s="115"/>
      <c r="B5401" s="115"/>
      <c r="C5401" s="115"/>
      <c r="D5401" s="115"/>
      <c r="E5401" s="115"/>
    </row>
    <row r="5402" spans="1:5" ht="13">
      <c r="A5402" s="115"/>
      <c r="B5402" s="115"/>
      <c r="C5402" s="115"/>
      <c r="D5402" s="115"/>
      <c r="E5402" s="115"/>
    </row>
    <row r="5403" spans="1:5" ht="13">
      <c r="A5403" s="115"/>
      <c r="B5403" s="115"/>
      <c r="C5403" s="115"/>
      <c r="D5403" s="115"/>
      <c r="E5403" s="115"/>
    </row>
    <row r="5404" spans="1:5" ht="13">
      <c r="A5404" s="115"/>
      <c r="B5404" s="115"/>
      <c r="C5404" s="115"/>
      <c r="D5404" s="115"/>
      <c r="E5404" s="115"/>
    </row>
    <row r="5405" spans="1:5" ht="13">
      <c r="A5405" s="115"/>
      <c r="B5405" s="115"/>
      <c r="C5405" s="115"/>
      <c r="D5405" s="115"/>
      <c r="E5405" s="115"/>
    </row>
    <row r="5406" spans="1:5" ht="13">
      <c r="A5406" s="115"/>
      <c r="B5406" s="115"/>
      <c r="C5406" s="115"/>
      <c r="D5406" s="115"/>
      <c r="E5406" s="115"/>
    </row>
    <row r="5407" spans="1:5" ht="13">
      <c r="A5407" s="115"/>
      <c r="B5407" s="115"/>
      <c r="C5407" s="115"/>
      <c r="D5407" s="115"/>
      <c r="E5407" s="115"/>
    </row>
    <row r="5408" spans="1:5" ht="13">
      <c r="A5408" s="115"/>
      <c r="B5408" s="115"/>
      <c r="C5408" s="115"/>
      <c r="D5408" s="115"/>
      <c r="E5408" s="115"/>
    </row>
    <row r="5409" spans="1:5" ht="13">
      <c r="A5409" s="115"/>
      <c r="B5409" s="115"/>
      <c r="C5409" s="115"/>
      <c r="D5409" s="115"/>
      <c r="E5409" s="115"/>
    </row>
    <row r="5410" spans="1:5" ht="13">
      <c r="A5410" s="115"/>
      <c r="B5410" s="115"/>
      <c r="C5410" s="115"/>
      <c r="D5410" s="115"/>
      <c r="E5410" s="115"/>
    </row>
    <row r="5411" spans="1:5" ht="13">
      <c r="A5411" s="115"/>
      <c r="B5411" s="115"/>
      <c r="C5411" s="115"/>
      <c r="D5411" s="115"/>
      <c r="E5411" s="115"/>
    </row>
    <row r="5412" spans="1:5" ht="13">
      <c r="A5412" s="115"/>
      <c r="B5412" s="115"/>
      <c r="C5412" s="115"/>
      <c r="D5412" s="115"/>
      <c r="E5412" s="115"/>
    </row>
    <row r="5413" spans="1:5" ht="13">
      <c r="A5413" s="115"/>
      <c r="B5413" s="115"/>
      <c r="C5413" s="115"/>
      <c r="D5413" s="115"/>
      <c r="E5413" s="115"/>
    </row>
    <row r="5414" spans="1:5" ht="13">
      <c r="A5414" s="115"/>
      <c r="B5414" s="115"/>
      <c r="C5414" s="115"/>
      <c r="D5414" s="115"/>
      <c r="E5414" s="115"/>
    </row>
    <row r="5415" spans="1:5" ht="13">
      <c r="A5415" s="115"/>
      <c r="B5415" s="115"/>
      <c r="C5415" s="115"/>
      <c r="D5415" s="115"/>
      <c r="E5415" s="115"/>
    </row>
    <row r="5416" spans="1:5" ht="13">
      <c r="A5416" s="115"/>
      <c r="B5416" s="115"/>
      <c r="C5416" s="115"/>
      <c r="D5416" s="115"/>
      <c r="E5416" s="115"/>
    </row>
    <row r="5417" spans="1:5" ht="13">
      <c r="A5417" s="115"/>
      <c r="B5417" s="115"/>
      <c r="C5417" s="115"/>
      <c r="D5417" s="115"/>
      <c r="E5417" s="115"/>
    </row>
    <row r="5418" spans="1:5" ht="13">
      <c r="A5418" s="115"/>
      <c r="B5418" s="115"/>
      <c r="C5418" s="115"/>
      <c r="D5418" s="115"/>
      <c r="E5418" s="115"/>
    </row>
    <row r="5419" spans="1:5" ht="13">
      <c r="A5419" s="115"/>
      <c r="B5419" s="115"/>
      <c r="C5419" s="115"/>
      <c r="D5419" s="115"/>
      <c r="E5419" s="115"/>
    </row>
    <row r="5420" spans="1:5" ht="13">
      <c r="A5420" s="115"/>
      <c r="B5420" s="115"/>
      <c r="C5420" s="115"/>
      <c r="D5420" s="115"/>
      <c r="E5420" s="115"/>
    </row>
    <row r="5421" spans="1:5" ht="13">
      <c r="A5421" s="115"/>
      <c r="B5421" s="115"/>
      <c r="C5421" s="115"/>
      <c r="D5421" s="115"/>
      <c r="E5421" s="115"/>
    </row>
    <row r="5422" spans="1:5" ht="13">
      <c r="A5422" s="115"/>
      <c r="B5422" s="115"/>
      <c r="C5422" s="115"/>
      <c r="D5422" s="115"/>
      <c r="E5422" s="115"/>
    </row>
    <row r="5423" spans="1:5" ht="13">
      <c r="A5423" s="115"/>
      <c r="B5423" s="115"/>
      <c r="C5423" s="115"/>
      <c r="D5423" s="115"/>
      <c r="E5423" s="115"/>
    </row>
    <row r="5424" spans="1:5" ht="13">
      <c r="A5424" s="115"/>
      <c r="B5424" s="115"/>
      <c r="C5424" s="115"/>
      <c r="D5424" s="115"/>
      <c r="E5424" s="115"/>
    </row>
    <row r="5425" spans="1:5" ht="13">
      <c r="A5425" s="115"/>
      <c r="B5425" s="115"/>
      <c r="C5425" s="115"/>
      <c r="D5425" s="115"/>
      <c r="E5425" s="115"/>
    </row>
    <row r="5426" spans="1:5" ht="13">
      <c r="A5426" s="115"/>
      <c r="B5426" s="115"/>
      <c r="C5426" s="115"/>
      <c r="D5426" s="115"/>
      <c r="E5426" s="115"/>
    </row>
    <row r="5427" spans="1:5" ht="13">
      <c r="A5427" s="115"/>
      <c r="B5427" s="115"/>
      <c r="C5427" s="115"/>
      <c r="D5427" s="115"/>
      <c r="E5427" s="115"/>
    </row>
    <row r="5428" spans="1:5" ht="13">
      <c r="A5428" s="115"/>
      <c r="B5428" s="115"/>
      <c r="C5428" s="115"/>
      <c r="D5428" s="115"/>
      <c r="E5428" s="115"/>
    </row>
    <row r="5429" spans="1:5" ht="13">
      <c r="A5429" s="115"/>
      <c r="B5429" s="115"/>
      <c r="C5429" s="115"/>
      <c r="D5429" s="115"/>
      <c r="E5429" s="115"/>
    </row>
    <row r="5430" spans="1:5" ht="13">
      <c r="A5430" s="115"/>
      <c r="B5430" s="115"/>
      <c r="C5430" s="115"/>
      <c r="D5430" s="115"/>
      <c r="E5430" s="115"/>
    </row>
    <row r="5431" spans="1:5" ht="13">
      <c r="A5431" s="115"/>
      <c r="B5431" s="115"/>
      <c r="C5431" s="115"/>
      <c r="D5431" s="115"/>
      <c r="E5431" s="115"/>
    </row>
    <row r="5432" spans="1:5" ht="13">
      <c r="A5432" s="115"/>
      <c r="B5432" s="115"/>
      <c r="C5432" s="115"/>
      <c r="D5432" s="115"/>
      <c r="E5432" s="115"/>
    </row>
    <row r="5433" spans="1:5" ht="13">
      <c r="A5433" s="115"/>
      <c r="B5433" s="115"/>
      <c r="C5433" s="115"/>
      <c r="D5433" s="115"/>
      <c r="E5433" s="115"/>
    </row>
    <row r="5434" spans="1:5" ht="13">
      <c r="A5434" s="115"/>
      <c r="B5434" s="115"/>
      <c r="C5434" s="115"/>
      <c r="D5434" s="115"/>
      <c r="E5434" s="115"/>
    </row>
    <row r="5435" spans="1:5" ht="13">
      <c r="A5435" s="115"/>
      <c r="B5435" s="115"/>
      <c r="C5435" s="115"/>
      <c r="D5435" s="115"/>
      <c r="E5435" s="115"/>
    </row>
    <row r="5436" spans="1:5" ht="13">
      <c r="A5436" s="115"/>
      <c r="B5436" s="115"/>
      <c r="C5436" s="115"/>
      <c r="D5436" s="115"/>
      <c r="E5436" s="115"/>
    </row>
    <row r="5437" spans="1:5" ht="13">
      <c r="A5437" s="115"/>
      <c r="B5437" s="115"/>
      <c r="C5437" s="115"/>
      <c r="D5437" s="115"/>
      <c r="E5437" s="115"/>
    </row>
    <row r="5438" spans="1:5" ht="13">
      <c r="A5438" s="115"/>
      <c r="B5438" s="115"/>
      <c r="C5438" s="115"/>
      <c r="D5438" s="115"/>
      <c r="E5438" s="115"/>
    </row>
    <row r="5439" spans="1:5" ht="13">
      <c r="A5439" s="115"/>
      <c r="B5439" s="115"/>
      <c r="C5439" s="115"/>
      <c r="D5439" s="115"/>
      <c r="E5439" s="115"/>
    </row>
    <row r="5440" spans="1:5" ht="13">
      <c r="A5440" s="115"/>
      <c r="B5440" s="115"/>
      <c r="C5440" s="115"/>
      <c r="D5440" s="115"/>
      <c r="E5440" s="115"/>
    </row>
    <row r="5441" spans="1:5" ht="13">
      <c r="A5441" s="115"/>
      <c r="B5441" s="115"/>
      <c r="C5441" s="115"/>
      <c r="D5441" s="115"/>
      <c r="E5441" s="115"/>
    </row>
    <row r="5442" spans="1:5" ht="13">
      <c r="A5442" s="115"/>
      <c r="B5442" s="115"/>
      <c r="C5442" s="115"/>
      <c r="D5442" s="115"/>
      <c r="E5442" s="115"/>
    </row>
    <row r="5443" spans="1:5" ht="13">
      <c r="A5443" s="115"/>
      <c r="B5443" s="115"/>
      <c r="C5443" s="115"/>
      <c r="D5443" s="115"/>
      <c r="E5443" s="115"/>
    </row>
    <row r="5444" spans="1:5" ht="13">
      <c r="A5444" s="115"/>
      <c r="B5444" s="115"/>
      <c r="C5444" s="115"/>
      <c r="D5444" s="115"/>
      <c r="E5444" s="115"/>
    </row>
    <row r="5445" spans="1:5" ht="13">
      <c r="A5445" s="115"/>
      <c r="B5445" s="115"/>
      <c r="C5445" s="115"/>
      <c r="D5445" s="115"/>
      <c r="E5445" s="115"/>
    </row>
    <row r="5446" spans="1:5" ht="13">
      <c r="A5446" s="115"/>
      <c r="B5446" s="115"/>
      <c r="C5446" s="115"/>
      <c r="D5446" s="115"/>
      <c r="E5446" s="115"/>
    </row>
    <row r="5447" spans="1:5" ht="13">
      <c r="A5447" s="115"/>
      <c r="B5447" s="115"/>
      <c r="C5447" s="115"/>
      <c r="D5447" s="115"/>
      <c r="E5447" s="115"/>
    </row>
    <row r="5448" spans="1:5" ht="13">
      <c r="A5448" s="115"/>
      <c r="B5448" s="115"/>
      <c r="C5448" s="115"/>
      <c r="D5448" s="115"/>
      <c r="E5448" s="115"/>
    </row>
    <row r="5449" spans="1:5" ht="13">
      <c r="A5449" s="115"/>
      <c r="B5449" s="115"/>
      <c r="C5449" s="115"/>
      <c r="D5449" s="115"/>
      <c r="E5449" s="115"/>
    </row>
    <row r="5450" spans="1:5" ht="13">
      <c r="A5450" s="115"/>
      <c r="B5450" s="115"/>
      <c r="C5450" s="115"/>
      <c r="D5450" s="115"/>
      <c r="E5450" s="115"/>
    </row>
    <row r="5451" spans="1:5" ht="13">
      <c r="A5451" s="115"/>
      <c r="B5451" s="115"/>
      <c r="C5451" s="115"/>
      <c r="D5451" s="115"/>
      <c r="E5451" s="115"/>
    </row>
    <row r="5452" spans="1:5" ht="13">
      <c r="A5452" s="115"/>
      <c r="B5452" s="115"/>
      <c r="C5452" s="115"/>
      <c r="D5452" s="115"/>
      <c r="E5452" s="115"/>
    </row>
    <row r="5453" spans="1:5" ht="13">
      <c r="A5453" s="115"/>
      <c r="B5453" s="115"/>
      <c r="C5453" s="115"/>
      <c r="D5453" s="115"/>
      <c r="E5453" s="115"/>
    </row>
    <row r="5454" spans="1:5" ht="13">
      <c r="A5454" s="115"/>
      <c r="B5454" s="115"/>
      <c r="C5454" s="115"/>
      <c r="D5454" s="115"/>
      <c r="E5454" s="115"/>
    </row>
    <row r="5455" spans="1:5" ht="13">
      <c r="A5455" s="115"/>
      <c r="B5455" s="115"/>
      <c r="C5455" s="115"/>
      <c r="D5455" s="115"/>
      <c r="E5455" s="115"/>
    </row>
    <row r="5456" spans="1:5" ht="13">
      <c r="A5456" s="115"/>
      <c r="B5456" s="115"/>
      <c r="C5456" s="115"/>
      <c r="D5456" s="115"/>
      <c r="E5456" s="115"/>
    </row>
    <row r="5457" spans="1:5" ht="13">
      <c r="A5457" s="115"/>
      <c r="B5457" s="115"/>
      <c r="C5457" s="115"/>
      <c r="D5457" s="115"/>
      <c r="E5457" s="115"/>
    </row>
    <row r="5458" spans="1:5" ht="13">
      <c r="A5458" s="115"/>
      <c r="B5458" s="115"/>
      <c r="C5458" s="115"/>
      <c r="D5458" s="115"/>
      <c r="E5458" s="115"/>
    </row>
    <row r="5459" spans="1:5" ht="13">
      <c r="A5459" s="115"/>
      <c r="B5459" s="115"/>
      <c r="C5459" s="115"/>
      <c r="D5459" s="115"/>
      <c r="E5459" s="115"/>
    </row>
    <row r="5460" spans="1:5" ht="13">
      <c r="A5460" s="115"/>
      <c r="B5460" s="115"/>
      <c r="C5460" s="115"/>
      <c r="D5460" s="115"/>
      <c r="E5460" s="115"/>
    </row>
    <row r="5461" spans="1:5" ht="13">
      <c r="A5461" s="115"/>
      <c r="B5461" s="115"/>
      <c r="C5461" s="115"/>
      <c r="D5461" s="115"/>
      <c r="E5461" s="115"/>
    </row>
    <row r="5462" spans="1:5" ht="13">
      <c r="A5462" s="115"/>
      <c r="B5462" s="115"/>
      <c r="C5462" s="115"/>
      <c r="D5462" s="115"/>
      <c r="E5462" s="115"/>
    </row>
    <row r="5463" spans="1:5" ht="13">
      <c r="A5463" s="115"/>
      <c r="B5463" s="115"/>
      <c r="C5463" s="115"/>
      <c r="D5463" s="115"/>
      <c r="E5463" s="115"/>
    </row>
    <row r="5464" spans="1:5" ht="13">
      <c r="A5464" s="115"/>
      <c r="B5464" s="115"/>
      <c r="C5464" s="115"/>
      <c r="D5464" s="115"/>
      <c r="E5464" s="115"/>
    </row>
    <row r="5465" spans="1:5" ht="13">
      <c r="A5465" s="115"/>
      <c r="B5465" s="115"/>
      <c r="C5465" s="115"/>
      <c r="D5465" s="115"/>
      <c r="E5465" s="115"/>
    </row>
    <row r="5466" spans="1:5" ht="13">
      <c r="A5466" s="115"/>
      <c r="B5466" s="115"/>
      <c r="C5466" s="115"/>
      <c r="D5466" s="115"/>
      <c r="E5466" s="115"/>
    </row>
    <row r="5467" spans="1:5" ht="13">
      <c r="A5467" s="115"/>
      <c r="B5467" s="115"/>
      <c r="C5467" s="115"/>
      <c r="D5467" s="115"/>
      <c r="E5467" s="115"/>
    </row>
    <row r="5468" spans="1:5" ht="13">
      <c r="A5468" s="115"/>
      <c r="B5468" s="115"/>
      <c r="C5468" s="115"/>
      <c r="D5468" s="115"/>
      <c r="E5468" s="115"/>
    </row>
    <row r="5469" spans="1:5" ht="13">
      <c r="A5469" s="115"/>
      <c r="B5469" s="115"/>
      <c r="C5469" s="115"/>
      <c r="D5469" s="115"/>
      <c r="E5469" s="115"/>
    </row>
    <row r="5470" spans="1:5" ht="13">
      <c r="A5470" s="115"/>
      <c r="B5470" s="115"/>
      <c r="C5470" s="115"/>
      <c r="D5470" s="115"/>
      <c r="E5470" s="115"/>
    </row>
    <row r="5471" spans="1:5" ht="13">
      <c r="A5471" s="115"/>
      <c r="B5471" s="115"/>
      <c r="C5471" s="115"/>
      <c r="D5471" s="115"/>
      <c r="E5471" s="115"/>
    </row>
    <row r="5472" spans="1:5" ht="13">
      <c r="A5472" s="115"/>
      <c r="B5472" s="115"/>
      <c r="C5472" s="115"/>
      <c r="D5472" s="115"/>
      <c r="E5472" s="115"/>
    </row>
    <row r="5473" spans="1:5" ht="13">
      <c r="A5473" s="115"/>
      <c r="B5473" s="115"/>
      <c r="C5473" s="115"/>
      <c r="D5473" s="115"/>
      <c r="E5473" s="115"/>
    </row>
    <row r="5474" spans="1:5" ht="13">
      <c r="A5474" s="115"/>
      <c r="B5474" s="115"/>
      <c r="C5474" s="115"/>
      <c r="D5474" s="115"/>
      <c r="E5474" s="115"/>
    </row>
    <row r="5475" spans="1:5" ht="13">
      <c r="A5475" s="115"/>
      <c r="B5475" s="115"/>
      <c r="C5475" s="115"/>
      <c r="D5475" s="115"/>
      <c r="E5475" s="115"/>
    </row>
    <row r="5476" spans="1:5" ht="13">
      <c r="A5476" s="115"/>
      <c r="B5476" s="115"/>
      <c r="C5476" s="115"/>
      <c r="D5476" s="115"/>
      <c r="E5476" s="115"/>
    </row>
    <row r="5477" spans="1:5" ht="13">
      <c r="A5477" s="115"/>
      <c r="B5477" s="115"/>
      <c r="C5477" s="115"/>
      <c r="D5477" s="115"/>
      <c r="E5477" s="115"/>
    </row>
    <row r="5478" spans="1:5" ht="13">
      <c r="A5478" s="115"/>
      <c r="B5478" s="115"/>
      <c r="C5478" s="115"/>
      <c r="D5478" s="115"/>
      <c r="E5478" s="115"/>
    </row>
    <row r="5479" spans="1:5" ht="13">
      <c r="A5479" s="115"/>
      <c r="B5479" s="115"/>
      <c r="C5479" s="115"/>
      <c r="D5479" s="115"/>
      <c r="E5479" s="115"/>
    </row>
    <row r="5480" spans="1:5" ht="13">
      <c r="A5480" s="115"/>
      <c r="B5480" s="115"/>
      <c r="C5480" s="115"/>
      <c r="D5480" s="115"/>
      <c r="E5480" s="115"/>
    </row>
    <row r="5481" spans="1:5" ht="13">
      <c r="A5481" s="115"/>
      <c r="B5481" s="115"/>
      <c r="C5481" s="115"/>
      <c r="D5481" s="115"/>
      <c r="E5481" s="115"/>
    </row>
    <row r="5482" spans="1:5" ht="13">
      <c r="A5482" s="115"/>
      <c r="B5482" s="115"/>
      <c r="C5482" s="115"/>
      <c r="D5482" s="115"/>
      <c r="E5482" s="115"/>
    </row>
    <row r="5483" spans="1:5" ht="13">
      <c r="A5483" s="115"/>
      <c r="B5483" s="115"/>
      <c r="C5483" s="115"/>
      <c r="D5483" s="115"/>
      <c r="E5483" s="115"/>
    </row>
    <row r="5484" spans="1:5" ht="13">
      <c r="A5484" s="115"/>
      <c r="B5484" s="115"/>
      <c r="C5484" s="115"/>
      <c r="D5484" s="115"/>
      <c r="E5484" s="115"/>
    </row>
    <row r="5485" spans="1:5" ht="13">
      <c r="A5485" s="115"/>
      <c r="B5485" s="115"/>
      <c r="C5485" s="115"/>
      <c r="D5485" s="115"/>
      <c r="E5485" s="115"/>
    </row>
    <row r="5486" spans="1:5" ht="13">
      <c r="A5486" s="115"/>
      <c r="B5486" s="115"/>
      <c r="C5486" s="115"/>
      <c r="D5486" s="115"/>
      <c r="E5486" s="115"/>
    </row>
    <row r="5487" spans="1:5" ht="13">
      <c r="A5487" s="115"/>
      <c r="B5487" s="115"/>
      <c r="C5487" s="115"/>
      <c r="D5487" s="115"/>
      <c r="E5487" s="115"/>
    </row>
    <row r="5488" spans="1:5" ht="13">
      <c r="A5488" s="115"/>
      <c r="B5488" s="115"/>
      <c r="C5488" s="115"/>
      <c r="D5488" s="115"/>
      <c r="E5488" s="115"/>
    </row>
    <row r="5489" spans="1:5" ht="13">
      <c r="A5489" s="115"/>
      <c r="B5489" s="115"/>
      <c r="C5489" s="115"/>
      <c r="D5489" s="115"/>
      <c r="E5489" s="115"/>
    </row>
    <row r="5490" spans="1:5" ht="13">
      <c r="A5490" s="115"/>
      <c r="B5490" s="115"/>
      <c r="C5490" s="115"/>
      <c r="D5490" s="115"/>
      <c r="E5490" s="115"/>
    </row>
    <row r="5491" spans="1:5" ht="13">
      <c r="A5491" s="115"/>
      <c r="B5491" s="115"/>
      <c r="C5491" s="115"/>
      <c r="D5491" s="115"/>
      <c r="E5491" s="115"/>
    </row>
    <row r="5492" spans="1:5" ht="13">
      <c r="A5492" s="115"/>
      <c r="B5492" s="115"/>
      <c r="C5492" s="115"/>
      <c r="D5492" s="115"/>
      <c r="E5492" s="115"/>
    </row>
    <row r="5493" spans="1:5" ht="13">
      <c r="A5493" s="115"/>
      <c r="B5493" s="115"/>
      <c r="C5493" s="115"/>
      <c r="D5493" s="115"/>
      <c r="E5493" s="115"/>
    </row>
    <row r="5494" spans="1:5" ht="13">
      <c r="A5494" s="115"/>
      <c r="B5494" s="115"/>
      <c r="C5494" s="115"/>
      <c r="D5494" s="115"/>
      <c r="E5494" s="115"/>
    </row>
    <row r="5495" spans="1:5" ht="13">
      <c r="A5495" s="115"/>
      <c r="B5495" s="115"/>
      <c r="C5495" s="115"/>
      <c r="D5495" s="115"/>
      <c r="E5495" s="115"/>
    </row>
    <row r="5496" spans="1:5" ht="13">
      <c r="A5496" s="115"/>
      <c r="B5496" s="115"/>
      <c r="C5496" s="115"/>
      <c r="D5496" s="115"/>
      <c r="E5496" s="115"/>
    </row>
    <row r="5497" spans="1:5" ht="13">
      <c r="A5497" s="115"/>
      <c r="B5497" s="115"/>
      <c r="C5497" s="115"/>
      <c r="D5497" s="115"/>
      <c r="E5497" s="115"/>
    </row>
    <row r="5498" spans="1:5" ht="13">
      <c r="A5498" s="115"/>
      <c r="B5498" s="115"/>
      <c r="C5498" s="115"/>
      <c r="D5498" s="115"/>
      <c r="E5498" s="115"/>
    </row>
    <row r="5499" spans="1:5" ht="13">
      <c r="A5499" s="115"/>
      <c r="B5499" s="115"/>
      <c r="C5499" s="115"/>
      <c r="D5499" s="115"/>
      <c r="E5499" s="115"/>
    </row>
    <row r="5500" spans="1:5" ht="13">
      <c r="A5500" s="115"/>
      <c r="B5500" s="115"/>
      <c r="C5500" s="115"/>
      <c r="D5500" s="115"/>
      <c r="E5500" s="115"/>
    </row>
    <row r="5501" spans="1:5" ht="13">
      <c r="A5501" s="115"/>
      <c r="B5501" s="115"/>
      <c r="C5501" s="115"/>
      <c r="D5501" s="115"/>
      <c r="E5501" s="115"/>
    </row>
    <row r="5502" spans="1:5" ht="13">
      <c r="A5502" s="115"/>
      <c r="B5502" s="115"/>
      <c r="C5502" s="115"/>
      <c r="D5502" s="115"/>
      <c r="E5502" s="115"/>
    </row>
    <row r="5503" spans="1:5" ht="13">
      <c r="A5503" s="115"/>
      <c r="B5503" s="115"/>
      <c r="C5503" s="115"/>
      <c r="D5503" s="115"/>
      <c r="E5503" s="115"/>
    </row>
    <row r="5504" spans="1:5" ht="13">
      <c r="A5504" s="115"/>
      <c r="B5504" s="115"/>
      <c r="C5504" s="115"/>
      <c r="D5504" s="115"/>
      <c r="E5504" s="115"/>
    </row>
    <row r="5505" spans="1:5" ht="13">
      <c r="A5505" s="115"/>
      <c r="B5505" s="115"/>
      <c r="C5505" s="115"/>
      <c r="D5505" s="115"/>
      <c r="E5505" s="115"/>
    </row>
    <row r="5506" spans="1:5" ht="13">
      <c r="A5506" s="115"/>
      <c r="B5506" s="115"/>
      <c r="C5506" s="115"/>
      <c r="D5506" s="115"/>
      <c r="E5506" s="115"/>
    </row>
    <row r="5507" spans="1:5" ht="13">
      <c r="A5507" s="115"/>
      <c r="B5507" s="115"/>
      <c r="C5507" s="115"/>
      <c r="D5507" s="115"/>
      <c r="E5507" s="115"/>
    </row>
    <row r="5508" spans="1:5" ht="13">
      <c r="A5508" s="115"/>
      <c r="B5508" s="115"/>
      <c r="C5508" s="115"/>
      <c r="D5508" s="115"/>
      <c r="E5508" s="115"/>
    </row>
    <row r="5509" spans="1:5" ht="13">
      <c r="A5509" s="115"/>
      <c r="B5509" s="115"/>
      <c r="C5509" s="115"/>
      <c r="D5509" s="115"/>
      <c r="E5509" s="115"/>
    </row>
    <row r="5510" spans="1:5" ht="13">
      <c r="A5510" s="115"/>
      <c r="B5510" s="115"/>
      <c r="C5510" s="115"/>
      <c r="D5510" s="115"/>
      <c r="E5510" s="115"/>
    </row>
    <row r="5511" spans="1:5" ht="13">
      <c r="A5511" s="115"/>
      <c r="B5511" s="115"/>
      <c r="C5511" s="115"/>
      <c r="D5511" s="115"/>
      <c r="E5511" s="115"/>
    </row>
    <row r="5512" spans="1:5" ht="13">
      <c r="A5512" s="115"/>
      <c r="B5512" s="115"/>
      <c r="C5512" s="115"/>
      <c r="D5512" s="115"/>
      <c r="E5512" s="115"/>
    </row>
    <row r="5513" spans="1:5" ht="13">
      <c r="A5513" s="115"/>
      <c r="B5513" s="115"/>
      <c r="C5513" s="115"/>
      <c r="D5513" s="115"/>
      <c r="E5513" s="115"/>
    </row>
    <row r="5514" spans="1:5" ht="13">
      <c r="A5514" s="115"/>
      <c r="B5514" s="115"/>
      <c r="C5514" s="115"/>
      <c r="D5514" s="115"/>
      <c r="E5514" s="115"/>
    </row>
    <row r="5515" spans="1:5" ht="13">
      <c r="A5515" s="115"/>
      <c r="B5515" s="115"/>
      <c r="C5515" s="115"/>
      <c r="D5515" s="115"/>
      <c r="E5515" s="115"/>
    </row>
    <row r="5516" spans="1:5" ht="13">
      <c r="A5516" s="115"/>
      <c r="B5516" s="115"/>
      <c r="C5516" s="115"/>
      <c r="D5516" s="115"/>
      <c r="E5516" s="115"/>
    </row>
    <row r="5517" spans="1:5" ht="13">
      <c r="A5517" s="115"/>
      <c r="B5517" s="115"/>
      <c r="C5517" s="115"/>
      <c r="D5517" s="115"/>
      <c r="E5517" s="115"/>
    </row>
    <row r="5518" spans="1:5" ht="13">
      <c r="A5518" s="115"/>
      <c r="B5518" s="115"/>
      <c r="C5518" s="115"/>
      <c r="D5518" s="115"/>
      <c r="E5518" s="115"/>
    </row>
    <row r="5519" spans="1:5" ht="13">
      <c r="A5519" s="115"/>
      <c r="B5519" s="115"/>
      <c r="C5519" s="115"/>
      <c r="D5519" s="115"/>
      <c r="E5519" s="115"/>
    </row>
    <row r="5520" spans="1:5" ht="13">
      <c r="A5520" s="115"/>
      <c r="B5520" s="115"/>
      <c r="C5520" s="115"/>
      <c r="D5520" s="115"/>
      <c r="E5520" s="115"/>
    </row>
    <row r="5521" spans="1:5" ht="13">
      <c r="A5521" s="115"/>
      <c r="B5521" s="115"/>
      <c r="C5521" s="115"/>
      <c r="D5521" s="115"/>
      <c r="E5521" s="115"/>
    </row>
    <row r="5522" spans="1:5" ht="13">
      <c r="A5522" s="115"/>
      <c r="B5522" s="115"/>
      <c r="C5522" s="115"/>
      <c r="D5522" s="115"/>
      <c r="E5522" s="115"/>
    </row>
    <row r="5523" spans="1:5" ht="13">
      <c r="A5523" s="115"/>
      <c r="B5523" s="115"/>
      <c r="C5523" s="115"/>
      <c r="D5523" s="115"/>
      <c r="E5523" s="115"/>
    </row>
    <row r="5524" spans="1:5" ht="13">
      <c r="A5524" s="115"/>
      <c r="B5524" s="115"/>
      <c r="C5524" s="115"/>
      <c r="D5524" s="115"/>
      <c r="E5524" s="115"/>
    </row>
    <row r="5525" spans="1:5" ht="13">
      <c r="A5525" s="115"/>
      <c r="B5525" s="115"/>
      <c r="C5525" s="115"/>
      <c r="D5525" s="115"/>
      <c r="E5525" s="115"/>
    </row>
    <row r="5526" spans="1:5" ht="13">
      <c r="A5526" s="115"/>
      <c r="B5526" s="115"/>
      <c r="C5526" s="115"/>
      <c r="D5526" s="115"/>
      <c r="E5526" s="115"/>
    </row>
    <row r="5527" spans="1:5" ht="13">
      <c r="A5527" s="115"/>
      <c r="B5527" s="115"/>
      <c r="C5527" s="115"/>
      <c r="D5527" s="115"/>
      <c r="E5527" s="115"/>
    </row>
    <row r="5528" spans="1:5" ht="13">
      <c r="A5528" s="115"/>
      <c r="B5528" s="115"/>
      <c r="C5528" s="115"/>
      <c r="D5528" s="115"/>
      <c r="E5528" s="115"/>
    </row>
    <row r="5529" spans="1:5" ht="13">
      <c r="A5529" s="115"/>
      <c r="B5529" s="115"/>
      <c r="C5529" s="115"/>
      <c r="D5529" s="115"/>
      <c r="E5529" s="115"/>
    </row>
    <row r="5530" spans="1:5" ht="13">
      <c r="A5530" s="115"/>
      <c r="B5530" s="115"/>
      <c r="C5530" s="115"/>
      <c r="D5530" s="115"/>
      <c r="E5530" s="115"/>
    </row>
    <row r="5531" spans="1:5" ht="13">
      <c r="A5531" s="115"/>
      <c r="B5531" s="115"/>
      <c r="C5531" s="115"/>
      <c r="D5531" s="115"/>
      <c r="E5531" s="115"/>
    </row>
    <row r="5532" spans="1:5" ht="13">
      <c r="A5532" s="115"/>
      <c r="B5532" s="115"/>
      <c r="C5532" s="115"/>
      <c r="D5532" s="115"/>
      <c r="E5532" s="115"/>
    </row>
    <row r="5533" spans="1:5" ht="13">
      <c r="A5533" s="115"/>
      <c r="B5533" s="115"/>
      <c r="C5533" s="115"/>
      <c r="D5533" s="115"/>
      <c r="E5533" s="115"/>
    </row>
    <row r="5534" spans="1:5" ht="13">
      <c r="A5534" s="115"/>
      <c r="B5534" s="115"/>
      <c r="C5534" s="115"/>
      <c r="D5534" s="115"/>
      <c r="E5534" s="115"/>
    </row>
    <row r="5535" spans="1:5" ht="13">
      <c r="A5535" s="115"/>
      <c r="B5535" s="115"/>
      <c r="C5535" s="115"/>
      <c r="D5535" s="115"/>
      <c r="E5535" s="115"/>
    </row>
    <row r="5536" spans="1:5" ht="13">
      <c r="A5536" s="115"/>
      <c r="B5536" s="115"/>
      <c r="C5536" s="115"/>
      <c r="D5536" s="115"/>
      <c r="E5536" s="115"/>
    </row>
    <row r="5537" spans="1:5" ht="13">
      <c r="A5537" s="115"/>
      <c r="B5537" s="115"/>
      <c r="C5537" s="115"/>
      <c r="D5537" s="115"/>
      <c r="E5537" s="115"/>
    </row>
    <row r="5538" spans="1:5" ht="13">
      <c r="A5538" s="115"/>
      <c r="B5538" s="115"/>
      <c r="C5538" s="115"/>
      <c r="D5538" s="115"/>
      <c r="E5538" s="115"/>
    </row>
    <row r="5539" spans="1:5" ht="13">
      <c r="A5539" s="115"/>
      <c r="B5539" s="115"/>
      <c r="C5539" s="115"/>
      <c r="D5539" s="115"/>
      <c r="E5539" s="115"/>
    </row>
    <row r="5540" spans="1:5" ht="13">
      <c r="A5540" s="115"/>
      <c r="B5540" s="115"/>
      <c r="C5540" s="115"/>
      <c r="D5540" s="115"/>
      <c r="E5540" s="115"/>
    </row>
    <row r="5541" spans="1:5" ht="13">
      <c r="A5541" s="115"/>
      <c r="B5541" s="115"/>
      <c r="C5541" s="115"/>
      <c r="D5541" s="115"/>
      <c r="E5541" s="115"/>
    </row>
    <row r="5542" spans="1:5" ht="13">
      <c r="A5542" s="115"/>
      <c r="B5542" s="115"/>
      <c r="C5542" s="115"/>
      <c r="D5542" s="115"/>
      <c r="E5542" s="115"/>
    </row>
    <row r="5543" spans="1:5" ht="13">
      <c r="A5543" s="115"/>
      <c r="B5543" s="115"/>
      <c r="C5543" s="115"/>
      <c r="D5543" s="115"/>
      <c r="E5543" s="115"/>
    </row>
    <row r="5544" spans="1:5" ht="13">
      <c r="A5544" s="115"/>
      <c r="B5544" s="115"/>
      <c r="C5544" s="115"/>
      <c r="D5544" s="115"/>
      <c r="E5544" s="115"/>
    </row>
    <row r="5545" spans="1:5" ht="13">
      <c r="A5545" s="115"/>
      <c r="B5545" s="115"/>
      <c r="C5545" s="115"/>
      <c r="D5545" s="115"/>
      <c r="E5545" s="115"/>
    </row>
    <row r="5546" spans="1:5" ht="13">
      <c r="A5546" s="115"/>
      <c r="B5546" s="115"/>
      <c r="C5546" s="115"/>
      <c r="D5546" s="115"/>
      <c r="E5546" s="115"/>
    </row>
    <row r="5547" spans="1:5" ht="13">
      <c r="A5547" s="115"/>
      <c r="B5547" s="115"/>
      <c r="C5547" s="115"/>
      <c r="D5547" s="115"/>
      <c r="E5547" s="115"/>
    </row>
    <row r="5548" spans="1:5" ht="13">
      <c r="A5548" s="115"/>
      <c r="B5548" s="115"/>
      <c r="C5548" s="115"/>
      <c r="D5548" s="115"/>
      <c r="E5548" s="115"/>
    </row>
    <row r="5549" spans="1:5" ht="13">
      <c r="A5549" s="115"/>
      <c r="B5549" s="115"/>
      <c r="C5549" s="115"/>
      <c r="D5549" s="115"/>
      <c r="E5549" s="115"/>
    </row>
    <row r="5550" spans="1:5" ht="13">
      <c r="A5550" s="115"/>
      <c r="B5550" s="115"/>
      <c r="C5550" s="115"/>
      <c r="D5550" s="115"/>
      <c r="E5550" s="115"/>
    </row>
    <row r="5551" spans="1:5" ht="13">
      <c r="A5551" s="115"/>
      <c r="B5551" s="115"/>
      <c r="C5551" s="115"/>
      <c r="D5551" s="115"/>
      <c r="E5551" s="115"/>
    </row>
    <row r="5552" spans="1:5" ht="13">
      <c r="A5552" s="115"/>
      <c r="B5552" s="115"/>
      <c r="C5552" s="115"/>
      <c r="D5552" s="115"/>
      <c r="E5552" s="115"/>
    </row>
    <row r="5553" spans="1:5" ht="13">
      <c r="A5553" s="115"/>
      <c r="B5553" s="115"/>
      <c r="C5553" s="115"/>
      <c r="D5553" s="115"/>
      <c r="E5553" s="115"/>
    </row>
    <row r="5554" spans="1:5" ht="13">
      <c r="A5554" s="115"/>
      <c r="B5554" s="115"/>
      <c r="C5554" s="115"/>
      <c r="D5554" s="115"/>
      <c r="E5554" s="115"/>
    </row>
    <row r="5555" spans="1:5" ht="13">
      <c r="A5555" s="115"/>
      <c r="B5555" s="115"/>
      <c r="C5555" s="115"/>
      <c r="D5555" s="115"/>
      <c r="E5555" s="115"/>
    </row>
    <row r="5556" spans="1:5" ht="13">
      <c r="A5556" s="115"/>
      <c r="B5556" s="115"/>
      <c r="C5556" s="115"/>
      <c r="D5556" s="115"/>
      <c r="E5556" s="115"/>
    </row>
    <row r="5557" spans="1:5" ht="13">
      <c r="A5557" s="115"/>
      <c r="B5557" s="115"/>
      <c r="C5557" s="115"/>
      <c r="D5557" s="115"/>
      <c r="E5557" s="115"/>
    </row>
    <row r="5558" spans="1:5" ht="13">
      <c r="A5558" s="115"/>
      <c r="B5558" s="115"/>
      <c r="C5558" s="115"/>
      <c r="D5558" s="115"/>
      <c r="E5558" s="115"/>
    </row>
    <row r="5559" spans="1:5" ht="13">
      <c r="A5559" s="115"/>
      <c r="B5559" s="115"/>
      <c r="C5559" s="115"/>
      <c r="D5559" s="115"/>
      <c r="E5559" s="115"/>
    </row>
    <row r="5560" spans="1:5" ht="13">
      <c r="A5560" s="115"/>
      <c r="B5560" s="115"/>
      <c r="C5560" s="115"/>
      <c r="D5560" s="115"/>
      <c r="E5560" s="115"/>
    </row>
    <row r="5561" spans="1:5" ht="13">
      <c r="A5561" s="115"/>
      <c r="B5561" s="115"/>
      <c r="C5561" s="115"/>
      <c r="D5561" s="115"/>
      <c r="E5561" s="115"/>
    </row>
    <row r="5562" spans="1:5" ht="13">
      <c r="A5562" s="115"/>
      <c r="B5562" s="115"/>
      <c r="C5562" s="115"/>
      <c r="D5562" s="115"/>
      <c r="E5562" s="115"/>
    </row>
    <row r="5563" spans="1:5" ht="13">
      <c r="A5563" s="115"/>
      <c r="B5563" s="115"/>
      <c r="C5563" s="115"/>
      <c r="D5563" s="115"/>
      <c r="E5563" s="115"/>
    </row>
    <row r="5564" spans="1:5" ht="13">
      <c r="A5564" s="115"/>
      <c r="B5564" s="115"/>
      <c r="C5564" s="115"/>
      <c r="D5564" s="115"/>
      <c r="E5564" s="115"/>
    </row>
    <row r="5565" spans="1:5" ht="13">
      <c r="A5565" s="115"/>
      <c r="B5565" s="115"/>
      <c r="C5565" s="115"/>
      <c r="D5565" s="115"/>
      <c r="E5565" s="115"/>
    </row>
    <row r="5566" spans="1:5" ht="13">
      <c r="A5566" s="115"/>
      <c r="B5566" s="115"/>
      <c r="C5566" s="115"/>
      <c r="D5566" s="115"/>
      <c r="E5566" s="115"/>
    </row>
    <row r="5567" spans="1:5" ht="13">
      <c r="A5567" s="115"/>
      <c r="B5567" s="115"/>
      <c r="C5567" s="115"/>
      <c r="D5567" s="115"/>
      <c r="E5567" s="115"/>
    </row>
    <row r="5568" spans="1:5" ht="13">
      <c r="A5568" s="115"/>
      <c r="B5568" s="115"/>
      <c r="C5568" s="115"/>
      <c r="D5568" s="115"/>
      <c r="E5568" s="115"/>
    </row>
    <row r="5569" spans="1:5" ht="13">
      <c r="A5569" s="115"/>
      <c r="B5569" s="115"/>
      <c r="C5569" s="115"/>
      <c r="D5569" s="115"/>
      <c r="E5569" s="115"/>
    </row>
    <row r="5570" spans="1:5" ht="13">
      <c r="A5570" s="115"/>
      <c r="B5570" s="115"/>
      <c r="C5570" s="115"/>
      <c r="D5570" s="115"/>
      <c r="E5570" s="115"/>
    </row>
    <row r="5571" spans="1:5" ht="13">
      <c r="A5571" s="115"/>
      <c r="B5571" s="115"/>
      <c r="C5571" s="115"/>
      <c r="D5571" s="115"/>
      <c r="E5571" s="115"/>
    </row>
    <row r="5572" spans="1:5" ht="13">
      <c r="A5572" s="115"/>
      <c r="B5572" s="115"/>
      <c r="C5572" s="115"/>
      <c r="D5572" s="115"/>
      <c r="E5572" s="115"/>
    </row>
    <row r="5573" spans="1:5" ht="13">
      <c r="A5573" s="115"/>
      <c r="B5573" s="115"/>
      <c r="C5573" s="115"/>
      <c r="D5573" s="115"/>
      <c r="E5573" s="115"/>
    </row>
    <row r="5574" spans="1:5" ht="13">
      <c r="A5574" s="115"/>
      <c r="B5574" s="115"/>
      <c r="C5574" s="115"/>
      <c r="D5574" s="115"/>
      <c r="E5574" s="115"/>
    </row>
    <row r="5575" spans="1:5" ht="13">
      <c r="A5575" s="115"/>
      <c r="B5575" s="115"/>
      <c r="C5575" s="115"/>
      <c r="D5575" s="115"/>
      <c r="E5575" s="115"/>
    </row>
    <row r="5576" spans="1:5" ht="13">
      <c r="A5576" s="115"/>
      <c r="B5576" s="115"/>
      <c r="C5576" s="115"/>
      <c r="D5576" s="115"/>
      <c r="E5576" s="115"/>
    </row>
    <row r="5577" spans="1:5" ht="13">
      <c r="A5577" s="115"/>
      <c r="B5577" s="115"/>
      <c r="C5577" s="115"/>
      <c r="D5577" s="115"/>
      <c r="E5577" s="115"/>
    </row>
    <row r="5578" spans="1:5" ht="13">
      <c r="A5578" s="115"/>
      <c r="B5578" s="115"/>
      <c r="C5578" s="115"/>
      <c r="D5578" s="115"/>
      <c r="E5578" s="115"/>
    </row>
    <row r="5579" spans="1:5" ht="13">
      <c r="A5579" s="115"/>
      <c r="B5579" s="115"/>
      <c r="C5579" s="115"/>
      <c r="D5579" s="115"/>
      <c r="E5579" s="115"/>
    </row>
    <row r="5580" spans="1:5" ht="13">
      <c r="A5580" s="115"/>
      <c r="B5580" s="115"/>
      <c r="C5580" s="115"/>
      <c r="D5580" s="115"/>
      <c r="E5580" s="115"/>
    </row>
    <row r="5581" spans="1:5" ht="13">
      <c r="A5581" s="115"/>
      <c r="B5581" s="115"/>
      <c r="C5581" s="115"/>
      <c r="D5581" s="115"/>
      <c r="E5581" s="115"/>
    </row>
    <row r="5582" spans="1:5" ht="13">
      <c r="A5582" s="115"/>
      <c r="B5582" s="115"/>
      <c r="C5582" s="115"/>
      <c r="D5582" s="115"/>
      <c r="E5582" s="115"/>
    </row>
    <row r="5583" spans="1:5" ht="13">
      <c r="A5583" s="115"/>
      <c r="B5583" s="115"/>
      <c r="C5583" s="115"/>
      <c r="D5583" s="115"/>
      <c r="E5583" s="115"/>
    </row>
    <row r="5584" spans="1:5" ht="13">
      <c r="A5584" s="115"/>
      <c r="B5584" s="115"/>
      <c r="C5584" s="115"/>
      <c r="D5584" s="115"/>
      <c r="E5584" s="115"/>
    </row>
    <row r="5585" spans="1:5" ht="13">
      <c r="A5585" s="115"/>
      <c r="B5585" s="115"/>
      <c r="C5585" s="115"/>
      <c r="D5585" s="115"/>
      <c r="E5585" s="115"/>
    </row>
    <row r="5586" spans="1:5" ht="13">
      <c r="A5586" s="115"/>
      <c r="B5586" s="115"/>
      <c r="C5586" s="115"/>
      <c r="D5586" s="115"/>
      <c r="E5586" s="115"/>
    </row>
    <row r="5587" spans="1:5" ht="13">
      <c r="A5587" s="115"/>
      <c r="B5587" s="115"/>
      <c r="C5587" s="115"/>
      <c r="D5587" s="115"/>
      <c r="E5587" s="115"/>
    </row>
    <row r="5588" spans="1:5" ht="13">
      <c r="A5588" s="115"/>
      <c r="B5588" s="115"/>
      <c r="C5588" s="115"/>
      <c r="D5588" s="115"/>
      <c r="E5588" s="115"/>
    </row>
    <row r="5589" spans="1:5" ht="13">
      <c r="A5589" s="115"/>
      <c r="B5589" s="115"/>
      <c r="C5589" s="115"/>
      <c r="D5589" s="115"/>
      <c r="E5589" s="115"/>
    </row>
    <row r="5590" spans="1:5" ht="13">
      <c r="A5590" s="115"/>
      <c r="B5590" s="115"/>
      <c r="C5590" s="115"/>
      <c r="D5590" s="115"/>
      <c r="E5590" s="115"/>
    </row>
    <row r="5591" spans="1:5" ht="13">
      <c r="A5591" s="115"/>
      <c r="B5591" s="115"/>
      <c r="C5591" s="115"/>
      <c r="D5591" s="115"/>
      <c r="E5591" s="115"/>
    </row>
    <row r="5592" spans="1:5" ht="13">
      <c r="A5592" s="115"/>
      <c r="B5592" s="115"/>
      <c r="C5592" s="115"/>
      <c r="D5592" s="115"/>
      <c r="E5592" s="115"/>
    </row>
    <row r="5593" spans="1:5" ht="13">
      <c r="A5593" s="115"/>
      <c r="B5593" s="115"/>
      <c r="C5593" s="115"/>
      <c r="D5593" s="115"/>
      <c r="E5593" s="115"/>
    </row>
    <row r="5594" spans="1:5" ht="13">
      <c r="A5594" s="115"/>
      <c r="B5594" s="115"/>
      <c r="C5594" s="115"/>
      <c r="D5594" s="115"/>
      <c r="E5594" s="115"/>
    </row>
    <row r="5595" spans="1:5" ht="13">
      <c r="A5595" s="115"/>
      <c r="B5595" s="115"/>
      <c r="C5595" s="115"/>
      <c r="D5595" s="115"/>
      <c r="E5595" s="115"/>
    </row>
    <row r="5596" spans="1:5" ht="13">
      <c r="A5596" s="115"/>
      <c r="B5596" s="115"/>
      <c r="C5596" s="115"/>
      <c r="D5596" s="115"/>
      <c r="E5596" s="115"/>
    </row>
    <row r="5597" spans="1:5" ht="13">
      <c r="A5597" s="115"/>
      <c r="B5597" s="115"/>
      <c r="C5597" s="115"/>
      <c r="D5597" s="115"/>
      <c r="E5597" s="115"/>
    </row>
    <row r="5598" spans="1:5" ht="13">
      <c r="A5598" s="115"/>
      <c r="B5598" s="115"/>
      <c r="C5598" s="115"/>
      <c r="D5598" s="115"/>
      <c r="E5598" s="115"/>
    </row>
    <row r="5599" spans="1:5" ht="13">
      <c r="A5599" s="115"/>
      <c r="B5599" s="115"/>
      <c r="C5599" s="115"/>
      <c r="D5599" s="115"/>
      <c r="E5599" s="115"/>
    </row>
    <row r="5600" spans="1:5" ht="13">
      <c r="A5600" s="115"/>
      <c r="B5600" s="115"/>
      <c r="C5600" s="115"/>
      <c r="D5600" s="115"/>
      <c r="E5600" s="115"/>
    </row>
    <row r="5601" spans="1:5" ht="13">
      <c r="A5601" s="115"/>
      <c r="B5601" s="115"/>
      <c r="C5601" s="115"/>
      <c r="D5601" s="115"/>
      <c r="E5601" s="115"/>
    </row>
    <row r="5602" spans="1:5" ht="13">
      <c r="A5602" s="115"/>
      <c r="B5602" s="115"/>
      <c r="C5602" s="115"/>
      <c r="D5602" s="115"/>
      <c r="E5602" s="115"/>
    </row>
    <row r="5603" spans="1:5" ht="13">
      <c r="A5603" s="115"/>
      <c r="B5603" s="115"/>
      <c r="C5603" s="115"/>
      <c r="D5603" s="115"/>
      <c r="E5603" s="115"/>
    </row>
    <row r="5604" spans="1:5" ht="13">
      <c r="A5604" s="115"/>
      <c r="B5604" s="115"/>
      <c r="C5604" s="115"/>
      <c r="D5604" s="115"/>
      <c r="E5604" s="115"/>
    </row>
    <row r="5605" spans="1:5" ht="13">
      <c r="A5605" s="115"/>
      <c r="B5605" s="115"/>
      <c r="C5605" s="115"/>
      <c r="D5605" s="115"/>
      <c r="E5605" s="115"/>
    </row>
    <row r="5606" spans="1:5" ht="13">
      <c r="A5606" s="115"/>
      <c r="B5606" s="115"/>
      <c r="C5606" s="115"/>
      <c r="D5606" s="115"/>
      <c r="E5606" s="115"/>
    </row>
    <row r="5607" spans="1:5" ht="13">
      <c r="A5607" s="115"/>
      <c r="B5607" s="115"/>
      <c r="C5607" s="115"/>
      <c r="D5607" s="115"/>
      <c r="E5607" s="115"/>
    </row>
    <row r="5608" spans="1:5" ht="13">
      <c r="A5608" s="115"/>
      <c r="B5608" s="115"/>
      <c r="C5608" s="115"/>
      <c r="D5608" s="115"/>
      <c r="E5608" s="115"/>
    </row>
    <row r="5609" spans="1:5" ht="13">
      <c r="A5609" s="115"/>
      <c r="B5609" s="115"/>
      <c r="C5609" s="115"/>
      <c r="D5609" s="115"/>
      <c r="E5609" s="115"/>
    </row>
    <row r="5610" spans="1:5" ht="13">
      <c r="A5610" s="115"/>
      <c r="B5610" s="115"/>
      <c r="C5610" s="115"/>
      <c r="D5610" s="115"/>
      <c r="E5610" s="115"/>
    </row>
    <row r="5611" spans="1:5" ht="13">
      <c r="A5611" s="115"/>
      <c r="B5611" s="115"/>
      <c r="C5611" s="115"/>
      <c r="D5611" s="115"/>
      <c r="E5611" s="115"/>
    </row>
    <row r="5612" spans="1:5" ht="13">
      <c r="A5612" s="115"/>
      <c r="B5612" s="115"/>
      <c r="C5612" s="115"/>
      <c r="D5612" s="115"/>
      <c r="E5612" s="115"/>
    </row>
    <row r="5613" spans="1:5" ht="13">
      <c r="A5613" s="115"/>
      <c r="B5613" s="115"/>
      <c r="C5613" s="115"/>
      <c r="D5613" s="115"/>
      <c r="E5613" s="115"/>
    </row>
    <row r="5614" spans="1:5" ht="13">
      <c r="A5614" s="115"/>
      <c r="B5614" s="115"/>
      <c r="C5614" s="115"/>
      <c r="D5614" s="115"/>
      <c r="E5614" s="115"/>
    </row>
    <row r="5615" spans="1:5" ht="13">
      <c r="A5615" s="115"/>
      <c r="B5615" s="115"/>
      <c r="C5615" s="115"/>
      <c r="D5615" s="115"/>
      <c r="E5615" s="115"/>
    </row>
    <row r="5616" spans="1:5" ht="13">
      <c r="A5616" s="115"/>
      <c r="B5616" s="115"/>
      <c r="C5616" s="115"/>
      <c r="D5616" s="115"/>
      <c r="E5616" s="115"/>
    </row>
    <row r="5617" spans="1:5" ht="13">
      <c r="A5617" s="115"/>
      <c r="B5617" s="115"/>
      <c r="C5617" s="115"/>
      <c r="D5617" s="115"/>
      <c r="E5617" s="115"/>
    </row>
    <row r="5618" spans="1:5" ht="13">
      <c r="A5618" s="115"/>
      <c r="B5618" s="115"/>
      <c r="C5618" s="115"/>
      <c r="D5618" s="115"/>
      <c r="E5618" s="115"/>
    </row>
    <row r="5619" spans="1:5" ht="13">
      <c r="A5619" s="115"/>
      <c r="B5619" s="115"/>
      <c r="C5619" s="115"/>
      <c r="D5619" s="115"/>
      <c r="E5619" s="115"/>
    </row>
    <row r="5620" spans="1:5" ht="13">
      <c r="A5620" s="115"/>
      <c r="B5620" s="115"/>
      <c r="C5620" s="115"/>
      <c r="D5620" s="115"/>
      <c r="E5620" s="115"/>
    </row>
    <row r="5621" spans="1:5" ht="13">
      <c r="A5621" s="115"/>
      <c r="B5621" s="115"/>
      <c r="C5621" s="115"/>
      <c r="D5621" s="115"/>
      <c r="E5621" s="115"/>
    </row>
    <row r="5622" spans="1:5" ht="13">
      <c r="A5622" s="115"/>
      <c r="B5622" s="115"/>
      <c r="C5622" s="115"/>
      <c r="D5622" s="115"/>
      <c r="E5622" s="115"/>
    </row>
    <row r="5623" spans="1:5" ht="13">
      <c r="A5623" s="115"/>
      <c r="B5623" s="115"/>
      <c r="C5623" s="115"/>
      <c r="D5623" s="115"/>
      <c r="E5623" s="115"/>
    </row>
    <row r="5624" spans="1:5" ht="13">
      <c r="A5624" s="115"/>
      <c r="B5624" s="115"/>
      <c r="C5624" s="115"/>
      <c r="D5624" s="115"/>
      <c r="E5624" s="115"/>
    </row>
    <row r="5625" spans="1:5" ht="13">
      <c r="A5625" s="115"/>
      <c r="B5625" s="115"/>
      <c r="C5625" s="115"/>
      <c r="D5625" s="115"/>
      <c r="E5625" s="115"/>
    </row>
    <row r="5626" spans="1:5" ht="13">
      <c r="A5626" s="115"/>
      <c r="B5626" s="115"/>
      <c r="C5626" s="115"/>
      <c r="D5626" s="115"/>
      <c r="E5626" s="115"/>
    </row>
    <row r="5627" spans="1:5" ht="13">
      <c r="A5627" s="115"/>
      <c r="B5627" s="115"/>
      <c r="C5627" s="115"/>
      <c r="D5627" s="115"/>
      <c r="E5627" s="115"/>
    </row>
    <row r="5628" spans="1:5" ht="13">
      <c r="A5628" s="115"/>
      <c r="B5628" s="115"/>
      <c r="C5628" s="115"/>
      <c r="D5628" s="115"/>
      <c r="E5628" s="115"/>
    </row>
    <row r="5629" spans="1:5" ht="13">
      <c r="A5629" s="115"/>
      <c r="B5629" s="115"/>
      <c r="C5629" s="115"/>
      <c r="D5629" s="115"/>
      <c r="E5629" s="115"/>
    </row>
    <row r="5630" spans="1:5" ht="13">
      <c r="A5630" s="115"/>
      <c r="B5630" s="115"/>
      <c r="C5630" s="115"/>
      <c r="D5630" s="115"/>
      <c r="E5630" s="115"/>
    </row>
    <row r="5631" spans="1:5" ht="13">
      <c r="A5631" s="115"/>
      <c r="B5631" s="115"/>
      <c r="C5631" s="115"/>
      <c r="D5631" s="115"/>
      <c r="E5631" s="115"/>
    </row>
    <row r="5632" spans="1:5" ht="13">
      <c r="A5632" s="115"/>
      <c r="B5632" s="115"/>
      <c r="C5632" s="115"/>
      <c r="D5632" s="115"/>
      <c r="E5632" s="115"/>
    </row>
    <row r="5633" spans="1:5" ht="13">
      <c r="A5633" s="115"/>
      <c r="B5633" s="115"/>
      <c r="C5633" s="115"/>
      <c r="D5633" s="115"/>
      <c r="E5633" s="115"/>
    </row>
    <row r="5634" spans="1:5" ht="13">
      <c r="A5634" s="115"/>
      <c r="B5634" s="115"/>
      <c r="C5634" s="115"/>
      <c r="D5634" s="115"/>
      <c r="E5634" s="115"/>
    </row>
    <row r="5635" spans="1:5" ht="13">
      <c r="A5635" s="115"/>
      <c r="B5635" s="115"/>
      <c r="C5635" s="115"/>
      <c r="D5635" s="115"/>
      <c r="E5635" s="115"/>
    </row>
    <row r="5636" spans="1:5" ht="13">
      <c r="A5636" s="115"/>
      <c r="B5636" s="115"/>
      <c r="C5636" s="115"/>
      <c r="D5636" s="115"/>
      <c r="E5636" s="115"/>
    </row>
    <row r="5637" spans="1:5" ht="13">
      <c r="A5637" s="115"/>
      <c r="B5637" s="115"/>
      <c r="C5637" s="115"/>
      <c r="D5637" s="115"/>
      <c r="E5637" s="115"/>
    </row>
    <row r="5638" spans="1:5" ht="13">
      <c r="A5638" s="115"/>
      <c r="B5638" s="115"/>
      <c r="C5638" s="115"/>
      <c r="D5638" s="115"/>
      <c r="E5638" s="115"/>
    </row>
    <row r="5639" spans="1:5" ht="13">
      <c r="A5639" s="115"/>
      <c r="B5639" s="115"/>
      <c r="C5639" s="115"/>
      <c r="D5639" s="115"/>
      <c r="E5639" s="115"/>
    </row>
    <row r="5640" spans="1:5" ht="13">
      <c r="A5640" s="115"/>
      <c r="B5640" s="115"/>
      <c r="C5640" s="115"/>
      <c r="D5640" s="115"/>
      <c r="E5640" s="115"/>
    </row>
    <row r="5641" spans="1:5" ht="13">
      <c r="A5641" s="115"/>
      <c r="B5641" s="115"/>
      <c r="C5641" s="115"/>
      <c r="D5641" s="115"/>
      <c r="E5641" s="115"/>
    </row>
    <row r="5642" spans="1:5" ht="13">
      <c r="A5642" s="115"/>
      <c r="B5642" s="115"/>
      <c r="C5642" s="115"/>
      <c r="D5642" s="115"/>
      <c r="E5642" s="115"/>
    </row>
    <row r="5643" spans="1:5" ht="13">
      <c r="A5643" s="115"/>
      <c r="B5643" s="115"/>
      <c r="C5643" s="115"/>
      <c r="D5643" s="115"/>
      <c r="E5643" s="115"/>
    </row>
    <row r="5644" spans="1:5" ht="13">
      <c r="A5644" s="115"/>
      <c r="B5644" s="115"/>
      <c r="C5644" s="115"/>
      <c r="D5644" s="115"/>
      <c r="E5644" s="115"/>
    </row>
    <row r="5645" spans="1:5" ht="13">
      <c r="A5645" s="115"/>
      <c r="B5645" s="115"/>
      <c r="C5645" s="115"/>
      <c r="D5645" s="115"/>
      <c r="E5645" s="115"/>
    </row>
    <row r="5646" spans="1:5" ht="13">
      <c r="A5646" s="115"/>
      <c r="B5646" s="115"/>
      <c r="C5646" s="115"/>
      <c r="D5646" s="115"/>
      <c r="E5646" s="115"/>
    </row>
    <row r="5647" spans="1:5" ht="13">
      <c r="A5647" s="115"/>
      <c r="B5647" s="115"/>
      <c r="C5647" s="115"/>
      <c r="D5647" s="115"/>
      <c r="E5647" s="115"/>
    </row>
    <row r="5648" spans="1:5" ht="13">
      <c r="A5648" s="115"/>
      <c r="B5648" s="115"/>
      <c r="C5648" s="115"/>
      <c r="D5648" s="115"/>
      <c r="E5648" s="115"/>
    </row>
    <row r="5649" spans="1:5" ht="13">
      <c r="A5649" s="115"/>
      <c r="B5649" s="115"/>
      <c r="C5649" s="115"/>
      <c r="D5649" s="115"/>
      <c r="E5649" s="115"/>
    </row>
    <row r="5650" spans="1:5" ht="13">
      <c r="A5650" s="115"/>
      <c r="B5650" s="115"/>
      <c r="C5650" s="115"/>
      <c r="D5650" s="115"/>
      <c r="E5650" s="115"/>
    </row>
    <row r="5651" spans="1:5" ht="13">
      <c r="A5651" s="115"/>
      <c r="B5651" s="115"/>
      <c r="C5651" s="115"/>
      <c r="D5651" s="115"/>
      <c r="E5651" s="115"/>
    </row>
    <row r="5652" spans="1:5" ht="13">
      <c r="A5652" s="115"/>
      <c r="B5652" s="115"/>
      <c r="C5652" s="115"/>
      <c r="D5652" s="115"/>
      <c r="E5652" s="115"/>
    </row>
    <row r="5653" spans="1:5" ht="13">
      <c r="A5653" s="115"/>
      <c r="B5653" s="115"/>
      <c r="C5653" s="115"/>
      <c r="D5653" s="115"/>
      <c r="E5653" s="115"/>
    </row>
    <row r="5654" spans="1:5" ht="13">
      <c r="A5654" s="115"/>
      <c r="B5654" s="115"/>
      <c r="C5654" s="115"/>
      <c r="D5654" s="115"/>
      <c r="E5654" s="115"/>
    </row>
    <row r="5655" spans="1:5" ht="13">
      <c r="A5655" s="115"/>
      <c r="B5655" s="115"/>
      <c r="C5655" s="115"/>
      <c r="D5655" s="115"/>
      <c r="E5655" s="115"/>
    </row>
    <row r="5656" spans="1:5" ht="13">
      <c r="A5656" s="115"/>
      <c r="B5656" s="115"/>
      <c r="C5656" s="115"/>
      <c r="D5656" s="115"/>
      <c r="E5656" s="115"/>
    </row>
    <row r="5657" spans="1:5" ht="13">
      <c r="A5657" s="115"/>
      <c r="B5657" s="115"/>
      <c r="C5657" s="115"/>
      <c r="D5657" s="115"/>
      <c r="E5657" s="115"/>
    </row>
    <row r="5658" spans="1:5" ht="13">
      <c r="A5658" s="115"/>
      <c r="B5658" s="115"/>
      <c r="C5658" s="115"/>
      <c r="D5658" s="115"/>
      <c r="E5658" s="115"/>
    </row>
    <row r="5659" spans="1:5" ht="13">
      <c r="A5659" s="115"/>
      <c r="B5659" s="115"/>
      <c r="C5659" s="115"/>
      <c r="D5659" s="115"/>
      <c r="E5659" s="115"/>
    </row>
    <row r="5660" spans="1:5" ht="13">
      <c r="A5660" s="115"/>
      <c r="B5660" s="115"/>
      <c r="C5660" s="115"/>
      <c r="D5660" s="115"/>
      <c r="E5660" s="115"/>
    </row>
    <row r="5661" spans="1:5" ht="13">
      <c r="A5661" s="115"/>
      <c r="B5661" s="115"/>
      <c r="C5661" s="115"/>
      <c r="D5661" s="115"/>
      <c r="E5661" s="115"/>
    </row>
    <row r="5662" spans="1:5" ht="13">
      <c r="A5662" s="115"/>
      <c r="B5662" s="115"/>
      <c r="C5662" s="115"/>
      <c r="D5662" s="115"/>
      <c r="E5662" s="115"/>
    </row>
    <row r="5663" spans="1:5" ht="13">
      <c r="A5663" s="115"/>
      <c r="B5663" s="115"/>
      <c r="C5663" s="115"/>
      <c r="D5663" s="115"/>
      <c r="E5663" s="115"/>
    </row>
    <row r="5664" spans="1:5" ht="13">
      <c r="A5664" s="115"/>
      <c r="B5664" s="115"/>
      <c r="C5664" s="115"/>
      <c r="D5664" s="115"/>
      <c r="E5664" s="115"/>
    </row>
    <row r="5665" spans="1:5" ht="13">
      <c r="A5665" s="115"/>
      <c r="B5665" s="115"/>
      <c r="C5665" s="115"/>
      <c r="D5665" s="115"/>
      <c r="E5665" s="115"/>
    </row>
    <row r="5666" spans="1:5" ht="13">
      <c r="A5666" s="115"/>
      <c r="B5666" s="115"/>
      <c r="C5666" s="115"/>
      <c r="D5666" s="115"/>
      <c r="E5666" s="115"/>
    </row>
    <row r="5667" spans="1:5" ht="13">
      <c r="A5667" s="115"/>
      <c r="B5667" s="115"/>
      <c r="C5667" s="115"/>
      <c r="D5667" s="115"/>
      <c r="E5667" s="115"/>
    </row>
    <row r="5668" spans="1:5" ht="13">
      <c r="A5668" s="115"/>
      <c r="B5668" s="115"/>
      <c r="C5668" s="115"/>
      <c r="D5668" s="115"/>
      <c r="E5668" s="115"/>
    </row>
    <row r="5669" spans="1:5" ht="13">
      <c r="A5669" s="115"/>
      <c r="B5669" s="115"/>
      <c r="C5669" s="115"/>
      <c r="D5669" s="115"/>
      <c r="E5669" s="115"/>
    </row>
    <row r="5670" spans="1:5" ht="13">
      <c r="A5670" s="115"/>
      <c r="B5670" s="115"/>
      <c r="C5670" s="115"/>
      <c r="D5670" s="115"/>
      <c r="E5670" s="115"/>
    </row>
    <row r="5671" spans="1:5" ht="13">
      <c r="A5671" s="115"/>
      <c r="B5671" s="115"/>
      <c r="C5671" s="115"/>
      <c r="D5671" s="115"/>
      <c r="E5671" s="115"/>
    </row>
    <row r="5672" spans="1:5" ht="13">
      <c r="A5672" s="115"/>
      <c r="B5672" s="115"/>
      <c r="C5672" s="115"/>
      <c r="D5672" s="115"/>
      <c r="E5672" s="115"/>
    </row>
    <row r="5673" spans="1:5" ht="13">
      <c r="A5673" s="115"/>
      <c r="B5673" s="115"/>
      <c r="C5673" s="115"/>
      <c r="D5673" s="115"/>
      <c r="E5673" s="115"/>
    </row>
    <row r="5674" spans="1:5" ht="13">
      <c r="A5674" s="115"/>
      <c r="B5674" s="115"/>
      <c r="C5674" s="115"/>
      <c r="D5674" s="115"/>
      <c r="E5674" s="115"/>
    </row>
    <row r="5675" spans="1:5" ht="13">
      <c r="A5675" s="115"/>
      <c r="B5675" s="115"/>
      <c r="C5675" s="115"/>
      <c r="D5675" s="115"/>
      <c r="E5675" s="115"/>
    </row>
    <row r="5676" spans="1:5" ht="13">
      <c r="A5676" s="115"/>
      <c r="B5676" s="115"/>
      <c r="C5676" s="115"/>
      <c r="D5676" s="115"/>
      <c r="E5676" s="115"/>
    </row>
    <row r="5677" spans="1:5" ht="13">
      <c r="A5677" s="115"/>
      <c r="B5677" s="115"/>
      <c r="C5677" s="115"/>
      <c r="D5677" s="115"/>
      <c r="E5677" s="115"/>
    </row>
    <row r="5678" spans="1:5" ht="13">
      <c r="A5678" s="115"/>
      <c r="B5678" s="115"/>
      <c r="C5678" s="115"/>
      <c r="D5678" s="115"/>
      <c r="E5678" s="115"/>
    </row>
    <row r="5679" spans="1:5" ht="13">
      <c r="A5679" s="115"/>
      <c r="B5679" s="115"/>
      <c r="C5679" s="115"/>
      <c r="D5679" s="115"/>
      <c r="E5679" s="115"/>
    </row>
    <row r="5680" spans="1:5" ht="13">
      <c r="A5680" s="115"/>
      <c r="B5680" s="115"/>
      <c r="C5680" s="115"/>
      <c r="D5680" s="115"/>
      <c r="E5680" s="115"/>
    </row>
    <row r="5681" spans="1:5" ht="13">
      <c r="A5681" s="115"/>
      <c r="B5681" s="115"/>
      <c r="C5681" s="115"/>
      <c r="D5681" s="115"/>
      <c r="E5681" s="115"/>
    </row>
    <row r="5682" spans="1:5" ht="13">
      <c r="A5682" s="115"/>
      <c r="B5682" s="115"/>
      <c r="C5682" s="115"/>
      <c r="D5682" s="115"/>
      <c r="E5682" s="115"/>
    </row>
    <row r="5683" spans="1:5" ht="13">
      <c r="A5683" s="115"/>
      <c r="B5683" s="115"/>
      <c r="C5683" s="115"/>
      <c r="D5683" s="115"/>
      <c r="E5683" s="115"/>
    </row>
    <row r="5684" spans="1:5" ht="13">
      <c r="A5684" s="115"/>
      <c r="B5684" s="115"/>
      <c r="C5684" s="115"/>
      <c r="D5684" s="115"/>
      <c r="E5684" s="115"/>
    </row>
    <row r="5685" spans="1:5" ht="13">
      <c r="A5685" s="115"/>
      <c r="B5685" s="115"/>
      <c r="C5685" s="115"/>
      <c r="D5685" s="115"/>
      <c r="E5685" s="115"/>
    </row>
    <row r="5686" spans="1:5" ht="13">
      <c r="A5686" s="115"/>
      <c r="B5686" s="115"/>
      <c r="C5686" s="115"/>
      <c r="D5686" s="115"/>
      <c r="E5686" s="115"/>
    </row>
    <row r="5687" spans="1:5" ht="13">
      <c r="A5687" s="115"/>
      <c r="B5687" s="115"/>
      <c r="C5687" s="115"/>
      <c r="D5687" s="115"/>
      <c r="E5687" s="115"/>
    </row>
    <row r="5688" spans="1:5" ht="13">
      <c r="A5688" s="115"/>
      <c r="B5688" s="115"/>
      <c r="C5688" s="115"/>
      <c r="D5688" s="115"/>
      <c r="E5688" s="115"/>
    </row>
    <row r="5689" spans="1:5" ht="13">
      <c r="A5689" s="115"/>
      <c r="B5689" s="115"/>
      <c r="C5689" s="115"/>
      <c r="D5689" s="115"/>
      <c r="E5689" s="115"/>
    </row>
    <row r="5690" spans="1:5" ht="13">
      <c r="A5690" s="115"/>
      <c r="B5690" s="115"/>
      <c r="C5690" s="115"/>
      <c r="D5690" s="115"/>
      <c r="E5690" s="115"/>
    </row>
    <row r="5691" spans="1:5" ht="13">
      <c r="A5691" s="115"/>
      <c r="B5691" s="115"/>
      <c r="C5691" s="115"/>
      <c r="D5691" s="115"/>
      <c r="E5691" s="115"/>
    </row>
    <row r="5692" spans="1:5" ht="13">
      <c r="A5692" s="115"/>
      <c r="B5692" s="115"/>
      <c r="C5692" s="115"/>
      <c r="D5692" s="115"/>
      <c r="E5692" s="115"/>
    </row>
    <row r="5693" spans="1:5" ht="13">
      <c r="A5693" s="115"/>
      <c r="B5693" s="115"/>
      <c r="C5693" s="115"/>
      <c r="D5693" s="115"/>
      <c r="E5693" s="115"/>
    </row>
    <row r="5694" spans="1:5" ht="13">
      <c r="A5694" s="115"/>
      <c r="B5694" s="115"/>
      <c r="C5694" s="115"/>
      <c r="D5694" s="115"/>
      <c r="E5694" s="115"/>
    </row>
    <row r="5695" spans="1:5" ht="13">
      <c r="A5695" s="115"/>
      <c r="B5695" s="115"/>
      <c r="C5695" s="115"/>
      <c r="D5695" s="115"/>
      <c r="E5695" s="115"/>
    </row>
    <row r="5696" spans="1:5" ht="13">
      <c r="A5696" s="115"/>
      <c r="B5696" s="115"/>
      <c r="C5696" s="115"/>
      <c r="D5696" s="115"/>
      <c r="E5696" s="115"/>
    </row>
    <row r="5697" spans="1:5" ht="13">
      <c r="A5697" s="115"/>
      <c r="B5697" s="115"/>
      <c r="C5697" s="115"/>
      <c r="D5697" s="115"/>
      <c r="E5697" s="115"/>
    </row>
    <row r="5698" spans="1:5" ht="13">
      <c r="A5698" s="115"/>
      <c r="B5698" s="115"/>
      <c r="C5698" s="115"/>
      <c r="D5698" s="115"/>
      <c r="E5698" s="115"/>
    </row>
    <row r="5699" spans="1:5" ht="13">
      <c r="A5699" s="115"/>
      <c r="B5699" s="115"/>
      <c r="C5699" s="115"/>
      <c r="D5699" s="115"/>
      <c r="E5699" s="115"/>
    </row>
    <row r="5700" spans="1:5" ht="13">
      <c r="A5700" s="115"/>
      <c r="B5700" s="115"/>
      <c r="C5700" s="115"/>
      <c r="D5700" s="115"/>
      <c r="E5700" s="115"/>
    </row>
    <row r="5701" spans="1:5" ht="13">
      <c r="A5701" s="115"/>
      <c r="B5701" s="115"/>
      <c r="C5701" s="115"/>
      <c r="D5701" s="115"/>
      <c r="E5701" s="115"/>
    </row>
    <row r="5702" spans="1:5" ht="13">
      <c r="A5702" s="115"/>
      <c r="B5702" s="115"/>
      <c r="C5702" s="115"/>
      <c r="D5702" s="115"/>
      <c r="E5702" s="115"/>
    </row>
    <row r="5703" spans="1:5" ht="13">
      <c r="A5703" s="115"/>
      <c r="B5703" s="115"/>
      <c r="C5703" s="115"/>
      <c r="D5703" s="115"/>
      <c r="E5703" s="115"/>
    </row>
    <row r="5704" spans="1:5" ht="13">
      <c r="A5704" s="115"/>
      <c r="B5704" s="115"/>
      <c r="C5704" s="115"/>
      <c r="D5704" s="115"/>
      <c r="E5704" s="115"/>
    </row>
    <row r="5705" spans="1:5" ht="13">
      <c r="A5705" s="115"/>
      <c r="B5705" s="115"/>
      <c r="C5705" s="115"/>
      <c r="D5705" s="115"/>
      <c r="E5705" s="115"/>
    </row>
    <row r="5706" spans="1:5" ht="13">
      <c r="A5706" s="115"/>
      <c r="B5706" s="115"/>
      <c r="C5706" s="115"/>
      <c r="D5706" s="115"/>
      <c r="E5706" s="115"/>
    </row>
    <row r="5707" spans="1:5" ht="13">
      <c r="A5707" s="115"/>
      <c r="B5707" s="115"/>
      <c r="C5707" s="115"/>
      <c r="D5707" s="115"/>
      <c r="E5707" s="115"/>
    </row>
    <row r="5708" spans="1:5" ht="13">
      <c r="A5708" s="115"/>
      <c r="B5708" s="115"/>
      <c r="C5708" s="115"/>
      <c r="D5708" s="115"/>
      <c r="E5708" s="115"/>
    </row>
    <row r="5709" spans="1:5" ht="13">
      <c r="A5709" s="115"/>
      <c r="B5709" s="115"/>
      <c r="C5709" s="115"/>
      <c r="D5709" s="115"/>
      <c r="E5709" s="115"/>
    </row>
    <row r="5710" spans="1:5" ht="13">
      <c r="A5710" s="115"/>
      <c r="B5710" s="115"/>
      <c r="C5710" s="115"/>
      <c r="D5710" s="115"/>
      <c r="E5710" s="115"/>
    </row>
    <row r="5711" spans="1:5" ht="13">
      <c r="A5711" s="115"/>
      <c r="B5711" s="115"/>
      <c r="C5711" s="115"/>
      <c r="D5711" s="115"/>
      <c r="E5711" s="115"/>
    </row>
    <row r="5712" spans="1:5" ht="13">
      <c r="A5712" s="115"/>
      <c r="B5712" s="115"/>
      <c r="C5712" s="115"/>
      <c r="D5712" s="115"/>
      <c r="E5712" s="115"/>
    </row>
    <row r="5713" spans="1:5" ht="13">
      <c r="A5713" s="115"/>
      <c r="B5713" s="115"/>
      <c r="C5713" s="115"/>
      <c r="D5713" s="115"/>
      <c r="E5713" s="115"/>
    </row>
    <row r="5714" spans="1:5" ht="13">
      <c r="A5714" s="115"/>
      <c r="B5714" s="115"/>
      <c r="C5714" s="115"/>
      <c r="D5714" s="115"/>
      <c r="E5714" s="115"/>
    </row>
    <row r="5715" spans="1:5" ht="13">
      <c r="A5715" s="115"/>
      <c r="B5715" s="115"/>
      <c r="C5715" s="115"/>
      <c r="D5715" s="115"/>
      <c r="E5715" s="115"/>
    </row>
    <row r="5716" spans="1:5" ht="13">
      <c r="A5716" s="115"/>
      <c r="B5716" s="115"/>
      <c r="C5716" s="115"/>
      <c r="D5716" s="115"/>
      <c r="E5716" s="115"/>
    </row>
    <row r="5717" spans="1:5" ht="13">
      <c r="A5717" s="115"/>
      <c r="B5717" s="115"/>
      <c r="C5717" s="115"/>
      <c r="D5717" s="115"/>
      <c r="E5717" s="115"/>
    </row>
    <row r="5718" spans="1:5" ht="13">
      <c r="A5718" s="115"/>
      <c r="B5718" s="115"/>
      <c r="C5718" s="115"/>
      <c r="D5718" s="115"/>
      <c r="E5718" s="115"/>
    </row>
    <row r="5719" spans="1:5" ht="13">
      <c r="A5719" s="115"/>
      <c r="B5719" s="115"/>
      <c r="C5719" s="115"/>
      <c r="D5719" s="115"/>
      <c r="E5719" s="115"/>
    </row>
    <row r="5720" spans="1:5" ht="13">
      <c r="A5720" s="115"/>
      <c r="B5720" s="115"/>
      <c r="C5720" s="115"/>
      <c r="D5720" s="115"/>
      <c r="E5720" s="115"/>
    </row>
    <row r="5721" spans="1:5" ht="13">
      <c r="A5721" s="115"/>
      <c r="B5721" s="115"/>
      <c r="C5721" s="115"/>
      <c r="D5721" s="115"/>
      <c r="E5721" s="115"/>
    </row>
    <row r="5722" spans="1:5" ht="13">
      <c r="A5722" s="115"/>
      <c r="B5722" s="115"/>
      <c r="C5722" s="115"/>
      <c r="D5722" s="115"/>
      <c r="E5722" s="115"/>
    </row>
    <row r="5723" spans="1:5" ht="13">
      <c r="A5723" s="115"/>
      <c r="B5723" s="115"/>
      <c r="C5723" s="115"/>
      <c r="D5723" s="115"/>
      <c r="E5723" s="115"/>
    </row>
    <row r="5724" spans="1:5" ht="13">
      <c r="A5724" s="115"/>
      <c r="B5724" s="115"/>
      <c r="C5724" s="115"/>
      <c r="D5724" s="115"/>
      <c r="E5724" s="115"/>
    </row>
    <row r="5725" spans="1:5" ht="13">
      <c r="A5725" s="115"/>
      <c r="B5725" s="115"/>
      <c r="C5725" s="115"/>
      <c r="D5725" s="115"/>
      <c r="E5725" s="115"/>
    </row>
    <row r="5726" spans="1:5" ht="13">
      <c r="A5726" s="115"/>
      <c r="B5726" s="115"/>
      <c r="C5726" s="115"/>
      <c r="D5726" s="115"/>
      <c r="E5726" s="115"/>
    </row>
    <row r="5727" spans="1:5" ht="13">
      <c r="A5727" s="115"/>
      <c r="B5727" s="115"/>
      <c r="C5727" s="115"/>
      <c r="D5727" s="115"/>
      <c r="E5727" s="115"/>
    </row>
    <row r="5728" spans="1:5" ht="13">
      <c r="A5728" s="115"/>
      <c r="B5728" s="115"/>
      <c r="C5728" s="115"/>
      <c r="D5728" s="115"/>
      <c r="E5728" s="115"/>
    </row>
    <row r="5729" spans="1:5" ht="13">
      <c r="A5729" s="115"/>
      <c r="B5729" s="115"/>
      <c r="C5729" s="115"/>
      <c r="D5729" s="115"/>
      <c r="E5729" s="115"/>
    </row>
    <row r="5730" spans="1:5" ht="13">
      <c r="A5730" s="115"/>
      <c r="B5730" s="115"/>
      <c r="C5730" s="115"/>
      <c r="D5730" s="115"/>
      <c r="E5730" s="115"/>
    </row>
    <row r="5731" spans="1:5" ht="13">
      <c r="A5731" s="115"/>
      <c r="B5731" s="115"/>
      <c r="C5731" s="115"/>
      <c r="D5731" s="115"/>
      <c r="E5731" s="115"/>
    </row>
    <row r="5732" spans="1:5" ht="13">
      <c r="A5732" s="115"/>
      <c r="B5732" s="115"/>
      <c r="C5732" s="115"/>
      <c r="D5732" s="115"/>
      <c r="E5732" s="115"/>
    </row>
    <row r="5733" spans="1:5" ht="13">
      <c r="A5733" s="115"/>
      <c r="B5733" s="115"/>
      <c r="C5733" s="115"/>
      <c r="D5733" s="115"/>
      <c r="E5733" s="115"/>
    </row>
    <row r="5734" spans="1:5" ht="13">
      <c r="A5734" s="115"/>
      <c r="B5734" s="115"/>
      <c r="C5734" s="115"/>
      <c r="D5734" s="115"/>
      <c r="E5734" s="115"/>
    </row>
    <row r="5735" spans="1:5" ht="13">
      <c r="A5735" s="115"/>
      <c r="B5735" s="115"/>
      <c r="C5735" s="115"/>
      <c r="D5735" s="115"/>
      <c r="E5735" s="115"/>
    </row>
    <row r="5736" spans="1:5" ht="13">
      <c r="A5736" s="115"/>
      <c r="B5736" s="115"/>
      <c r="C5736" s="115"/>
      <c r="D5736" s="115"/>
      <c r="E5736" s="115"/>
    </row>
    <row r="5737" spans="1:5" ht="13">
      <c r="A5737" s="115"/>
      <c r="B5737" s="115"/>
      <c r="C5737" s="115"/>
      <c r="D5737" s="115"/>
      <c r="E5737" s="115"/>
    </row>
    <row r="5738" spans="1:5" ht="13">
      <c r="A5738" s="115"/>
      <c r="B5738" s="115"/>
      <c r="C5738" s="115"/>
      <c r="D5738" s="115"/>
      <c r="E5738" s="115"/>
    </row>
    <row r="5739" spans="1:5" ht="13">
      <c r="A5739" s="115"/>
      <c r="B5739" s="115"/>
      <c r="C5739" s="115"/>
      <c r="D5739" s="115"/>
      <c r="E5739" s="115"/>
    </row>
    <row r="5740" spans="1:5" ht="13">
      <c r="A5740" s="115"/>
      <c r="B5740" s="115"/>
      <c r="C5740" s="115"/>
      <c r="D5740" s="115"/>
      <c r="E5740" s="115"/>
    </row>
    <row r="5741" spans="1:5" ht="13">
      <c r="A5741" s="115"/>
      <c r="B5741" s="115"/>
      <c r="C5741" s="115"/>
      <c r="D5741" s="115"/>
      <c r="E5741" s="115"/>
    </row>
    <row r="5742" spans="1:5" ht="13">
      <c r="A5742" s="115"/>
      <c r="B5742" s="115"/>
      <c r="C5742" s="115"/>
      <c r="D5742" s="115"/>
      <c r="E5742" s="115"/>
    </row>
    <row r="5743" spans="1:5" ht="13">
      <c r="A5743" s="115"/>
      <c r="B5743" s="115"/>
      <c r="C5743" s="115"/>
      <c r="D5743" s="115"/>
      <c r="E5743" s="115"/>
    </row>
    <row r="5744" spans="1:5" ht="13">
      <c r="A5744" s="115"/>
      <c r="B5744" s="115"/>
      <c r="C5744" s="115"/>
      <c r="D5744" s="115"/>
      <c r="E5744" s="115"/>
    </row>
    <row r="5745" spans="1:5" ht="13">
      <c r="A5745" s="115"/>
      <c r="B5745" s="115"/>
      <c r="C5745" s="115"/>
      <c r="D5745" s="115"/>
      <c r="E5745" s="115"/>
    </row>
    <row r="5746" spans="1:5" ht="13">
      <c r="A5746" s="115"/>
      <c r="B5746" s="115"/>
      <c r="C5746" s="115"/>
      <c r="D5746" s="115"/>
      <c r="E5746" s="115"/>
    </row>
    <row r="5747" spans="1:5" ht="13">
      <c r="A5747" s="115"/>
      <c r="B5747" s="115"/>
      <c r="C5747" s="115"/>
      <c r="D5747" s="115"/>
      <c r="E5747" s="115"/>
    </row>
    <row r="5748" spans="1:5" ht="13">
      <c r="A5748" s="115"/>
      <c r="B5748" s="115"/>
      <c r="C5748" s="115"/>
      <c r="D5748" s="115"/>
      <c r="E5748" s="115"/>
    </row>
    <row r="5749" spans="1:5" ht="13">
      <c r="A5749" s="115"/>
      <c r="B5749" s="115"/>
      <c r="C5749" s="115"/>
      <c r="D5749" s="115"/>
      <c r="E5749" s="115"/>
    </row>
    <row r="5750" spans="1:5" ht="13">
      <c r="A5750" s="115"/>
      <c r="B5750" s="115"/>
      <c r="C5750" s="115"/>
      <c r="D5750" s="115"/>
      <c r="E5750" s="115"/>
    </row>
    <row r="5751" spans="1:5" ht="13">
      <c r="A5751" s="115"/>
      <c r="B5751" s="115"/>
      <c r="C5751" s="115"/>
      <c r="D5751" s="115"/>
      <c r="E5751" s="115"/>
    </row>
    <row r="5752" spans="1:5" ht="13">
      <c r="A5752" s="115"/>
      <c r="B5752" s="115"/>
      <c r="C5752" s="115"/>
      <c r="D5752" s="115"/>
      <c r="E5752" s="115"/>
    </row>
    <row r="5753" spans="1:5" ht="13">
      <c r="A5753" s="115"/>
      <c r="B5753" s="115"/>
      <c r="C5753" s="115"/>
      <c r="D5753" s="115"/>
      <c r="E5753" s="115"/>
    </row>
    <row r="5754" spans="1:5" ht="13">
      <c r="A5754" s="115"/>
      <c r="B5754" s="115"/>
      <c r="C5754" s="115"/>
      <c r="D5754" s="115"/>
      <c r="E5754" s="115"/>
    </row>
    <row r="5755" spans="1:5" ht="13">
      <c r="A5755" s="115"/>
      <c r="B5755" s="115"/>
      <c r="C5755" s="115"/>
      <c r="D5755" s="115"/>
      <c r="E5755" s="115"/>
    </row>
    <row r="5756" spans="1:5" ht="13">
      <c r="A5756" s="115"/>
      <c r="B5756" s="115"/>
      <c r="C5756" s="115"/>
      <c r="D5756" s="115"/>
      <c r="E5756" s="115"/>
    </row>
    <row r="5757" spans="1:5" ht="13">
      <c r="A5757" s="115"/>
      <c r="B5757" s="115"/>
      <c r="C5757" s="115"/>
      <c r="D5757" s="115"/>
      <c r="E5757" s="115"/>
    </row>
    <row r="5758" spans="1:5" ht="13">
      <c r="A5758" s="115"/>
      <c r="B5758" s="115"/>
      <c r="C5758" s="115"/>
      <c r="D5758" s="115"/>
      <c r="E5758" s="115"/>
    </row>
    <row r="5759" spans="1:5" ht="13">
      <c r="A5759" s="115"/>
      <c r="B5759" s="115"/>
      <c r="C5759" s="115"/>
      <c r="D5759" s="115"/>
      <c r="E5759" s="115"/>
    </row>
    <row r="5760" spans="1:5" ht="13">
      <c r="A5760" s="115"/>
      <c r="B5760" s="115"/>
      <c r="C5760" s="115"/>
      <c r="D5760" s="115"/>
      <c r="E5760" s="115"/>
    </row>
    <row r="5761" spans="1:5" ht="13">
      <c r="A5761" s="115"/>
      <c r="B5761" s="115"/>
      <c r="C5761" s="115"/>
      <c r="D5761" s="115"/>
      <c r="E5761" s="115"/>
    </row>
    <row r="5762" spans="1:5" ht="13">
      <c r="A5762" s="115"/>
      <c r="B5762" s="115"/>
      <c r="C5762" s="115"/>
      <c r="D5762" s="115"/>
      <c r="E5762" s="115"/>
    </row>
    <row r="5763" spans="1:5" ht="13">
      <c r="A5763" s="115"/>
      <c r="B5763" s="115"/>
      <c r="C5763" s="115"/>
      <c r="D5763" s="115"/>
      <c r="E5763" s="115"/>
    </row>
    <row r="5764" spans="1:5" ht="13">
      <c r="A5764" s="115"/>
      <c r="B5764" s="115"/>
      <c r="C5764" s="115"/>
      <c r="D5764" s="115"/>
      <c r="E5764" s="115"/>
    </row>
    <row r="5765" spans="1:5" ht="13">
      <c r="A5765" s="115"/>
      <c r="B5765" s="115"/>
      <c r="C5765" s="115"/>
      <c r="D5765" s="115"/>
      <c r="E5765" s="115"/>
    </row>
    <row r="5766" spans="1:5" ht="13">
      <c r="A5766" s="115"/>
      <c r="B5766" s="115"/>
      <c r="C5766" s="115"/>
      <c r="D5766" s="115"/>
      <c r="E5766" s="115"/>
    </row>
    <row r="5767" spans="1:5" ht="13">
      <c r="A5767" s="115"/>
      <c r="B5767" s="115"/>
      <c r="C5767" s="115"/>
      <c r="D5767" s="115"/>
      <c r="E5767" s="115"/>
    </row>
    <row r="5768" spans="1:5" ht="13">
      <c r="A5768" s="115"/>
      <c r="B5768" s="115"/>
      <c r="C5768" s="115"/>
      <c r="D5768" s="115"/>
      <c r="E5768" s="115"/>
    </row>
    <row r="5769" spans="1:5" ht="13">
      <c r="A5769" s="115"/>
      <c r="B5769" s="115"/>
      <c r="C5769" s="115"/>
      <c r="D5769" s="115"/>
      <c r="E5769" s="115"/>
    </row>
    <row r="5770" spans="1:5" ht="13">
      <c r="A5770" s="115"/>
      <c r="B5770" s="115"/>
      <c r="C5770" s="115"/>
      <c r="D5770" s="115"/>
      <c r="E5770" s="115"/>
    </row>
    <row r="5771" spans="1:5" ht="13">
      <c r="A5771" s="115"/>
      <c r="B5771" s="115"/>
      <c r="C5771" s="115"/>
      <c r="D5771" s="115"/>
      <c r="E5771" s="115"/>
    </row>
    <row r="5772" spans="1:5" ht="13">
      <c r="A5772" s="115"/>
      <c r="B5772" s="115"/>
      <c r="C5772" s="115"/>
      <c r="D5772" s="115"/>
      <c r="E5772" s="115"/>
    </row>
    <row r="5773" spans="1:5" ht="13">
      <c r="A5773" s="115"/>
      <c r="B5773" s="115"/>
      <c r="C5773" s="115"/>
      <c r="D5773" s="115"/>
      <c r="E5773" s="115"/>
    </row>
    <row r="5774" spans="1:5" ht="13">
      <c r="A5774" s="115"/>
      <c r="B5774" s="115"/>
      <c r="C5774" s="115"/>
      <c r="D5774" s="115"/>
      <c r="E5774" s="115"/>
    </row>
    <row r="5775" spans="1:5" ht="13">
      <c r="A5775" s="115"/>
      <c r="B5775" s="115"/>
      <c r="C5775" s="115"/>
      <c r="D5775" s="115"/>
      <c r="E5775" s="115"/>
    </row>
    <row r="5776" spans="1:5" ht="13">
      <c r="A5776" s="115"/>
      <c r="B5776" s="115"/>
      <c r="C5776" s="115"/>
      <c r="D5776" s="115"/>
      <c r="E5776" s="115"/>
    </row>
    <row r="5777" spans="1:5" ht="13">
      <c r="A5777" s="115"/>
      <c r="B5777" s="115"/>
      <c r="C5777" s="115"/>
      <c r="D5777" s="115"/>
      <c r="E5777" s="115"/>
    </row>
    <row r="5778" spans="1:5" ht="13">
      <c r="A5778" s="115"/>
      <c r="B5778" s="115"/>
      <c r="C5778" s="115"/>
      <c r="D5778" s="115"/>
      <c r="E5778" s="115"/>
    </row>
    <row r="5779" spans="1:5" ht="13">
      <c r="A5779" s="115"/>
      <c r="B5779" s="115"/>
      <c r="C5779" s="115"/>
      <c r="D5779" s="115"/>
      <c r="E5779" s="115"/>
    </row>
    <row r="5780" spans="1:5" ht="13">
      <c r="A5780" s="115"/>
      <c r="B5780" s="115"/>
      <c r="C5780" s="115"/>
      <c r="D5780" s="115"/>
      <c r="E5780" s="115"/>
    </row>
    <row r="5781" spans="1:5" ht="13">
      <c r="A5781" s="115"/>
      <c r="B5781" s="115"/>
      <c r="C5781" s="115"/>
      <c r="D5781" s="115"/>
      <c r="E5781" s="115"/>
    </row>
    <row r="5782" spans="1:5" ht="13">
      <c r="A5782" s="115"/>
      <c r="B5782" s="115"/>
      <c r="C5782" s="115"/>
      <c r="D5782" s="115"/>
      <c r="E5782" s="115"/>
    </row>
    <row r="5783" spans="1:5" ht="13">
      <c r="A5783" s="115"/>
      <c r="B5783" s="115"/>
      <c r="C5783" s="115"/>
      <c r="D5783" s="115"/>
      <c r="E5783" s="115"/>
    </row>
    <row r="5784" spans="1:5" ht="13">
      <c r="A5784" s="115"/>
      <c r="B5784" s="115"/>
      <c r="C5784" s="115"/>
      <c r="D5784" s="115"/>
      <c r="E5784" s="115"/>
    </row>
    <row r="5785" spans="1:5" ht="13">
      <c r="A5785" s="115"/>
      <c r="B5785" s="115"/>
      <c r="C5785" s="115"/>
      <c r="D5785" s="115"/>
      <c r="E5785" s="115"/>
    </row>
    <row r="5786" spans="1:5" ht="13">
      <c r="A5786" s="115"/>
      <c r="B5786" s="115"/>
      <c r="C5786" s="115"/>
      <c r="D5786" s="115"/>
      <c r="E5786" s="115"/>
    </row>
    <row r="5787" spans="1:5" ht="13">
      <c r="A5787" s="115"/>
      <c r="B5787" s="115"/>
      <c r="C5787" s="115"/>
      <c r="D5787" s="115"/>
      <c r="E5787" s="115"/>
    </row>
    <row r="5788" spans="1:5" ht="13">
      <c r="A5788" s="115"/>
      <c r="B5788" s="115"/>
      <c r="C5788" s="115"/>
      <c r="D5788" s="115"/>
      <c r="E5788" s="115"/>
    </row>
    <row r="5789" spans="1:5" ht="13">
      <c r="A5789" s="115"/>
      <c r="B5789" s="115"/>
      <c r="C5789" s="115"/>
      <c r="D5789" s="115"/>
      <c r="E5789" s="115"/>
    </row>
    <row r="5790" spans="1:5" ht="13">
      <c r="A5790" s="115"/>
      <c r="B5790" s="115"/>
      <c r="C5790" s="115"/>
      <c r="D5790" s="115"/>
      <c r="E5790" s="115"/>
    </row>
    <row r="5791" spans="1:5" ht="13">
      <c r="A5791" s="115"/>
      <c r="B5791" s="115"/>
      <c r="C5791" s="115"/>
      <c r="D5791" s="115"/>
      <c r="E5791" s="115"/>
    </row>
    <row r="5792" spans="1:5" ht="13">
      <c r="A5792" s="115"/>
      <c r="B5792" s="115"/>
      <c r="C5792" s="115"/>
      <c r="D5792" s="115"/>
      <c r="E5792" s="115"/>
    </row>
    <row r="5793" spans="1:5" ht="13">
      <c r="A5793" s="115"/>
      <c r="B5793" s="115"/>
      <c r="C5793" s="115"/>
      <c r="D5793" s="115"/>
      <c r="E5793" s="115"/>
    </row>
    <row r="5794" spans="1:5" ht="13">
      <c r="A5794" s="115"/>
      <c r="B5794" s="115"/>
      <c r="C5794" s="115"/>
      <c r="D5794" s="115"/>
      <c r="E5794" s="115"/>
    </row>
    <row r="5795" spans="1:5" ht="13">
      <c r="A5795" s="115"/>
      <c r="B5795" s="115"/>
      <c r="C5795" s="115"/>
      <c r="D5795" s="115"/>
      <c r="E5795" s="115"/>
    </row>
    <row r="5796" spans="1:5" ht="13">
      <c r="A5796" s="115"/>
      <c r="B5796" s="115"/>
      <c r="C5796" s="115"/>
      <c r="D5796" s="115"/>
      <c r="E5796" s="115"/>
    </row>
    <row r="5797" spans="1:5" ht="13">
      <c r="A5797" s="115"/>
      <c r="B5797" s="115"/>
      <c r="C5797" s="115"/>
      <c r="D5797" s="115"/>
      <c r="E5797" s="115"/>
    </row>
    <row r="5798" spans="1:5" ht="13">
      <c r="A5798" s="115"/>
      <c r="B5798" s="115"/>
      <c r="C5798" s="115"/>
      <c r="D5798" s="115"/>
      <c r="E5798" s="115"/>
    </row>
    <row r="5799" spans="1:5" ht="13">
      <c r="A5799" s="115"/>
      <c r="B5799" s="115"/>
      <c r="C5799" s="115"/>
      <c r="D5799" s="115"/>
      <c r="E5799" s="115"/>
    </row>
    <row r="5800" spans="1:5" ht="13">
      <c r="A5800" s="115"/>
      <c r="B5800" s="115"/>
      <c r="C5800" s="115"/>
      <c r="D5800" s="115"/>
      <c r="E5800" s="115"/>
    </row>
    <row r="5801" spans="1:5" ht="13">
      <c r="A5801" s="115"/>
      <c r="B5801" s="115"/>
      <c r="C5801" s="115"/>
      <c r="D5801" s="115"/>
      <c r="E5801" s="115"/>
    </row>
    <row r="5802" spans="1:5" ht="13">
      <c r="A5802" s="115"/>
      <c r="B5802" s="115"/>
      <c r="C5802" s="115"/>
      <c r="D5802" s="115"/>
      <c r="E5802" s="115"/>
    </row>
    <row r="5803" spans="1:5" ht="13">
      <c r="A5803" s="115"/>
      <c r="B5803" s="115"/>
      <c r="C5803" s="115"/>
      <c r="D5803" s="115"/>
      <c r="E5803" s="115"/>
    </row>
    <row r="5804" spans="1:5" ht="13">
      <c r="A5804" s="115"/>
      <c r="B5804" s="115"/>
      <c r="C5804" s="115"/>
      <c r="D5804" s="115"/>
      <c r="E5804" s="115"/>
    </row>
    <row r="5805" spans="1:5" ht="13">
      <c r="A5805" s="115"/>
      <c r="B5805" s="115"/>
      <c r="C5805" s="115"/>
      <c r="D5805" s="115"/>
      <c r="E5805" s="115"/>
    </row>
    <row r="5806" spans="1:5" ht="13">
      <c r="A5806" s="115"/>
      <c r="B5806" s="115"/>
      <c r="C5806" s="115"/>
      <c r="D5806" s="115"/>
      <c r="E5806" s="115"/>
    </row>
    <row r="5807" spans="1:5" ht="13">
      <c r="A5807" s="115"/>
      <c r="B5807" s="115"/>
      <c r="C5807" s="115"/>
      <c r="D5807" s="115"/>
      <c r="E5807" s="115"/>
    </row>
    <row r="5808" spans="1:5" ht="13">
      <c r="A5808" s="115"/>
      <c r="B5808" s="115"/>
      <c r="C5808" s="115"/>
      <c r="D5808" s="115"/>
      <c r="E5808" s="115"/>
    </row>
    <row r="5809" spans="1:5" ht="13">
      <c r="A5809" s="115"/>
      <c r="B5809" s="115"/>
      <c r="C5809" s="115"/>
      <c r="D5809" s="115"/>
      <c r="E5809" s="115"/>
    </row>
    <row r="5810" spans="1:5" ht="13">
      <c r="A5810" s="115"/>
      <c r="B5810" s="115"/>
      <c r="C5810" s="115"/>
      <c r="D5810" s="115"/>
      <c r="E5810" s="115"/>
    </row>
    <row r="5811" spans="1:5" ht="13">
      <c r="A5811" s="115"/>
      <c r="B5811" s="115"/>
      <c r="C5811" s="115"/>
      <c r="D5811" s="115"/>
      <c r="E5811" s="115"/>
    </row>
    <row r="5812" spans="1:5" ht="13">
      <c r="A5812" s="115"/>
      <c r="B5812" s="115"/>
      <c r="C5812" s="115"/>
      <c r="D5812" s="115"/>
      <c r="E5812" s="115"/>
    </row>
    <row r="5813" spans="1:5" ht="13">
      <c r="A5813" s="115"/>
      <c r="B5813" s="115"/>
      <c r="C5813" s="115"/>
      <c r="D5813" s="115"/>
      <c r="E5813" s="115"/>
    </row>
    <row r="5814" spans="1:5" ht="13">
      <c r="A5814" s="115"/>
      <c r="B5814" s="115"/>
      <c r="C5814" s="115"/>
      <c r="D5814" s="115"/>
      <c r="E5814" s="115"/>
    </row>
    <row r="5815" spans="1:5" ht="13">
      <c r="A5815" s="115"/>
      <c r="B5815" s="115"/>
      <c r="C5815" s="115"/>
      <c r="D5815" s="115"/>
      <c r="E5815" s="115"/>
    </row>
    <row r="5816" spans="1:5" ht="13">
      <c r="A5816" s="115"/>
      <c r="B5816" s="115"/>
      <c r="C5816" s="115"/>
      <c r="D5816" s="115"/>
      <c r="E5816" s="115"/>
    </row>
    <row r="5817" spans="1:5" ht="13">
      <c r="A5817" s="115"/>
      <c r="B5817" s="115"/>
      <c r="C5817" s="115"/>
      <c r="D5817" s="115"/>
      <c r="E5817" s="115"/>
    </row>
    <row r="5818" spans="1:5" ht="13">
      <c r="A5818" s="115"/>
      <c r="B5818" s="115"/>
      <c r="C5818" s="115"/>
      <c r="D5818" s="115"/>
      <c r="E5818" s="115"/>
    </row>
    <row r="5819" spans="1:5" ht="13">
      <c r="A5819" s="115"/>
      <c r="B5819" s="115"/>
      <c r="C5819" s="115"/>
      <c r="D5819" s="115"/>
      <c r="E5819" s="115"/>
    </row>
    <row r="5820" spans="1:5" ht="13">
      <c r="A5820" s="115"/>
      <c r="B5820" s="115"/>
      <c r="C5820" s="115"/>
      <c r="D5820" s="115"/>
      <c r="E5820" s="115"/>
    </row>
    <row r="5821" spans="1:5" ht="13">
      <c r="A5821" s="115"/>
      <c r="B5821" s="115"/>
      <c r="C5821" s="115"/>
      <c r="D5821" s="115"/>
      <c r="E5821" s="115"/>
    </row>
    <row r="5822" spans="1:5" ht="13">
      <c r="A5822" s="115"/>
      <c r="B5822" s="115"/>
      <c r="C5822" s="115"/>
      <c r="D5822" s="115"/>
      <c r="E5822" s="115"/>
    </row>
    <row r="5823" spans="1:5" ht="13">
      <c r="A5823" s="115"/>
      <c r="B5823" s="115"/>
      <c r="C5823" s="115"/>
      <c r="D5823" s="115"/>
      <c r="E5823" s="115"/>
    </row>
    <row r="5824" spans="1:5" ht="13">
      <c r="A5824" s="115"/>
      <c r="B5824" s="115"/>
      <c r="C5824" s="115"/>
      <c r="D5824" s="115"/>
      <c r="E5824" s="115"/>
    </row>
    <row r="5825" spans="1:5" ht="13">
      <c r="A5825" s="115"/>
      <c r="B5825" s="115"/>
      <c r="C5825" s="115"/>
      <c r="D5825" s="115"/>
      <c r="E5825" s="115"/>
    </row>
    <row r="5826" spans="1:5" ht="13">
      <c r="A5826" s="115"/>
      <c r="B5826" s="115"/>
      <c r="C5826" s="115"/>
      <c r="D5826" s="115"/>
      <c r="E5826" s="115"/>
    </row>
    <row r="5827" spans="1:5" ht="13">
      <c r="A5827" s="115"/>
      <c r="B5827" s="115"/>
      <c r="C5827" s="115"/>
      <c r="D5827" s="115"/>
      <c r="E5827" s="115"/>
    </row>
    <row r="5828" spans="1:5" ht="13">
      <c r="A5828" s="115"/>
      <c r="B5828" s="115"/>
      <c r="C5828" s="115"/>
      <c r="D5828" s="115"/>
      <c r="E5828" s="115"/>
    </row>
    <row r="5829" spans="1:5" ht="13">
      <c r="A5829" s="115"/>
      <c r="B5829" s="115"/>
      <c r="C5829" s="115"/>
      <c r="D5829" s="115"/>
      <c r="E5829" s="115"/>
    </row>
    <row r="5830" spans="1:5" ht="13">
      <c r="A5830" s="115"/>
      <c r="B5830" s="115"/>
      <c r="C5830" s="115"/>
      <c r="D5830" s="115"/>
      <c r="E5830" s="115"/>
    </row>
    <row r="5831" spans="1:5" ht="13">
      <c r="A5831" s="115"/>
      <c r="B5831" s="115"/>
      <c r="C5831" s="115"/>
      <c r="D5831" s="115"/>
      <c r="E5831" s="115"/>
    </row>
    <row r="5832" spans="1:5" ht="13">
      <c r="A5832" s="115"/>
      <c r="B5832" s="115"/>
      <c r="C5832" s="115"/>
      <c r="D5832" s="115"/>
      <c r="E5832" s="115"/>
    </row>
    <row r="5833" spans="1:5" ht="13">
      <c r="A5833" s="115"/>
      <c r="B5833" s="115"/>
      <c r="C5833" s="115"/>
      <c r="D5833" s="115"/>
      <c r="E5833" s="115"/>
    </row>
    <row r="5834" spans="1:5" ht="13">
      <c r="A5834" s="115"/>
      <c r="B5834" s="115"/>
      <c r="C5834" s="115"/>
      <c r="D5834" s="115"/>
      <c r="E5834" s="115"/>
    </row>
    <row r="5835" spans="1:5" ht="13">
      <c r="A5835" s="115"/>
      <c r="B5835" s="115"/>
      <c r="C5835" s="115"/>
      <c r="D5835" s="115"/>
      <c r="E5835" s="115"/>
    </row>
    <row r="5836" spans="1:5" ht="13">
      <c r="A5836" s="115"/>
      <c r="B5836" s="115"/>
      <c r="C5836" s="115"/>
      <c r="D5836" s="115"/>
      <c r="E5836" s="115"/>
    </row>
    <row r="5837" spans="1:5" ht="13">
      <c r="A5837" s="115"/>
      <c r="B5837" s="115"/>
      <c r="C5837" s="115"/>
      <c r="D5837" s="115"/>
      <c r="E5837" s="115"/>
    </row>
    <row r="5838" spans="1:5" ht="13">
      <c r="A5838" s="115"/>
      <c r="B5838" s="115"/>
      <c r="C5838" s="115"/>
      <c r="D5838" s="115"/>
      <c r="E5838" s="115"/>
    </row>
    <row r="5839" spans="1:5" ht="13">
      <c r="A5839" s="115"/>
      <c r="B5839" s="115"/>
      <c r="C5839" s="115"/>
      <c r="D5839" s="115"/>
      <c r="E5839" s="115"/>
    </row>
    <row r="5840" spans="1:5" ht="13">
      <c r="A5840" s="115"/>
      <c r="B5840" s="115"/>
      <c r="C5840" s="115"/>
      <c r="D5840" s="115"/>
      <c r="E5840" s="115"/>
    </row>
    <row r="5841" spans="1:5" ht="13">
      <c r="A5841" s="115"/>
      <c r="B5841" s="115"/>
      <c r="C5841" s="115"/>
      <c r="D5841" s="115"/>
      <c r="E5841" s="115"/>
    </row>
    <row r="5842" spans="1:5" ht="13">
      <c r="A5842" s="115"/>
      <c r="B5842" s="115"/>
      <c r="C5842" s="115"/>
      <c r="D5842" s="115"/>
      <c r="E5842" s="115"/>
    </row>
    <row r="5843" spans="1:5" ht="13">
      <c r="A5843" s="115"/>
      <c r="B5843" s="115"/>
      <c r="C5843" s="115"/>
      <c r="D5843" s="115"/>
      <c r="E5843" s="115"/>
    </row>
    <row r="5844" spans="1:5" ht="13">
      <c r="A5844" s="115"/>
      <c r="B5844" s="115"/>
      <c r="C5844" s="115"/>
      <c r="D5844" s="115"/>
      <c r="E5844" s="115"/>
    </row>
    <row r="5845" spans="1:5" ht="13">
      <c r="A5845" s="115"/>
      <c r="B5845" s="115"/>
      <c r="C5845" s="115"/>
      <c r="D5845" s="115"/>
      <c r="E5845" s="115"/>
    </row>
    <row r="5846" spans="1:5" ht="13">
      <c r="A5846" s="115"/>
      <c r="B5846" s="115"/>
      <c r="C5846" s="115"/>
      <c r="D5846" s="115"/>
      <c r="E5846" s="115"/>
    </row>
    <row r="5847" spans="1:5" ht="13">
      <c r="A5847" s="115"/>
      <c r="B5847" s="115"/>
      <c r="C5847" s="115"/>
      <c r="D5847" s="115"/>
      <c r="E5847" s="115"/>
    </row>
    <row r="5848" spans="1:5" ht="13">
      <c r="A5848" s="115"/>
      <c r="B5848" s="115"/>
      <c r="C5848" s="115"/>
      <c r="D5848" s="115"/>
      <c r="E5848" s="115"/>
    </row>
    <row r="5849" spans="1:5" ht="13">
      <c r="A5849" s="115"/>
      <c r="B5849" s="115"/>
      <c r="C5849" s="115"/>
      <c r="D5849" s="115"/>
      <c r="E5849" s="115"/>
    </row>
    <row r="5850" spans="1:5" ht="13">
      <c r="A5850" s="115"/>
      <c r="B5850" s="115"/>
      <c r="C5850" s="115"/>
      <c r="D5850" s="115"/>
      <c r="E5850" s="115"/>
    </row>
    <row r="5851" spans="1:5" ht="13">
      <c r="A5851" s="115"/>
      <c r="B5851" s="115"/>
      <c r="C5851" s="115"/>
      <c r="D5851" s="115"/>
      <c r="E5851" s="115"/>
    </row>
    <row r="5852" spans="1:5" ht="13">
      <c r="A5852" s="115"/>
      <c r="B5852" s="115"/>
      <c r="C5852" s="115"/>
      <c r="D5852" s="115"/>
      <c r="E5852" s="115"/>
    </row>
    <row r="5853" spans="1:5" ht="13">
      <c r="A5853" s="115"/>
      <c r="B5853" s="115"/>
      <c r="C5853" s="115"/>
      <c r="D5853" s="115"/>
      <c r="E5853" s="115"/>
    </row>
    <row r="5854" spans="1:5" ht="13">
      <c r="A5854" s="115"/>
      <c r="B5854" s="115"/>
      <c r="C5854" s="115"/>
      <c r="D5854" s="115"/>
      <c r="E5854" s="115"/>
    </row>
    <row r="5855" spans="1:5" ht="13">
      <c r="A5855" s="115"/>
      <c r="B5855" s="115"/>
      <c r="C5855" s="115"/>
      <c r="D5855" s="115"/>
      <c r="E5855" s="115"/>
    </row>
    <row r="5856" spans="1:5" ht="13">
      <c r="A5856" s="115"/>
      <c r="B5856" s="115"/>
      <c r="C5856" s="115"/>
      <c r="D5856" s="115"/>
      <c r="E5856" s="115"/>
    </row>
    <row r="5857" spans="1:5" ht="13">
      <c r="A5857" s="115"/>
      <c r="B5857" s="115"/>
      <c r="C5857" s="115"/>
      <c r="D5857" s="115"/>
      <c r="E5857" s="115"/>
    </row>
    <row r="5858" spans="1:5" ht="13">
      <c r="A5858" s="115"/>
      <c r="B5858" s="115"/>
      <c r="C5858" s="115"/>
      <c r="D5858" s="115"/>
      <c r="E5858" s="115"/>
    </row>
    <row r="5859" spans="1:5" ht="13">
      <c r="A5859" s="115"/>
      <c r="B5859" s="115"/>
      <c r="C5859" s="115"/>
      <c r="D5859" s="115"/>
      <c r="E5859" s="115"/>
    </row>
    <row r="5860" spans="1:5" ht="13">
      <c r="A5860" s="115"/>
      <c r="B5860" s="115"/>
      <c r="C5860" s="115"/>
      <c r="D5860" s="115"/>
      <c r="E5860" s="115"/>
    </row>
    <row r="5861" spans="1:5" ht="13">
      <c r="A5861" s="115"/>
      <c r="B5861" s="115"/>
      <c r="C5861" s="115"/>
      <c r="D5861" s="115"/>
      <c r="E5861" s="115"/>
    </row>
    <row r="5862" spans="1:5" ht="13">
      <c r="A5862" s="115"/>
      <c r="B5862" s="115"/>
      <c r="C5862" s="115"/>
      <c r="D5862" s="115"/>
      <c r="E5862" s="115"/>
    </row>
    <row r="5863" spans="1:5" ht="13">
      <c r="A5863" s="115"/>
      <c r="B5863" s="115"/>
      <c r="C5863" s="115"/>
      <c r="D5863" s="115"/>
      <c r="E5863" s="115"/>
    </row>
    <row r="5864" spans="1:5" ht="13">
      <c r="A5864" s="115"/>
      <c r="B5864" s="115"/>
      <c r="C5864" s="115"/>
      <c r="D5864" s="115"/>
      <c r="E5864" s="115"/>
    </row>
    <row r="5865" spans="1:5" ht="13">
      <c r="A5865" s="115"/>
      <c r="B5865" s="115"/>
      <c r="C5865" s="115"/>
      <c r="D5865" s="115"/>
      <c r="E5865" s="115"/>
    </row>
    <row r="5866" spans="1:5" ht="13">
      <c r="A5866" s="115"/>
      <c r="B5866" s="115"/>
      <c r="C5866" s="115"/>
      <c r="D5866" s="115"/>
      <c r="E5866" s="115"/>
    </row>
    <row r="5867" spans="1:5" ht="13">
      <c r="A5867" s="115"/>
      <c r="B5867" s="115"/>
      <c r="C5867" s="115"/>
      <c r="D5867" s="115"/>
      <c r="E5867" s="115"/>
    </row>
    <row r="5868" spans="1:5" ht="13">
      <c r="A5868" s="115"/>
      <c r="B5868" s="115"/>
      <c r="C5868" s="115"/>
      <c r="D5868" s="115"/>
      <c r="E5868" s="115"/>
    </row>
    <row r="5869" spans="1:5" ht="13">
      <c r="A5869" s="115"/>
      <c r="B5869" s="115"/>
      <c r="C5869" s="115"/>
      <c r="D5869" s="115"/>
      <c r="E5869" s="115"/>
    </row>
    <row r="5870" spans="1:5" ht="13">
      <c r="A5870" s="115"/>
      <c r="B5870" s="115"/>
      <c r="C5870" s="115"/>
      <c r="D5870" s="115"/>
      <c r="E5870" s="115"/>
    </row>
    <row r="5871" spans="1:5" ht="13">
      <c r="A5871" s="115"/>
      <c r="B5871" s="115"/>
      <c r="C5871" s="115"/>
      <c r="D5871" s="115"/>
      <c r="E5871" s="115"/>
    </row>
    <row r="5872" spans="1:5" ht="13">
      <c r="A5872" s="115"/>
      <c r="B5872" s="115"/>
      <c r="C5872" s="115"/>
      <c r="D5872" s="115"/>
      <c r="E5872" s="115"/>
    </row>
    <row r="5873" spans="1:5" ht="13">
      <c r="A5873" s="115"/>
      <c r="B5873" s="115"/>
      <c r="C5873" s="115"/>
      <c r="D5873" s="115"/>
      <c r="E5873" s="115"/>
    </row>
    <row r="5874" spans="1:5" ht="13">
      <c r="A5874" s="115"/>
      <c r="B5874" s="115"/>
      <c r="C5874" s="115"/>
      <c r="D5874" s="115"/>
      <c r="E5874" s="115"/>
    </row>
    <row r="5875" spans="1:5" ht="13">
      <c r="A5875" s="115"/>
      <c r="B5875" s="115"/>
      <c r="C5875" s="115"/>
      <c r="D5875" s="115"/>
      <c r="E5875" s="115"/>
    </row>
    <row r="5876" spans="1:5" ht="13">
      <c r="A5876" s="115"/>
      <c r="B5876" s="115"/>
      <c r="C5876" s="115"/>
      <c r="D5876" s="115"/>
      <c r="E5876" s="115"/>
    </row>
    <row r="5877" spans="1:5" ht="13">
      <c r="A5877" s="115"/>
      <c r="B5877" s="115"/>
      <c r="C5877" s="115"/>
      <c r="D5877" s="115"/>
      <c r="E5877" s="115"/>
    </row>
    <row r="5878" spans="1:5" ht="13">
      <c r="A5878" s="115"/>
      <c r="B5878" s="115"/>
      <c r="C5878" s="115"/>
      <c r="D5878" s="115"/>
      <c r="E5878" s="115"/>
    </row>
    <row r="5879" spans="1:5" ht="13">
      <c r="A5879" s="115"/>
      <c r="B5879" s="115"/>
      <c r="C5879" s="115"/>
      <c r="D5879" s="115"/>
      <c r="E5879" s="115"/>
    </row>
    <row r="5880" spans="1:5" ht="13">
      <c r="A5880" s="115"/>
      <c r="B5880" s="115"/>
      <c r="C5880" s="115"/>
      <c r="D5880" s="115"/>
      <c r="E5880" s="115"/>
    </row>
    <row r="5881" spans="1:5" ht="13">
      <c r="A5881" s="115"/>
      <c r="B5881" s="115"/>
      <c r="C5881" s="115"/>
      <c r="D5881" s="115"/>
      <c r="E5881" s="115"/>
    </row>
    <row r="5882" spans="1:5" ht="13">
      <c r="A5882" s="115"/>
      <c r="B5882" s="115"/>
      <c r="C5882" s="115"/>
      <c r="D5882" s="115"/>
      <c r="E5882" s="115"/>
    </row>
    <row r="5883" spans="1:5" ht="13">
      <c r="A5883" s="115"/>
      <c r="B5883" s="115"/>
      <c r="C5883" s="115"/>
      <c r="D5883" s="115"/>
      <c r="E5883" s="115"/>
    </row>
    <row r="5884" spans="1:5" ht="13">
      <c r="A5884" s="115"/>
      <c r="B5884" s="115"/>
      <c r="C5884" s="115"/>
      <c r="D5884" s="115"/>
      <c r="E5884" s="115"/>
    </row>
    <row r="5885" spans="1:5" ht="13">
      <c r="A5885" s="115"/>
      <c r="B5885" s="115"/>
      <c r="C5885" s="115"/>
      <c r="D5885" s="115"/>
      <c r="E5885" s="115"/>
    </row>
    <row r="5886" spans="1:5" ht="13">
      <c r="A5886" s="115"/>
      <c r="B5886" s="115"/>
      <c r="C5886" s="115"/>
      <c r="D5886" s="115"/>
      <c r="E5886" s="115"/>
    </row>
    <row r="5887" spans="1:5" ht="13">
      <c r="A5887" s="115"/>
      <c r="B5887" s="115"/>
      <c r="C5887" s="115"/>
      <c r="D5887" s="115"/>
      <c r="E5887" s="115"/>
    </row>
    <row r="5888" spans="1:5" ht="13">
      <c r="A5888" s="115"/>
      <c r="B5888" s="115"/>
      <c r="C5888" s="115"/>
      <c r="D5888" s="115"/>
      <c r="E5888" s="115"/>
    </row>
    <row r="5889" spans="1:5" ht="13">
      <c r="A5889" s="115"/>
      <c r="B5889" s="115"/>
      <c r="C5889" s="115"/>
      <c r="D5889" s="115"/>
      <c r="E5889" s="115"/>
    </row>
    <row r="5890" spans="1:5" ht="13">
      <c r="A5890" s="115"/>
      <c r="B5890" s="115"/>
      <c r="C5890" s="115"/>
      <c r="D5890" s="115"/>
      <c r="E5890" s="115"/>
    </row>
    <row r="5891" spans="1:5" ht="13">
      <c r="A5891" s="115"/>
      <c r="B5891" s="115"/>
      <c r="C5891" s="115"/>
      <c r="D5891" s="115"/>
      <c r="E5891" s="115"/>
    </row>
    <row r="5892" spans="1:5" ht="13">
      <c r="A5892" s="115"/>
      <c r="B5892" s="115"/>
      <c r="C5892" s="115"/>
      <c r="D5892" s="115"/>
      <c r="E5892" s="115"/>
    </row>
    <row r="5893" spans="1:5" ht="13">
      <c r="A5893" s="115"/>
      <c r="B5893" s="115"/>
      <c r="C5893" s="115"/>
      <c r="D5893" s="115"/>
      <c r="E5893" s="115"/>
    </row>
    <row r="5894" spans="1:5" ht="13">
      <c r="A5894" s="115"/>
      <c r="B5894" s="115"/>
      <c r="C5894" s="115"/>
      <c r="D5894" s="115"/>
      <c r="E5894" s="115"/>
    </row>
    <row r="5895" spans="1:5" ht="13">
      <c r="A5895" s="115"/>
      <c r="B5895" s="115"/>
      <c r="C5895" s="115"/>
      <c r="D5895" s="115"/>
      <c r="E5895" s="115"/>
    </row>
    <row r="5896" spans="1:5" ht="13">
      <c r="A5896" s="115"/>
      <c r="B5896" s="115"/>
      <c r="C5896" s="115"/>
      <c r="D5896" s="115"/>
      <c r="E5896" s="115"/>
    </row>
    <row r="5897" spans="1:5" ht="13">
      <c r="A5897" s="115"/>
      <c r="B5897" s="115"/>
      <c r="C5897" s="115"/>
      <c r="D5897" s="115"/>
      <c r="E5897" s="115"/>
    </row>
    <row r="5898" spans="1:5" ht="13">
      <c r="A5898" s="115"/>
      <c r="B5898" s="115"/>
      <c r="C5898" s="115"/>
      <c r="D5898" s="115"/>
      <c r="E5898" s="115"/>
    </row>
    <row r="5899" spans="1:5" ht="13">
      <c r="A5899" s="115"/>
      <c r="B5899" s="115"/>
      <c r="C5899" s="115"/>
      <c r="D5899" s="115"/>
      <c r="E5899" s="115"/>
    </row>
    <row r="5900" spans="1:5" ht="13">
      <c r="A5900" s="115"/>
      <c r="B5900" s="115"/>
      <c r="C5900" s="115"/>
      <c r="D5900" s="115"/>
      <c r="E5900" s="115"/>
    </row>
    <row r="5901" spans="1:5" ht="13">
      <c r="A5901" s="115"/>
      <c r="B5901" s="115"/>
      <c r="C5901" s="115"/>
      <c r="D5901" s="115"/>
      <c r="E5901" s="115"/>
    </row>
    <row r="5902" spans="1:5" ht="13">
      <c r="A5902" s="115"/>
      <c r="B5902" s="115"/>
      <c r="C5902" s="115"/>
      <c r="D5902" s="115"/>
      <c r="E5902" s="115"/>
    </row>
    <row r="5903" spans="1:5" ht="13">
      <c r="A5903" s="115"/>
      <c r="B5903" s="115"/>
      <c r="C5903" s="115"/>
      <c r="D5903" s="115"/>
      <c r="E5903" s="115"/>
    </row>
    <row r="5904" spans="1:5" ht="13">
      <c r="A5904" s="115"/>
      <c r="B5904" s="115"/>
      <c r="C5904" s="115"/>
      <c r="D5904" s="115"/>
      <c r="E5904" s="115"/>
    </row>
    <row r="5905" spans="1:5" ht="13">
      <c r="A5905" s="115"/>
      <c r="B5905" s="115"/>
      <c r="C5905" s="115"/>
      <c r="D5905" s="115"/>
      <c r="E5905" s="115"/>
    </row>
    <row r="5906" spans="1:5" ht="13">
      <c r="A5906" s="115"/>
      <c r="B5906" s="115"/>
      <c r="C5906" s="115"/>
      <c r="D5906" s="115"/>
      <c r="E5906" s="115"/>
    </row>
    <row r="5907" spans="1:5" ht="13">
      <c r="A5907" s="115"/>
      <c r="B5907" s="115"/>
      <c r="C5907" s="115"/>
      <c r="D5907" s="115"/>
      <c r="E5907" s="115"/>
    </row>
    <row r="5908" spans="1:5" ht="13">
      <c r="A5908" s="115"/>
      <c r="B5908" s="115"/>
      <c r="C5908" s="115"/>
      <c r="D5908" s="115"/>
      <c r="E5908" s="115"/>
    </row>
    <row r="5909" spans="1:5" ht="13">
      <c r="A5909" s="115"/>
      <c r="B5909" s="115"/>
      <c r="C5909" s="115"/>
      <c r="D5909" s="115"/>
      <c r="E5909" s="115"/>
    </row>
    <row r="5910" spans="1:5" ht="13">
      <c r="A5910" s="115"/>
      <c r="B5910" s="115"/>
      <c r="C5910" s="115"/>
      <c r="D5910" s="115"/>
      <c r="E5910" s="115"/>
    </row>
    <row r="5911" spans="1:5" ht="13">
      <c r="A5911" s="115"/>
      <c r="B5911" s="115"/>
      <c r="C5911" s="115"/>
      <c r="D5911" s="115"/>
      <c r="E5911" s="115"/>
    </row>
    <row r="5912" spans="1:5" ht="13">
      <c r="A5912" s="115"/>
      <c r="B5912" s="115"/>
      <c r="C5912" s="115"/>
      <c r="D5912" s="115"/>
      <c r="E5912" s="115"/>
    </row>
    <row r="5913" spans="1:5" ht="13">
      <c r="A5913" s="115"/>
      <c r="B5913" s="115"/>
      <c r="C5913" s="115"/>
      <c r="D5913" s="115"/>
      <c r="E5913" s="115"/>
    </row>
    <row r="5914" spans="1:5" ht="13">
      <c r="A5914" s="115"/>
      <c r="B5914" s="115"/>
      <c r="C5914" s="115"/>
      <c r="D5914" s="115"/>
      <c r="E5914" s="115"/>
    </row>
    <row r="5915" spans="1:5" ht="13">
      <c r="A5915" s="115"/>
      <c r="B5915" s="115"/>
      <c r="C5915" s="115"/>
      <c r="D5915" s="115"/>
      <c r="E5915" s="115"/>
    </row>
    <row r="5916" spans="1:5" ht="13">
      <c r="A5916" s="115"/>
      <c r="B5916" s="115"/>
      <c r="C5916" s="115"/>
      <c r="D5916" s="115"/>
      <c r="E5916" s="115"/>
    </row>
    <row r="5917" spans="1:5" ht="13">
      <c r="A5917" s="115"/>
      <c r="B5917" s="115"/>
      <c r="C5917" s="115"/>
      <c r="D5917" s="115"/>
      <c r="E5917" s="115"/>
    </row>
    <row r="5918" spans="1:5" ht="13">
      <c r="A5918" s="115"/>
      <c r="B5918" s="115"/>
      <c r="C5918" s="115"/>
      <c r="D5918" s="115"/>
      <c r="E5918" s="115"/>
    </row>
    <row r="5919" spans="1:5" ht="13">
      <c r="A5919" s="115"/>
      <c r="B5919" s="115"/>
      <c r="C5919" s="115"/>
      <c r="D5919" s="115"/>
      <c r="E5919" s="115"/>
    </row>
    <row r="5920" spans="1:5" ht="13">
      <c r="A5920" s="115"/>
      <c r="B5920" s="115"/>
      <c r="C5920" s="115"/>
      <c r="D5920" s="115"/>
      <c r="E5920" s="115"/>
    </row>
    <row r="5921" spans="1:5" ht="13">
      <c r="A5921" s="115"/>
      <c r="B5921" s="115"/>
      <c r="C5921" s="115"/>
      <c r="D5921" s="115"/>
      <c r="E5921" s="115"/>
    </row>
    <row r="5922" spans="1:5" ht="13">
      <c r="A5922" s="115"/>
      <c r="B5922" s="115"/>
      <c r="C5922" s="115"/>
      <c r="D5922" s="115"/>
      <c r="E5922" s="115"/>
    </row>
    <row r="5923" spans="1:5" ht="13">
      <c r="A5923" s="115"/>
      <c r="B5923" s="115"/>
      <c r="C5923" s="115"/>
      <c r="D5923" s="115"/>
      <c r="E5923" s="115"/>
    </row>
    <row r="5924" spans="1:5" ht="13">
      <c r="A5924" s="115"/>
      <c r="B5924" s="115"/>
      <c r="C5924" s="115"/>
      <c r="D5924" s="115"/>
      <c r="E5924" s="115"/>
    </row>
    <row r="5925" spans="1:5" ht="13">
      <c r="A5925" s="115"/>
      <c r="B5925" s="115"/>
      <c r="C5925" s="115"/>
      <c r="D5925" s="115"/>
      <c r="E5925" s="115"/>
    </row>
    <row r="5926" spans="1:5" ht="13">
      <c r="A5926" s="115"/>
      <c r="B5926" s="115"/>
      <c r="C5926" s="115"/>
      <c r="D5926" s="115"/>
      <c r="E5926" s="115"/>
    </row>
    <row r="5927" spans="1:5" ht="13">
      <c r="A5927" s="115"/>
      <c r="B5927" s="115"/>
      <c r="C5927" s="115"/>
      <c r="D5927" s="115"/>
      <c r="E5927" s="115"/>
    </row>
    <row r="5928" spans="1:5" ht="13">
      <c r="A5928" s="115"/>
      <c r="B5928" s="115"/>
      <c r="C5928" s="115"/>
      <c r="D5928" s="115"/>
      <c r="E5928" s="115"/>
    </row>
    <row r="5929" spans="1:5" ht="13">
      <c r="A5929" s="115"/>
      <c r="B5929" s="115"/>
      <c r="C5929" s="115"/>
      <c r="D5929" s="115"/>
      <c r="E5929" s="115"/>
    </row>
    <row r="5930" spans="1:5" ht="13">
      <c r="A5930" s="115"/>
      <c r="B5930" s="115"/>
      <c r="C5930" s="115"/>
      <c r="D5930" s="115"/>
      <c r="E5930" s="115"/>
    </row>
    <row r="5931" spans="1:5" ht="13">
      <c r="A5931" s="115"/>
      <c r="B5931" s="115"/>
      <c r="C5931" s="115"/>
      <c r="D5931" s="115"/>
      <c r="E5931" s="115"/>
    </row>
    <row r="5932" spans="1:5" ht="13">
      <c r="A5932" s="115"/>
      <c r="B5932" s="115"/>
      <c r="C5932" s="115"/>
      <c r="D5932" s="115"/>
      <c r="E5932" s="115"/>
    </row>
    <row r="5933" spans="1:5" ht="13">
      <c r="A5933" s="115"/>
      <c r="B5933" s="115"/>
      <c r="C5933" s="115"/>
      <c r="D5933" s="115"/>
      <c r="E5933" s="115"/>
    </row>
    <row r="5934" spans="1:5" ht="13">
      <c r="A5934" s="115"/>
      <c r="B5934" s="115"/>
      <c r="C5934" s="115"/>
      <c r="D5934" s="115"/>
      <c r="E5934" s="115"/>
    </row>
    <row r="5935" spans="1:5" ht="13">
      <c r="A5935" s="115"/>
      <c r="B5935" s="115"/>
      <c r="C5935" s="115"/>
      <c r="D5935" s="115"/>
      <c r="E5935" s="115"/>
    </row>
    <row r="5936" spans="1:5" ht="13">
      <c r="A5936" s="115"/>
      <c r="B5936" s="115"/>
      <c r="C5936" s="115"/>
      <c r="D5936" s="115"/>
      <c r="E5936" s="115"/>
    </row>
    <row r="5937" spans="1:5" ht="13">
      <c r="A5937" s="115"/>
      <c r="B5937" s="115"/>
      <c r="C5937" s="115"/>
      <c r="D5937" s="115"/>
      <c r="E5937" s="115"/>
    </row>
    <row r="5938" spans="1:5" ht="13">
      <c r="A5938" s="115"/>
      <c r="B5938" s="115"/>
      <c r="C5938" s="115"/>
      <c r="D5938" s="115"/>
      <c r="E5938" s="115"/>
    </row>
    <row r="5939" spans="1:5" ht="13">
      <c r="A5939" s="115"/>
      <c r="B5939" s="115"/>
      <c r="C5939" s="115"/>
      <c r="D5939" s="115"/>
      <c r="E5939" s="115"/>
    </row>
    <row r="5940" spans="1:5" ht="13">
      <c r="A5940" s="115"/>
      <c r="B5940" s="115"/>
      <c r="C5940" s="115"/>
      <c r="D5940" s="115"/>
      <c r="E5940" s="115"/>
    </row>
    <row r="5941" spans="1:5" ht="13">
      <c r="A5941" s="115"/>
      <c r="B5941" s="115"/>
      <c r="C5941" s="115"/>
      <c r="D5941" s="115"/>
      <c r="E5941" s="115"/>
    </row>
    <row r="5942" spans="1:5" ht="13">
      <c r="A5942" s="115"/>
      <c r="B5942" s="115"/>
      <c r="C5942" s="115"/>
      <c r="D5942" s="115"/>
      <c r="E5942" s="115"/>
    </row>
    <row r="5943" spans="1:5" ht="13">
      <c r="A5943" s="115"/>
      <c r="B5943" s="115"/>
      <c r="C5943" s="115"/>
      <c r="D5943" s="115"/>
      <c r="E5943" s="115"/>
    </row>
    <row r="5944" spans="1:5" ht="13">
      <c r="A5944" s="115"/>
      <c r="B5944" s="115"/>
      <c r="C5944" s="115"/>
      <c r="D5944" s="115"/>
      <c r="E5944" s="115"/>
    </row>
    <row r="5945" spans="1:5" ht="13">
      <c r="A5945" s="115"/>
      <c r="B5945" s="115"/>
      <c r="C5945" s="115"/>
      <c r="D5945" s="115"/>
      <c r="E5945" s="115"/>
    </row>
    <row r="5946" spans="1:5" ht="13">
      <c r="A5946" s="115"/>
      <c r="B5946" s="115"/>
      <c r="C5946" s="115"/>
      <c r="D5946" s="115"/>
      <c r="E5946" s="115"/>
    </row>
    <row r="5947" spans="1:5" ht="13">
      <c r="A5947" s="115"/>
      <c r="B5947" s="115"/>
      <c r="C5947" s="115"/>
      <c r="D5947" s="115"/>
      <c r="E5947" s="115"/>
    </row>
    <row r="5948" spans="1:5" ht="13">
      <c r="A5948" s="115"/>
      <c r="B5948" s="115"/>
      <c r="C5948" s="115"/>
      <c r="D5948" s="115"/>
      <c r="E5948" s="115"/>
    </row>
    <row r="5949" spans="1:5" ht="13">
      <c r="A5949" s="115"/>
      <c r="B5949" s="115"/>
      <c r="C5949" s="115"/>
      <c r="D5949" s="115"/>
      <c r="E5949" s="115"/>
    </row>
    <row r="5950" spans="1:5" ht="13">
      <c r="A5950" s="115"/>
      <c r="B5950" s="115"/>
      <c r="C5950" s="115"/>
      <c r="D5950" s="115"/>
      <c r="E5950" s="115"/>
    </row>
    <row r="5951" spans="1:5" ht="13">
      <c r="A5951" s="115"/>
      <c r="B5951" s="115"/>
      <c r="C5951" s="115"/>
      <c r="D5951" s="115"/>
      <c r="E5951" s="115"/>
    </row>
    <row r="5952" spans="1:5" ht="13">
      <c r="A5952" s="115"/>
      <c r="B5952" s="115"/>
      <c r="C5952" s="115"/>
      <c r="D5952" s="115"/>
      <c r="E5952" s="115"/>
    </row>
    <row r="5953" spans="1:5" ht="13">
      <c r="A5953" s="115"/>
      <c r="B5953" s="115"/>
      <c r="C5953" s="115"/>
      <c r="D5953" s="115"/>
      <c r="E5953" s="115"/>
    </row>
    <row r="5954" spans="1:5" ht="13">
      <c r="A5954" s="115"/>
      <c r="B5954" s="115"/>
      <c r="C5954" s="115"/>
      <c r="D5954" s="115"/>
      <c r="E5954" s="115"/>
    </row>
    <row r="5955" spans="1:5" ht="13">
      <c r="A5955" s="115"/>
      <c r="B5955" s="115"/>
      <c r="C5955" s="115"/>
      <c r="D5955" s="115"/>
      <c r="E5955" s="115"/>
    </row>
    <row r="5956" spans="1:5" ht="13">
      <c r="A5956" s="115"/>
      <c r="B5956" s="115"/>
      <c r="C5956" s="115"/>
      <c r="D5956" s="115"/>
      <c r="E5956" s="115"/>
    </row>
    <row r="5957" spans="1:5" ht="13">
      <c r="A5957" s="115"/>
      <c r="B5957" s="115"/>
      <c r="C5957" s="115"/>
      <c r="D5957" s="115"/>
      <c r="E5957" s="115"/>
    </row>
    <row r="5958" spans="1:5" ht="13">
      <c r="A5958" s="115"/>
      <c r="B5958" s="115"/>
      <c r="C5958" s="115"/>
      <c r="D5958" s="115"/>
      <c r="E5958" s="115"/>
    </row>
    <row r="5959" spans="1:5" ht="13">
      <c r="A5959" s="115"/>
      <c r="B5959" s="115"/>
      <c r="C5959" s="115"/>
      <c r="D5959" s="115"/>
      <c r="E5959" s="115"/>
    </row>
    <row r="5960" spans="1:5" ht="13">
      <c r="A5960" s="115"/>
      <c r="B5960" s="115"/>
      <c r="C5960" s="115"/>
      <c r="D5960" s="115"/>
      <c r="E5960" s="115"/>
    </row>
    <row r="5961" spans="1:5" ht="13">
      <c r="A5961" s="115"/>
      <c r="B5961" s="115"/>
      <c r="C5961" s="115"/>
      <c r="D5961" s="115"/>
      <c r="E5961" s="115"/>
    </row>
    <row r="5962" spans="1:5" ht="13">
      <c r="A5962" s="115"/>
      <c r="B5962" s="115"/>
      <c r="C5962" s="115"/>
      <c r="D5962" s="115"/>
      <c r="E5962" s="115"/>
    </row>
    <row r="5963" spans="1:5" ht="13">
      <c r="A5963" s="115"/>
      <c r="B5963" s="115"/>
      <c r="C5963" s="115"/>
      <c r="D5963" s="115"/>
      <c r="E5963" s="115"/>
    </row>
    <row r="5964" spans="1:5" ht="13">
      <c r="A5964" s="115"/>
      <c r="B5964" s="115"/>
      <c r="C5964" s="115"/>
      <c r="D5964" s="115"/>
      <c r="E5964" s="115"/>
    </row>
    <row r="5965" spans="1:5" ht="13">
      <c r="A5965" s="115"/>
      <c r="B5965" s="115"/>
      <c r="C5965" s="115"/>
      <c r="D5965" s="115"/>
      <c r="E5965" s="115"/>
    </row>
    <row r="5966" spans="1:5" ht="13">
      <c r="A5966" s="115"/>
      <c r="B5966" s="115"/>
      <c r="C5966" s="115"/>
      <c r="D5966" s="115"/>
      <c r="E5966" s="115"/>
    </row>
    <row r="5967" spans="1:5" ht="13">
      <c r="A5967" s="115"/>
      <c r="B5967" s="115"/>
      <c r="C5967" s="115"/>
      <c r="D5967" s="115"/>
      <c r="E5967" s="115"/>
    </row>
    <row r="5968" spans="1:5" ht="13">
      <c r="A5968" s="115"/>
      <c r="B5968" s="115"/>
      <c r="C5968" s="115"/>
      <c r="D5968" s="115"/>
      <c r="E5968" s="115"/>
    </row>
    <row r="5969" spans="1:5" ht="13">
      <c r="A5969" s="115"/>
      <c r="B5969" s="115"/>
      <c r="C5969" s="115"/>
      <c r="D5969" s="115"/>
      <c r="E5969" s="115"/>
    </row>
    <row r="5970" spans="1:5" ht="13">
      <c r="A5970" s="115"/>
      <c r="B5970" s="115"/>
      <c r="C5970" s="115"/>
      <c r="D5970" s="115"/>
      <c r="E5970" s="115"/>
    </row>
    <row r="5971" spans="1:5" ht="13">
      <c r="A5971" s="115"/>
      <c r="B5971" s="115"/>
      <c r="C5971" s="115"/>
      <c r="D5971" s="115"/>
      <c r="E5971" s="115"/>
    </row>
    <row r="5972" spans="1:5" ht="13">
      <c r="A5972" s="115"/>
      <c r="B5972" s="115"/>
      <c r="C5972" s="115"/>
      <c r="D5972" s="115"/>
      <c r="E5972" s="115"/>
    </row>
    <row r="5973" spans="1:5" ht="13">
      <c r="A5973" s="115"/>
      <c r="B5973" s="115"/>
      <c r="C5973" s="115"/>
      <c r="D5973" s="115"/>
      <c r="E5973" s="115"/>
    </row>
    <row r="5974" spans="1:5" ht="13">
      <c r="A5974" s="115"/>
      <c r="B5974" s="115"/>
      <c r="C5974" s="115"/>
      <c r="D5974" s="115"/>
      <c r="E5974" s="115"/>
    </row>
    <row r="5975" spans="1:5" ht="13">
      <c r="A5975" s="115"/>
      <c r="B5975" s="115"/>
      <c r="C5975" s="115"/>
      <c r="D5975" s="115"/>
      <c r="E5975" s="115"/>
    </row>
    <row r="5976" spans="1:5" ht="13">
      <c r="A5976" s="115"/>
      <c r="B5976" s="115"/>
      <c r="C5976" s="115"/>
      <c r="D5976" s="115"/>
      <c r="E5976" s="115"/>
    </row>
    <row r="5977" spans="1:5" ht="13">
      <c r="A5977" s="115"/>
      <c r="B5977" s="115"/>
      <c r="C5977" s="115"/>
      <c r="D5977" s="115"/>
      <c r="E5977" s="115"/>
    </row>
    <row r="5978" spans="1:5" ht="13">
      <c r="A5978" s="115"/>
      <c r="B5978" s="115"/>
      <c r="C5978" s="115"/>
      <c r="D5978" s="115"/>
      <c r="E5978" s="115"/>
    </row>
    <row r="5979" spans="1:5" ht="13">
      <c r="A5979" s="115"/>
      <c r="B5979" s="115"/>
      <c r="C5979" s="115"/>
      <c r="D5979" s="115"/>
      <c r="E5979" s="115"/>
    </row>
    <row r="5980" spans="1:5" ht="13">
      <c r="A5980" s="115"/>
      <c r="B5980" s="115"/>
      <c r="C5980" s="115"/>
      <c r="D5980" s="115"/>
      <c r="E5980" s="115"/>
    </row>
    <row r="5981" spans="1:5" ht="13">
      <c r="A5981" s="115"/>
      <c r="B5981" s="115"/>
      <c r="C5981" s="115"/>
      <c r="D5981" s="115"/>
      <c r="E5981" s="115"/>
    </row>
    <row r="5982" spans="1:5" ht="13">
      <c r="A5982" s="115"/>
      <c r="B5982" s="115"/>
      <c r="C5982" s="115"/>
      <c r="D5982" s="115"/>
      <c r="E5982" s="115"/>
    </row>
    <row r="5983" spans="1:5" ht="13">
      <c r="A5983" s="115"/>
      <c r="B5983" s="115"/>
      <c r="C5983" s="115"/>
      <c r="D5983" s="115"/>
      <c r="E5983" s="115"/>
    </row>
    <row r="5984" spans="1:5" ht="13">
      <c r="A5984" s="115"/>
      <c r="B5984" s="115"/>
      <c r="C5984" s="115"/>
      <c r="D5984" s="115"/>
      <c r="E5984" s="115"/>
    </row>
    <row r="5985" spans="1:5" ht="13">
      <c r="A5985" s="115"/>
      <c r="B5985" s="115"/>
      <c r="C5985" s="115"/>
      <c r="D5985" s="115"/>
      <c r="E5985" s="115"/>
    </row>
    <row r="5986" spans="1:5" ht="13">
      <c r="A5986" s="115"/>
      <c r="B5986" s="115"/>
      <c r="C5986" s="115"/>
      <c r="D5986" s="115"/>
      <c r="E5986" s="115"/>
    </row>
    <row r="5987" spans="1:5" ht="13">
      <c r="A5987" s="115"/>
      <c r="B5987" s="115"/>
      <c r="C5987" s="115"/>
      <c r="D5987" s="115"/>
      <c r="E5987" s="115"/>
    </row>
    <row r="5988" spans="1:5" ht="13">
      <c r="A5988" s="115"/>
      <c r="B5988" s="115"/>
      <c r="C5988" s="115"/>
      <c r="D5988" s="115"/>
      <c r="E5988" s="115"/>
    </row>
    <row r="5989" spans="1:5" ht="13">
      <c r="A5989" s="115"/>
      <c r="B5989" s="115"/>
      <c r="C5989" s="115"/>
      <c r="D5989" s="115"/>
      <c r="E5989" s="115"/>
    </row>
    <row r="5990" spans="1:5" ht="13">
      <c r="A5990" s="115"/>
      <c r="B5990" s="115"/>
      <c r="C5990" s="115"/>
      <c r="D5990" s="115"/>
      <c r="E5990" s="115"/>
    </row>
    <row r="5991" spans="1:5" ht="13">
      <c r="A5991" s="115"/>
      <c r="B5991" s="115"/>
      <c r="C5991" s="115"/>
      <c r="D5991" s="115"/>
      <c r="E5991" s="115"/>
    </row>
    <row r="5992" spans="1:5" ht="13">
      <c r="A5992" s="115"/>
      <c r="B5992" s="115"/>
      <c r="C5992" s="115"/>
      <c r="D5992" s="115"/>
      <c r="E5992" s="115"/>
    </row>
    <row r="5993" spans="1:5" ht="13">
      <c r="A5993" s="115"/>
      <c r="B5993" s="115"/>
      <c r="C5993" s="115"/>
      <c r="D5993" s="115"/>
      <c r="E5993" s="115"/>
    </row>
    <row r="5994" spans="1:5" ht="13">
      <c r="A5994" s="115"/>
      <c r="B5994" s="115"/>
      <c r="C5994" s="115"/>
      <c r="D5994" s="115"/>
      <c r="E5994" s="115"/>
    </row>
    <row r="5995" spans="1:5" ht="13">
      <c r="A5995" s="115"/>
      <c r="B5995" s="115"/>
      <c r="C5995" s="115"/>
      <c r="D5995" s="115"/>
      <c r="E5995" s="115"/>
    </row>
    <row r="5996" spans="1:5" ht="13">
      <c r="A5996" s="115"/>
      <c r="B5996" s="115"/>
      <c r="C5996" s="115"/>
      <c r="D5996" s="115"/>
      <c r="E5996" s="115"/>
    </row>
    <row r="5997" spans="1:5" ht="13">
      <c r="A5997" s="115"/>
      <c r="B5997" s="115"/>
      <c r="C5997" s="115"/>
      <c r="D5997" s="115"/>
      <c r="E5997" s="115"/>
    </row>
    <row r="5998" spans="1:5" ht="13">
      <c r="A5998" s="115"/>
      <c r="B5998" s="115"/>
      <c r="C5998" s="115"/>
      <c r="D5998" s="115"/>
      <c r="E5998" s="115"/>
    </row>
    <row r="5999" spans="1:5" ht="13">
      <c r="A5999" s="115"/>
      <c r="B5999" s="115"/>
      <c r="C5999" s="115"/>
      <c r="D5999" s="115"/>
      <c r="E5999" s="115"/>
    </row>
    <row r="6000" spans="1:5" ht="13">
      <c r="A6000" s="115"/>
      <c r="B6000" s="115"/>
      <c r="C6000" s="115"/>
      <c r="D6000" s="115"/>
      <c r="E6000" s="115"/>
    </row>
    <row r="6001" spans="1:5" ht="13">
      <c r="A6001" s="115"/>
      <c r="B6001" s="115"/>
      <c r="C6001" s="115"/>
      <c r="D6001" s="115"/>
      <c r="E6001" s="115"/>
    </row>
    <row r="6002" spans="1:5" ht="13">
      <c r="A6002" s="115"/>
      <c r="B6002" s="115"/>
      <c r="C6002" s="115"/>
      <c r="D6002" s="115"/>
      <c r="E6002" s="115"/>
    </row>
    <row r="6003" spans="1:5" ht="13">
      <c r="A6003" s="115"/>
      <c r="B6003" s="115"/>
      <c r="C6003" s="115"/>
      <c r="D6003" s="115"/>
      <c r="E6003" s="115"/>
    </row>
    <row r="6004" spans="1:5" ht="13">
      <c r="A6004" s="115"/>
      <c r="B6004" s="115"/>
      <c r="C6004" s="115"/>
      <c r="D6004" s="115"/>
      <c r="E6004" s="115"/>
    </row>
    <row r="6005" spans="1:5" ht="13">
      <c r="A6005" s="115"/>
      <c r="B6005" s="115"/>
      <c r="C6005" s="115"/>
      <c r="D6005" s="115"/>
      <c r="E6005" s="115"/>
    </row>
    <row r="6006" spans="1:5" ht="13">
      <c r="A6006" s="115"/>
      <c r="B6006" s="115"/>
      <c r="C6006" s="115"/>
      <c r="D6006" s="115"/>
      <c r="E6006" s="115"/>
    </row>
    <row r="6007" spans="1:5" ht="13">
      <c r="A6007" s="115"/>
      <c r="B6007" s="115"/>
      <c r="C6007" s="115"/>
      <c r="D6007" s="115"/>
      <c r="E6007" s="115"/>
    </row>
    <row r="6008" spans="1:5" ht="13">
      <c r="A6008" s="115"/>
      <c r="B6008" s="115"/>
      <c r="C6008" s="115"/>
      <c r="D6008" s="115"/>
      <c r="E6008" s="115"/>
    </row>
    <row r="6009" spans="1:5" ht="13">
      <c r="A6009" s="115"/>
      <c r="B6009" s="115"/>
      <c r="C6009" s="115"/>
      <c r="D6009" s="115"/>
      <c r="E6009" s="115"/>
    </row>
    <row r="6010" spans="1:5" ht="13">
      <c r="A6010" s="115"/>
      <c r="B6010" s="115"/>
      <c r="C6010" s="115"/>
      <c r="D6010" s="115"/>
      <c r="E6010" s="115"/>
    </row>
    <row r="6011" spans="1:5" ht="13">
      <c r="A6011" s="115"/>
      <c r="B6011" s="115"/>
      <c r="C6011" s="115"/>
      <c r="D6011" s="115"/>
      <c r="E6011" s="115"/>
    </row>
    <row r="6012" spans="1:5" ht="13">
      <c r="A6012" s="115"/>
      <c r="B6012" s="115"/>
      <c r="C6012" s="115"/>
      <c r="D6012" s="115"/>
      <c r="E6012" s="115"/>
    </row>
    <row r="6013" spans="1:5" ht="13">
      <c r="A6013" s="115"/>
      <c r="B6013" s="115"/>
      <c r="C6013" s="115"/>
      <c r="D6013" s="115"/>
      <c r="E6013" s="115"/>
    </row>
    <row r="6014" spans="1:5" ht="13">
      <c r="A6014" s="115"/>
      <c r="B6014" s="115"/>
      <c r="C6014" s="115"/>
      <c r="D6014" s="115"/>
      <c r="E6014" s="115"/>
    </row>
    <row r="6015" spans="1:5" ht="13">
      <c r="A6015" s="115"/>
      <c r="B6015" s="115"/>
      <c r="C6015" s="115"/>
      <c r="D6015" s="115"/>
      <c r="E6015" s="115"/>
    </row>
    <row r="6016" spans="1:5" ht="13">
      <c r="A6016" s="115"/>
      <c r="B6016" s="115"/>
      <c r="C6016" s="115"/>
      <c r="D6016" s="115"/>
      <c r="E6016" s="115"/>
    </row>
    <row r="6017" spans="1:5" ht="13">
      <c r="A6017" s="115"/>
      <c r="B6017" s="115"/>
      <c r="C6017" s="115"/>
      <c r="D6017" s="115"/>
      <c r="E6017" s="115"/>
    </row>
    <row r="6018" spans="1:5" ht="13">
      <c r="A6018" s="115"/>
      <c r="B6018" s="115"/>
      <c r="C6018" s="115"/>
      <c r="D6018" s="115"/>
      <c r="E6018" s="115"/>
    </row>
    <row r="6019" spans="1:5" ht="13">
      <c r="A6019" s="115"/>
      <c r="B6019" s="115"/>
      <c r="C6019" s="115"/>
      <c r="D6019" s="115"/>
      <c r="E6019" s="115"/>
    </row>
    <row r="6020" spans="1:5" ht="13">
      <c r="A6020" s="115"/>
      <c r="B6020" s="115"/>
      <c r="C6020" s="115"/>
      <c r="D6020" s="115"/>
      <c r="E6020" s="115"/>
    </row>
    <row r="6021" spans="1:5" ht="13">
      <c r="A6021" s="115"/>
      <c r="B6021" s="115"/>
      <c r="C6021" s="115"/>
      <c r="D6021" s="115"/>
      <c r="E6021" s="115"/>
    </row>
    <row r="6022" spans="1:5" ht="13">
      <c r="A6022" s="115"/>
      <c r="B6022" s="115"/>
      <c r="C6022" s="115"/>
      <c r="D6022" s="115"/>
      <c r="E6022" s="115"/>
    </row>
    <row r="6023" spans="1:5" ht="13">
      <c r="A6023" s="115"/>
      <c r="B6023" s="115"/>
      <c r="C6023" s="115"/>
      <c r="D6023" s="115"/>
      <c r="E6023" s="115"/>
    </row>
    <row r="6024" spans="1:5" ht="13">
      <c r="A6024" s="115"/>
      <c r="B6024" s="115"/>
      <c r="C6024" s="115"/>
      <c r="D6024" s="115"/>
      <c r="E6024" s="115"/>
    </row>
    <row r="6025" spans="1:5" ht="13">
      <c r="A6025" s="115"/>
      <c r="B6025" s="115"/>
      <c r="C6025" s="115"/>
      <c r="D6025" s="115"/>
      <c r="E6025" s="115"/>
    </row>
    <row r="6026" spans="1:5" ht="13">
      <c r="A6026" s="115"/>
      <c r="B6026" s="115"/>
      <c r="C6026" s="115"/>
      <c r="D6026" s="115"/>
      <c r="E6026" s="115"/>
    </row>
    <row r="6027" spans="1:5" ht="13">
      <c r="A6027" s="115"/>
      <c r="B6027" s="115"/>
      <c r="C6027" s="115"/>
      <c r="D6027" s="115"/>
      <c r="E6027" s="115"/>
    </row>
    <row r="6028" spans="1:5" ht="13">
      <c r="A6028" s="115"/>
      <c r="B6028" s="115"/>
      <c r="C6028" s="115"/>
      <c r="D6028" s="115"/>
      <c r="E6028" s="115"/>
    </row>
    <row r="6029" spans="1:5" ht="13">
      <c r="A6029" s="115"/>
      <c r="B6029" s="115"/>
      <c r="C6029" s="115"/>
      <c r="D6029" s="115"/>
      <c r="E6029" s="115"/>
    </row>
    <row r="6030" spans="1:5" ht="13">
      <c r="A6030" s="115"/>
      <c r="B6030" s="115"/>
      <c r="C6030" s="115"/>
      <c r="D6030" s="115"/>
      <c r="E6030" s="115"/>
    </row>
    <row r="6031" spans="1:5" ht="13">
      <c r="A6031" s="115"/>
      <c r="B6031" s="115"/>
      <c r="C6031" s="115"/>
      <c r="D6031" s="115"/>
      <c r="E6031" s="115"/>
    </row>
    <row r="6032" spans="1:5" ht="13">
      <c r="A6032" s="115"/>
      <c r="B6032" s="115"/>
      <c r="C6032" s="115"/>
      <c r="D6032" s="115"/>
      <c r="E6032" s="115"/>
    </row>
    <row r="6033" spans="1:5" ht="13">
      <c r="A6033" s="115"/>
      <c r="B6033" s="115"/>
      <c r="C6033" s="115"/>
      <c r="D6033" s="115"/>
      <c r="E6033" s="115"/>
    </row>
    <row r="6034" spans="1:5" ht="13">
      <c r="A6034" s="115"/>
      <c r="B6034" s="115"/>
      <c r="C6034" s="115"/>
      <c r="D6034" s="115"/>
      <c r="E6034" s="115"/>
    </row>
    <row r="6035" spans="1:5" ht="13">
      <c r="A6035" s="115"/>
      <c r="B6035" s="115"/>
      <c r="C6035" s="115"/>
      <c r="D6035" s="115"/>
      <c r="E6035" s="115"/>
    </row>
    <row r="6036" spans="1:5" ht="13">
      <c r="A6036" s="115"/>
      <c r="B6036" s="115"/>
      <c r="C6036" s="115"/>
      <c r="D6036" s="115"/>
      <c r="E6036" s="115"/>
    </row>
    <row r="6037" spans="1:5" ht="13">
      <c r="A6037" s="115"/>
      <c r="B6037" s="115"/>
      <c r="C6037" s="115"/>
      <c r="D6037" s="115"/>
      <c r="E6037" s="115"/>
    </row>
    <row r="6038" spans="1:5" ht="13">
      <c r="A6038" s="115"/>
      <c r="B6038" s="115"/>
      <c r="C6038" s="115"/>
      <c r="D6038" s="115"/>
      <c r="E6038" s="115"/>
    </row>
    <row r="6039" spans="1:5" ht="13">
      <c r="A6039" s="115"/>
      <c r="B6039" s="115"/>
      <c r="C6039" s="115"/>
      <c r="D6039" s="115"/>
      <c r="E6039" s="115"/>
    </row>
    <row r="6040" spans="1:5" ht="13">
      <c r="A6040" s="115"/>
      <c r="B6040" s="115"/>
      <c r="C6040" s="115"/>
      <c r="D6040" s="115"/>
      <c r="E6040" s="115"/>
    </row>
    <row r="6041" spans="1:5" ht="13">
      <c r="A6041" s="115"/>
      <c r="B6041" s="115"/>
      <c r="C6041" s="115"/>
      <c r="D6041" s="115"/>
      <c r="E6041" s="115"/>
    </row>
    <row r="6042" spans="1:5" ht="13">
      <c r="A6042" s="115"/>
      <c r="B6042" s="115"/>
      <c r="C6042" s="115"/>
      <c r="D6042" s="115"/>
      <c r="E6042" s="115"/>
    </row>
    <row r="6043" spans="1:5" ht="13">
      <c r="A6043" s="115"/>
      <c r="B6043" s="115"/>
      <c r="C6043" s="115"/>
      <c r="D6043" s="115"/>
      <c r="E6043" s="115"/>
    </row>
    <row r="6044" spans="1:5" ht="13">
      <c r="A6044" s="115"/>
      <c r="B6044" s="115"/>
      <c r="C6044" s="115"/>
      <c r="D6044" s="115"/>
      <c r="E6044" s="115"/>
    </row>
    <row r="6045" spans="1:5" ht="13">
      <c r="A6045" s="115"/>
      <c r="B6045" s="115"/>
      <c r="C6045" s="115"/>
      <c r="D6045" s="115"/>
      <c r="E6045" s="115"/>
    </row>
    <row r="6046" spans="1:5" ht="13">
      <c r="A6046" s="115"/>
      <c r="B6046" s="115"/>
      <c r="C6046" s="115"/>
      <c r="D6046" s="115"/>
      <c r="E6046" s="115"/>
    </row>
    <row r="6047" spans="1:5" ht="13">
      <c r="A6047" s="115"/>
      <c r="B6047" s="115"/>
      <c r="C6047" s="115"/>
      <c r="D6047" s="115"/>
      <c r="E6047" s="115"/>
    </row>
    <row r="6048" spans="1:5" ht="13">
      <c r="A6048" s="115"/>
      <c r="B6048" s="115"/>
      <c r="C6048" s="115"/>
      <c r="D6048" s="115"/>
      <c r="E6048" s="115"/>
    </row>
    <row r="6049" spans="1:5" ht="13">
      <c r="A6049" s="115"/>
      <c r="B6049" s="115"/>
      <c r="C6049" s="115"/>
      <c r="D6049" s="115"/>
      <c r="E6049" s="115"/>
    </row>
    <row r="6050" spans="1:5" ht="13">
      <c r="A6050" s="115"/>
      <c r="B6050" s="115"/>
      <c r="C6050" s="115"/>
      <c r="D6050" s="115"/>
      <c r="E6050" s="115"/>
    </row>
    <row r="6051" spans="1:5" ht="13">
      <c r="A6051" s="115"/>
      <c r="B6051" s="115"/>
      <c r="C6051" s="115"/>
      <c r="D6051" s="115"/>
      <c r="E6051" s="115"/>
    </row>
    <row r="6052" spans="1:5" ht="13">
      <c r="A6052" s="115"/>
      <c r="B6052" s="115"/>
      <c r="C6052" s="115"/>
      <c r="D6052" s="115"/>
      <c r="E6052" s="115"/>
    </row>
    <row r="6053" spans="1:5" ht="13">
      <c r="A6053" s="115"/>
      <c r="B6053" s="115"/>
      <c r="C6053" s="115"/>
      <c r="D6053" s="115"/>
      <c r="E6053" s="115"/>
    </row>
    <row r="6054" spans="1:5" ht="13">
      <c r="A6054" s="115"/>
      <c r="B6054" s="115"/>
      <c r="C6054" s="115"/>
      <c r="D6054" s="115"/>
      <c r="E6054" s="115"/>
    </row>
    <row r="6055" spans="1:5" ht="13">
      <c r="A6055" s="115"/>
      <c r="B6055" s="115"/>
      <c r="C6055" s="115"/>
      <c r="D6055" s="115"/>
      <c r="E6055" s="115"/>
    </row>
    <row r="6056" spans="1:5" ht="13">
      <c r="A6056" s="115"/>
      <c r="B6056" s="115"/>
      <c r="C6056" s="115"/>
      <c r="D6056" s="115"/>
      <c r="E6056" s="115"/>
    </row>
    <row r="6057" spans="1:5" ht="13">
      <c r="A6057" s="115"/>
      <c r="B6057" s="115"/>
      <c r="C6057" s="115"/>
      <c r="D6057" s="115"/>
      <c r="E6057" s="115"/>
    </row>
    <row r="6058" spans="1:5" ht="13">
      <c r="A6058" s="115"/>
      <c r="B6058" s="115"/>
      <c r="C6058" s="115"/>
      <c r="D6058" s="115"/>
      <c r="E6058" s="115"/>
    </row>
    <row r="6059" spans="1:5" ht="13">
      <c r="A6059" s="115"/>
      <c r="B6059" s="115"/>
      <c r="C6059" s="115"/>
      <c r="D6059" s="115"/>
      <c r="E6059" s="115"/>
    </row>
    <row r="6060" spans="1:5" ht="13">
      <c r="A6060" s="115"/>
      <c r="B6060" s="115"/>
      <c r="C6060" s="115"/>
      <c r="D6060" s="115"/>
      <c r="E6060" s="115"/>
    </row>
    <row r="6061" spans="1:5" ht="13">
      <c r="A6061" s="115"/>
      <c r="B6061" s="115"/>
      <c r="C6061" s="115"/>
      <c r="D6061" s="115"/>
      <c r="E6061" s="115"/>
    </row>
    <row r="6062" spans="1:5" ht="13">
      <c r="A6062" s="115"/>
      <c r="B6062" s="115"/>
      <c r="C6062" s="115"/>
      <c r="D6062" s="115"/>
      <c r="E6062" s="115"/>
    </row>
    <row r="6063" spans="1:5" ht="13">
      <c r="A6063" s="115"/>
      <c r="B6063" s="115"/>
      <c r="C6063" s="115"/>
      <c r="D6063" s="115"/>
      <c r="E6063" s="115"/>
    </row>
    <row r="6064" spans="1:5" ht="13">
      <c r="A6064" s="115"/>
      <c r="B6064" s="115"/>
      <c r="C6064" s="115"/>
      <c r="D6064" s="115"/>
      <c r="E6064" s="115"/>
    </row>
    <row r="6065" spans="1:5" ht="13">
      <c r="A6065" s="115"/>
      <c r="B6065" s="115"/>
      <c r="C6065" s="115"/>
      <c r="D6065" s="115"/>
      <c r="E6065" s="115"/>
    </row>
    <row r="6066" spans="1:5" ht="13">
      <c r="A6066" s="115"/>
      <c r="B6066" s="115"/>
      <c r="C6066" s="115"/>
      <c r="D6066" s="115"/>
      <c r="E6066" s="115"/>
    </row>
    <row r="6067" spans="1:5" ht="13">
      <c r="A6067" s="115"/>
      <c r="B6067" s="115"/>
      <c r="C6067" s="115"/>
      <c r="D6067" s="115"/>
      <c r="E6067" s="115"/>
    </row>
    <row r="6068" spans="1:5" ht="13">
      <c r="A6068" s="115"/>
      <c r="B6068" s="115"/>
      <c r="C6068" s="115"/>
      <c r="D6068" s="115"/>
      <c r="E6068" s="115"/>
    </row>
    <row r="6069" spans="1:5" ht="13">
      <c r="A6069" s="115"/>
      <c r="B6069" s="115"/>
      <c r="C6069" s="115"/>
      <c r="D6069" s="115"/>
      <c r="E6069" s="115"/>
    </row>
    <row r="6070" spans="1:5" ht="13">
      <c r="A6070" s="115"/>
      <c r="B6070" s="115"/>
      <c r="C6070" s="115"/>
      <c r="D6070" s="115"/>
      <c r="E6070" s="115"/>
    </row>
    <row r="6071" spans="1:5" ht="13">
      <c r="A6071" s="115"/>
      <c r="B6071" s="115"/>
      <c r="C6071" s="115"/>
      <c r="D6071" s="115"/>
      <c r="E6071" s="115"/>
    </row>
    <row r="6072" spans="1:5" ht="13">
      <c r="A6072" s="115"/>
      <c r="B6072" s="115"/>
      <c r="C6072" s="115"/>
      <c r="D6072" s="115"/>
      <c r="E6072" s="115"/>
    </row>
    <row r="6073" spans="1:5" ht="13">
      <c r="A6073" s="115"/>
      <c r="B6073" s="115"/>
      <c r="C6073" s="115"/>
      <c r="D6073" s="115"/>
      <c r="E6073" s="115"/>
    </row>
    <row r="6074" spans="1:5" ht="13">
      <c r="A6074" s="115"/>
      <c r="B6074" s="115"/>
      <c r="C6074" s="115"/>
      <c r="D6074" s="115"/>
      <c r="E6074" s="115"/>
    </row>
    <row r="6075" spans="1:5" ht="13">
      <c r="A6075" s="115"/>
      <c r="B6075" s="115"/>
      <c r="C6075" s="115"/>
      <c r="D6075" s="115"/>
      <c r="E6075" s="115"/>
    </row>
    <row r="6076" spans="1:5" ht="13">
      <c r="A6076" s="115"/>
      <c r="B6076" s="115"/>
      <c r="C6076" s="115"/>
      <c r="D6076" s="115"/>
      <c r="E6076" s="115"/>
    </row>
    <row r="6077" spans="1:5" ht="13">
      <c r="A6077" s="115"/>
      <c r="B6077" s="115"/>
      <c r="C6077" s="115"/>
      <c r="D6077" s="115"/>
      <c r="E6077" s="115"/>
    </row>
    <row r="6078" spans="1:5" ht="13">
      <c r="A6078" s="115"/>
      <c r="B6078" s="115"/>
      <c r="C6078" s="115"/>
      <c r="D6078" s="115"/>
      <c r="E6078" s="115"/>
    </row>
    <row r="6079" spans="1:5" ht="13">
      <c r="A6079" s="115"/>
      <c r="B6079" s="115"/>
      <c r="C6079" s="115"/>
      <c r="D6079" s="115"/>
      <c r="E6079" s="115"/>
    </row>
    <row r="6080" spans="1:5" ht="13">
      <c r="A6080" s="115"/>
      <c r="B6080" s="115"/>
      <c r="C6080" s="115"/>
      <c r="D6080" s="115"/>
      <c r="E6080" s="115"/>
    </row>
    <row r="6081" spans="1:5" ht="13">
      <c r="A6081" s="115"/>
      <c r="B6081" s="115"/>
      <c r="C6081" s="115"/>
      <c r="D6081" s="115"/>
      <c r="E6081" s="115"/>
    </row>
    <row r="6082" spans="1:5" ht="13">
      <c r="A6082" s="115"/>
      <c r="B6082" s="115"/>
      <c r="C6082" s="115"/>
      <c r="D6082" s="115"/>
      <c r="E6082" s="115"/>
    </row>
    <row r="6083" spans="1:5" ht="13">
      <c r="A6083" s="115"/>
      <c r="B6083" s="115"/>
      <c r="C6083" s="115"/>
      <c r="D6083" s="115"/>
      <c r="E6083" s="115"/>
    </row>
    <row r="6084" spans="1:5" ht="13">
      <c r="A6084" s="115"/>
      <c r="B6084" s="115"/>
      <c r="C6084" s="115"/>
      <c r="D6084" s="115"/>
      <c r="E6084" s="115"/>
    </row>
    <row r="6085" spans="1:5" ht="13">
      <c r="A6085" s="115"/>
      <c r="B6085" s="115"/>
      <c r="C6085" s="115"/>
      <c r="D6085" s="115"/>
      <c r="E6085" s="115"/>
    </row>
    <row r="6086" spans="1:5" ht="13">
      <c r="A6086" s="115"/>
      <c r="B6086" s="115"/>
      <c r="C6086" s="115"/>
      <c r="D6086" s="115"/>
      <c r="E6086" s="115"/>
    </row>
    <row r="6087" spans="1:5" ht="13">
      <c r="A6087" s="115"/>
      <c r="B6087" s="115"/>
      <c r="C6087" s="115"/>
      <c r="D6087" s="115"/>
      <c r="E6087" s="115"/>
    </row>
    <row r="6088" spans="1:5" ht="13">
      <c r="A6088" s="115"/>
      <c r="B6088" s="115"/>
      <c r="C6088" s="115"/>
      <c r="D6088" s="115"/>
      <c r="E6088" s="115"/>
    </row>
    <row r="6089" spans="1:5" ht="13">
      <c r="A6089" s="115"/>
      <c r="B6089" s="115"/>
      <c r="C6089" s="115"/>
      <c r="D6089" s="115"/>
      <c r="E6089" s="115"/>
    </row>
    <row r="6090" spans="1:5" ht="13">
      <c r="A6090" s="115"/>
      <c r="B6090" s="115"/>
      <c r="C6090" s="115"/>
      <c r="D6090" s="115"/>
      <c r="E6090" s="115"/>
    </row>
    <row r="6091" spans="1:5" ht="13">
      <c r="A6091" s="115"/>
      <c r="B6091" s="115"/>
      <c r="C6091" s="115"/>
      <c r="D6091" s="115"/>
      <c r="E6091" s="115"/>
    </row>
    <row r="6092" spans="1:5" ht="13">
      <c r="A6092" s="115"/>
      <c r="B6092" s="115"/>
      <c r="C6092" s="115"/>
      <c r="D6092" s="115"/>
      <c r="E6092" s="115"/>
    </row>
    <row r="6093" spans="1:5" ht="13">
      <c r="A6093" s="115"/>
      <c r="B6093" s="115"/>
      <c r="C6093" s="115"/>
      <c r="D6093" s="115"/>
      <c r="E6093" s="115"/>
    </row>
    <row r="6094" spans="1:5" ht="13">
      <c r="A6094" s="115"/>
      <c r="B6094" s="115"/>
      <c r="C6094" s="115"/>
      <c r="D6094" s="115"/>
      <c r="E6094" s="115"/>
    </row>
    <row r="6095" spans="1:5" ht="13">
      <c r="A6095" s="115"/>
      <c r="B6095" s="115"/>
      <c r="C6095" s="115"/>
      <c r="D6095" s="115"/>
      <c r="E6095" s="115"/>
    </row>
    <row r="6096" spans="1:5" ht="13">
      <c r="A6096" s="115"/>
      <c r="B6096" s="115"/>
      <c r="C6096" s="115"/>
      <c r="D6096" s="115"/>
      <c r="E6096" s="115"/>
    </row>
    <row r="6097" spans="1:5" ht="13">
      <c r="A6097" s="115"/>
      <c r="B6097" s="115"/>
      <c r="C6097" s="115"/>
      <c r="D6097" s="115"/>
      <c r="E6097" s="115"/>
    </row>
    <row r="6098" spans="1:5" ht="13">
      <c r="A6098" s="115"/>
      <c r="B6098" s="115"/>
      <c r="C6098" s="115"/>
      <c r="D6098" s="115"/>
      <c r="E6098" s="115"/>
    </row>
    <row r="6099" spans="1:5" ht="13">
      <c r="A6099" s="115"/>
      <c r="B6099" s="115"/>
      <c r="C6099" s="115"/>
      <c r="D6099" s="115"/>
      <c r="E6099" s="115"/>
    </row>
    <row r="6100" spans="1:5" ht="13">
      <c r="A6100" s="115"/>
      <c r="B6100" s="115"/>
      <c r="C6100" s="115"/>
      <c r="D6100" s="115"/>
      <c r="E6100" s="115"/>
    </row>
    <row r="6101" spans="1:5" ht="13">
      <c r="A6101" s="115"/>
      <c r="B6101" s="115"/>
      <c r="C6101" s="115"/>
      <c r="D6101" s="115"/>
      <c r="E6101" s="115"/>
    </row>
    <row r="6102" spans="1:5" ht="13">
      <c r="A6102" s="115"/>
      <c r="B6102" s="115"/>
      <c r="C6102" s="115"/>
      <c r="D6102" s="115"/>
      <c r="E6102" s="115"/>
    </row>
    <row r="6103" spans="1:5" ht="13">
      <c r="A6103" s="115"/>
      <c r="B6103" s="115"/>
      <c r="C6103" s="115"/>
      <c r="D6103" s="115"/>
      <c r="E6103" s="115"/>
    </row>
    <row r="6104" spans="1:5" ht="13">
      <c r="A6104" s="115"/>
      <c r="B6104" s="115"/>
      <c r="C6104" s="115"/>
      <c r="D6104" s="115"/>
      <c r="E6104" s="115"/>
    </row>
    <row r="6105" spans="1:5" ht="13">
      <c r="A6105" s="115"/>
      <c r="B6105" s="115"/>
      <c r="C6105" s="115"/>
      <c r="D6105" s="115"/>
      <c r="E6105" s="115"/>
    </row>
    <row r="6106" spans="1:5" ht="13">
      <c r="A6106" s="115"/>
      <c r="B6106" s="115"/>
      <c r="C6106" s="115"/>
      <c r="D6106" s="115"/>
      <c r="E6106" s="115"/>
    </row>
    <row r="6107" spans="1:5" ht="13">
      <c r="A6107" s="115"/>
      <c r="B6107" s="115"/>
      <c r="C6107" s="115"/>
      <c r="D6107" s="115"/>
      <c r="E6107" s="115"/>
    </row>
    <row r="6108" spans="1:5" ht="13">
      <c r="A6108" s="115"/>
      <c r="B6108" s="115"/>
      <c r="C6108" s="115"/>
      <c r="D6108" s="115"/>
      <c r="E6108" s="115"/>
    </row>
    <row r="6109" spans="1:5" ht="13">
      <c r="A6109" s="115"/>
      <c r="B6109" s="115"/>
      <c r="C6109" s="115"/>
      <c r="D6109" s="115"/>
      <c r="E6109" s="115"/>
    </row>
    <row r="6110" spans="1:5" ht="13">
      <c r="A6110" s="115"/>
      <c r="B6110" s="115"/>
      <c r="C6110" s="115"/>
      <c r="D6110" s="115"/>
      <c r="E6110" s="115"/>
    </row>
    <row r="6111" spans="1:5" ht="13">
      <c r="A6111" s="115"/>
      <c r="B6111" s="115"/>
      <c r="C6111" s="115"/>
      <c r="D6111" s="115"/>
      <c r="E6111" s="115"/>
    </row>
    <row r="6112" spans="1:5" ht="13">
      <c r="A6112" s="115"/>
      <c r="B6112" s="115"/>
      <c r="C6112" s="115"/>
      <c r="D6112" s="115"/>
      <c r="E6112" s="115"/>
    </row>
    <row r="6113" spans="1:5" ht="13">
      <c r="A6113" s="115"/>
      <c r="B6113" s="115"/>
      <c r="C6113" s="115"/>
      <c r="D6113" s="115"/>
      <c r="E6113" s="115"/>
    </row>
    <row r="6114" spans="1:5" ht="13">
      <c r="A6114" s="115"/>
      <c r="B6114" s="115"/>
      <c r="C6114" s="115"/>
      <c r="D6114" s="115"/>
      <c r="E6114" s="115"/>
    </row>
    <row r="6115" spans="1:5" ht="13">
      <c r="A6115" s="115"/>
      <c r="B6115" s="115"/>
      <c r="C6115" s="115"/>
      <c r="D6115" s="115"/>
      <c r="E6115" s="115"/>
    </row>
    <row r="6116" spans="1:5" ht="13">
      <c r="A6116" s="115"/>
      <c r="B6116" s="115"/>
      <c r="C6116" s="115"/>
      <c r="D6116" s="115"/>
      <c r="E6116" s="115"/>
    </row>
    <row r="6117" spans="1:5" ht="13">
      <c r="A6117" s="115"/>
      <c r="B6117" s="115"/>
      <c r="C6117" s="115"/>
      <c r="D6117" s="115"/>
      <c r="E6117" s="115"/>
    </row>
    <row r="6118" spans="1:5" ht="13">
      <c r="A6118" s="115"/>
      <c r="B6118" s="115"/>
      <c r="C6118" s="115"/>
      <c r="D6118" s="115"/>
      <c r="E6118" s="115"/>
    </row>
    <row r="6119" spans="1:5" ht="13">
      <c r="A6119" s="115"/>
      <c r="B6119" s="115"/>
      <c r="C6119" s="115"/>
      <c r="D6119" s="115"/>
      <c r="E6119" s="115"/>
    </row>
    <row r="6120" spans="1:5" ht="13">
      <c r="A6120" s="115"/>
      <c r="B6120" s="115"/>
      <c r="C6120" s="115"/>
      <c r="D6120" s="115"/>
      <c r="E6120" s="115"/>
    </row>
    <row r="6121" spans="1:5" ht="13">
      <c r="A6121" s="115"/>
      <c r="B6121" s="115"/>
      <c r="C6121" s="115"/>
      <c r="D6121" s="115"/>
      <c r="E6121" s="115"/>
    </row>
    <row r="6122" spans="1:5" ht="13">
      <c r="A6122" s="115"/>
      <c r="B6122" s="115"/>
      <c r="C6122" s="115"/>
      <c r="D6122" s="115"/>
      <c r="E6122" s="115"/>
    </row>
    <row r="6123" spans="1:5" ht="13">
      <c r="A6123" s="115"/>
      <c r="B6123" s="115"/>
      <c r="C6123" s="115"/>
      <c r="D6123" s="115"/>
      <c r="E6123" s="115"/>
    </row>
    <row r="6124" spans="1:5" ht="13">
      <c r="A6124" s="115"/>
      <c r="B6124" s="115"/>
      <c r="C6124" s="115"/>
      <c r="D6124" s="115"/>
      <c r="E6124" s="115"/>
    </row>
    <row r="6125" spans="1:5" ht="13">
      <c r="A6125" s="115"/>
      <c r="B6125" s="115"/>
      <c r="C6125" s="115"/>
      <c r="D6125" s="115"/>
      <c r="E6125" s="115"/>
    </row>
    <row r="6126" spans="1:5" ht="13">
      <c r="A6126" s="115"/>
      <c r="B6126" s="115"/>
      <c r="C6126" s="115"/>
      <c r="D6126" s="115"/>
      <c r="E6126" s="115"/>
    </row>
    <row r="6127" spans="1:5" ht="13">
      <c r="A6127" s="115"/>
      <c r="B6127" s="115"/>
      <c r="C6127" s="115"/>
      <c r="D6127" s="115"/>
      <c r="E6127" s="115"/>
    </row>
    <row r="6128" spans="1:5" ht="13">
      <c r="A6128" s="115"/>
      <c r="B6128" s="115"/>
      <c r="C6128" s="115"/>
      <c r="D6128" s="115"/>
      <c r="E6128" s="115"/>
    </row>
    <row r="6129" spans="1:5" ht="13">
      <c r="A6129" s="115"/>
      <c r="B6129" s="115"/>
      <c r="C6129" s="115"/>
      <c r="D6129" s="115"/>
      <c r="E6129" s="115"/>
    </row>
    <row r="6130" spans="1:5" ht="13">
      <c r="A6130" s="115"/>
      <c r="B6130" s="115"/>
      <c r="C6130" s="115"/>
      <c r="D6130" s="115"/>
      <c r="E6130" s="115"/>
    </row>
    <row r="6131" spans="1:5" ht="13">
      <c r="A6131" s="115"/>
      <c r="B6131" s="115"/>
      <c r="C6131" s="115"/>
      <c r="D6131" s="115"/>
      <c r="E6131" s="115"/>
    </row>
    <row r="6132" spans="1:5" ht="13">
      <c r="A6132" s="115"/>
      <c r="B6132" s="115"/>
      <c r="C6132" s="115"/>
      <c r="D6132" s="115"/>
      <c r="E6132" s="115"/>
    </row>
    <row r="6133" spans="1:5" ht="13">
      <c r="A6133" s="115"/>
      <c r="B6133" s="115"/>
      <c r="C6133" s="115"/>
      <c r="D6133" s="115"/>
      <c r="E6133" s="115"/>
    </row>
    <row r="6134" spans="1:5" ht="13">
      <c r="A6134" s="115"/>
      <c r="B6134" s="115"/>
      <c r="C6134" s="115"/>
      <c r="D6134" s="115"/>
      <c r="E6134" s="115"/>
    </row>
    <row r="6135" spans="1:5" ht="13">
      <c r="A6135" s="115"/>
      <c r="B6135" s="115"/>
      <c r="C6135" s="115"/>
      <c r="D6135" s="115"/>
      <c r="E6135" s="115"/>
    </row>
    <row r="6136" spans="1:5" ht="13">
      <c r="A6136" s="115"/>
      <c r="B6136" s="115"/>
      <c r="C6136" s="115"/>
      <c r="D6136" s="115"/>
      <c r="E6136" s="115"/>
    </row>
    <row r="6137" spans="1:5" ht="13">
      <c r="A6137" s="115"/>
      <c r="B6137" s="115"/>
      <c r="C6137" s="115"/>
      <c r="D6137" s="115"/>
      <c r="E6137" s="115"/>
    </row>
    <row r="6138" spans="1:5" ht="13">
      <c r="A6138" s="115"/>
      <c r="B6138" s="115"/>
      <c r="C6138" s="115"/>
      <c r="D6138" s="115"/>
      <c r="E6138" s="115"/>
    </row>
    <row r="6139" spans="1:5" ht="13">
      <c r="A6139" s="115"/>
      <c r="B6139" s="115"/>
      <c r="C6139" s="115"/>
      <c r="D6139" s="115"/>
      <c r="E6139" s="115"/>
    </row>
    <row r="6140" spans="1:5" ht="13">
      <c r="A6140" s="115"/>
      <c r="B6140" s="115"/>
      <c r="C6140" s="115"/>
      <c r="D6140" s="115"/>
      <c r="E6140" s="115"/>
    </row>
    <row r="6141" spans="1:5" ht="13">
      <c r="A6141" s="115"/>
      <c r="B6141" s="115"/>
      <c r="C6141" s="115"/>
      <c r="D6141" s="115"/>
      <c r="E6141" s="115"/>
    </row>
    <row r="6142" spans="1:5" ht="13">
      <c r="A6142" s="115"/>
      <c r="B6142" s="115"/>
      <c r="C6142" s="115"/>
      <c r="D6142" s="115"/>
      <c r="E6142" s="115"/>
    </row>
    <row r="6143" spans="1:5" ht="13">
      <c r="A6143" s="115"/>
      <c r="B6143" s="115"/>
      <c r="C6143" s="115"/>
      <c r="D6143" s="115"/>
      <c r="E6143" s="115"/>
    </row>
    <row r="6144" spans="1:5" ht="13">
      <c r="A6144" s="115"/>
      <c r="B6144" s="115"/>
      <c r="C6144" s="115"/>
      <c r="D6144" s="115"/>
      <c r="E6144" s="115"/>
    </row>
    <row r="6145" spans="1:5" ht="13">
      <c r="A6145" s="115"/>
      <c r="B6145" s="115"/>
      <c r="C6145" s="115"/>
      <c r="D6145" s="115"/>
      <c r="E6145" s="115"/>
    </row>
    <row r="6146" spans="1:5" ht="13">
      <c r="A6146" s="115"/>
      <c r="B6146" s="115"/>
      <c r="C6146" s="115"/>
      <c r="D6146" s="115"/>
      <c r="E6146" s="115"/>
    </row>
    <row r="6147" spans="1:5" ht="13">
      <c r="A6147" s="115"/>
      <c r="B6147" s="115"/>
      <c r="C6147" s="115"/>
      <c r="D6147" s="115"/>
      <c r="E6147" s="115"/>
    </row>
    <row r="6148" spans="1:5" ht="13">
      <c r="A6148" s="115"/>
      <c r="B6148" s="115"/>
      <c r="C6148" s="115"/>
      <c r="D6148" s="115"/>
      <c r="E6148" s="115"/>
    </row>
    <row r="6149" spans="1:5" ht="13">
      <c r="A6149" s="115"/>
      <c r="B6149" s="115"/>
      <c r="C6149" s="115"/>
      <c r="D6149" s="115"/>
      <c r="E6149" s="115"/>
    </row>
    <row r="6150" spans="1:5" ht="13">
      <c r="A6150" s="115"/>
      <c r="B6150" s="115"/>
      <c r="C6150" s="115"/>
      <c r="D6150" s="115"/>
      <c r="E6150" s="115"/>
    </row>
    <row r="6151" spans="1:5" ht="13">
      <c r="A6151" s="115"/>
      <c r="B6151" s="115"/>
      <c r="C6151" s="115"/>
      <c r="D6151" s="115"/>
      <c r="E6151" s="115"/>
    </row>
    <row r="6152" spans="1:5" ht="13">
      <c r="A6152" s="115"/>
      <c r="B6152" s="115"/>
      <c r="C6152" s="115"/>
      <c r="D6152" s="115"/>
      <c r="E6152" s="115"/>
    </row>
    <row r="6153" spans="1:5" ht="13">
      <c r="A6153" s="115"/>
      <c r="B6153" s="115"/>
      <c r="C6153" s="115"/>
      <c r="D6153" s="115"/>
      <c r="E6153" s="115"/>
    </row>
    <row r="6154" spans="1:5" ht="13">
      <c r="A6154" s="115"/>
      <c r="B6154" s="115"/>
      <c r="C6154" s="115"/>
      <c r="D6154" s="115"/>
      <c r="E6154" s="115"/>
    </row>
    <row r="6155" spans="1:5" ht="13">
      <c r="A6155" s="115"/>
      <c r="B6155" s="115"/>
      <c r="C6155" s="115"/>
      <c r="D6155" s="115"/>
      <c r="E6155" s="115"/>
    </row>
    <row r="6156" spans="1:5" ht="13">
      <c r="A6156" s="115"/>
      <c r="B6156" s="115"/>
      <c r="C6156" s="115"/>
      <c r="D6156" s="115"/>
      <c r="E6156" s="115"/>
    </row>
    <row r="6157" spans="1:5" ht="13">
      <c r="A6157" s="115"/>
      <c r="B6157" s="115"/>
      <c r="C6157" s="115"/>
      <c r="D6157" s="115"/>
      <c r="E6157" s="115"/>
    </row>
    <row r="6158" spans="1:5" ht="13">
      <c r="A6158" s="115"/>
      <c r="B6158" s="115"/>
      <c r="C6158" s="115"/>
      <c r="D6158" s="115"/>
      <c r="E6158" s="115"/>
    </row>
    <row r="6159" spans="1:5" ht="13">
      <c r="A6159" s="115"/>
      <c r="B6159" s="115"/>
      <c r="C6159" s="115"/>
      <c r="D6159" s="115"/>
      <c r="E6159" s="115"/>
    </row>
    <row r="6160" spans="1:5" ht="13">
      <c r="A6160" s="115"/>
      <c r="B6160" s="115"/>
      <c r="C6160" s="115"/>
      <c r="D6160" s="115"/>
      <c r="E6160" s="115"/>
    </row>
    <row r="6161" spans="1:5" ht="13">
      <c r="A6161" s="115"/>
      <c r="B6161" s="115"/>
      <c r="C6161" s="115"/>
      <c r="D6161" s="115"/>
      <c r="E6161" s="115"/>
    </row>
    <row r="6162" spans="1:5" ht="13">
      <c r="A6162" s="115"/>
      <c r="B6162" s="115"/>
      <c r="C6162" s="115"/>
      <c r="D6162" s="115"/>
      <c r="E6162" s="115"/>
    </row>
    <row r="6163" spans="1:5" ht="13">
      <c r="A6163" s="115"/>
      <c r="B6163" s="115"/>
      <c r="C6163" s="115"/>
      <c r="D6163" s="115"/>
      <c r="E6163" s="115"/>
    </row>
    <row r="6164" spans="1:5" ht="13">
      <c r="A6164" s="115"/>
      <c r="B6164" s="115"/>
      <c r="C6164" s="115"/>
      <c r="D6164" s="115"/>
      <c r="E6164" s="115"/>
    </row>
    <row r="6165" spans="1:5" ht="13">
      <c r="A6165" s="115"/>
      <c r="B6165" s="115"/>
      <c r="C6165" s="115"/>
      <c r="D6165" s="115"/>
      <c r="E6165" s="115"/>
    </row>
    <row r="6166" spans="1:5" ht="13">
      <c r="A6166" s="115"/>
      <c r="B6166" s="115"/>
      <c r="C6166" s="115"/>
      <c r="D6166" s="115"/>
      <c r="E6166" s="115"/>
    </row>
    <row r="6167" spans="1:5" ht="13">
      <c r="A6167" s="115"/>
      <c r="B6167" s="115"/>
      <c r="C6167" s="115"/>
      <c r="D6167" s="115"/>
      <c r="E6167" s="115"/>
    </row>
    <row r="6168" spans="1:5" ht="13">
      <c r="A6168" s="115"/>
      <c r="B6168" s="115"/>
      <c r="C6168" s="115"/>
      <c r="D6168" s="115"/>
      <c r="E6168" s="115"/>
    </row>
    <row r="6169" spans="1:5" ht="13">
      <c r="A6169" s="115"/>
      <c r="B6169" s="115"/>
      <c r="C6169" s="115"/>
      <c r="D6169" s="115"/>
      <c r="E6169" s="115"/>
    </row>
    <row r="6170" spans="1:5" ht="13">
      <c r="A6170" s="115"/>
      <c r="B6170" s="115"/>
      <c r="C6170" s="115"/>
      <c r="D6170" s="115"/>
      <c r="E6170" s="115"/>
    </row>
    <row r="6171" spans="1:5" ht="13">
      <c r="A6171" s="115"/>
      <c r="B6171" s="115"/>
      <c r="C6171" s="115"/>
      <c r="D6171" s="115"/>
      <c r="E6171" s="115"/>
    </row>
    <row r="6172" spans="1:5" ht="13">
      <c r="A6172" s="115"/>
      <c r="B6172" s="115"/>
      <c r="C6172" s="115"/>
      <c r="D6172" s="115"/>
      <c r="E6172" s="115"/>
    </row>
    <row r="6173" spans="1:5" ht="13">
      <c r="A6173" s="115"/>
      <c r="B6173" s="115"/>
      <c r="C6173" s="115"/>
      <c r="D6173" s="115"/>
      <c r="E6173" s="115"/>
    </row>
    <row r="6174" spans="1:5" ht="13">
      <c r="A6174" s="115"/>
      <c r="B6174" s="115"/>
      <c r="C6174" s="115"/>
      <c r="D6174" s="115"/>
      <c r="E6174" s="115"/>
    </row>
    <row r="6175" spans="1:5" ht="13">
      <c r="A6175" s="115"/>
      <c r="B6175" s="115"/>
      <c r="C6175" s="115"/>
      <c r="D6175" s="115"/>
      <c r="E6175" s="115"/>
    </row>
    <row r="6176" spans="1:5" ht="13">
      <c r="A6176" s="115"/>
      <c r="B6176" s="115"/>
      <c r="C6176" s="115"/>
      <c r="D6176" s="115"/>
      <c r="E6176" s="115"/>
    </row>
    <row r="6177" spans="1:5" ht="13">
      <c r="A6177" s="115"/>
      <c r="B6177" s="115"/>
      <c r="C6177" s="115"/>
      <c r="D6177" s="115"/>
      <c r="E6177" s="115"/>
    </row>
    <row r="6178" spans="1:5" ht="13">
      <c r="A6178" s="115"/>
      <c r="B6178" s="115"/>
      <c r="C6178" s="115"/>
      <c r="D6178" s="115"/>
      <c r="E6178" s="115"/>
    </row>
    <row r="6179" spans="1:5" ht="13">
      <c r="A6179" s="115"/>
      <c r="B6179" s="115"/>
      <c r="C6179" s="115"/>
      <c r="D6179" s="115"/>
      <c r="E6179" s="115"/>
    </row>
    <row r="6180" spans="1:5" ht="13">
      <c r="A6180" s="115"/>
      <c r="B6180" s="115"/>
      <c r="C6180" s="115"/>
      <c r="D6180" s="115"/>
      <c r="E6180" s="115"/>
    </row>
    <row r="6181" spans="1:5" ht="13">
      <c r="A6181" s="115"/>
      <c r="B6181" s="115"/>
      <c r="C6181" s="115"/>
      <c r="D6181" s="115"/>
      <c r="E6181" s="115"/>
    </row>
    <row r="6182" spans="1:5" ht="13">
      <c r="A6182" s="115"/>
      <c r="B6182" s="115"/>
      <c r="C6182" s="115"/>
      <c r="D6182" s="115"/>
      <c r="E6182" s="115"/>
    </row>
    <row r="6183" spans="1:5" ht="13">
      <c r="A6183" s="115"/>
      <c r="B6183" s="115"/>
      <c r="C6183" s="115"/>
      <c r="D6183" s="115"/>
      <c r="E6183" s="115"/>
    </row>
    <row r="6184" spans="1:5" ht="13">
      <c r="A6184" s="115"/>
      <c r="B6184" s="115"/>
      <c r="C6184" s="115"/>
      <c r="D6184" s="115"/>
      <c r="E6184" s="115"/>
    </row>
    <row r="6185" spans="1:5" ht="13">
      <c r="A6185" s="115"/>
      <c r="B6185" s="115"/>
      <c r="C6185" s="115"/>
      <c r="D6185" s="115"/>
      <c r="E6185" s="115"/>
    </row>
    <row r="6186" spans="1:5" ht="13">
      <c r="A6186" s="115"/>
      <c r="B6186" s="115"/>
      <c r="C6186" s="115"/>
      <c r="D6186" s="115"/>
      <c r="E6186" s="115"/>
    </row>
    <row r="6187" spans="1:5" ht="13">
      <c r="A6187" s="115"/>
      <c r="B6187" s="115"/>
      <c r="C6187" s="115"/>
      <c r="D6187" s="115"/>
      <c r="E6187" s="115"/>
    </row>
    <row r="6188" spans="1:5" ht="13">
      <c r="A6188" s="115"/>
      <c r="B6188" s="115"/>
      <c r="C6188" s="115"/>
      <c r="D6188" s="115"/>
      <c r="E6188" s="115"/>
    </row>
    <row r="6189" spans="1:5" ht="13">
      <c r="A6189" s="115"/>
      <c r="B6189" s="115"/>
      <c r="C6189" s="115"/>
      <c r="D6189" s="115"/>
      <c r="E6189" s="115"/>
    </row>
    <row r="6190" spans="1:5" ht="13">
      <c r="A6190" s="115"/>
      <c r="B6190" s="115"/>
      <c r="C6190" s="115"/>
      <c r="D6190" s="115"/>
      <c r="E6190" s="115"/>
    </row>
    <row r="6191" spans="1:5" ht="13">
      <c r="A6191" s="115"/>
      <c r="B6191" s="115"/>
      <c r="C6191" s="115"/>
      <c r="D6191" s="115"/>
      <c r="E6191" s="115"/>
    </row>
    <row r="6192" spans="1:5" ht="13">
      <c r="A6192" s="115"/>
      <c r="B6192" s="115"/>
      <c r="C6192" s="115"/>
      <c r="D6192" s="115"/>
      <c r="E6192" s="115"/>
    </row>
    <row r="6193" spans="1:5" ht="13">
      <c r="A6193" s="115"/>
      <c r="B6193" s="115"/>
      <c r="C6193" s="115"/>
      <c r="D6193" s="115"/>
      <c r="E6193" s="115"/>
    </row>
    <row r="6194" spans="1:5" ht="13">
      <c r="A6194" s="115"/>
      <c r="B6194" s="115"/>
      <c r="C6194" s="115"/>
      <c r="D6194" s="115"/>
      <c r="E6194" s="115"/>
    </row>
    <row r="6195" spans="1:5" ht="13">
      <c r="A6195" s="115"/>
      <c r="B6195" s="115"/>
      <c r="C6195" s="115"/>
      <c r="D6195" s="115"/>
      <c r="E6195" s="115"/>
    </row>
    <row r="6196" spans="1:5" ht="13">
      <c r="A6196" s="115"/>
      <c r="B6196" s="115"/>
      <c r="C6196" s="115"/>
      <c r="D6196" s="115"/>
      <c r="E6196" s="115"/>
    </row>
    <row r="6197" spans="1:5" ht="13">
      <c r="A6197" s="115"/>
      <c r="B6197" s="115"/>
      <c r="C6197" s="115"/>
      <c r="D6197" s="115"/>
      <c r="E6197" s="115"/>
    </row>
    <row r="6198" spans="1:5" ht="13">
      <c r="A6198" s="115"/>
      <c r="B6198" s="115"/>
      <c r="C6198" s="115"/>
      <c r="D6198" s="115"/>
      <c r="E6198" s="115"/>
    </row>
    <row r="6199" spans="1:5" ht="13">
      <c r="A6199" s="115"/>
      <c r="B6199" s="115"/>
      <c r="C6199" s="115"/>
      <c r="D6199" s="115"/>
      <c r="E6199" s="115"/>
    </row>
    <row r="6200" spans="1:5" ht="13">
      <c r="A6200" s="115"/>
      <c r="B6200" s="115"/>
      <c r="C6200" s="115"/>
      <c r="D6200" s="115"/>
      <c r="E6200" s="115"/>
    </row>
    <row r="6201" spans="1:5" ht="13">
      <c r="A6201" s="115"/>
      <c r="B6201" s="115"/>
      <c r="C6201" s="115"/>
      <c r="D6201" s="115"/>
      <c r="E6201" s="115"/>
    </row>
    <row r="6202" spans="1:5" ht="13">
      <c r="A6202" s="115"/>
      <c r="B6202" s="115"/>
      <c r="C6202" s="115"/>
      <c r="D6202" s="115"/>
      <c r="E6202" s="115"/>
    </row>
    <row r="6203" spans="1:5" ht="13">
      <c r="A6203" s="115"/>
      <c r="B6203" s="115"/>
      <c r="C6203" s="115"/>
      <c r="D6203" s="115"/>
      <c r="E6203" s="115"/>
    </row>
    <row r="6204" spans="1:5" ht="13">
      <c r="A6204" s="115"/>
      <c r="B6204" s="115"/>
      <c r="C6204" s="115"/>
      <c r="D6204" s="115"/>
      <c r="E6204" s="115"/>
    </row>
    <row r="6205" spans="1:5" ht="13">
      <c r="A6205" s="115"/>
      <c r="B6205" s="115"/>
      <c r="C6205" s="115"/>
      <c r="D6205" s="115"/>
      <c r="E6205" s="115"/>
    </row>
    <row r="6206" spans="1:5" ht="13">
      <c r="A6206" s="115"/>
      <c r="B6206" s="115"/>
      <c r="C6206" s="115"/>
      <c r="D6206" s="115"/>
      <c r="E6206" s="115"/>
    </row>
    <row r="6207" spans="1:5" ht="13">
      <c r="A6207" s="115"/>
      <c r="B6207" s="115"/>
      <c r="C6207" s="115"/>
      <c r="D6207" s="115"/>
      <c r="E6207" s="115"/>
    </row>
    <row r="6208" spans="1:5" ht="13">
      <c r="A6208" s="115"/>
      <c r="B6208" s="115"/>
      <c r="C6208" s="115"/>
      <c r="D6208" s="115"/>
      <c r="E6208" s="115"/>
    </row>
    <row r="6209" spans="1:5" ht="13">
      <c r="A6209" s="115"/>
      <c r="B6209" s="115"/>
      <c r="C6209" s="115"/>
      <c r="D6209" s="115"/>
      <c r="E6209" s="115"/>
    </row>
    <row r="6210" spans="1:5" ht="13">
      <c r="A6210" s="115"/>
      <c r="B6210" s="115"/>
      <c r="C6210" s="115"/>
      <c r="D6210" s="115"/>
      <c r="E6210" s="115"/>
    </row>
    <row r="6211" spans="1:5" ht="13">
      <c r="A6211" s="115"/>
      <c r="B6211" s="115"/>
      <c r="C6211" s="115"/>
      <c r="D6211" s="115"/>
      <c r="E6211" s="115"/>
    </row>
    <row r="6212" spans="1:5" ht="13">
      <c r="A6212" s="115"/>
      <c r="B6212" s="115"/>
      <c r="C6212" s="115"/>
      <c r="D6212" s="115"/>
      <c r="E6212" s="115"/>
    </row>
    <row r="6213" spans="1:5" ht="13">
      <c r="A6213" s="115"/>
      <c r="B6213" s="115"/>
      <c r="C6213" s="115"/>
      <c r="D6213" s="115"/>
      <c r="E6213" s="115"/>
    </row>
    <row r="6214" spans="1:5" ht="13">
      <c r="A6214" s="115"/>
      <c r="B6214" s="115"/>
      <c r="C6214" s="115"/>
      <c r="D6214" s="115"/>
      <c r="E6214" s="115"/>
    </row>
    <row r="6215" spans="1:5" ht="13">
      <c r="A6215" s="115"/>
      <c r="B6215" s="115"/>
      <c r="C6215" s="115"/>
      <c r="D6215" s="115"/>
      <c r="E6215" s="115"/>
    </row>
    <row r="6216" spans="1:5" ht="13">
      <c r="A6216" s="115"/>
      <c r="B6216" s="115"/>
      <c r="C6216" s="115"/>
      <c r="D6216" s="115"/>
      <c r="E6216" s="115"/>
    </row>
    <row r="6217" spans="1:5" ht="13">
      <c r="A6217" s="115"/>
      <c r="B6217" s="115"/>
      <c r="C6217" s="115"/>
      <c r="D6217" s="115"/>
      <c r="E6217" s="115"/>
    </row>
    <row r="6218" spans="1:5" ht="13">
      <c r="A6218" s="115"/>
      <c r="B6218" s="115"/>
      <c r="C6218" s="115"/>
      <c r="D6218" s="115"/>
      <c r="E6218" s="115"/>
    </row>
    <row r="6219" spans="1:5" ht="13">
      <c r="A6219" s="115"/>
      <c r="B6219" s="115"/>
      <c r="C6219" s="115"/>
      <c r="D6219" s="115"/>
      <c r="E6219" s="115"/>
    </row>
    <row r="6220" spans="1:5" ht="13">
      <c r="A6220" s="115"/>
      <c r="B6220" s="115"/>
      <c r="C6220" s="115"/>
      <c r="D6220" s="115"/>
      <c r="E6220" s="115"/>
    </row>
    <row r="6221" spans="1:5" ht="13">
      <c r="A6221" s="115"/>
      <c r="B6221" s="115"/>
      <c r="C6221" s="115"/>
      <c r="D6221" s="115"/>
      <c r="E6221" s="115"/>
    </row>
    <row r="6222" spans="1:5" ht="13">
      <c r="A6222" s="115"/>
      <c r="B6222" s="115"/>
      <c r="C6222" s="115"/>
      <c r="D6222" s="115"/>
      <c r="E6222" s="115"/>
    </row>
    <row r="6223" spans="1:5" ht="13">
      <c r="A6223" s="115"/>
      <c r="B6223" s="115"/>
      <c r="C6223" s="115"/>
      <c r="D6223" s="115"/>
      <c r="E6223" s="115"/>
    </row>
    <row r="6224" spans="1:5" ht="13">
      <c r="A6224" s="115"/>
      <c r="B6224" s="115"/>
      <c r="C6224" s="115"/>
      <c r="D6224" s="115"/>
      <c r="E6224" s="115"/>
    </row>
    <row r="6225" spans="1:5" ht="13">
      <c r="A6225" s="115"/>
      <c r="B6225" s="115"/>
      <c r="C6225" s="115"/>
      <c r="D6225" s="115"/>
      <c r="E6225" s="115"/>
    </row>
    <row r="6226" spans="1:5" ht="13">
      <c r="A6226" s="115"/>
      <c r="B6226" s="115"/>
      <c r="C6226" s="115"/>
      <c r="D6226" s="115"/>
      <c r="E6226" s="115"/>
    </row>
    <row r="6227" spans="1:5" ht="13">
      <c r="A6227" s="115"/>
      <c r="B6227" s="115"/>
      <c r="C6227" s="115"/>
      <c r="D6227" s="115"/>
      <c r="E6227" s="115"/>
    </row>
    <row r="6228" spans="1:5" ht="13">
      <c r="A6228" s="115"/>
      <c r="B6228" s="115"/>
      <c r="C6228" s="115"/>
      <c r="D6228" s="115"/>
      <c r="E6228" s="115"/>
    </row>
    <row r="6229" spans="1:5" ht="13">
      <c r="A6229" s="115"/>
      <c r="B6229" s="115"/>
      <c r="C6229" s="115"/>
      <c r="D6229" s="115"/>
      <c r="E6229" s="115"/>
    </row>
    <row r="6230" spans="1:5" ht="13">
      <c r="A6230" s="115"/>
      <c r="B6230" s="115"/>
      <c r="C6230" s="115"/>
      <c r="D6230" s="115"/>
      <c r="E6230" s="115"/>
    </row>
    <row r="6231" spans="1:5" ht="13">
      <c r="A6231" s="115"/>
      <c r="B6231" s="115"/>
      <c r="C6231" s="115"/>
      <c r="D6231" s="115"/>
      <c r="E6231" s="115"/>
    </row>
    <row r="6232" spans="1:5" ht="13">
      <c r="A6232" s="115"/>
      <c r="B6232" s="115"/>
      <c r="C6232" s="115"/>
      <c r="D6232" s="115"/>
      <c r="E6232" s="115"/>
    </row>
    <row r="6233" spans="1:5" ht="13">
      <c r="A6233" s="115"/>
      <c r="B6233" s="115"/>
      <c r="C6233" s="115"/>
      <c r="D6233" s="115"/>
      <c r="E6233" s="115"/>
    </row>
    <row r="6234" spans="1:5" ht="13">
      <c r="A6234" s="115"/>
      <c r="B6234" s="115"/>
      <c r="C6234" s="115"/>
      <c r="D6234" s="115"/>
      <c r="E6234" s="115"/>
    </row>
    <row r="6235" spans="1:5" ht="13">
      <c r="A6235" s="115"/>
      <c r="B6235" s="115"/>
      <c r="C6235" s="115"/>
      <c r="D6235" s="115"/>
      <c r="E6235" s="115"/>
    </row>
    <row r="6236" spans="1:5" ht="13">
      <c r="A6236" s="115"/>
      <c r="B6236" s="115"/>
      <c r="C6236" s="115"/>
      <c r="D6236" s="115"/>
      <c r="E6236" s="115"/>
    </row>
    <row r="6237" spans="1:5" ht="13">
      <c r="A6237" s="115"/>
      <c r="B6237" s="115"/>
      <c r="C6237" s="115"/>
      <c r="D6237" s="115"/>
      <c r="E6237" s="115"/>
    </row>
    <row r="6238" spans="1:5" ht="13">
      <c r="A6238" s="115"/>
      <c r="B6238" s="115"/>
      <c r="C6238" s="115"/>
      <c r="D6238" s="115"/>
      <c r="E6238" s="115"/>
    </row>
    <row r="6239" spans="1:5" ht="13">
      <c r="A6239" s="115"/>
      <c r="B6239" s="115"/>
      <c r="C6239" s="115"/>
      <c r="D6239" s="115"/>
      <c r="E6239" s="115"/>
    </row>
    <row r="6240" spans="1:5" ht="13">
      <c r="A6240" s="115"/>
      <c r="B6240" s="115"/>
      <c r="C6240" s="115"/>
      <c r="D6240" s="115"/>
      <c r="E6240" s="115"/>
    </row>
    <row r="6241" spans="1:5" ht="13">
      <c r="A6241" s="115"/>
      <c r="B6241" s="115"/>
      <c r="C6241" s="115"/>
      <c r="D6241" s="115"/>
      <c r="E6241" s="115"/>
    </row>
    <row r="6242" spans="1:5" ht="13">
      <c r="A6242" s="115"/>
      <c r="B6242" s="115"/>
      <c r="C6242" s="115"/>
      <c r="D6242" s="115"/>
      <c r="E6242" s="115"/>
    </row>
    <row r="6243" spans="1:5" ht="13">
      <c r="A6243" s="115"/>
      <c r="B6243" s="115"/>
      <c r="C6243" s="115"/>
      <c r="D6243" s="115"/>
      <c r="E6243" s="115"/>
    </row>
    <row r="6244" spans="1:5" ht="13">
      <c r="A6244" s="115"/>
      <c r="B6244" s="115"/>
      <c r="C6244" s="115"/>
      <c r="D6244" s="115"/>
      <c r="E6244" s="115"/>
    </row>
    <row r="6245" spans="1:5" ht="13">
      <c r="A6245" s="115"/>
      <c r="B6245" s="115"/>
      <c r="C6245" s="115"/>
      <c r="D6245" s="115"/>
      <c r="E6245" s="115"/>
    </row>
    <row r="6246" spans="1:5" ht="13">
      <c r="A6246" s="115"/>
      <c r="B6246" s="115"/>
      <c r="C6246" s="115"/>
      <c r="D6246" s="115"/>
      <c r="E6246" s="115"/>
    </row>
    <row r="6247" spans="1:5" ht="13">
      <c r="A6247" s="115"/>
      <c r="B6247" s="115"/>
      <c r="C6247" s="115"/>
      <c r="D6247" s="115"/>
      <c r="E6247" s="115"/>
    </row>
    <row r="6248" spans="1:5" ht="13">
      <c r="A6248" s="115"/>
      <c r="B6248" s="115"/>
      <c r="C6248" s="115"/>
      <c r="D6248" s="115"/>
      <c r="E6248" s="115"/>
    </row>
    <row r="6249" spans="1:5" ht="13">
      <c r="A6249" s="115"/>
      <c r="B6249" s="115"/>
      <c r="C6249" s="115"/>
      <c r="D6249" s="115"/>
      <c r="E6249" s="115"/>
    </row>
    <row r="6250" spans="1:5" ht="13">
      <c r="A6250" s="115"/>
      <c r="B6250" s="115"/>
      <c r="C6250" s="115"/>
      <c r="D6250" s="115"/>
      <c r="E6250" s="115"/>
    </row>
    <row r="6251" spans="1:5" ht="13">
      <c r="A6251" s="115"/>
      <c r="B6251" s="115"/>
      <c r="C6251" s="115"/>
      <c r="D6251" s="115"/>
      <c r="E6251" s="115"/>
    </row>
    <row r="6252" spans="1:5" ht="13">
      <c r="A6252" s="115"/>
      <c r="B6252" s="115"/>
      <c r="C6252" s="115"/>
      <c r="D6252" s="115"/>
      <c r="E6252" s="115"/>
    </row>
    <row r="6253" spans="1:5" ht="13">
      <c r="A6253" s="115"/>
      <c r="B6253" s="115"/>
      <c r="C6253" s="115"/>
      <c r="D6253" s="115"/>
      <c r="E6253" s="115"/>
    </row>
    <row r="6254" spans="1:5" ht="13">
      <c r="A6254" s="115"/>
      <c r="B6254" s="115"/>
      <c r="C6254" s="115"/>
      <c r="D6254" s="115"/>
      <c r="E6254" s="115"/>
    </row>
    <row r="6255" spans="1:5" ht="13">
      <c r="A6255" s="115"/>
      <c r="B6255" s="115"/>
      <c r="C6255" s="115"/>
      <c r="D6255" s="115"/>
      <c r="E6255" s="115"/>
    </row>
    <row r="6256" spans="1:5" ht="13">
      <c r="A6256" s="115"/>
      <c r="B6256" s="115"/>
      <c r="C6256" s="115"/>
      <c r="D6256" s="115"/>
      <c r="E6256" s="115"/>
    </row>
    <row r="6257" spans="1:5" ht="13">
      <c r="A6257" s="115"/>
      <c r="B6257" s="115"/>
      <c r="C6257" s="115"/>
      <c r="D6257" s="115"/>
      <c r="E6257" s="115"/>
    </row>
    <row r="6258" spans="1:5" ht="13">
      <c r="A6258" s="115"/>
      <c r="B6258" s="115"/>
      <c r="C6258" s="115"/>
      <c r="D6258" s="115"/>
      <c r="E6258" s="115"/>
    </row>
    <row r="6259" spans="1:5" ht="13">
      <c r="A6259" s="115"/>
      <c r="B6259" s="115"/>
      <c r="C6259" s="115"/>
      <c r="D6259" s="115"/>
      <c r="E6259" s="115"/>
    </row>
    <row r="6260" spans="1:5" ht="13">
      <c r="A6260" s="115"/>
      <c r="B6260" s="115"/>
      <c r="C6260" s="115"/>
      <c r="D6260" s="115"/>
      <c r="E6260" s="115"/>
    </row>
    <row r="6261" spans="1:5" ht="13">
      <c r="A6261" s="115"/>
      <c r="B6261" s="115"/>
      <c r="C6261" s="115"/>
      <c r="D6261" s="115"/>
      <c r="E6261" s="115"/>
    </row>
    <row r="6262" spans="1:5" ht="13">
      <c r="A6262" s="115"/>
      <c r="B6262" s="115"/>
      <c r="C6262" s="115"/>
      <c r="D6262" s="115"/>
      <c r="E6262" s="115"/>
    </row>
    <row r="6263" spans="1:5" ht="13">
      <c r="A6263" s="115"/>
      <c r="B6263" s="115"/>
      <c r="C6263" s="115"/>
      <c r="D6263" s="115"/>
      <c r="E6263" s="115"/>
    </row>
    <row r="6264" spans="1:5" ht="13">
      <c r="A6264" s="115"/>
      <c r="B6264" s="115"/>
      <c r="C6264" s="115"/>
      <c r="D6264" s="115"/>
      <c r="E6264" s="115"/>
    </row>
    <row r="6265" spans="1:5" ht="13">
      <c r="A6265" s="115"/>
      <c r="B6265" s="115"/>
      <c r="C6265" s="115"/>
      <c r="D6265" s="115"/>
      <c r="E6265" s="115"/>
    </row>
    <row r="6266" spans="1:5" ht="13">
      <c r="A6266" s="115"/>
      <c r="B6266" s="115"/>
      <c r="C6266" s="115"/>
      <c r="D6266" s="115"/>
      <c r="E6266" s="115"/>
    </row>
    <row r="6267" spans="1:5" ht="13">
      <c r="A6267" s="115"/>
      <c r="B6267" s="115"/>
      <c r="C6267" s="115"/>
      <c r="D6267" s="115"/>
      <c r="E6267" s="115"/>
    </row>
    <row r="6268" spans="1:5" ht="13">
      <c r="A6268" s="115"/>
      <c r="B6268" s="115"/>
      <c r="C6268" s="115"/>
      <c r="D6268" s="115"/>
      <c r="E6268" s="115"/>
    </row>
    <row r="6269" spans="1:5" ht="13">
      <c r="A6269" s="115"/>
      <c r="B6269" s="115"/>
      <c r="C6269" s="115"/>
      <c r="D6269" s="115"/>
      <c r="E6269" s="115"/>
    </row>
    <row r="6270" spans="1:5" ht="13">
      <c r="A6270" s="115"/>
      <c r="B6270" s="115"/>
      <c r="C6270" s="115"/>
      <c r="D6270" s="115"/>
      <c r="E6270" s="115"/>
    </row>
    <row r="6271" spans="1:5" ht="13">
      <c r="A6271" s="115"/>
      <c r="B6271" s="115"/>
      <c r="C6271" s="115"/>
      <c r="D6271" s="115"/>
      <c r="E6271" s="115"/>
    </row>
    <row r="6272" spans="1:5" ht="13">
      <c r="A6272" s="115"/>
      <c r="B6272" s="115"/>
      <c r="C6272" s="115"/>
      <c r="D6272" s="115"/>
      <c r="E6272" s="115"/>
    </row>
    <row r="6273" spans="1:5" ht="13">
      <c r="A6273" s="115"/>
      <c r="B6273" s="115"/>
      <c r="C6273" s="115"/>
      <c r="D6273" s="115"/>
      <c r="E6273" s="115"/>
    </row>
    <row r="6274" spans="1:5" ht="13">
      <c r="A6274" s="115"/>
      <c r="B6274" s="115"/>
      <c r="C6274" s="115"/>
      <c r="D6274" s="115"/>
      <c r="E6274" s="115"/>
    </row>
    <row r="6275" spans="1:5" ht="13">
      <c r="A6275" s="115"/>
      <c r="B6275" s="115"/>
      <c r="C6275" s="115"/>
      <c r="D6275" s="115"/>
      <c r="E6275" s="115"/>
    </row>
    <row r="6276" spans="1:5" ht="13">
      <c r="A6276" s="115"/>
      <c r="B6276" s="115"/>
      <c r="C6276" s="115"/>
      <c r="D6276" s="115"/>
      <c r="E6276" s="115"/>
    </row>
    <row r="6277" spans="1:5" ht="13">
      <c r="A6277" s="115"/>
      <c r="B6277" s="115"/>
      <c r="C6277" s="115"/>
      <c r="D6277" s="115"/>
      <c r="E6277" s="115"/>
    </row>
    <row r="6278" spans="1:5" ht="13">
      <c r="A6278" s="115"/>
      <c r="B6278" s="115"/>
      <c r="C6278" s="115"/>
      <c r="D6278" s="115"/>
      <c r="E6278" s="115"/>
    </row>
    <row r="6279" spans="1:5" ht="13">
      <c r="A6279" s="115"/>
      <c r="B6279" s="115"/>
      <c r="C6279" s="115"/>
      <c r="D6279" s="115"/>
      <c r="E6279" s="115"/>
    </row>
    <row r="6280" spans="1:5" ht="13">
      <c r="A6280" s="115"/>
      <c r="B6280" s="115"/>
      <c r="C6280" s="115"/>
      <c r="D6280" s="115"/>
      <c r="E6280" s="115"/>
    </row>
    <row r="6281" spans="1:5" ht="13">
      <c r="A6281" s="115"/>
      <c r="B6281" s="115"/>
      <c r="C6281" s="115"/>
      <c r="D6281" s="115"/>
      <c r="E6281" s="115"/>
    </row>
    <row r="6282" spans="1:5" ht="13">
      <c r="A6282" s="115"/>
      <c r="B6282" s="115"/>
      <c r="C6282" s="115"/>
      <c r="D6282" s="115"/>
      <c r="E6282" s="115"/>
    </row>
    <row r="6283" spans="1:5" ht="13">
      <c r="A6283" s="115"/>
      <c r="B6283" s="115"/>
      <c r="C6283" s="115"/>
      <c r="D6283" s="115"/>
      <c r="E6283" s="115"/>
    </row>
    <row r="6284" spans="1:5" ht="13">
      <c r="A6284" s="115"/>
      <c r="B6284" s="115"/>
      <c r="C6284" s="115"/>
      <c r="D6284" s="115"/>
      <c r="E6284" s="115"/>
    </row>
    <row r="6285" spans="1:5" ht="13">
      <c r="A6285" s="115"/>
      <c r="B6285" s="115"/>
      <c r="C6285" s="115"/>
      <c r="D6285" s="115"/>
      <c r="E6285" s="115"/>
    </row>
    <row r="6286" spans="1:5" ht="13">
      <c r="A6286" s="115"/>
      <c r="B6286" s="115"/>
      <c r="C6286" s="115"/>
      <c r="D6286" s="115"/>
      <c r="E6286" s="115"/>
    </row>
    <row r="6287" spans="1:5" ht="13">
      <c r="A6287" s="115"/>
      <c r="B6287" s="115"/>
      <c r="C6287" s="115"/>
      <c r="D6287" s="115"/>
      <c r="E6287" s="115"/>
    </row>
    <row r="6288" spans="1:5" ht="13">
      <c r="A6288" s="115"/>
      <c r="B6288" s="115"/>
      <c r="C6288" s="115"/>
      <c r="D6288" s="115"/>
      <c r="E6288" s="115"/>
    </row>
    <row r="6289" spans="1:5" ht="13">
      <c r="A6289" s="115"/>
      <c r="B6289" s="115"/>
      <c r="C6289" s="115"/>
      <c r="D6289" s="115"/>
      <c r="E6289" s="115"/>
    </row>
    <row r="6290" spans="1:5" ht="13">
      <c r="A6290" s="115"/>
      <c r="B6290" s="115"/>
      <c r="C6290" s="115"/>
      <c r="D6290" s="115"/>
      <c r="E6290" s="115"/>
    </row>
    <row r="6291" spans="1:5" ht="13">
      <c r="A6291" s="115"/>
      <c r="B6291" s="115"/>
      <c r="C6291" s="115"/>
      <c r="D6291" s="115"/>
      <c r="E6291" s="115"/>
    </row>
    <row r="6292" spans="1:5" ht="13">
      <c r="A6292" s="115"/>
      <c r="B6292" s="115"/>
      <c r="C6292" s="115"/>
      <c r="D6292" s="115"/>
      <c r="E6292" s="115"/>
    </row>
    <row r="6293" spans="1:5" ht="13">
      <c r="A6293" s="115"/>
      <c r="B6293" s="115"/>
      <c r="C6293" s="115"/>
      <c r="D6293" s="115"/>
      <c r="E6293" s="115"/>
    </row>
    <row r="6294" spans="1:5" ht="13">
      <c r="A6294" s="115"/>
      <c r="B6294" s="115"/>
      <c r="C6294" s="115"/>
      <c r="D6294" s="115"/>
      <c r="E6294" s="115"/>
    </row>
    <row r="6295" spans="1:5" ht="13">
      <c r="A6295" s="115"/>
      <c r="B6295" s="115"/>
      <c r="C6295" s="115"/>
      <c r="D6295" s="115"/>
      <c r="E6295" s="115"/>
    </row>
    <row r="6296" spans="1:5" ht="13">
      <c r="A6296" s="115"/>
      <c r="B6296" s="115"/>
      <c r="C6296" s="115"/>
      <c r="D6296" s="115"/>
      <c r="E6296" s="115"/>
    </row>
    <row r="6297" spans="1:5" ht="13">
      <c r="A6297" s="115"/>
      <c r="B6297" s="115"/>
      <c r="C6297" s="115"/>
      <c r="D6297" s="115"/>
      <c r="E6297" s="115"/>
    </row>
    <row r="6298" spans="1:5" ht="13">
      <c r="A6298" s="115"/>
      <c r="B6298" s="115"/>
      <c r="C6298" s="115"/>
      <c r="D6298" s="115"/>
      <c r="E6298" s="115"/>
    </row>
    <row r="6299" spans="1:5" ht="13">
      <c r="A6299" s="115"/>
      <c r="B6299" s="115"/>
      <c r="C6299" s="115"/>
      <c r="D6299" s="115"/>
      <c r="E6299" s="115"/>
    </row>
    <row r="6300" spans="1:5" ht="13">
      <c r="A6300" s="115"/>
      <c r="B6300" s="115"/>
      <c r="C6300" s="115"/>
      <c r="D6300" s="115"/>
      <c r="E6300" s="115"/>
    </row>
    <row r="6301" spans="1:5" ht="13">
      <c r="A6301" s="115"/>
      <c r="B6301" s="115"/>
      <c r="C6301" s="115"/>
      <c r="D6301" s="115"/>
      <c r="E6301" s="115"/>
    </row>
    <row r="6302" spans="1:5" ht="13">
      <c r="A6302" s="115"/>
      <c r="B6302" s="115"/>
      <c r="C6302" s="115"/>
      <c r="D6302" s="115"/>
      <c r="E6302" s="115"/>
    </row>
    <row r="6303" spans="1:5" ht="13">
      <c r="A6303" s="115"/>
      <c r="B6303" s="115"/>
      <c r="C6303" s="115"/>
      <c r="D6303" s="115"/>
      <c r="E6303" s="115"/>
    </row>
    <row r="6304" spans="1:5" ht="13">
      <c r="A6304" s="115"/>
      <c r="B6304" s="115"/>
      <c r="C6304" s="115"/>
      <c r="D6304" s="115"/>
      <c r="E6304" s="115"/>
    </row>
    <row r="6305" spans="1:5" ht="13">
      <c r="A6305" s="115"/>
      <c r="B6305" s="115"/>
      <c r="C6305" s="115"/>
      <c r="D6305" s="115"/>
      <c r="E6305" s="115"/>
    </row>
    <row r="6306" spans="1:5" ht="13">
      <c r="A6306" s="115"/>
      <c r="B6306" s="115"/>
      <c r="C6306" s="115"/>
      <c r="D6306" s="115"/>
      <c r="E6306" s="115"/>
    </row>
    <row r="6307" spans="1:5" ht="13">
      <c r="A6307" s="115"/>
      <c r="B6307" s="115"/>
      <c r="C6307" s="115"/>
      <c r="D6307" s="115"/>
      <c r="E6307" s="115"/>
    </row>
    <row r="6308" spans="1:5" ht="13">
      <c r="A6308" s="115"/>
      <c r="B6308" s="115"/>
      <c r="C6308" s="115"/>
      <c r="D6308" s="115"/>
      <c r="E6308" s="115"/>
    </row>
    <row r="6309" spans="1:5" ht="13">
      <c r="A6309" s="115"/>
      <c r="B6309" s="115"/>
      <c r="C6309" s="115"/>
      <c r="D6309" s="115"/>
      <c r="E6309" s="115"/>
    </row>
    <row r="6310" spans="1:5" ht="13">
      <c r="A6310" s="115"/>
      <c r="B6310" s="115"/>
      <c r="C6310" s="115"/>
      <c r="D6310" s="115"/>
      <c r="E6310" s="115"/>
    </row>
    <row r="6311" spans="1:5" ht="13">
      <c r="A6311" s="115"/>
      <c r="B6311" s="115"/>
      <c r="C6311" s="115"/>
      <c r="D6311" s="115"/>
      <c r="E6311" s="115"/>
    </row>
    <row r="6312" spans="1:5" ht="13">
      <c r="A6312" s="115"/>
      <c r="B6312" s="115"/>
      <c r="C6312" s="115"/>
      <c r="D6312" s="115"/>
      <c r="E6312" s="115"/>
    </row>
    <row r="6313" spans="1:5" ht="13">
      <c r="A6313" s="115"/>
      <c r="B6313" s="115"/>
      <c r="C6313" s="115"/>
      <c r="D6313" s="115"/>
      <c r="E6313" s="115"/>
    </row>
    <row r="6314" spans="1:5" ht="13">
      <c r="A6314" s="115"/>
      <c r="B6314" s="115"/>
      <c r="C6314" s="115"/>
      <c r="D6314" s="115"/>
      <c r="E6314" s="115"/>
    </row>
    <row r="6315" spans="1:5" ht="13">
      <c r="A6315" s="115"/>
      <c r="B6315" s="115"/>
      <c r="C6315" s="115"/>
      <c r="D6315" s="115"/>
      <c r="E6315" s="115"/>
    </row>
    <row r="6316" spans="1:5" ht="13">
      <c r="A6316" s="115"/>
      <c r="B6316" s="115"/>
      <c r="C6316" s="115"/>
      <c r="D6316" s="115"/>
      <c r="E6316" s="115"/>
    </row>
    <row r="6317" spans="1:5" ht="13">
      <c r="A6317" s="115"/>
      <c r="B6317" s="115"/>
      <c r="C6317" s="115"/>
      <c r="D6317" s="115"/>
      <c r="E6317" s="115"/>
    </row>
    <row r="6318" spans="1:5" ht="13">
      <c r="A6318" s="115"/>
      <c r="B6318" s="115"/>
      <c r="C6318" s="115"/>
      <c r="D6318" s="115"/>
      <c r="E6318" s="115"/>
    </row>
    <row r="6319" spans="1:5" ht="13">
      <c r="A6319" s="115"/>
      <c r="B6319" s="115"/>
      <c r="C6319" s="115"/>
      <c r="D6319" s="115"/>
      <c r="E6319" s="115"/>
    </row>
    <row r="6320" spans="1:5" ht="13">
      <c r="A6320" s="115"/>
      <c r="B6320" s="115"/>
      <c r="C6320" s="115"/>
      <c r="D6320" s="115"/>
      <c r="E6320" s="115"/>
    </row>
    <row r="6321" spans="1:5" ht="13">
      <c r="A6321" s="115"/>
      <c r="B6321" s="115"/>
      <c r="C6321" s="115"/>
      <c r="D6321" s="115"/>
      <c r="E6321" s="115"/>
    </row>
    <row r="6322" spans="1:5" ht="13">
      <c r="A6322" s="115"/>
      <c r="B6322" s="115"/>
      <c r="C6322" s="115"/>
      <c r="D6322" s="115"/>
      <c r="E6322" s="115"/>
    </row>
    <row r="6323" spans="1:5" ht="13">
      <c r="A6323" s="115"/>
      <c r="B6323" s="115"/>
      <c r="C6323" s="115"/>
      <c r="D6323" s="115"/>
      <c r="E6323" s="115"/>
    </row>
    <row r="6324" spans="1:5" ht="13">
      <c r="A6324" s="115"/>
      <c r="B6324" s="115"/>
      <c r="C6324" s="115"/>
      <c r="D6324" s="115"/>
      <c r="E6324" s="115"/>
    </row>
    <row r="6325" spans="1:5" ht="13">
      <c r="A6325" s="115"/>
      <c r="B6325" s="115"/>
      <c r="C6325" s="115"/>
      <c r="D6325" s="115"/>
      <c r="E6325" s="115"/>
    </row>
    <row r="6326" spans="1:5" ht="13">
      <c r="A6326" s="115"/>
      <c r="B6326" s="115"/>
      <c r="C6326" s="115"/>
      <c r="D6326" s="115"/>
      <c r="E6326" s="115"/>
    </row>
    <row r="6327" spans="1:5" ht="13">
      <c r="A6327" s="115"/>
      <c r="B6327" s="115"/>
      <c r="C6327" s="115"/>
      <c r="D6327" s="115"/>
      <c r="E6327" s="115"/>
    </row>
    <row r="6328" spans="1:5" ht="13">
      <c r="A6328" s="115"/>
      <c r="B6328" s="115"/>
      <c r="C6328" s="115"/>
      <c r="D6328" s="115"/>
      <c r="E6328" s="115"/>
    </row>
    <row r="6329" spans="1:5" ht="13">
      <c r="A6329" s="115"/>
      <c r="B6329" s="115"/>
      <c r="C6329" s="115"/>
      <c r="D6329" s="115"/>
      <c r="E6329" s="115"/>
    </row>
    <row r="6330" spans="1:5" ht="13">
      <c r="A6330" s="115"/>
      <c r="B6330" s="115"/>
      <c r="C6330" s="115"/>
      <c r="D6330" s="115"/>
      <c r="E6330" s="115"/>
    </row>
    <row r="6331" spans="1:5" ht="13">
      <c r="A6331" s="115"/>
      <c r="B6331" s="115"/>
      <c r="C6331" s="115"/>
      <c r="D6331" s="115"/>
      <c r="E6331" s="115"/>
    </row>
    <row r="6332" spans="1:5" ht="13">
      <c r="A6332" s="115"/>
      <c r="B6332" s="115"/>
      <c r="C6332" s="115"/>
      <c r="D6332" s="115"/>
      <c r="E6332" s="115"/>
    </row>
    <row r="6333" spans="1:5" ht="13">
      <c r="A6333" s="115"/>
      <c r="B6333" s="115"/>
      <c r="C6333" s="115"/>
      <c r="D6333" s="115"/>
      <c r="E6333" s="115"/>
    </row>
    <row r="6334" spans="1:5" ht="13">
      <c r="A6334" s="115"/>
      <c r="B6334" s="115"/>
      <c r="C6334" s="115"/>
      <c r="D6334" s="115"/>
      <c r="E6334" s="115"/>
    </row>
    <row r="6335" spans="1:5" ht="13">
      <c r="A6335" s="115"/>
      <c r="B6335" s="115"/>
      <c r="C6335" s="115"/>
      <c r="D6335" s="115"/>
      <c r="E6335" s="115"/>
    </row>
    <row r="6336" spans="1:5" ht="13">
      <c r="A6336" s="115"/>
      <c r="B6336" s="115"/>
      <c r="C6336" s="115"/>
      <c r="D6336" s="115"/>
      <c r="E6336" s="115"/>
    </row>
    <row r="6337" spans="1:5" ht="13">
      <c r="A6337" s="115"/>
      <c r="B6337" s="115"/>
      <c r="C6337" s="115"/>
      <c r="D6337" s="115"/>
      <c r="E6337" s="115"/>
    </row>
    <row r="6338" spans="1:5" ht="13">
      <c r="A6338" s="115"/>
      <c r="B6338" s="115"/>
      <c r="C6338" s="115"/>
      <c r="D6338" s="115"/>
      <c r="E6338" s="115"/>
    </row>
    <row r="6339" spans="1:5" ht="13">
      <c r="A6339" s="115"/>
      <c r="B6339" s="115"/>
      <c r="C6339" s="115"/>
      <c r="D6339" s="115"/>
      <c r="E6339" s="115"/>
    </row>
    <row r="6340" spans="1:5" ht="13">
      <c r="A6340" s="115"/>
      <c r="B6340" s="115"/>
      <c r="C6340" s="115"/>
      <c r="D6340" s="115"/>
      <c r="E6340" s="115"/>
    </row>
    <row r="6341" spans="1:5" ht="13">
      <c r="A6341" s="115"/>
      <c r="B6341" s="115"/>
      <c r="C6341" s="115"/>
      <c r="D6341" s="115"/>
      <c r="E6341" s="115"/>
    </row>
    <row r="6342" spans="1:5" ht="13">
      <c r="A6342" s="115"/>
      <c r="B6342" s="115"/>
      <c r="C6342" s="115"/>
      <c r="D6342" s="115"/>
      <c r="E6342" s="115"/>
    </row>
    <row r="6343" spans="1:5" ht="13">
      <c r="A6343" s="115"/>
      <c r="B6343" s="115"/>
      <c r="C6343" s="115"/>
      <c r="D6343" s="115"/>
      <c r="E6343" s="115"/>
    </row>
    <row r="6344" spans="1:5" ht="13">
      <c r="A6344" s="115"/>
      <c r="B6344" s="115"/>
      <c r="C6344" s="115"/>
      <c r="D6344" s="115"/>
      <c r="E6344" s="115"/>
    </row>
    <row r="6345" spans="1:5" ht="13">
      <c r="A6345" s="115"/>
      <c r="B6345" s="115"/>
      <c r="C6345" s="115"/>
      <c r="D6345" s="115"/>
      <c r="E6345" s="115"/>
    </row>
    <row r="6346" spans="1:5" ht="13">
      <c r="A6346" s="115"/>
      <c r="B6346" s="115"/>
      <c r="C6346" s="115"/>
      <c r="D6346" s="115"/>
      <c r="E6346" s="115"/>
    </row>
    <row r="6347" spans="1:5" ht="13">
      <c r="A6347" s="115"/>
      <c r="B6347" s="115"/>
      <c r="C6347" s="115"/>
      <c r="D6347" s="115"/>
      <c r="E6347" s="115"/>
    </row>
    <row r="6348" spans="1:5" ht="13">
      <c r="A6348" s="115"/>
      <c r="B6348" s="115"/>
      <c r="C6348" s="115"/>
      <c r="D6348" s="115"/>
      <c r="E6348" s="115"/>
    </row>
    <row r="6349" spans="1:5" ht="13">
      <c r="A6349" s="115"/>
      <c r="B6349" s="115"/>
      <c r="C6349" s="115"/>
      <c r="D6349" s="115"/>
      <c r="E6349" s="115"/>
    </row>
    <row r="6350" spans="1:5" ht="13">
      <c r="A6350" s="115"/>
      <c r="B6350" s="115"/>
      <c r="C6350" s="115"/>
      <c r="D6350" s="115"/>
      <c r="E6350" s="115"/>
    </row>
    <row r="6351" spans="1:5" ht="13">
      <c r="A6351" s="115"/>
      <c r="B6351" s="115"/>
      <c r="C6351" s="115"/>
      <c r="D6351" s="115"/>
      <c r="E6351" s="115"/>
    </row>
    <row r="6352" spans="1:5" ht="13">
      <c r="A6352" s="115"/>
      <c r="B6352" s="115"/>
      <c r="C6352" s="115"/>
      <c r="D6352" s="115"/>
      <c r="E6352" s="115"/>
    </row>
    <row r="6353" spans="1:5" ht="13">
      <c r="A6353" s="115"/>
      <c r="B6353" s="115"/>
      <c r="C6353" s="115"/>
      <c r="D6353" s="115"/>
      <c r="E6353" s="115"/>
    </row>
    <row r="6354" spans="1:5" ht="13">
      <c r="A6354" s="115"/>
      <c r="B6354" s="115"/>
      <c r="C6354" s="115"/>
      <c r="D6354" s="115"/>
      <c r="E6354" s="115"/>
    </row>
    <row r="6355" spans="1:5" ht="13">
      <c r="A6355" s="115"/>
      <c r="B6355" s="115"/>
      <c r="C6355" s="115"/>
      <c r="D6355" s="115"/>
      <c r="E6355" s="115"/>
    </row>
    <row r="6356" spans="1:5" ht="13">
      <c r="A6356" s="115"/>
      <c r="B6356" s="115"/>
      <c r="C6356" s="115"/>
      <c r="D6356" s="115"/>
      <c r="E6356" s="115"/>
    </row>
    <row r="6357" spans="1:5" ht="13">
      <c r="A6357" s="115"/>
      <c r="B6357" s="115"/>
      <c r="C6357" s="115"/>
      <c r="D6357" s="115"/>
      <c r="E6357" s="115"/>
    </row>
    <row r="6358" spans="1:5" ht="13">
      <c r="A6358" s="115"/>
      <c r="B6358" s="115"/>
      <c r="C6358" s="115"/>
      <c r="D6358" s="115"/>
      <c r="E6358" s="115"/>
    </row>
    <row r="6359" spans="1:5" ht="13">
      <c r="A6359" s="115"/>
      <c r="B6359" s="115"/>
      <c r="C6359" s="115"/>
      <c r="D6359" s="115"/>
      <c r="E6359" s="115"/>
    </row>
    <row r="6360" spans="1:5" ht="13">
      <c r="A6360" s="115"/>
      <c r="B6360" s="115"/>
      <c r="C6360" s="115"/>
      <c r="D6360" s="115"/>
      <c r="E6360" s="115"/>
    </row>
    <row r="6361" spans="1:5" ht="13">
      <c r="A6361" s="115"/>
      <c r="B6361" s="115"/>
      <c r="C6361" s="115"/>
      <c r="D6361" s="115"/>
      <c r="E6361" s="115"/>
    </row>
    <row r="6362" spans="1:5" ht="13">
      <c r="A6362" s="115"/>
      <c r="B6362" s="115"/>
      <c r="C6362" s="115"/>
      <c r="D6362" s="115"/>
      <c r="E6362" s="115"/>
    </row>
    <row r="6363" spans="1:5" ht="13">
      <c r="A6363" s="115"/>
      <c r="B6363" s="115"/>
      <c r="C6363" s="115"/>
      <c r="D6363" s="115"/>
      <c r="E6363" s="115"/>
    </row>
    <row r="6364" spans="1:5" ht="13">
      <c r="A6364" s="115"/>
      <c r="B6364" s="115"/>
      <c r="C6364" s="115"/>
      <c r="D6364" s="115"/>
      <c r="E6364" s="115"/>
    </row>
    <row r="6365" spans="1:5" ht="13">
      <c r="A6365" s="115"/>
      <c r="B6365" s="115"/>
      <c r="C6365" s="115"/>
      <c r="D6365" s="115"/>
      <c r="E6365" s="115"/>
    </row>
    <row r="6366" spans="1:5" ht="13">
      <c r="A6366" s="115"/>
      <c r="B6366" s="115"/>
      <c r="C6366" s="115"/>
      <c r="D6366" s="115"/>
      <c r="E6366" s="115"/>
    </row>
    <row r="6367" spans="1:5" ht="13">
      <c r="A6367" s="115"/>
      <c r="B6367" s="115"/>
      <c r="C6367" s="115"/>
      <c r="D6367" s="115"/>
      <c r="E6367" s="115"/>
    </row>
    <row r="6368" spans="1:5" ht="13">
      <c r="A6368" s="115"/>
      <c r="B6368" s="115"/>
      <c r="C6368" s="115"/>
      <c r="D6368" s="115"/>
      <c r="E6368" s="115"/>
    </row>
    <row r="6369" spans="1:5" ht="13">
      <c r="A6369" s="115"/>
      <c r="B6369" s="115"/>
      <c r="C6369" s="115"/>
      <c r="D6369" s="115"/>
      <c r="E6369" s="115"/>
    </row>
    <row r="6370" spans="1:5" ht="13">
      <c r="A6370" s="115"/>
      <c r="B6370" s="115"/>
      <c r="C6370" s="115"/>
      <c r="D6370" s="115"/>
      <c r="E6370" s="115"/>
    </row>
    <row r="6371" spans="1:5" ht="13">
      <c r="A6371" s="115"/>
      <c r="B6371" s="115"/>
      <c r="C6371" s="115"/>
      <c r="D6371" s="115"/>
      <c r="E6371" s="115"/>
    </row>
    <row r="6372" spans="1:5" ht="13">
      <c r="A6372" s="115"/>
      <c r="B6372" s="115"/>
      <c r="C6372" s="115"/>
      <c r="D6372" s="115"/>
      <c r="E6372" s="115"/>
    </row>
    <row r="6373" spans="1:5" ht="13">
      <c r="A6373" s="115"/>
      <c r="B6373" s="115"/>
      <c r="C6373" s="115"/>
      <c r="D6373" s="115"/>
      <c r="E6373" s="115"/>
    </row>
    <row r="6374" spans="1:5" ht="13">
      <c r="A6374" s="115"/>
      <c r="B6374" s="115"/>
      <c r="C6374" s="115"/>
      <c r="D6374" s="115"/>
      <c r="E6374" s="115"/>
    </row>
    <row r="6375" spans="1:5" ht="13">
      <c r="A6375" s="115"/>
      <c r="B6375" s="115"/>
      <c r="C6375" s="115"/>
      <c r="D6375" s="115"/>
      <c r="E6375" s="115"/>
    </row>
    <row r="6376" spans="1:5" ht="13">
      <c r="A6376" s="115"/>
      <c r="B6376" s="115"/>
      <c r="C6376" s="115"/>
      <c r="D6376" s="115"/>
      <c r="E6376" s="115"/>
    </row>
    <row r="6377" spans="1:5" ht="13">
      <c r="A6377" s="115"/>
      <c r="B6377" s="115"/>
      <c r="C6377" s="115"/>
      <c r="D6377" s="115"/>
      <c r="E6377" s="115"/>
    </row>
    <row r="6378" spans="1:5" ht="13">
      <c r="A6378" s="115"/>
      <c r="B6378" s="115"/>
      <c r="C6378" s="115"/>
      <c r="D6378" s="115"/>
      <c r="E6378" s="115"/>
    </row>
    <row r="6379" spans="1:5" ht="13">
      <c r="A6379" s="115"/>
      <c r="B6379" s="115"/>
      <c r="C6379" s="115"/>
      <c r="D6379" s="115"/>
      <c r="E6379" s="115"/>
    </row>
    <row r="6380" spans="1:5" ht="13">
      <c r="A6380" s="115"/>
      <c r="B6380" s="115"/>
      <c r="C6380" s="115"/>
      <c r="D6380" s="115"/>
      <c r="E6380" s="115"/>
    </row>
    <row r="6381" spans="1:5" ht="13">
      <c r="A6381" s="115"/>
      <c r="B6381" s="115"/>
      <c r="C6381" s="115"/>
      <c r="D6381" s="115"/>
      <c r="E6381" s="115"/>
    </row>
    <row r="6382" spans="1:5" ht="13">
      <c r="A6382" s="115"/>
      <c r="B6382" s="115"/>
      <c r="C6382" s="115"/>
      <c r="D6382" s="115"/>
      <c r="E6382" s="115"/>
    </row>
    <row r="6383" spans="1:5" ht="13">
      <c r="A6383" s="115"/>
      <c r="B6383" s="115"/>
      <c r="C6383" s="115"/>
      <c r="D6383" s="115"/>
      <c r="E6383" s="115"/>
    </row>
    <row r="6384" spans="1:5" ht="13">
      <c r="A6384" s="115"/>
      <c r="B6384" s="115"/>
      <c r="C6384" s="115"/>
      <c r="D6384" s="115"/>
      <c r="E6384" s="115"/>
    </row>
    <row r="6385" spans="1:5" ht="13">
      <c r="A6385" s="115"/>
      <c r="B6385" s="115"/>
      <c r="C6385" s="115"/>
      <c r="D6385" s="115"/>
      <c r="E6385" s="115"/>
    </row>
    <row r="6386" spans="1:5" ht="13">
      <c r="A6386" s="115"/>
      <c r="B6386" s="115"/>
      <c r="C6386" s="115"/>
      <c r="D6386" s="115"/>
      <c r="E6386" s="115"/>
    </row>
    <row r="6387" spans="1:5" ht="13">
      <c r="A6387" s="115"/>
      <c r="B6387" s="115"/>
      <c r="C6387" s="115"/>
      <c r="D6387" s="115"/>
      <c r="E6387" s="115"/>
    </row>
    <row r="6388" spans="1:5" ht="13">
      <c r="A6388" s="115"/>
      <c r="B6388" s="115"/>
      <c r="C6388" s="115"/>
      <c r="D6388" s="115"/>
      <c r="E6388" s="115"/>
    </row>
    <row r="6389" spans="1:5" ht="13">
      <c r="A6389" s="115"/>
      <c r="B6389" s="115"/>
      <c r="C6389" s="115"/>
      <c r="D6389" s="115"/>
      <c r="E6389" s="115"/>
    </row>
    <row r="6390" spans="1:5" ht="13">
      <c r="A6390" s="115"/>
      <c r="B6390" s="115"/>
      <c r="C6390" s="115"/>
      <c r="D6390" s="115"/>
      <c r="E6390" s="115"/>
    </row>
    <row r="6391" spans="1:5" ht="13">
      <c r="A6391" s="115"/>
      <c r="B6391" s="115"/>
      <c r="C6391" s="115"/>
      <c r="D6391" s="115"/>
      <c r="E6391" s="115"/>
    </row>
    <row r="6392" spans="1:5" ht="13">
      <c r="A6392" s="115"/>
      <c r="B6392" s="115"/>
      <c r="C6392" s="115"/>
      <c r="D6392" s="115"/>
      <c r="E6392" s="115"/>
    </row>
    <row r="6393" spans="1:5" ht="13">
      <c r="A6393" s="115"/>
      <c r="B6393" s="115"/>
      <c r="C6393" s="115"/>
      <c r="D6393" s="115"/>
      <c r="E6393" s="115"/>
    </row>
    <row r="6394" spans="1:5" ht="13">
      <c r="A6394" s="115"/>
      <c r="B6394" s="115"/>
      <c r="C6394" s="115"/>
      <c r="D6394" s="115"/>
      <c r="E6394" s="115"/>
    </row>
    <row r="6395" spans="1:5" ht="13">
      <c r="A6395" s="115"/>
      <c r="B6395" s="115"/>
      <c r="C6395" s="115"/>
      <c r="D6395" s="115"/>
      <c r="E6395" s="115"/>
    </row>
    <row r="6396" spans="1:5" ht="13">
      <c r="A6396" s="115"/>
      <c r="B6396" s="115"/>
      <c r="C6396" s="115"/>
      <c r="D6396" s="115"/>
      <c r="E6396" s="115"/>
    </row>
    <row r="6397" spans="1:5" ht="13">
      <c r="A6397" s="115"/>
      <c r="B6397" s="115"/>
      <c r="C6397" s="115"/>
      <c r="D6397" s="115"/>
      <c r="E6397" s="115"/>
    </row>
    <row r="6398" spans="1:5" ht="13">
      <c r="A6398" s="115"/>
      <c r="B6398" s="115"/>
      <c r="C6398" s="115"/>
      <c r="D6398" s="115"/>
      <c r="E6398" s="115"/>
    </row>
    <row r="6399" spans="1:5" ht="13">
      <c r="A6399" s="115"/>
      <c r="B6399" s="115"/>
      <c r="C6399" s="115"/>
      <c r="D6399" s="115"/>
      <c r="E6399" s="115"/>
    </row>
    <row r="6400" spans="1:5" ht="13">
      <c r="A6400" s="115"/>
      <c r="B6400" s="115"/>
      <c r="C6400" s="115"/>
      <c r="D6400" s="115"/>
      <c r="E6400" s="115"/>
    </row>
    <row r="6401" spans="1:5" ht="13">
      <c r="A6401" s="115"/>
      <c r="B6401" s="115"/>
      <c r="C6401" s="115"/>
      <c r="D6401" s="115"/>
      <c r="E6401" s="115"/>
    </row>
    <row r="6402" spans="1:5" ht="13">
      <c r="A6402" s="115"/>
      <c r="B6402" s="115"/>
      <c r="C6402" s="115"/>
      <c r="D6402" s="115"/>
      <c r="E6402" s="115"/>
    </row>
    <row r="6403" spans="1:5" ht="13">
      <c r="A6403" s="115"/>
      <c r="B6403" s="115"/>
      <c r="C6403" s="115"/>
      <c r="D6403" s="115"/>
      <c r="E6403" s="115"/>
    </row>
    <row r="6404" spans="1:5" ht="13">
      <c r="A6404" s="115"/>
      <c r="B6404" s="115"/>
      <c r="C6404" s="115"/>
      <c r="D6404" s="115"/>
      <c r="E6404" s="115"/>
    </row>
    <row r="6405" spans="1:5" ht="13">
      <c r="A6405" s="115"/>
      <c r="B6405" s="115"/>
      <c r="C6405" s="115"/>
      <c r="D6405" s="115"/>
      <c r="E6405" s="115"/>
    </row>
    <row r="6406" spans="1:5" ht="13">
      <c r="A6406" s="115"/>
      <c r="B6406" s="115"/>
      <c r="C6406" s="115"/>
      <c r="D6406" s="115"/>
      <c r="E6406" s="115"/>
    </row>
    <row r="6407" spans="1:5" ht="13">
      <c r="A6407" s="115"/>
      <c r="B6407" s="115"/>
      <c r="C6407" s="115"/>
      <c r="D6407" s="115"/>
      <c r="E6407" s="115"/>
    </row>
    <row r="6408" spans="1:5" ht="13">
      <c r="A6408" s="115"/>
      <c r="B6408" s="115"/>
      <c r="C6408" s="115"/>
      <c r="D6408" s="115"/>
      <c r="E6408" s="115"/>
    </row>
    <row r="6409" spans="1:5" ht="13">
      <c r="A6409" s="115"/>
      <c r="B6409" s="115"/>
      <c r="C6409" s="115"/>
      <c r="D6409" s="115"/>
      <c r="E6409" s="115"/>
    </row>
    <row r="6410" spans="1:5" ht="13">
      <c r="A6410" s="115"/>
      <c r="B6410" s="115"/>
      <c r="C6410" s="115"/>
      <c r="D6410" s="115"/>
      <c r="E6410" s="115"/>
    </row>
    <row r="6411" spans="1:5" ht="13">
      <c r="A6411" s="115"/>
      <c r="B6411" s="115"/>
      <c r="C6411" s="115"/>
      <c r="D6411" s="115"/>
      <c r="E6411" s="115"/>
    </row>
    <row r="6412" spans="1:5" ht="13">
      <c r="A6412" s="115"/>
      <c r="B6412" s="115"/>
      <c r="C6412" s="115"/>
      <c r="D6412" s="115"/>
      <c r="E6412" s="115"/>
    </row>
    <row r="6413" spans="1:5" ht="13">
      <c r="A6413" s="115"/>
      <c r="B6413" s="115"/>
      <c r="C6413" s="115"/>
      <c r="D6413" s="115"/>
      <c r="E6413" s="115"/>
    </row>
    <row r="6414" spans="1:5" ht="13">
      <c r="A6414" s="115"/>
      <c r="B6414" s="115"/>
      <c r="C6414" s="115"/>
      <c r="D6414" s="115"/>
      <c r="E6414" s="115"/>
    </row>
    <row r="6415" spans="1:5" ht="13">
      <c r="A6415" s="115"/>
      <c r="B6415" s="115"/>
      <c r="C6415" s="115"/>
      <c r="D6415" s="115"/>
      <c r="E6415" s="115"/>
    </row>
    <row r="6416" spans="1:5" ht="13">
      <c r="A6416" s="115"/>
      <c r="B6416" s="115"/>
      <c r="C6416" s="115"/>
      <c r="D6416" s="115"/>
      <c r="E6416" s="115"/>
    </row>
    <row r="6417" spans="1:5" ht="13">
      <c r="A6417" s="115"/>
      <c r="B6417" s="115"/>
      <c r="C6417" s="115"/>
      <c r="D6417" s="115"/>
      <c r="E6417" s="115"/>
    </row>
    <row r="6418" spans="1:5" ht="13">
      <c r="A6418" s="115"/>
      <c r="B6418" s="115"/>
      <c r="C6418" s="115"/>
      <c r="D6418" s="115"/>
      <c r="E6418" s="115"/>
    </row>
    <row r="6419" spans="1:5" ht="13">
      <c r="A6419" s="115"/>
      <c r="B6419" s="115"/>
      <c r="C6419" s="115"/>
      <c r="D6419" s="115"/>
      <c r="E6419" s="115"/>
    </row>
    <row r="6420" spans="1:5" ht="13">
      <c r="A6420" s="115"/>
      <c r="B6420" s="115"/>
      <c r="C6420" s="115"/>
      <c r="D6420" s="115"/>
      <c r="E6420" s="115"/>
    </row>
    <row r="6421" spans="1:5" ht="13">
      <c r="A6421" s="115"/>
      <c r="B6421" s="115"/>
      <c r="C6421" s="115"/>
      <c r="D6421" s="115"/>
      <c r="E6421" s="115"/>
    </row>
    <row r="6422" spans="1:5" ht="13">
      <c r="A6422" s="115"/>
      <c r="B6422" s="115"/>
      <c r="C6422" s="115"/>
      <c r="D6422" s="115"/>
      <c r="E6422" s="115"/>
    </row>
    <row r="6423" spans="1:5" ht="13">
      <c r="A6423" s="115"/>
      <c r="B6423" s="115"/>
      <c r="C6423" s="115"/>
      <c r="D6423" s="115"/>
      <c r="E6423" s="115"/>
    </row>
    <row r="6424" spans="1:5" ht="13">
      <c r="A6424" s="115"/>
      <c r="B6424" s="115"/>
      <c r="C6424" s="115"/>
      <c r="D6424" s="115"/>
      <c r="E6424" s="115"/>
    </row>
    <row r="6425" spans="1:5" ht="13">
      <c r="A6425" s="115"/>
      <c r="B6425" s="115"/>
      <c r="C6425" s="115"/>
      <c r="D6425" s="115"/>
      <c r="E6425" s="115"/>
    </row>
    <row r="6426" spans="1:5" ht="13">
      <c r="A6426" s="115"/>
      <c r="B6426" s="115"/>
      <c r="C6426" s="115"/>
      <c r="D6426" s="115"/>
      <c r="E6426" s="115"/>
    </row>
    <row r="6427" spans="1:5" ht="13">
      <c r="A6427" s="115"/>
      <c r="B6427" s="115"/>
      <c r="C6427" s="115"/>
      <c r="D6427" s="115"/>
      <c r="E6427" s="115"/>
    </row>
    <row r="6428" spans="1:5" ht="13">
      <c r="A6428" s="115"/>
      <c r="B6428" s="115"/>
      <c r="C6428" s="115"/>
      <c r="D6428" s="115"/>
      <c r="E6428" s="115"/>
    </row>
    <row r="6429" spans="1:5" ht="13">
      <c r="A6429" s="115"/>
      <c r="B6429" s="115"/>
      <c r="C6429" s="115"/>
      <c r="D6429" s="115"/>
      <c r="E6429" s="115"/>
    </row>
    <row r="6430" spans="1:5" ht="13">
      <c r="A6430" s="115"/>
      <c r="B6430" s="115"/>
      <c r="C6430" s="115"/>
      <c r="D6430" s="115"/>
      <c r="E6430" s="115"/>
    </row>
    <row r="6431" spans="1:5" ht="13">
      <c r="A6431" s="115"/>
      <c r="B6431" s="115"/>
      <c r="C6431" s="115"/>
      <c r="D6431" s="115"/>
      <c r="E6431" s="115"/>
    </row>
    <row r="6432" spans="1:5" ht="13">
      <c r="A6432" s="115"/>
      <c r="B6432" s="115"/>
      <c r="C6432" s="115"/>
      <c r="D6432" s="115"/>
      <c r="E6432" s="115"/>
    </row>
    <row r="6433" spans="1:5" ht="13">
      <c r="A6433" s="115"/>
      <c r="B6433" s="115"/>
      <c r="C6433" s="115"/>
      <c r="D6433" s="115"/>
      <c r="E6433" s="115"/>
    </row>
    <row r="6434" spans="1:5" ht="13">
      <c r="A6434" s="115"/>
      <c r="B6434" s="115"/>
      <c r="C6434" s="115"/>
      <c r="D6434" s="115"/>
      <c r="E6434" s="115"/>
    </row>
    <row r="6435" spans="1:5" ht="13">
      <c r="A6435" s="115"/>
      <c r="B6435" s="115"/>
      <c r="C6435" s="115"/>
      <c r="D6435" s="115"/>
      <c r="E6435" s="115"/>
    </row>
    <row r="6436" spans="1:5" ht="13">
      <c r="A6436" s="115"/>
      <c r="B6436" s="115"/>
      <c r="C6436" s="115"/>
      <c r="D6436" s="115"/>
      <c r="E6436" s="115"/>
    </row>
    <row r="6437" spans="1:5" ht="13">
      <c r="A6437" s="115"/>
      <c r="B6437" s="115"/>
      <c r="C6437" s="115"/>
      <c r="D6437" s="115"/>
      <c r="E6437" s="115"/>
    </row>
    <row r="6438" spans="1:5" ht="13">
      <c r="A6438" s="115"/>
      <c r="B6438" s="115"/>
      <c r="C6438" s="115"/>
      <c r="D6438" s="115"/>
      <c r="E6438" s="115"/>
    </row>
    <row r="6439" spans="1:5" ht="13">
      <c r="A6439" s="115"/>
      <c r="B6439" s="115"/>
      <c r="C6439" s="115"/>
      <c r="D6439" s="115"/>
      <c r="E6439" s="115"/>
    </row>
    <row r="6440" spans="1:5" ht="13">
      <c r="A6440" s="115"/>
      <c r="B6440" s="115"/>
      <c r="C6440" s="115"/>
      <c r="D6440" s="115"/>
      <c r="E6440" s="115"/>
    </row>
    <row r="6441" spans="1:5" ht="13">
      <c r="A6441" s="115"/>
      <c r="B6441" s="115"/>
      <c r="C6441" s="115"/>
      <c r="D6441" s="115"/>
      <c r="E6441" s="115"/>
    </row>
    <row r="6442" spans="1:5" ht="13">
      <c r="A6442" s="115"/>
      <c r="B6442" s="115"/>
      <c r="C6442" s="115"/>
      <c r="D6442" s="115"/>
      <c r="E6442" s="115"/>
    </row>
    <row r="6443" spans="1:5" ht="13">
      <c r="A6443" s="115"/>
      <c r="B6443" s="115"/>
      <c r="C6443" s="115"/>
      <c r="D6443" s="115"/>
      <c r="E6443" s="115"/>
    </row>
    <row r="6444" spans="1:5" ht="13">
      <c r="A6444" s="115"/>
      <c r="B6444" s="115"/>
      <c r="C6444" s="115"/>
      <c r="D6444" s="115"/>
      <c r="E6444" s="115"/>
    </row>
    <row r="6445" spans="1:5" ht="13">
      <c r="A6445" s="115"/>
      <c r="B6445" s="115"/>
      <c r="C6445" s="115"/>
      <c r="D6445" s="115"/>
      <c r="E6445" s="115"/>
    </row>
    <row r="6446" spans="1:5" ht="13">
      <c r="A6446" s="115"/>
      <c r="B6446" s="115"/>
      <c r="C6446" s="115"/>
      <c r="D6446" s="115"/>
      <c r="E6446" s="115"/>
    </row>
    <row r="6447" spans="1:5" ht="13">
      <c r="A6447" s="115"/>
      <c r="B6447" s="115"/>
      <c r="C6447" s="115"/>
      <c r="D6447" s="115"/>
      <c r="E6447" s="115"/>
    </row>
    <row r="6448" spans="1:5" ht="13">
      <c r="A6448" s="115"/>
      <c r="B6448" s="115"/>
      <c r="C6448" s="115"/>
      <c r="D6448" s="115"/>
      <c r="E6448" s="115"/>
    </row>
    <row r="6449" spans="1:5" ht="13">
      <c r="A6449" s="115"/>
      <c r="B6449" s="115"/>
      <c r="C6449" s="115"/>
      <c r="D6449" s="115"/>
      <c r="E6449" s="115"/>
    </row>
    <row r="6450" spans="1:5" ht="13">
      <c r="A6450" s="115"/>
      <c r="B6450" s="115"/>
      <c r="C6450" s="115"/>
      <c r="D6450" s="115"/>
      <c r="E6450" s="115"/>
    </row>
    <row r="6451" spans="1:5" ht="13">
      <c r="A6451" s="115"/>
      <c r="B6451" s="115"/>
      <c r="C6451" s="115"/>
      <c r="D6451" s="115"/>
      <c r="E6451" s="115"/>
    </row>
    <row r="6452" spans="1:5" ht="13">
      <c r="A6452" s="115"/>
      <c r="B6452" s="115"/>
      <c r="C6452" s="115"/>
      <c r="D6452" s="115"/>
      <c r="E6452" s="115"/>
    </row>
    <row r="6453" spans="1:5" ht="13">
      <c r="A6453" s="115"/>
      <c r="B6453" s="115"/>
      <c r="C6453" s="115"/>
      <c r="D6453" s="115"/>
      <c r="E6453" s="115"/>
    </row>
    <row r="6454" spans="1:5" ht="13">
      <c r="A6454" s="115"/>
      <c r="B6454" s="115"/>
      <c r="C6454" s="115"/>
      <c r="D6454" s="115"/>
      <c r="E6454" s="115"/>
    </row>
    <row r="6455" spans="1:5" ht="13">
      <c r="A6455" s="115"/>
      <c r="B6455" s="115"/>
      <c r="C6455" s="115"/>
      <c r="D6455" s="115"/>
      <c r="E6455" s="115"/>
    </row>
    <row r="6456" spans="1:5" ht="13">
      <c r="A6456" s="115"/>
      <c r="B6456" s="115"/>
      <c r="C6456" s="115"/>
      <c r="D6456" s="115"/>
      <c r="E6456" s="115"/>
    </row>
    <row r="6457" spans="1:5" ht="13">
      <c r="A6457" s="115"/>
      <c r="B6457" s="115"/>
      <c r="C6457" s="115"/>
      <c r="D6457" s="115"/>
      <c r="E6457" s="115"/>
    </row>
    <row r="6458" spans="1:5" ht="13">
      <c r="A6458" s="115"/>
      <c r="B6458" s="115"/>
      <c r="C6458" s="115"/>
      <c r="D6458" s="115"/>
      <c r="E6458" s="115"/>
    </row>
    <row r="6459" spans="1:5" ht="13">
      <c r="A6459" s="115"/>
      <c r="B6459" s="115"/>
      <c r="C6459" s="115"/>
      <c r="D6459" s="115"/>
      <c r="E6459" s="115"/>
    </row>
    <row r="6460" spans="1:5" ht="13">
      <c r="A6460" s="115"/>
      <c r="B6460" s="115"/>
      <c r="C6460" s="115"/>
      <c r="D6460" s="115"/>
      <c r="E6460" s="115"/>
    </row>
    <row r="6461" spans="1:5" ht="13">
      <c r="A6461" s="115"/>
      <c r="B6461" s="115"/>
      <c r="C6461" s="115"/>
      <c r="D6461" s="115"/>
      <c r="E6461" s="115"/>
    </row>
    <row r="6462" spans="1:5" ht="13">
      <c r="A6462" s="115"/>
      <c r="B6462" s="115"/>
      <c r="C6462" s="115"/>
      <c r="D6462" s="115"/>
      <c r="E6462" s="115"/>
    </row>
    <row r="6463" spans="1:5" ht="13">
      <c r="A6463" s="115"/>
      <c r="B6463" s="115"/>
      <c r="C6463" s="115"/>
      <c r="D6463" s="115"/>
      <c r="E6463" s="115"/>
    </row>
    <row r="6464" spans="1:5" ht="13">
      <c r="A6464" s="115"/>
      <c r="B6464" s="115"/>
      <c r="C6464" s="115"/>
      <c r="D6464" s="115"/>
      <c r="E6464" s="115"/>
    </row>
    <row r="6465" spans="1:5" ht="13">
      <c r="A6465" s="115"/>
      <c r="B6465" s="115"/>
      <c r="C6465" s="115"/>
      <c r="D6465" s="115"/>
      <c r="E6465" s="115"/>
    </row>
    <row r="6466" spans="1:5" ht="13">
      <c r="A6466" s="115"/>
      <c r="B6466" s="115"/>
      <c r="C6466" s="115"/>
      <c r="D6466" s="115"/>
      <c r="E6466" s="115"/>
    </row>
    <row r="6467" spans="1:5" ht="13">
      <c r="A6467" s="115"/>
      <c r="B6467" s="115"/>
      <c r="C6467" s="115"/>
      <c r="D6467" s="115"/>
      <c r="E6467" s="115"/>
    </row>
    <row r="6468" spans="1:5" ht="13">
      <c r="A6468" s="115"/>
      <c r="B6468" s="115"/>
      <c r="C6468" s="115"/>
      <c r="D6468" s="115"/>
      <c r="E6468" s="115"/>
    </row>
    <row r="6469" spans="1:5" ht="13">
      <c r="A6469" s="115"/>
      <c r="B6469" s="115"/>
      <c r="C6469" s="115"/>
      <c r="D6469" s="115"/>
      <c r="E6469" s="115"/>
    </row>
    <row r="6470" spans="1:5" ht="13">
      <c r="A6470" s="115"/>
      <c r="B6470" s="115"/>
      <c r="C6470" s="115"/>
      <c r="D6470" s="115"/>
      <c r="E6470" s="115"/>
    </row>
    <row r="6471" spans="1:5" ht="13">
      <c r="A6471" s="115"/>
      <c r="B6471" s="115"/>
      <c r="C6471" s="115"/>
      <c r="D6471" s="115"/>
      <c r="E6471" s="115"/>
    </row>
    <row r="6472" spans="1:5" ht="13">
      <c r="A6472" s="115"/>
      <c r="B6472" s="115"/>
      <c r="C6472" s="115"/>
      <c r="D6472" s="115"/>
      <c r="E6472" s="115"/>
    </row>
    <row r="6473" spans="1:5" ht="13">
      <c r="A6473" s="115"/>
      <c r="B6473" s="115"/>
      <c r="C6473" s="115"/>
      <c r="D6473" s="115"/>
      <c r="E6473" s="115"/>
    </row>
    <row r="6474" spans="1:5" ht="13">
      <c r="A6474" s="115"/>
      <c r="B6474" s="115"/>
      <c r="C6474" s="115"/>
      <c r="D6474" s="115"/>
      <c r="E6474" s="115"/>
    </row>
    <row r="6475" spans="1:5" ht="13">
      <c r="A6475" s="115"/>
      <c r="B6475" s="115"/>
      <c r="C6475" s="115"/>
      <c r="D6475" s="115"/>
      <c r="E6475" s="115"/>
    </row>
    <row r="6476" spans="1:5" ht="13">
      <c r="A6476" s="115"/>
      <c r="B6476" s="115"/>
      <c r="C6476" s="115"/>
      <c r="D6476" s="115"/>
      <c r="E6476" s="115"/>
    </row>
    <row r="6477" spans="1:5" ht="13">
      <c r="A6477" s="115"/>
      <c r="B6477" s="115"/>
      <c r="C6477" s="115"/>
      <c r="D6477" s="115"/>
      <c r="E6477" s="115"/>
    </row>
    <row r="6478" spans="1:5" ht="13">
      <c r="A6478" s="115"/>
      <c r="B6478" s="115"/>
      <c r="C6478" s="115"/>
      <c r="D6478" s="115"/>
      <c r="E6478" s="115"/>
    </row>
    <row r="6479" spans="1:5" ht="13">
      <c r="A6479" s="115"/>
      <c r="B6479" s="115"/>
      <c r="C6479" s="115"/>
      <c r="D6479" s="115"/>
      <c r="E6479" s="115"/>
    </row>
    <row r="6480" spans="1:5" ht="13">
      <c r="A6480" s="115"/>
      <c r="B6480" s="115"/>
      <c r="C6480" s="115"/>
      <c r="D6480" s="115"/>
      <c r="E6480" s="115"/>
    </row>
    <row r="6481" spans="1:5" ht="13">
      <c r="A6481" s="115"/>
      <c r="B6481" s="115"/>
      <c r="C6481" s="115"/>
      <c r="D6481" s="115"/>
      <c r="E6481" s="115"/>
    </row>
    <row r="6482" spans="1:5" ht="13">
      <c r="A6482" s="115"/>
      <c r="B6482" s="115"/>
      <c r="C6482" s="115"/>
      <c r="D6482" s="115"/>
      <c r="E6482" s="115"/>
    </row>
    <row r="6483" spans="1:5" ht="13">
      <c r="A6483" s="115"/>
      <c r="B6483" s="115"/>
      <c r="C6483" s="115"/>
      <c r="D6483" s="115"/>
      <c r="E6483" s="115"/>
    </row>
    <row r="6484" spans="1:5" ht="13">
      <c r="A6484" s="115"/>
      <c r="B6484" s="115"/>
      <c r="C6484" s="115"/>
      <c r="D6484" s="115"/>
      <c r="E6484" s="115"/>
    </row>
    <row r="6485" spans="1:5" ht="13">
      <c r="A6485" s="115"/>
      <c r="B6485" s="115"/>
      <c r="C6485" s="115"/>
      <c r="D6485" s="115"/>
      <c r="E6485" s="115"/>
    </row>
    <row r="6486" spans="1:5" ht="13">
      <c r="A6486" s="115"/>
      <c r="B6486" s="115"/>
      <c r="C6486" s="115"/>
      <c r="D6486" s="115"/>
      <c r="E6486" s="115"/>
    </row>
    <row r="6487" spans="1:5" ht="13">
      <c r="A6487" s="115"/>
      <c r="B6487" s="115"/>
      <c r="C6487" s="115"/>
      <c r="D6487" s="115"/>
      <c r="E6487" s="115"/>
    </row>
    <row r="6488" spans="1:5" ht="13">
      <c r="A6488" s="115"/>
      <c r="B6488" s="115"/>
      <c r="C6488" s="115"/>
      <c r="D6488" s="115"/>
      <c r="E6488" s="115"/>
    </row>
    <row r="6489" spans="1:5" ht="13">
      <c r="A6489" s="115"/>
      <c r="B6489" s="115"/>
      <c r="C6489" s="115"/>
      <c r="D6489" s="115"/>
      <c r="E6489" s="115"/>
    </row>
    <row r="6490" spans="1:5" ht="13">
      <c r="A6490" s="115"/>
      <c r="B6490" s="115"/>
      <c r="C6490" s="115"/>
      <c r="D6490" s="115"/>
      <c r="E6490" s="115"/>
    </row>
    <row r="6491" spans="1:5" ht="13">
      <c r="A6491" s="115"/>
      <c r="B6491" s="115"/>
      <c r="C6491" s="115"/>
      <c r="D6491" s="115"/>
      <c r="E6491" s="115"/>
    </row>
    <row r="6492" spans="1:5" ht="13">
      <c r="A6492" s="115"/>
      <c r="B6492" s="115"/>
      <c r="C6492" s="115"/>
      <c r="D6492" s="115"/>
      <c r="E6492" s="115"/>
    </row>
    <row r="6493" spans="1:5" ht="13">
      <c r="A6493" s="115"/>
      <c r="B6493" s="115"/>
      <c r="C6493" s="115"/>
      <c r="D6493" s="115"/>
      <c r="E6493" s="115"/>
    </row>
    <row r="6494" spans="1:5" ht="13">
      <c r="A6494" s="115"/>
      <c r="B6494" s="115"/>
      <c r="C6494" s="115"/>
      <c r="D6494" s="115"/>
      <c r="E6494" s="115"/>
    </row>
    <row r="6495" spans="1:5" ht="13">
      <c r="A6495" s="115"/>
      <c r="B6495" s="115"/>
      <c r="C6495" s="115"/>
      <c r="D6495" s="115"/>
      <c r="E6495" s="115"/>
    </row>
    <row r="6496" spans="1:5" ht="13">
      <c r="A6496" s="115"/>
      <c r="B6496" s="115"/>
      <c r="C6496" s="115"/>
      <c r="D6496" s="115"/>
      <c r="E6496" s="115"/>
    </row>
    <row r="6497" spans="1:5" ht="13">
      <c r="A6497" s="115"/>
      <c r="B6497" s="115"/>
      <c r="C6497" s="115"/>
      <c r="D6497" s="115"/>
      <c r="E6497" s="115"/>
    </row>
    <row r="6498" spans="1:5" ht="13">
      <c r="A6498" s="115"/>
      <c r="B6498" s="115"/>
      <c r="C6498" s="115"/>
      <c r="D6498" s="115"/>
      <c r="E6498" s="115"/>
    </row>
    <row r="6499" spans="1:5" ht="13">
      <c r="A6499" s="115"/>
      <c r="B6499" s="115"/>
      <c r="C6499" s="115"/>
      <c r="D6499" s="115"/>
      <c r="E6499" s="115"/>
    </row>
    <row r="6500" spans="1:5" ht="13">
      <c r="A6500" s="115"/>
      <c r="B6500" s="115"/>
      <c r="C6500" s="115"/>
      <c r="D6500" s="115"/>
      <c r="E6500" s="115"/>
    </row>
    <row r="6501" spans="1:5" ht="13">
      <c r="A6501" s="115"/>
      <c r="B6501" s="115"/>
      <c r="C6501" s="115"/>
      <c r="D6501" s="115"/>
      <c r="E6501" s="115"/>
    </row>
    <row r="6502" spans="1:5" ht="13">
      <c r="A6502" s="115"/>
      <c r="B6502" s="115"/>
      <c r="C6502" s="115"/>
      <c r="D6502" s="115"/>
      <c r="E6502" s="115"/>
    </row>
    <row r="6503" spans="1:5" ht="13">
      <c r="A6503" s="115"/>
      <c r="B6503" s="115"/>
      <c r="C6503" s="115"/>
      <c r="D6503" s="115"/>
      <c r="E6503" s="115"/>
    </row>
    <row r="6504" spans="1:5" ht="13">
      <c r="A6504" s="115"/>
      <c r="B6504" s="115"/>
      <c r="C6504" s="115"/>
      <c r="D6504" s="115"/>
      <c r="E6504" s="115"/>
    </row>
    <row r="6505" spans="1:5" ht="13">
      <c r="A6505" s="115"/>
      <c r="B6505" s="115"/>
      <c r="C6505" s="115"/>
      <c r="D6505" s="115"/>
      <c r="E6505" s="115"/>
    </row>
    <row r="6506" spans="1:5" ht="13">
      <c r="A6506" s="115"/>
      <c r="B6506" s="115"/>
      <c r="C6506" s="115"/>
      <c r="D6506" s="115"/>
      <c r="E6506" s="115"/>
    </row>
    <row r="6507" spans="1:5" ht="13">
      <c r="A6507" s="115"/>
      <c r="B6507" s="115"/>
      <c r="C6507" s="115"/>
      <c r="D6507" s="115"/>
      <c r="E6507" s="115"/>
    </row>
    <row r="6508" spans="1:5" ht="13">
      <c r="A6508" s="115"/>
      <c r="B6508" s="115"/>
      <c r="C6508" s="115"/>
      <c r="D6508" s="115"/>
      <c r="E6508" s="115"/>
    </row>
    <row r="6509" spans="1:5" ht="13">
      <c r="A6509" s="115"/>
      <c r="B6509" s="115"/>
      <c r="C6509" s="115"/>
      <c r="D6509" s="115"/>
      <c r="E6509" s="115"/>
    </row>
    <row r="6510" spans="1:5" ht="13">
      <c r="A6510" s="115"/>
      <c r="B6510" s="115"/>
      <c r="C6510" s="115"/>
      <c r="D6510" s="115"/>
      <c r="E6510" s="115"/>
    </row>
    <row r="6511" spans="1:5" ht="13">
      <c r="A6511" s="115"/>
      <c r="B6511" s="115"/>
      <c r="C6511" s="115"/>
      <c r="D6511" s="115"/>
      <c r="E6511" s="115"/>
    </row>
    <row r="6512" spans="1:5" ht="13">
      <c r="A6512" s="115"/>
      <c r="B6512" s="115"/>
      <c r="C6512" s="115"/>
      <c r="D6512" s="115"/>
      <c r="E6512" s="115"/>
    </row>
    <row r="6513" spans="1:5" ht="13">
      <c r="A6513" s="115"/>
      <c r="B6513" s="115"/>
      <c r="C6513" s="115"/>
      <c r="D6513" s="115"/>
      <c r="E6513" s="115"/>
    </row>
    <row r="6514" spans="1:5" ht="13">
      <c r="A6514" s="115"/>
      <c r="B6514" s="115"/>
      <c r="C6514" s="115"/>
      <c r="D6514" s="115"/>
      <c r="E6514" s="115"/>
    </row>
    <row r="6515" spans="1:5" ht="13">
      <c r="A6515" s="115"/>
      <c r="B6515" s="115"/>
      <c r="C6515" s="115"/>
      <c r="D6515" s="115"/>
      <c r="E6515" s="115"/>
    </row>
    <row r="6516" spans="1:5" ht="13">
      <c r="A6516" s="115"/>
      <c r="B6516" s="115"/>
      <c r="C6516" s="115"/>
      <c r="D6516" s="115"/>
      <c r="E6516" s="115"/>
    </row>
    <row r="6517" spans="1:5" ht="13">
      <c r="A6517" s="115"/>
      <c r="B6517" s="115"/>
      <c r="C6517" s="115"/>
      <c r="D6517" s="115"/>
      <c r="E6517" s="115"/>
    </row>
    <row r="6518" spans="1:5" ht="13">
      <c r="A6518" s="115"/>
      <c r="B6518" s="115"/>
      <c r="C6518" s="115"/>
      <c r="D6518" s="115"/>
      <c r="E6518" s="115"/>
    </row>
    <row r="6519" spans="1:5" ht="13">
      <c r="A6519" s="115"/>
      <c r="B6519" s="115"/>
      <c r="C6519" s="115"/>
      <c r="D6519" s="115"/>
      <c r="E6519" s="115"/>
    </row>
    <row r="6520" spans="1:5" ht="13">
      <c r="A6520" s="115"/>
      <c r="B6520" s="115"/>
      <c r="C6520" s="115"/>
      <c r="D6520" s="115"/>
      <c r="E6520" s="115"/>
    </row>
    <row r="6521" spans="1:5" ht="13">
      <c r="A6521" s="115"/>
      <c r="B6521" s="115"/>
      <c r="C6521" s="115"/>
      <c r="D6521" s="115"/>
      <c r="E6521" s="115"/>
    </row>
    <row r="6522" spans="1:5" ht="13">
      <c r="A6522" s="115"/>
      <c r="B6522" s="115"/>
      <c r="C6522" s="115"/>
      <c r="D6522" s="115"/>
      <c r="E6522" s="115"/>
    </row>
    <row r="6523" spans="1:5" ht="13">
      <c r="A6523" s="115"/>
      <c r="B6523" s="115"/>
      <c r="C6523" s="115"/>
      <c r="D6523" s="115"/>
      <c r="E6523" s="115"/>
    </row>
    <row r="6524" spans="1:5" ht="13">
      <c r="A6524" s="115"/>
      <c r="B6524" s="115"/>
      <c r="C6524" s="115"/>
      <c r="D6524" s="115"/>
      <c r="E6524" s="115"/>
    </row>
    <row r="6525" spans="1:5" ht="13">
      <c r="A6525" s="115"/>
      <c r="B6525" s="115"/>
      <c r="C6525" s="115"/>
      <c r="D6525" s="115"/>
      <c r="E6525" s="115"/>
    </row>
    <row r="6526" spans="1:5" ht="13">
      <c r="A6526" s="115"/>
      <c r="B6526" s="115"/>
      <c r="C6526" s="115"/>
      <c r="D6526" s="115"/>
      <c r="E6526" s="115"/>
    </row>
    <row r="6527" spans="1:5" ht="13">
      <c r="A6527" s="115"/>
      <c r="B6527" s="115"/>
      <c r="C6527" s="115"/>
      <c r="D6527" s="115"/>
      <c r="E6527" s="115"/>
    </row>
    <row r="6528" spans="1:5" ht="13">
      <c r="A6528" s="115"/>
      <c r="B6528" s="115"/>
      <c r="C6528" s="115"/>
      <c r="D6528" s="115"/>
      <c r="E6528" s="115"/>
    </row>
    <row r="6529" spans="1:5" ht="13">
      <c r="A6529" s="115"/>
      <c r="B6529" s="115"/>
      <c r="C6529" s="115"/>
      <c r="D6529" s="115"/>
      <c r="E6529" s="115"/>
    </row>
    <row r="6530" spans="1:5" ht="13">
      <c r="A6530" s="115"/>
      <c r="B6530" s="115"/>
      <c r="C6530" s="115"/>
      <c r="D6530" s="115"/>
      <c r="E6530" s="115"/>
    </row>
    <row r="6531" spans="1:5" ht="13">
      <c r="A6531" s="115"/>
      <c r="B6531" s="115"/>
      <c r="C6531" s="115"/>
      <c r="D6531" s="115"/>
      <c r="E6531" s="115"/>
    </row>
    <row r="6532" spans="1:5" ht="13">
      <c r="A6532" s="115"/>
      <c r="B6532" s="115"/>
      <c r="C6532" s="115"/>
      <c r="D6532" s="115"/>
      <c r="E6532" s="115"/>
    </row>
    <row r="6533" spans="1:5" ht="13">
      <c r="A6533" s="115"/>
      <c r="B6533" s="115"/>
      <c r="C6533" s="115"/>
      <c r="D6533" s="115"/>
      <c r="E6533" s="115"/>
    </row>
    <row r="6534" spans="1:5" ht="13">
      <c r="A6534" s="115"/>
      <c r="B6534" s="115"/>
      <c r="C6534" s="115"/>
      <c r="D6534" s="115"/>
      <c r="E6534" s="115"/>
    </row>
    <row r="6535" spans="1:5" ht="13">
      <c r="A6535" s="115"/>
      <c r="B6535" s="115"/>
      <c r="C6535" s="115"/>
      <c r="D6535" s="115"/>
      <c r="E6535" s="115"/>
    </row>
    <row r="6536" spans="1:5" ht="13">
      <c r="A6536" s="115"/>
      <c r="B6536" s="115"/>
      <c r="C6536" s="115"/>
      <c r="D6536" s="115"/>
      <c r="E6536" s="115"/>
    </row>
    <row r="6537" spans="1:5" ht="13">
      <c r="A6537" s="115"/>
      <c r="B6537" s="115"/>
      <c r="C6537" s="115"/>
      <c r="D6537" s="115"/>
      <c r="E6537" s="115"/>
    </row>
    <row r="6538" spans="1:5" ht="13">
      <c r="A6538" s="115"/>
      <c r="B6538" s="115"/>
      <c r="C6538" s="115"/>
      <c r="D6538" s="115"/>
      <c r="E6538" s="115"/>
    </row>
    <row r="6539" spans="1:5" ht="13">
      <c r="A6539" s="115"/>
      <c r="B6539" s="115"/>
      <c r="C6539" s="115"/>
      <c r="D6539" s="115"/>
      <c r="E6539" s="115"/>
    </row>
    <row r="6540" spans="1:5" ht="13">
      <c r="A6540" s="115"/>
      <c r="B6540" s="115"/>
      <c r="C6540" s="115"/>
      <c r="D6540" s="115"/>
      <c r="E6540" s="115"/>
    </row>
    <row r="6541" spans="1:5" ht="13">
      <c r="A6541" s="115"/>
      <c r="B6541" s="115"/>
      <c r="C6541" s="115"/>
      <c r="D6541" s="115"/>
      <c r="E6541" s="115"/>
    </row>
    <row r="6542" spans="1:5" ht="13">
      <c r="A6542" s="115"/>
      <c r="B6542" s="115"/>
      <c r="C6542" s="115"/>
      <c r="D6542" s="115"/>
      <c r="E6542" s="115"/>
    </row>
    <row r="6543" spans="1:5" ht="13">
      <c r="A6543" s="115"/>
      <c r="B6543" s="115"/>
      <c r="C6543" s="115"/>
      <c r="D6543" s="115"/>
      <c r="E6543" s="115"/>
    </row>
    <row r="6544" spans="1:5" ht="13">
      <c r="A6544" s="115"/>
      <c r="B6544" s="115"/>
      <c r="C6544" s="115"/>
      <c r="D6544" s="115"/>
      <c r="E6544" s="115"/>
    </row>
    <row r="6545" spans="1:5" ht="13">
      <c r="A6545" s="115"/>
      <c r="B6545" s="115"/>
      <c r="C6545" s="115"/>
      <c r="D6545" s="115"/>
      <c r="E6545" s="115"/>
    </row>
    <row r="6546" spans="1:5" ht="13">
      <c r="A6546" s="115"/>
      <c r="B6546" s="115"/>
      <c r="C6546" s="115"/>
      <c r="D6546" s="115"/>
      <c r="E6546" s="115"/>
    </row>
    <row r="6547" spans="1:5" ht="13">
      <c r="A6547" s="115"/>
      <c r="B6547" s="115"/>
      <c r="C6547" s="115"/>
      <c r="D6547" s="115"/>
      <c r="E6547" s="115"/>
    </row>
    <row r="6548" spans="1:5" ht="13">
      <c r="A6548" s="115"/>
      <c r="B6548" s="115"/>
      <c r="C6548" s="115"/>
      <c r="D6548" s="115"/>
      <c r="E6548" s="115"/>
    </row>
    <row r="6549" spans="1:5" ht="13">
      <c r="A6549" s="115"/>
      <c r="B6549" s="115"/>
      <c r="C6549" s="115"/>
      <c r="D6549" s="115"/>
      <c r="E6549" s="115"/>
    </row>
    <row r="6550" spans="1:5" ht="13">
      <c r="A6550" s="115"/>
      <c r="B6550" s="115"/>
      <c r="C6550" s="115"/>
      <c r="D6550" s="115"/>
      <c r="E6550" s="115"/>
    </row>
    <row r="6551" spans="1:5" ht="13">
      <c r="A6551" s="115"/>
      <c r="B6551" s="115"/>
      <c r="C6551" s="115"/>
      <c r="D6551" s="115"/>
      <c r="E6551" s="115"/>
    </row>
    <row r="6552" spans="1:5" ht="13">
      <c r="A6552" s="115"/>
      <c r="B6552" s="115"/>
      <c r="C6552" s="115"/>
      <c r="D6552" s="115"/>
      <c r="E6552" s="115"/>
    </row>
    <row r="6553" spans="1:5" ht="13">
      <c r="A6553" s="115"/>
      <c r="B6553" s="115"/>
      <c r="C6553" s="115"/>
      <c r="D6553" s="115"/>
      <c r="E6553" s="115"/>
    </row>
    <row r="6554" spans="1:5" ht="13">
      <c r="A6554" s="115"/>
      <c r="B6554" s="115"/>
      <c r="C6554" s="115"/>
      <c r="D6554" s="115"/>
      <c r="E6554" s="115"/>
    </row>
    <row r="6555" spans="1:5" ht="13">
      <c r="A6555" s="115"/>
      <c r="B6555" s="115"/>
      <c r="C6555" s="115"/>
      <c r="D6555" s="115"/>
      <c r="E6555" s="115"/>
    </row>
    <row r="6556" spans="1:5" ht="13">
      <c r="A6556" s="115"/>
      <c r="B6556" s="115"/>
      <c r="C6556" s="115"/>
      <c r="D6556" s="115"/>
      <c r="E6556" s="115"/>
    </row>
    <row r="6557" spans="1:5" ht="13">
      <c r="A6557" s="115"/>
      <c r="B6557" s="115"/>
      <c r="C6557" s="115"/>
      <c r="D6557" s="115"/>
      <c r="E6557" s="115"/>
    </row>
    <row r="6558" spans="1:5" ht="13">
      <c r="A6558" s="115"/>
      <c r="B6558" s="115"/>
      <c r="C6558" s="115"/>
      <c r="D6558" s="115"/>
      <c r="E6558" s="115"/>
    </row>
    <row r="6559" spans="1:5" ht="13">
      <c r="A6559" s="115"/>
      <c r="B6559" s="115"/>
      <c r="C6559" s="115"/>
      <c r="D6559" s="115"/>
      <c r="E6559" s="115"/>
    </row>
    <row r="6560" spans="1:5" ht="13">
      <c r="A6560" s="115"/>
      <c r="B6560" s="115"/>
      <c r="C6560" s="115"/>
      <c r="D6560" s="115"/>
      <c r="E6560" s="115"/>
    </row>
    <row r="6561" spans="1:5" ht="13">
      <c r="A6561" s="115"/>
      <c r="B6561" s="115"/>
      <c r="C6561" s="115"/>
      <c r="D6561" s="115"/>
      <c r="E6561" s="115"/>
    </row>
    <row r="6562" spans="1:5" ht="13">
      <c r="A6562" s="115"/>
      <c r="B6562" s="115"/>
      <c r="C6562" s="115"/>
      <c r="D6562" s="115"/>
      <c r="E6562" s="115"/>
    </row>
    <row r="6563" spans="1:5" ht="13">
      <c r="A6563" s="115"/>
      <c r="B6563" s="115"/>
      <c r="C6563" s="115"/>
      <c r="D6563" s="115"/>
      <c r="E6563" s="115"/>
    </row>
    <row r="6564" spans="1:5" ht="13">
      <c r="A6564" s="115"/>
      <c r="B6564" s="115"/>
      <c r="C6564" s="115"/>
      <c r="D6564" s="115"/>
      <c r="E6564" s="115"/>
    </row>
    <row r="6565" spans="1:5" ht="13">
      <c r="A6565" s="115"/>
      <c r="B6565" s="115"/>
      <c r="C6565" s="115"/>
      <c r="D6565" s="115"/>
      <c r="E6565" s="115"/>
    </row>
    <row r="6566" spans="1:5" ht="13">
      <c r="A6566" s="115"/>
      <c r="B6566" s="115"/>
      <c r="C6566" s="115"/>
      <c r="D6566" s="115"/>
      <c r="E6566" s="115"/>
    </row>
    <row r="6567" spans="1:5" ht="13">
      <c r="A6567" s="115"/>
      <c r="B6567" s="115"/>
      <c r="C6567" s="115"/>
      <c r="D6567" s="115"/>
      <c r="E6567" s="115"/>
    </row>
    <row r="6568" spans="1:5" ht="13">
      <c r="A6568" s="115"/>
      <c r="B6568" s="115"/>
      <c r="C6568" s="115"/>
      <c r="D6568" s="115"/>
      <c r="E6568" s="115"/>
    </row>
    <row r="6569" spans="1:5" ht="13">
      <c r="A6569" s="115"/>
      <c r="B6569" s="115"/>
      <c r="C6569" s="115"/>
      <c r="D6569" s="115"/>
      <c r="E6569" s="115"/>
    </row>
    <row r="6570" spans="1:5" ht="13">
      <c r="A6570" s="115"/>
      <c r="B6570" s="115"/>
      <c r="C6570" s="115"/>
      <c r="D6570" s="115"/>
      <c r="E6570" s="115"/>
    </row>
    <row r="6571" spans="1:5" ht="13">
      <c r="A6571" s="115"/>
      <c r="B6571" s="115"/>
      <c r="C6571" s="115"/>
      <c r="D6571" s="115"/>
      <c r="E6571" s="115"/>
    </row>
    <row r="6572" spans="1:5" ht="13">
      <c r="A6572" s="115"/>
      <c r="B6572" s="115"/>
      <c r="C6572" s="115"/>
      <c r="D6572" s="115"/>
      <c r="E6572" s="115"/>
    </row>
    <row r="6573" spans="1:5" ht="13">
      <c r="A6573" s="115"/>
      <c r="B6573" s="115"/>
      <c r="C6573" s="115"/>
      <c r="D6573" s="115"/>
      <c r="E6573" s="115"/>
    </row>
    <row r="6574" spans="1:5" ht="13">
      <c r="A6574" s="115"/>
      <c r="B6574" s="115"/>
      <c r="C6574" s="115"/>
      <c r="D6574" s="115"/>
      <c r="E6574" s="115"/>
    </row>
    <row r="6575" spans="1:5" ht="13">
      <c r="A6575" s="115"/>
      <c r="B6575" s="115"/>
      <c r="C6575" s="115"/>
      <c r="D6575" s="115"/>
      <c r="E6575" s="115"/>
    </row>
    <row r="6576" spans="1:5" ht="13">
      <c r="A6576" s="115"/>
      <c r="B6576" s="115"/>
      <c r="C6576" s="115"/>
      <c r="D6576" s="115"/>
      <c r="E6576" s="115"/>
    </row>
    <row r="6577" spans="1:5" ht="13">
      <c r="A6577" s="115"/>
      <c r="B6577" s="115"/>
      <c r="C6577" s="115"/>
      <c r="D6577" s="115"/>
      <c r="E6577" s="115"/>
    </row>
    <row r="6578" spans="1:5" ht="13">
      <c r="A6578" s="115"/>
      <c r="B6578" s="115"/>
      <c r="C6578" s="115"/>
      <c r="D6578" s="115"/>
      <c r="E6578" s="115"/>
    </row>
    <row r="6579" spans="1:5" ht="13">
      <c r="A6579" s="115"/>
      <c r="B6579" s="115"/>
      <c r="C6579" s="115"/>
      <c r="D6579" s="115"/>
      <c r="E6579" s="115"/>
    </row>
    <row r="6580" spans="1:5" ht="13">
      <c r="A6580" s="115"/>
      <c r="B6580" s="115"/>
      <c r="C6580" s="115"/>
      <c r="D6580" s="115"/>
      <c r="E6580" s="115"/>
    </row>
    <row r="6581" spans="1:5" ht="13">
      <c r="A6581" s="115"/>
      <c r="B6581" s="115"/>
      <c r="C6581" s="115"/>
      <c r="D6581" s="115"/>
      <c r="E6581" s="115"/>
    </row>
    <row r="6582" spans="1:5" ht="13">
      <c r="A6582" s="115"/>
      <c r="B6582" s="115"/>
      <c r="C6582" s="115"/>
      <c r="D6582" s="115"/>
      <c r="E6582" s="115"/>
    </row>
    <row r="6583" spans="1:5" ht="13">
      <c r="A6583" s="115"/>
      <c r="B6583" s="115"/>
      <c r="C6583" s="115"/>
      <c r="D6583" s="115"/>
      <c r="E6583" s="115"/>
    </row>
    <row r="6584" spans="1:5" ht="13">
      <c r="A6584" s="115"/>
      <c r="B6584" s="115"/>
      <c r="C6584" s="115"/>
      <c r="D6584" s="115"/>
      <c r="E6584" s="115"/>
    </row>
    <row r="6585" spans="1:5" ht="13">
      <c r="A6585" s="115"/>
      <c r="B6585" s="115"/>
      <c r="C6585" s="115"/>
      <c r="D6585" s="115"/>
      <c r="E6585" s="115"/>
    </row>
    <row r="6586" spans="1:5" ht="13">
      <c r="A6586" s="115"/>
      <c r="B6586" s="115"/>
      <c r="C6586" s="115"/>
      <c r="D6586" s="115"/>
      <c r="E6586" s="115"/>
    </row>
    <row r="6587" spans="1:5" ht="13">
      <c r="A6587" s="115"/>
      <c r="B6587" s="115"/>
      <c r="C6587" s="115"/>
      <c r="D6587" s="115"/>
      <c r="E6587" s="115"/>
    </row>
    <row r="6588" spans="1:5" ht="13">
      <c r="A6588" s="115"/>
      <c r="B6588" s="115"/>
      <c r="C6588" s="115"/>
      <c r="D6588" s="115"/>
      <c r="E6588" s="115"/>
    </row>
    <row r="6589" spans="1:5" ht="13">
      <c r="A6589" s="115"/>
      <c r="B6589" s="115"/>
      <c r="C6589" s="115"/>
      <c r="D6589" s="115"/>
      <c r="E6589" s="115"/>
    </row>
    <row r="6590" spans="1:5" ht="13">
      <c r="A6590" s="115"/>
      <c r="B6590" s="115"/>
      <c r="C6590" s="115"/>
      <c r="D6590" s="115"/>
      <c r="E6590" s="115"/>
    </row>
    <row r="6591" spans="1:5" ht="13">
      <c r="A6591" s="115"/>
      <c r="B6591" s="115"/>
      <c r="C6591" s="115"/>
      <c r="D6591" s="115"/>
      <c r="E6591" s="115"/>
    </row>
    <row r="6592" spans="1:5" ht="13">
      <c r="A6592" s="115"/>
      <c r="B6592" s="115"/>
      <c r="C6592" s="115"/>
      <c r="D6592" s="115"/>
      <c r="E6592" s="115"/>
    </row>
    <row r="6593" spans="1:5" ht="13">
      <c r="A6593" s="115"/>
      <c r="B6593" s="115"/>
      <c r="C6593" s="115"/>
      <c r="D6593" s="115"/>
      <c r="E6593" s="115"/>
    </row>
    <row r="6594" spans="1:5" ht="13">
      <c r="A6594" s="115"/>
      <c r="B6594" s="115"/>
      <c r="C6594" s="115"/>
      <c r="D6594" s="115"/>
      <c r="E6594" s="115"/>
    </row>
    <row r="6595" spans="1:5" ht="13">
      <c r="A6595" s="115"/>
      <c r="B6595" s="115"/>
      <c r="C6595" s="115"/>
      <c r="D6595" s="115"/>
      <c r="E6595" s="115"/>
    </row>
    <row r="6596" spans="1:5" ht="13">
      <c r="A6596" s="115"/>
      <c r="B6596" s="115"/>
      <c r="C6596" s="115"/>
      <c r="D6596" s="115"/>
      <c r="E6596" s="115"/>
    </row>
    <row r="6597" spans="1:5" ht="13">
      <c r="A6597" s="115"/>
      <c r="B6597" s="115"/>
      <c r="C6597" s="115"/>
      <c r="D6597" s="115"/>
      <c r="E6597" s="115"/>
    </row>
    <row r="6598" spans="1:5" ht="13">
      <c r="A6598" s="115"/>
      <c r="B6598" s="115"/>
      <c r="C6598" s="115"/>
      <c r="D6598" s="115"/>
      <c r="E6598" s="115"/>
    </row>
    <row r="6599" spans="1:5" ht="13">
      <c r="A6599" s="115"/>
      <c r="B6599" s="115"/>
      <c r="C6599" s="115"/>
      <c r="D6599" s="115"/>
      <c r="E6599" s="115"/>
    </row>
    <row r="6600" spans="1:5" ht="13">
      <c r="A6600" s="115"/>
      <c r="B6600" s="115"/>
      <c r="C6600" s="115"/>
      <c r="D6600" s="115"/>
      <c r="E6600" s="115"/>
    </row>
    <row r="6601" spans="1:5" ht="13">
      <c r="A6601" s="115"/>
      <c r="B6601" s="115"/>
      <c r="C6601" s="115"/>
      <c r="D6601" s="115"/>
      <c r="E6601" s="115"/>
    </row>
    <row r="6602" spans="1:5" ht="13">
      <c r="A6602" s="115"/>
      <c r="B6602" s="115"/>
      <c r="C6602" s="115"/>
      <c r="D6602" s="115"/>
      <c r="E6602" s="115"/>
    </row>
    <row r="6603" spans="1:5" ht="13">
      <c r="A6603" s="115"/>
      <c r="B6603" s="115"/>
      <c r="C6603" s="115"/>
      <c r="D6603" s="115"/>
      <c r="E6603" s="115"/>
    </row>
    <row r="6604" spans="1:5" ht="13">
      <c r="A6604" s="115"/>
      <c r="B6604" s="115"/>
      <c r="C6604" s="115"/>
      <c r="D6604" s="115"/>
      <c r="E6604" s="115"/>
    </row>
    <row r="6605" spans="1:5" ht="13">
      <c r="A6605" s="115"/>
      <c r="B6605" s="115"/>
      <c r="C6605" s="115"/>
      <c r="D6605" s="115"/>
      <c r="E6605" s="115"/>
    </row>
    <row r="6606" spans="1:5" ht="13">
      <c r="A6606" s="115"/>
      <c r="B6606" s="115"/>
      <c r="C6606" s="115"/>
      <c r="D6606" s="115"/>
      <c r="E6606" s="115"/>
    </row>
    <row r="6607" spans="1:5" ht="13">
      <c r="A6607" s="115"/>
      <c r="B6607" s="115"/>
      <c r="C6607" s="115"/>
      <c r="D6607" s="115"/>
      <c r="E6607" s="115"/>
    </row>
    <row r="6608" spans="1:5" ht="13">
      <c r="A6608" s="115"/>
      <c r="B6608" s="115"/>
      <c r="C6608" s="115"/>
      <c r="D6608" s="115"/>
      <c r="E6608" s="115"/>
    </row>
    <row r="6609" spans="1:5" ht="13">
      <c r="A6609" s="115"/>
      <c r="B6609" s="115"/>
      <c r="C6609" s="115"/>
      <c r="D6609" s="115"/>
      <c r="E6609" s="115"/>
    </row>
    <row r="6610" spans="1:5" ht="13">
      <c r="A6610" s="115"/>
      <c r="B6610" s="115"/>
      <c r="C6610" s="115"/>
      <c r="D6610" s="115"/>
      <c r="E6610" s="115"/>
    </row>
    <row r="6611" spans="1:5" ht="13">
      <c r="A6611" s="115"/>
      <c r="B6611" s="115"/>
      <c r="C6611" s="115"/>
      <c r="D6611" s="115"/>
      <c r="E6611" s="115"/>
    </row>
    <row r="6612" spans="1:5" ht="13">
      <c r="A6612" s="115"/>
      <c r="B6612" s="115"/>
      <c r="C6612" s="115"/>
      <c r="D6612" s="115"/>
      <c r="E6612" s="115"/>
    </row>
    <row r="6613" spans="1:5" ht="13">
      <c r="A6613" s="115"/>
      <c r="B6613" s="115"/>
      <c r="C6613" s="115"/>
      <c r="D6613" s="115"/>
      <c r="E6613" s="115"/>
    </row>
    <row r="6614" spans="1:5" ht="13">
      <c r="A6614" s="115"/>
      <c r="B6614" s="115"/>
      <c r="C6614" s="115"/>
      <c r="D6614" s="115"/>
      <c r="E6614" s="115"/>
    </row>
    <row r="6615" spans="1:5" ht="13">
      <c r="A6615" s="115"/>
      <c r="B6615" s="115"/>
      <c r="C6615" s="115"/>
      <c r="D6615" s="115"/>
      <c r="E6615" s="115"/>
    </row>
    <row r="6616" spans="1:5" ht="13">
      <c r="A6616" s="115"/>
      <c r="B6616" s="115"/>
      <c r="C6616" s="115"/>
      <c r="D6616" s="115"/>
      <c r="E6616" s="115"/>
    </row>
    <row r="6617" spans="1:5" ht="13">
      <c r="A6617" s="115"/>
      <c r="B6617" s="115"/>
      <c r="C6617" s="115"/>
      <c r="D6617" s="115"/>
      <c r="E6617" s="115"/>
    </row>
    <row r="6618" spans="1:5" ht="13">
      <c r="A6618" s="115"/>
      <c r="B6618" s="115"/>
      <c r="C6618" s="115"/>
      <c r="D6618" s="115"/>
      <c r="E6618" s="115"/>
    </row>
    <row r="6619" spans="1:5" ht="13">
      <c r="A6619" s="115"/>
      <c r="B6619" s="115"/>
      <c r="C6619" s="115"/>
      <c r="D6619" s="115"/>
      <c r="E6619" s="115"/>
    </row>
    <row r="6620" spans="1:5" ht="13">
      <c r="A6620" s="115"/>
      <c r="B6620" s="115"/>
      <c r="C6620" s="115"/>
      <c r="D6620" s="115"/>
      <c r="E6620" s="115"/>
    </row>
    <row r="6621" spans="1:5" ht="13">
      <c r="A6621" s="115"/>
      <c r="B6621" s="115"/>
      <c r="C6621" s="115"/>
      <c r="D6621" s="115"/>
      <c r="E6621" s="115"/>
    </row>
    <row r="6622" spans="1:5" ht="13">
      <c r="A6622" s="115"/>
      <c r="B6622" s="115"/>
      <c r="C6622" s="115"/>
      <c r="D6622" s="115"/>
      <c r="E6622" s="115"/>
    </row>
    <row r="6623" spans="1:5" ht="13">
      <c r="A6623" s="115"/>
      <c r="B6623" s="115"/>
      <c r="C6623" s="115"/>
      <c r="D6623" s="115"/>
      <c r="E6623" s="115"/>
    </row>
    <row r="6624" spans="1:5" ht="13">
      <c r="A6624" s="115"/>
      <c r="B6624" s="115"/>
      <c r="C6624" s="115"/>
      <c r="D6624" s="115"/>
      <c r="E6624" s="115"/>
    </row>
    <row r="6625" spans="1:5" ht="13">
      <c r="A6625" s="115"/>
      <c r="B6625" s="115"/>
      <c r="C6625" s="115"/>
      <c r="D6625" s="115"/>
      <c r="E6625" s="115"/>
    </row>
    <row r="6626" spans="1:5" ht="13">
      <c r="A6626" s="115"/>
      <c r="B6626" s="115"/>
      <c r="C6626" s="115"/>
      <c r="D6626" s="115"/>
      <c r="E6626" s="115"/>
    </row>
    <row r="6627" spans="1:5" ht="13">
      <c r="A6627" s="115"/>
      <c r="B6627" s="115"/>
      <c r="C6627" s="115"/>
      <c r="D6627" s="115"/>
      <c r="E6627" s="115"/>
    </row>
    <row r="6628" spans="1:5" ht="13">
      <c r="A6628" s="115"/>
      <c r="B6628" s="115"/>
      <c r="C6628" s="115"/>
      <c r="D6628" s="115"/>
      <c r="E6628" s="115"/>
    </row>
    <row r="6629" spans="1:5" ht="13">
      <c r="A6629" s="115"/>
      <c r="B6629" s="115"/>
      <c r="C6629" s="115"/>
      <c r="D6629" s="115"/>
      <c r="E6629" s="115"/>
    </row>
    <row r="6630" spans="1:5" ht="13">
      <c r="A6630" s="115"/>
      <c r="B6630" s="115"/>
      <c r="C6630" s="115"/>
      <c r="D6630" s="115"/>
      <c r="E6630" s="115"/>
    </row>
    <row r="6631" spans="1:5" ht="13">
      <c r="A6631" s="115"/>
      <c r="B6631" s="115"/>
      <c r="C6631" s="115"/>
      <c r="D6631" s="115"/>
      <c r="E6631" s="115"/>
    </row>
    <row r="6632" spans="1:5" ht="13">
      <c r="A6632" s="115"/>
      <c r="B6632" s="115"/>
      <c r="C6632" s="115"/>
      <c r="D6632" s="115"/>
      <c r="E6632" s="115"/>
    </row>
    <row r="6633" spans="1:5" ht="13">
      <c r="A6633" s="115"/>
      <c r="B6633" s="115"/>
      <c r="C6633" s="115"/>
      <c r="D6633" s="115"/>
      <c r="E6633" s="115"/>
    </row>
    <row r="6634" spans="1:5" ht="13">
      <c r="A6634" s="115"/>
      <c r="B6634" s="115"/>
      <c r="C6634" s="115"/>
      <c r="D6634" s="115"/>
      <c r="E6634" s="115"/>
    </row>
    <row r="6635" spans="1:5" ht="13">
      <c r="A6635" s="115"/>
      <c r="B6635" s="115"/>
      <c r="C6635" s="115"/>
      <c r="D6635" s="115"/>
      <c r="E6635" s="115"/>
    </row>
    <row r="6636" spans="1:5" ht="13">
      <c r="A6636" s="115"/>
      <c r="B6636" s="115"/>
      <c r="C6636" s="115"/>
      <c r="D6636" s="115"/>
      <c r="E6636" s="115"/>
    </row>
    <row r="6637" spans="1:5" ht="13">
      <c r="A6637" s="115"/>
      <c r="B6637" s="115"/>
      <c r="C6637" s="115"/>
      <c r="D6637" s="115"/>
      <c r="E6637" s="115"/>
    </row>
    <row r="6638" spans="1:5" ht="13">
      <c r="A6638" s="115"/>
      <c r="B6638" s="115"/>
      <c r="C6638" s="115"/>
      <c r="D6638" s="115"/>
      <c r="E6638" s="115"/>
    </row>
    <row r="6639" spans="1:5" ht="13">
      <c r="A6639" s="115"/>
      <c r="B6639" s="115"/>
      <c r="C6639" s="115"/>
      <c r="D6639" s="115"/>
      <c r="E6639" s="115"/>
    </row>
    <row r="6640" spans="1:5" ht="13">
      <c r="A6640" s="115"/>
      <c r="B6640" s="115"/>
      <c r="C6640" s="115"/>
      <c r="D6640" s="115"/>
      <c r="E6640" s="115"/>
    </row>
    <row r="6641" spans="1:5" ht="13">
      <c r="A6641" s="115"/>
      <c r="B6641" s="115"/>
      <c r="C6641" s="115"/>
      <c r="D6641" s="115"/>
      <c r="E6641" s="115"/>
    </row>
    <row r="6642" spans="1:5" ht="13">
      <c r="A6642" s="115"/>
      <c r="B6642" s="115"/>
      <c r="C6642" s="115"/>
      <c r="D6642" s="115"/>
      <c r="E6642" s="115"/>
    </row>
    <row r="6643" spans="1:5" ht="13">
      <c r="A6643" s="115"/>
      <c r="B6643" s="115"/>
      <c r="C6643" s="115"/>
      <c r="D6643" s="115"/>
      <c r="E6643" s="115"/>
    </row>
    <row r="6644" spans="1:5" ht="13">
      <c r="A6644" s="115"/>
      <c r="B6644" s="115"/>
      <c r="C6644" s="115"/>
      <c r="D6644" s="115"/>
      <c r="E6644" s="115"/>
    </row>
    <row r="6645" spans="1:5" ht="13">
      <c r="A6645" s="115"/>
      <c r="B6645" s="115"/>
      <c r="C6645" s="115"/>
      <c r="D6645" s="115"/>
      <c r="E6645" s="115"/>
    </row>
    <row r="6646" spans="1:5" ht="13">
      <c r="A6646" s="115"/>
      <c r="B6646" s="115"/>
      <c r="C6646" s="115"/>
      <c r="D6646" s="115"/>
      <c r="E6646" s="115"/>
    </row>
    <row r="6647" spans="1:5" ht="13">
      <c r="A6647" s="115"/>
      <c r="B6647" s="115"/>
      <c r="C6647" s="115"/>
      <c r="D6647" s="115"/>
      <c r="E6647" s="115"/>
    </row>
    <row r="6648" spans="1:5" ht="13">
      <c r="A6648" s="115"/>
      <c r="B6648" s="115"/>
      <c r="C6648" s="115"/>
      <c r="D6648" s="115"/>
      <c r="E6648" s="115"/>
    </row>
    <row r="6649" spans="1:5" ht="13">
      <c r="A6649" s="115"/>
      <c r="B6649" s="115"/>
      <c r="C6649" s="115"/>
      <c r="D6649" s="115"/>
      <c r="E6649" s="115"/>
    </row>
    <row r="6650" spans="1:5" ht="13">
      <c r="A6650" s="115"/>
      <c r="B6650" s="115"/>
      <c r="C6650" s="115"/>
      <c r="D6650" s="115"/>
      <c r="E6650" s="115"/>
    </row>
    <row r="6651" spans="1:5" ht="13">
      <c r="A6651" s="115"/>
      <c r="B6651" s="115"/>
      <c r="C6651" s="115"/>
      <c r="D6651" s="115"/>
      <c r="E6651" s="115"/>
    </row>
    <row r="6652" spans="1:5" ht="13">
      <c r="A6652" s="115"/>
      <c r="B6652" s="115"/>
      <c r="C6652" s="115"/>
      <c r="D6652" s="115"/>
      <c r="E6652" s="115"/>
    </row>
    <row r="6653" spans="1:5" ht="13">
      <c r="A6653" s="115"/>
      <c r="B6653" s="115"/>
      <c r="C6653" s="115"/>
      <c r="D6653" s="115"/>
      <c r="E6653" s="115"/>
    </row>
    <row r="6654" spans="1:5" ht="13">
      <c r="A6654" s="115"/>
      <c r="B6654" s="115"/>
      <c r="C6654" s="115"/>
      <c r="D6654" s="115"/>
      <c r="E6654" s="115"/>
    </row>
    <row r="6655" spans="1:5" ht="13">
      <c r="A6655" s="115"/>
      <c r="B6655" s="115"/>
      <c r="C6655" s="115"/>
      <c r="D6655" s="115"/>
      <c r="E6655" s="115"/>
    </row>
    <row r="6656" spans="1:5" ht="13">
      <c r="A6656" s="115"/>
      <c r="B6656" s="115"/>
      <c r="C6656" s="115"/>
      <c r="D6656" s="115"/>
      <c r="E6656" s="115"/>
    </row>
    <row r="6657" spans="1:5" ht="13">
      <c r="A6657" s="115"/>
      <c r="B6657" s="115"/>
      <c r="C6657" s="115"/>
      <c r="D6657" s="115"/>
      <c r="E6657" s="115"/>
    </row>
    <row r="6658" spans="1:5" ht="13">
      <c r="A6658" s="115"/>
      <c r="B6658" s="115"/>
      <c r="C6658" s="115"/>
      <c r="D6658" s="115"/>
      <c r="E6658" s="115"/>
    </row>
    <row r="6659" spans="1:5" ht="13">
      <c r="A6659" s="115"/>
      <c r="B6659" s="115"/>
      <c r="C6659" s="115"/>
      <c r="D6659" s="115"/>
      <c r="E6659" s="115"/>
    </row>
    <row r="6660" spans="1:5" ht="13">
      <c r="A6660" s="115"/>
      <c r="B6660" s="115"/>
      <c r="C6660" s="115"/>
      <c r="D6660" s="115"/>
      <c r="E6660" s="115"/>
    </row>
    <row r="6661" spans="1:5" ht="13">
      <c r="A6661" s="115"/>
      <c r="B6661" s="115"/>
      <c r="C6661" s="115"/>
      <c r="D6661" s="115"/>
      <c r="E6661" s="115"/>
    </row>
    <row r="6662" spans="1:5" ht="13">
      <c r="A6662" s="115"/>
      <c r="B6662" s="115"/>
      <c r="C6662" s="115"/>
      <c r="D6662" s="115"/>
      <c r="E6662" s="115"/>
    </row>
    <row r="6663" spans="1:5" ht="13">
      <c r="A6663" s="115"/>
      <c r="B6663" s="115"/>
      <c r="C6663" s="115"/>
      <c r="D6663" s="115"/>
      <c r="E6663" s="115"/>
    </row>
    <row r="6664" spans="1:5" ht="13">
      <c r="A6664" s="115"/>
      <c r="B6664" s="115"/>
      <c r="C6664" s="115"/>
      <c r="D6664" s="115"/>
      <c r="E6664" s="115"/>
    </row>
    <row r="6665" spans="1:5" ht="13">
      <c r="A6665" s="115"/>
      <c r="B6665" s="115"/>
      <c r="C6665" s="115"/>
      <c r="D6665" s="115"/>
      <c r="E6665" s="115"/>
    </row>
    <row r="6666" spans="1:5" ht="13">
      <c r="A6666" s="115"/>
      <c r="B6666" s="115"/>
      <c r="C6666" s="115"/>
      <c r="D6666" s="115"/>
      <c r="E6666" s="115"/>
    </row>
    <row r="6667" spans="1:5" ht="13">
      <c r="A6667" s="115"/>
      <c r="B6667" s="115"/>
      <c r="C6667" s="115"/>
      <c r="D6667" s="115"/>
      <c r="E6667" s="115"/>
    </row>
    <row r="6668" spans="1:5" ht="13">
      <c r="A6668" s="115"/>
      <c r="B6668" s="115"/>
      <c r="C6668" s="115"/>
      <c r="D6668" s="115"/>
      <c r="E6668" s="115"/>
    </row>
    <row r="6669" spans="1:5" ht="13">
      <c r="A6669" s="115"/>
      <c r="B6669" s="115"/>
      <c r="C6669" s="115"/>
      <c r="D6669" s="115"/>
      <c r="E6669" s="115"/>
    </row>
    <row r="6670" spans="1:5" ht="13">
      <c r="A6670" s="115"/>
      <c r="B6670" s="115"/>
      <c r="C6670" s="115"/>
      <c r="D6670" s="115"/>
      <c r="E6670" s="115"/>
    </row>
    <row r="6671" spans="1:5" ht="13">
      <c r="A6671" s="115"/>
      <c r="B6671" s="115"/>
      <c r="C6671" s="115"/>
      <c r="D6671" s="115"/>
      <c r="E6671" s="115"/>
    </row>
    <row r="6672" spans="1:5" ht="13">
      <c r="A6672" s="115"/>
      <c r="B6672" s="115"/>
      <c r="C6672" s="115"/>
      <c r="D6672" s="115"/>
      <c r="E6672" s="115"/>
    </row>
    <row r="6673" spans="1:5" ht="13">
      <c r="A6673" s="115"/>
      <c r="B6673" s="115"/>
      <c r="C6673" s="115"/>
      <c r="D6673" s="115"/>
      <c r="E6673" s="115"/>
    </row>
    <row r="6674" spans="1:5" ht="13">
      <c r="A6674" s="115"/>
      <c r="B6674" s="115"/>
      <c r="C6674" s="115"/>
      <c r="D6674" s="115"/>
      <c r="E6674" s="115"/>
    </row>
    <row r="6675" spans="1:5" ht="13">
      <c r="A6675" s="115"/>
      <c r="B6675" s="115"/>
      <c r="C6675" s="115"/>
      <c r="D6675" s="115"/>
      <c r="E6675" s="115"/>
    </row>
    <row r="6676" spans="1:5" ht="13">
      <c r="A6676" s="115"/>
      <c r="B6676" s="115"/>
      <c r="C6676" s="115"/>
      <c r="D6676" s="115"/>
      <c r="E6676" s="115"/>
    </row>
    <row r="6677" spans="1:5" ht="13">
      <c r="A6677" s="115"/>
      <c r="B6677" s="115"/>
      <c r="C6677" s="115"/>
      <c r="D6677" s="115"/>
      <c r="E6677" s="115"/>
    </row>
    <row r="6678" spans="1:5" ht="13">
      <c r="A6678" s="115"/>
      <c r="B6678" s="115"/>
      <c r="C6678" s="115"/>
      <c r="D6678" s="115"/>
      <c r="E6678" s="115"/>
    </row>
    <row r="6679" spans="1:5" ht="13">
      <c r="A6679" s="115"/>
      <c r="B6679" s="115"/>
      <c r="C6679" s="115"/>
      <c r="D6679" s="115"/>
      <c r="E6679" s="115"/>
    </row>
    <row r="6680" spans="1:5" ht="13">
      <c r="A6680" s="115"/>
      <c r="B6680" s="115"/>
      <c r="C6680" s="115"/>
      <c r="D6680" s="115"/>
      <c r="E6680" s="115"/>
    </row>
    <row r="6681" spans="1:5" ht="13">
      <c r="A6681" s="115"/>
      <c r="B6681" s="115"/>
      <c r="C6681" s="115"/>
      <c r="D6681" s="115"/>
      <c r="E6681" s="115"/>
    </row>
    <row r="6682" spans="1:5" ht="13">
      <c r="A6682" s="115"/>
      <c r="B6682" s="115"/>
      <c r="C6682" s="115"/>
      <c r="D6682" s="115"/>
      <c r="E6682" s="115"/>
    </row>
    <row r="6683" spans="1:5" ht="13">
      <c r="A6683" s="115"/>
      <c r="B6683" s="115"/>
      <c r="C6683" s="115"/>
      <c r="D6683" s="115"/>
      <c r="E6683" s="115"/>
    </row>
    <row r="6684" spans="1:5" ht="13">
      <c r="A6684" s="115"/>
      <c r="B6684" s="115"/>
      <c r="C6684" s="115"/>
      <c r="D6684" s="115"/>
      <c r="E6684" s="115"/>
    </row>
    <row r="6685" spans="1:5" ht="13">
      <c r="A6685" s="115"/>
      <c r="B6685" s="115"/>
      <c r="C6685" s="115"/>
      <c r="D6685" s="115"/>
      <c r="E6685" s="115"/>
    </row>
    <row r="6686" spans="1:5" ht="13">
      <c r="A6686" s="115"/>
      <c r="B6686" s="115"/>
      <c r="C6686" s="115"/>
      <c r="D6686" s="115"/>
      <c r="E6686" s="115"/>
    </row>
    <row r="6687" spans="1:5" ht="13">
      <c r="A6687" s="115"/>
      <c r="B6687" s="115"/>
      <c r="C6687" s="115"/>
      <c r="D6687" s="115"/>
      <c r="E6687" s="115"/>
    </row>
    <row r="6688" spans="1:5" ht="13">
      <c r="A6688" s="115"/>
      <c r="B6688" s="115"/>
      <c r="C6688" s="115"/>
      <c r="D6688" s="115"/>
      <c r="E6688" s="115"/>
    </row>
    <row r="6689" spans="1:5" ht="13">
      <c r="A6689" s="115"/>
      <c r="B6689" s="115"/>
      <c r="C6689" s="115"/>
      <c r="D6689" s="115"/>
      <c r="E6689" s="115"/>
    </row>
    <row r="6690" spans="1:5" ht="13">
      <c r="A6690" s="115"/>
      <c r="B6690" s="115"/>
      <c r="C6690" s="115"/>
      <c r="D6690" s="115"/>
      <c r="E6690" s="115"/>
    </row>
    <row r="6691" spans="1:5" ht="13">
      <c r="A6691" s="115"/>
      <c r="B6691" s="115"/>
      <c r="C6691" s="115"/>
      <c r="D6691" s="115"/>
      <c r="E6691" s="115"/>
    </row>
    <row r="6692" spans="1:5" ht="13">
      <c r="A6692" s="115"/>
      <c r="B6692" s="115"/>
      <c r="C6692" s="115"/>
      <c r="D6692" s="115"/>
      <c r="E6692" s="115"/>
    </row>
    <row r="6693" spans="1:5" ht="13">
      <c r="A6693" s="115"/>
      <c r="B6693" s="115"/>
      <c r="C6693" s="115"/>
      <c r="D6693" s="115"/>
      <c r="E6693" s="115"/>
    </row>
    <row r="6694" spans="1:5" ht="13">
      <c r="A6694" s="115"/>
      <c r="B6694" s="115"/>
      <c r="C6694" s="115"/>
      <c r="D6694" s="115"/>
      <c r="E6694" s="115"/>
    </row>
    <row r="6695" spans="1:5" ht="13">
      <c r="A6695" s="115"/>
      <c r="B6695" s="115"/>
      <c r="C6695" s="115"/>
      <c r="D6695" s="115"/>
      <c r="E6695" s="115"/>
    </row>
    <row r="6696" spans="1:5" ht="13">
      <c r="A6696" s="115"/>
      <c r="B6696" s="115"/>
      <c r="C6696" s="115"/>
      <c r="D6696" s="115"/>
      <c r="E6696" s="115"/>
    </row>
    <row r="6697" spans="1:5" ht="13">
      <c r="A6697" s="115"/>
      <c r="B6697" s="115"/>
      <c r="C6697" s="115"/>
      <c r="D6697" s="115"/>
      <c r="E6697" s="115"/>
    </row>
    <row r="6698" spans="1:5" ht="13">
      <c r="A6698" s="115"/>
      <c r="B6698" s="115"/>
      <c r="C6698" s="115"/>
      <c r="D6698" s="115"/>
      <c r="E6698" s="115"/>
    </row>
    <row r="6699" spans="1:5" ht="13">
      <c r="A6699" s="115"/>
      <c r="B6699" s="115"/>
      <c r="C6699" s="115"/>
      <c r="D6699" s="115"/>
      <c r="E6699" s="115"/>
    </row>
    <row r="6700" spans="1:5" ht="13">
      <c r="A6700" s="115"/>
      <c r="B6700" s="115"/>
      <c r="C6700" s="115"/>
      <c r="D6700" s="115"/>
      <c r="E6700" s="115"/>
    </row>
    <row r="6701" spans="1:5" ht="13">
      <c r="A6701" s="115"/>
      <c r="B6701" s="115"/>
      <c r="C6701" s="115"/>
      <c r="D6701" s="115"/>
      <c r="E6701" s="115"/>
    </row>
    <row r="6702" spans="1:5" ht="13">
      <c r="A6702" s="115"/>
      <c r="B6702" s="115"/>
      <c r="C6702" s="115"/>
      <c r="D6702" s="115"/>
      <c r="E6702" s="115"/>
    </row>
    <row r="6703" spans="1:5" ht="13">
      <c r="A6703" s="115"/>
      <c r="B6703" s="115"/>
      <c r="C6703" s="115"/>
      <c r="D6703" s="115"/>
      <c r="E6703" s="115"/>
    </row>
    <row r="6704" spans="1:5" ht="13">
      <c r="A6704" s="115"/>
      <c r="B6704" s="115"/>
      <c r="C6704" s="115"/>
      <c r="D6704" s="115"/>
      <c r="E6704" s="115"/>
    </row>
    <row r="6705" spans="1:5" ht="13">
      <c r="A6705" s="115"/>
      <c r="B6705" s="115"/>
      <c r="C6705" s="115"/>
      <c r="D6705" s="115"/>
      <c r="E6705" s="115"/>
    </row>
    <row r="6706" spans="1:5" ht="13">
      <c r="A6706" s="115"/>
      <c r="B6706" s="115"/>
      <c r="C6706" s="115"/>
      <c r="D6706" s="115"/>
      <c r="E6706" s="115"/>
    </row>
    <row r="6707" spans="1:5" ht="13">
      <c r="A6707" s="115"/>
      <c r="B6707" s="115"/>
      <c r="C6707" s="115"/>
      <c r="D6707" s="115"/>
      <c r="E6707" s="115"/>
    </row>
    <row r="6708" spans="1:5" ht="13">
      <c r="A6708" s="115"/>
      <c r="B6708" s="115"/>
      <c r="C6708" s="115"/>
      <c r="D6708" s="115"/>
      <c r="E6708" s="115"/>
    </row>
    <row r="6709" spans="1:5" ht="13">
      <c r="A6709" s="115"/>
      <c r="B6709" s="115"/>
      <c r="C6709" s="115"/>
      <c r="D6709" s="115"/>
      <c r="E6709" s="115"/>
    </row>
    <row r="6710" spans="1:5" ht="13">
      <c r="A6710" s="115"/>
      <c r="B6710" s="115"/>
      <c r="C6710" s="115"/>
      <c r="D6710" s="115"/>
      <c r="E6710" s="115"/>
    </row>
    <row r="6711" spans="1:5" ht="13">
      <c r="A6711" s="115"/>
      <c r="B6711" s="115"/>
      <c r="C6711" s="115"/>
      <c r="D6711" s="115"/>
      <c r="E6711" s="115"/>
    </row>
    <row r="6712" spans="1:5" ht="13">
      <c r="A6712" s="115"/>
      <c r="B6712" s="115"/>
      <c r="C6712" s="115"/>
      <c r="D6712" s="115"/>
      <c r="E6712" s="115"/>
    </row>
    <row r="6713" spans="1:5" ht="13">
      <c r="A6713" s="115"/>
      <c r="B6713" s="115"/>
      <c r="C6713" s="115"/>
      <c r="D6713" s="115"/>
      <c r="E6713" s="115"/>
    </row>
    <row r="6714" spans="1:5" ht="13">
      <c r="A6714" s="115"/>
      <c r="B6714" s="115"/>
      <c r="C6714" s="115"/>
      <c r="D6714" s="115"/>
      <c r="E6714" s="115"/>
    </row>
    <row r="6715" spans="1:5" ht="13">
      <c r="A6715" s="115"/>
      <c r="B6715" s="115"/>
      <c r="C6715" s="115"/>
      <c r="D6715" s="115"/>
      <c r="E6715" s="115"/>
    </row>
    <row r="6716" spans="1:5" ht="13">
      <c r="A6716" s="115"/>
      <c r="B6716" s="115"/>
      <c r="C6716" s="115"/>
      <c r="D6716" s="115"/>
      <c r="E6716" s="115"/>
    </row>
    <row r="6717" spans="1:5" ht="13">
      <c r="A6717" s="115"/>
      <c r="B6717" s="115"/>
      <c r="C6717" s="115"/>
      <c r="D6717" s="115"/>
      <c r="E6717" s="115"/>
    </row>
    <row r="6718" spans="1:5" ht="13">
      <c r="A6718" s="115"/>
      <c r="B6718" s="115"/>
      <c r="C6718" s="115"/>
      <c r="D6718" s="115"/>
      <c r="E6718" s="115"/>
    </row>
    <row r="6719" spans="1:5" ht="13">
      <c r="A6719" s="115"/>
      <c r="B6719" s="115"/>
      <c r="C6719" s="115"/>
      <c r="D6719" s="115"/>
      <c r="E6719" s="115"/>
    </row>
    <row r="6720" spans="1:5" ht="13">
      <c r="A6720" s="115"/>
      <c r="B6720" s="115"/>
      <c r="C6720" s="115"/>
      <c r="D6720" s="115"/>
      <c r="E6720" s="115"/>
    </row>
    <row r="6721" spans="1:5" ht="13">
      <c r="A6721" s="115"/>
      <c r="B6721" s="115"/>
      <c r="C6721" s="115"/>
      <c r="D6721" s="115"/>
      <c r="E6721" s="115"/>
    </row>
    <row r="6722" spans="1:5" ht="13">
      <c r="A6722" s="115"/>
      <c r="B6722" s="115"/>
      <c r="C6722" s="115"/>
      <c r="D6722" s="115"/>
      <c r="E6722" s="115"/>
    </row>
    <row r="6723" spans="1:5" ht="13">
      <c r="A6723" s="115"/>
      <c r="B6723" s="115"/>
      <c r="C6723" s="115"/>
      <c r="D6723" s="115"/>
      <c r="E6723" s="115"/>
    </row>
    <row r="6724" spans="1:5" ht="13">
      <c r="A6724" s="115"/>
      <c r="B6724" s="115"/>
      <c r="C6724" s="115"/>
      <c r="D6724" s="115"/>
      <c r="E6724" s="115"/>
    </row>
    <row r="6725" spans="1:5" ht="13">
      <c r="A6725" s="115"/>
      <c r="B6725" s="115"/>
      <c r="C6725" s="115"/>
      <c r="D6725" s="115"/>
      <c r="E6725" s="115"/>
    </row>
    <row r="6726" spans="1:5" ht="13">
      <c r="A6726" s="115"/>
      <c r="B6726" s="115"/>
      <c r="C6726" s="115"/>
      <c r="D6726" s="115"/>
      <c r="E6726" s="115"/>
    </row>
    <row r="6727" spans="1:5" ht="13">
      <c r="A6727" s="115"/>
      <c r="B6727" s="115"/>
      <c r="C6727" s="115"/>
      <c r="D6727" s="115"/>
      <c r="E6727" s="115"/>
    </row>
    <row r="6728" spans="1:5" ht="13">
      <c r="A6728" s="115"/>
      <c r="B6728" s="115"/>
      <c r="C6728" s="115"/>
      <c r="D6728" s="115"/>
      <c r="E6728" s="115"/>
    </row>
    <row r="6729" spans="1:5" ht="13">
      <c r="A6729" s="115"/>
      <c r="B6729" s="115"/>
      <c r="C6729" s="115"/>
      <c r="D6729" s="115"/>
      <c r="E6729" s="115"/>
    </row>
    <row r="6730" spans="1:5" ht="13">
      <c r="A6730" s="115"/>
      <c r="B6730" s="115"/>
      <c r="C6730" s="115"/>
      <c r="D6730" s="115"/>
      <c r="E6730" s="115"/>
    </row>
    <row r="6731" spans="1:5" ht="13">
      <c r="A6731" s="115"/>
      <c r="B6731" s="115"/>
      <c r="C6731" s="115"/>
      <c r="D6731" s="115"/>
      <c r="E6731" s="115"/>
    </row>
    <row r="6732" spans="1:5" ht="13">
      <c r="A6732" s="115"/>
      <c r="B6732" s="115"/>
      <c r="C6732" s="115"/>
      <c r="D6732" s="115"/>
      <c r="E6732" s="115"/>
    </row>
    <row r="6733" spans="1:5" ht="13">
      <c r="A6733" s="115"/>
      <c r="B6733" s="115"/>
      <c r="C6733" s="115"/>
      <c r="D6733" s="115"/>
      <c r="E6733" s="115"/>
    </row>
    <row r="6734" spans="1:5" ht="13">
      <c r="A6734" s="115"/>
      <c r="B6734" s="115"/>
      <c r="C6734" s="115"/>
      <c r="D6734" s="115"/>
      <c r="E6734" s="115"/>
    </row>
    <row r="6735" spans="1:5" ht="13">
      <c r="A6735" s="115"/>
      <c r="B6735" s="115"/>
      <c r="C6735" s="115"/>
      <c r="D6735" s="115"/>
      <c r="E6735" s="115"/>
    </row>
    <row r="6736" spans="1:5" ht="13">
      <c r="A6736" s="115"/>
      <c r="B6736" s="115"/>
      <c r="C6736" s="115"/>
      <c r="D6736" s="115"/>
      <c r="E6736" s="115"/>
    </row>
    <row r="6737" spans="1:5" ht="13">
      <c r="A6737" s="115"/>
      <c r="B6737" s="115"/>
      <c r="C6737" s="115"/>
      <c r="D6737" s="115"/>
      <c r="E6737" s="115"/>
    </row>
    <row r="6738" spans="1:5" ht="13">
      <c r="A6738" s="115"/>
      <c r="B6738" s="115"/>
      <c r="C6738" s="115"/>
      <c r="D6738" s="115"/>
      <c r="E6738" s="115"/>
    </row>
    <row r="6739" spans="1:5" ht="13">
      <c r="A6739" s="115"/>
      <c r="B6739" s="115"/>
      <c r="C6739" s="115"/>
      <c r="D6739" s="115"/>
      <c r="E6739" s="115"/>
    </row>
    <row r="6740" spans="1:5" ht="13">
      <c r="A6740" s="115"/>
      <c r="B6740" s="115"/>
      <c r="C6740" s="115"/>
      <c r="D6740" s="115"/>
      <c r="E6740" s="115"/>
    </row>
    <row r="6741" spans="1:5" ht="13">
      <c r="A6741" s="115"/>
      <c r="B6741" s="115"/>
      <c r="C6741" s="115"/>
      <c r="D6741" s="115"/>
      <c r="E6741" s="115"/>
    </row>
    <row r="6742" spans="1:5" ht="13">
      <c r="A6742" s="115"/>
      <c r="B6742" s="115"/>
      <c r="C6742" s="115"/>
      <c r="D6742" s="115"/>
      <c r="E6742" s="115"/>
    </row>
    <row r="6743" spans="1:5" ht="13">
      <c r="A6743" s="115"/>
      <c r="B6743" s="115"/>
      <c r="C6743" s="115"/>
      <c r="D6743" s="115"/>
      <c r="E6743" s="115"/>
    </row>
    <row r="6744" spans="1:5" ht="13">
      <c r="A6744" s="115"/>
      <c r="B6744" s="115"/>
      <c r="C6744" s="115"/>
      <c r="D6744" s="115"/>
      <c r="E6744" s="115"/>
    </row>
    <row r="6745" spans="1:5" ht="13">
      <c r="A6745" s="115"/>
      <c r="B6745" s="115"/>
      <c r="C6745" s="115"/>
      <c r="D6745" s="115"/>
      <c r="E6745" s="115"/>
    </row>
    <row r="6746" spans="1:5" ht="13">
      <c r="A6746" s="115"/>
      <c r="B6746" s="115"/>
      <c r="C6746" s="115"/>
      <c r="D6746" s="115"/>
      <c r="E6746" s="115"/>
    </row>
    <row r="6747" spans="1:5" ht="13">
      <c r="A6747" s="115"/>
      <c r="B6747" s="115"/>
      <c r="C6747" s="115"/>
      <c r="D6747" s="115"/>
      <c r="E6747" s="115"/>
    </row>
    <row r="6748" spans="1:5" ht="13">
      <c r="A6748" s="115"/>
      <c r="B6748" s="115"/>
      <c r="C6748" s="115"/>
      <c r="D6748" s="115"/>
      <c r="E6748" s="115"/>
    </row>
    <row r="6749" spans="1:5" ht="13">
      <c r="A6749" s="115"/>
      <c r="B6749" s="115"/>
      <c r="C6749" s="115"/>
      <c r="D6749" s="115"/>
      <c r="E6749" s="115"/>
    </row>
    <row r="6750" spans="1:5" ht="13">
      <c r="A6750" s="115"/>
      <c r="B6750" s="115"/>
      <c r="C6750" s="115"/>
      <c r="D6750" s="115"/>
      <c r="E6750" s="115"/>
    </row>
    <row r="6751" spans="1:5" ht="13">
      <c r="A6751" s="115"/>
      <c r="B6751" s="115"/>
      <c r="C6751" s="115"/>
      <c r="D6751" s="115"/>
      <c r="E6751" s="115"/>
    </row>
    <row r="6752" spans="1:5" ht="13">
      <c r="A6752" s="115"/>
      <c r="B6752" s="115"/>
      <c r="C6752" s="115"/>
      <c r="D6752" s="115"/>
      <c r="E6752" s="115"/>
    </row>
    <row r="6753" spans="1:5" ht="13">
      <c r="A6753" s="115"/>
      <c r="B6753" s="115"/>
      <c r="C6753" s="115"/>
      <c r="D6753" s="115"/>
      <c r="E6753" s="115"/>
    </row>
    <row r="6754" spans="1:5" ht="13">
      <c r="A6754" s="115"/>
      <c r="B6754" s="115"/>
      <c r="C6754" s="115"/>
      <c r="D6754" s="115"/>
      <c r="E6754" s="115"/>
    </row>
    <row r="6755" spans="1:5" ht="13">
      <c r="A6755" s="115"/>
      <c r="B6755" s="115"/>
      <c r="C6755" s="115"/>
      <c r="D6755" s="115"/>
      <c r="E6755" s="115"/>
    </row>
    <row r="6756" spans="1:5" ht="13">
      <c r="A6756" s="115"/>
      <c r="B6756" s="115"/>
      <c r="C6756" s="115"/>
      <c r="D6756" s="115"/>
      <c r="E6756" s="115"/>
    </row>
    <row r="6757" spans="1:5" ht="13">
      <c r="A6757" s="115"/>
      <c r="B6757" s="115"/>
      <c r="C6757" s="115"/>
      <c r="D6757" s="115"/>
      <c r="E6757" s="115"/>
    </row>
    <row r="6758" spans="1:5" ht="13">
      <c r="A6758" s="115"/>
      <c r="B6758" s="115"/>
      <c r="C6758" s="115"/>
      <c r="D6758" s="115"/>
      <c r="E6758" s="115"/>
    </row>
    <row r="6759" spans="1:5" ht="13">
      <c r="A6759" s="115"/>
      <c r="B6759" s="115"/>
      <c r="C6759" s="115"/>
      <c r="D6759" s="115"/>
      <c r="E6759" s="115"/>
    </row>
    <row r="6760" spans="1:5" ht="13">
      <c r="A6760" s="115"/>
      <c r="B6760" s="115"/>
      <c r="C6760" s="115"/>
      <c r="D6760" s="115"/>
      <c r="E6760" s="115"/>
    </row>
    <row r="6761" spans="1:5" ht="13">
      <c r="A6761" s="115"/>
      <c r="B6761" s="115"/>
      <c r="C6761" s="115"/>
      <c r="D6761" s="115"/>
      <c r="E6761" s="115"/>
    </row>
    <row r="6762" spans="1:5" ht="13">
      <c r="A6762" s="115"/>
      <c r="B6762" s="115"/>
      <c r="C6762" s="115"/>
      <c r="D6762" s="115"/>
      <c r="E6762" s="115"/>
    </row>
    <row r="6763" spans="1:5" ht="13">
      <c r="A6763" s="115"/>
      <c r="B6763" s="115"/>
      <c r="C6763" s="115"/>
      <c r="D6763" s="115"/>
      <c r="E6763" s="115"/>
    </row>
    <row r="6764" spans="1:5" ht="13">
      <c r="A6764" s="115"/>
      <c r="B6764" s="115"/>
      <c r="C6764" s="115"/>
      <c r="D6764" s="115"/>
      <c r="E6764" s="115"/>
    </row>
    <row r="6765" spans="1:5" ht="13">
      <c r="A6765" s="115"/>
      <c r="B6765" s="115"/>
      <c r="C6765" s="115"/>
      <c r="D6765" s="115"/>
      <c r="E6765" s="115"/>
    </row>
    <row r="6766" spans="1:5" ht="13">
      <c r="A6766" s="115"/>
      <c r="B6766" s="115"/>
      <c r="C6766" s="115"/>
      <c r="D6766" s="115"/>
      <c r="E6766" s="115"/>
    </row>
    <row r="6767" spans="1:5" ht="13">
      <c r="A6767" s="115"/>
      <c r="B6767" s="115"/>
      <c r="C6767" s="115"/>
      <c r="D6767" s="115"/>
      <c r="E6767" s="115"/>
    </row>
    <row r="6768" spans="1:5" ht="13">
      <c r="A6768" s="115"/>
      <c r="B6768" s="115"/>
      <c r="C6768" s="115"/>
      <c r="D6768" s="115"/>
      <c r="E6768" s="115"/>
    </row>
    <row r="6769" spans="1:5" ht="13">
      <c r="A6769" s="115"/>
      <c r="B6769" s="115"/>
      <c r="C6769" s="115"/>
      <c r="D6769" s="115"/>
      <c r="E6769" s="115"/>
    </row>
    <row r="6770" spans="1:5" ht="13">
      <c r="A6770" s="115"/>
      <c r="B6770" s="115"/>
      <c r="C6770" s="115"/>
      <c r="D6770" s="115"/>
      <c r="E6770" s="115"/>
    </row>
    <row r="6771" spans="1:5" ht="13">
      <c r="A6771" s="115"/>
      <c r="B6771" s="115"/>
      <c r="C6771" s="115"/>
      <c r="D6771" s="115"/>
      <c r="E6771" s="115"/>
    </row>
    <row r="6772" spans="1:5" ht="13">
      <c r="A6772" s="115"/>
      <c r="B6772" s="115"/>
      <c r="C6772" s="115"/>
      <c r="D6772" s="115"/>
      <c r="E6772" s="115"/>
    </row>
    <row r="6773" spans="1:5" ht="13">
      <c r="A6773" s="115"/>
      <c r="B6773" s="115"/>
      <c r="C6773" s="115"/>
      <c r="D6773" s="115"/>
      <c r="E6773" s="115"/>
    </row>
    <row r="6774" spans="1:5" ht="13">
      <c r="A6774" s="115"/>
      <c r="B6774" s="115"/>
      <c r="C6774" s="115"/>
      <c r="D6774" s="115"/>
      <c r="E6774" s="115"/>
    </row>
    <row r="6775" spans="1:5" ht="13">
      <c r="A6775" s="115"/>
      <c r="B6775" s="115"/>
      <c r="C6775" s="115"/>
      <c r="D6775" s="115"/>
      <c r="E6775" s="115"/>
    </row>
    <row r="6776" spans="1:5" ht="13">
      <c r="A6776" s="115"/>
      <c r="B6776" s="115"/>
      <c r="C6776" s="115"/>
      <c r="D6776" s="115"/>
      <c r="E6776" s="115"/>
    </row>
    <row r="6777" spans="1:5" ht="13">
      <c r="A6777" s="115"/>
      <c r="B6777" s="115"/>
      <c r="C6777" s="115"/>
      <c r="D6777" s="115"/>
      <c r="E6777" s="115"/>
    </row>
    <row r="6778" spans="1:5" ht="13">
      <c r="A6778" s="115"/>
      <c r="B6778" s="115"/>
      <c r="C6778" s="115"/>
      <c r="D6778" s="115"/>
      <c r="E6778" s="115"/>
    </row>
    <row r="6779" spans="1:5" ht="13">
      <c r="A6779" s="115"/>
      <c r="B6779" s="115"/>
      <c r="C6779" s="115"/>
      <c r="D6779" s="115"/>
      <c r="E6779" s="115"/>
    </row>
    <row r="6780" spans="1:5" ht="13">
      <c r="A6780" s="115"/>
      <c r="B6780" s="115"/>
      <c r="C6780" s="115"/>
      <c r="D6780" s="115"/>
      <c r="E6780" s="115"/>
    </row>
    <row r="6781" spans="1:5" ht="13">
      <c r="A6781" s="115"/>
      <c r="B6781" s="115"/>
      <c r="C6781" s="115"/>
      <c r="D6781" s="115"/>
      <c r="E6781" s="115"/>
    </row>
    <row r="6782" spans="1:5" ht="13">
      <c r="A6782" s="115"/>
      <c r="B6782" s="115"/>
      <c r="C6782" s="115"/>
      <c r="D6782" s="115"/>
      <c r="E6782" s="115"/>
    </row>
    <row r="6783" spans="1:5" ht="13">
      <c r="A6783" s="115"/>
      <c r="B6783" s="115"/>
      <c r="C6783" s="115"/>
      <c r="D6783" s="115"/>
      <c r="E6783" s="115"/>
    </row>
    <row r="6784" spans="1:5" ht="13">
      <c r="A6784" s="115"/>
      <c r="B6784" s="115"/>
      <c r="C6784" s="115"/>
      <c r="D6784" s="115"/>
      <c r="E6784" s="115"/>
    </row>
    <row r="6785" spans="1:5" ht="13">
      <c r="A6785" s="115"/>
      <c r="B6785" s="115"/>
      <c r="C6785" s="115"/>
      <c r="D6785" s="115"/>
      <c r="E6785" s="115"/>
    </row>
    <row r="6786" spans="1:5" ht="13">
      <c r="A6786" s="115"/>
      <c r="B6786" s="115"/>
      <c r="C6786" s="115"/>
      <c r="D6786" s="115"/>
      <c r="E6786" s="115"/>
    </row>
    <row r="6787" spans="1:5" ht="13">
      <c r="A6787" s="115"/>
      <c r="B6787" s="115"/>
      <c r="C6787" s="115"/>
      <c r="D6787" s="115"/>
      <c r="E6787" s="115"/>
    </row>
    <row r="6788" spans="1:5" ht="13">
      <c r="A6788" s="115"/>
      <c r="B6788" s="115"/>
      <c r="C6788" s="115"/>
      <c r="D6788" s="115"/>
      <c r="E6788" s="115"/>
    </row>
    <row r="6789" spans="1:5" ht="13">
      <c r="A6789" s="115"/>
      <c r="B6789" s="115"/>
      <c r="C6789" s="115"/>
      <c r="D6789" s="115"/>
      <c r="E6789" s="115"/>
    </row>
    <row r="6790" spans="1:5" ht="13">
      <c r="A6790" s="115"/>
      <c r="B6790" s="115"/>
      <c r="C6790" s="115"/>
      <c r="D6790" s="115"/>
      <c r="E6790" s="115"/>
    </row>
    <row r="6791" spans="1:5" ht="13">
      <c r="A6791" s="115"/>
      <c r="B6791" s="115"/>
      <c r="C6791" s="115"/>
      <c r="D6791" s="115"/>
      <c r="E6791" s="115"/>
    </row>
    <row r="6792" spans="1:5" ht="13">
      <c r="A6792" s="115"/>
      <c r="B6792" s="115"/>
      <c r="C6792" s="115"/>
      <c r="D6792" s="115"/>
      <c r="E6792" s="115"/>
    </row>
    <row r="6793" spans="1:5" ht="13">
      <c r="A6793" s="115"/>
      <c r="B6793" s="115"/>
      <c r="C6793" s="115"/>
      <c r="D6793" s="115"/>
      <c r="E6793" s="115"/>
    </row>
    <row r="6794" spans="1:5" ht="13">
      <c r="A6794" s="115"/>
      <c r="B6794" s="115"/>
      <c r="C6794" s="115"/>
      <c r="D6794" s="115"/>
      <c r="E6794" s="115"/>
    </row>
    <row r="6795" spans="1:5" ht="13">
      <c r="A6795" s="115"/>
      <c r="B6795" s="115"/>
      <c r="C6795" s="115"/>
      <c r="D6795" s="115"/>
      <c r="E6795" s="115"/>
    </row>
    <row r="6796" spans="1:5" ht="13">
      <c r="A6796" s="115"/>
      <c r="B6796" s="115"/>
      <c r="C6796" s="115"/>
      <c r="D6796" s="115"/>
      <c r="E6796" s="115"/>
    </row>
    <row r="6797" spans="1:5" ht="13">
      <c r="A6797" s="115"/>
      <c r="B6797" s="115"/>
      <c r="C6797" s="115"/>
      <c r="D6797" s="115"/>
      <c r="E6797" s="115"/>
    </row>
    <row r="6798" spans="1:5" ht="13">
      <c r="A6798" s="115"/>
      <c r="B6798" s="115"/>
      <c r="C6798" s="115"/>
      <c r="D6798" s="115"/>
      <c r="E6798" s="115"/>
    </row>
    <row r="6799" spans="1:5" ht="13">
      <c r="A6799" s="115"/>
      <c r="B6799" s="115"/>
      <c r="C6799" s="115"/>
      <c r="D6799" s="115"/>
      <c r="E6799" s="115"/>
    </row>
    <row r="6800" spans="1:5" ht="13">
      <c r="A6800" s="115"/>
      <c r="B6800" s="115"/>
      <c r="C6800" s="115"/>
      <c r="D6800" s="115"/>
      <c r="E6800" s="115"/>
    </row>
    <row r="6801" spans="1:5" ht="13">
      <c r="A6801" s="115"/>
      <c r="B6801" s="115"/>
      <c r="C6801" s="115"/>
      <c r="D6801" s="115"/>
      <c r="E6801" s="115"/>
    </row>
    <row r="6802" spans="1:5" ht="13">
      <c r="A6802" s="115"/>
      <c r="B6802" s="115"/>
      <c r="C6802" s="115"/>
      <c r="D6802" s="115"/>
      <c r="E6802" s="115"/>
    </row>
    <row r="6803" spans="1:5" ht="13">
      <c r="A6803" s="115"/>
      <c r="B6803" s="115"/>
      <c r="C6803" s="115"/>
      <c r="D6803" s="115"/>
      <c r="E6803" s="115"/>
    </row>
    <row r="6804" spans="1:5" ht="13">
      <c r="A6804" s="115"/>
      <c r="B6804" s="115"/>
      <c r="C6804" s="115"/>
      <c r="D6804" s="115"/>
      <c r="E6804" s="115"/>
    </row>
    <row r="6805" spans="1:5" ht="13">
      <c r="A6805" s="115"/>
      <c r="B6805" s="115"/>
      <c r="C6805" s="115"/>
      <c r="D6805" s="115"/>
      <c r="E6805" s="115"/>
    </row>
    <row r="6806" spans="1:5" ht="13">
      <c r="A6806" s="115"/>
      <c r="B6806" s="115"/>
      <c r="C6806" s="115"/>
      <c r="D6806" s="115"/>
      <c r="E6806" s="115"/>
    </row>
    <row r="6807" spans="1:5" ht="13">
      <c r="A6807" s="115"/>
      <c r="B6807" s="115"/>
      <c r="C6807" s="115"/>
      <c r="D6807" s="115"/>
      <c r="E6807" s="115"/>
    </row>
    <row r="6808" spans="1:5" ht="13">
      <c r="A6808" s="115"/>
      <c r="B6808" s="115"/>
      <c r="C6808" s="115"/>
      <c r="D6808" s="115"/>
      <c r="E6808" s="115"/>
    </row>
    <row r="6809" spans="1:5" ht="13">
      <c r="A6809" s="115"/>
      <c r="B6809" s="115"/>
      <c r="C6809" s="115"/>
      <c r="D6809" s="115"/>
      <c r="E6809" s="115"/>
    </row>
    <row r="6810" spans="1:5" ht="13">
      <c r="A6810" s="115"/>
      <c r="B6810" s="115"/>
      <c r="C6810" s="115"/>
      <c r="D6810" s="115"/>
      <c r="E6810" s="115"/>
    </row>
    <row r="6811" spans="1:5" ht="13">
      <c r="A6811" s="115"/>
      <c r="B6811" s="115"/>
      <c r="C6811" s="115"/>
      <c r="D6811" s="115"/>
      <c r="E6811" s="115"/>
    </row>
    <row r="6812" spans="1:5" ht="13">
      <c r="A6812" s="115"/>
      <c r="B6812" s="115"/>
      <c r="C6812" s="115"/>
      <c r="D6812" s="115"/>
      <c r="E6812" s="115"/>
    </row>
    <row r="6813" spans="1:5" ht="13">
      <c r="A6813" s="115"/>
      <c r="B6813" s="115"/>
      <c r="C6813" s="115"/>
      <c r="D6813" s="115"/>
      <c r="E6813" s="115"/>
    </row>
    <row r="6814" spans="1:5" ht="13">
      <c r="A6814" s="115"/>
      <c r="B6814" s="115"/>
      <c r="C6814" s="115"/>
      <c r="D6814" s="115"/>
      <c r="E6814" s="115"/>
    </row>
    <row r="6815" spans="1:5" ht="13">
      <c r="A6815" s="115"/>
      <c r="B6815" s="115"/>
      <c r="C6815" s="115"/>
      <c r="D6815" s="115"/>
      <c r="E6815" s="115"/>
    </row>
    <row r="6816" spans="1:5" ht="13">
      <c r="A6816" s="115"/>
      <c r="B6816" s="115"/>
      <c r="C6816" s="115"/>
      <c r="D6816" s="115"/>
      <c r="E6816" s="115"/>
    </row>
    <row r="6817" spans="1:5" ht="13">
      <c r="A6817" s="115"/>
      <c r="B6817" s="115"/>
      <c r="C6817" s="115"/>
      <c r="D6817" s="115"/>
      <c r="E6817" s="115"/>
    </row>
    <row r="6818" spans="1:5" ht="13">
      <c r="A6818" s="115"/>
      <c r="B6818" s="115"/>
      <c r="C6818" s="115"/>
      <c r="D6818" s="115"/>
      <c r="E6818" s="115"/>
    </row>
    <row r="6819" spans="1:5" ht="13">
      <c r="A6819" s="115"/>
      <c r="B6819" s="115"/>
      <c r="C6819" s="115"/>
      <c r="D6819" s="115"/>
      <c r="E6819" s="115"/>
    </row>
    <row r="6820" spans="1:5" ht="13">
      <c r="A6820" s="115"/>
      <c r="B6820" s="115"/>
      <c r="C6820" s="115"/>
      <c r="D6820" s="115"/>
      <c r="E6820" s="115"/>
    </row>
    <row r="6821" spans="1:5" ht="13">
      <c r="A6821" s="115"/>
      <c r="B6821" s="115"/>
      <c r="C6821" s="115"/>
      <c r="D6821" s="115"/>
      <c r="E6821" s="115"/>
    </row>
    <row r="6822" spans="1:5" ht="13">
      <c r="A6822" s="115"/>
      <c r="B6822" s="115"/>
      <c r="C6822" s="115"/>
      <c r="D6822" s="115"/>
      <c r="E6822" s="115"/>
    </row>
    <row r="6823" spans="1:5" ht="13">
      <c r="A6823" s="115"/>
      <c r="B6823" s="115"/>
      <c r="C6823" s="115"/>
      <c r="D6823" s="115"/>
      <c r="E6823" s="115"/>
    </row>
    <row r="6824" spans="1:5" ht="13">
      <c r="A6824" s="115"/>
      <c r="B6824" s="115"/>
      <c r="C6824" s="115"/>
      <c r="D6824" s="115"/>
      <c r="E6824" s="115"/>
    </row>
    <row r="6825" spans="1:5" ht="13">
      <c r="A6825" s="115"/>
      <c r="B6825" s="115"/>
      <c r="C6825" s="115"/>
      <c r="D6825" s="115"/>
      <c r="E6825" s="115"/>
    </row>
    <row r="6826" spans="1:5" ht="13">
      <c r="A6826" s="115"/>
      <c r="B6826" s="115"/>
      <c r="C6826" s="115"/>
      <c r="D6826" s="115"/>
      <c r="E6826" s="115"/>
    </row>
    <row r="6827" spans="1:5" ht="13">
      <c r="A6827" s="115"/>
      <c r="B6827" s="115"/>
      <c r="C6827" s="115"/>
      <c r="D6827" s="115"/>
      <c r="E6827" s="115"/>
    </row>
    <row r="6828" spans="1:5" ht="13">
      <c r="A6828" s="115"/>
      <c r="B6828" s="115"/>
      <c r="C6828" s="115"/>
      <c r="D6828" s="115"/>
      <c r="E6828" s="115"/>
    </row>
    <row r="6829" spans="1:5" ht="13">
      <c r="A6829" s="115"/>
      <c r="B6829" s="115"/>
      <c r="C6829" s="115"/>
      <c r="D6829" s="115"/>
      <c r="E6829" s="115"/>
    </row>
    <row r="6830" spans="1:5" ht="13">
      <c r="A6830" s="115"/>
      <c r="B6830" s="115"/>
      <c r="C6830" s="115"/>
      <c r="D6830" s="115"/>
      <c r="E6830" s="115"/>
    </row>
    <row r="6831" spans="1:5" ht="13">
      <c r="A6831" s="115"/>
      <c r="B6831" s="115"/>
      <c r="C6831" s="115"/>
      <c r="D6831" s="115"/>
      <c r="E6831" s="115"/>
    </row>
    <row r="6832" spans="1:5" ht="13">
      <c r="A6832" s="115"/>
      <c r="B6832" s="115"/>
      <c r="C6832" s="115"/>
      <c r="D6832" s="115"/>
      <c r="E6832" s="115"/>
    </row>
    <row r="6833" spans="1:5" ht="13">
      <c r="A6833" s="115"/>
      <c r="B6833" s="115"/>
      <c r="C6833" s="115"/>
      <c r="D6833" s="115"/>
      <c r="E6833" s="115"/>
    </row>
    <row r="6834" spans="1:5" ht="13">
      <c r="A6834" s="115"/>
      <c r="B6834" s="115"/>
      <c r="C6834" s="115"/>
      <c r="D6834" s="115"/>
      <c r="E6834" s="115"/>
    </row>
    <row r="6835" spans="1:5" ht="13">
      <c r="A6835" s="115"/>
      <c r="B6835" s="115"/>
      <c r="C6835" s="115"/>
      <c r="D6835" s="115"/>
      <c r="E6835" s="115"/>
    </row>
    <row r="6836" spans="1:5" ht="13">
      <c r="A6836" s="115"/>
      <c r="B6836" s="115"/>
      <c r="C6836" s="115"/>
      <c r="D6836" s="115"/>
      <c r="E6836" s="115"/>
    </row>
    <row r="6837" spans="1:5" ht="13">
      <c r="A6837" s="115"/>
      <c r="B6837" s="115"/>
      <c r="C6837" s="115"/>
      <c r="D6837" s="115"/>
      <c r="E6837" s="115"/>
    </row>
    <row r="6838" spans="1:5" ht="13">
      <c r="A6838" s="115"/>
      <c r="B6838" s="115"/>
      <c r="C6838" s="115"/>
      <c r="D6838" s="115"/>
      <c r="E6838" s="115"/>
    </row>
    <row r="6839" spans="1:5" ht="13">
      <c r="A6839" s="115"/>
      <c r="B6839" s="115"/>
      <c r="C6839" s="115"/>
      <c r="D6839" s="115"/>
      <c r="E6839" s="115"/>
    </row>
    <row r="6840" spans="1:5" ht="13">
      <c r="A6840" s="115"/>
      <c r="B6840" s="115"/>
      <c r="C6840" s="115"/>
      <c r="D6840" s="115"/>
      <c r="E6840" s="115"/>
    </row>
    <row r="6841" spans="1:5" ht="13">
      <c r="A6841" s="115"/>
      <c r="B6841" s="115"/>
      <c r="C6841" s="115"/>
      <c r="D6841" s="115"/>
      <c r="E6841" s="115"/>
    </row>
    <row r="6842" spans="1:5" ht="13">
      <c r="A6842" s="115"/>
      <c r="B6842" s="115"/>
      <c r="C6842" s="115"/>
      <c r="D6842" s="115"/>
      <c r="E6842" s="115"/>
    </row>
    <row r="6843" spans="1:5" ht="13">
      <c r="A6843" s="115"/>
      <c r="B6843" s="115"/>
      <c r="C6843" s="115"/>
      <c r="D6843" s="115"/>
      <c r="E6843" s="115"/>
    </row>
    <row r="6844" spans="1:5" ht="13">
      <c r="A6844" s="115"/>
      <c r="B6844" s="115"/>
      <c r="C6844" s="115"/>
      <c r="D6844" s="115"/>
      <c r="E6844" s="115"/>
    </row>
    <row r="6845" spans="1:5" ht="13">
      <c r="A6845" s="115"/>
      <c r="B6845" s="115"/>
      <c r="C6845" s="115"/>
      <c r="D6845" s="115"/>
      <c r="E6845" s="115"/>
    </row>
    <row r="6846" spans="1:5" ht="13">
      <c r="A6846" s="115"/>
      <c r="B6846" s="115"/>
      <c r="C6846" s="115"/>
      <c r="D6846" s="115"/>
      <c r="E6846" s="115"/>
    </row>
    <row r="6847" spans="1:5" ht="13">
      <c r="A6847" s="115"/>
      <c r="B6847" s="115"/>
      <c r="C6847" s="115"/>
      <c r="D6847" s="115"/>
      <c r="E6847" s="115"/>
    </row>
    <row r="6848" spans="1:5" ht="13">
      <c r="A6848" s="115"/>
      <c r="B6848" s="115"/>
      <c r="C6848" s="115"/>
      <c r="D6848" s="115"/>
      <c r="E6848" s="115"/>
    </row>
    <row r="6849" spans="1:5" ht="13">
      <c r="A6849" s="115"/>
      <c r="B6849" s="115"/>
      <c r="C6849" s="115"/>
      <c r="D6849" s="115"/>
      <c r="E6849" s="115"/>
    </row>
    <row r="6850" spans="1:5" ht="13">
      <c r="A6850" s="115"/>
      <c r="B6850" s="115"/>
      <c r="C6850" s="115"/>
      <c r="D6850" s="115"/>
      <c r="E6850" s="115"/>
    </row>
    <row r="6851" spans="1:5" ht="13">
      <c r="A6851" s="115"/>
      <c r="B6851" s="115"/>
      <c r="C6851" s="115"/>
      <c r="D6851" s="115"/>
      <c r="E6851" s="115"/>
    </row>
    <row r="6852" spans="1:5" ht="13">
      <c r="A6852" s="115"/>
      <c r="B6852" s="115"/>
      <c r="C6852" s="115"/>
      <c r="D6852" s="115"/>
      <c r="E6852" s="115"/>
    </row>
    <row r="6853" spans="1:5" ht="13">
      <c r="A6853" s="115"/>
      <c r="B6853" s="115"/>
      <c r="C6853" s="115"/>
      <c r="D6853" s="115"/>
      <c r="E6853" s="115"/>
    </row>
    <row r="6854" spans="1:5" ht="13">
      <c r="A6854" s="115"/>
      <c r="B6854" s="115"/>
      <c r="C6854" s="115"/>
      <c r="D6854" s="115"/>
      <c r="E6854" s="115"/>
    </row>
    <row r="6855" spans="1:5" ht="13">
      <c r="A6855" s="115"/>
      <c r="B6855" s="115"/>
      <c r="C6855" s="115"/>
      <c r="D6855" s="115"/>
      <c r="E6855" s="115"/>
    </row>
    <row r="6856" spans="1:5" ht="13">
      <c r="A6856" s="115"/>
      <c r="B6856" s="115"/>
      <c r="C6856" s="115"/>
      <c r="D6856" s="115"/>
      <c r="E6856" s="115"/>
    </row>
    <row r="6857" spans="1:5" ht="13">
      <c r="A6857" s="115"/>
      <c r="B6857" s="115"/>
      <c r="C6857" s="115"/>
      <c r="D6857" s="115"/>
      <c r="E6857" s="115"/>
    </row>
    <row r="6858" spans="1:5" ht="13">
      <c r="A6858" s="115"/>
      <c r="B6858" s="115"/>
      <c r="C6858" s="115"/>
      <c r="D6858" s="115"/>
      <c r="E6858" s="115"/>
    </row>
    <row r="6859" spans="1:5" ht="13">
      <c r="A6859" s="115"/>
      <c r="B6859" s="115"/>
      <c r="C6859" s="115"/>
      <c r="D6859" s="115"/>
      <c r="E6859" s="115"/>
    </row>
    <row r="6860" spans="1:5" ht="13">
      <c r="A6860" s="115"/>
      <c r="B6860" s="115"/>
      <c r="C6860" s="115"/>
      <c r="D6860" s="115"/>
      <c r="E6860" s="115"/>
    </row>
    <row r="6861" spans="1:5" ht="13">
      <c r="A6861" s="115"/>
      <c r="B6861" s="115"/>
      <c r="C6861" s="115"/>
      <c r="D6861" s="115"/>
      <c r="E6861" s="115"/>
    </row>
    <row r="6862" spans="1:5" ht="13">
      <c r="A6862" s="115"/>
      <c r="B6862" s="115"/>
      <c r="C6862" s="115"/>
      <c r="D6862" s="115"/>
      <c r="E6862" s="115"/>
    </row>
    <row r="6863" spans="1:5" ht="13">
      <c r="A6863" s="115"/>
      <c r="B6863" s="115"/>
      <c r="C6863" s="115"/>
      <c r="D6863" s="115"/>
      <c r="E6863" s="115"/>
    </row>
    <row r="6864" spans="1:5" ht="13">
      <c r="A6864" s="115"/>
      <c r="B6864" s="115"/>
      <c r="C6864" s="115"/>
      <c r="D6864" s="115"/>
      <c r="E6864" s="115"/>
    </row>
    <row r="6865" spans="1:5" ht="13">
      <c r="A6865" s="115"/>
      <c r="B6865" s="115"/>
      <c r="C6865" s="115"/>
      <c r="D6865" s="115"/>
      <c r="E6865" s="115"/>
    </row>
    <row r="6866" spans="1:5" ht="13">
      <c r="A6866" s="115"/>
      <c r="B6866" s="115"/>
      <c r="C6866" s="115"/>
      <c r="D6866" s="115"/>
      <c r="E6866" s="115"/>
    </row>
    <row r="6867" spans="1:5" ht="13">
      <c r="A6867" s="115"/>
      <c r="B6867" s="115"/>
      <c r="C6867" s="115"/>
      <c r="D6867" s="115"/>
      <c r="E6867" s="115"/>
    </row>
    <row r="6868" spans="1:5" ht="13">
      <c r="A6868" s="115"/>
      <c r="B6868" s="115"/>
      <c r="C6868" s="115"/>
      <c r="D6868" s="115"/>
      <c r="E6868" s="115"/>
    </row>
    <row r="6869" spans="1:5" ht="13">
      <c r="A6869" s="115"/>
      <c r="B6869" s="115"/>
      <c r="C6869" s="115"/>
      <c r="D6869" s="115"/>
      <c r="E6869" s="115"/>
    </row>
    <row r="6870" spans="1:5" ht="13">
      <c r="A6870" s="115"/>
      <c r="B6870" s="115"/>
      <c r="C6870" s="115"/>
      <c r="D6870" s="115"/>
      <c r="E6870" s="115"/>
    </row>
    <row r="6871" spans="1:5" ht="13">
      <c r="A6871" s="115"/>
      <c r="B6871" s="115"/>
      <c r="C6871" s="115"/>
      <c r="D6871" s="115"/>
      <c r="E6871" s="115"/>
    </row>
    <row r="6872" spans="1:5" ht="13">
      <c r="A6872" s="115"/>
      <c r="B6872" s="115"/>
      <c r="C6872" s="115"/>
      <c r="D6872" s="115"/>
      <c r="E6872" s="115"/>
    </row>
    <row r="6873" spans="1:5" ht="13">
      <c r="A6873" s="115"/>
      <c r="B6873" s="115"/>
      <c r="C6873" s="115"/>
      <c r="D6873" s="115"/>
      <c r="E6873" s="115"/>
    </row>
    <row r="6874" spans="1:5" ht="13">
      <c r="A6874" s="115"/>
      <c r="B6874" s="115"/>
      <c r="C6874" s="115"/>
      <c r="D6874" s="115"/>
      <c r="E6874" s="115"/>
    </row>
    <row r="6875" spans="1:5" ht="13">
      <c r="A6875" s="115"/>
      <c r="B6875" s="115"/>
      <c r="C6875" s="115"/>
      <c r="D6875" s="115"/>
      <c r="E6875" s="115"/>
    </row>
    <row r="6876" spans="1:5" ht="13">
      <c r="A6876" s="115"/>
      <c r="B6876" s="115"/>
      <c r="C6876" s="115"/>
      <c r="D6876" s="115"/>
      <c r="E6876" s="115"/>
    </row>
    <row r="6877" spans="1:5" ht="13">
      <c r="A6877" s="115"/>
      <c r="B6877" s="115"/>
      <c r="C6877" s="115"/>
      <c r="D6877" s="115"/>
      <c r="E6877" s="115"/>
    </row>
    <row r="6878" spans="1:5" ht="13">
      <c r="A6878" s="115"/>
      <c r="B6878" s="115"/>
      <c r="C6878" s="115"/>
      <c r="D6878" s="115"/>
      <c r="E6878" s="115"/>
    </row>
    <row r="6879" spans="1:5" ht="13">
      <c r="A6879" s="115"/>
      <c r="B6879" s="115"/>
      <c r="C6879" s="115"/>
      <c r="D6879" s="115"/>
      <c r="E6879" s="115"/>
    </row>
    <row r="6880" spans="1:5" ht="13">
      <c r="A6880" s="115"/>
      <c r="B6880" s="115"/>
      <c r="C6880" s="115"/>
      <c r="D6880" s="115"/>
      <c r="E6880" s="115"/>
    </row>
    <row r="6881" spans="1:5" ht="13">
      <c r="A6881" s="115"/>
      <c r="B6881" s="115"/>
      <c r="C6881" s="115"/>
      <c r="D6881" s="115"/>
      <c r="E6881" s="115"/>
    </row>
    <row r="6882" spans="1:5" ht="13">
      <c r="A6882" s="115"/>
      <c r="B6882" s="115"/>
      <c r="C6882" s="115"/>
      <c r="D6882" s="115"/>
      <c r="E6882" s="115"/>
    </row>
    <row r="6883" spans="1:5" ht="13">
      <c r="A6883" s="115"/>
      <c r="B6883" s="115"/>
      <c r="C6883" s="115"/>
      <c r="D6883" s="115"/>
      <c r="E6883" s="115"/>
    </row>
    <row r="6884" spans="1:5" ht="13">
      <c r="A6884" s="115"/>
      <c r="B6884" s="115"/>
      <c r="C6884" s="115"/>
      <c r="D6884" s="115"/>
      <c r="E6884" s="115"/>
    </row>
    <row r="6885" spans="1:5" ht="13">
      <c r="A6885" s="115"/>
      <c r="B6885" s="115"/>
      <c r="C6885" s="115"/>
      <c r="D6885" s="115"/>
      <c r="E6885" s="115"/>
    </row>
    <row r="6886" spans="1:5" ht="13">
      <c r="A6886" s="115"/>
      <c r="B6886" s="115"/>
      <c r="C6886" s="115"/>
      <c r="D6886" s="115"/>
      <c r="E6886" s="115"/>
    </row>
    <row r="6887" spans="1:5" ht="13">
      <c r="A6887" s="115"/>
      <c r="B6887" s="115"/>
      <c r="C6887" s="115"/>
      <c r="D6887" s="115"/>
      <c r="E6887" s="115"/>
    </row>
    <row r="6888" spans="1:5" ht="13">
      <c r="A6888" s="115"/>
      <c r="B6888" s="115"/>
      <c r="C6888" s="115"/>
      <c r="D6888" s="115"/>
      <c r="E6888" s="115"/>
    </row>
    <row r="6889" spans="1:5" ht="13">
      <c r="A6889" s="115"/>
      <c r="B6889" s="115"/>
      <c r="C6889" s="115"/>
      <c r="D6889" s="115"/>
      <c r="E6889" s="115"/>
    </row>
    <row r="6890" spans="1:5" ht="13">
      <c r="A6890" s="115"/>
      <c r="B6890" s="115"/>
      <c r="C6890" s="115"/>
      <c r="D6890" s="115"/>
      <c r="E6890" s="115"/>
    </row>
    <row r="6891" spans="1:5" ht="13">
      <c r="A6891" s="115"/>
      <c r="B6891" s="115"/>
      <c r="C6891" s="115"/>
      <c r="D6891" s="115"/>
      <c r="E6891" s="115"/>
    </row>
    <row r="6892" spans="1:5" ht="13">
      <c r="A6892" s="115"/>
      <c r="B6892" s="115"/>
      <c r="C6892" s="115"/>
      <c r="D6892" s="115"/>
      <c r="E6892" s="115"/>
    </row>
    <row r="6893" spans="1:5" ht="13">
      <c r="A6893" s="115"/>
      <c r="B6893" s="115"/>
      <c r="C6893" s="115"/>
      <c r="D6893" s="115"/>
      <c r="E6893" s="115"/>
    </row>
    <row r="6894" spans="1:5" ht="13">
      <c r="A6894" s="115"/>
      <c r="B6894" s="115"/>
      <c r="C6894" s="115"/>
      <c r="D6894" s="115"/>
      <c r="E6894" s="115"/>
    </row>
    <row r="6895" spans="1:5" ht="13">
      <c r="A6895" s="115"/>
      <c r="B6895" s="115"/>
      <c r="C6895" s="115"/>
      <c r="D6895" s="115"/>
      <c r="E6895" s="115"/>
    </row>
    <row r="6896" spans="1:5" ht="13">
      <c r="A6896" s="115"/>
      <c r="B6896" s="115"/>
      <c r="C6896" s="115"/>
      <c r="D6896" s="115"/>
      <c r="E6896" s="115"/>
    </row>
    <row r="6897" spans="1:5" ht="13">
      <c r="A6897" s="115"/>
      <c r="B6897" s="115"/>
      <c r="C6897" s="115"/>
      <c r="D6897" s="115"/>
      <c r="E6897" s="115"/>
    </row>
    <row r="6898" spans="1:5" ht="13">
      <c r="A6898" s="115"/>
      <c r="B6898" s="115"/>
      <c r="C6898" s="115"/>
      <c r="D6898" s="115"/>
      <c r="E6898" s="115"/>
    </row>
    <row r="6899" spans="1:5" ht="13">
      <c r="A6899" s="115"/>
      <c r="B6899" s="115"/>
      <c r="C6899" s="115"/>
      <c r="D6899" s="115"/>
      <c r="E6899" s="115"/>
    </row>
    <row r="6900" spans="1:5" ht="13">
      <c r="A6900" s="115"/>
      <c r="B6900" s="115"/>
      <c r="C6900" s="115"/>
      <c r="D6900" s="115"/>
      <c r="E6900" s="115"/>
    </row>
    <row r="6901" spans="1:5" ht="13">
      <c r="A6901" s="115"/>
      <c r="B6901" s="115"/>
      <c r="C6901" s="115"/>
      <c r="D6901" s="115"/>
      <c r="E6901" s="115"/>
    </row>
    <row r="6902" spans="1:5" ht="13">
      <c r="A6902" s="115"/>
      <c r="B6902" s="115"/>
      <c r="C6902" s="115"/>
      <c r="D6902" s="115"/>
      <c r="E6902" s="115"/>
    </row>
    <row r="6903" spans="1:5" ht="13">
      <c r="A6903" s="115"/>
      <c r="B6903" s="115"/>
      <c r="C6903" s="115"/>
      <c r="D6903" s="115"/>
      <c r="E6903" s="115"/>
    </row>
    <row r="6904" spans="1:5" ht="13">
      <c r="A6904" s="115"/>
      <c r="B6904" s="115"/>
      <c r="C6904" s="115"/>
      <c r="D6904" s="115"/>
      <c r="E6904" s="115"/>
    </row>
    <row r="6905" spans="1:5" ht="13">
      <c r="A6905" s="115"/>
      <c r="B6905" s="115"/>
      <c r="C6905" s="115"/>
      <c r="D6905" s="115"/>
      <c r="E6905" s="115"/>
    </row>
    <row r="6906" spans="1:5" ht="13">
      <c r="A6906" s="115"/>
      <c r="B6906" s="115"/>
      <c r="C6906" s="115"/>
      <c r="D6906" s="115"/>
      <c r="E6906" s="115"/>
    </row>
    <row r="6907" spans="1:5" ht="13">
      <c r="A6907" s="115"/>
      <c r="B6907" s="115"/>
      <c r="C6907" s="115"/>
      <c r="D6907" s="115"/>
      <c r="E6907" s="115"/>
    </row>
    <row r="6908" spans="1:5" ht="13">
      <c r="A6908" s="115"/>
      <c r="B6908" s="115"/>
      <c r="C6908" s="115"/>
      <c r="D6908" s="115"/>
      <c r="E6908" s="115"/>
    </row>
    <row r="6909" spans="1:5" ht="13">
      <c r="A6909" s="115"/>
      <c r="B6909" s="115"/>
      <c r="C6909" s="115"/>
      <c r="D6909" s="115"/>
      <c r="E6909" s="115"/>
    </row>
    <row r="6910" spans="1:5" ht="13">
      <c r="A6910" s="115"/>
      <c r="B6910" s="115"/>
      <c r="C6910" s="115"/>
      <c r="D6910" s="115"/>
      <c r="E6910" s="115"/>
    </row>
    <row r="6911" spans="1:5" ht="13">
      <c r="A6911" s="115"/>
      <c r="B6911" s="115"/>
      <c r="C6911" s="115"/>
      <c r="D6911" s="115"/>
      <c r="E6911" s="115"/>
    </row>
    <row r="6912" spans="1:5" ht="13">
      <c r="A6912" s="115"/>
      <c r="B6912" s="115"/>
      <c r="C6912" s="115"/>
      <c r="D6912" s="115"/>
      <c r="E6912" s="115"/>
    </row>
    <row r="6913" spans="1:5" ht="13">
      <c r="A6913" s="115"/>
      <c r="B6913" s="115"/>
      <c r="C6913" s="115"/>
      <c r="D6913" s="115"/>
      <c r="E6913" s="115"/>
    </row>
    <row r="6914" spans="1:5" ht="13">
      <c r="A6914" s="115"/>
      <c r="B6914" s="115"/>
      <c r="C6914" s="115"/>
      <c r="D6914" s="115"/>
      <c r="E6914" s="115"/>
    </row>
    <row r="6915" spans="1:5" ht="13">
      <c r="A6915" s="115"/>
      <c r="B6915" s="115"/>
      <c r="C6915" s="115"/>
      <c r="D6915" s="115"/>
      <c r="E6915" s="115"/>
    </row>
    <row r="6916" spans="1:5" ht="13">
      <c r="A6916" s="115"/>
      <c r="B6916" s="115"/>
      <c r="C6916" s="115"/>
      <c r="D6916" s="115"/>
      <c r="E6916" s="115"/>
    </row>
    <row r="6917" spans="1:5" ht="13">
      <c r="A6917" s="115"/>
      <c r="B6917" s="115"/>
      <c r="C6917" s="115"/>
      <c r="D6917" s="115"/>
      <c r="E6917" s="115"/>
    </row>
    <row r="6918" spans="1:5" ht="13">
      <c r="A6918" s="115"/>
      <c r="B6918" s="115"/>
      <c r="C6918" s="115"/>
      <c r="D6918" s="115"/>
      <c r="E6918" s="115"/>
    </row>
    <row r="6919" spans="1:5" ht="13">
      <c r="A6919" s="115"/>
      <c r="B6919" s="115"/>
      <c r="C6919" s="115"/>
      <c r="D6919" s="115"/>
      <c r="E6919" s="115"/>
    </row>
    <row r="6920" spans="1:5" ht="13">
      <c r="A6920" s="115"/>
      <c r="B6920" s="115"/>
      <c r="C6920" s="115"/>
      <c r="D6920" s="115"/>
      <c r="E6920" s="115"/>
    </row>
    <row r="6921" spans="1:5" ht="13">
      <c r="A6921" s="115"/>
      <c r="B6921" s="115"/>
      <c r="C6921" s="115"/>
      <c r="D6921" s="115"/>
      <c r="E6921" s="115"/>
    </row>
    <row r="6922" spans="1:5" ht="13">
      <c r="A6922" s="115"/>
      <c r="B6922" s="115"/>
      <c r="C6922" s="115"/>
      <c r="D6922" s="115"/>
      <c r="E6922" s="115"/>
    </row>
    <row r="6923" spans="1:5" ht="13">
      <c r="A6923" s="115"/>
      <c r="B6923" s="115"/>
      <c r="C6923" s="115"/>
      <c r="D6923" s="115"/>
      <c r="E6923" s="115"/>
    </row>
    <row r="6924" spans="1:5" ht="13">
      <c r="A6924" s="115"/>
      <c r="B6924" s="115"/>
      <c r="C6924" s="115"/>
      <c r="D6924" s="115"/>
      <c r="E6924" s="115"/>
    </row>
    <row r="6925" spans="1:5" ht="13">
      <c r="A6925" s="115"/>
      <c r="B6925" s="115"/>
      <c r="C6925" s="115"/>
      <c r="D6925" s="115"/>
      <c r="E6925" s="115"/>
    </row>
    <row r="6926" spans="1:5" ht="13">
      <c r="A6926" s="115"/>
      <c r="B6926" s="115"/>
      <c r="C6926" s="115"/>
      <c r="D6926" s="115"/>
      <c r="E6926" s="115"/>
    </row>
    <row r="6927" spans="1:5" ht="13">
      <c r="A6927" s="115"/>
      <c r="B6927" s="115"/>
      <c r="C6927" s="115"/>
      <c r="D6927" s="115"/>
      <c r="E6927" s="115"/>
    </row>
    <row r="6928" spans="1:5" ht="13">
      <c r="A6928" s="115"/>
      <c r="B6928" s="115"/>
      <c r="C6928" s="115"/>
      <c r="D6928" s="115"/>
      <c r="E6928" s="115"/>
    </row>
    <row r="6929" spans="1:5" ht="13">
      <c r="A6929" s="115"/>
      <c r="B6929" s="115"/>
      <c r="C6929" s="115"/>
      <c r="D6929" s="115"/>
      <c r="E6929" s="115"/>
    </row>
    <row r="6930" spans="1:5" ht="13">
      <c r="A6930" s="115"/>
      <c r="B6930" s="115"/>
      <c r="C6930" s="115"/>
      <c r="D6930" s="115"/>
      <c r="E6930" s="115"/>
    </row>
    <row r="6931" spans="1:5" ht="13">
      <c r="A6931" s="115"/>
      <c r="B6931" s="115"/>
      <c r="C6931" s="115"/>
      <c r="D6931" s="115"/>
      <c r="E6931" s="115"/>
    </row>
    <row r="6932" spans="1:5" ht="13">
      <c r="A6932" s="115"/>
      <c r="B6932" s="115"/>
      <c r="C6932" s="115"/>
      <c r="D6932" s="115"/>
      <c r="E6932" s="115"/>
    </row>
    <row r="6933" spans="1:5" ht="13">
      <c r="A6933" s="115"/>
      <c r="B6933" s="115"/>
      <c r="C6933" s="115"/>
      <c r="D6933" s="115"/>
      <c r="E6933" s="115"/>
    </row>
    <row r="6934" spans="1:5" ht="13">
      <c r="A6934" s="115"/>
      <c r="B6934" s="115"/>
      <c r="C6934" s="115"/>
      <c r="D6934" s="115"/>
      <c r="E6934" s="115"/>
    </row>
    <row r="6935" spans="1:5" ht="13">
      <c r="A6935" s="115"/>
      <c r="B6935" s="115"/>
      <c r="C6935" s="115"/>
      <c r="D6935" s="115"/>
      <c r="E6935" s="115"/>
    </row>
    <row r="6936" spans="1:5" ht="13">
      <c r="A6936" s="115"/>
      <c r="B6936" s="115"/>
      <c r="C6936" s="115"/>
      <c r="D6936" s="115"/>
      <c r="E6936" s="115"/>
    </row>
    <row r="6937" spans="1:5" ht="13">
      <c r="A6937" s="115"/>
      <c r="B6937" s="115"/>
      <c r="C6937" s="115"/>
      <c r="D6937" s="115"/>
      <c r="E6937" s="115"/>
    </row>
    <row r="6938" spans="1:5" ht="13">
      <c r="A6938" s="115"/>
      <c r="B6938" s="115"/>
      <c r="C6938" s="115"/>
      <c r="D6938" s="115"/>
      <c r="E6938" s="115"/>
    </row>
    <row r="6939" spans="1:5" ht="13">
      <c r="A6939" s="115"/>
      <c r="B6939" s="115"/>
      <c r="C6939" s="115"/>
      <c r="D6939" s="115"/>
      <c r="E6939" s="115"/>
    </row>
    <row r="6940" spans="1:5" ht="13">
      <c r="A6940" s="115"/>
      <c r="B6940" s="115"/>
      <c r="C6940" s="115"/>
      <c r="D6940" s="115"/>
      <c r="E6940" s="115"/>
    </row>
    <row r="6941" spans="1:5" ht="13">
      <c r="A6941" s="115"/>
      <c r="B6941" s="115"/>
      <c r="C6941" s="115"/>
      <c r="D6941" s="115"/>
      <c r="E6941" s="115"/>
    </row>
    <row r="6942" spans="1:5" ht="13">
      <c r="A6942" s="115"/>
      <c r="B6942" s="115"/>
      <c r="C6942" s="115"/>
      <c r="D6942" s="115"/>
      <c r="E6942" s="115"/>
    </row>
    <row r="6943" spans="1:5" ht="13">
      <c r="A6943" s="115"/>
      <c r="B6943" s="115"/>
      <c r="C6943" s="115"/>
      <c r="D6943" s="115"/>
      <c r="E6943" s="115"/>
    </row>
    <row r="6944" spans="1:5" ht="13">
      <c r="A6944" s="115"/>
      <c r="B6944" s="115"/>
      <c r="C6944" s="115"/>
      <c r="D6944" s="115"/>
      <c r="E6944" s="115"/>
    </row>
    <row r="6945" spans="1:5" ht="13">
      <c r="A6945" s="115"/>
      <c r="B6945" s="115"/>
      <c r="C6945" s="115"/>
      <c r="D6945" s="115"/>
      <c r="E6945" s="115"/>
    </row>
    <row r="6946" spans="1:5" ht="13">
      <c r="A6946" s="115"/>
      <c r="B6946" s="115"/>
      <c r="C6946" s="115"/>
      <c r="D6946" s="115"/>
      <c r="E6946" s="115"/>
    </row>
    <row r="6947" spans="1:5" ht="13">
      <c r="A6947" s="115"/>
      <c r="B6947" s="115"/>
      <c r="C6947" s="115"/>
      <c r="D6947" s="115"/>
      <c r="E6947" s="115"/>
    </row>
    <row r="6948" spans="1:5" ht="13">
      <c r="A6948" s="115"/>
      <c r="B6948" s="115"/>
      <c r="C6948" s="115"/>
      <c r="D6948" s="115"/>
      <c r="E6948" s="115"/>
    </row>
    <row r="6949" spans="1:5" ht="13">
      <c r="A6949" s="115"/>
      <c r="B6949" s="115"/>
      <c r="C6949" s="115"/>
      <c r="D6949" s="115"/>
      <c r="E6949" s="115"/>
    </row>
    <row r="6950" spans="1:5" ht="13">
      <c r="A6950" s="115"/>
      <c r="B6950" s="115"/>
      <c r="C6950" s="115"/>
      <c r="D6950" s="115"/>
      <c r="E6950" s="115"/>
    </row>
    <row r="6951" spans="1:5" ht="13">
      <c r="A6951" s="115"/>
      <c r="B6951" s="115"/>
      <c r="C6951" s="115"/>
      <c r="D6951" s="115"/>
      <c r="E6951" s="115"/>
    </row>
    <row r="6952" spans="1:5" ht="13">
      <c r="A6952" s="115"/>
      <c r="B6952" s="115"/>
      <c r="C6952" s="115"/>
      <c r="D6952" s="115"/>
      <c r="E6952" s="115"/>
    </row>
    <row r="6953" spans="1:5" ht="13">
      <c r="A6953" s="115"/>
      <c r="B6953" s="115"/>
      <c r="C6953" s="115"/>
      <c r="D6953" s="115"/>
      <c r="E6953" s="115"/>
    </row>
    <row r="6954" spans="1:5" ht="13">
      <c r="A6954" s="115"/>
      <c r="B6954" s="115"/>
      <c r="C6954" s="115"/>
      <c r="D6954" s="115"/>
      <c r="E6954" s="115"/>
    </row>
    <row r="6955" spans="1:5" ht="13">
      <c r="A6955" s="115"/>
      <c r="B6955" s="115"/>
      <c r="C6955" s="115"/>
      <c r="D6955" s="115"/>
      <c r="E6955" s="115"/>
    </row>
    <row r="6956" spans="1:5" ht="13">
      <c r="A6956" s="115"/>
      <c r="B6956" s="115"/>
      <c r="C6956" s="115"/>
      <c r="D6956" s="115"/>
      <c r="E6956" s="115"/>
    </row>
    <row r="6957" spans="1:5" ht="13">
      <c r="A6957" s="115"/>
      <c r="B6957" s="115"/>
      <c r="C6957" s="115"/>
      <c r="D6957" s="115"/>
      <c r="E6957" s="115"/>
    </row>
    <row r="6958" spans="1:5" ht="13">
      <c r="A6958" s="115"/>
      <c r="B6958" s="115"/>
      <c r="C6958" s="115"/>
      <c r="D6958" s="115"/>
      <c r="E6958" s="115"/>
    </row>
    <row r="6959" spans="1:5" ht="13">
      <c r="A6959" s="115"/>
      <c r="B6959" s="115"/>
      <c r="C6959" s="115"/>
      <c r="D6959" s="115"/>
      <c r="E6959" s="115"/>
    </row>
    <row r="6960" spans="1:5" ht="13">
      <c r="A6960" s="115"/>
      <c r="B6960" s="115"/>
      <c r="C6960" s="115"/>
      <c r="D6960" s="115"/>
      <c r="E6960" s="115"/>
    </row>
    <row r="6961" spans="1:5" ht="13">
      <c r="A6961" s="115"/>
      <c r="B6961" s="115"/>
      <c r="C6961" s="115"/>
      <c r="D6961" s="115"/>
      <c r="E6961" s="115"/>
    </row>
    <row r="6962" spans="1:5" ht="13">
      <c r="A6962" s="115"/>
      <c r="B6962" s="115"/>
      <c r="C6962" s="115"/>
      <c r="D6962" s="115"/>
      <c r="E6962" s="115"/>
    </row>
    <row r="6963" spans="1:5" ht="13">
      <c r="A6963" s="115"/>
      <c r="B6963" s="115"/>
      <c r="C6963" s="115"/>
      <c r="D6963" s="115"/>
      <c r="E6963" s="115"/>
    </row>
    <row r="6964" spans="1:5" ht="13">
      <c r="A6964" s="115"/>
      <c r="B6964" s="115"/>
      <c r="C6964" s="115"/>
      <c r="D6964" s="115"/>
      <c r="E6964" s="115"/>
    </row>
    <row r="6965" spans="1:5" ht="13">
      <c r="A6965" s="115"/>
      <c r="B6965" s="115"/>
      <c r="C6965" s="115"/>
      <c r="D6965" s="115"/>
      <c r="E6965" s="115"/>
    </row>
    <row r="6966" spans="1:5" ht="13">
      <c r="A6966" s="115"/>
      <c r="B6966" s="115"/>
      <c r="C6966" s="115"/>
      <c r="D6966" s="115"/>
      <c r="E6966" s="115"/>
    </row>
    <row r="6967" spans="1:5" ht="13">
      <c r="A6967" s="115"/>
      <c r="B6967" s="115"/>
      <c r="C6967" s="115"/>
      <c r="D6967" s="115"/>
      <c r="E6967" s="115"/>
    </row>
    <row r="6968" spans="1:5" ht="13">
      <c r="A6968" s="115"/>
      <c r="B6968" s="115"/>
      <c r="C6968" s="115"/>
      <c r="D6968" s="115"/>
      <c r="E6968" s="115"/>
    </row>
    <row r="6969" spans="1:5" ht="13">
      <c r="A6969" s="115"/>
      <c r="B6969" s="115"/>
      <c r="C6969" s="115"/>
      <c r="D6969" s="115"/>
      <c r="E6969" s="115"/>
    </row>
    <row r="6970" spans="1:5" ht="13">
      <c r="A6970" s="115"/>
      <c r="B6970" s="115"/>
      <c r="C6970" s="115"/>
      <c r="D6970" s="115"/>
      <c r="E6970" s="115"/>
    </row>
    <row r="6971" spans="1:5" ht="13">
      <c r="A6971" s="115"/>
      <c r="B6971" s="115"/>
      <c r="C6971" s="115"/>
      <c r="D6971" s="115"/>
      <c r="E6971" s="115"/>
    </row>
    <row r="6972" spans="1:5" ht="13">
      <c r="A6972" s="115"/>
      <c r="B6972" s="115"/>
      <c r="C6972" s="115"/>
      <c r="D6972" s="115"/>
      <c r="E6972" s="115"/>
    </row>
    <row r="6973" spans="1:5" ht="13">
      <c r="A6973" s="115"/>
      <c r="B6973" s="115"/>
      <c r="C6973" s="115"/>
      <c r="D6973" s="115"/>
      <c r="E6973" s="115"/>
    </row>
    <row r="6974" spans="1:5" ht="13">
      <c r="A6974" s="115"/>
      <c r="B6974" s="115"/>
      <c r="C6974" s="115"/>
      <c r="D6974" s="115"/>
      <c r="E6974" s="115"/>
    </row>
    <row r="6975" spans="1:5" ht="13">
      <c r="A6975" s="115"/>
      <c r="B6975" s="115"/>
      <c r="C6975" s="115"/>
      <c r="D6975" s="115"/>
      <c r="E6975" s="115"/>
    </row>
    <row r="6976" spans="1:5" ht="13">
      <c r="A6976" s="115"/>
      <c r="B6976" s="115"/>
      <c r="C6976" s="115"/>
      <c r="D6976" s="115"/>
      <c r="E6976" s="115"/>
    </row>
    <row r="6977" spans="1:5" ht="13">
      <c r="A6977" s="115"/>
      <c r="B6977" s="115"/>
      <c r="C6977" s="115"/>
      <c r="D6977" s="115"/>
      <c r="E6977" s="115"/>
    </row>
    <row r="6978" spans="1:5" ht="13">
      <c r="A6978" s="115"/>
      <c r="B6978" s="115"/>
      <c r="C6978" s="115"/>
      <c r="D6978" s="115"/>
      <c r="E6978" s="115"/>
    </row>
    <row r="6979" spans="1:5" ht="13">
      <c r="A6979" s="115"/>
      <c r="B6979" s="115"/>
      <c r="C6979" s="115"/>
      <c r="D6979" s="115"/>
      <c r="E6979" s="115"/>
    </row>
    <row r="6980" spans="1:5" ht="13">
      <c r="A6980" s="115"/>
      <c r="B6980" s="115"/>
      <c r="C6980" s="115"/>
      <c r="D6980" s="115"/>
      <c r="E6980" s="115"/>
    </row>
    <row r="6981" spans="1:5" ht="13">
      <c r="A6981" s="115"/>
      <c r="B6981" s="115"/>
      <c r="C6981" s="115"/>
      <c r="D6981" s="115"/>
      <c r="E6981" s="115"/>
    </row>
    <row r="6982" spans="1:5" ht="13">
      <c r="A6982" s="115"/>
      <c r="B6982" s="115"/>
      <c r="C6982" s="115"/>
      <c r="D6982" s="115"/>
      <c r="E6982" s="115"/>
    </row>
    <row r="6983" spans="1:5" ht="13">
      <c r="A6983" s="115"/>
      <c r="B6983" s="115"/>
      <c r="C6983" s="115"/>
      <c r="D6983" s="115"/>
      <c r="E6983" s="115"/>
    </row>
    <row r="6984" spans="1:5" ht="13">
      <c r="A6984" s="115"/>
      <c r="B6984" s="115"/>
      <c r="C6984" s="115"/>
      <c r="D6984" s="115"/>
      <c r="E6984" s="115"/>
    </row>
    <row r="6985" spans="1:5" ht="13">
      <c r="A6985" s="115"/>
      <c r="B6985" s="115"/>
      <c r="C6985" s="115"/>
      <c r="D6985" s="115"/>
      <c r="E6985" s="115"/>
    </row>
    <row r="6986" spans="1:5" ht="13">
      <c r="A6986" s="115"/>
      <c r="B6986" s="115"/>
      <c r="C6986" s="115"/>
      <c r="D6986" s="115"/>
      <c r="E6986" s="115"/>
    </row>
    <row r="6987" spans="1:5" ht="13">
      <c r="A6987" s="115"/>
      <c r="B6987" s="115"/>
      <c r="C6987" s="115"/>
      <c r="D6987" s="115"/>
      <c r="E6987" s="115"/>
    </row>
    <row r="6988" spans="1:5" ht="13">
      <c r="A6988" s="115"/>
      <c r="B6988" s="115"/>
      <c r="C6988" s="115"/>
      <c r="D6988" s="115"/>
      <c r="E6988" s="115"/>
    </row>
    <row r="6989" spans="1:5" ht="13">
      <c r="A6989" s="115"/>
      <c r="B6989" s="115"/>
      <c r="C6989" s="115"/>
      <c r="D6989" s="115"/>
      <c r="E6989" s="115"/>
    </row>
    <row r="6990" spans="1:5" ht="13">
      <c r="A6990" s="115"/>
      <c r="B6990" s="115"/>
      <c r="C6990" s="115"/>
      <c r="D6990" s="115"/>
      <c r="E6990" s="115"/>
    </row>
    <row r="6991" spans="1:5" ht="13">
      <c r="A6991" s="115"/>
      <c r="B6991" s="115"/>
      <c r="C6991" s="115"/>
      <c r="D6991" s="115"/>
      <c r="E6991" s="115"/>
    </row>
    <row r="6992" spans="1:5" ht="13">
      <c r="A6992" s="115"/>
      <c r="B6992" s="115"/>
      <c r="C6992" s="115"/>
      <c r="D6992" s="115"/>
      <c r="E6992" s="115"/>
    </row>
    <row r="6993" spans="1:5" ht="13">
      <c r="A6993" s="115"/>
      <c r="B6993" s="115"/>
      <c r="C6993" s="115"/>
      <c r="D6993" s="115"/>
      <c r="E6993" s="115"/>
    </row>
    <row r="6994" spans="1:5" ht="13">
      <c r="A6994" s="115"/>
      <c r="B6994" s="115"/>
      <c r="C6994" s="115"/>
      <c r="D6994" s="115"/>
      <c r="E6994" s="115"/>
    </row>
    <row r="6995" spans="1:5" ht="13">
      <c r="A6995" s="115"/>
      <c r="B6995" s="115"/>
      <c r="C6995" s="115"/>
      <c r="D6995" s="115"/>
      <c r="E6995" s="115"/>
    </row>
    <row r="6996" spans="1:5" ht="13">
      <c r="A6996" s="115"/>
      <c r="B6996" s="115"/>
      <c r="C6996" s="115"/>
      <c r="D6996" s="115"/>
      <c r="E6996" s="115"/>
    </row>
    <row r="6997" spans="1:5" ht="13">
      <c r="A6997" s="115"/>
      <c r="B6997" s="115"/>
      <c r="C6997" s="115"/>
      <c r="D6997" s="115"/>
      <c r="E6997" s="115"/>
    </row>
    <row r="6998" spans="1:5" ht="13">
      <c r="A6998" s="115"/>
      <c r="B6998" s="115"/>
      <c r="C6998" s="115"/>
      <c r="D6998" s="115"/>
      <c r="E6998" s="115"/>
    </row>
    <row r="6999" spans="1:5" ht="13">
      <c r="A6999" s="115"/>
      <c r="B6999" s="115"/>
      <c r="C6999" s="115"/>
      <c r="D6999" s="115"/>
      <c r="E6999" s="115"/>
    </row>
    <row r="7000" spans="1:5" ht="13">
      <c r="A7000" s="115"/>
      <c r="B7000" s="115"/>
      <c r="C7000" s="115"/>
      <c r="D7000" s="115"/>
      <c r="E7000" s="115"/>
    </row>
    <row r="7001" spans="1:5" ht="13">
      <c r="A7001" s="115"/>
      <c r="B7001" s="115"/>
      <c r="C7001" s="115"/>
      <c r="D7001" s="115"/>
      <c r="E7001" s="115"/>
    </row>
    <row r="7002" spans="1:5" ht="13">
      <c r="A7002" s="115"/>
      <c r="B7002" s="115"/>
      <c r="C7002" s="115"/>
      <c r="D7002" s="115"/>
      <c r="E7002" s="115"/>
    </row>
    <row r="7003" spans="1:5" ht="13">
      <c r="A7003" s="115"/>
      <c r="B7003" s="115"/>
      <c r="C7003" s="115"/>
      <c r="D7003" s="115"/>
      <c r="E7003" s="115"/>
    </row>
    <row r="7004" spans="1:5" ht="13">
      <c r="A7004" s="115"/>
      <c r="B7004" s="115"/>
      <c r="C7004" s="115"/>
      <c r="D7004" s="115"/>
      <c r="E7004" s="115"/>
    </row>
    <row r="7005" spans="1:5" ht="13">
      <c r="A7005" s="115"/>
      <c r="B7005" s="115"/>
      <c r="C7005" s="115"/>
      <c r="D7005" s="115"/>
      <c r="E7005" s="115"/>
    </row>
    <row r="7006" spans="1:5" ht="13">
      <c r="A7006" s="115"/>
      <c r="B7006" s="115"/>
      <c r="C7006" s="115"/>
      <c r="D7006" s="115"/>
      <c r="E7006" s="115"/>
    </row>
    <row r="7007" spans="1:5" ht="13">
      <c r="A7007" s="115"/>
      <c r="B7007" s="115"/>
      <c r="C7007" s="115"/>
      <c r="D7007" s="115"/>
      <c r="E7007" s="115"/>
    </row>
    <row r="7008" spans="1:5" ht="13">
      <c r="A7008" s="115"/>
      <c r="B7008" s="115"/>
      <c r="C7008" s="115"/>
      <c r="D7008" s="115"/>
      <c r="E7008" s="115"/>
    </row>
    <row r="7009" spans="1:5" ht="13">
      <c r="A7009" s="115"/>
      <c r="B7009" s="115"/>
      <c r="C7009" s="115"/>
      <c r="D7009" s="115"/>
      <c r="E7009" s="115"/>
    </row>
    <row r="7010" spans="1:5" ht="13">
      <c r="A7010" s="115"/>
      <c r="B7010" s="115"/>
      <c r="C7010" s="115"/>
      <c r="D7010" s="115"/>
      <c r="E7010" s="115"/>
    </row>
    <row r="7011" spans="1:5" ht="13">
      <c r="A7011" s="115"/>
      <c r="B7011" s="115"/>
      <c r="C7011" s="115"/>
      <c r="D7011" s="115"/>
      <c r="E7011" s="115"/>
    </row>
    <row r="7012" spans="1:5" ht="13">
      <c r="A7012" s="115"/>
      <c r="B7012" s="115"/>
      <c r="C7012" s="115"/>
      <c r="D7012" s="115"/>
      <c r="E7012" s="115"/>
    </row>
    <row r="7013" spans="1:5" ht="13">
      <c r="A7013" s="115"/>
      <c r="B7013" s="115"/>
      <c r="C7013" s="115"/>
      <c r="D7013" s="115"/>
      <c r="E7013" s="115"/>
    </row>
    <row r="7014" spans="1:5" ht="13">
      <c r="A7014" s="115"/>
      <c r="B7014" s="115"/>
      <c r="C7014" s="115"/>
      <c r="D7014" s="115"/>
      <c r="E7014" s="115"/>
    </row>
    <row r="7015" spans="1:5" ht="13">
      <c r="A7015" s="115"/>
      <c r="B7015" s="115"/>
      <c r="C7015" s="115"/>
      <c r="D7015" s="115"/>
      <c r="E7015" s="115"/>
    </row>
    <row r="7016" spans="1:5" ht="13">
      <c r="A7016" s="115"/>
      <c r="B7016" s="115"/>
      <c r="C7016" s="115"/>
      <c r="D7016" s="115"/>
      <c r="E7016" s="115"/>
    </row>
    <row r="7017" spans="1:5" ht="13">
      <c r="A7017" s="115"/>
      <c r="B7017" s="115"/>
      <c r="C7017" s="115"/>
      <c r="D7017" s="115"/>
      <c r="E7017" s="115"/>
    </row>
    <row r="7018" spans="1:5" ht="13">
      <c r="A7018" s="115"/>
      <c r="B7018" s="115"/>
      <c r="C7018" s="115"/>
      <c r="D7018" s="115"/>
      <c r="E7018" s="115"/>
    </row>
    <row r="7019" spans="1:5" ht="13">
      <c r="A7019" s="115"/>
      <c r="B7019" s="115"/>
      <c r="C7019" s="115"/>
      <c r="D7019" s="115"/>
      <c r="E7019" s="115"/>
    </row>
    <row r="7020" spans="1:5" ht="13">
      <c r="A7020" s="115"/>
      <c r="B7020" s="115"/>
      <c r="C7020" s="115"/>
      <c r="D7020" s="115"/>
      <c r="E7020" s="115"/>
    </row>
    <row r="7021" spans="1:5" ht="13">
      <c r="A7021" s="115"/>
      <c r="B7021" s="115"/>
      <c r="C7021" s="115"/>
      <c r="D7021" s="115"/>
      <c r="E7021" s="115"/>
    </row>
    <row r="7022" spans="1:5" ht="13">
      <c r="A7022" s="115"/>
      <c r="B7022" s="115"/>
      <c r="C7022" s="115"/>
      <c r="D7022" s="115"/>
      <c r="E7022" s="115"/>
    </row>
    <row r="7023" spans="1:5" ht="13">
      <c r="A7023" s="115"/>
      <c r="B7023" s="115"/>
      <c r="C7023" s="115"/>
      <c r="D7023" s="115"/>
      <c r="E7023" s="115"/>
    </row>
    <row r="7024" spans="1:5" ht="13">
      <c r="A7024" s="115"/>
      <c r="B7024" s="115"/>
      <c r="C7024" s="115"/>
      <c r="D7024" s="115"/>
      <c r="E7024" s="115"/>
    </row>
    <row r="7025" spans="1:5" ht="13">
      <c r="A7025" s="115"/>
      <c r="B7025" s="115"/>
      <c r="C7025" s="115"/>
      <c r="D7025" s="115"/>
      <c r="E7025" s="115"/>
    </row>
    <row r="7026" spans="1:5" ht="13">
      <c r="A7026" s="115"/>
      <c r="B7026" s="115"/>
      <c r="C7026" s="115"/>
      <c r="D7026" s="115"/>
      <c r="E7026" s="115"/>
    </row>
    <row r="7027" spans="1:5" ht="13">
      <c r="A7027" s="115"/>
      <c r="B7027" s="115"/>
      <c r="C7027" s="115"/>
      <c r="D7027" s="115"/>
      <c r="E7027" s="115"/>
    </row>
    <row r="7028" spans="1:5" ht="13">
      <c r="A7028" s="115"/>
      <c r="B7028" s="115"/>
      <c r="C7028" s="115"/>
      <c r="D7028" s="115"/>
      <c r="E7028" s="115"/>
    </row>
    <row r="7029" spans="1:5" ht="13">
      <c r="A7029" s="115"/>
      <c r="B7029" s="115"/>
      <c r="C7029" s="115"/>
      <c r="D7029" s="115"/>
      <c r="E7029" s="115"/>
    </row>
    <row r="7030" spans="1:5" ht="13">
      <c r="A7030" s="115"/>
      <c r="B7030" s="115"/>
      <c r="C7030" s="115"/>
      <c r="D7030" s="115"/>
      <c r="E7030" s="115"/>
    </row>
    <row r="7031" spans="1:5" ht="13">
      <c r="A7031" s="115"/>
      <c r="B7031" s="115"/>
      <c r="C7031" s="115"/>
      <c r="D7031" s="115"/>
      <c r="E7031" s="115"/>
    </row>
    <row r="7032" spans="1:5" ht="13">
      <c r="A7032" s="115"/>
      <c r="B7032" s="115"/>
      <c r="C7032" s="115"/>
      <c r="D7032" s="115"/>
      <c r="E7032" s="115"/>
    </row>
    <row r="7033" spans="1:5" ht="13">
      <c r="A7033" s="115"/>
      <c r="B7033" s="115"/>
      <c r="C7033" s="115"/>
      <c r="D7033" s="115"/>
      <c r="E7033" s="115"/>
    </row>
    <row r="7034" spans="1:5" ht="13">
      <c r="A7034" s="115"/>
      <c r="B7034" s="115"/>
      <c r="C7034" s="115"/>
      <c r="D7034" s="115"/>
      <c r="E7034" s="115"/>
    </row>
    <row r="7035" spans="1:5" ht="13">
      <c r="A7035" s="115"/>
      <c r="B7035" s="115"/>
      <c r="C7035" s="115"/>
      <c r="D7035" s="115"/>
      <c r="E7035" s="115"/>
    </row>
    <row r="7036" spans="1:5" ht="13">
      <c r="A7036" s="115"/>
      <c r="B7036" s="115"/>
      <c r="C7036" s="115"/>
      <c r="D7036" s="115"/>
      <c r="E7036" s="115"/>
    </row>
    <row r="7037" spans="1:5" ht="13">
      <c r="A7037" s="115"/>
      <c r="B7037" s="115"/>
      <c r="C7037" s="115"/>
      <c r="D7037" s="115"/>
      <c r="E7037" s="115"/>
    </row>
    <row r="7038" spans="1:5" ht="13">
      <c r="A7038" s="115"/>
      <c r="B7038" s="115"/>
      <c r="C7038" s="115"/>
      <c r="D7038" s="115"/>
      <c r="E7038" s="115"/>
    </row>
    <row r="7039" spans="1:5" ht="13">
      <c r="A7039" s="115"/>
      <c r="B7039" s="115"/>
      <c r="C7039" s="115"/>
      <c r="D7039" s="115"/>
      <c r="E7039" s="115"/>
    </row>
    <row r="7040" spans="1:5" ht="13">
      <c r="A7040" s="115"/>
      <c r="B7040" s="115"/>
      <c r="C7040" s="115"/>
      <c r="D7040" s="115"/>
      <c r="E7040" s="115"/>
    </row>
    <row r="7041" spans="1:5" ht="13">
      <c r="A7041" s="115"/>
      <c r="B7041" s="115"/>
      <c r="C7041" s="115"/>
      <c r="D7041" s="115"/>
      <c r="E7041" s="115"/>
    </row>
    <row r="7042" spans="1:5" ht="13">
      <c r="A7042" s="115"/>
      <c r="B7042" s="115"/>
      <c r="C7042" s="115"/>
      <c r="D7042" s="115"/>
      <c r="E7042" s="115"/>
    </row>
    <row r="7043" spans="1:5" ht="13">
      <c r="A7043" s="115"/>
      <c r="B7043" s="115"/>
      <c r="C7043" s="115"/>
      <c r="D7043" s="115"/>
      <c r="E7043" s="115"/>
    </row>
    <row r="7044" spans="1:5" ht="13">
      <c r="A7044" s="115"/>
      <c r="B7044" s="115"/>
      <c r="C7044" s="115"/>
      <c r="D7044" s="115"/>
      <c r="E7044" s="115"/>
    </row>
    <row r="7045" spans="1:5" ht="13">
      <c r="A7045" s="115"/>
      <c r="B7045" s="115"/>
      <c r="C7045" s="115"/>
      <c r="D7045" s="115"/>
      <c r="E7045" s="115"/>
    </row>
    <row r="7046" spans="1:5" ht="13">
      <c r="A7046" s="115"/>
      <c r="B7046" s="115"/>
      <c r="C7046" s="115"/>
      <c r="D7046" s="115"/>
      <c r="E7046" s="115"/>
    </row>
    <row r="7047" spans="1:5" ht="13">
      <c r="A7047" s="115"/>
      <c r="B7047" s="115"/>
      <c r="C7047" s="115"/>
      <c r="D7047" s="115"/>
      <c r="E7047" s="115"/>
    </row>
    <row r="7048" spans="1:5" ht="13">
      <c r="A7048" s="115"/>
      <c r="B7048" s="115"/>
      <c r="C7048" s="115"/>
      <c r="D7048" s="115"/>
      <c r="E7048" s="115"/>
    </row>
    <row r="7049" spans="1:5" ht="13">
      <c r="A7049" s="115"/>
      <c r="B7049" s="115"/>
      <c r="C7049" s="115"/>
      <c r="D7049" s="115"/>
      <c r="E7049" s="115"/>
    </row>
    <row r="7050" spans="1:5" ht="13">
      <c r="A7050" s="115"/>
      <c r="B7050" s="115"/>
      <c r="C7050" s="115"/>
      <c r="D7050" s="115"/>
      <c r="E7050" s="115"/>
    </row>
    <row r="7051" spans="1:5" ht="13">
      <c r="A7051" s="115"/>
      <c r="B7051" s="115"/>
      <c r="C7051" s="115"/>
      <c r="D7051" s="115"/>
      <c r="E7051" s="115"/>
    </row>
    <row r="7052" spans="1:5" ht="13">
      <c r="A7052" s="115"/>
      <c r="B7052" s="115"/>
      <c r="C7052" s="115"/>
      <c r="D7052" s="115"/>
      <c r="E7052" s="115"/>
    </row>
    <row r="7053" spans="1:5" ht="13">
      <c r="A7053" s="115"/>
      <c r="B7053" s="115"/>
      <c r="C7053" s="115"/>
      <c r="D7053" s="115"/>
      <c r="E7053" s="115"/>
    </row>
    <row r="7054" spans="1:5" ht="13">
      <c r="A7054" s="115"/>
      <c r="B7054" s="115"/>
      <c r="C7054" s="115"/>
      <c r="D7054" s="115"/>
      <c r="E7054" s="115"/>
    </row>
    <row r="7055" spans="1:5" ht="13">
      <c r="A7055" s="115"/>
      <c r="B7055" s="115"/>
      <c r="C7055" s="115"/>
      <c r="D7055" s="115"/>
      <c r="E7055" s="115"/>
    </row>
    <row r="7056" spans="1:5" ht="13">
      <c r="A7056" s="115"/>
      <c r="B7056" s="115"/>
      <c r="C7056" s="115"/>
      <c r="D7056" s="115"/>
      <c r="E7056" s="115"/>
    </row>
    <row r="7057" spans="1:5" ht="13">
      <c r="A7057" s="115"/>
      <c r="B7057" s="115"/>
      <c r="C7057" s="115"/>
      <c r="D7057" s="115"/>
      <c r="E7057" s="115"/>
    </row>
    <row r="7058" spans="1:5" ht="13">
      <c r="A7058" s="115"/>
      <c r="B7058" s="115"/>
      <c r="C7058" s="115"/>
      <c r="D7058" s="115"/>
      <c r="E7058" s="115"/>
    </row>
    <row r="7059" spans="1:5" ht="13">
      <c r="A7059" s="115"/>
      <c r="B7059" s="115"/>
      <c r="C7059" s="115"/>
      <c r="D7059" s="115"/>
      <c r="E7059" s="115"/>
    </row>
    <row r="7060" spans="1:5" ht="13">
      <c r="A7060" s="115"/>
      <c r="B7060" s="115"/>
      <c r="C7060" s="115"/>
      <c r="D7060" s="115"/>
      <c r="E7060" s="115"/>
    </row>
    <row r="7061" spans="1:5" ht="13">
      <c r="A7061" s="115"/>
      <c r="B7061" s="115"/>
      <c r="C7061" s="115"/>
      <c r="D7061" s="115"/>
      <c r="E7061" s="115"/>
    </row>
    <row r="7062" spans="1:5" ht="13">
      <c r="A7062" s="115"/>
      <c r="B7062" s="115"/>
      <c r="C7062" s="115"/>
      <c r="D7062" s="115"/>
      <c r="E7062" s="115"/>
    </row>
    <row r="7063" spans="1:5" ht="13">
      <c r="A7063" s="115"/>
      <c r="B7063" s="115"/>
      <c r="C7063" s="115"/>
      <c r="D7063" s="115"/>
      <c r="E7063" s="115"/>
    </row>
    <row r="7064" spans="1:5" ht="13">
      <c r="A7064" s="115"/>
      <c r="B7064" s="115"/>
      <c r="C7064" s="115"/>
      <c r="D7064" s="115"/>
      <c r="E7064" s="115"/>
    </row>
    <row r="7065" spans="1:5" ht="13">
      <c r="A7065" s="115"/>
      <c r="B7065" s="115"/>
      <c r="C7065" s="115"/>
      <c r="D7065" s="115"/>
      <c r="E7065" s="115"/>
    </row>
    <row r="7066" spans="1:5" ht="13">
      <c r="A7066" s="115"/>
      <c r="B7066" s="115"/>
      <c r="C7066" s="115"/>
      <c r="D7066" s="115"/>
      <c r="E7066" s="115"/>
    </row>
    <row r="7067" spans="1:5" ht="13">
      <c r="A7067" s="115"/>
      <c r="B7067" s="115"/>
      <c r="C7067" s="115"/>
      <c r="D7067" s="115"/>
      <c r="E7067" s="115"/>
    </row>
    <row r="7068" spans="1:5" ht="13">
      <c r="A7068" s="115"/>
      <c r="B7068" s="115"/>
      <c r="C7068" s="115"/>
      <c r="D7068" s="115"/>
      <c r="E7068" s="115"/>
    </row>
    <row r="7069" spans="1:5" ht="13">
      <c r="A7069" s="115"/>
      <c r="B7069" s="115"/>
      <c r="C7069" s="115"/>
      <c r="D7069" s="115"/>
      <c r="E7069" s="115"/>
    </row>
    <row r="7070" spans="1:5" ht="13">
      <c r="A7070" s="115"/>
      <c r="B7070" s="115"/>
      <c r="C7070" s="115"/>
      <c r="D7070" s="115"/>
      <c r="E7070" s="115"/>
    </row>
    <row r="7071" spans="1:5" ht="13">
      <c r="A7071" s="115"/>
      <c r="B7071" s="115"/>
      <c r="C7071" s="115"/>
      <c r="D7071" s="115"/>
      <c r="E7071" s="115"/>
    </row>
    <row r="7072" spans="1:5" ht="13">
      <c r="A7072" s="115"/>
      <c r="B7072" s="115"/>
      <c r="C7072" s="115"/>
      <c r="D7072" s="115"/>
      <c r="E7072" s="115"/>
    </row>
    <row r="7073" spans="1:5" ht="13">
      <c r="A7073" s="115"/>
      <c r="B7073" s="115"/>
      <c r="C7073" s="115"/>
      <c r="D7073" s="115"/>
      <c r="E7073" s="115"/>
    </row>
    <row r="7074" spans="1:5" ht="13">
      <c r="A7074" s="115"/>
      <c r="B7074" s="115"/>
      <c r="C7074" s="115"/>
      <c r="D7074" s="115"/>
      <c r="E7074" s="115"/>
    </row>
    <row r="7075" spans="1:5" ht="13">
      <c r="A7075" s="115"/>
      <c r="B7075" s="115"/>
      <c r="C7075" s="115"/>
      <c r="D7075" s="115"/>
      <c r="E7075" s="115"/>
    </row>
    <row r="7076" spans="1:5" ht="13">
      <c r="A7076" s="115"/>
      <c r="B7076" s="115"/>
      <c r="C7076" s="115"/>
      <c r="D7076" s="115"/>
      <c r="E7076" s="115"/>
    </row>
    <row r="7077" spans="1:5" ht="13">
      <c r="A7077" s="115"/>
      <c r="B7077" s="115"/>
      <c r="C7077" s="115"/>
      <c r="D7077" s="115"/>
      <c r="E7077" s="115"/>
    </row>
    <row r="7078" spans="1:5" ht="13">
      <c r="A7078" s="115"/>
      <c r="B7078" s="115"/>
      <c r="C7078" s="115"/>
      <c r="D7078" s="115"/>
      <c r="E7078" s="115"/>
    </row>
    <row r="7079" spans="1:5" ht="13">
      <c r="A7079" s="115"/>
      <c r="B7079" s="115"/>
      <c r="C7079" s="115"/>
      <c r="D7079" s="115"/>
      <c r="E7079" s="115"/>
    </row>
    <row r="7080" spans="1:5" ht="13">
      <c r="A7080" s="115"/>
      <c r="B7080" s="115"/>
      <c r="C7080" s="115"/>
      <c r="D7080" s="115"/>
      <c r="E7080" s="115"/>
    </row>
    <row r="7081" spans="1:5" ht="13">
      <c r="A7081" s="115"/>
      <c r="B7081" s="115"/>
      <c r="C7081" s="115"/>
      <c r="D7081" s="115"/>
      <c r="E7081" s="115"/>
    </row>
    <row r="7082" spans="1:5" ht="13">
      <c r="A7082" s="115"/>
      <c r="B7082" s="115"/>
      <c r="C7082" s="115"/>
      <c r="D7082" s="115"/>
      <c r="E7082" s="115"/>
    </row>
    <row r="7083" spans="1:5" ht="13">
      <c r="A7083" s="115"/>
      <c r="B7083" s="115"/>
      <c r="C7083" s="115"/>
      <c r="D7083" s="115"/>
      <c r="E7083" s="115"/>
    </row>
    <row r="7084" spans="1:5" ht="13">
      <c r="A7084" s="115"/>
      <c r="B7084" s="115"/>
      <c r="C7084" s="115"/>
      <c r="D7084" s="115"/>
      <c r="E7084" s="115"/>
    </row>
    <row r="7085" spans="1:5" ht="13">
      <c r="A7085" s="115"/>
      <c r="B7085" s="115"/>
      <c r="C7085" s="115"/>
      <c r="D7085" s="115"/>
      <c r="E7085" s="115"/>
    </row>
    <row r="7086" spans="1:5" ht="13">
      <c r="A7086" s="115"/>
      <c r="B7086" s="115"/>
      <c r="C7086" s="115"/>
      <c r="D7086" s="115"/>
      <c r="E7086" s="115"/>
    </row>
    <row r="7087" spans="1:5" ht="13">
      <c r="A7087" s="115"/>
      <c r="B7087" s="115"/>
      <c r="C7087" s="115"/>
      <c r="D7087" s="115"/>
      <c r="E7087" s="115"/>
    </row>
    <row r="7088" spans="1:5" ht="13">
      <c r="A7088" s="115"/>
      <c r="B7088" s="115"/>
      <c r="C7088" s="115"/>
      <c r="D7088" s="115"/>
      <c r="E7088" s="115"/>
    </row>
    <row r="7089" spans="1:5" ht="13">
      <c r="A7089" s="115"/>
      <c r="B7089" s="115"/>
      <c r="C7089" s="115"/>
      <c r="D7089" s="115"/>
      <c r="E7089" s="115"/>
    </row>
    <row r="7090" spans="1:5" ht="13">
      <c r="A7090" s="115"/>
      <c r="B7090" s="115"/>
      <c r="C7090" s="115"/>
      <c r="D7090" s="115"/>
      <c r="E7090" s="115"/>
    </row>
    <row r="7091" spans="1:5" ht="13">
      <c r="A7091" s="115"/>
      <c r="B7091" s="115"/>
      <c r="C7091" s="115"/>
      <c r="D7091" s="115"/>
      <c r="E7091" s="115"/>
    </row>
    <row r="7092" spans="1:5" ht="13">
      <c r="A7092" s="115"/>
      <c r="B7092" s="115"/>
      <c r="C7092" s="115"/>
      <c r="D7092" s="115"/>
      <c r="E7092" s="115"/>
    </row>
    <row r="7093" spans="1:5" ht="13">
      <c r="A7093" s="115"/>
      <c r="B7093" s="115"/>
      <c r="C7093" s="115"/>
      <c r="D7093" s="115"/>
      <c r="E7093" s="115"/>
    </row>
    <row r="7094" spans="1:5" ht="13">
      <c r="A7094" s="115"/>
      <c r="B7094" s="115"/>
      <c r="C7094" s="115"/>
      <c r="D7094" s="115"/>
      <c r="E7094" s="115"/>
    </row>
    <row r="7095" spans="1:5" ht="13">
      <c r="A7095" s="115"/>
      <c r="B7095" s="115"/>
      <c r="C7095" s="115"/>
      <c r="D7095" s="115"/>
      <c r="E7095" s="115"/>
    </row>
    <row r="7096" spans="1:5" ht="13">
      <c r="A7096" s="115"/>
      <c r="B7096" s="115"/>
      <c r="C7096" s="115"/>
      <c r="D7096" s="115"/>
      <c r="E7096" s="115"/>
    </row>
    <row r="7097" spans="1:5" ht="13">
      <c r="A7097" s="115"/>
      <c r="B7097" s="115"/>
      <c r="C7097" s="115"/>
      <c r="D7097" s="115"/>
      <c r="E7097" s="115"/>
    </row>
    <row r="7098" spans="1:5" ht="13">
      <c r="A7098" s="115"/>
      <c r="B7098" s="115"/>
      <c r="C7098" s="115"/>
      <c r="D7098" s="115"/>
      <c r="E7098" s="115"/>
    </row>
    <row r="7099" spans="1:5" ht="13">
      <c r="A7099" s="115"/>
      <c r="B7099" s="115"/>
      <c r="C7099" s="115"/>
      <c r="D7099" s="115"/>
      <c r="E7099" s="115"/>
    </row>
    <row r="7100" spans="1:5" ht="13">
      <c r="A7100" s="115"/>
      <c r="B7100" s="115"/>
      <c r="C7100" s="115"/>
      <c r="D7100" s="115"/>
      <c r="E7100" s="115"/>
    </row>
    <row r="7101" spans="1:5" ht="13">
      <c r="A7101" s="115"/>
      <c r="B7101" s="115"/>
      <c r="C7101" s="115"/>
      <c r="D7101" s="115"/>
      <c r="E7101" s="115"/>
    </row>
    <row r="7102" spans="1:5" ht="13">
      <c r="A7102" s="115"/>
      <c r="B7102" s="115"/>
      <c r="C7102" s="115"/>
      <c r="D7102" s="115"/>
      <c r="E7102" s="115"/>
    </row>
    <row r="7103" spans="1:5" ht="13">
      <c r="A7103" s="115"/>
      <c r="B7103" s="115"/>
      <c r="C7103" s="115"/>
      <c r="D7103" s="115"/>
      <c r="E7103" s="115"/>
    </row>
    <row r="7104" spans="1:5" ht="13">
      <c r="A7104" s="115"/>
      <c r="B7104" s="115"/>
      <c r="C7104" s="115"/>
      <c r="D7104" s="115"/>
      <c r="E7104" s="115"/>
    </row>
    <row r="7105" spans="1:5" ht="13">
      <c r="A7105" s="115"/>
      <c r="B7105" s="115"/>
      <c r="C7105" s="115"/>
      <c r="D7105" s="115"/>
      <c r="E7105" s="115"/>
    </row>
    <row r="7106" spans="1:5" ht="13">
      <c r="A7106" s="115"/>
      <c r="B7106" s="115"/>
      <c r="C7106" s="115"/>
      <c r="D7106" s="115"/>
      <c r="E7106" s="115"/>
    </row>
    <row r="7107" spans="1:5" ht="13">
      <c r="A7107" s="115"/>
      <c r="B7107" s="115"/>
      <c r="C7107" s="115"/>
      <c r="D7107" s="115"/>
      <c r="E7107" s="115"/>
    </row>
    <row r="7108" spans="1:5" ht="13">
      <c r="A7108" s="115"/>
      <c r="B7108" s="115"/>
      <c r="C7108" s="115"/>
      <c r="D7108" s="115"/>
      <c r="E7108" s="115"/>
    </row>
    <row r="7109" spans="1:5" ht="13">
      <c r="A7109" s="115"/>
      <c r="B7109" s="115"/>
      <c r="C7109" s="115"/>
      <c r="D7109" s="115"/>
      <c r="E7109" s="115"/>
    </row>
    <row r="7110" spans="1:5" ht="13">
      <c r="A7110" s="115"/>
      <c r="B7110" s="115"/>
      <c r="C7110" s="115"/>
      <c r="D7110" s="115"/>
      <c r="E7110" s="115"/>
    </row>
    <row r="7111" spans="1:5" ht="13">
      <c r="A7111" s="115"/>
      <c r="B7111" s="115"/>
      <c r="C7111" s="115"/>
      <c r="D7111" s="115"/>
      <c r="E7111" s="115"/>
    </row>
    <row r="7112" spans="1:5" ht="13">
      <c r="A7112" s="115"/>
      <c r="B7112" s="115"/>
      <c r="C7112" s="115"/>
      <c r="D7112" s="115"/>
      <c r="E7112" s="115"/>
    </row>
    <row r="7113" spans="1:5" ht="13">
      <c r="A7113" s="115"/>
      <c r="B7113" s="115"/>
      <c r="C7113" s="115"/>
      <c r="D7113" s="115"/>
      <c r="E7113" s="115"/>
    </row>
    <row r="7114" spans="1:5" ht="13">
      <c r="A7114" s="115"/>
      <c r="B7114" s="115"/>
      <c r="C7114" s="115"/>
      <c r="D7114" s="115"/>
      <c r="E7114" s="115"/>
    </row>
    <row r="7115" spans="1:5" ht="13">
      <c r="A7115" s="115"/>
      <c r="B7115" s="115"/>
      <c r="C7115" s="115"/>
      <c r="D7115" s="115"/>
      <c r="E7115" s="115"/>
    </row>
    <row r="7116" spans="1:5" ht="13">
      <c r="A7116" s="115"/>
      <c r="B7116" s="115"/>
      <c r="C7116" s="115"/>
      <c r="D7116" s="115"/>
      <c r="E7116" s="115"/>
    </row>
    <row r="7117" spans="1:5" ht="13">
      <c r="A7117" s="115"/>
      <c r="B7117" s="115"/>
      <c r="C7117" s="115"/>
      <c r="D7117" s="115"/>
      <c r="E7117" s="115"/>
    </row>
    <row r="7118" spans="1:5" ht="13">
      <c r="A7118" s="115"/>
      <c r="B7118" s="115"/>
      <c r="C7118" s="115"/>
      <c r="D7118" s="115"/>
      <c r="E7118" s="115"/>
    </row>
    <row r="7119" spans="1:5" ht="13">
      <c r="A7119" s="115"/>
      <c r="B7119" s="115"/>
      <c r="C7119" s="115"/>
      <c r="D7119" s="115"/>
      <c r="E7119" s="115"/>
    </row>
    <row r="7120" spans="1:5" ht="13">
      <c r="A7120" s="115"/>
      <c r="B7120" s="115"/>
      <c r="C7120" s="115"/>
      <c r="D7120" s="115"/>
      <c r="E7120" s="115"/>
    </row>
    <row r="7121" spans="1:5" ht="13">
      <c r="A7121" s="115"/>
      <c r="B7121" s="115"/>
      <c r="C7121" s="115"/>
      <c r="D7121" s="115"/>
      <c r="E7121" s="115"/>
    </row>
    <row r="7122" spans="1:5" ht="13">
      <c r="A7122" s="115"/>
      <c r="B7122" s="115"/>
      <c r="C7122" s="115"/>
      <c r="D7122" s="115"/>
      <c r="E7122" s="115"/>
    </row>
    <row r="7123" spans="1:5" ht="13">
      <c r="A7123" s="115"/>
      <c r="B7123" s="115"/>
      <c r="C7123" s="115"/>
      <c r="D7123" s="115"/>
      <c r="E7123" s="115"/>
    </row>
    <row r="7124" spans="1:5" ht="13">
      <c r="A7124" s="115"/>
      <c r="B7124" s="115"/>
      <c r="C7124" s="115"/>
      <c r="D7124" s="115"/>
      <c r="E7124" s="115"/>
    </row>
    <row r="7125" spans="1:5" ht="13">
      <c r="A7125" s="115"/>
      <c r="B7125" s="115"/>
      <c r="C7125" s="115"/>
      <c r="D7125" s="115"/>
      <c r="E7125" s="115"/>
    </row>
    <row r="7126" spans="1:5" ht="13">
      <c r="A7126" s="115"/>
      <c r="B7126" s="115"/>
      <c r="C7126" s="115"/>
      <c r="D7126" s="115"/>
      <c r="E7126" s="115"/>
    </row>
    <row r="7127" spans="1:5" ht="13">
      <c r="A7127" s="115"/>
      <c r="B7127" s="115"/>
      <c r="C7127" s="115"/>
      <c r="D7127" s="115"/>
      <c r="E7127" s="115"/>
    </row>
    <row r="7128" spans="1:5" ht="13">
      <c r="A7128" s="115"/>
      <c r="B7128" s="115"/>
      <c r="C7128" s="115"/>
      <c r="D7128" s="115"/>
      <c r="E7128" s="115"/>
    </row>
    <row r="7129" spans="1:5" ht="13">
      <c r="A7129" s="115"/>
      <c r="B7129" s="115"/>
      <c r="C7129" s="115"/>
      <c r="D7129" s="115"/>
      <c r="E7129" s="115"/>
    </row>
    <row r="7130" spans="1:5" ht="13">
      <c r="A7130" s="115"/>
      <c r="B7130" s="115"/>
      <c r="C7130" s="115"/>
      <c r="D7130" s="115"/>
      <c r="E7130" s="115"/>
    </row>
    <row r="7131" spans="1:5" ht="13">
      <c r="A7131" s="115"/>
      <c r="B7131" s="115"/>
      <c r="C7131" s="115"/>
      <c r="D7131" s="115"/>
      <c r="E7131" s="115"/>
    </row>
    <row r="7132" spans="1:5" ht="13">
      <c r="A7132" s="115"/>
      <c r="B7132" s="115"/>
      <c r="C7132" s="115"/>
      <c r="D7132" s="115"/>
      <c r="E7132" s="115"/>
    </row>
    <row r="7133" spans="1:5" ht="13">
      <c r="A7133" s="115"/>
      <c r="B7133" s="115"/>
      <c r="C7133" s="115"/>
      <c r="D7133" s="115"/>
      <c r="E7133" s="115"/>
    </row>
    <row r="7134" spans="1:5" ht="13">
      <c r="A7134" s="115"/>
      <c r="B7134" s="115"/>
      <c r="C7134" s="115"/>
      <c r="D7134" s="115"/>
      <c r="E7134" s="115"/>
    </row>
    <row r="7135" spans="1:5" ht="13">
      <c r="A7135" s="115"/>
      <c r="B7135" s="115"/>
      <c r="C7135" s="115"/>
      <c r="D7135" s="115"/>
      <c r="E7135" s="115"/>
    </row>
    <row r="7136" spans="1:5" ht="13">
      <c r="A7136" s="115"/>
      <c r="B7136" s="115"/>
      <c r="C7136" s="115"/>
      <c r="D7136" s="115"/>
      <c r="E7136" s="115"/>
    </row>
    <row r="7137" spans="1:5" ht="13">
      <c r="A7137" s="115"/>
      <c r="B7137" s="115"/>
      <c r="C7137" s="115"/>
      <c r="D7137" s="115"/>
      <c r="E7137" s="115"/>
    </row>
    <row r="7138" spans="1:5" ht="13">
      <c r="A7138" s="115"/>
      <c r="B7138" s="115"/>
      <c r="C7138" s="115"/>
      <c r="D7138" s="115"/>
      <c r="E7138" s="115"/>
    </row>
    <row r="7139" spans="1:5" ht="13">
      <c r="A7139" s="115"/>
      <c r="B7139" s="115"/>
      <c r="C7139" s="115"/>
      <c r="D7139" s="115"/>
      <c r="E7139" s="115"/>
    </row>
    <row r="7140" spans="1:5" ht="13">
      <c r="A7140" s="115"/>
      <c r="B7140" s="115"/>
      <c r="C7140" s="115"/>
      <c r="D7140" s="115"/>
      <c r="E7140" s="115"/>
    </row>
    <row r="7141" spans="1:5" ht="13">
      <c r="A7141" s="115"/>
      <c r="B7141" s="115"/>
      <c r="C7141" s="115"/>
      <c r="D7141" s="115"/>
      <c r="E7141" s="115"/>
    </row>
    <row r="7142" spans="1:5" ht="13">
      <c r="A7142" s="115"/>
      <c r="B7142" s="115"/>
      <c r="C7142" s="115"/>
      <c r="D7142" s="115"/>
      <c r="E7142" s="115"/>
    </row>
    <row r="7143" spans="1:5" ht="13">
      <c r="A7143" s="115"/>
      <c r="B7143" s="115"/>
      <c r="C7143" s="115"/>
      <c r="D7143" s="115"/>
      <c r="E7143" s="115"/>
    </row>
    <row r="7144" spans="1:5" ht="13">
      <c r="A7144" s="115"/>
      <c r="B7144" s="115"/>
      <c r="C7144" s="115"/>
      <c r="D7144" s="115"/>
      <c r="E7144" s="115"/>
    </row>
    <row r="7145" spans="1:5" ht="13">
      <c r="A7145" s="115"/>
      <c r="B7145" s="115"/>
      <c r="C7145" s="115"/>
      <c r="D7145" s="115"/>
      <c r="E7145" s="115"/>
    </row>
    <row r="7146" spans="1:5" ht="13">
      <c r="A7146" s="115"/>
      <c r="B7146" s="115"/>
      <c r="C7146" s="115"/>
      <c r="D7146" s="115"/>
      <c r="E7146" s="115"/>
    </row>
    <row r="7147" spans="1:5" ht="13">
      <c r="A7147" s="115"/>
      <c r="B7147" s="115"/>
      <c r="C7147" s="115"/>
      <c r="D7147" s="115"/>
      <c r="E7147" s="115"/>
    </row>
    <row r="7148" spans="1:5" ht="13">
      <c r="A7148" s="115"/>
      <c r="B7148" s="115"/>
      <c r="C7148" s="115"/>
      <c r="D7148" s="115"/>
      <c r="E7148" s="115"/>
    </row>
    <row r="7149" spans="1:5" ht="13">
      <c r="A7149" s="115"/>
      <c r="B7149" s="115"/>
      <c r="C7149" s="115"/>
      <c r="D7149" s="115"/>
      <c r="E7149" s="115"/>
    </row>
    <row r="7150" spans="1:5" ht="13">
      <c r="A7150" s="115"/>
      <c r="B7150" s="115"/>
      <c r="C7150" s="115"/>
      <c r="D7150" s="115"/>
      <c r="E7150" s="115"/>
    </row>
    <row r="7151" spans="1:5" ht="13">
      <c r="A7151" s="115"/>
      <c r="B7151" s="115"/>
      <c r="C7151" s="115"/>
      <c r="D7151" s="115"/>
      <c r="E7151" s="115"/>
    </row>
    <row r="7152" spans="1:5" ht="13">
      <c r="A7152" s="115"/>
      <c r="B7152" s="115"/>
      <c r="C7152" s="115"/>
      <c r="D7152" s="115"/>
      <c r="E7152" s="115"/>
    </row>
    <row r="7153" spans="1:5" ht="13">
      <c r="A7153" s="115"/>
      <c r="B7153" s="115"/>
      <c r="C7153" s="115"/>
      <c r="D7153" s="115"/>
      <c r="E7153" s="115"/>
    </row>
    <row r="7154" spans="1:5" ht="13">
      <c r="A7154" s="115"/>
      <c r="B7154" s="115"/>
      <c r="C7154" s="115"/>
      <c r="D7154" s="115"/>
      <c r="E7154" s="115"/>
    </row>
    <row r="7155" spans="1:5" ht="13">
      <c r="A7155" s="115"/>
      <c r="B7155" s="115"/>
      <c r="C7155" s="115"/>
      <c r="D7155" s="115"/>
      <c r="E7155" s="115"/>
    </row>
    <row r="7156" spans="1:5" ht="13">
      <c r="A7156" s="115"/>
      <c r="B7156" s="115"/>
      <c r="C7156" s="115"/>
      <c r="D7156" s="115"/>
      <c r="E7156" s="115"/>
    </row>
    <row r="7157" spans="1:5" ht="13">
      <c r="A7157" s="115"/>
      <c r="B7157" s="115"/>
      <c r="C7157" s="115"/>
      <c r="D7157" s="115"/>
      <c r="E7157" s="115"/>
    </row>
    <row r="7158" spans="1:5" ht="13">
      <c r="A7158" s="115"/>
      <c r="B7158" s="115"/>
      <c r="C7158" s="115"/>
      <c r="D7158" s="115"/>
      <c r="E7158" s="115"/>
    </row>
    <row r="7159" spans="1:5" ht="13">
      <c r="A7159" s="115"/>
      <c r="B7159" s="115"/>
      <c r="C7159" s="115"/>
      <c r="D7159" s="115"/>
      <c r="E7159" s="115"/>
    </row>
    <row r="7160" spans="1:5" ht="13">
      <c r="A7160" s="115"/>
      <c r="B7160" s="115"/>
      <c r="C7160" s="115"/>
      <c r="D7160" s="115"/>
      <c r="E7160" s="115"/>
    </row>
    <row r="7161" spans="1:5" ht="13">
      <c r="A7161" s="115"/>
      <c r="B7161" s="115"/>
      <c r="C7161" s="115"/>
      <c r="D7161" s="115"/>
      <c r="E7161" s="115"/>
    </row>
    <row r="7162" spans="1:5" ht="13">
      <c r="A7162" s="115"/>
      <c r="B7162" s="115"/>
      <c r="C7162" s="115"/>
      <c r="D7162" s="115"/>
      <c r="E7162" s="115"/>
    </row>
    <row r="7163" spans="1:5" ht="13">
      <c r="A7163" s="115"/>
      <c r="B7163" s="115"/>
      <c r="C7163" s="115"/>
      <c r="D7163" s="115"/>
      <c r="E7163" s="115"/>
    </row>
    <row r="7164" spans="1:5" ht="13">
      <c r="A7164" s="115"/>
      <c r="B7164" s="115"/>
      <c r="C7164" s="115"/>
      <c r="D7164" s="115"/>
      <c r="E7164" s="115"/>
    </row>
    <row r="7165" spans="1:5" ht="13">
      <c r="A7165" s="115"/>
      <c r="B7165" s="115"/>
      <c r="C7165" s="115"/>
      <c r="D7165" s="115"/>
      <c r="E7165" s="115"/>
    </row>
    <row r="7166" spans="1:5" ht="13">
      <c r="A7166" s="115"/>
      <c r="B7166" s="115"/>
      <c r="C7166" s="115"/>
      <c r="D7166" s="115"/>
      <c r="E7166" s="115"/>
    </row>
    <row r="7167" spans="1:5" ht="13">
      <c r="A7167" s="115"/>
      <c r="B7167" s="115"/>
      <c r="C7167" s="115"/>
      <c r="D7167" s="115"/>
      <c r="E7167" s="115"/>
    </row>
    <row r="7168" spans="1:5" ht="13">
      <c r="A7168" s="115"/>
      <c r="B7168" s="115"/>
      <c r="C7168" s="115"/>
      <c r="D7168" s="115"/>
      <c r="E7168" s="115"/>
    </row>
    <row r="7169" spans="1:5" ht="13">
      <c r="A7169" s="115"/>
      <c r="B7169" s="115"/>
      <c r="C7169" s="115"/>
      <c r="D7169" s="115"/>
      <c r="E7169" s="115"/>
    </row>
    <row r="7170" spans="1:5" ht="13">
      <c r="A7170" s="115"/>
      <c r="B7170" s="115"/>
      <c r="C7170" s="115"/>
      <c r="D7170" s="115"/>
      <c r="E7170" s="115"/>
    </row>
    <row r="7171" spans="1:5" ht="13">
      <c r="A7171" s="115"/>
      <c r="B7171" s="115"/>
      <c r="C7171" s="115"/>
      <c r="D7171" s="115"/>
      <c r="E7171" s="115"/>
    </row>
    <row r="7172" spans="1:5" ht="13">
      <c r="A7172" s="115"/>
      <c r="B7172" s="115"/>
      <c r="C7172" s="115"/>
      <c r="D7172" s="115"/>
      <c r="E7172" s="115"/>
    </row>
    <row r="7173" spans="1:5" ht="13">
      <c r="A7173" s="115"/>
      <c r="B7173" s="115"/>
      <c r="C7173" s="115"/>
      <c r="D7173" s="115"/>
      <c r="E7173" s="115"/>
    </row>
    <row r="7174" spans="1:5" ht="13">
      <c r="A7174" s="115"/>
      <c r="B7174" s="115"/>
      <c r="C7174" s="115"/>
      <c r="D7174" s="115"/>
      <c r="E7174" s="115"/>
    </row>
    <row r="7175" spans="1:5" ht="13">
      <c r="A7175" s="115"/>
      <c r="B7175" s="115"/>
      <c r="C7175" s="115"/>
      <c r="D7175" s="115"/>
      <c r="E7175" s="115"/>
    </row>
    <row r="7176" spans="1:5" ht="13">
      <c r="A7176" s="115"/>
      <c r="B7176" s="115"/>
      <c r="C7176" s="115"/>
      <c r="D7176" s="115"/>
      <c r="E7176" s="115"/>
    </row>
    <row r="7177" spans="1:5" ht="13">
      <c r="A7177" s="115"/>
      <c r="B7177" s="115"/>
      <c r="C7177" s="115"/>
      <c r="D7177" s="115"/>
      <c r="E7177" s="115"/>
    </row>
    <row r="7178" spans="1:5" ht="13">
      <c r="A7178" s="115"/>
      <c r="B7178" s="115"/>
      <c r="C7178" s="115"/>
      <c r="D7178" s="115"/>
      <c r="E7178" s="115"/>
    </row>
    <row r="7179" spans="1:5" ht="13">
      <c r="A7179" s="115"/>
      <c r="B7179" s="115"/>
      <c r="C7179" s="115"/>
      <c r="D7179" s="115"/>
      <c r="E7179" s="115"/>
    </row>
    <row r="7180" spans="1:5" ht="13">
      <c r="A7180" s="115"/>
      <c r="B7180" s="115"/>
      <c r="C7180" s="115"/>
      <c r="D7180" s="115"/>
      <c r="E7180" s="115"/>
    </row>
    <row r="7181" spans="1:5" ht="13">
      <c r="A7181" s="115"/>
      <c r="B7181" s="115"/>
      <c r="C7181" s="115"/>
      <c r="D7181" s="115"/>
      <c r="E7181" s="115"/>
    </row>
    <row r="7182" spans="1:5" ht="13">
      <c r="A7182" s="115"/>
      <c r="B7182" s="115"/>
      <c r="C7182" s="115"/>
      <c r="D7182" s="115"/>
      <c r="E7182" s="115"/>
    </row>
    <row r="7183" spans="1:5" ht="13">
      <c r="A7183" s="115"/>
      <c r="B7183" s="115"/>
      <c r="C7183" s="115"/>
      <c r="D7183" s="115"/>
      <c r="E7183" s="115"/>
    </row>
    <row r="7184" spans="1:5" ht="13">
      <c r="A7184" s="115"/>
      <c r="B7184" s="115"/>
      <c r="C7184" s="115"/>
      <c r="D7184" s="115"/>
      <c r="E7184" s="115"/>
    </row>
    <row r="7185" spans="1:5" ht="13">
      <c r="A7185" s="115"/>
      <c r="B7185" s="115"/>
      <c r="C7185" s="115"/>
      <c r="D7185" s="115"/>
      <c r="E7185" s="115"/>
    </row>
    <row r="7186" spans="1:5" ht="13">
      <c r="A7186" s="115"/>
      <c r="B7186" s="115"/>
      <c r="C7186" s="115"/>
      <c r="D7186" s="115"/>
      <c r="E7186" s="115"/>
    </row>
    <row r="7187" spans="1:5" ht="13">
      <c r="A7187" s="115"/>
      <c r="B7187" s="115"/>
      <c r="C7187" s="115"/>
      <c r="D7187" s="115"/>
      <c r="E7187" s="115"/>
    </row>
    <row r="7188" spans="1:5" ht="13">
      <c r="A7188" s="115"/>
      <c r="B7188" s="115"/>
      <c r="C7188" s="115"/>
      <c r="D7188" s="115"/>
      <c r="E7188" s="115"/>
    </row>
    <row r="7189" spans="1:5" ht="13">
      <c r="A7189" s="115"/>
      <c r="B7189" s="115"/>
      <c r="C7189" s="115"/>
      <c r="D7189" s="115"/>
      <c r="E7189" s="115"/>
    </row>
    <row r="7190" spans="1:5" ht="13">
      <c r="A7190" s="115"/>
      <c r="B7190" s="115"/>
      <c r="C7190" s="115"/>
      <c r="D7190" s="115"/>
      <c r="E7190" s="115"/>
    </row>
    <row r="7191" spans="1:5" ht="13">
      <c r="A7191" s="115"/>
      <c r="B7191" s="115"/>
      <c r="C7191" s="115"/>
      <c r="D7191" s="115"/>
      <c r="E7191" s="115"/>
    </row>
    <row r="7192" spans="1:5" ht="13">
      <c r="A7192" s="115"/>
      <c r="B7192" s="115"/>
      <c r="C7192" s="115"/>
      <c r="D7192" s="115"/>
      <c r="E7192" s="115"/>
    </row>
    <row r="7193" spans="1:5" ht="13">
      <c r="A7193" s="115"/>
      <c r="B7193" s="115"/>
      <c r="C7193" s="115"/>
      <c r="D7193" s="115"/>
      <c r="E7193" s="115"/>
    </row>
    <row r="7194" spans="1:5" ht="13">
      <c r="A7194" s="115"/>
      <c r="B7194" s="115"/>
      <c r="C7194" s="115"/>
      <c r="D7194" s="115"/>
      <c r="E7194" s="115"/>
    </row>
    <row r="7195" spans="1:5" ht="13">
      <c r="A7195" s="115"/>
      <c r="B7195" s="115"/>
      <c r="C7195" s="115"/>
      <c r="D7195" s="115"/>
      <c r="E7195" s="115"/>
    </row>
    <row r="7196" spans="1:5" ht="13">
      <c r="A7196" s="115"/>
      <c r="B7196" s="115"/>
      <c r="C7196" s="115"/>
      <c r="D7196" s="115"/>
      <c r="E7196" s="115"/>
    </row>
    <row r="7197" spans="1:5" ht="13">
      <c r="A7197" s="115"/>
      <c r="B7197" s="115"/>
      <c r="C7197" s="115"/>
      <c r="D7197" s="115"/>
      <c r="E7197" s="115"/>
    </row>
    <row r="7198" spans="1:5" ht="13">
      <c r="A7198" s="115"/>
      <c r="B7198" s="115"/>
      <c r="C7198" s="115"/>
      <c r="D7198" s="115"/>
      <c r="E7198" s="115"/>
    </row>
    <row r="7199" spans="1:5" ht="13">
      <c r="A7199" s="115"/>
      <c r="B7199" s="115"/>
      <c r="C7199" s="115"/>
      <c r="D7199" s="115"/>
      <c r="E7199" s="115"/>
    </row>
    <row r="7200" spans="1:5" ht="13">
      <c r="A7200" s="115"/>
      <c r="B7200" s="115"/>
      <c r="C7200" s="115"/>
      <c r="D7200" s="115"/>
      <c r="E7200" s="115"/>
    </row>
    <row r="7201" spans="1:5" ht="13">
      <c r="A7201" s="115"/>
      <c r="B7201" s="115"/>
      <c r="C7201" s="115"/>
      <c r="D7201" s="115"/>
      <c r="E7201" s="115"/>
    </row>
    <row r="7202" spans="1:5" ht="13">
      <c r="A7202" s="115"/>
      <c r="B7202" s="115"/>
      <c r="C7202" s="115"/>
      <c r="D7202" s="115"/>
      <c r="E7202" s="115"/>
    </row>
    <row r="7203" spans="1:5" ht="13">
      <c r="A7203" s="115"/>
      <c r="B7203" s="115"/>
      <c r="C7203" s="115"/>
      <c r="D7203" s="115"/>
      <c r="E7203" s="115"/>
    </row>
    <row r="7204" spans="1:5" ht="13">
      <c r="A7204" s="115"/>
      <c r="B7204" s="115"/>
      <c r="C7204" s="115"/>
      <c r="D7204" s="115"/>
      <c r="E7204" s="115"/>
    </row>
    <row r="7205" spans="1:5" ht="13">
      <c r="A7205" s="115"/>
      <c r="B7205" s="115"/>
      <c r="C7205" s="115"/>
      <c r="D7205" s="115"/>
      <c r="E7205" s="115"/>
    </row>
    <row r="7206" spans="1:5" ht="13">
      <c r="A7206" s="115"/>
      <c r="B7206" s="115"/>
      <c r="C7206" s="115"/>
      <c r="D7206" s="115"/>
      <c r="E7206" s="115"/>
    </row>
    <row r="7207" spans="1:5" ht="13">
      <c r="A7207" s="115"/>
      <c r="B7207" s="115"/>
      <c r="C7207" s="115"/>
      <c r="D7207" s="115"/>
      <c r="E7207" s="115"/>
    </row>
    <row r="7208" spans="1:5" ht="13">
      <c r="A7208" s="115"/>
      <c r="B7208" s="115"/>
      <c r="C7208" s="115"/>
      <c r="D7208" s="115"/>
      <c r="E7208" s="115"/>
    </row>
    <row r="7209" spans="1:5" ht="13">
      <c r="A7209" s="115"/>
      <c r="B7209" s="115"/>
      <c r="C7209" s="115"/>
      <c r="D7209" s="115"/>
      <c r="E7209" s="115"/>
    </row>
    <row r="7210" spans="1:5" ht="13">
      <c r="A7210" s="115"/>
      <c r="B7210" s="115"/>
      <c r="C7210" s="115"/>
      <c r="D7210" s="115"/>
      <c r="E7210" s="115"/>
    </row>
    <row r="7211" spans="1:5" ht="13">
      <c r="A7211" s="115"/>
      <c r="B7211" s="115"/>
      <c r="C7211" s="115"/>
      <c r="D7211" s="115"/>
      <c r="E7211" s="115"/>
    </row>
    <row r="7212" spans="1:5" ht="13">
      <c r="A7212" s="115"/>
      <c r="B7212" s="115"/>
      <c r="C7212" s="115"/>
      <c r="D7212" s="115"/>
      <c r="E7212" s="115"/>
    </row>
    <row r="7213" spans="1:5" ht="13">
      <c r="A7213" s="115"/>
      <c r="B7213" s="115"/>
      <c r="C7213" s="115"/>
      <c r="D7213" s="115"/>
      <c r="E7213" s="115"/>
    </row>
    <row r="7214" spans="1:5" ht="13">
      <c r="A7214" s="115"/>
      <c r="B7214" s="115"/>
      <c r="C7214" s="115"/>
      <c r="D7214" s="115"/>
      <c r="E7214" s="115"/>
    </row>
    <row r="7215" spans="1:5" ht="13">
      <c r="A7215" s="115"/>
      <c r="B7215" s="115"/>
      <c r="C7215" s="115"/>
      <c r="D7215" s="115"/>
      <c r="E7215" s="115"/>
    </row>
    <row r="7216" spans="1:5" ht="13">
      <c r="A7216" s="115"/>
      <c r="B7216" s="115"/>
      <c r="C7216" s="115"/>
      <c r="D7216" s="115"/>
      <c r="E7216" s="115"/>
    </row>
    <row r="7217" spans="1:5" ht="13">
      <c r="A7217" s="115"/>
      <c r="B7217" s="115"/>
      <c r="C7217" s="115"/>
      <c r="D7217" s="115"/>
      <c r="E7217" s="115"/>
    </row>
    <row r="7218" spans="1:5" ht="13">
      <c r="A7218" s="115"/>
      <c r="B7218" s="115"/>
      <c r="C7218" s="115"/>
      <c r="D7218" s="115"/>
      <c r="E7218" s="115"/>
    </row>
    <row r="7219" spans="1:5" ht="13">
      <c r="A7219" s="115"/>
      <c r="B7219" s="115"/>
      <c r="C7219" s="115"/>
      <c r="D7219" s="115"/>
      <c r="E7219" s="115"/>
    </row>
    <row r="7220" spans="1:5" ht="13">
      <c r="A7220" s="115"/>
      <c r="B7220" s="115"/>
      <c r="C7220" s="115"/>
      <c r="D7220" s="115"/>
      <c r="E7220" s="115"/>
    </row>
    <row r="7221" spans="1:5" ht="13">
      <c r="A7221" s="115"/>
      <c r="B7221" s="115"/>
      <c r="C7221" s="115"/>
      <c r="D7221" s="115"/>
      <c r="E7221" s="115"/>
    </row>
    <row r="7222" spans="1:5" ht="13">
      <c r="A7222" s="115"/>
      <c r="B7222" s="115"/>
      <c r="C7222" s="115"/>
      <c r="D7222" s="115"/>
      <c r="E7222" s="115"/>
    </row>
    <row r="7223" spans="1:5" ht="13">
      <c r="A7223" s="115"/>
      <c r="B7223" s="115"/>
      <c r="C7223" s="115"/>
      <c r="D7223" s="115"/>
      <c r="E7223" s="115"/>
    </row>
    <row r="7224" spans="1:5" ht="13">
      <c r="A7224" s="115"/>
      <c r="B7224" s="115"/>
      <c r="C7224" s="115"/>
      <c r="D7224" s="115"/>
      <c r="E7224" s="115"/>
    </row>
    <row r="7225" spans="1:5" ht="13">
      <c r="A7225" s="115"/>
      <c r="B7225" s="115"/>
      <c r="C7225" s="115"/>
      <c r="D7225" s="115"/>
      <c r="E7225" s="115"/>
    </row>
    <row r="7226" spans="1:5" ht="13">
      <c r="A7226" s="115"/>
      <c r="B7226" s="115"/>
      <c r="C7226" s="115"/>
      <c r="D7226" s="115"/>
      <c r="E7226" s="115"/>
    </row>
    <row r="7227" spans="1:5" ht="13">
      <c r="A7227" s="115"/>
      <c r="B7227" s="115"/>
      <c r="C7227" s="115"/>
      <c r="D7227" s="115"/>
      <c r="E7227" s="115"/>
    </row>
    <row r="7228" spans="1:5" ht="13">
      <c r="A7228" s="115"/>
      <c r="B7228" s="115"/>
      <c r="C7228" s="115"/>
      <c r="D7228" s="115"/>
      <c r="E7228" s="115"/>
    </row>
    <row r="7229" spans="1:5" ht="13">
      <c r="A7229" s="115"/>
      <c r="B7229" s="115"/>
      <c r="C7229" s="115"/>
      <c r="D7229" s="115"/>
      <c r="E7229" s="115"/>
    </row>
    <row r="7230" spans="1:5" ht="13">
      <c r="A7230" s="115"/>
      <c r="B7230" s="115"/>
      <c r="C7230" s="115"/>
      <c r="D7230" s="115"/>
      <c r="E7230" s="115"/>
    </row>
    <row r="7231" spans="1:5" ht="13">
      <c r="A7231" s="115"/>
      <c r="B7231" s="115"/>
      <c r="C7231" s="115"/>
      <c r="D7231" s="115"/>
      <c r="E7231" s="115"/>
    </row>
    <row r="7232" spans="1:5" ht="13">
      <c r="A7232" s="115"/>
      <c r="B7232" s="115"/>
      <c r="C7232" s="115"/>
      <c r="D7232" s="115"/>
      <c r="E7232" s="115"/>
    </row>
    <row r="7233" spans="1:5" ht="13">
      <c r="A7233" s="115"/>
      <c r="B7233" s="115"/>
      <c r="C7233" s="115"/>
      <c r="D7233" s="115"/>
      <c r="E7233" s="115"/>
    </row>
    <row r="7234" spans="1:5" ht="13">
      <c r="A7234" s="115"/>
      <c r="B7234" s="115"/>
      <c r="C7234" s="115"/>
      <c r="D7234" s="115"/>
      <c r="E7234" s="115"/>
    </row>
    <row r="7235" spans="1:5" ht="13">
      <c r="A7235" s="115"/>
      <c r="B7235" s="115"/>
      <c r="C7235" s="115"/>
      <c r="D7235" s="115"/>
      <c r="E7235" s="115"/>
    </row>
    <row r="7236" spans="1:5" ht="13">
      <c r="A7236" s="115"/>
      <c r="B7236" s="115"/>
      <c r="C7236" s="115"/>
      <c r="D7236" s="115"/>
      <c r="E7236" s="115"/>
    </row>
    <row r="7237" spans="1:5" ht="13">
      <c r="A7237" s="115"/>
      <c r="B7237" s="115"/>
      <c r="C7237" s="115"/>
      <c r="D7237" s="115"/>
      <c r="E7237" s="115"/>
    </row>
    <row r="7238" spans="1:5" ht="13">
      <c r="A7238" s="115"/>
      <c r="B7238" s="115"/>
      <c r="C7238" s="115"/>
      <c r="D7238" s="115"/>
      <c r="E7238" s="115"/>
    </row>
    <row r="7239" spans="1:5" ht="13">
      <c r="A7239" s="115"/>
      <c r="B7239" s="115"/>
      <c r="C7239" s="115"/>
      <c r="D7239" s="115"/>
      <c r="E7239" s="115"/>
    </row>
    <row r="7240" spans="1:5" ht="13">
      <c r="A7240" s="115"/>
      <c r="B7240" s="115"/>
      <c r="C7240" s="115"/>
      <c r="D7240" s="115"/>
      <c r="E7240" s="115"/>
    </row>
    <row r="7241" spans="1:5" ht="13">
      <c r="A7241" s="115"/>
      <c r="B7241" s="115"/>
      <c r="C7241" s="115"/>
      <c r="D7241" s="115"/>
      <c r="E7241" s="115"/>
    </row>
    <row r="7242" spans="1:5" ht="13">
      <c r="A7242" s="115"/>
      <c r="B7242" s="115"/>
      <c r="C7242" s="115"/>
      <c r="D7242" s="115"/>
      <c r="E7242" s="115"/>
    </row>
    <row r="7243" spans="1:5" ht="13">
      <c r="A7243" s="115"/>
      <c r="B7243" s="115"/>
      <c r="C7243" s="115"/>
      <c r="D7243" s="115"/>
      <c r="E7243" s="115"/>
    </row>
    <row r="7244" spans="1:5" ht="13">
      <c r="A7244" s="115"/>
      <c r="B7244" s="115"/>
      <c r="C7244" s="115"/>
      <c r="D7244" s="115"/>
      <c r="E7244" s="115"/>
    </row>
    <row r="7245" spans="1:5" ht="13">
      <c r="A7245" s="115"/>
      <c r="B7245" s="115"/>
      <c r="C7245" s="115"/>
      <c r="D7245" s="115"/>
      <c r="E7245" s="115"/>
    </row>
    <row r="7246" spans="1:5" ht="13">
      <c r="A7246" s="115"/>
      <c r="B7246" s="115"/>
      <c r="C7246" s="115"/>
      <c r="D7246" s="115"/>
      <c r="E7246" s="115"/>
    </row>
    <row r="7247" spans="1:5" ht="13">
      <c r="A7247" s="115"/>
      <c r="B7247" s="115"/>
      <c r="C7247" s="115"/>
      <c r="D7247" s="115"/>
      <c r="E7247" s="115"/>
    </row>
    <row r="7248" spans="1:5" ht="13">
      <c r="A7248" s="115"/>
      <c r="B7248" s="115"/>
      <c r="C7248" s="115"/>
      <c r="D7248" s="115"/>
      <c r="E7248" s="115"/>
    </row>
    <row r="7249" spans="1:5" ht="13">
      <c r="A7249" s="115"/>
      <c r="B7249" s="115"/>
      <c r="C7249" s="115"/>
      <c r="D7249" s="115"/>
      <c r="E7249" s="115"/>
    </row>
    <row r="7250" spans="1:5" ht="13">
      <c r="A7250" s="115"/>
      <c r="B7250" s="115"/>
      <c r="C7250" s="115"/>
      <c r="D7250" s="115"/>
      <c r="E7250" s="115"/>
    </row>
    <row r="7251" spans="1:5" ht="13">
      <c r="A7251" s="115"/>
      <c r="B7251" s="115"/>
      <c r="C7251" s="115"/>
      <c r="D7251" s="115"/>
      <c r="E7251" s="115"/>
    </row>
    <row r="7252" spans="1:5" ht="13">
      <c r="A7252" s="115"/>
      <c r="B7252" s="115"/>
      <c r="C7252" s="115"/>
      <c r="D7252" s="115"/>
      <c r="E7252" s="115"/>
    </row>
    <row r="7253" spans="1:5" ht="13">
      <c r="A7253" s="115"/>
      <c r="B7253" s="115"/>
      <c r="C7253" s="115"/>
      <c r="D7253" s="115"/>
      <c r="E7253" s="115"/>
    </row>
    <row r="7254" spans="1:5" ht="13">
      <c r="A7254" s="115"/>
      <c r="B7254" s="115"/>
      <c r="C7254" s="115"/>
      <c r="D7254" s="115"/>
      <c r="E7254" s="115"/>
    </row>
    <row r="7255" spans="1:5" ht="13">
      <c r="A7255" s="115"/>
      <c r="B7255" s="115"/>
      <c r="C7255" s="115"/>
      <c r="D7255" s="115"/>
      <c r="E7255" s="115"/>
    </row>
    <row r="7256" spans="1:5" ht="13">
      <c r="A7256" s="115"/>
      <c r="B7256" s="115"/>
      <c r="C7256" s="115"/>
      <c r="D7256" s="115"/>
      <c r="E7256" s="115"/>
    </row>
    <row r="7257" spans="1:5" ht="13">
      <c r="A7257" s="115"/>
      <c r="B7257" s="115"/>
      <c r="C7257" s="115"/>
      <c r="D7257" s="115"/>
      <c r="E7257" s="115"/>
    </row>
    <row r="7258" spans="1:5" ht="13">
      <c r="A7258" s="115"/>
      <c r="B7258" s="115"/>
      <c r="C7258" s="115"/>
      <c r="D7258" s="115"/>
      <c r="E7258" s="115"/>
    </row>
    <row r="7259" spans="1:5" ht="13">
      <c r="A7259" s="115"/>
      <c r="B7259" s="115"/>
      <c r="C7259" s="115"/>
      <c r="D7259" s="115"/>
      <c r="E7259" s="115"/>
    </row>
    <row r="7260" spans="1:5" ht="13">
      <c r="A7260" s="115"/>
      <c r="B7260" s="115"/>
      <c r="C7260" s="115"/>
      <c r="D7260" s="115"/>
      <c r="E7260" s="115"/>
    </row>
    <row r="7261" spans="1:5" ht="13">
      <c r="A7261" s="115"/>
      <c r="B7261" s="115"/>
      <c r="C7261" s="115"/>
      <c r="D7261" s="115"/>
      <c r="E7261" s="115"/>
    </row>
    <row r="7262" spans="1:5" ht="13">
      <c r="A7262" s="115"/>
      <c r="B7262" s="115"/>
      <c r="C7262" s="115"/>
      <c r="D7262" s="115"/>
      <c r="E7262" s="115"/>
    </row>
    <row r="7263" spans="1:5" ht="13">
      <c r="A7263" s="115"/>
      <c r="B7263" s="115"/>
      <c r="C7263" s="115"/>
      <c r="D7263" s="115"/>
      <c r="E7263" s="115"/>
    </row>
    <row r="7264" spans="1:5" ht="13">
      <c r="A7264" s="115"/>
      <c r="B7264" s="115"/>
      <c r="C7264" s="115"/>
      <c r="D7264" s="115"/>
      <c r="E7264" s="115"/>
    </row>
    <row r="7265" spans="1:5" ht="13">
      <c r="A7265" s="115"/>
      <c r="B7265" s="115"/>
      <c r="C7265" s="115"/>
      <c r="D7265" s="115"/>
      <c r="E7265" s="115"/>
    </row>
    <row r="7266" spans="1:5" ht="13">
      <c r="A7266" s="115"/>
      <c r="B7266" s="115"/>
      <c r="C7266" s="115"/>
      <c r="D7266" s="115"/>
      <c r="E7266" s="115"/>
    </row>
    <row r="7267" spans="1:5" ht="13">
      <c r="A7267" s="115"/>
      <c r="B7267" s="115"/>
      <c r="C7267" s="115"/>
      <c r="D7267" s="115"/>
      <c r="E7267" s="115"/>
    </row>
    <row r="7268" spans="1:5" ht="13">
      <c r="A7268" s="115"/>
      <c r="B7268" s="115"/>
      <c r="C7268" s="115"/>
      <c r="D7268" s="115"/>
      <c r="E7268" s="115"/>
    </row>
    <row r="7269" spans="1:5" ht="13">
      <c r="A7269" s="115"/>
      <c r="B7269" s="115"/>
      <c r="C7269" s="115"/>
      <c r="D7269" s="115"/>
      <c r="E7269" s="115"/>
    </row>
    <row r="7270" spans="1:5" ht="13">
      <c r="A7270" s="115"/>
      <c r="B7270" s="115"/>
      <c r="C7270" s="115"/>
      <c r="D7270" s="115"/>
      <c r="E7270" s="115"/>
    </row>
    <row r="7271" spans="1:5" ht="13">
      <c r="A7271" s="115"/>
      <c r="B7271" s="115"/>
      <c r="C7271" s="115"/>
      <c r="D7271" s="115"/>
      <c r="E7271" s="115"/>
    </row>
    <row r="7272" spans="1:5" ht="13">
      <c r="A7272" s="115"/>
      <c r="B7272" s="115"/>
      <c r="C7272" s="115"/>
      <c r="D7272" s="115"/>
      <c r="E7272" s="115"/>
    </row>
    <row r="7273" spans="1:5" ht="13">
      <c r="A7273" s="115"/>
      <c r="B7273" s="115"/>
      <c r="C7273" s="115"/>
      <c r="D7273" s="115"/>
      <c r="E7273" s="115"/>
    </row>
    <row r="7274" spans="1:5" ht="13">
      <c r="A7274" s="115"/>
      <c r="B7274" s="115"/>
      <c r="C7274" s="115"/>
      <c r="D7274" s="115"/>
      <c r="E7274" s="115"/>
    </row>
    <row r="7275" spans="1:5" ht="13">
      <c r="A7275" s="115"/>
      <c r="B7275" s="115"/>
      <c r="C7275" s="115"/>
      <c r="D7275" s="115"/>
      <c r="E7275" s="115"/>
    </row>
    <row r="7276" spans="1:5" ht="13">
      <c r="A7276" s="115"/>
      <c r="B7276" s="115"/>
      <c r="C7276" s="115"/>
      <c r="D7276" s="115"/>
      <c r="E7276" s="115"/>
    </row>
    <row r="7277" spans="1:5" ht="13">
      <c r="A7277" s="115"/>
      <c r="B7277" s="115"/>
      <c r="C7277" s="115"/>
      <c r="D7277" s="115"/>
      <c r="E7277" s="115"/>
    </row>
    <row r="7278" spans="1:5" ht="13">
      <c r="A7278" s="115"/>
      <c r="B7278" s="115"/>
      <c r="C7278" s="115"/>
      <c r="D7278" s="115"/>
      <c r="E7278" s="115"/>
    </row>
    <row r="7279" spans="1:5" ht="13">
      <c r="A7279" s="115"/>
      <c r="B7279" s="115"/>
      <c r="C7279" s="115"/>
      <c r="D7279" s="115"/>
      <c r="E7279" s="115"/>
    </row>
    <row r="7280" spans="1:5" ht="13">
      <c r="A7280" s="115"/>
      <c r="B7280" s="115"/>
      <c r="C7280" s="115"/>
      <c r="D7280" s="115"/>
      <c r="E7280" s="115"/>
    </row>
    <row r="7281" spans="1:5" ht="13">
      <c r="A7281" s="115"/>
      <c r="B7281" s="115"/>
      <c r="C7281" s="115"/>
      <c r="D7281" s="115"/>
      <c r="E7281" s="115"/>
    </row>
    <row r="7282" spans="1:5" ht="13">
      <c r="A7282" s="115"/>
      <c r="B7282" s="115"/>
      <c r="C7282" s="115"/>
      <c r="D7282" s="115"/>
      <c r="E7282" s="115"/>
    </row>
    <row r="7283" spans="1:5" ht="13">
      <c r="A7283" s="115"/>
      <c r="B7283" s="115"/>
      <c r="C7283" s="115"/>
      <c r="D7283" s="115"/>
      <c r="E7283" s="115"/>
    </row>
    <row r="7284" spans="1:5" ht="13">
      <c r="A7284" s="115"/>
      <c r="B7284" s="115"/>
      <c r="C7284" s="115"/>
      <c r="D7284" s="115"/>
      <c r="E7284" s="115"/>
    </row>
    <row r="7285" spans="1:5" ht="13">
      <c r="A7285" s="115"/>
      <c r="B7285" s="115"/>
      <c r="C7285" s="115"/>
      <c r="D7285" s="115"/>
      <c r="E7285" s="115"/>
    </row>
    <row r="7286" spans="1:5" ht="13">
      <c r="A7286" s="115"/>
      <c r="B7286" s="115"/>
      <c r="C7286" s="115"/>
      <c r="D7286" s="115"/>
      <c r="E7286" s="115"/>
    </row>
    <row r="7287" spans="1:5" ht="13">
      <c r="A7287" s="115"/>
      <c r="B7287" s="115"/>
      <c r="C7287" s="115"/>
      <c r="D7287" s="115"/>
      <c r="E7287" s="115"/>
    </row>
    <row r="7288" spans="1:5" ht="13">
      <c r="A7288" s="115"/>
      <c r="B7288" s="115"/>
      <c r="C7288" s="115"/>
      <c r="D7288" s="115"/>
      <c r="E7288" s="115"/>
    </row>
    <row r="7289" spans="1:5" ht="13">
      <c r="A7289" s="115"/>
      <c r="B7289" s="115"/>
      <c r="C7289" s="115"/>
      <c r="D7289" s="115"/>
      <c r="E7289" s="115"/>
    </row>
    <row r="7290" spans="1:5" ht="13">
      <c r="A7290" s="115"/>
      <c r="B7290" s="115"/>
      <c r="C7290" s="115"/>
      <c r="D7290" s="115"/>
      <c r="E7290" s="115"/>
    </row>
    <row r="7291" spans="1:5" ht="13">
      <c r="A7291" s="115"/>
      <c r="B7291" s="115"/>
      <c r="C7291" s="115"/>
      <c r="D7291" s="115"/>
      <c r="E7291" s="115"/>
    </row>
    <row r="7292" spans="1:5" ht="13">
      <c r="A7292" s="115"/>
      <c r="B7292" s="115"/>
      <c r="C7292" s="115"/>
      <c r="D7292" s="115"/>
      <c r="E7292" s="115"/>
    </row>
    <row r="7293" spans="1:5" ht="13">
      <c r="A7293" s="115"/>
      <c r="B7293" s="115"/>
      <c r="C7293" s="115"/>
      <c r="D7293" s="115"/>
      <c r="E7293" s="115"/>
    </row>
    <row r="7294" spans="1:5" ht="13">
      <c r="A7294" s="115"/>
      <c r="B7294" s="115"/>
      <c r="C7294" s="115"/>
      <c r="D7294" s="115"/>
      <c r="E7294" s="115"/>
    </row>
    <row r="7295" spans="1:5" ht="13">
      <c r="A7295" s="115"/>
      <c r="B7295" s="115"/>
      <c r="C7295" s="115"/>
      <c r="D7295" s="115"/>
      <c r="E7295" s="115"/>
    </row>
    <row r="7296" spans="1:5" ht="13">
      <c r="A7296" s="115"/>
      <c r="B7296" s="115"/>
      <c r="C7296" s="115"/>
      <c r="D7296" s="115"/>
      <c r="E7296" s="115"/>
    </row>
    <row r="7297" spans="1:5" ht="13">
      <c r="A7297" s="115"/>
      <c r="B7297" s="115"/>
      <c r="C7297" s="115"/>
      <c r="D7297" s="115"/>
      <c r="E7297" s="115"/>
    </row>
    <row r="7298" spans="1:5" ht="13">
      <c r="A7298" s="115"/>
      <c r="B7298" s="115"/>
      <c r="C7298" s="115"/>
      <c r="D7298" s="115"/>
      <c r="E7298" s="115"/>
    </row>
    <row r="7299" spans="1:5" ht="13">
      <c r="A7299" s="115"/>
      <c r="B7299" s="115"/>
      <c r="C7299" s="115"/>
      <c r="D7299" s="115"/>
      <c r="E7299" s="115"/>
    </row>
    <row r="7300" spans="1:5" ht="13">
      <c r="A7300" s="115"/>
      <c r="B7300" s="115"/>
      <c r="C7300" s="115"/>
      <c r="D7300" s="115"/>
      <c r="E7300" s="115"/>
    </row>
    <row r="7301" spans="1:5" ht="13">
      <c r="A7301" s="115"/>
      <c r="B7301" s="115"/>
      <c r="C7301" s="115"/>
      <c r="D7301" s="115"/>
      <c r="E7301" s="115"/>
    </row>
    <row r="7302" spans="1:5" ht="13">
      <c r="A7302" s="115"/>
      <c r="B7302" s="115"/>
      <c r="C7302" s="115"/>
      <c r="D7302" s="115"/>
      <c r="E7302" s="115"/>
    </row>
    <row r="7303" spans="1:5" ht="13">
      <c r="A7303" s="115"/>
      <c r="B7303" s="115"/>
      <c r="C7303" s="115"/>
      <c r="D7303" s="115"/>
      <c r="E7303" s="115"/>
    </row>
    <row r="7304" spans="1:5" ht="13">
      <c r="A7304" s="115"/>
      <c r="B7304" s="115"/>
      <c r="C7304" s="115"/>
      <c r="D7304" s="115"/>
      <c r="E7304" s="115"/>
    </row>
    <row r="7305" spans="1:5" ht="13">
      <c r="A7305" s="115"/>
      <c r="B7305" s="115"/>
      <c r="C7305" s="115"/>
      <c r="D7305" s="115"/>
      <c r="E7305" s="115"/>
    </row>
    <row r="7306" spans="1:5" ht="13">
      <c r="A7306" s="115"/>
      <c r="B7306" s="115"/>
      <c r="C7306" s="115"/>
      <c r="D7306" s="115"/>
      <c r="E7306" s="115"/>
    </row>
    <row r="7307" spans="1:5" ht="13">
      <c r="A7307" s="115"/>
      <c r="B7307" s="115"/>
      <c r="C7307" s="115"/>
      <c r="D7307" s="115"/>
      <c r="E7307" s="115"/>
    </row>
    <row r="7308" spans="1:5" ht="13">
      <c r="A7308" s="115"/>
      <c r="B7308" s="115"/>
      <c r="C7308" s="115"/>
      <c r="D7308" s="115"/>
      <c r="E7308" s="115"/>
    </row>
    <row r="7309" spans="1:5" ht="13">
      <c r="A7309" s="115"/>
      <c r="B7309" s="115"/>
      <c r="C7309" s="115"/>
      <c r="D7309" s="115"/>
      <c r="E7309" s="115"/>
    </row>
    <row r="7310" spans="1:5" ht="13">
      <c r="A7310" s="115"/>
      <c r="B7310" s="115"/>
      <c r="C7310" s="115"/>
      <c r="D7310" s="115"/>
      <c r="E7310" s="115"/>
    </row>
    <row r="7311" spans="1:5" ht="13">
      <c r="A7311" s="115"/>
      <c r="B7311" s="115"/>
      <c r="C7311" s="115"/>
      <c r="D7311" s="115"/>
      <c r="E7311" s="115"/>
    </row>
    <row r="7312" spans="1:5" ht="13">
      <c r="A7312" s="115"/>
      <c r="B7312" s="115"/>
      <c r="C7312" s="115"/>
      <c r="D7312" s="115"/>
      <c r="E7312" s="115"/>
    </row>
    <row r="7313" spans="1:5" ht="13">
      <c r="A7313" s="115"/>
      <c r="B7313" s="115"/>
      <c r="C7313" s="115"/>
      <c r="D7313" s="115"/>
      <c r="E7313" s="115"/>
    </row>
    <row r="7314" spans="1:5" ht="13">
      <c r="A7314" s="115"/>
      <c r="B7314" s="115"/>
      <c r="C7314" s="115"/>
      <c r="D7314" s="115"/>
      <c r="E7314" s="115"/>
    </row>
    <row r="7315" spans="1:5" ht="13">
      <c r="A7315" s="115"/>
      <c r="B7315" s="115"/>
      <c r="C7315" s="115"/>
      <c r="D7315" s="115"/>
      <c r="E7315" s="115"/>
    </row>
    <row r="7316" spans="1:5" ht="13">
      <c r="A7316" s="115"/>
      <c r="B7316" s="115"/>
      <c r="C7316" s="115"/>
      <c r="D7316" s="115"/>
      <c r="E7316" s="115"/>
    </row>
    <row r="7317" spans="1:5" ht="13">
      <c r="A7317" s="115"/>
      <c r="B7317" s="115"/>
      <c r="C7317" s="115"/>
      <c r="D7317" s="115"/>
      <c r="E7317" s="115"/>
    </row>
    <row r="7318" spans="1:5" ht="13">
      <c r="A7318" s="115"/>
      <c r="B7318" s="115"/>
      <c r="C7318" s="115"/>
      <c r="D7318" s="115"/>
      <c r="E7318" s="115"/>
    </row>
    <row r="7319" spans="1:5" ht="13">
      <c r="A7319" s="115"/>
      <c r="B7319" s="115"/>
      <c r="C7319" s="115"/>
      <c r="D7319" s="115"/>
      <c r="E7319" s="115"/>
    </row>
    <row r="7320" spans="1:5" ht="13">
      <c r="A7320" s="115"/>
      <c r="B7320" s="115"/>
      <c r="C7320" s="115"/>
      <c r="D7320" s="115"/>
      <c r="E7320" s="115"/>
    </row>
    <row r="7321" spans="1:5" ht="13">
      <c r="A7321" s="115"/>
      <c r="B7321" s="115"/>
      <c r="C7321" s="115"/>
      <c r="D7321" s="115"/>
      <c r="E7321" s="115"/>
    </row>
    <row r="7322" spans="1:5" ht="13">
      <c r="A7322" s="115"/>
      <c r="B7322" s="115"/>
      <c r="C7322" s="115"/>
      <c r="D7322" s="115"/>
      <c r="E7322" s="115"/>
    </row>
    <row r="7323" spans="1:5" ht="13">
      <c r="A7323" s="115"/>
      <c r="B7323" s="115"/>
      <c r="C7323" s="115"/>
      <c r="D7323" s="115"/>
      <c r="E7323" s="115"/>
    </row>
    <row r="7324" spans="1:5" ht="13">
      <c r="A7324" s="115"/>
      <c r="B7324" s="115"/>
      <c r="C7324" s="115"/>
      <c r="D7324" s="115"/>
      <c r="E7324" s="115"/>
    </row>
    <row r="7325" spans="1:5" ht="13">
      <c r="A7325" s="115"/>
      <c r="B7325" s="115"/>
      <c r="C7325" s="115"/>
      <c r="D7325" s="115"/>
      <c r="E7325" s="115"/>
    </row>
    <row r="7326" spans="1:5" ht="13">
      <c r="A7326" s="115"/>
      <c r="B7326" s="115"/>
      <c r="C7326" s="115"/>
      <c r="D7326" s="115"/>
      <c r="E7326" s="115"/>
    </row>
    <row r="7327" spans="1:5" ht="13">
      <c r="A7327" s="115"/>
      <c r="B7327" s="115"/>
      <c r="C7327" s="115"/>
      <c r="D7327" s="115"/>
      <c r="E7327" s="115"/>
    </row>
    <row r="7328" spans="1:5" ht="13">
      <c r="A7328" s="115"/>
      <c r="B7328" s="115"/>
      <c r="C7328" s="115"/>
      <c r="D7328" s="115"/>
      <c r="E7328" s="115"/>
    </row>
    <row r="7329" spans="1:5" ht="13">
      <c r="A7329" s="115"/>
      <c r="B7329" s="115"/>
      <c r="C7329" s="115"/>
      <c r="D7329" s="115"/>
      <c r="E7329" s="115"/>
    </row>
    <row r="7330" spans="1:5" ht="13">
      <c r="A7330" s="115"/>
      <c r="B7330" s="115"/>
      <c r="C7330" s="115"/>
      <c r="D7330" s="115"/>
      <c r="E7330" s="115"/>
    </row>
    <row r="7331" spans="1:5" ht="13">
      <c r="A7331" s="115"/>
      <c r="B7331" s="115"/>
      <c r="C7331" s="115"/>
      <c r="D7331" s="115"/>
      <c r="E7331" s="115"/>
    </row>
    <row r="7332" spans="1:5" ht="13">
      <c r="A7332" s="115"/>
      <c r="B7332" s="115"/>
      <c r="C7332" s="115"/>
      <c r="D7332" s="115"/>
      <c r="E7332" s="115"/>
    </row>
    <row r="7333" spans="1:5" ht="13">
      <c r="A7333" s="115"/>
      <c r="B7333" s="115"/>
      <c r="C7333" s="115"/>
      <c r="D7333" s="115"/>
      <c r="E7333" s="115"/>
    </row>
    <row r="7334" spans="1:5" ht="13">
      <c r="A7334" s="115"/>
      <c r="B7334" s="115"/>
      <c r="C7334" s="115"/>
      <c r="D7334" s="115"/>
      <c r="E7334" s="115"/>
    </row>
    <row r="7335" spans="1:5" ht="13">
      <c r="A7335" s="115"/>
      <c r="B7335" s="115"/>
      <c r="C7335" s="115"/>
      <c r="D7335" s="115"/>
      <c r="E7335" s="115"/>
    </row>
    <row r="7336" spans="1:5" ht="13">
      <c r="A7336" s="115"/>
      <c r="B7336" s="115"/>
      <c r="C7336" s="115"/>
      <c r="D7336" s="115"/>
      <c r="E7336" s="115"/>
    </row>
    <row r="7337" spans="1:5" ht="13">
      <c r="A7337" s="115"/>
      <c r="B7337" s="115"/>
      <c r="C7337" s="115"/>
      <c r="D7337" s="115"/>
      <c r="E7337" s="115"/>
    </row>
    <row r="7338" spans="1:5" ht="13">
      <c r="A7338" s="115"/>
      <c r="B7338" s="115"/>
      <c r="C7338" s="115"/>
      <c r="D7338" s="115"/>
      <c r="E7338" s="115"/>
    </row>
    <row r="7339" spans="1:5" ht="13">
      <c r="A7339" s="115"/>
      <c r="B7339" s="115"/>
      <c r="C7339" s="115"/>
      <c r="D7339" s="115"/>
      <c r="E7339" s="115"/>
    </row>
    <row r="7340" spans="1:5" ht="13">
      <c r="A7340" s="115"/>
      <c r="B7340" s="115"/>
      <c r="C7340" s="115"/>
      <c r="D7340" s="115"/>
      <c r="E7340" s="115"/>
    </row>
    <row r="7341" spans="1:5" ht="13">
      <c r="A7341" s="115"/>
      <c r="B7341" s="115"/>
      <c r="C7341" s="115"/>
      <c r="D7341" s="115"/>
      <c r="E7341" s="115"/>
    </row>
    <row r="7342" spans="1:5" ht="13">
      <c r="A7342" s="115"/>
      <c r="B7342" s="115"/>
      <c r="C7342" s="115"/>
      <c r="D7342" s="115"/>
      <c r="E7342" s="115"/>
    </row>
    <row r="7343" spans="1:5" ht="13">
      <c r="A7343" s="115"/>
      <c r="B7343" s="115"/>
      <c r="C7343" s="115"/>
      <c r="D7343" s="115"/>
      <c r="E7343" s="115"/>
    </row>
    <row r="7344" spans="1:5" ht="13">
      <c r="A7344" s="115"/>
      <c r="B7344" s="115"/>
      <c r="C7344" s="115"/>
      <c r="D7344" s="115"/>
      <c r="E7344" s="115"/>
    </row>
    <row r="7345" spans="1:5" ht="13">
      <c r="A7345" s="115"/>
      <c r="B7345" s="115"/>
      <c r="C7345" s="115"/>
      <c r="D7345" s="115"/>
      <c r="E7345" s="115"/>
    </row>
    <row r="7346" spans="1:5" ht="13">
      <c r="A7346" s="115"/>
      <c r="B7346" s="115"/>
      <c r="C7346" s="115"/>
      <c r="D7346" s="115"/>
      <c r="E7346" s="115"/>
    </row>
    <row r="7347" spans="1:5" ht="13">
      <c r="A7347" s="115"/>
      <c r="B7347" s="115"/>
      <c r="C7347" s="115"/>
      <c r="D7347" s="115"/>
      <c r="E7347" s="115"/>
    </row>
    <row r="7348" spans="1:5" ht="13">
      <c r="A7348" s="115"/>
      <c r="B7348" s="115"/>
      <c r="C7348" s="115"/>
      <c r="D7348" s="115"/>
      <c r="E7348" s="115"/>
    </row>
    <row r="7349" spans="1:5" ht="13">
      <c r="A7349" s="115"/>
      <c r="B7349" s="115"/>
      <c r="C7349" s="115"/>
      <c r="D7349" s="115"/>
      <c r="E7349" s="115"/>
    </row>
    <row r="7350" spans="1:5" ht="13">
      <c r="A7350" s="115"/>
      <c r="B7350" s="115"/>
      <c r="C7350" s="115"/>
      <c r="D7350" s="115"/>
      <c r="E7350" s="115"/>
    </row>
    <row r="7351" spans="1:5" ht="13">
      <c r="A7351" s="115"/>
      <c r="B7351" s="115"/>
      <c r="C7351" s="115"/>
      <c r="D7351" s="115"/>
      <c r="E7351" s="115"/>
    </row>
    <row r="7352" spans="1:5" ht="13">
      <c r="A7352" s="115"/>
      <c r="B7352" s="115"/>
      <c r="C7352" s="115"/>
      <c r="D7352" s="115"/>
      <c r="E7352" s="115"/>
    </row>
    <row r="7353" spans="1:5" ht="13">
      <c r="A7353" s="115"/>
      <c r="B7353" s="115"/>
      <c r="C7353" s="115"/>
      <c r="D7353" s="115"/>
      <c r="E7353" s="115"/>
    </row>
    <row r="7354" spans="1:5" ht="13">
      <c r="A7354" s="115"/>
      <c r="B7354" s="115"/>
      <c r="C7354" s="115"/>
      <c r="D7354" s="115"/>
      <c r="E7354" s="115"/>
    </row>
    <row r="7355" spans="1:5" ht="13">
      <c r="A7355" s="115"/>
      <c r="B7355" s="115"/>
      <c r="C7355" s="115"/>
      <c r="D7355" s="115"/>
      <c r="E7355" s="115"/>
    </row>
    <row r="7356" spans="1:5" ht="13">
      <c r="A7356" s="115"/>
      <c r="B7356" s="115"/>
      <c r="C7356" s="115"/>
      <c r="D7356" s="115"/>
      <c r="E7356" s="115"/>
    </row>
    <row r="7357" spans="1:5" ht="13">
      <c r="A7357" s="115"/>
      <c r="B7357" s="115"/>
      <c r="C7357" s="115"/>
      <c r="D7357" s="115"/>
      <c r="E7357" s="115"/>
    </row>
    <row r="7358" spans="1:5" ht="13">
      <c r="A7358" s="115"/>
      <c r="B7358" s="115"/>
      <c r="C7358" s="115"/>
      <c r="D7358" s="115"/>
      <c r="E7358" s="115"/>
    </row>
    <row r="7359" spans="1:5" ht="13">
      <c r="A7359" s="115"/>
      <c r="B7359" s="115"/>
      <c r="C7359" s="115"/>
      <c r="D7359" s="115"/>
      <c r="E7359" s="115"/>
    </row>
    <row r="7360" spans="1:5" ht="13">
      <c r="A7360" s="115"/>
      <c r="B7360" s="115"/>
      <c r="C7360" s="115"/>
      <c r="D7360" s="115"/>
      <c r="E7360" s="115"/>
    </row>
    <row r="7361" spans="1:5" ht="13">
      <c r="A7361" s="115"/>
      <c r="B7361" s="115"/>
      <c r="C7361" s="115"/>
      <c r="D7361" s="115"/>
      <c r="E7361" s="115"/>
    </row>
    <row r="7362" spans="1:5" ht="13">
      <c r="A7362" s="115"/>
      <c r="B7362" s="115"/>
      <c r="C7362" s="115"/>
      <c r="D7362" s="115"/>
      <c r="E7362" s="115"/>
    </row>
    <row r="7363" spans="1:5" ht="13">
      <c r="A7363" s="115"/>
      <c r="B7363" s="115"/>
      <c r="C7363" s="115"/>
      <c r="D7363" s="115"/>
      <c r="E7363" s="115"/>
    </row>
    <row r="7364" spans="1:5" ht="13">
      <c r="A7364" s="115"/>
      <c r="B7364" s="115"/>
      <c r="C7364" s="115"/>
      <c r="D7364" s="115"/>
      <c r="E7364" s="115"/>
    </row>
    <row r="7365" spans="1:5" ht="13">
      <c r="A7365" s="115"/>
      <c r="B7365" s="115"/>
      <c r="C7365" s="115"/>
      <c r="D7365" s="115"/>
      <c r="E7365" s="115"/>
    </row>
    <row r="7366" spans="1:5" ht="13">
      <c r="A7366" s="115"/>
      <c r="B7366" s="115"/>
      <c r="C7366" s="115"/>
      <c r="D7366" s="115"/>
      <c r="E7366" s="115"/>
    </row>
    <row r="7367" spans="1:5" ht="13">
      <c r="A7367" s="115"/>
      <c r="B7367" s="115"/>
      <c r="C7367" s="115"/>
      <c r="D7367" s="115"/>
      <c r="E7367" s="115"/>
    </row>
    <row r="7368" spans="1:5" ht="13">
      <c r="A7368" s="115"/>
      <c r="B7368" s="115"/>
      <c r="C7368" s="115"/>
      <c r="D7368" s="115"/>
      <c r="E7368" s="115"/>
    </row>
    <row r="7369" spans="1:5" ht="13">
      <c r="A7369" s="115"/>
      <c r="B7369" s="115"/>
      <c r="C7369" s="115"/>
      <c r="D7369" s="115"/>
      <c r="E7369" s="115"/>
    </row>
    <row r="7370" spans="1:5" ht="13">
      <c r="A7370" s="115"/>
      <c r="B7370" s="115"/>
      <c r="C7370" s="115"/>
      <c r="D7370" s="115"/>
      <c r="E7370" s="115"/>
    </row>
    <row r="7371" spans="1:5" ht="13">
      <c r="A7371" s="115"/>
      <c r="B7371" s="115"/>
      <c r="C7371" s="115"/>
      <c r="D7371" s="115"/>
      <c r="E7371" s="115"/>
    </row>
    <row r="7372" spans="1:5" ht="13">
      <c r="A7372" s="115"/>
      <c r="B7372" s="115"/>
      <c r="C7372" s="115"/>
      <c r="D7372" s="115"/>
      <c r="E7372" s="115"/>
    </row>
    <row r="7373" spans="1:5" ht="13">
      <c r="A7373" s="115"/>
      <c r="B7373" s="115"/>
      <c r="C7373" s="115"/>
      <c r="D7373" s="115"/>
      <c r="E7373" s="115"/>
    </row>
    <row r="7374" spans="1:5" ht="13">
      <c r="A7374" s="115"/>
      <c r="B7374" s="115"/>
      <c r="C7374" s="115"/>
      <c r="D7374" s="115"/>
      <c r="E7374" s="115"/>
    </row>
    <row r="7375" spans="1:5" ht="13">
      <c r="A7375" s="115"/>
      <c r="B7375" s="115"/>
      <c r="C7375" s="115"/>
      <c r="D7375" s="115"/>
      <c r="E7375" s="115"/>
    </row>
    <row r="7376" spans="1:5" ht="13">
      <c r="A7376" s="115"/>
      <c r="B7376" s="115"/>
      <c r="C7376" s="115"/>
      <c r="D7376" s="115"/>
      <c r="E7376" s="115"/>
    </row>
    <row r="7377" spans="1:5" ht="13">
      <c r="A7377" s="115"/>
      <c r="B7377" s="115"/>
      <c r="C7377" s="115"/>
      <c r="D7377" s="115"/>
      <c r="E7377" s="115"/>
    </row>
    <row r="7378" spans="1:5" ht="13">
      <c r="A7378" s="115"/>
      <c r="B7378" s="115"/>
      <c r="C7378" s="115"/>
      <c r="D7378" s="115"/>
      <c r="E7378" s="115"/>
    </row>
    <row r="7379" spans="1:5" ht="13">
      <c r="A7379" s="115"/>
      <c r="B7379" s="115"/>
      <c r="C7379" s="115"/>
      <c r="D7379" s="115"/>
      <c r="E7379" s="115"/>
    </row>
    <row r="7380" spans="1:5" ht="13">
      <c r="A7380" s="115"/>
      <c r="B7380" s="115"/>
      <c r="C7380" s="115"/>
      <c r="D7380" s="115"/>
      <c r="E7380" s="115"/>
    </row>
    <row r="7381" spans="1:5" ht="13">
      <c r="A7381" s="115"/>
      <c r="B7381" s="115"/>
      <c r="C7381" s="115"/>
      <c r="D7381" s="115"/>
      <c r="E7381" s="115"/>
    </row>
    <row r="7382" spans="1:5" ht="13">
      <c r="A7382" s="115"/>
      <c r="B7382" s="115"/>
      <c r="C7382" s="115"/>
      <c r="D7382" s="115"/>
      <c r="E7382" s="115"/>
    </row>
    <row r="7383" spans="1:5" ht="13">
      <c r="A7383" s="115"/>
      <c r="B7383" s="115"/>
      <c r="C7383" s="115"/>
      <c r="D7383" s="115"/>
      <c r="E7383" s="115"/>
    </row>
    <row r="7384" spans="1:5" ht="13">
      <c r="A7384" s="115"/>
      <c r="B7384" s="115"/>
      <c r="C7384" s="115"/>
      <c r="D7384" s="115"/>
      <c r="E7384" s="115"/>
    </row>
    <row r="7385" spans="1:5" ht="13">
      <c r="A7385" s="115"/>
      <c r="B7385" s="115"/>
      <c r="C7385" s="115"/>
      <c r="D7385" s="115"/>
      <c r="E7385" s="115"/>
    </row>
    <row r="7386" spans="1:5" ht="13">
      <c r="A7386" s="115"/>
      <c r="B7386" s="115"/>
      <c r="C7386" s="115"/>
      <c r="D7386" s="115"/>
      <c r="E7386" s="115"/>
    </row>
    <row r="7387" spans="1:5" ht="13">
      <c r="A7387" s="115"/>
      <c r="B7387" s="115"/>
      <c r="C7387" s="115"/>
      <c r="D7387" s="115"/>
      <c r="E7387" s="115"/>
    </row>
    <row r="7388" spans="1:5" ht="13">
      <c r="A7388" s="115"/>
      <c r="B7388" s="115"/>
      <c r="C7388" s="115"/>
      <c r="D7388" s="115"/>
      <c r="E7388" s="115"/>
    </row>
    <row r="7389" spans="1:5" ht="13">
      <c r="A7389" s="115"/>
      <c r="B7389" s="115"/>
      <c r="C7389" s="115"/>
      <c r="D7389" s="115"/>
      <c r="E7389" s="115"/>
    </row>
    <row r="7390" spans="1:5" ht="13">
      <c r="A7390" s="115"/>
      <c r="B7390" s="115"/>
      <c r="C7390" s="115"/>
      <c r="D7390" s="115"/>
      <c r="E7390" s="115"/>
    </row>
    <row r="7391" spans="1:5" ht="13">
      <c r="A7391" s="115"/>
      <c r="B7391" s="115"/>
      <c r="C7391" s="115"/>
      <c r="D7391" s="115"/>
      <c r="E7391" s="115"/>
    </row>
    <row r="7392" spans="1:5" ht="13">
      <c r="A7392" s="115"/>
      <c r="B7392" s="115"/>
      <c r="C7392" s="115"/>
      <c r="D7392" s="115"/>
      <c r="E7392" s="115"/>
    </row>
    <row r="7393" spans="1:5" ht="13">
      <c r="A7393" s="115"/>
      <c r="B7393" s="115"/>
      <c r="C7393" s="115"/>
      <c r="D7393" s="115"/>
      <c r="E7393" s="115"/>
    </row>
    <row r="7394" spans="1:5" ht="13">
      <c r="A7394" s="115"/>
      <c r="B7394" s="115"/>
      <c r="C7394" s="115"/>
      <c r="D7394" s="115"/>
      <c r="E7394" s="115"/>
    </row>
    <row r="7395" spans="1:5" ht="13">
      <c r="A7395" s="115"/>
      <c r="B7395" s="115"/>
      <c r="C7395" s="115"/>
      <c r="D7395" s="115"/>
      <c r="E7395" s="115"/>
    </row>
    <row r="7396" spans="1:5" ht="13">
      <c r="A7396" s="115"/>
      <c r="B7396" s="115"/>
      <c r="C7396" s="115"/>
      <c r="D7396" s="115"/>
      <c r="E7396" s="115"/>
    </row>
    <row r="7397" spans="1:5" ht="13">
      <c r="A7397" s="115"/>
      <c r="B7397" s="115"/>
      <c r="C7397" s="115"/>
      <c r="D7397" s="115"/>
      <c r="E7397" s="115"/>
    </row>
    <row r="7398" spans="1:5" ht="13">
      <c r="A7398" s="115"/>
      <c r="B7398" s="115"/>
      <c r="C7398" s="115"/>
      <c r="D7398" s="115"/>
      <c r="E7398" s="115"/>
    </row>
    <row r="7399" spans="1:5" ht="13">
      <c r="A7399" s="115"/>
      <c r="B7399" s="115"/>
      <c r="C7399" s="115"/>
      <c r="D7399" s="115"/>
      <c r="E7399" s="115"/>
    </row>
    <row r="7400" spans="1:5" ht="13">
      <c r="A7400" s="115"/>
      <c r="B7400" s="115"/>
      <c r="C7400" s="115"/>
      <c r="D7400" s="115"/>
      <c r="E7400" s="115"/>
    </row>
    <row r="7401" spans="1:5" ht="13">
      <c r="A7401" s="115"/>
      <c r="B7401" s="115"/>
      <c r="C7401" s="115"/>
      <c r="D7401" s="115"/>
      <c r="E7401" s="115"/>
    </row>
    <row r="7402" spans="1:5" ht="13">
      <c r="A7402" s="115"/>
      <c r="B7402" s="115"/>
      <c r="C7402" s="115"/>
      <c r="D7402" s="115"/>
      <c r="E7402" s="115"/>
    </row>
    <row r="7403" spans="1:5" ht="13">
      <c r="A7403" s="115"/>
      <c r="B7403" s="115"/>
      <c r="C7403" s="115"/>
      <c r="D7403" s="115"/>
      <c r="E7403" s="115"/>
    </row>
    <row r="7404" spans="1:5" ht="13">
      <c r="A7404" s="115"/>
      <c r="B7404" s="115"/>
      <c r="C7404" s="115"/>
      <c r="D7404" s="115"/>
      <c r="E7404" s="115"/>
    </row>
    <row r="7405" spans="1:5" ht="13">
      <c r="A7405" s="115"/>
      <c r="B7405" s="115"/>
      <c r="C7405" s="115"/>
      <c r="D7405" s="115"/>
      <c r="E7405" s="115"/>
    </row>
    <row r="7406" spans="1:5" ht="13">
      <c r="A7406" s="115"/>
      <c r="B7406" s="115"/>
      <c r="C7406" s="115"/>
      <c r="D7406" s="115"/>
      <c r="E7406" s="115"/>
    </row>
    <row r="7407" spans="1:5" ht="13">
      <c r="A7407" s="115"/>
      <c r="B7407" s="115"/>
      <c r="C7407" s="115"/>
      <c r="D7407" s="115"/>
      <c r="E7407" s="115"/>
    </row>
    <row r="7408" spans="1:5" ht="13">
      <c r="A7408" s="115"/>
      <c r="B7408" s="115"/>
      <c r="C7408" s="115"/>
      <c r="D7408" s="115"/>
      <c r="E7408" s="115"/>
    </row>
    <row r="7409" spans="1:5" ht="13">
      <c r="A7409" s="115"/>
      <c r="B7409" s="115"/>
      <c r="C7409" s="115"/>
      <c r="D7409" s="115"/>
      <c r="E7409" s="115"/>
    </row>
    <row r="7410" spans="1:5" ht="13">
      <c r="A7410" s="115"/>
      <c r="B7410" s="115"/>
      <c r="C7410" s="115"/>
      <c r="D7410" s="115"/>
      <c r="E7410" s="115"/>
    </row>
    <row r="7411" spans="1:5" ht="13">
      <c r="A7411" s="115"/>
      <c r="B7411" s="115"/>
      <c r="C7411" s="115"/>
      <c r="D7411" s="115"/>
      <c r="E7411" s="115"/>
    </row>
    <row r="7412" spans="1:5" ht="13">
      <c r="A7412" s="115"/>
      <c r="B7412" s="115"/>
      <c r="C7412" s="115"/>
      <c r="D7412" s="115"/>
      <c r="E7412" s="115"/>
    </row>
    <row r="7413" spans="1:5" ht="13">
      <c r="A7413" s="115"/>
      <c r="B7413" s="115"/>
      <c r="C7413" s="115"/>
      <c r="D7413" s="115"/>
      <c r="E7413" s="115"/>
    </row>
    <row r="7414" spans="1:5" ht="13">
      <c r="A7414" s="115"/>
      <c r="B7414" s="115"/>
      <c r="C7414" s="115"/>
      <c r="D7414" s="115"/>
      <c r="E7414" s="115"/>
    </row>
    <row r="7415" spans="1:5" ht="13">
      <c r="A7415" s="115"/>
      <c r="B7415" s="115"/>
      <c r="C7415" s="115"/>
      <c r="D7415" s="115"/>
      <c r="E7415" s="115"/>
    </row>
    <row r="7416" spans="1:5" ht="13">
      <c r="A7416" s="115"/>
      <c r="B7416" s="115"/>
      <c r="C7416" s="115"/>
      <c r="D7416" s="115"/>
      <c r="E7416" s="115"/>
    </row>
    <row r="7417" spans="1:5" ht="13">
      <c r="A7417" s="115"/>
      <c r="B7417" s="115"/>
      <c r="C7417" s="115"/>
      <c r="D7417" s="115"/>
      <c r="E7417" s="115"/>
    </row>
    <row r="7418" spans="1:5" ht="13">
      <c r="A7418" s="115"/>
      <c r="B7418" s="115"/>
      <c r="C7418" s="115"/>
      <c r="D7418" s="115"/>
      <c r="E7418" s="115"/>
    </row>
    <row r="7419" spans="1:5" ht="13">
      <c r="A7419" s="115"/>
      <c r="B7419" s="115"/>
      <c r="C7419" s="115"/>
      <c r="D7419" s="115"/>
      <c r="E7419" s="115"/>
    </row>
    <row r="7420" spans="1:5" ht="13">
      <c r="A7420" s="115"/>
      <c r="B7420" s="115"/>
      <c r="C7420" s="115"/>
      <c r="D7420" s="115"/>
      <c r="E7420" s="115"/>
    </row>
    <row r="7421" spans="1:5" ht="13">
      <c r="A7421" s="115"/>
      <c r="B7421" s="115"/>
      <c r="C7421" s="115"/>
      <c r="D7421" s="115"/>
      <c r="E7421" s="115"/>
    </row>
    <row r="7422" spans="1:5" ht="13">
      <c r="A7422" s="115"/>
      <c r="B7422" s="115"/>
      <c r="C7422" s="115"/>
      <c r="D7422" s="115"/>
      <c r="E7422" s="115"/>
    </row>
    <row r="7423" spans="1:5" ht="13">
      <c r="A7423" s="115"/>
      <c r="B7423" s="115"/>
      <c r="C7423" s="115"/>
      <c r="D7423" s="115"/>
      <c r="E7423" s="115"/>
    </row>
    <row r="7424" spans="1:5" ht="13">
      <c r="A7424" s="115"/>
      <c r="B7424" s="115"/>
      <c r="C7424" s="115"/>
      <c r="D7424" s="115"/>
      <c r="E7424" s="115"/>
    </row>
    <row r="7425" spans="1:5" ht="13">
      <c r="A7425" s="115"/>
      <c r="B7425" s="115"/>
      <c r="C7425" s="115"/>
      <c r="D7425" s="115"/>
      <c r="E7425" s="115"/>
    </row>
    <row r="7426" spans="1:5" ht="13">
      <c r="A7426" s="115"/>
      <c r="B7426" s="115"/>
      <c r="C7426" s="115"/>
      <c r="D7426" s="115"/>
      <c r="E7426" s="115"/>
    </row>
    <row r="7427" spans="1:5" ht="13">
      <c r="A7427" s="115"/>
      <c r="B7427" s="115"/>
      <c r="C7427" s="115"/>
      <c r="D7427" s="115"/>
      <c r="E7427" s="115"/>
    </row>
    <row r="7428" spans="1:5" ht="13">
      <c r="A7428" s="115"/>
      <c r="B7428" s="115"/>
      <c r="C7428" s="115"/>
      <c r="D7428" s="115"/>
      <c r="E7428" s="115"/>
    </row>
    <row r="7429" spans="1:5" ht="13">
      <c r="A7429" s="115"/>
      <c r="B7429" s="115"/>
      <c r="C7429" s="115"/>
      <c r="D7429" s="115"/>
      <c r="E7429" s="115"/>
    </row>
    <row r="7430" spans="1:5" ht="13">
      <c r="A7430" s="115"/>
      <c r="B7430" s="115"/>
      <c r="C7430" s="115"/>
      <c r="D7430" s="115"/>
      <c r="E7430" s="115"/>
    </row>
    <row r="7431" spans="1:5" ht="13">
      <c r="A7431" s="115"/>
      <c r="B7431" s="115"/>
      <c r="C7431" s="115"/>
      <c r="D7431" s="115"/>
      <c r="E7431" s="115"/>
    </row>
    <row r="7432" spans="1:5" ht="13">
      <c r="A7432" s="115"/>
      <c r="B7432" s="115"/>
      <c r="C7432" s="115"/>
      <c r="D7432" s="115"/>
      <c r="E7432" s="115"/>
    </row>
    <row r="7433" spans="1:5" ht="13">
      <c r="A7433" s="115"/>
      <c r="B7433" s="115"/>
      <c r="C7433" s="115"/>
      <c r="D7433" s="115"/>
      <c r="E7433" s="115"/>
    </row>
    <row r="7434" spans="1:5" ht="13">
      <c r="A7434" s="115"/>
      <c r="B7434" s="115"/>
      <c r="C7434" s="115"/>
      <c r="D7434" s="115"/>
      <c r="E7434" s="115"/>
    </row>
    <row r="7435" spans="1:5" ht="13">
      <c r="A7435" s="115"/>
      <c r="B7435" s="115"/>
      <c r="C7435" s="115"/>
      <c r="D7435" s="115"/>
      <c r="E7435" s="115"/>
    </row>
    <row r="7436" spans="1:5" ht="13">
      <c r="A7436" s="115"/>
      <c r="B7436" s="115"/>
      <c r="C7436" s="115"/>
      <c r="D7436" s="115"/>
      <c r="E7436" s="115"/>
    </row>
    <row r="7437" spans="1:5" ht="13">
      <c r="A7437" s="115"/>
      <c r="B7437" s="115"/>
      <c r="C7437" s="115"/>
      <c r="D7437" s="115"/>
      <c r="E7437" s="115"/>
    </row>
    <row r="7438" spans="1:5" ht="13">
      <c r="A7438" s="115"/>
      <c r="B7438" s="115"/>
      <c r="C7438" s="115"/>
      <c r="D7438" s="115"/>
      <c r="E7438" s="115"/>
    </row>
    <row r="7439" spans="1:5" ht="13">
      <c r="A7439" s="115"/>
      <c r="B7439" s="115"/>
      <c r="C7439" s="115"/>
      <c r="D7439" s="115"/>
      <c r="E7439" s="115"/>
    </row>
    <row r="7440" spans="1:5" ht="13">
      <c r="A7440" s="115"/>
      <c r="B7440" s="115"/>
      <c r="C7440" s="115"/>
      <c r="D7440" s="115"/>
      <c r="E7440" s="115"/>
    </row>
    <row r="7441" spans="1:5" ht="13">
      <c r="A7441" s="115"/>
      <c r="B7441" s="115"/>
      <c r="C7441" s="115"/>
      <c r="D7441" s="115"/>
      <c r="E7441" s="115"/>
    </row>
    <row r="7442" spans="1:5" ht="13">
      <c r="A7442" s="115"/>
      <c r="B7442" s="115"/>
      <c r="C7442" s="115"/>
      <c r="D7442" s="115"/>
      <c r="E7442" s="115"/>
    </row>
    <row r="7443" spans="1:5" ht="13">
      <c r="A7443" s="115"/>
      <c r="B7443" s="115"/>
      <c r="C7443" s="115"/>
      <c r="D7443" s="115"/>
      <c r="E7443" s="115"/>
    </row>
    <row r="7444" spans="1:5" ht="13">
      <c r="A7444" s="115"/>
      <c r="B7444" s="115"/>
      <c r="C7444" s="115"/>
      <c r="D7444" s="115"/>
      <c r="E7444" s="115"/>
    </row>
    <row r="7445" spans="1:5" ht="13">
      <c r="A7445" s="115"/>
      <c r="B7445" s="115"/>
      <c r="C7445" s="115"/>
      <c r="D7445" s="115"/>
      <c r="E7445" s="115"/>
    </row>
    <row r="7446" spans="1:5" ht="13">
      <c r="A7446" s="115"/>
      <c r="B7446" s="115"/>
      <c r="C7446" s="115"/>
      <c r="D7446" s="115"/>
      <c r="E7446" s="115"/>
    </row>
    <row r="7447" spans="1:5" ht="13">
      <c r="A7447" s="115"/>
      <c r="B7447" s="115"/>
      <c r="C7447" s="115"/>
      <c r="D7447" s="115"/>
      <c r="E7447" s="115"/>
    </row>
    <row r="7448" spans="1:5" ht="13">
      <c r="A7448" s="115"/>
      <c r="B7448" s="115"/>
      <c r="C7448" s="115"/>
      <c r="D7448" s="115"/>
      <c r="E7448" s="115"/>
    </row>
    <row r="7449" spans="1:5" ht="13">
      <c r="A7449" s="115"/>
      <c r="B7449" s="115"/>
      <c r="C7449" s="115"/>
      <c r="D7449" s="115"/>
      <c r="E7449" s="115"/>
    </row>
    <row r="7450" spans="1:5" ht="13">
      <c r="A7450" s="115"/>
      <c r="B7450" s="115"/>
      <c r="C7450" s="115"/>
      <c r="D7450" s="115"/>
      <c r="E7450" s="115"/>
    </row>
    <row r="7451" spans="1:5" ht="13">
      <c r="A7451" s="115"/>
      <c r="B7451" s="115"/>
      <c r="C7451" s="115"/>
      <c r="D7451" s="115"/>
      <c r="E7451" s="115"/>
    </row>
    <row r="7452" spans="1:5" ht="13">
      <c r="A7452" s="115"/>
      <c r="B7452" s="115"/>
      <c r="C7452" s="115"/>
      <c r="D7452" s="115"/>
      <c r="E7452" s="115"/>
    </row>
    <row r="7453" spans="1:5" ht="13">
      <c r="A7453" s="115"/>
      <c r="B7453" s="115"/>
      <c r="C7453" s="115"/>
      <c r="D7453" s="115"/>
      <c r="E7453" s="115"/>
    </row>
    <row r="7454" spans="1:5" ht="13">
      <c r="A7454" s="115"/>
      <c r="B7454" s="115"/>
      <c r="C7454" s="115"/>
      <c r="D7454" s="115"/>
      <c r="E7454" s="115"/>
    </row>
    <row r="7455" spans="1:5" ht="13">
      <c r="A7455" s="115"/>
      <c r="B7455" s="115"/>
      <c r="C7455" s="115"/>
      <c r="D7455" s="115"/>
      <c r="E7455" s="115"/>
    </row>
    <row r="7456" spans="1:5" ht="13">
      <c r="A7456" s="115"/>
      <c r="B7456" s="115"/>
      <c r="C7456" s="115"/>
      <c r="D7456" s="115"/>
      <c r="E7456" s="115"/>
    </row>
    <row r="7457" spans="1:5" ht="13">
      <c r="A7457" s="115"/>
      <c r="B7457" s="115"/>
      <c r="C7457" s="115"/>
      <c r="D7457" s="115"/>
      <c r="E7457" s="115"/>
    </row>
    <row r="7458" spans="1:5" ht="13">
      <c r="A7458" s="115"/>
      <c r="B7458" s="115"/>
      <c r="C7458" s="115"/>
      <c r="D7458" s="115"/>
      <c r="E7458" s="115"/>
    </row>
    <row r="7459" spans="1:5" ht="13">
      <c r="A7459" s="115"/>
      <c r="B7459" s="115"/>
      <c r="C7459" s="115"/>
      <c r="D7459" s="115"/>
      <c r="E7459" s="115"/>
    </row>
    <row r="7460" spans="1:5" ht="13">
      <c r="A7460" s="115"/>
      <c r="B7460" s="115"/>
      <c r="C7460" s="115"/>
      <c r="D7460" s="115"/>
      <c r="E7460" s="115"/>
    </row>
    <row r="7461" spans="1:5" ht="13">
      <c r="A7461" s="115"/>
      <c r="B7461" s="115"/>
      <c r="C7461" s="115"/>
      <c r="D7461" s="115"/>
      <c r="E7461" s="115"/>
    </row>
    <row r="7462" spans="1:5" ht="13">
      <c r="A7462" s="115"/>
      <c r="B7462" s="115"/>
      <c r="C7462" s="115"/>
      <c r="D7462" s="115"/>
      <c r="E7462" s="115"/>
    </row>
    <row r="7463" spans="1:5" ht="13">
      <c r="A7463" s="115"/>
      <c r="B7463" s="115"/>
      <c r="C7463" s="115"/>
      <c r="D7463" s="115"/>
      <c r="E7463" s="115"/>
    </row>
    <row r="7464" spans="1:5" ht="13">
      <c r="A7464" s="115"/>
      <c r="B7464" s="115"/>
      <c r="C7464" s="115"/>
      <c r="D7464" s="115"/>
      <c r="E7464" s="115"/>
    </row>
    <row r="7465" spans="1:5" ht="13">
      <c r="A7465" s="115"/>
      <c r="B7465" s="115"/>
      <c r="C7465" s="115"/>
      <c r="D7465" s="115"/>
      <c r="E7465" s="115"/>
    </row>
    <row r="7466" spans="1:5" ht="13">
      <c r="A7466" s="115"/>
      <c r="B7466" s="115"/>
      <c r="C7466" s="115"/>
      <c r="D7466" s="115"/>
      <c r="E7466" s="115"/>
    </row>
    <row r="7467" spans="1:5" ht="13">
      <c r="A7467" s="115"/>
      <c r="B7467" s="115"/>
      <c r="C7467" s="115"/>
      <c r="D7467" s="115"/>
      <c r="E7467" s="115"/>
    </row>
    <row r="7468" spans="1:5" ht="13">
      <c r="A7468" s="115"/>
      <c r="B7468" s="115"/>
      <c r="C7468" s="115"/>
      <c r="D7468" s="115"/>
      <c r="E7468" s="115"/>
    </row>
    <row r="7469" spans="1:5" ht="13">
      <c r="A7469" s="115"/>
      <c r="B7469" s="115"/>
      <c r="C7469" s="115"/>
      <c r="D7469" s="115"/>
      <c r="E7469" s="115"/>
    </row>
    <row r="7470" spans="1:5" ht="13">
      <c r="A7470" s="115"/>
      <c r="B7470" s="115"/>
      <c r="C7470" s="115"/>
      <c r="D7470" s="115"/>
      <c r="E7470" s="115"/>
    </row>
    <row r="7471" spans="1:5" ht="13">
      <c r="A7471" s="115"/>
      <c r="B7471" s="115"/>
      <c r="C7471" s="115"/>
      <c r="D7471" s="115"/>
      <c r="E7471" s="115"/>
    </row>
    <row r="7472" spans="1:5" ht="13">
      <c r="A7472" s="115"/>
      <c r="B7472" s="115"/>
      <c r="C7472" s="115"/>
      <c r="D7472" s="115"/>
      <c r="E7472" s="115"/>
    </row>
    <row r="7473" spans="1:5" ht="13">
      <c r="A7473" s="115"/>
      <c r="B7473" s="115"/>
      <c r="C7473" s="115"/>
      <c r="D7473" s="115"/>
      <c r="E7473" s="115"/>
    </row>
    <row r="7474" spans="1:5" ht="13">
      <c r="A7474" s="115"/>
      <c r="B7474" s="115"/>
      <c r="C7474" s="115"/>
      <c r="D7474" s="115"/>
      <c r="E7474" s="115"/>
    </row>
    <row r="7475" spans="1:5" ht="13">
      <c r="A7475" s="115"/>
      <c r="B7475" s="115"/>
      <c r="C7475" s="115"/>
      <c r="D7475" s="115"/>
      <c r="E7475" s="115"/>
    </row>
    <row r="7476" spans="1:5" ht="13">
      <c r="A7476" s="115"/>
      <c r="B7476" s="115"/>
      <c r="C7476" s="115"/>
      <c r="D7476" s="115"/>
      <c r="E7476" s="115"/>
    </row>
    <row r="7477" spans="1:5" ht="13">
      <c r="A7477" s="115"/>
      <c r="B7477" s="115"/>
      <c r="C7477" s="115"/>
      <c r="D7477" s="115"/>
      <c r="E7477" s="115"/>
    </row>
    <row r="7478" spans="1:5" ht="13">
      <c r="A7478" s="115"/>
      <c r="B7478" s="115"/>
      <c r="C7478" s="115"/>
      <c r="D7478" s="115"/>
      <c r="E7478" s="115"/>
    </row>
    <row r="7479" spans="1:5" ht="13">
      <c r="A7479" s="115"/>
      <c r="B7479" s="115"/>
      <c r="C7479" s="115"/>
      <c r="D7479" s="115"/>
      <c r="E7479" s="115"/>
    </row>
    <row r="7480" spans="1:5" ht="13">
      <c r="A7480" s="115"/>
      <c r="B7480" s="115"/>
      <c r="C7480" s="115"/>
      <c r="D7480" s="115"/>
      <c r="E7480" s="115"/>
    </row>
    <row r="7481" spans="1:5" ht="13">
      <c r="A7481" s="115"/>
      <c r="B7481" s="115"/>
      <c r="C7481" s="115"/>
      <c r="D7481" s="115"/>
      <c r="E7481" s="115"/>
    </row>
    <row r="7482" spans="1:5" ht="13">
      <c r="A7482" s="115"/>
      <c r="B7482" s="115"/>
      <c r="C7482" s="115"/>
      <c r="D7482" s="115"/>
      <c r="E7482" s="115"/>
    </row>
    <row r="7483" spans="1:5" ht="13">
      <c r="A7483" s="115"/>
      <c r="B7483" s="115"/>
      <c r="C7483" s="115"/>
      <c r="D7483" s="115"/>
      <c r="E7483" s="115"/>
    </row>
    <row r="7484" spans="1:5" ht="13">
      <c r="A7484" s="115"/>
      <c r="B7484" s="115"/>
      <c r="C7484" s="115"/>
      <c r="D7484" s="115"/>
      <c r="E7484" s="115"/>
    </row>
    <row r="7485" spans="1:5" ht="13">
      <c r="A7485" s="115"/>
      <c r="B7485" s="115"/>
      <c r="C7485" s="115"/>
      <c r="D7485" s="115"/>
      <c r="E7485" s="115"/>
    </row>
    <row r="7486" spans="1:5" ht="13">
      <c r="A7486" s="115"/>
      <c r="B7486" s="115"/>
      <c r="C7486" s="115"/>
      <c r="D7486" s="115"/>
      <c r="E7486" s="115"/>
    </row>
    <row r="7487" spans="1:5" ht="13">
      <c r="A7487" s="115"/>
      <c r="B7487" s="115"/>
      <c r="C7487" s="115"/>
      <c r="D7487" s="115"/>
      <c r="E7487" s="115"/>
    </row>
    <row r="7488" spans="1:5" ht="13">
      <c r="A7488" s="115"/>
      <c r="B7488" s="115"/>
      <c r="C7488" s="115"/>
      <c r="D7488" s="115"/>
      <c r="E7488" s="115"/>
    </row>
    <row r="7489" spans="1:5" ht="13">
      <c r="A7489" s="115"/>
      <c r="B7489" s="115"/>
      <c r="C7489" s="115"/>
      <c r="D7489" s="115"/>
      <c r="E7489" s="115"/>
    </row>
    <row r="7490" spans="1:5" ht="13">
      <c r="A7490" s="115"/>
      <c r="B7490" s="115"/>
      <c r="C7490" s="115"/>
      <c r="D7490" s="115"/>
      <c r="E7490" s="115"/>
    </row>
    <row r="7491" spans="1:5" ht="13">
      <c r="A7491" s="115"/>
      <c r="B7491" s="115"/>
      <c r="C7491" s="115"/>
      <c r="D7491" s="115"/>
      <c r="E7491" s="115"/>
    </row>
    <row r="7492" spans="1:5" ht="13">
      <c r="A7492" s="115"/>
      <c r="B7492" s="115"/>
      <c r="C7492" s="115"/>
      <c r="D7492" s="115"/>
      <c r="E7492" s="115"/>
    </row>
    <row r="7493" spans="1:5" ht="13">
      <c r="A7493" s="115"/>
      <c r="B7493" s="115"/>
      <c r="C7493" s="115"/>
      <c r="D7493" s="115"/>
      <c r="E7493" s="115"/>
    </row>
    <row r="7494" spans="1:5" ht="13">
      <c r="A7494" s="115"/>
      <c r="B7494" s="115"/>
      <c r="C7494" s="115"/>
      <c r="D7494" s="115"/>
      <c r="E7494" s="115"/>
    </row>
    <row r="7495" spans="1:5" ht="13">
      <c r="A7495" s="115"/>
      <c r="B7495" s="115"/>
      <c r="C7495" s="115"/>
      <c r="D7495" s="115"/>
      <c r="E7495" s="115"/>
    </row>
    <row r="7496" spans="1:5" ht="13">
      <c r="A7496" s="115"/>
      <c r="B7496" s="115"/>
      <c r="C7496" s="115"/>
      <c r="D7496" s="115"/>
      <c r="E7496" s="115"/>
    </row>
    <row r="7497" spans="1:5" ht="13">
      <c r="A7497" s="115"/>
      <c r="B7497" s="115"/>
      <c r="C7497" s="115"/>
      <c r="D7497" s="115"/>
      <c r="E7497" s="115"/>
    </row>
    <row r="7498" spans="1:5" ht="13">
      <c r="A7498" s="115"/>
      <c r="B7498" s="115"/>
      <c r="C7498" s="115"/>
      <c r="D7498" s="115"/>
      <c r="E7498" s="115"/>
    </row>
    <row r="7499" spans="1:5" ht="13">
      <c r="A7499" s="115"/>
      <c r="B7499" s="115"/>
      <c r="C7499" s="115"/>
      <c r="D7499" s="115"/>
      <c r="E7499" s="115"/>
    </row>
    <row r="7500" spans="1:5" ht="13">
      <c r="A7500" s="115"/>
      <c r="B7500" s="115"/>
      <c r="C7500" s="115"/>
      <c r="D7500" s="115"/>
      <c r="E7500" s="115"/>
    </row>
    <row r="7501" spans="1:5" ht="13">
      <c r="A7501" s="115"/>
      <c r="B7501" s="115"/>
      <c r="C7501" s="115"/>
      <c r="D7501" s="115"/>
      <c r="E7501" s="115"/>
    </row>
    <row r="7502" spans="1:5" ht="13">
      <c r="A7502" s="115"/>
      <c r="B7502" s="115"/>
      <c r="C7502" s="115"/>
      <c r="D7502" s="115"/>
      <c r="E7502" s="115"/>
    </row>
    <row r="7503" spans="1:5" ht="13">
      <c r="A7503" s="115"/>
      <c r="B7503" s="115"/>
      <c r="C7503" s="115"/>
      <c r="D7503" s="115"/>
      <c r="E7503" s="115"/>
    </row>
    <row r="7504" spans="1:5" ht="13">
      <c r="A7504" s="115"/>
      <c r="B7504" s="115"/>
      <c r="C7504" s="115"/>
      <c r="D7504" s="115"/>
      <c r="E7504" s="115"/>
    </row>
    <row r="7505" spans="1:5" ht="13">
      <c r="A7505" s="115"/>
      <c r="B7505" s="115"/>
      <c r="C7505" s="115"/>
      <c r="D7505" s="115"/>
      <c r="E7505" s="115"/>
    </row>
    <row r="7506" spans="1:5" ht="13">
      <c r="A7506" s="115"/>
      <c r="B7506" s="115"/>
      <c r="C7506" s="115"/>
      <c r="D7506" s="115"/>
      <c r="E7506" s="115"/>
    </row>
    <row r="7507" spans="1:5" ht="13">
      <c r="A7507" s="115"/>
      <c r="B7507" s="115"/>
      <c r="C7507" s="115"/>
      <c r="D7507" s="115"/>
      <c r="E7507" s="115"/>
    </row>
    <row r="7508" spans="1:5" ht="13">
      <c r="A7508" s="115"/>
      <c r="B7508" s="115"/>
      <c r="C7508" s="115"/>
      <c r="D7508" s="115"/>
      <c r="E7508" s="115"/>
    </row>
    <row r="7509" spans="1:5" ht="13">
      <c r="A7509" s="115"/>
      <c r="B7509" s="115"/>
      <c r="C7509" s="115"/>
      <c r="D7509" s="115"/>
      <c r="E7509" s="115"/>
    </row>
    <row r="7510" spans="1:5" ht="13">
      <c r="A7510" s="115"/>
      <c r="B7510" s="115"/>
      <c r="C7510" s="115"/>
      <c r="D7510" s="115"/>
      <c r="E7510" s="115"/>
    </row>
    <row r="7511" spans="1:5" ht="13">
      <c r="A7511" s="115"/>
      <c r="B7511" s="115"/>
      <c r="C7511" s="115"/>
      <c r="D7511" s="115"/>
      <c r="E7511" s="115"/>
    </row>
    <row r="7512" spans="1:5" ht="13">
      <c r="A7512" s="115"/>
      <c r="B7512" s="115"/>
      <c r="C7512" s="115"/>
      <c r="D7512" s="115"/>
      <c r="E7512" s="115"/>
    </row>
    <row r="7513" spans="1:5" ht="13">
      <c r="A7513" s="115"/>
      <c r="B7513" s="115"/>
      <c r="C7513" s="115"/>
      <c r="D7513" s="115"/>
      <c r="E7513" s="115"/>
    </row>
    <row r="7514" spans="1:5" ht="13">
      <c r="A7514" s="115"/>
      <c r="B7514" s="115"/>
      <c r="C7514" s="115"/>
      <c r="D7514" s="115"/>
      <c r="E7514" s="115"/>
    </row>
    <row r="7515" spans="1:5" ht="13">
      <c r="A7515" s="115"/>
      <c r="B7515" s="115"/>
      <c r="C7515" s="115"/>
      <c r="D7515" s="115"/>
      <c r="E7515" s="115"/>
    </row>
    <row r="7516" spans="1:5" ht="13">
      <c r="A7516" s="115"/>
      <c r="B7516" s="115"/>
      <c r="C7516" s="115"/>
      <c r="D7516" s="115"/>
      <c r="E7516" s="115"/>
    </row>
    <row r="7517" spans="1:5" ht="13">
      <c r="A7517" s="115"/>
      <c r="B7517" s="115"/>
      <c r="C7517" s="115"/>
      <c r="D7517" s="115"/>
      <c r="E7517" s="115"/>
    </row>
    <row r="7518" spans="1:5" ht="13">
      <c r="A7518" s="115"/>
      <c r="B7518" s="115"/>
      <c r="C7518" s="115"/>
      <c r="D7518" s="115"/>
      <c r="E7518" s="115"/>
    </row>
    <row r="7519" spans="1:5" ht="13">
      <c r="A7519" s="115"/>
      <c r="B7519" s="115"/>
      <c r="C7519" s="115"/>
      <c r="D7519" s="115"/>
      <c r="E7519" s="115"/>
    </row>
    <row r="7520" spans="1:5" ht="13">
      <c r="A7520" s="115"/>
      <c r="B7520" s="115"/>
      <c r="C7520" s="115"/>
      <c r="D7520" s="115"/>
      <c r="E7520" s="115"/>
    </row>
    <row r="7521" spans="1:5" ht="13">
      <c r="A7521" s="115"/>
      <c r="B7521" s="115"/>
      <c r="C7521" s="115"/>
      <c r="D7521" s="115"/>
      <c r="E7521" s="115"/>
    </row>
    <row r="7522" spans="1:5" ht="13">
      <c r="A7522" s="115"/>
      <c r="B7522" s="115"/>
      <c r="C7522" s="115"/>
      <c r="D7522" s="115"/>
      <c r="E7522" s="115"/>
    </row>
    <row r="7523" spans="1:5" ht="13">
      <c r="A7523" s="115"/>
      <c r="B7523" s="115"/>
      <c r="C7523" s="115"/>
      <c r="D7523" s="115"/>
      <c r="E7523" s="115"/>
    </row>
    <row r="7524" spans="1:5" ht="13">
      <c r="A7524" s="115"/>
      <c r="B7524" s="115"/>
      <c r="C7524" s="115"/>
      <c r="D7524" s="115"/>
      <c r="E7524" s="115"/>
    </row>
    <row r="7525" spans="1:5" ht="13">
      <c r="A7525" s="115"/>
      <c r="B7525" s="115"/>
      <c r="C7525" s="115"/>
      <c r="D7525" s="115"/>
      <c r="E7525" s="115"/>
    </row>
    <row r="7526" spans="1:5" ht="13">
      <c r="A7526" s="115"/>
      <c r="B7526" s="115"/>
      <c r="C7526" s="115"/>
      <c r="D7526" s="115"/>
      <c r="E7526" s="115"/>
    </row>
    <row r="7527" spans="1:5" ht="13">
      <c r="A7527" s="115"/>
      <c r="B7527" s="115"/>
      <c r="C7527" s="115"/>
      <c r="D7527" s="115"/>
      <c r="E7527" s="115"/>
    </row>
    <row r="7528" spans="1:5" ht="13">
      <c r="A7528" s="115"/>
      <c r="B7528" s="115"/>
      <c r="C7528" s="115"/>
      <c r="D7528" s="115"/>
      <c r="E7528" s="115"/>
    </row>
    <row r="7529" spans="1:5" ht="13">
      <c r="A7529" s="115"/>
      <c r="B7529" s="115"/>
      <c r="C7529" s="115"/>
      <c r="D7529" s="115"/>
      <c r="E7529" s="115"/>
    </row>
    <row r="7530" spans="1:5" ht="13">
      <c r="A7530" s="115"/>
      <c r="B7530" s="115"/>
      <c r="C7530" s="115"/>
      <c r="D7530" s="115"/>
      <c r="E7530" s="115"/>
    </row>
    <row r="7531" spans="1:5" ht="13">
      <c r="A7531" s="115"/>
      <c r="B7531" s="115"/>
      <c r="C7531" s="115"/>
      <c r="D7531" s="115"/>
      <c r="E7531" s="115"/>
    </row>
    <row r="7532" spans="1:5" ht="13">
      <c r="A7532" s="115"/>
      <c r="B7532" s="115"/>
      <c r="C7532" s="115"/>
      <c r="D7532" s="115"/>
      <c r="E7532" s="115"/>
    </row>
    <row r="7533" spans="1:5" ht="13">
      <c r="A7533" s="115"/>
      <c r="B7533" s="115"/>
      <c r="C7533" s="115"/>
      <c r="D7533" s="115"/>
      <c r="E7533" s="115"/>
    </row>
    <row r="7534" spans="1:5" ht="13">
      <c r="A7534" s="115"/>
      <c r="B7534" s="115"/>
      <c r="C7534" s="115"/>
      <c r="D7534" s="115"/>
      <c r="E7534" s="115"/>
    </row>
    <row r="7535" spans="1:5" ht="13">
      <c r="A7535" s="115"/>
      <c r="B7535" s="115"/>
      <c r="C7535" s="115"/>
      <c r="D7535" s="115"/>
      <c r="E7535" s="115"/>
    </row>
    <row r="7536" spans="1:5" ht="13">
      <c r="A7536" s="115"/>
      <c r="B7536" s="115"/>
      <c r="C7536" s="115"/>
      <c r="D7536" s="115"/>
      <c r="E7536" s="115"/>
    </row>
    <row r="7537" spans="1:5" ht="13">
      <c r="A7537" s="115"/>
      <c r="B7537" s="115"/>
      <c r="C7537" s="115"/>
      <c r="D7537" s="115"/>
      <c r="E7537" s="115"/>
    </row>
    <row r="7538" spans="1:5" ht="13">
      <c r="A7538" s="115"/>
      <c r="B7538" s="115"/>
      <c r="C7538" s="115"/>
      <c r="D7538" s="115"/>
      <c r="E7538" s="115"/>
    </row>
    <row r="7539" spans="1:5" ht="13">
      <c r="A7539" s="115"/>
      <c r="B7539" s="115"/>
      <c r="C7539" s="115"/>
      <c r="D7539" s="115"/>
      <c r="E7539" s="115"/>
    </row>
    <row r="7540" spans="1:5" ht="13">
      <c r="A7540" s="115"/>
      <c r="B7540" s="115"/>
      <c r="C7540" s="115"/>
      <c r="D7540" s="115"/>
      <c r="E7540" s="115"/>
    </row>
    <row r="7541" spans="1:5" ht="13">
      <c r="A7541" s="115"/>
      <c r="B7541" s="115"/>
      <c r="C7541" s="115"/>
      <c r="D7541" s="115"/>
      <c r="E7541" s="115"/>
    </row>
    <row r="7542" spans="1:5" ht="13">
      <c r="A7542" s="115"/>
      <c r="B7542" s="115"/>
      <c r="C7542" s="115"/>
      <c r="D7542" s="115"/>
      <c r="E7542" s="115"/>
    </row>
    <row r="7543" spans="1:5" ht="13">
      <c r="A7543" s="115"/>
      <c r="B7543" s="115"/>
      <c r="C7543" s="115"/>
      <c r="D7543" s="115"/>
      <c r="E7543" s="115"/>
    </row>
    <row r="7544" spans="1:5" ht="13">
      <c r="A7544" s="115"/>
      <c r="B7544" s="115"/>
      <c r="C7544" s="115"/>
      <c r="D7544" s="115"/>
      <c r="E7544" s="115"/>
    </row>
    <row r="7545" spans="1:5" ht="13">
      <c r="A7545" s="115"/>
      <c r="B7545" s="115"/>
      <c r="C7545" s="115"/>
      <c r="D7545" s="115"/>
      <c r="E7545" s="115"/>
    </row>
    <row r="7546" spans="1:5" ht="13">
      <c r="A7546" s="115"/>
      <c r="B7546" s="115"/>
      <c r="C7546" s="115"/>
      <c r="D7546" s="115"/>
      <c r="E7546" s="115"/>
    </row>
    <row r="7547" spans="1:5" ht="13">
      <c r="A7547" s="115"/>
      <c r="B7547" s="115"/>
      <c r="C7547" s="115"/>
      <c r="D7547" s="115"/>
      <c r="E7547" s="115"/>
    </row>
    <row r="7548" spans="1:5" ht="13">
      <c r="A7548" s="115"/>
      <c r="B7548" s="115"/>
      <c r="C7548" s="115"/>
      <c r="D7548" s="115"/>
      <c r="E7548" s="115"/>
    </row>
    <row r="7549" spans="1:5" ht="13">
      <c r="A7549" s="115"/>
      <c r="B7549" s="115"/>
      <c r="C7549" s="115"/>
      <c r="D7549" s="115"/>
      <c r="E7549" s="115"/>
    </row>
    <row r="7550" spans="1:5" ht="13">
      <c r="A7550" s="115"/>
      <c r="B7550" s="115"/>
      <c r="C7550" s="115"/>
      <c r="D7550" s="115"/>
      <c r="E7550" s="115"/>
    </row>
    <row r="7551" spans="1:5" ht="13">
      <c r="A7551" s="115"/>
      <c r="B7551" s="115"/>
      <c r="C7551" s="115"/>
      <c r="D7551" s="115"/>
      <c r="E7551" s="115"/>
    </row>
    <row r="7552" spans="1:5" ht="13">
      <c r="A7552" s="115"/>
      <c r="B7552" s="115"/>
      <c r="C7552" s="115"/>
      <c r="D7552" s="115"/>
      <c r="E7552" s="115"/>
    </row>
    <row r="7553" spans="1:5" ht="13">
      <c r="A7553" s="115"/>
      <c r="B7553" s="115"/>
      <c r="C7553" s="115"/>
      <c r="D7553" s="115"/>
      <c r="E7553" s="115"/>
    </row>
    <row r="7554" spans="1:5" ht="13">
      <c r="A7554" s="115"/>
      <c r="B7554" s="115"/>
      <c r="C7554" s="115"/>
      <c r="D7554" s="115"/>
      <c r="E7554" s="115"/>
    </row>
    <row r="7555" spans="1:5" ht="13">
      <c r="A7555" s="115"/>
      <c r="B7555" s="115"/>
      <c r="C7555" s="115"/>
      <c r="D7555" s="115"/>
      <c r="E7555" s="115"/>
    </row>
    <row r="7556" spans="1:5" ht="13">
      <c r="A7556" s="115"/>
      <c r="B7556" s="115"/>
      <c r="C7556" s="115"/>
      <c r="D7556" s="115"/>
      <c r="E7556" s="115"/>
    </row>
    <row r="7557" spans="1:5" ht="13">
      <c r="A7557" s="115"/>
      <c r="B7557" s="115"/>
      <c r="C7557" s="115"/>
      <c r="D7557" s="115"/>
      <c r="E7557" s="115"/>
    </row>
    <row r="7558" spans="1:5" ht="13">
      <c r="A7558" s="115"/>
      <c r="B7558" s="115"/>
      <c r="C7558" s="115"/>
      <c r="D7558" s="115"/>
      <c r="E7558" s="115"/>
    </row>
    <row r="7559" spans="1:5" ht="13">
      <c r="A7559" s="115"/>
      <c r="B7559" s="115"/>
      <c r="C7559" s="115"/>
      <c r="D7559" s="115"/>
      <c r="E7559" s="115"/>
    </row>
    <row r="7560" spans="1:5" ht="13">
      <c r="A7560" s="115"/>
      <c r="B7560" s="115"/>
      <c r="C7560" s="115"/>
      <c r="D7560" s="115"/>
      <c r="E7560" s="115"/>
    </row>
    <row r="7561" spans="1:5" ht="13">
      <c r="A7561" s="115"/>
      <c r="B7561" s="115"/>
      <c r="C7561" s="115"/>
      <c r="D7561" s="115"/>
      <c r="E7561" s="115"/>
    </row>
    <row r="7562" spans="1:5" ht="13">
      <c r="A7562" s="115"/>
      <c r="B7562" s="115"/>
      <c r="C7562" s="115"/>
      <c r="D7562" s="115"/>
      <c r="E7562" s="115"/>
    </row>
    <row r="7563" spans="1:5" ht="13">
      <c r="A7563" s="115"/>
      <c r="B7563" s="115"/>
      <c r="C7563" s="115"/>
      <c r="D7563" s="115"/>
      <c r="E7563" s="115"/>
    </row>
    <row r="7564" spans="1:5" ht="13">
      <c r="A7564" s="115"/>
      <c r="B7564" s="115"/>
      <c r="C7564" s="115"/>
      <c r="D7564" s="115"/>
      <c r="E7564" s="115"/>
    </row>
    <row r="7565" spans="1:5" ht="13">
      <c r="A7565" s="115"/>
      <c r="B7565" s="115"/>
      <c r="C7565" s="115"/>
      <c r="D7565" s="115"/>
      <c r="E7565" s="115"/>
    </row>
    <row r="7566" spans="1:5" ht="13">
      <c r="A7566" s="115"/>
      <c r="B7566" s="115"/>
      <c r="C7566" s="115"/>
      <c r="D7566" s="115"/>
      <c r="E7566" s="115"/>
    </row>
    <row r="7567" spans="1:5" ht="13">
      <c r="A7567" s="115"/>
      <c r="B7567" s="115"/>
      <c r="C7567" s="115"/>
      <c r="D7567" s="115"/>
      <c r="E7567" s="115"/>
    </row>
    <row r="7568" spans="1:5" ht="13">
      <c r="A7568" s="115"/>
      <c r="B7568" s="115"/>
      <c r="C7568" s="115"/>
      <c r="D7568" s="115"/>
      <c r="E7568" s="115"/>
    </row>
    <row r="7569" spans="1:5" ht="13">
      <c r="A7569" s="115"/>
      <c r="B7569" s="115"/>
      <c r="C7569" s="115"/>
      <c r="D7569" s="115"/>
      <c r="E7569" s="115"/>
    </row>
    <row r="7570" spans="1:5" ht="13">
      <c r="A7570" s="115"/>
      <c r="B7570" s="115"/>
      <c r="C7570" s="115"/>
      <c r="D7570" s="115"/>
      <c r="E7570" s="115"/>
    </row>
    <row r="7571" spans="1:5" ht="13">
      <c r="A7571" s="115"/>
      <c r="B7571" s="115"/>
      <c r="C7571" s="115"/>
      <c r="D7571" s="115"/>
      <c r="E7571" s="115"/>
    </row>
    <row r="7572" spans="1:5" ht="13">
      <c r="A7572" s="115"/>
      <c r="B7572" s="115"/>
      <c r="C7572" s="115"/>
      <c r="D7572" s="115"/>
      <c r="E7572" s="115"/>
    </row>
    <row r="7573" spans="1:5" ht="13">
      <c r="A7573" s="115"/>
      <c r="B7573" s="115"/>
      <c r="C7573" s="115"/>
      <c r="D7573" s="115"/>
      <c r="E7573" s="115"/>
    </row>
    <row r="7574" spans="1:5" ht="13">
      <c r="A7574" s="115"/>
      <c r="B7574" s="115"/>
      <c r="C7574" s="115"/>
      <c r="D7574" s="115"/>
      <c r="E7574" s="115"/>
    </row>
    <row r="7575" spans="1:5" ht="13">
      <c r="A7575" s="115"/>
      <c r="B7575" s="115"/>
      <c r="C7575" s="115"/>
      <c r="D7575" s="115"/>
      <c r="E7575" s="115"/>
    </row>
    <row r="7576" spans="1:5" ht="13">
      <c r="A7576" s="115"/>
      <c r="B7576" s="115"/>
      <c r="C7576" s="115"/>
      <c r="D7576" s="115"/>
      <c r="E7576" s="115"/>
    </row>
    <row r="7577" spans="1:5" ht="13">
      <c r="A7577" s="115"/>
      <c r="B7577" s="115"/>
      <c r="C7577" s="115"/>
      <c r="D7577" s="115"/>
      <c r="E7577" s="115"/>
    </row>
    <row r="7578" spans="1:5" ht="13">
      <c r="A7578" s="115"/>
      <c r="B7578" s="115"/>
      <c r="C7578" s="115"/>
      <c r="D7578" s="115"/>
      <c r="E7578" s="115"/>
    </row>
    <row r="7579" spans="1:5" ht="13">
      <c r="A7579" s="115"/>
      <c r="B7579" s="115"/>
      <c r="C7579" s="115"/>
      <c r="D7579" s="115"/>
      <c r="E7579" s="115"/>
    </row>
    <row r="7580" spans="1:5" ht="13">
      <c r="A7580" s="115"/>
      <c r="B7580" s="115"/>
      <c r="C7580" s="115"/>
      <c r="D7580" s="115"/>
      <c r="E7580" s="115"/>
    </row>
    <row r="7581" spans="1:5" ht="13">
      <c r="A7581" s="115"/>
      <c r="B7581" s="115"/>
      <c r="C7581" s="115"/>
      <c r="D7581" s="115"/>
      <c r="E7581" s="115"/>
    </row>
    <row r="7582" spans="1:5" ht="13">
      <c r="A7582" s="115"/>
      <c r="B7582" s="115"/>
      <c r="C7582" s="115"/>
      <c r="D7582" s="115"/>
      <c r="E7582" s="115"/>
    </row>
    <row r="7583" spans="1:5" ht="13">
      <c r="A7583" s="115"/>
      <c r="B7583" s="115"/>
      <c r="C7583" s="115"/>
      <c r="D7583" s="115"/>
      <c r="E7583" s="115"/>
    </row>
    <row r="7584" spans="1:5" ht="13">
      <c r="A7584" s="115"/>
      <c r="B7584" s="115"/>
      <c r="C7584" s="115"/>
      <c r="D7584" s="115"/>
      <c r="E7584" s="115"/>
    </row>
    <row r="7585" spans="1:5" ht="13">
      <c r="A7585" s="115"/>
      <c r="B7585" s="115"/>
      <c r="C7585" s="115"/>
      <c r="D7585" s="115"/>
      <c r="E7585" s="115"/>
    </row>
    <row r="7586" spans="1:5" ht="13">
      <c r="A7586" s="115"/>
      <c r="B7586" s="115"/>
      <c r="C7586" s="115"/>
      <c r="D7586" s="115"/>
      <c r="E7586" s="115"/>
    </row>
    <row r="7587" spans="1:5" ht="13">
      <c r="A7587" s="115"/>
      <c r="B7587" s="115"/>
      <c r="C7587" s="115"/>
      <c r="D7587" s="115"/>
      <c r="E7587" s="115"/>
    </row>
    <row r="7588" spans="1:5" ht="13">
      <c r="A7588" s="115"/>
      <c r="B7588" s="115"/>
      <c r="C7588" s="115"/>
      <c r="D7588" s="115"/>
      <c r="E7588" s="115"/>
    </row>
    <row r="7589" spans="1:5" ht="13">
      <c r="A7589" s="115"/>
      <c r="B7589" s="115"/>
      <c r="C7589" s="115"/>
      <c r="D7589" s="115"/>
      <c r="E7589" s="115"/>
    </row>
    <row r="7590" spans="1:5" ht="13">
      <c r="A7590" s="115"/>
      <c r="B7590" s="115"/>
      <c r="C7590" s="115"/>
      <c r="D7590" s="115"/>
      <c r="E7590" s="115"/>
    </row>
    <row r="7591" spans="1:5" ht="13">
      <c r="A7591" s="115"/>
      <c r="B7591" s="115"/>
      <c r="C7591" s="115"/>
      <c r="D7591" s="115"/>
      <c r="E7591" s="115"/>
    </row>
    <row r="7592" spans="1:5" ht="13">
      <c r="A7592" s="115"/>
      <c r="B7592" s="115"/>
      <c r="C7592" s="115"/>
      <c r="D7592" s="115"/>
      <c r="E7592" s="115"/>
    </row>
    <row r="7593" spans="1:5" ht="13">
      <c r="A7593" s="115"/>
      <c r="B7593" s="115"/>
      <c r="C7593" s="115"/>
      <c r="D7593" s="115"/>
      <c r="E7593" s="115"/>
    </row>
    <row r="7594" spans="1:5" ht="13">
      <c r="A7594" s="115"/>
      <c r="B7594" s="115"/>
      <c r="C7594" s="115"/>
      <c r="D7594" s="115"/>
      <c r="E7594" s="115"/>
    </row>
    <row r="7595" spans="1:5" ht="13">
      <c r="A7595" s="115"/>
      <c r="B7595" s="115"/>
      <c r="C7595" s="115"/>
      <c r="D7595" s="115"/>
      <c r="E7595" s="115"/>
    </row>
    <row r="7596" spans="1:5" ht="13">
      <c r="A7596" s="115"/>
      <c r="B7596" s="115"/>
      <c r="C7596" s="115"/>
      <c r="D7596" s="115"/>
      <c r="E7596" s="115"/>
    </row>
    <row r="7597" spans="1:5" ht="13">
      <c r="A7597" s="115"/>
      <c r="B7597" s="115"/>
      <c r="C7597" s="115"/>
      <c r="D7597" s="115"/>
      <c r="E7597" s="115"/>
    </row>
    <row r="7598" spans="1:5" ht="13">
      <c r="A7598" s="115"/>
      <c r="B7598" s="115"/>
      <c r="C7598" s="115"/>
      <c r="D7598" s="115"/>
      <c r="E7598" s="115"/>
    </row>
    <row r="7599" spans="1:5" ht="13">
      <c r="A7599" s="115"/>
      <c r="B7599" s="115"/>
      <c r="C7599" s="115"/>
      <c r="D7599" s="115"/>
      <c r="E7599" s="115"/>
    </row>
    <row r="7600" spans="1:5" ht="13">
      <c r="A7600" s="115"/>
      <c r="B7600" s="115"/>
      <c r="C7600" s="115"/>
      <c r="D7600" s="115"/>
      <c r="E7600" s="115"/>
    </row>
    <row r="7601" spans="1:5" ht="13">
      <c r="A7601" s="115"/>
      <c r="B7601" s="115"/>
      <c r="C7601" s="115"/>
      <c r="D7601" s="115"/>
      <c r="E7601" s="115"/>
    </row>
    <row r="7602" spans="1:5" ht="13">
      <c r="A7602" s="115"/>
      <c r="B7602" s="115"/>
      <c r="C7602" s="115"/>
      <c r="D7602" s="115"/>
      <c r="E7602" s="115"/>
    </row>
    <row r="7603" spans="1:5" ht="13">
      <c r="A7603" s="115"/>
      <c r="B7603" s="115"/>
      <c r="C7603" s="115"/>
      <c r="D7603" s="115"/>
      <c r="E7603" s="115"/>
    </row>
    <row r="7604" spans="1:5" ht="13">
      <c r="A7604" s="115"/>
      <c r="B7604" s="115"/>
      <c r="C7604" s="115"/>
      <c r="D7604" s="115"/>
      <c r="E7604" s="115"/>
    </row>
    <row r="7605" spans="1:5" ht="13">
      <c r="A7605" s="115"/>
      <c r="B7605" s="115"/>
      <c r="C7605" s="115"/>
      <c r="D7605" s="115"/>
      <c r="E7605" s="115"/>
    </row>
    <row r="7606" spans="1:5" ht="13">
      <c r="A7606" s="115"/>
      <c r="B7606" s="115"/>
      <c r="C7606" s="115"/>
      <c r="D7606" s="115"/>
      <c r="E7606" s="115"/>
    </row>
    <row r="7607" spans="1:5" ht="13">
      <c r="A7607" s="115"/>
      <c r="B7607" s="115"/>
      <c r="C7607" s="115"/>
      <c r="D7607" s="115"/>
      <c r="E7607" s="115"/>
    </row>
    <row r="7608" spans="1:5" ht="13">
      <c r="A7608" s="115"/>
      <c r="B7608" s="115"/>
      <c r="C7608" s="115"/>
      <c r="D7608" s="115"/>
      <c r="E7608" s="115"/>
    </row>
    <row r="7609" spans="1:5" ht="13">
      <c r="A7609" s="115"/>
      <c r="B7609" s="115"/>
      <c r="C7609" s="115"/>
      <c r="D7609" s="115"/>
      <c r="E7609" s="115"/>
    </row>
    <row r="7610" spans="1:5" ht="13">
      <c r="A7610" s="115"/>
      <c r="B7610" s="115"/>
      <c r="C7610" s="115"/>
      <c r="D7610" s="115"/>
      <c r="E7610" s="115"/>
    </row>
    <row r="7611" spans="1:5" ht="13">
      <c r="A7611" s="115"/>
      <c r="B7611" s="115"/>
      <c r="C7611" s="115"/>
      <c r="D7611" s="115"/>
      <c r="E7611" s="115"/>
    </row>
    <row r="7612" spans="1:5" ht="13">
      <c r="A7612" s="115"/>
      <c r="B7612" s="115"/>
      <c r="C7612" s="115"/>
      <c r="D7612" s="115"/>
      <c r="E7612" s="115"/>
    </row>
    <row r="7613" spans="1:5" ht="13">
      <c r="A7613" s="115"/>
      <c r="B7613" s="115"/>
      <c r="C7613" s="115"/>
      <c r="D7613" s="115"/>
      <c r="E7613" s="115"/>
    </row>
    <row r="7614" spans="1:5" ht="13">
      <c r="A7614" s="115"/>
      <c r="B7614" s="115"/>
      <c r="C7614" s="115"/>
      <c r="D7614" s="115"/>
      <c r="E7614" s="115"/>
    </row>
    <row r="7615" spans="1:5" ht="13">
      <c r="A7615" s="115"/>
      <c r="B7615" s="115"/>
      <c r="C7615" s="115"/>
      <c r="D7615" s="115"/>
      <c r="E7615" s="115"/>
    </row>
    <row r="7616" spans="1:5" ht="13">
      <c r="A7616" s="115"/>
      <c r="B7616" s="115"/>
      <c r="C7616" s="115"/>
      <c r="D7616" s="115"/>
      <c r="E7616" s="115"/>
    </row>
    <row r="7617" spans="1:5" ht="13">
      <c r="A7617" s="115"/>
      <c r="B7617" s="115"/>
      <c r="C7617" s="115"/>
      <c r="D7617" s="115"/>
      <c r="E7617" s="115"/>
    </row>
    <row r="7618" spans="1:5" ht="13">
      <c r="A7618" s="115"/>
      <c r="B7618" s="115"/>
      <c r="C7618" s="115"/>
      <c r="D7618" s="115"/>
      <c r="E7618" s="115"/>
    </row>
    <row r="7619" spans="1:5" ht="13">
      <c r="A7619" s="115"/>
      <c r="B7619" s="115"/>
      <c r="C7619" s="115"/>
      <c r="D7619" s="115"/>
      <c r="E7619" s="115"/>
    </row>
    <row r="7620" spans="1:5" ht="13">
      <c r="A7620" s="115"/>
      <c r="B7620" s="115"/>
      <c r="C7620" s="115"/>
      <c r="D7620" s="115"/>
      <c r="E7620" s="115"/>
    </row>
    <row r="7621" spans="1:5" ht="13">
      <c r="A7621" s="115"/>
      <c r="B7621" s="115"/>
      <c r="C7621" s="115"/>
      <c r="D7621" s="115"/>
      <c r="E7621" s="115"/>
    </row>
    <row r="7622" spans="1:5" ht="13">
      <c r="A7622" s="115"/>
      <c r="B7622" s="115"/>
      <c r="C7622" s="115"/>
      <c r="D7622" s="115"/>
      <c r="E7622" s="115"/>
    </row>
    <row r="7623" spans="1:5" ht="13">
      <c r="A7623" s="115"/>
      <c r="B7623" s="115"/>
      <c r="C7623" s="115"/>
      <c r="D7623" s="115"/>
      <c r="E7623" s="115"/>
    </row>
    <row r="7624" spans="1:5" ht="13">
      <c r="A7624" s="115"/>
      <c r="B7624" s="115"/>
      <c r="C7624" s="115"/>
      <c r="D7624" s="115"/>
      <c r="E7624" s="115"/>
    </row>
    <row r="7625" spans="1:5" ht="13">
      <c r="A7625" s="115"/>
      <c r="B7625" s="115"/>
      <c r="C7625" s="115"/>
      <c r="D7625" s="115"/>
      <c r="E7625" s="115"/>
    </row>
    <row r="7626" spans="1:5" ht="13">
      <c r="A7626" s="115"/>
      <c r="B7626" s="115"/>
      <c r="C7626" s="115"/>
      <c r="D7626" s="115"/>
      <c r="E7626" s="115"/>
    </row>
    <row r="7627" spans="1:5" ht="13">
      <c r="A7627" s="115"/>
      <c r="B7627" s="115"/>
      <c r="C7627" s="115"/>
      <c r="D7627" s="115"/>
      <c r="E7627" s="115"/>
    </row>
    <row r="7628" spans="1:5" ht="13">
      <c r="A7628" s="115"/>
      <c r="B7628" s="115"/>
      <c r="C7628" s="115"/>
      <c r="D7628" s="115"/>
      <c r="E7628" s="115"/>
    </row>
    <row r="7629" spans="1:5" ht="13">
      <c r="A7629" s="115"/>
      <c r="B7629" s="115"/>
      <c r="C7629" s="115"/>
      <c r="D7629" s="115"/>
      <c r="E7629" s="115"/>
    </row>
    <row r="7630" spans="1:5" ht="13">
      <c r="A7630" s="115"/>
      <c r="B7630" s="115"/>
      <c r="C7630" s="115"/>
      <c r="D7630" s="115"/>
      <c r="E7630" s="115"/>
    </row>
    <row r="7631" spans="1:5" ht="13">
      <c r="A7631" s="115"/>
      <c r="B7631" s="115"/>
      <c r="C7631" s="115"/>
      <c r="D7631" s="115"/>
      <c r="E7631" s="115"/>
    </row>
    <row r="7632" spans="1:5" ht="13">
      <c r="A7632" s="115"/>
      <c r="B7632" s="115"/>
      <c r="C7632" s="115"/>
      <c r="D7632" s="115"/>
      <c r="E7632" s="115"/>
    </row>
    <row r="7633" spans="1:5" ht="13">
      <c r="A7633" s="115"/>
      <c r="B7633" s="115"/>
      <c r="C7633" s="115"/>
      <c r="D7633" s="115"/>
      <c r="E7633" s="115"/>
    </row>
    <row r="7634" spans="1:5" ht="13">
      <c r="A7634" s="115"/>
      <c r="B7634" s="115"/>
      <c r="C7634" s="115"/>
      <c r="D7634" s="115"/>
      <c r="E7634" s="115"/>
    </row>
    <row r="7635" spans="1:5" ht="13">
      <c r="A7635" s="115"/>
      <c r="B7635" s="115"/>
      <c r="C7635" s="115"/>
      <c r="D7635" s="115"/>
      <c r="E7635" s="115"/>
    </row>
    <row r="7636" spans="1:5" ht="13">
      <c r="A7636" s="115"/>
      <c r="B7636" s="115"/>
      <c r="C7636" s="115"/>
      <c r="D7636" s="115"/>
      <c r="E7636" s="115"/>
    </row>
    <row r="7637" spans="1:5" ht="13">
      <c r="A7637" s="115"/>
      <c r="B7637" s="115"/>
      <c r="C7637" s="115"/>
      <c r="D7637" s="115"/>
      <c r="E7637" s="115"/>
    </row>
    <row r="7638" spans="1:5" ht="13">
      <c r="A7638" s="115"/>
      <c r="B7638" s="115"/>
      <c r="C7638" s="115"/>
      <c r="D7638" s="115"/>
      <c r="E7638" s="115"/>
    </row>
    <row r="7639" spans="1:5" ht="13">
      <c r="A7639" s="115"/>
      <c r="B7639" s="115"/>
      <c r="C7639" s="115"/>
      <c r="D7639" s="115"/>
      <c r="E7639" s="115"/>
    </row>
    <row r="7640" spans="1:5" ht="13">
      <c r="A7640" s="115"/>
      <c r="B7640" s="115"/>
      <c r="C7640" s="115"/>
      <c r="D7640" s="115"/>
      <c r="E7640" s="115"/>
    </row>
    <row r="7641" spans="1:5" ht="13">
      <c r="A7641" s="115"/>
      <c r="B7641" s="115"/>
      <c r="C7641" s="115"/>
      <c r="D7641" s="115"/>
      <c r="E7641" s="115"/>
    </row>
    <row r="7642" spans="1:5" ht="13">
      <c r="A7642" s="115"/>
      <c r="B7642" s="115"/>
      <c r="C7642" s="115"/>
      <c r="D7642" s="115"/>
      <c r="E7642" s="115"/>
    </row>
    <row r="7643" spans="1:5" ht="13">
      <c r="A7643" s="115"/>
      <c r="B7643" s="115"/>
      <c r="C7643" s="115"/>
      <c r="D7643" s="115"/>
      <c r="E7643" s="115"/>
    </row>
    <row r="7644" spans="1:5" ht="13">
      <c r="A7644" s="115"/>
      <c r="B7644" s="115"/>
      <c r="C7644" s="115"/>
      <c r="D7644" s="115"/>
      <c r="E7644" s="115"/>
    </row>
    <row r="7645" spans="1:5" ht="13">
      <c r="A7645" s="115"/>
      <c r="B7645" s="115"/>
      <c r="C7645" s="115"/>
      <c r="D7645" s="115"/>
      <c r="E7645" s="115"/>
    </row>
    <row r="7646" spans="1:5" ht="13">
      <c r="A7646" s="115"/>
      <c r="B7646" s="115"/>
      <c r="C7646" s="115"/>
      <c r="D7646" s="115"/>
      <c r="E7646" s="115"/>
    </row>
    <row r="7647" spans="1:5" ht="13">
      <c r="A7647" s="115"/>
      <c r="B7647" s="115"/>
      <c r="C7647" s="115"/>
      <c r="D7647" s="115"/>
      <c r="E7647" s="115"/>
    </row>
    <row r="7648" spans="1:5" ht="13">
      <c r="A7648" s="115"/>
      <c r="B7648" s="115"/>
      <c r="C7648" s="115"/>
      <c r="D7648" s="115"/>
      <c r="E7648" s="115"/>
    </row>
    <row r="7649" spans="1:5" ht="13">
      <c r="A7649" s="115"/>
      <c r="B7649" s="115"/>
      <c r="C7649" s="115"/>
      <c r="D7649" s="115"/>
      <c r="E7649" s="115"/>
    </row>
    <row r="7650" spans="1:5" ht="13">
      <c r="A7650" s="115"/>
      <c r="B7650" s="115"/>
      <c r="C7650" s="115"/>
      <c r="D7650" s="115"/>
      <c r="E7650" s="115"/>
    </row>
    <row r="7651" spans="1:5" ht="13">
      <c r="A7651" s="115"/>
      <c r="B7651" s="115"/>
      <c r="C7651" s="115"/>
      <c r="D7651" s="115"/>
      <c r="E7651" s="115"/>
    </row>
    <row r="7652" spans="1:5" ht="13">
      <c r="A7652" s="115"/>
      <c r="B7652" s="115"/>
      <c r="C7652" s="115"/>
      <c r="D7652" s="115"/>
      <c r="E7652" s="115"/>
    </row>
    <row r="7653" spans="1:5" ht="13">
      <c r="A7653" s="115"/>
      <c r="B7653" s="115"/>
      <c r="C7653" s="115"/>
      <c r="D7653" s="115"/>
      <c r="E7653" s="115"/>
    </row>
    <row r="7654" spans="1:5" ht="13">
      <c r="A7654" s="115"/>
      <c r="B7654" s="115"/>
      <c r="C7654" s="115"/>
      <c r="D7654" s="115"/>
      <c r="E7654" s="115"/>
    </row>
    <row r="7655" spans="1:5" ht="13">
      <c r="A7655" s="115"/>
      <c r="B7655" s="115"/>
      <c r="C7655" s="115"/>
      <c r="D7655" s="115"/>
      <c r="E7655" s="115"/>
    </row>
    <row r="7656" spans="1:5" ht="13">
      <c r="A7656" s="115"/>
      <c r="B7656" s="115"/>
      <c r="C7656" s="115"/>
      <c r="D7656" s="115"/>
      <c r="E7656" s="115"/>
    </row>
    <row r="7657" spans="1:5" ht="13">
      <c r="A7657" s="115"/>
      <c r="B7657" s="115"/>
      <c r="C7657" s="115"/>
      <c r="D7657" s="115"/>
      <c r="E7657" s="115"/>
    </row>
    <row r="7658" spans="1:5" ht="13">
      <c r="A7658" s="115"/>
      <c r="B7658" s="115"/>
      <c r="C7658" s="115"/>
      <c r="D7658" s="115"/>
      <c r="E7658" s="115"/>
    </row>
    <row r="7659" spans="1:5" ht="13">
      <c r="A7659" s="115"/>
      <c r="B7659" s="115"/>
      <c r="C7659" s="115"/>
      <c r="D7659" s="115"/>
      <c r="E7659" s="115"/>
    </row>
    <row r="7660" spans="1:5" ht="13">
      <c r="A7660" s="115"/>
      <c r="B7660" s="115"/>
      <c r="C7660" s="115"/>
      <c r="D7660" s="115"/>
      <c r="E7660" s="115"/>
    </row>
    <row r="7661" spans="1:5" ht="13">
      <c r="A7661" s="115"/>
      <c r="B7661" s="115"/>
      <c r="C7661" s="115"/>
      <c r="D7661" s="115"/>
      <c r="E7661" s="115"/>
    </row>
    <row r="7662" spans="1:5" ht="13">
      <c r="A7662" s="115"/>
      <c r="B7662" s="115"/>
      <c r="C7662" s="115"/>
      <c r="D7662" s="115"/>
      <c r="E7662" s="115"/>
    </row>
    <row r="7663" spans="1:5" ht="13">
      <c r="A7663" s="115"/>
      <c r="B7663" s="115"/>
      <c r="C7663" s="115"/>
      <c r="D7663" s="115"/>
      <c r="E7663" s="115"/>
    </row>
    <row r="7664" spans="1:5" ht="13">
      <c r="A7664" s="115"/>
      <c r="B7664" s="115"/>
      <c r="C7664" s="115"/>
      <c r="D7664" s="115"/>
      <c r="E7664" s="115"/>
    </row>
    <row r="7665" spans="1:5" ht="13">
      <c r="A7665" s="115"/>
      <c r="B7665" s="115"/>
      <c r="C7665" s="115"/>
      <c r="D7665" s="115"/>
      <c r="E7665" s="115"/>
    </row>
    <row r="7666" spans="1:5" ht="13">
      <c r="A7666" s="115"/>
      <c r="B7666" s="115"/>
      <c r="C7666" s="115"/>
      <c r="D7666" s="115"/>
      <c r="E7666" s="115"/>
    </row>
    <row r="7667" spans="1:5" ht="13">
      <c r="A7667" s="115"/>
      <c r="B7667" s="115"/>
      <c r="C7667" s="115"/>
      <c r="D7667" s="115"/>
      <c r="E7667" s="115"/>
    </row>
    <row r="7668" spans="1:5" ht="13">
      <c r="A7668" s="115"/>
      <c r="B7668" s="115"/>
      <c r="C7668" s="115"/>
      <c r="D7668" s="115"/>
      <c r="E7668" s="115"/>
    </row>
    <row r="7669" spans="1:5" ht="13">
      <c r="A7669" s="115"/>
      <c r="B7669" s="115"/>
      <c r="C7669" s="115"/>
      <c r="D7669" s="115"/>
      <c r="E7669" s="115"/>
    </row>
    <row r="7670" spans="1:5" ht="13">
      <c r="A7670" s="115"/>
      <c r="B7670" s="115"/>
      <c r="C7670" s="115"/>
      <c r="D7670" s="115"/>
      <c r="E7670" s="115"/>
    </row>
    <row r="7671" spans="1:5" ht="13">
      <c r="A7671" s="115"/>
      <c r="B7671" s="115"/>
      <c r="C7671" s="115"/>
      <c r="D7671" s="115"/>
      <c r="E7671" s="115"/>
    </row>
    <row r="7672" spans="1:5" ht="13">
      <c r="A7672" s="115"/>
      <c r="B7672" s="115"/>
      <c r="C7672" s="115"/>
      <c r="D7672" s="115"/>
      <c r="E7672" s="115"/>
    </row>
    <row r="7673" spans="1:5" ht="13">
      <c r="A7673" s="115"/>
      <c r="B7673" s="115"/>
      <c r="C7673" s="115"/>
      <c r="D7673" s="115"/>
      <c r="E7673" s="115"/>
    </row>
    <row r="7674" spans="1:5" ht="13">
      <c r="A7674" s="115"/>
      <c r="B7674" s="115"/>
      <c r="C7674" s="115"/>
      <c r="D7674" s="115"/>
      <c r="E7674" s="115"/>
    </row>
    <row r="7675" spans="1:5" ht="13">
      <c r="A7675" s="115"/>
      <c r="B7675" s="115"/>
      <c r="C7675" s="115"/>
      <c r="D7675" s="115"/>
      <c r="E7675" s="115"/>
    </row>
    <row r="7676" spans="1:5" ht="13">
      <c r="A7676" s="115"/>
      <c r="B7676" s="115"/>
      <c r="C7676" s="115"/>
      <c r="D7676" s="115"/>
      <c r="E7676" s="115"/>
    </row>
    <row r="7677" spans="1:5" ht="13">
      <c r="A7677" s="115"/>
      <c r="B7677" s="115"/>
      <c r="C7677" s="115"/>
      <c r="D7677" s="115"/>
      <c r="E7677" s="115"/>
    </row>
    <row r="7678" spans="1:5" ht="13">
      <c r="A7678" s="115"/>
      <c r="B7678" s="115"/>
      <c r="C7678" s="115"/>
      <c r="D7678" s="115"/>
      <c r="E7678" s="115"/>
    </row>
    <row r="7679" spans="1:5" ht="13">
      <c r="A7679" s="115"/>
      <c r="B7679" s="115"/>
      <c r="C7679" s="115"/>
      <c r="D7679" s="115"/>
      <c r="E7679" s="115"/>
    </row>
    <row r="7680" spans="1:5" ht="13">
      <c r="A7680" s="115"/>
      <c r="B7680" s="115"/>
      <c r="C7680" s="115"/>
      <c r="D7680" s="115"/>
      <c r="E7680" s="115"/>
    </row>
    <row r="7681" spans="1:5" ht="13">
      <c r="A7681" s="115"/>
      <c r="B7681" s="115"/>
      <c r="C7681" s="115"/>
      <c r="D7681" s="115"/>
      <c r="E7681" s="115"/>
    </row>
    <row r="7682" spans="1:5" ht="13">
      <c r="A7682" s="115"/>
      <c r="B7682" s="115"/>
      <c r="C7682" s="115"/>
      <c r="D7682" s="115"/>
      <c r="E7682" s="115"/>
    </row>
    <row r="7683" spans="1:5" ht="13">
      <c r="A7683" s="115"/>
      <c r="B7683" s="115"/>
      <c r="C7683" s="115"/>
      <c r="D7683" s="115"/>
      <c r="E7683" s="115"/>
    </row>
    <row r="7684" spans="1:5" ht="13">
      <c r="A7684" s="115"/>
      <c r="B7684" s="115"/>
      <c r="C7684" s="115"/>
      <c r="D7684" s="115"/>
      <c r="E7684" s="115"/>
    </row>
    <row r="7685" spans="1:5" ht="13">
      <c r="A7685" s="115"/>
      <c r="B7685" s="115"/>
      <c r="C7685" s="115"/>
      <c r="D7685" s="115"/>
      <c r="E7685" s="115"/>
    </row>
    <row r="7686" spans="1:5" ht="13">
      <c r="A7686" s="115"/>
      <c r="B7686" s="115"/>
      <c r="C7686" s="115"/>
      <c r="D7686" s="115"/>
      <c r="E7686" s="115"/>
    </row>
    <row r="7687" spans="1:5" ht="13">
      <c r="A7687" s="115"/>
      <c r="B7687" s="115"/>
      <c r="C7687" s="115"/>
      <c r="D7687" s="115"/>
      <c r="E7687" s="115"/>
    </row>
    <row r="7688" spans="1:5" ht="13">
      <c r="A7688" s="115"/>
      <c r="B7688" s="115"/>
      <c r="C7688" s="115"/>
      <c r="D7688" s="115"/>
      <c r="E7688" s="115"/>
    </row>
    <row r="7689" spans="1:5" ht="13">
      <c r="A7689" s="115"/>
      <c r="B7689" s="115"/>
      <c r="C7689" s="115"/>
      <c r="D7689" s="115"/>
      <c r="E7689" s="115"/>
    </row>
    <row r="7690" spans="1:5" ht="13">
      <c r="A7690" s="115"/>
      <c r="B7690" s="115"/>
      <c r="C7690" s="115"/>
      <c r="D7690" s="115"/>
      <c r="E7690" s="115"/>
    </row>
    <row r="7691" spans="1:5" ht="13">
      <c r="A7691" s="115"/>
      <c r="B7691" s="115"/>
      <c r="C7691" s="115"/>
      <c r="D7691" s="115"/>
      <c r="E7691" s="115"/>
    </row>
    <row r="7692" spans="1:5" ht="13">
      <c r="A7692" s="115"/>
      <c r="B7692" s="115"/>
      <c r="C7692" s="115"/>
      <c r="D7692" s="115"/>
      <c r="E7692" s="115"/>
    </row>
    <row r="7693" spans="1:5" ht="13">
      <c r="A7693" s="115"/>
      <c r="B7693" s="115"/>
      <c r="C7693" s="115"/>
      <c r="D7693" s="115"/>
      <c r="E7693" s="115"/>
    </row>
    <row r="7694" spans="1:5" ht="13">
      <c r="A7694" s="115"/>
      <c r="B7694" s="115"/>
      <c r="C7694" s="115"/>
      <c r="D7694" s="115"/>
      <c r="E7694" s="115"/>
    </row>
    <row r="7695" spans="1:5" ht="13">
      <c r="A7695" s="115"/>
      <c r="B7695" s="115"/>
      <c r="C7695" s="115"/>
      <c r="D7695" s="115"/>
      <c r="E7695" s="115"/>
    </row>
    <row r="7696" spans="1:5" ht="13">
      <c r="A7696" s="115"/>
      <c r="B7696" s="115"/>
      <c r="C7696" s="115"/>
      <c r="D7696" s="115"/>
      <c r="E7696" s="115"/>
    </row>
    <row r="7697" spans="1:5" ht="13">
      <c r="A7697" s="115"/>
      <c r="B7697" s="115"/>
      <c r="C7697" s="115"/>
      <c r="D7697" s="115"/>
      <c r="E7697" s="115"/>
    </row>
    <row r="7698" spans="1:5" ht="13">
      <c r="A7698" s="115"/>
      <c r="B7698" s="115"/>
      <c r="C7698" s="115"/>
      <c r="D7698" s="115"/>
      <c r="E7698" s="115"/>
    </row>
    <row r="7699" spans="1:5" ht="13">
      <c r="A7699" s="115"/>
      <c r="B7699" s="115"/>
      <c r="C7699" s="115"/>
      <c r="D7699" s="115"/>
      <c r="E7699" s="115"/>
    </row>
    <row r="7700" spans="1:5" ht="13">
      <c r="A7700" s="115"/>
      <c r="B7700" s="115"/>
      <c r="C7700" s="115"/>
      <c r="D7700" s="115"/>
      <c r="E7700" s="115"/>
    </row>
    <row r="7701" spans="1:5" ht="13">
      <c r="A7701" s="115"/>
      <c r="B7701" s="115"/>
      <c r="C7701" s="115"/>
      <c r="D7701" s="115"/>
      <c r="E7701" s="115"/>
    </row>
    <row r="7702" spans="1:5" ht="13">
      <c r="A7702" s="115"/>
      <c r="B7702" s="115"/>
      <c r="C7702" s="115"/>
      <c r="D7702" s="115"/>
      <c r="E7702" s="115"/>
    </row>
    <row r="7703" spans="1:5" ht="13">
      <c r="A7703" s="115"/>
      <c r="B7703" s="115"/>
      <c r="C7703" s="115"/>
      <c r="D7703" s="115"/>
      <c r="E7703" s="115"/>
    </row>
    <row r="7704" spans="1:5" ht="13">
      <c r="A7704" s="115"/>
      <c r="B7704" s="115"/>
      <c r="C7704" s="115"/>
      <c r="D7704" s="115"/>
      <c r="E7704" s="115"/>
    </row>
    <row r="7705" spans="1:5" ht="13">
      <c r="A7705" s="115"/>
      <c r="B7705" s="115"/>
      <c r="C7705" s="115"/>
      <c r="D7705" s="115"/>
      <c r="E7705" s="115"/>
    </row>
    <row r="7706" spans="1:5" ht="13">
      <c r="A7706" s="115"/>
      <c r="B7706" s="115"/>
      <c r="C7706" s="115"/>
      <c r="D7706" s="115"/>
      <c r="E7706" s="115"/>
    </row>
    <row r="7707" spans="1:5" ht="13">
      <c r="A7707" s="115"/>
      <c r="B7707" s="115"/>
      <c r="C7707" s="115"/>
      <c r="D7707" s="115"/>
      <c r="E7707" s="115"/>
    </row>
    <row r="7708" spans="1:5" ht="13">
      <c r="A7708" s="115"/>
      <c r="B7708" s="115"/>
      <c r="C7708" s="115"/>
      <c r="D7708" s="115"/>
      <c r="E7708" s="115"/>
    </row>
    <row r="7709" spans="1:5" ht="13">
      <c r="A7709" s="115"/>
      <c r="B7709" s="115"/>
      <c r="C7709" s="115"/>
      <c r="D7709" s="115"/>
      <c r="E7709" s="115"/>
    </row>
    <row r="7710" spans="1:5" ht="13">
      <c r="A7710" s="115"/>
      <c r="B7710" s="115"/>
      <c r="C7710" s="115"/>
      <c r="D7710" s="115"/>
      <c r="E7710" s="115"/>
    </row>
    <row r="7711" spans="1:5" ht="13">
      <c r="A7711" s="115"/>
      <c r="B7711" s="115"/>
      <c r="C7711" s="115"/>
      <c r="D7711" s="115"/>
      <c r="E7711" s="115"/>
    </row>
    <row r="7712" spans="1:5" ht="13">
      <c r="A7712" s="115"/>
      <c r="B7712" s="115"/>
      <c r="C7712" s="115"/>
      <c r="D7712" s="115"/>
      <c r="E7712" s="115"/>
    </row>
    <row r="7713" spans="1:5" ht="13">
      <c r="A7713" s="115"/>
      <c r="B7713" s="115"/>
      <c r="C7713" s="115"/>
      <c r="D7713" s="115"/>
      <c r="E7713" s="115"/>
    </row>
    <row r="7714" spans="1:5" ht="13">
      <c r="A7714" s="115"/>
      <c r="B7714" s="115"/>
      <c r="C7714" s="115"/>
      <c r="D7714" s="115"/>
      <c r="E7714" s="115"/>
    </row>
    <row r="7715" spans="1:5" ht="13">
      <c r="A7715" s="115"/>
      <c r="B7715" s="115"/>
      <c r="C7715" s="115"/>
      <c r="D7715" s="115"/>
      <c r="E7715" s="115"/>
    </row>
    <row r="7716" spans="1:5" ht="13">
      <c r="A7716" s="115"/>
      <c r="B7716" s="115"/>
      <c r="C7716" s="115"/>
      <c r="D7716" s="115"/>
      <c r="E7716" s="115"/>
    </row>
    <row r="7717" spans="1:5" ht="13">
      <c r="A7717" s="115"/>
      <c r="B7717" s="115"/>
      <c r="C7717" s="115"/>
      <c r="D7717" s="115"/>
      <c r="E7717" s="115"/>
    </row>
    <row r="7718" spans="1:5" ht="13">
      <c r="A7718" s="115"/>
      <c r="B7718" s="115"/>
      <c r="C7718" s="115"/>
      <c r="D7718" s="115"/>
      <c r="E7718" s="115"/>
    </row>
    <row r="7719" spans="1:5" ht="13">
      <c r="A7719" s="115"/>
      <c r="B7719" s="115"/>
      <c r="C7719" s="115"/>
      <c r="D7719" s="115"/>
      <c r="E7719" s="115"/>
    </row>
    <row r="7720" spans="1:5" ht="13">
      <c r="A7720" s="115"/>
      <c r="B7720" s="115"/>
      <c r="C7720" s="115"/>
      <c r="D7720" s="115"/>
      <c r="E7720" s="115"/>
    </row>
    <row r="7721" spans="1:5" ht="13">
      <c r="A7721" s="115"/>
      <c r="B7721" s="115"/>
      <c r="C7721" s="115"/>
      <c r="D7721" s="115"/>
      <c r="E7721" s="115"/>
    </row>
    <row r="7722" spans="1:5" ht="13">
      <c r="A7722" s="115"/>
      <c r="B7722" s="115"/>
      <c r="C7722" s="115"/>
      <c r="D7722" s="115"/>
      <c r="E7722" s="115"/>
    </row>
    <row r="7723" spans="1:5" ht="13">
      <c r="A7723" s="115"/>
      <c r="B7723" s="115"/>
      <c r="C7723" s="115"/>
      <c r="D7723" s="115"/>
      <c r="E7723" s="115"/>
    </row>
    <row r="7724" spans="1:5" ht="13">
      <c r="A7724" s="115"/>
      <c r="B7724" s="115"/>
      <c r="C7724" s="115"/>
      <c r="D7724" s="115"/>
      <c r="E7724" s="115"/>
    </row>
    <row r="7725" spans="1:5" ht="13">
      <c r="A7725" s="115"/>
      <c r="B7725" s="115"/>
      <c r="C7725" s="115"/>
      <c r="D7725" s="115"/>
      <c r="E7725" s="115"/>
    </row>
    <row r="7726" spans="1:5" ht="13">
      <c r="A7726" s="115"/>
      <c r="B7726" s="115"/>
      <c r="C7726" s="115"/>
      <c r="D7726" s="115"/>
      <c r="E7726" s="115"/>
    </row>
    <row r="7727" spans="1:5" ht="13">
      <c r="A7727" s="115"/>
      <c r="B7727" s="115"/>
      <c r="C7727" s="115"/>
      <c r="D7727" s="115"/>
      <c r="E7727" s="115"/>
    </row>
    <row r="7728" spans="1:5" ht="13">
      <c r="A7728" s="115"/>
      <c r="B7728" s="115"/>
      <c r="C7728" s="115"/>
      <c r="D7728" s="115"/>
      <c r="E7728" s="115"/>
    </row>
    <row r="7729" spans="1:5" ht="13">
      <c r="A7729" s="115"/>
      <c r="B7729" s="115"/>
      <c r="C7729" s="115"/>
      <c r="D7729" s="115"/>
      <c r="E7729" s="115"/>
    </row>
    <row r="7730" spans="1:5" ht="13">
      <c r="A7730" s="115"/>
      <c r="B7730" s="115"/>
      <c r="C7730" s="115"/>
      <c r="D7730" s="115"/>
      <c r="E7730" s="115"/>
    </row>
    <row r="7731" spans="1:5" ht="13">
      <c r="A7731" s="115"/>
      <c r="B7731" s="115"/>
      <c r="C7731" s="115"/>
      <c r="D7731" s="115"/>
      <c r="E7731" s="115"/>
    </row>
    <row r="7732" spans="1:5" ht="13">
      <c r="A7732" s="115"/>
      <c r="B7732" s="115"/>
      <c r="C7732" s="115"/>
      <c r="D7732" s="115"/>
      <c r="E7732" s="115"/>
    </row>
    <row r="7733" spans="1:5" ht="13">
      <c r="A7733" s="115"/>
      <c r="B7733" s="115"/>
      <c r="C7733" s="115"/>
      <c r="D7733" s="115"/>
      <c r="E7733" s="115"/>
    </row>
    <row r="7734" spans="1:5" ht="13">
      <c r="A7734" s="115"/>
      <c r="B7734" s="115"/>
      <c r="C7734" s="115"/>
      <c r="D7734" s="115"/>
      <c r="E7734" s="115"/>
    </row>
    <row r="7735" spans="1:5" ht="13">
      <c r="A7735" s="115"/>
      <c r="B7735" s="115"/>
      <c r="C7735" s="115"/>
      <c r="D7735" s="115"/>
      <c r="E7735" s="115"/>
    </row>
    <row r="7736" spans="1:5" ht="13">
      <c r="A7736" s="115"/>
      <c r="B7736" s="115"/>
      <c r="C7736" s="115"/>
      <c r="D7736" s="115"/>
      <c r="E7736" s="115"/>
    </row>
    <row r="7737" spans="1:5" ht="13">
      <c r="A7737" s="115"/>
      <c r="B7737" s="115"/>
      <c r="C7737" s="115"/>
      <c r="D7737" s="115"/>
      <c r="E7737" s="115"/>
    </row>
    <row r="7738" spans="1:5" ht="13">
      <c r="A7738" s="115"/>
      <c r="B7738" s="115"/>
      <c r="C7738" s="115"/>
      <c r="D7738" s="115"/>
      <c r="E7738" s="115"/>
    </row>
    <row r="7739" spans="1:5" ht="13">
      <c r="A7739" s="115"/>
      <c r="B7739" s="115"/>
      <c r="C7739" s="115"/>
      <c r="D7739" s="115"/>
      <c r="E7739" s="115"/>
    </row>
    <row r="7740" spans="1:5" ht="13">
      <c r="A7740" s="115"/>
      <c r="B7740" s="115"/>
      <c r="C7740" s="115"/>
      <c r="D7740" s="115"/>
      <c r="E7740" s="115"/>
    </row>
    <row r="7741" spans="1:5" ht="13">
      <c r="A7741" s="115"/>
      <c r="B7741" s="115"/>
      <c r="C7741" s="115"/>
      <c r="D7741" s="115"/>
      <c r="E7741" s="115"/>
    </row>
    <row r="7742" spans="1:5" ht="13">
      <c r="A7742" s="115"/>
      <c r="B7742" s="115"/>
      <c r="C7742" s="115"/>
      <c r="D7742" s="115"/>
      <c r="E7742" s="115"/>
    </row>
    <row r="7743" spans="1:5" ht="13">
      <c r="A7743" s="115"/>
      <c r="B7743" s="115"/>
      <c r="C7743" s="115"/>
      <c r="D7743" s="115"/>
      <c r="E7743" s="115"/>
    </row>
    <row r="7744" spans="1:5" ht="13">
      <c r="A7744" s="115"/>
      <c r="B7744" s="115"/>
      <c r="C7744" s="115"/>
      <c r="D7744" s="115"/>
      <c r="E7744" s="115"/>
    </row>
    <row r="7745" spans="1:5" ht="13">
      <c r="A7745" s="115"/>
      <c r="B7745" s="115"/>
      <c r="C7745" s="115"/>
      <c r="D7745" s="115"/>
      <c r="E7745" s="115"/>
    </row>
    <row r="7746" spans="1:5" ht="13">
      <c r="A7746" s="115"/>
      <c r="B7746" s="115"/>
      <c r="C7746" s="115"/>
      <c r="D7746" s="115"/>
      <c r="E7746" s="115"/>
    </row>
    <row r="7747" spans="1:5" ht="13">
      <c r="A7747" s="115"/>
      <c r="B7747" s="115"/>
      <c r="C7747" s="115"/>
      <c r="D7747" s="115"/>
      <c r="E7747" s="115"/>
    </row>
    <row r="7748" spans="1:5" ht="13">
      <c r="A7748" s="115"/>
      <c r="B7748" s="115"/>
      <c r="C7748" s="115"/>
      <c r="D7748" s="115"/>
      <c r="E7748" s="115"/>
    </row>
    <row r="7749" spans="1:5" ht="13">
      <c r="A7749" s="115"/>
      <c r="B7749" s="115"/>
      <c r="C7749" s="115"/>
      <c r="D7749" s="115"/>
      <c r="E7749" s="115"/>
    </row>
    <row r="7750" spans="1:5" ht="13">
      <c r="A7750" s="115"/>
      <c r="B7750" s="115"/>
      <c r="C7750" s="115"/>
      <c r="D7750" s="115"/>
      <c r="E7750" s="115"/>
    </row>
    <row r="7751" spans="1:5" ht="13">
      <c r="A7751" s="115"/>
      <c r="B7751" s="115"/>
      <c r="C7751" s="115"/>
      <c r="D7751" s="115"/>
      <c r="E7751" s="115"/>
    </row>
    <row r="7752" spans="1:5" ht="13">
      <c r="A7752" s="115"/>
      <c r="B7752" s="115"/>
      <c r="C7752" s="115"/>
      <c r="D7752" s="115"/>
      <c r="E7752" s="115"/>
    </row>
    <row r="7753" spans="1:5" ht="13">
      <c r="A7753" s="115"/>
      <c r="B7753" s="115"/>
      <c r="C7753" s="115"/>
      <c r="D7753" s="115"/>
      <c r="E7753" s="115"/>
    </row>
    <row r="7754" spans="1:5" ht="13">
      <c r="A7754" s="115"/>
      <c r="B7754" s="115"/>
      <c r="C7754" s="115"/>
      <c r="D7754" s="115"/>
      <c r="E7754" s="115"/>
    </row>
    <row r="7755" spans="1:5" ht="13">
      <c r="A7755" s="115"/>
      <c r="B7755" s="115"/>
      <c r="C7755" s="115"/>
      <c r="D7755" s="115"/>
      <c r="E7755" s="115"/>
    </row>
    <row r="7756" spans="1:5" ht="13">
      <c r="A7756" s="115"/>
      <c r="B7756" s="115"/>
      <c r="C7756" s="115"/>
      <c r="D7756" s="115"/>
      <c r="E7756" s="115"/>
    </row>
    <row r="7757" spans="1:5" ht="13">
      <c r="A7757" s="115"/>
      <c r="B7757" s="115"/>
      <c r="C7757" s="115"/>
      <c r="D7757" s="115"/>
      <c r="E7757" s="115"/>
    </row>
    <row r="7758" spans="1:5" ht="13">
      <c r="A7758" s="115"/>
      <c r="B7758" s="115"/>
      <c r="C7758" s="115"/>
      <c r="D7758" s="115"/>
      <c r="E7758" s="115"/>
    </row>
    <row r="7759" spans="1:5" ht="13">
      <c r="A7759" s="115"/>
      <c r="B7759" s="115"/>
      <c r="C7759" s="115"/>
      <c r="D7759" s="115"/>
      <c r="E7759" s="115"/>
    </row>
    <row r="7760" spans="1:5" ht="13">
      <c r="A7760" s="115"/>
      <c r="B7760" s="115"/>
      <c r="C7760" s="115"/>
      <c r="D7760" s="115"/>
      <c r="E7760" s="115"/>
    </row>
    <row r="7761" spans="1:5" ht="13">
      <c r="A7761" s="115"/>
      <c r="B7761" s="115"/>
      <c r="C7761" s="115"/>
      <c r="D7761" s="115"/>
      <c r="E7761" s="115"/>
    </row>
    <row r="7762" spans="1:5" ht="13">
      <c r="A7762" s="115"/>
      <c r="B7762" s="115"/>
      <c r="C7762" s="115"/>
      <c r="D7762" s="115"/>
      <c r="E7762" s="115"/>
    </row>
    <row r="7763" spans="1:5" ht="13">
      <c r="A7763" s="115"/>
      <c r="B7763" s="115"/>
      <c r="C7763" s="115"/>
      <c r="D7763" s="115"/>
      <c r="E7763" s="115"/>
    </row>
    <row r="7764" spans="1:5" ht="13">
      <c r="A7764" s="115"/>
      <c r="B7764" s="115"/>
      <c r="C7764" s="115"/>
      <c r="D7764" s="115"/>
      <c r="E7764" s="115"/>
    </row>
    <row r="7765" spans="1:5" ht="13">
      <c r="A7765" s="115"/>
      <c r="B7765" s="115"/>
      <c r="C7765" s="115"/>
      <c r="D7765" s="115"/>
      <c r="E7765" s="115"/>
    </row>
    <row r="7766" spans="1:5" ht="13">
      <c r="A7766" s="115"/>
      <c r="B7766" s="115"/>
      <c r="C7766" s="115"/>
      <c r="D7766" s="115"/>
      <c r="E7766" s="115"/>
    </row>
    <row r="7767" spans="1:5" ht="13">
      <c r="A7767" s="115"/>
      <c r="B7767" s="115"/>
      <c r="C7767" s="115"/>
      <c r="D7767" s="115"/>
      <c r="E7767" s="115"/>
    </row>
    <row r="7768" spans="1:5" ht="13">
      <c r="A7768" s="115"/>
      <c r="B7768" s="115"/>
      <c r="C7768" s="115"/>
      <c r="D7768" s="115"/>
      <c r="E7768" s="115"/>
    </row>
    <row r="7769" spans="1:5" ht="13">
      <c r="A7769" s="115"/>
      <c r="B7769" s="115"/>
      <c r="C7769" s="115"/>
      <c r="D7769" s="115"/>
      <c r="E7769" s="115"/>
    </row>
    <row r="7770" spans="1:5" ht="13">
      <c r="A7770" s="115"/>
      <c r="B7770" s="115"/>
      <c r="C7770" s="115"/>
      <c r="D7770" s="115"/>
      <c r="E7770" s="115"/>
    </row>
    <row r="7771" spans="1:5" ht="13">
      <c r="A7771" s="115"/>
      <c r="B7771" s="115"/>
      <c r="C7771" s="115"/>
      <c r="D7771" s="115"/>
      <c r="E7771" s="115"/>
    </row>
    <row r="7772" spans="1:5" ht="13">
      <c r="A7772" s="115"/>
      <c r="B7772" s="115"/>
      <c r="C7772" s="115"/>
      <c r="D7772" s="115"/>
      <c r="E7772" s="115"/>
    </row>
    <row r="7773" spans="1:5" ht="13">
      <c r="A7773" s="115"/>
      <c r="B7773" s="115"/>
      <c r="C7773" s="115"/>
      <c r="D7773" s="115"/>
      <c r="E7773" s="115"/>
    </row>
    <row r="7774" spans="1:5" ht="13">
      <c r="A7774" s="115"/>
      <c r="B7774" s="115"/>
      <c r="C7774" s="115"/>
      <c r="D7774" s="115"/>
      <c r="E7774" s="115"/>
    </row>
    <row r="7775" spans="1:5" ht="13">
      <c r="A7775" s="115"/>
      <c r="B7775" s="115"/>
      <c r="C7775" s="115"/>
      <c r="D7775" s="115"/>
      <c r="E7775" s="115"/>
    </row>
    <row r="7776" spans="1:5" ht="13">
      <c r="A7776" s="115"/>
      <c r="B7776" s="115"/>
      <c r="C7776" s="115"/>
      <c r="D7776" s="115"/>
      <c r="E7776" s="115"/>
    </row>
    <row r="7777" spans="1:5" ht="13">
      <c r="A7777" s="115"/>
      <c r="B7777" s="115"/>
      <c r="C7777" s="115"/>
      <c r="D7777" s="115"/>
      <c r="E7777" s="115"/>
    </row>
    <row r="7778" spans="1:5" ht="13">
      <c r="A7778" s="115"/>
      <c r="B7778" s="115"/>
      <c r="C7778" s="115"/>
      <c r="D7778" s="115"/>
      <c r="E7778" s="115"/>
    </row>
    <row r="7779" spans="1:5" ht="13">
      <c r="A7779" s="115"/>
      <c r="B7779" s="115"/>
      <c r="C7779" s="115"/>
      <c r="D7779" s="115"/>
      <c r="E7779" s="115"/>
    </row>
    <row r="7780" spans="1:5" ht="13">
      <c r="A7780" s="115"/>
      <c r="B7780" s="115"/>
      <c r="C7780" s="115"/>
      <c r="D7780" s="115"/>
      <c r="E7780" s="115"/>
    </row>
    <row r="7781" spans="1:5" ht="13">
      <c r="A7781" s="115"/>
      <c r="B7781" s="115"/>
      <c r="C7781" s="115"/>
      <c r="D7781" s="115"/>
      <c r="E7781" s="115"/>
    </row>
    <row r="7782" spans="1:5" ht="13">
      <c r="A7782" s="115"/>
      <c r="B7782" s="115"/>
      <c r="C7782" s="115"/>
      <c r="D7782" s="115"/>
      <c r="E7782" s="115"/>
    </row>
    <row r="7783" spans="1:5" ht="13">
      <c r="A7783" s="115"/>
      <c r="B7783" s="115"/>
      <c r="C7783" s="115"/>
      <c r="D7783" s="115"/>
      <c r="E7783" s="115"/>
    </row>
    <row r="7784" spans="1:5" ht="13">
      <c r="A7784" s="115"/>
      <c r="B7784" s="115"/>
      <c r="C7784" s="115"/>
      <c r="D7784" s="115"/>
      <c r="E7784" s="115"/>
    </row>
    <row r="7785" spans="1:5" ht="13">
      <c r="A7785" s="115"/>
      <c r="B7785" s="115"/>
      <c r="C7785" s="115"/>
      <c r="D7785" s="115"/>
      <c r="E7785" s="115"/>
    </row>
    <row r="7786" spans="1:5" ht="13">
      <c r="A7786" s="115"/>
      <c r="B7786" s="115"/>
      <c r="C7786" s="115"/>
      <c r="D7786" s="115"/>
      <c r="E7786" s="115"/>
    </row>
    <row r="7787" spans="1:5" ht="13">
      <c r="A7787" s="115"/>
      <c r="B7787" s="115"/>
      <c r="C7787" s="115"/>
      <c r="D7787" s="115"/>
      <c r="E7787" s="115"/>
    </row>
    <row r="7788" spans="1:5" ht="13">
      <c r="A7788" s="115"/>
      <c r="B7788" s="115"/>
      <c r="C7788" s="115"/>
      <c r="D7788" s="115"/>
      <c r="E7788" s="115"/>
    </row>
    <row r="7789" spans="1:5" ht="13">
      <c r="A7789" s="115"/>
      <c r="B7789" s="115"/>
      <c r="C7789" s="115"/>
      <c r="D7789" s="115"/>
      <c r="E7789" s="115"/>
    </row>
    <row r="7790" spans="1:5" ht="13">
      <c r="A7790" s="115"/>
      <c r="B7790" s="115"/>
      <c r="C7790" s="115"/>
      <c r="D7790" s="115"/>
      <c r="E7790" s="115"/>
    </row>
    <row r="7791" spans="1:5" ht="13">
      <c r="A7791" s="115"/>
      <c r="B7791" s="115"/>
      <c r="C7791" s="115"/>
      <c r="D7791" s="115"/>
      <c r="E7791" s="115"/>
    </row>
    <row r="7792" spans="1:5" ht="13">
      <c r="A7792" s="115"/>
      <c r="B7792" s="115"/>
      <c r="C7792" s="115"/>
      <c r="D7792" s="115"/>
      <c r="E7792" s="115"/>
    </row>
    <row r="7793" spans="1:5" ht="13">
      <c r="A7793" s="115"/>
      <c r="B7793" s="115"/>
      <c r="C7793" s="115"/>
      <c r="D7793" s="115"/>
      <c r="E7793" s="115"/>
    </row>
    <row r="7794" spans="1:5" ht="13">
      <c r="A7794" s="115"/>
      <c r="B7794" s="115"/>
      <c r="C7794" s="115"/>
      <c r="D7794" s="115"/>
      <c r="E7794" s="115"/>
    </row>
    <row r="7795" spans="1:5" ht="13">
      <c r="A7795" s="115"/>
      <c r="B7795" s="115"/>
      <c r="C7795" s="115"/>
      <c r="D7795" s="115"/>
      <c r="E7795" s="115"/>
    </row>
    <row r="7796" spans="1:5" ht="13">
      <c r="A7796" s="115"/>
      <c r="B7796" s="115"/>
      <c r="C7796" s="115"/>
      <c r="D7796" s="115"/>
      <c r="E7796" s="115"/>
    </row>
    <row r="7797" spans="1:5" ht="13">
      <c r="A7797" s="115"/>
      <c r="B7797" s="115"/>
      <c r="C7797" s="115"/>
      <c r="D7797" s="115"/>
      <c r="E7797" s="115"/>
    </row>
    <row r="7798" spans="1:5" ht="13">
      <c r="A7798" s="115"/>
      <c r="B7798" s="115"/>
      <c r="C7798" s="115"/>
      <c r="D7798" s="115"/>
      <c r="E7798" s="115"/>
    </row>
    <row r="7799" spans="1:5" ht="13">
      <c r="A7799" s="115"/>
      <c r="B7799" s="115"/>
      <c r="C7799" s="115"/>
      <c r="D7799" s="115"/>
      <c r="E7799" s="115"/>
    </row>
    <row r="7800" spans="1:5" ht="13">
      <c r="A7800" s="115"/>
      <c r="B7800" s="115"/>
      <c r="C7800" s="115"/>
      <c r="D7800" s="115"/>
      <c r="E7800" s="115"/>
    </row>
    <row r="7801" spans="1:5" ht="13">
      <c r="A7801" s="115"/>
      <c r="B7801" s="115"/>
      <c r="C7801" s="115"/>
      <c r="D7801" s="115"/>
      <c r="E7801" s="115"/>
    </row>
    <row r="7802" spans="1:5" ht="13">
      <c r="A7802" s="115"/>
      <c r="B7802" s="115"/>
      <c r="C7802" s="115"/>
      <c r="D7802" s="115"/>
      <c r="E7802" s="115"/>
    </row>
    <row r="7803" spans="1:5" ht="13">
      <c r="A7803" s="115"/>
      <c r="B7803" s="115"/>
      <c r="C7803" s="115"/>
      <c r="D7803" s="115"/>
      <c r="E7803" s="115"/>
    </row>
    <row r="7804" spans="1:5" ht="13">
      <c r="A7804" s="115"/>
      <c r="B7804" s="115"/>
      <c r="C7804" s="115"/>
      <c r="D7804" s="115"/>
      <c r="E7804" s="115"/>
    </row>
    <row r="7805" spans="1:5" ht="13">
      <c r="A7805" s="115"/>
      <c r="B7805" s="115"/>
      <c r="C7805" s="115"/>
      <c r="D7805" s="115"/>
      <c r="E7805" s="115"/>
    </row>
    <row r="7806" spans="1:5" ht="13">
      <c r="A7806" s="115"/>
      <c r="B7806" s="115"/>
      <c r="C7806" s="115"/>
      <c r="D7806" s="115"/>
      <c r="E7806" s="115"/>
    </row>
    <row r="7807" spans="1:5" ht="13">
      <c r="A7807" s="115"/>
      <c r="B7807" s="115"/>
      <c r="C7807" s="115"/>
      <c r="D7807" s="115"/>
      <c r="E7807" s="115"/>
    </row>
    <row r="7808" spans="1:5" ht="13">
      <c r="A7808" s="115"/>
      <c r="B7808" s="115"/>
      <c r="C7808" s="115"/>
      <c r="D7808" s="115"/>
      <c r="E7808" s="115"/>
    </row>
    <row r="7809" spans="1:5" ht="13">
      <c r="A7809" s="115"/>
      <c r="B7809" s="115"/>
      <c r="C7809" s="115"/>
      <c r="D7809" s="115"/>
      <c r="E7809" s="115"/>
    </row>
    <row r="7810" spans="1:5" ht="13">
      <c r="A7810" s="115"/>
      <c r="B7810" s="115"/>
      <c r="C7810" s="115"/>
      <c r="D7810" s="115"/>
      <c r="E7810" s="115"/>
    </row>
    <row r="7811" spans="1:5" ht="13">
      <c r="A7811" s="115"/>
      <c r="B7811" s="115"/>
      <c r="C7811" s="115"/>
      <c r="D7811" s="115"/>
      <c r="E7811" s="115"/>
    </row>
    <row r="7812" spans="1:5" ht="13">
      <c r="A7812" s="115"/>
      <c r="B7812" s="115"/>
      <c r="C7812" s="115"/>
      <c r="D7812" s="115"/>
      <c r="E7812" s="115"/>
    </row>
    <row r="7813" spans="1:5" ht="13">
      <c r="A7813" s="115"/>
      <c r="B7813" s="115"/>
      <c r="C7813" s="115"/>
      <c r="D7813" s="115"/>
      <c r="E7813" s="115"/>
    </row>
    <row r="7814" spans="1:5" ht="13">
      <c r="A7814" s="115"/>
      <c r="B7814" s="115"/>
      <c r="C7814" s="115"/>
      <c r="D7814" s="115"/>
      <c r="E7814" s="115"/>
    </row>
    <row r="7815" spans="1:5" ht="13">
      <c r="A7815" s="115"/>
      <c r="B7815" s="115"/>
      <c r="C7815" s="115"/>
      <c r="D7815" s="115"/>
      <c r="E7815" s="115"/>
    </row>
    <row r="7816" spans="1:5" ht="13">
      <c r="A7816" s="115"/>
      <c r="B7816" s="115"/>
      <c r="C7816" s="115"/>
      <c r="D7816" s="115"/>
      <c r="E7816" s="115"/>
    </row>
    <row r="7817" spans="1:5" ht="13">
      <c r="A7817" s="115"/>
      <c r="B7817" s="115"/>
      <c r="C7817" s="115"/>
      <c r="D7817" s="115"/>
      <c r="E7817" s="115"/>
    </row>
    <row r="7818" spans="1:5" ht="13">
      <c r="A7818" s="115"/>
      <c r="B7818" s="115"/>
      <c r="C7818" s="115"/>
      <c r="D7818" s="115"/>
      <c r="E7818" s="115"/>
    </row>
    <row r="7819" spans="1:5" ht="13">
      <c r="A7819" s="115"/>
      <c r="B7819" s="115"/>
      <c r="C7819" s="115"/>
      <c r="D7819" s="115"/>
      <c r="E7819" s="115"/>
    </row>
    <row r="7820" spans="1:5" ht="13">
      <c r="A7820" s="115"/>
      <c r="B7820" s="115"/>
      <c r="C7820" s="115"/>
      <c r="D7820" s="115"/>
      <c r="E7820" s="115"/>
    </row>
    <row r="7821" spans="1:5" ht="13">
      <c r="A7821" s="115"/>
      <c r="B7821" s="115"/>
      <c r="C7821" s="115"/>
      <c r="D7821" s="115"/>
      <c r="E7821" s="115"/>
    </row>
    <row r="7822" spans="1:5" ht="13">
      <c r="A7822" s="115"/>
      <c r="B7822" s="115"/>
      <c r="C7822" s="115"/>
      <c r="D7822" s="115"/>
      <c r="E7822" s="115"/>
    </row>
    <row r="7823" spans="1:5" ht="13">
      <c r="A7823" s="115"/>
      <c r="B7823" s="115"/>
      <c r="C7823" s="115"/>
      <c r="D7823" s="115"/>
      <c r="E7823" s="115"/>
    </row>
    <row r="7824" spans="1:5" ht="13">
      <c r="A7824" s="115"/>
      <c r="B7824" s="115"/>
      <c r="C7824" s="115"/>
      <c r="D7824" s="115"/>
      <c r="E7824" s="115"/>
    </row>
    <row r="7825" spans="1:5" ht="13">
      <c r="A7825" s="115"/>
      <c r="B7825" s="115"/>
      <c r="C7825" s="115"/>
      <c r="D7825" s="115"/>
      <c r="E7825" s="115"/>
    </row>
    <row r="7826" spans="1:5" ht="13">
      <c r="A7826" s="115"/>
      <c r="B7826" s="115"/>
      <c r="C7826" s="115"/>
      <c r="D7826" s="115"/>
      <c r="E7826" s="115"/>
    </row>
    <row r="7827" spans="1:5" ht="13">
      <c r="A7827" s="115"/>
      <c r="B7827" s="115"/>
      <c r="C7827" s="115"/>
      <c r="D7827" s="115"/>
      <c r="E7827" s="115"/>
    </row>
    <row r="7828" spans="1:5" ht="13">
      <c r="A7828" s="115"/>
      <c r="B7828" s="115"/>
      <c r="C7828" s="115"/>
      <c r="D7828" s="115"/>
      <c r="E7828" s="115"/>
    </row>
    <row r="7829" spans="1:5" ht="13">
      <c r="A7829" s="115"/>
      <c r="B7829" s="115"/>
      <c r="C7829" s="115"/>
      <c r="D7829" s="115"/>
      <c r="E7829" s="115"/>
    </row>
    <row r="7830" spans="1:5" ht="13">
      <c r="A7830" s="115"/>
      <c r="B7830" s="115"/>
      <c r="C7830" s="115"/>
      <c r="D7830" s="115"/>
      <c r="E7830" s="115"/>
    </row>
    <row r="7831" spans="1:5" ht="13">
      <c r="A7831" s="115"/>
      <c r="B7831" s="115"/>
      <c r="C7831" s="115"/>
      <c r="D7831" s="115"/>
      <c r="E7831" s="115"/>
    </row>
    <row r="7832" spans="1:5" ht="13">
      <c r="A7832" s="115"/>
      <c r="B7832" s="115"/>
      <c r="C7832" s="115"/>
      <c r="D7832" s="115"/>
      <c r="E7832" s="115"/>
    </row>
    <row r="7833" spans="1:5" ht="13">
      <c r="A7833" s="115"/>
      <c r="B7833" s="115"/>
      <c r="C7833" s="115"/>
      <c r="D7833" s="115"/>
      <c r="E7833" s="115"/>
    </row>
    <row r="7834" spans="1:5" ht="13">
      <c r="A7834" s="115"/>
      <c r="B7834" s="115"/>
      <c r="C7834" s="115"/>
      <c r="D7834" s="115"/>
      <c r="E7834" s="115"/>
    </row>
    <row r="7835" spans="1:5" ht="13">
      <c r="A7835" s="115"/>
      <c r="B7835" s="115"/>
      <c r="C7835" s="115"/>
      <c r="D7835" s="115"/>
      <c r="E7835" s="115"/>
    </row>
    <row r="7836" spans="1:5" ht="13">
      <c r="A7836" s="115"/>
      <c r="B7836" s="115"/>
      <c r="C7836" s="115"/>
      <c r="D7836" s="115"/>
      <c r="E7836" s="115"/>
    </row>
    <row r="7837" spans="1:5" ht="13">
      <c r="A7837" s="115"/>
      <c r="B7837" s="115"/>
      <c r="C7837" s="115"/>
      <c r="D7837" s="115"/>
      <c r="E7837" s="115"/>
    </row>
    <row r="7838" spans="1:5" ht="13">
      <c r="A7838" s="115"/>
      <c r="B7838" s="115"/>
      <c r="C7838" s="115"/>
      <c r="D7838" s="115"/>
      <c r="E7838" s="115"/>
    </row>
    <row r="7839" spans="1:5" ht="13">
      <c r="A7839" s="115"/>
      <c r="B7839" s="115"/>
      <c r="C7839" s="115"/>
      <c r="D7839" s="115"/>
      <c r="E7839" s="115"/>
    </row>
    <row r="7840" spans="1:5" ht="13">
      <c r="A7840" s="115"/>
      <c r="B7840" s="115"/>
      <c r="C7840" s="115"/>
      <c r="D7840" s="115"/>
      <c r="E7840" s="115"/>
    </row>
    <row r="7841" spans="1:5" ht="13">
      <c r="A7841" s="115"/>
      <c r="B7841" s="115"/>
      <c r="C7841" s="115"/>
      <c r="D7841" s="115"/>
      <c r="E7841" s="115"/>
    </row>
    <row r="7842" spans="1:5" ht="13">
      <c r="A7842" s="115"/>
      <c r="B7842" s="115"/>
      <c r="C7842" s="115"/>
      <c r="D7842" s="115"/>
      <c r="E7842" s="115"/>
    </row>
    <row r="7843" spans="1:5" ht="13">
      <c r="A7843" s="115"/>
      <c r="B7843" s="115"/>
      <c r="C7843" s="115"/>
      <c r="D7843" s="115"/>
      <c r="E7843" s="115"/>
    </row>
    <row r="7844" spans="1:5" ht="13">
      <c r="A7844" s="115"/>
      <c r="B7844" s="115"/>
      <c r="C7844" s="115"/>
      <c r="D7844" s="115"/>
      <c r="E7844" s="115"/>
    </row>
    <row r="7845" spans="1:5" ht="13">
      <c r="A7845" s="115"/>
      <c r="B7845" s="115"/>
      <c r="C7845" s="115"/>
      <c r="D7845" s="115"/>
      <c r="E7845" s="115"/>
    </row>
    <row r="7846" spans="1:5" ht="13">
      <c r="A7846" s="115"/>
      <c r="B7846" s="115"/>
      <c r="C7846" s="115"/>
      <c r="D7846" s="115"/>
      <c r="E7846" s="115"/>
    </row>
    <row r="7847" spans="1:5" ht="13">
      <c r="A7847" s="115"/>
      <c r="B7847" s="115"/>
      <c r="C7847" s="115"/>
      <c r="D7847" s="115"/>
      <c r="E7847" s="115"/>
    </row>
    <row r="7848" spans="1:5" ht="13">
      <c r="A7848" s="115"/>
      <c r="B7848" s="115"/>
      <c r="C7848" s="115"/>
      <c r="D7848" s="115"/>
      <c r="E7848" s="115"/>
    </row>
    <row r="7849" spans="1:5" ht="13">
      <c r="A7849" s="115"/>
      <c r="B7849" s="115"/>
      <c r="C7849" s="115"/>
      <c r="D7849" s="115"/>
      <c r="E7849" s="115"/>
    </row>
    <row r="7850" spans="1:5" ht="13">
      <c r="A7850" s="115"/>
      <c r="B7850" s="115"/>
      <c r="C7850" s="115"/>
      <c r="D7850" s="115"/>
      <c r="E7850" s="115"/>
    </row>
    <row r="7851" spans="1:5" ht="13">
      <c r="A7851" s="115"/>
      <c r="B7851" s="115"/>
      <c r="C7851" s="115"/>
      <c r="D7851" s="115"/>
      <c r="E7851" s="115"/>
    </row>
    <row r="7852" spans="1:5" ht="13">
      <c r="A7852" s="115"/>
      <c r="B7852" s="115"/>
      <c r="C7852" s="115"/>
      <c r="D7852" s="115"/>
      <c r="E7852" s="115"/>
    </row>
    <row r="7853" spans="1:5" ht="13">
      <c r="A7853" s="115"/>
      <c r="B7853" s="115"/>
      <c r="C7853" s="115"/>
      <c r="D7853" s="115"/>
      <c r="E7853" s="115"/>
    </row>
    <row r="7854" spans="1:5" ht="13">
      <c r="A7854" s="115"/>
      <c r="B7854" s="115"/>
      <c r="C7854" s="115"/>
      <c r="D7854" s="115"/>
      <c r="E7854" s="115"/>
    </row>
    <row r="7855" spans="1:5" ht="13">
      <c r="A7855" s="115"/>
      <c r="B7855" s="115"/>
      <c r="C7855" s="115"/>
      <c r="D7855" s="115"/>
      <c r="E7855" s="115"/>
    </row>
    <row r="7856" spans="1:5" ht="13">
      <c r="A7856" s="115"/>
      <c r="B7856" s="115"/>
      <c r="C7856" s="115"/>
      <c r="D7856" s="115"/>
      <c r="E7856" s="115"/>
    </row>
    <row r="7857" spans="1:5" ht="13">
      <c r="A7857" s="115"/>
      <c r="B7857" s="115"/>
      <c r="C7857" s="115"/>
      <c r="D7857" s="115"/>
      <c r="E7857" s="115"/>
    </row>
    <row r="7858" spans="1:5" ht="13">
      <c r="A7858" s="115"/>
      <c r="B7858" s="115"/>
      <c r="C7858" s="115"/>
      <c r="D7858" s="115"/>
      <c r="E7858" s="115"/>
    </row>
    <row r="7859" spans="1:5" ht="13">
      <c r="A7859" s="115"/>
      <c r="B7859" s="115"/>
      <c r="C7859" s="115"/>
      <c r="D7859" s="115"/>
      <c r="E7859" s="115"/>
    </row>
    <row r="7860" spans="1:5" ht="13">
      <c r="A7860" s="115"/>
      <c r="B7860" s="115"/>
      <c r="C7860" s="115"/>
      <c r="D7860" s="115"/>
      <c r="E7860" s="115"/>
    </row>
    <row r="7861" spans="1:5" ht="13">
      <c r="A7861" s="115"/>
      <c r="B7861" s="115"/>
      <c r="C7861" s="115"/>
      <c r="D7861" s="115"/>
      <c r="E7861" s="115"/>
    </row>
    <row r="7862" spans="1:5" ht="13">
      <c r="A7862" s="115"/>
      <c r="B7862" s="115"/>
      <c r="C7862" s="115"/>
      <c r="D7862" s="115"/>
      <c r="E7862" s="115"/>
    </row>
    <row r="7863" spans="1:5" ht="13">
      <c r="A7863" s="115"/>
      <c r="B7863" s="115"/>
      <c r="C7863" s="115"/>
      <c r="D7863" s="115"/>
      <c r="E7863" s="115"/>
    </row>
    <row r="7864" spans="1:5" ht="13">
      <c r="A7864" s="115"/>
      <c r="B7864" s="115"/>
      <c r="C7864" s="115"/>
      <c r="D7864" s="115"/>
      <c r="E7864" s="115"/>
    </row>
    <row r="7865" spans="1:5" ht="13">
      <c r="A7865" s="115"/>
      <c r="B7865" s="115"/>
      <c r="C7865" s="115"/>
      <c r="D7865" s="115"/>
      <c r="E7865" s="115"/>
    </row>
    <row r="7866" spans="1:5" ht="13">
      <c r="A7866" s="115"/>
      <c r="B7866" s="115"/>
      <c r="C7866" s="115"/>
      <c r="D7866" s="115"/>
      <c r="E7866" s="115"/>
    </row>
    <row r="7867" spans="1:5" ht="13">
      <c r="A7867" s="115"/>
      <c r="B7867" s="115"/>
      <c r="C7867" s="115"/>
      <c r="D7867" s="115"/>
      <c r="E7867" s="115"/>
    </row>
    <row r="7868" spans="1:5" ht="13">
      <c r="A7868" s="115"/>
      <c r="B7868" s="115"/>
      <c r="C7868" s="115"/>
      <c r="D7868" s="115"/>
      <c r="E7868" s="115"/>
    </row>
    <row r="7869" spans="1:5" ht="13">
      <c r="A7869" s="115"/>
      <c r="B7869" s="115"/>
      <c r="C7869" s="115"/>
      <c r="D7869" s="115"/>
      <c r="E7869" s="115"/>
    </row>
    <row r="7870" spans="1:5" ht="13">
      <c r="A7870" s="115"/>
      <c r="B7870" s="115"/>
      <c r="C7870" s="115"/>
      <c r="D7870" s="115"/>
      <c r="E7870" s="115"/>
    </row>
    <row r="7871" spans="1:5" ht="13">
      <c r="A7871" s="115"/>
      <c r="B7871" s="115"/>
      <c r="C7871" s="115"/>
      <c r="D7871" s="115"/>
      <c r="E7871" s="115"/>
    </row>
    <row r="7872" spans="1:5" ht="13">
      <c r="A7872" s="115"/>
      <c r="B7872" s="115"/>
      <c r="C7872" s="115"/>
      <c r="D7872" s="115"/>
      <c r="E7872" s="115"/>
    </row>
    <row r="7873" spans="1:5" ht="13">
      <c r="A7873" s="115"/>
      <c r="B7873" s="115"/>
      <c r="C7873" s="115"/>
      <c r="D7873" s="115"/>
      <c r="E7873" s="115"/>
    </row>
    <row r="7874" spans="1:5" ht="13">
      <c r="A7874" s="115"/>
      <c r="B7874" s="115"/>
      <c r="C7874" s="115"/>
      <c r="D7874" s="115"/>
      <c r="E7874" s="115"/>
    </row>
    <row r="7875" spans="1:5" ht="13">
      <c r="A7875" s="115"/>
      <c r="B7875" s="115"/>
      <c r="C7875" s="115"/>
      <c r="D7875" s="115"/>
      <c r="E7875" s="115"/>
    </row>
    <row r="7876" spans="1:5" ht="13">
      <c r="A7876" s="115"/>
      <c r="B7876" s="115"/>
      <c r="C7876" s="115"/>
      <c r="D7876" s="115"/>
      <c r="E7876" s="115"/>
    </row>
    <row r="7877" spans="1:5" ht="13">
      <c r="A7877" s="115"/>
      <c r="B7877" s="115"/>
      <c r="C7877" s="115"/>
      <c r="D7877" s="115"/>
      <c r="E7877" s="115"/>
    </row>
    <row r="7878" spans="1:5" ht="13">
      <c r="A7878" s="115"/>
      <c r="B7878" s="115"/>
      <c r="C7878" s="115"/>
      <c r="D7878" s="115"/>
      <c r="E7878" s="115"/>
    </row>
    <row r="7879" spans="1:5" ht="13">
      <c r="A7879" s="115"/>
      <c r="B7879" s="115"/>
      <c r="C7879" s="115"/>
      <c r="D7879" s="115"/>
      <c r="E7879" s="115"/>
    </row>
    <row r="7880" spans="1:5" ht="13">
      <c r="A7880" s="115"/>
      <c r="B7880" s="115"/>
      <c r="C7880" s="115"/>
      <c r="D7880" s="115"/>
      <c r="E7880" s="115"/>
    </row>
    <row r="7881" spans="1:5" ht="13">
      <c r="A7881" s="115"/>
      <c r="B7881" s="115"/>
      <c r="C7881" s="115"/>
      <c r="D7881" s="115"/>
      <c r="E7881" s="115"/>
    </row>
    <row r="7882" spans="1:5" ht="13">
      <c r="A7882" s="115"/>
      <c r="B7882" s="115"/>
      <c r="C7882" s="115"/>
      <c r="D7882" s="115"/>
      <c r="E7882" s="115"/>
    </row>
    <row r="7883" spans="1:5" ht="13">
      <c r="A7883" s="115"/>
      <c r="B7883" s="115"/>
      <c r="C7883" s="115"/>
      <c r="D7883" s="115"/>
      <c r="E7883" s="115"/>
    </row>
    <row r="7884" spans="1:5" ht="13">
      <c r="A7884" s="115"/>
      <c r="B7884" s="115"/>
      <c r="C7884" s="115"/>
      <c r="D7884" s="115"/>
      <c r="E7884" s="115"/>
    </row>
    <row r="7885" spans="1:5" ht="13">
      <c r="A7885" s="115"/>
      <c r="B7885" s="115"/>
      <c r="C7885" s="115"/>
      <c r="D7885" s="115"/>
      <c r="E7885" s="115"/>
    </row>
    <row r="7886" spans="1:5" ht="13">
      <c r="A7886" s="115"/>
      <c r="B7886" s="115"/>
      <c r="C7886" s="115"/>
      <c r="D7886" s="115"/>
      <c r="E7886" s="115"/>
    </row>
    <row r="7887" spans="1:5" ht="13">
      <c r="A7887" s="115"/>
      <c r="B7887" s="115"/>
      <c r="C7887" s="115"/>
      <c r="D7887" s="115"/>
      <c r="E7887" s="115"/>
    </row>
    <row r="7888" spans="1:5" ht="13">
      <c r="A7888" s="115"/>
      <c r="B7888" s="115"/>
      <c r="C7888" s="115"/>
      <c r="D7888" s="115"/>
      <c r="E7888" s="115"/>
    </row>
    <row r="7889" spans="1:5" ht="13">
      <c r="A7889" s="115"/>
      <c r="B7889" s="115"/>
      <c r="C7889" s="115"/>
      <c r="D7889" s="115"/>
      <c r="E7889" s="115"/>
    </row>
    <row r="7890" spans="1:5" ht="13">
      <c r="A7890" s="115"/>
      <c r="B7890" s="115"/>
      <c r="C7890" s="115"/>
      <c r="D7890" s="115"/>
      <c r="E7890" s="115"/>
    </row>
    <row r="7891" spans="1:5" ht="13">
      <c r="A7891" s="115"/>
      <c r="B7891" s="115"/>
      <c r="C7891" s="115"/>
      <c r="D7891" s="115"/>
      <c r="E7891" s="115"/>
    </row>
    <row r="7892" spans="1:5" ht="13">
      <c r="A7892" s="115"/>
      <c r="B7892" s="115"/>
      <c r="C7892" s="115"/>
      <c r="D7892" s="115"/>
      <c r="E7892" s="115"/>
    </row>
    <row r="7893" spans="1:5" ht="13">
      <c r="A7893" s="115"/>
      <c r="B7893" s="115"/>
      <c r="C7893" s="115"/>
      <c r="D7893" s="115"/>
      <c r="E7893" s="115"/>
    </row>
    <row r="7894" spans="1:5" ht="13">
      <c r="A7894" s="115"/>
      <c r="B7894" s="115"/>
      <c r="C7894" s="115"/>
      <c r="D7894" s="115"/>
      <c r="E7894" s="115"/>
    </row>
    <row r="7895" spans="1:5" ht="13">
      <c r="A7895" s="115"/>
      <c r="B7895" s="115"/>
      <c r="C7895" s="115"/>
      <c r="D7895" s="115"/>
      <c r="E7895" s="115"/>
    </row>
    <row r="7896" spans="1:5" ht="13">
      <c r="A7896" s="115"/>
      <c r="B7896" s="115"/>
      <c r="C7896" s="115"/>
      <c r="D7896" s="115"/>
      <c r="E7896" s="115"/>
    </row>
    <row r="7897" spans="1:5" ht="13">
      <c r="A7897" s="115"/>
      <c r="B7897" s="115"/>
      <c r="C7897" s="115"/>
      <c r="D7897" s="115"/>
      <c r="E7897" s="115"/>
    </row>
    <row r="7898" spans="1:5" ht="13">
      <c r="A7898" s="115"/>
      <c r="B7898" s="115"/>
      <c r="C7898" s="115"/>
      <c r="D7898" s="115"/>
      <c r="E7898" s="115"/>
    </row>
    <row r="7899" spans="1:5" ht="13">
      <c r="A7899" s="115"/>
      <c r="B7899" s="115"/>
      <c r="C7899" s="115"/>
      <c r="D7899" s="115"/>
      <c r="E7899" s="115"/>
    </row>
    <row r="7900" spans="1:5" ht="13">
      <c r="A7900" s="115"/>
      <c r="B7900" s="115"/>
      <c r="C7900" s="115"/>
      <c r="D7900" s="115"/>
      <c r="E7900" s="115"/>
    </row>
    <row r="7901" spans="1:5" ht="13">
      <c r="A7901" s="115"/>
      <c r="B7901" s="115"/>
      <c r="C7901" s="115"/>
      <c r="D7901" s="115"/>
      <c r="E7901" s="115"/>
    </row>
    <row r="7902" spans="1:5" ht="13">
      <c r="A7902" s="115"/>
      <c r="B7902" s="115"/>
      <c r="C7902" s="115"/>
      <c r="D7902" s="115"/>
      <c r="E7902" s="115"/>
    </row>
    <row r="7903" spans="1:5" ht="13">
      <c r="A7903" s="115"/>
      <c r="B7903" s="115"/>
      <c r="C7903" s="115"/>
      <c r="D7903" s="115"/>
      <c r="E7903" s="115"/>
    </row>
    <row r="7904" spans="1:5" ht="13">
      <c r="A7904" s="115"/>
      <c r="B7904" s="115"/>
      <c r="C7904" s="115"/>
      <c r="D7904" s="115"/>
      <c r="E7904" s="115"/>
    </row>
    <row r="7905" spans="1:5" ht="13">
      <c r="A7905" s="115"/>
      <c r="B7905" s="115"/>
      <c r="C7905" s="115"/>
      <c r="D7905" s="115"/>
      <c r="E7905" s="115"/>
    </row>
    <row r="7906" spans="1:5" ht="13">
      <c r="A7906" s="115"/>
      <c r="B7906" s="115"/>
      <c r="C7906" s="115"/>
      <c r="D7906" s="115"/>
      <c r="E7906" s="115"/>
    </row>
    <row r="7907" spans="1:5" ht="13">
      <c r="A7907" s="115"/>
      <c r="B7907" s="115"/>
      <c r="C7907" s="115"/>
      <c r="D7907" s="115"/>
      <c r="E7907" s="115"/>
    </row>
    <row r="7908" spans="1:5" ht="13">
      <c r="A7908" s="115"/>
      <c r="B7908" s="115"/>
      <c r="C7908" s="115"/>
      <c r="D7908" s="115"/>
      <c r="E7908" s="115"/>
    </row>
    <row r="7909" spans="1:5" ht="13">
      <c r="A7909" s="115"/>
      <c r="B7909" s="115"/>
      <c r="C7909" s="115"/>
      <c r="D7909" s="115"/>
      <c r="E7909" s="115"/>
    </row>
    <row r="7910" spans="1:5" ht="13">
      <c r="A7910" s="115"/>
      <c r="B7910" s="115"/>
      <c r="C7910" s="115"/>
      <c r="D7910" s="115"/>
      <c r="E7910" s="115"/>
    </row>
    <row r="7911" spans="1:5" ht="13">
      <c r="A7911" s="115"/>
      <c r="B7911" s="115"/>
      <c r="C7911" s="115"/>
      <c r="D7911" s="115"/>
      <c r="E7911" s="115"/>
    </row>
    <row r="7912" spans="1:5" ht="13">
      <c r="A7912" s="115"/>
      <c r="B7912" s="115"/>
      <c r="C7912" s="115"/>
      <c r="D7912" s="115"/>
      <c r="E7912" s="115"/>
    </row>
    <row r="7913" spans="1:5" ht="13">
      <c r="A7913" s="115"/>
      <c r="B7913" s="115"/>
      <c r="C7913" s="115"/>
      <c r="D7913" s="115"/>
      <c r="E7913" s="115"/>
    </row>
    <row r="7914" spans="1:5" ht="13">
      <c r="A7914" s="115"/>
      <c r="B7914" s="115"/>
      <c r="C7914" s="115"/>
      <c r="D7914" s="115"/>
      <c r="E7914" s="115"/>
    </row>
    <row r="7915" spans="1:5" ht="13">
      <c r="A7915" s="115"/>
      <c r="B7915" s="115"/>
      <c r="C7915" s="115"/>
      <c r="D7915" s="115"/>
      <c r="E7915" s="115"/>
    </row>
    <row r="7916" spans="1:5" ht="13">
      <c r="A7916" s="115"/>
      <c r="B7916" s="115"/>
      <c r="C7916" s="115"/>
      <c r="D7916" s="115"/>
      <c r="E7916" s="115"/>
    </row>
    <row r="7917" spans="1:5" ht="13">
      <c r="A7917" s="115"/>
      <c r="B7917" s="115"/>
      <c r="C7917" s="115"/>
      <c r="D7917" s="115"/>
      <c r="E7917" s="115"/>
    </row>
    <row r="7918" spans="1:5" ht="13">
      <c r="A7918" s="115"/>
      <c r="B7918" s="115"/>
      <c r="C7918" s="115"/>
      <c r="D7918" s="115"/>
      <c r="E7918" s="115"/>
    </row>
    <row r="7919" spans="1:5" ht="13">
      <c r="A7919" s="115"/>
      <c r="B7919" s="115"/>
      <c r="C7919" s="115"/>
      <c r="D7919" s="115"/>
      <c r="E7919" s="115"/>
    </row>
    <row r="7920" spans="1:5" ht="13">
      <c r="A7920" s="115"/>
      <c r="B7920" s="115"/>
      <c r="C7920" s="115"/>
      <c r="D7920" s="115"/>
      <c r="E7920" s="115"/>
    </row>
    <row r="7921" spans="1:5" ht="13">
      <c r="A7921" s="115"/>
      <c r="B7921" s="115"/>
      <c r="C7921" s="115"/>
      <c r="D7921" s="115"/>
      <c r="E7921" s="115"/>
    </row>
    <row r="7922" spans="1:5" ht="13">
      <c r="A7922" s="115"/>
      <c r="B7922" s="115"/>
      <c r="C7922" s="115"/>
      <c r="D7922" s="115"/>
      <c r="E7922" s="115"/>
    </row>
    <row r="7923" spans="1:5" ht="13">
      <c r="A7923" s="115"/>
      <c r="B7923" s="115"/>
      <c r="C7923" s="115"/>
      <c r="D7923" s="115"/>
      <c r="E7923" s="115"/>
    </row>
    <row r="7924" spans="1:5" ht="13">
      <c r="A7924" s="115"/>
      <c r="B7924" s="115"/>
      <c r="C7924" s="115"/>
      <c r="D7924" s="115"/>
      <c r="E7924" s="115"/>
    </row>
    <row r="7925" spans="1:5" ht="13">
      <c r="A7925" s="115"/>
      <c r="B7925" s="115"/>
      <c r="C7925" s="115"/>
      <c r="D7925" s="115"/>
      <c r="E7925" s="115"/>
    </row>
    <row r="7926" spans="1:5" ht="13">
      <c r="A7926" s="115"/>
      <c r="B7926" s="115"/>
      <c r="C7926" s="115"/>
      <c r="D7926" s="115"/>
      <c r="E7926" s="115"/>
    </row>
    <row r="7927" spans="1:5" ht="13">
      <c r="A7927" s="115"/>
      <c r="B7927" s="115"/>
      <c r="C7927" s="115"/>
      <c r="D7927" s="115"/>
      <c r="E7927" s="115"/>
    </row>
    <row r="7928" spans="1:5" ht="13">
      <c r="A7928" s="115"/>
      <c r="B7928" s="115"/>
      <c r="C7928" s="115"/>
      <c r="D7928" s="115"/>
      <c r="E7928" s="115"/>
    </row>
    <row r="7929" spans="1:5" ht="13">
      <c r="A7929" s="115"/>
      <c r="B7929" s="115"/>
      <c r="C7929" s="115"/>
      <c r="D7929" s="115"/>
      <c r="E7929" s="115"/>
    </row>
    <row r="7930" spans="1:5" ht="13">
      <c r="A7930" s="115"/>
      <c r="B7930" s="115"/>
      <c r="C7930" s="115"/>
      <c r="D7930" s="115"/>
      <c r="E7930" s="115"/>
    </row>
    <row r="7931" spans="1:5" ht="13">
      <c r="A7931" s="115"/>
      <c r="B7931" s="115"/>
      <c r="C7931" s="115"/>
      <c r="D7931" s="115"/>
      <c r="E7931" s="115"/>
    </row>
    <row r="7932" spans="1:5" ht="13">
      <c r="A7932" s="115"/>
      <c r="B7932" s="115"/>
      <c r="C7932" s="115"/>
      <c r="D7932" s="115"/>
      <c r="E7932" s="115"/>
    </row>
    <row r="7933" spans="1:5" ht="13">
      <c r="A7933" s="115"/>
      <c r="B7933" s="115"/>
      <c r="C7933" s="115"/>
      <c r="D7933" s="115"/>
      <c r="E7933" s="115"/>
    </row>
    <row r="7934" spans="1:5" ht="13">
      <c r="A7934" s="115"/>
      <c r="B7934" s="115"/>
      <c r="C7934" s="115"/>
      <c r="D7934" s="115"/>
      <c r="E7934" s="115"/>
    </row>
    <row r="7935" spans="1:5" ht="13">
      <c r="A7935" s="115"/>
      <c r="B7935" s="115"/>
      <c r="C7935" s="115"/>
      <c r="D7935" s="115"/>
      <c r="E7935" s="115"/>
    </row>
    <row r="7936" spans="1:5" ht="13">
      <c r="A7936" s="115"/>
      <c r="B7936" s="115"/>
      <c r="C7936" s="115"/>
      <c r="D7936" s="115"/>
      <c r="E7936" s="115"/>
    </row>
    <row r="7937" spans="1:5" ht="13">
      <c r="A7937" s="115"/>
      <c r="B7937" s="115"/>
      <c r="C7937" s="115"/>
      <c r="D7937" s="115"/>
      <c r="E7937" s="115"/>
    </row>
    <row r="7938" spans="1:5" ht="13">
      <c r="A7938" s="115"/>
      <c r="B7938" s="115"/>
      <c r="C7938" s="115"/>
      <c r="D7938" s="115"/>
      <c r="E7938" s="115"/>
    </row>
    <row r="7939" spans="1:5" ht="13">
      <c r="A7939" s="115"/>
      <c r="B7939" s="115"/>
      <c r="C7939" s="115"/>
      <c r="D7939" s="115"/>
      <c r="E7939" s="115"/>
    </row>
    <row r="7940" spans="1:5" ht="13">
      <c r="A7940" s="115"/>
      <c r="B7940" s="115"/>
      <c r="C7940" s="115"/>
      <c r="D7940" s="115"/>
      <c r="E7940" s="115"/>
    </row>
    <row r="7941" spans="1:5" ht="13">
      <c r="A7941" s="115"/>
      <c r="B7941" s="115"/>
      <c r="C7941" s="115"/>
      <c r="D7941" s="115"/>
      <c r="E7941" s="115"/>
    </row>
    <row r="7942" spans="1:5" ht="13">
      <c r="A7942" s="115"/>
      <c r="B7942" s="115"/>
      <c r="C7942" s="115"/>
      <c r="D7942" s="115"/>
      <c r="E7942" s="115"/>
    </row>
    <row r="7943" spans="1:5" ht="13">
      <c r="A7943" s="115"/>
      <c r="B7943" s="115"/>
      <c r="C7943" s="115"/>
      <c r="D7943" s="115"/>
      <c r="E7943" s="115"/>
    </row>
    <row r="7944" spans="1:5" ht="13">
      <c r="A7944" s="115"/>
      <c r="B7944" s="115"/>
      <c r="C7944" s="115"/>
      <c r="D7944" s="115"/>
      <c r="E7944" s="115"/>
    </row>
    <row r="7945" spans="1:5" ht="13">
      <c r="A7945" s="115"/>
      <c r="B7945" s="115"/>
      <c r="C7945" s="115"/>
      <c r="D7945" s="115"/>
      <c r="E7945" s="115"/>
    </row>
    <row r="7946" spans="1:5" ht="13">
      <c r="A7946" s="115"/>
      <c r="B7946" s="115"/>
      <c r="C7946" s="115"/>
      <c r="D7946" s="115"/>
      <c r="E7946" s="115"/>
    </row>
    <row r="7947" spans="1:5" ht="13">
      <c r="A7947" s="115"/>
      <c r="B7947" s="115"/>
      <c r="C7947" s="115"/>
      <c r="D7947" s="115"/>
      <c r="E7947" s="115"/>
    </row>
    <row r="7948" spans="1:5" ht="13">
      <c r="A7948" s="115"/>
      <c r="B7948" s="115"/>
      <c r="C7948" s="115"/>
      <c r="D7948" s="115"/>
      <c r="E7948" s="115"/>
    </row>
    <row r="7949" spans="1:5" ht="13">
      <c r="A7949" s="115"/>
      <c r="B7949" s="115"/>
      <c r="C7949" s="115"/>
      <c r="D7949" s="115"/>
      <c r="E7949" s="115"/>
    </row>
    <row r="7950" spans="1:5" ht="13">
      <c r="A7950" s="115"/>
      <c r="B7950" s="115"/>
      <c r="C7950" s="115"/>
      <c r="D7950" s="115"/>
      <c r="E7950" s="115"/>
    </row>
    <row r="7951" spans="1:5" ht="13">
      <c r="A7951" s="115"/>
      <c r="B7951" s="115"/>
      <c r="C7951" s="115"/>
      <c r="D7951" s="115"/>
      <c r="E7951" s="115"/>
    </row>
    <row r="7952" spans="1:5" ht="13">
      <c r="A7952" s="115"/>
      <c r="B7952" s="115"/>
      <c r="C7952" s="115"/>
      <c r="D7952" s="115"/>
      <c r="E7952" s="115"/>
    </row>
    <row r="7953" spans="1:5" ht="13">
      <c r="A7953" s="115"/>
      <c r="B7953" s="115"/>
      <c r="C7953" s="115"/>
      <c r="D7953" s="115"/>
      <c r="E7953" s="115"/>
    </row>
    <row r="7954" spans="1:5" ht="13">
      <c r="A7954" s="115"/>
      <c r="B7954" s="115"/>
      <c r="C7954" s="115"/>
      <c r="D7954" s="115"/>
      <c r="E7954" s="115"/>
    </row>
    <row r="7955" spans="1:5" ht="13">
      <c r="A7955" s="115"/>
      <c r="B7955" s="115"/>
      <c r="C7955" s="115"/>
      <c r="D7955" s="115"/>
      <c r="E7955" s="115"/>
    </row>
    <row r="7956" spans="1:5" ht="13">
      <c r="A7956" s="115"/>
      <c r="B7956" s="115"/>
      <c r="C7956" s="115"/>
      <c r="D7956" s="115"/>
      <c r="E7956" s="115"/>
    </row>
    <row r="7957" spans="1:5" ht="13">
      <c r="A7957" s="115"/>
      <c r="B7957" s="115"/>
      <c r="C7957" s="115"/>
      <c r="D7957" s="115"/>
      <c r="E7957" s="115"/>
    </row>
    <row r="7958" spans="1:5" ht="13">
      <c r="A7958" s="115"/>
      <c r="B7958" s="115"/>
      <c r="C7958" s="115"/>
      <c r="D7958" s="115"/>
      <c r="E7958" s="115"/>
    </row>
    <row r="7959" spans="1:5" ht="13">
      <c r="A7959" s="115"/>
      <c r="B7959" s="115"/>
      <c r="C7959" s="115"/>
      <c r="D7959" s="115"/>
      <c r="E7959" s="115"/>
    </row>
    <row r="7960" spans="1:5" ht="13">
      <c r="A7960" s="115"/>
      <c r="B7960" s="115"/>
      <c r="C7960" s="115"/>
      <c r="D7960" s="115"/>
      <c r="E7960" s="115"/>
    </row>
    <row r="7961" spans="1:5" ht="13">
      <c r="A7961" s="115"/>
      <c r="B7961" s="115"/>
      <c r="C7961" s="115"/>
      <c r="D7961" s="115"/>
      <c r="E7961" s="115"/>
    </row>
    <row r="7962" spans="1:5" ht="13">
      <c r="A7962" s="115"/>
      <c r="B7962" s="115"/>
      <c r="C7962" s="115"/>
      <c r="D7962" s="115"/>
      <c r="E7962" s="115"/>
    </row>
    <row r="7963" spans="1:5" ht="13">
      <c r="A7963" s="115"/>
      <c r="B7963" s="115"/>
      <c r="C7963" s="115"/>
      <c r="D7963" s="115"/>
      <c r="E7963" s="115"/>
    </row>
    <row r="7964" spans="1:5" ht="13">
      <c r="A7964" s="115"/>
      <c r="B7964" s="115"/>
      <c r="C7964" s="115"/>
      <c r="D7964" s="115"/>
      <c r="E7964" s="115"/>
    </row>
    <row r="7965" spans="1:5" ht="13">
      <c r="A7965" s="115"/>
      <c r="B7965" s="115"/>
      <c r="C7965" s="115"/>
      <c r="D7965" s="115"/>
      <c r="E7965" s="115"/>
    </row>
    <row r="7966" spans="1:5" ht="13">
      <c r="A7966" s="115"/>
      <c r="B7966" s="115"/>
      <c r="C7966" s="115"/>
      <c r="D7966" s="115"/>
      <c r="E7966" s="115"/>
    </row>
    <row r="7967" spans="1:5" ht="13">
      <c r="A7967" s="115"/>
      <c r="B7967" s="115"/>
      <c r="C7967" s="115"/>
      <c r="D7967" s="115"/>
      <c r="E7967" s="115"/>
    </row>
    <row r="7968" spans="1:5" ht="13">
      <c r="A7968" s="115"/>
      <c r="B7968" s="115"/>
      <c r="C7968" s="115"/>
      <c r="D7968" s="115"/>
      <c r="E7968" s="115"/>
    </row>
    <row r="7969" spans="1:5" ht="13">
      <c r="A7969" s="115"/>
      <c r="B7969" s="115"/>
      <c r="C7969" s="115"/>
      <c r="D7969" s="115"/>
      <c r="E7969" s="115"/>
    </row>
    <row r="7970" spans="1:5" ht="13">
      <c r="A7970" s="115"/>
      <c r="B7970" s="115"/>
      <c r="C7970" s="115"/>
      <c r="D7970" s="115"/>
      <c r="E7970" s="115"/>
    </row>
    <row r="7971" spans="1:5" ht="13">
      <c r="A7971" s="115"/>
      <c r="B7971" s="115"/>
      <c r="C7971" s="115"/>
      <c r="D7971" s="115"/>
      <c r="E7971" s="115"/>
    </row>
    <row r="7972" spans="1:5" ht="13">
      <c r="A7972" s="115"/>
      <c r="B7972" s="115"/>
      <c r="C7972" s="115"/>
      <c r="D7972" s="115"/>
      <c r="E7972" s="115"/>
    </row>
    <row r="7973" spans="1:5" ht="13">
      <c r="A7973" s="115"/>
      <c r="B7973" s="115"/>
      <c r="C7973" s="115"/>
      <c r="D7973" s="115"/>
      <c r="E7973" s="115"/>
    </row>
    <row r="7974" spans="1:5" ht="13">
      <c r="A7974" s="115"/>
      <c r="B7974" s="115"/>
      <c r="C7974" s="115"/>
      <c r="D7974" s="115"/>
      <c r="E7974" s="115"/>
    </row>
    <row r="7975" spans="1:5" ht="13">
      <c r="A7975" s="115"/>
      <c r="B7975" s="115"/>
      <c r="C7975" s="115"/>
      <c r="D7975" s="115"/>
      <c r="E7975" s="115"/>
    </row>
    <row r="7976" spans="1:5" ht="13">
      <c r="A7976" s="115"/>
      <c r="B7976" s="115"/>
      <c r="C7976" s="115"/>
      <c r="D7976" s="115"/>
      <c r="E7976" s="115"/>
    </row>
    <row r="7977" spans="1:5" ht="13">
      <c r="A7977" s="115"/>
      <c r="B7977" s="115"/>
      <c r="C7977" s="115"/>
      <c r="D7977" s="115"/>
      <c r="E7977" s="115"/>
    </row>
    <row r="7978" spans="1:5" ht="13">
      <c r="A7978" s="115"/>
      <c r="B7978" s="115"/>
      <c r="C7978" s="115"/>
      <c r="D7978" s="115"/>
      <c r="E7978" s="115"/>
    </row>
    <row r="7979" spans="1:5" ht="13">
      <c r="A7979" s="115"/>
      <c r="B7979" s="115"/>
      <c r="C7979" s="115"/>
      <c r="D7979" s="115"/>
      <c r="E7979" s="115"/>
    </row>
    <row r="7980" spans="1:5" ht="13">
      <c r="A7980" s="115"/>
      <c r="B7980" s="115"/>
      <c r="C7980" s="115"/>
      <c r="D7980" s="115"/>
      <c r="E7980" s="115"/>
    </row>
    <row r="7981" spans="1:5" ht="13">
      <c r="A7981" s="115"/>
      <c r="B7981" s="115"/>
      <c r="C7981" s="115"/>
      <c r="D7981" s="115"/>
      <c r="E7981" s="115"/>
    </row>
    <row r="7982" spans="1:5" ht="13">
      <c r="A7982" s="115"/>
      <c r="B7982" s="115"/>
      <c r="C7982" s="115"/>
      <c r="D7982" s="115"/>
      <c r="E7982" s="115"/>
    </row>
    <row r="7983" spans="1:5" ht="13">
      <c r="A7983" s="115"/>
      <c r="B7983" s="115"/>
      <c r="C7983" s="115"/>
      <c r="D7983" s="115"/>
      <c r="E7983" s="115"/>
    </row>
    <row r="7984" spans="1:5" ht="13">
      <c r="A7984" s="115"/>
      <c r="B7984" s="115"/>
      <c r="C7984" s="115"/>
      <c r="D7984" s="115"/>
      <c r="E7984" s="115"/>
    </row>
    <row r="7985" spans="1:5" ht="13">
      <c r="A7985" s="115"/>
      <c r="B7985" s="115"/>
      <c r="C7985" s="115"/>
      <c r="D7985" s="115"/>
      <c r="E7985" s="115"/>
    </row>
    <row r="7986" spans="1:5" ht="13">
      <c r="A7986" s="115"/>
      <c r="B7986" s="115"/>
      <c r="C7986" s="115"/>
      <c r="D7986" s="115"/>
      <c r="E7986" s="115"/>
    </row>
    <row r="7987" spans="1:5" ht="13">
      <c r="A7987" s="115"/>
      <c r="B7987" s="115"/>
      <c r="C7987" s="115"/>
      <c r="D7987" s="115"/>
      <c r="E7987" s="115"/>
    </row>
    <row r="7988" spans="1:5" ht="13">
      <c r="A7988" s="115"/>
      <c r="B7988" s="115"/>
      <c r="C7988" s="115"/>
      <c r="D7988" s="115"/>
      <c r="E7988" s="115"/>
    </row>
    <row r="7989" spans="1:5" ht="13">
      <c r="A7989" s="115"/>
      <c r="B7989" s="115"/>
      <c r="C7989" s="115"/>
      <c r="D7989" s="115"/>
      <c r="E7989" s="115"/>
    </row>
    <row r="7990" spans="1:5" ht="13">
      <c r="A7990" s="115"/>
      <c r="B7990" s="115"/>
      <c r="C7990" s="115"/>
      <c r="D7990" s="115"/>
      <c r="E7990" s="115"/>
    </row>
    <row r="7991" spans="1:5" ht="13">
      <c r="A7991" s="115"/>
      <c r="B7991" s="115"/>
      <c r="C7991" s="115"/>
      <c r="D7991" s="115"/>
      <c r="E7991" s="115"/>
    </row>
    <row r="7992" spans="1:5" ht="13">
      <c r="A7992" s="115"/>
      <c r="B7992" s="115"/>
      <c r="C7992" s="115"/>
      <c r="D7992" s="115"/>
      <c r="E7992" s="115"/>
    </row>
    <row r="7993" spans="1:5" ht="13">
      <c r="A7993" s="115"/>
      <c r="B7993" s="115"/>
      <c r="C7993" s="115"/>
      <c r="D7993" s="115"/>
      <c r="E7993" s="115"/>
    </row>
    <row r="7994" spans="1:5" ht="13">
      <c r="A7994" s="115"/>
      <c r="B7994" s="115"/>
      <c r="C7994" s="115"/>
      <c r="D7994" s="115"/>
      <c r="E7994" s="115"/>
    </row>
    <row r="7995" spans="1:5" ht="13">
      <c r="A7995" s="115"/>
      <c r="B7995" s="115"/>
      <c r="C7995" s="115"/>
      <c r="D7995" s="115"/>
      <c r="E7995" s="115"/>
    </row>
    <row r="7996" spans="1:5" ht="13">
      <c r="A7996" s="115"/>
      <c r="B7996" s="115"/>
      <c r="C7996" s="115"/>
      <c r="D7996" s="115"/>
      <c r="E7996" s="115"/>
    </row>
    <row r="7997" spans="1:5" ht="13">
      <c r="A7997" s="115"/>
      <c r="B7997" s="115"/>
      <c r="C7997" s="115"/>
      <c r="D7997" s="115"/>
      <c r="E7997" s="115"/>
    </row>
    <row r="7998" spans="1:5" ht="13">
      <c r="A7998" s="115"/>
      <c r="B7998" s="115"/>
      <c r="C7998" s="115"/>
      <c r="D7998" s="115"/>
      <c r="E7998" s="115"/>
    </row>
    <row r="7999" spans="1:5" ht="13">
      <c r="A7999" s="115"/>
      <c r="B7999" s="115"/>
      <c r="C7999" s="115"/>
      <c r="D7999" s="115"/>
      <c r="E7999" s="115"/>
    </row>
    <row r="8000" spans="1:5" ht="13">
      <c r="A8000" s="115"/>
      <c r="B8000" s="115"/>
      <c r="C8000" s="115"/>
      <c r="D8000" s="115"/>
      <c r="E8000" s="115"/>
    </row>
    <row r="8001" spans="1:5" ht="13">
      <c r="A8001" s="115"/>
      <c r="B8001" s="115"/>
      <c r="C8001" s="115"/>
      <c r="D8001" s="115"/>
      <c r="E8001" s="115"/>
    </row>
    <row r="8002" spans="1:5" ht="13">
      <c r="A8002" s="115"/>
      <c r="B8002" s="115"/>
      <c r="C8002" s="115"/>
      <c r="D8002" s="115"/>
      <c r="E8002" s="115"/>
    </row>
    <row r="8003" spans="1:5" ht="13">
      <c r="A8003" s="115"/>
      <c r="B8003" s="115"/>
      <c r="C8003" s="115"/>
      <c r="D8003" s="115"/>
      <c r="E8003" s="115"/>
    </row>
    <row r="8004" spans="1:5" ht="13">
      <c r="A8004" s="115"/>
      <c r="B8004" s="115"/>
      <c r="C8004" s="115"/>
      <c r="D8004" s="115"/>
      <c r="E8004" s="115"/>
    </row>
    <row r="8005" spans="1:5" ht="13">
      <c r="A8005" s="115"/>
      <c r="B8005" s="115"/>
      <c r="C8005" s="115"/>
      <c r="D8005" s="115"/>
      <c r="E8005" s="115"/>
    </row>
    <row r="8006" spans="1:5" ht="13">
      <c r="A8006" s="115"/>
      <c r="B8006" s="115"/>
      <c r="C8006" s="115"/>
      <c r="D8006" s="115"/>
      <c r="E8006" s="115"/>
    </row>
    <row r="8007" spans="1:5" ht="13">
      <c r="A8007" s="115"/>
      <c r="B8007" s="115"/>
      <c r="C8007" s="115"/>
      <c r="D8007" s="115"/>
      <c r="E8007" s="115"/>
    </row>
    <row r="8008" spans="1:5" ht="13">
      <c r="A8008" s="115"/>
      <c r="B8008" s="115"/>
      <c r="C8008" s="115"/>
      <c r="D8008" s="115"/>
      <c r="E8008" s="115"/>
    </row>
    <row r="8009" spans="1:5" ht="13">
      <c r="A8009" s="115"/>
      <c r="B8009" s="115"/>
      <c r="C8009" s="115"/>
      <c r="D8009" s="115"/>
      <c r="E8009" s="115"/>
    </row>
    <row r="8010" spans="1:5" ht="13">
      <c r="A8010" s="115"/>
      <c r="B8010" s="115"/>
      <c r="C8010" s="115"/>
      <c r="D8010" s="115"/>
      <c r="E8010" s="115"/>
    </row>
    <row r="8011" spans="1:5" ht="13">
      <c r="A8011" s="115"/>
      <c r="B8011" s="115"/>
      <c r="C8011" s="115"/>
      <c r="D8011" s="115"/>
      <c r="E8011" s="115"/>
    </row>
    <row r="8012" spans="1:5" ht="13">
      <c r="A8012" s="115"/>
      <c r="B8012" s="115"/>
      <c r="C8012" s="115"/>
      <c r="D8012" s="115"/>
      <c r="E8012" s="115"/>
    </row>
    <row r="8013" spans="1:5" ht="13">
      <c r="A8013" s="115"/>
      <c r="B8013" s="115"/>
      <c r="C8013" s="115"/>
      <c r="D8013" s="115"/>
      <c r="E8013" s="115"/>
    </row>
    <row r="8014" spans="1:5" ht="13">
      <c r="A8014" s="115"/>
      <c r="B8014" s="115"/>
      <c r="C8014" s="115"/>
      <c r="D8014" s="115"/>
      <c r="E8014" s="115"/>
    </row>
    <row r="8015" spans="1:5" ht="13">
      <c r="A8015" s="115"/>
      <c r="B8015" s="115"/>
      <c r="C8015" s="115"/>
      <c r="D8015" s="115"/>
      <c r="E8015" s="115"/>
    </row>
    <row r="8016" spans="1:5" ht="13">
      <c r="A8016" s="115"/>
      <c r="B8016" s="115"/>
      <c r="C8016" s="115"/>
      <c r="D8016" s="115"/>
      <c r="E8016" s="115"/>
    </row>
    <row r="8017" spans="1:5" ht="13">
      <c r="A8017" s="115"/>
      <c r="B8017" s="115"/>
      <c r="C8017" s="115"/>
      <c r="D8017" s="115"/>
      <c r="E8017" s="115"/>
    </row>
    <row r="8018" spans="1:5" ht="13">
      <c r="A8018" s="115"/>
      <c r="B8018" s="115"/>
      <c r="C8018" s="115"/>
      <c r="D8018" s="115"/>
      <c r="E8018" s="115"/>
    </row>
    <row r="8019" spans="1:5" ht="13">
      <c r="A8019" s="115"/>
      <c r="B8019" s="115"/>
      <c r="C8019" s="115"/>
      <c r="D8019" s="115"/>
      <c r="E8019" s="115"/>
    </row>
    <row r="8020" spans="1:5" ht="13">
      <c r="A8020" s="115"/>
      <c r="B8020" s="115"/>
      <c r="C8020" s="115"/>
      <c r="D8020" s="115"/>
      <c r="E8020" s="115"/>
    </row>
    <row r="8021" spans="1:5" ht="13">
      <c r="A8021" s="115"/>
      <c r="B8021" s="115"/>
      <c r="C8021" s="115"/>
      <c r="D8021" s="115"/>
      <c r="E8021" s="115"/>
    </row>
    <row r="8022" spans="1:5" ht="13">
      <c r="A8022" s="115"/>
      <c r="B8022" s="115"/>
      <c r="C8022" s="115"/>
      <c r="D8022" s="115"/>
      <c r="E8022" s="115"/>
    </row>
    <row r="8023" spans="1:5" ht="13">
      <c r="A8023" s="115"/>
      <c r="B8023" s="115"/>
      <c r="C8023" s="115"/>
      <c r="D8023" s="115"/>
      <c r="E8023" s="115"/>
    </row>
    <row r="8024" spans="1:5" ht="13">
      <c r="A8024" s="115"/>
      <c r="B8024" s="115"/>
      <c r="C8024" s="115"/>
      <c r="D8024" s="115"/>
      <c r="E8024" s="115"/>
    </row>
    <row r="8025" spans="1:5" ht="13">
      <c r="A8025" s="115"/>
      <c r="B8025" s="115"/>
      <c r="C8025" s="115"/>
      <c r="D8025" s="115"/>
      <c r="E8025" s="115"/>
    </row>
    <row r="8026" spans="1:5" ht="13">
      <c r="A8026" s="115"/>
      <c r="B8026" s="115"/>
      <c r="C8026" s="115"/>
      <c r="D8026" s="115"/>
      <c r="E8026" s="115"/>
    </row>
    <row r="8027" spans="1:5" ht="13">
      <c r="A8027" s="115"/>
      <c r="B8027" s="115"/>
      <c r="C8027" s="115"/>
      <c r="D8027" s="115"/>
      <c r="E8027" s="115"/>
    </row>
    <row r="8028" spans="1:5" ht="13">
      <c r="A8028" s="115"/>
      <c r="B8028" s="115"/>
      <c r="C8028" s="115"/>
      <c r="D8028" s="115"/>
      <c r="E8028" s="115"/>
    </row>
    <row r="8029" spans="1:5" ht="13">
      <c r="A8029" s="115"/>
      <c r="B8029" s="115"/>
      <c r="C8029" s="115"/>
      <c r="D8029" s="115"/>
      <c r="E8029" s="115"/>
    </row>
    <row r="8030" spans="1:5" ht="13">
      <c r="A8030" s="115"/>
      <c r="B8030" s="115"/>
      <c r="C8030" s="115"/>
      <c r="D8030" s="115"/>
      <c r="E8030" s="115"/>
    </row>
    <row r="8031" spans="1:5" ht="13">
      <c r="A8031" s="115"/>
      <c r="B8031" s="115"/>
      <c r="C8031" s="115"/>
      <c r="D8031" s="115"/>
      <c r="E8031" s="115"/>
    </row>
    <row r="8032" spans="1:5" ht="13">
      <c r="A8032" s="115"/>
      <c r="B8032" s="115"/>
      <c r="C8032" s="115"/>
      <c r="D8032" s="115"/>
      <c r="E8032" s="115"/>
    </row>
    <row r="8033" spans="1:5" ht="13">
      <c r="A8033" s="115"/>
      <c r="B8033" s="115"/>
      <c r="C8033" s="115"/>
      <c r="D8033" s="115"/>
      <c r="E8033" s="115"/>
    </row>
    <row r="8034" spans="1:5" ht="13">
      <c r="A8034" s="115"/>
      <c r="B8034" s="115"/>
      <c r="C8034" s="115"/>
      <c r="D8034" s="115"/>
      <c r="E8034" s="115"/>
    </row>
    <row r="8035" spans="1:5" ht="13">
      <c r="A8035" s="115"/>
      <c r="B8035" s="115"/>
      <c r="C8035" s="115"/>
      <c r="D8035" s="115"/>
      <c r="E8035" s="115"/>
    </row>
    <row r="8036" spans="1:5" ht="13">
      <c r="A8036" s="115"/>
      <c r="B8036" s="115"/>
      <c r="C8036" s="115"/>
      <c r="D8036" s="115"/>
      <c r="E8036" s="115"/>
    </row>
    <row r="8037" spans="1:5" ht="13">
      <c r="A8037" s="115"/>
      <c r="B8037" s="115"/>
      <c r="C8037" s="115"/>
      <c r="D8037" s="115"/>
      <c r="E8037" s="115"/>
    </row>
    <row r="8038" spans="1:5" ht="13">
      <c r="A8038" s="115"/>
      <c r="B8038" s="115"/>
      <c r="C8038" s="115"/>
      <c r="D8038" s="115"/>
      <c r="E8038" s="115"/>
    </row>
    <row r="8039" spans="1:5" ht="13">
      <c r="A8039" s="115"/>
      <c r="B8039" s="115"/>
      <c r="C8039" s="115"/>
      <c r="D8039" s="115"/>
      <c r="E8039" s="115"/>
    </row>
    <row r="8040" spans="1:5" ht="13">
      <c r="A8040" s="115"/>
      <c r="B8040" s="115"/>
      <c r="C8040" s="115"/>
      <c r="D8040" s="115"/>
      <c r="E8040" s="115"/>
    </row>
    <row r="8041" spans="1:5" ht="13">
      <c r="A8041" s="115"/>
      <c r="B8041" s="115"/>
      <c r="C8041" s="115"/>
      <c r="D8041" s="115"/>
      <c r="E8041" s="115"/>
    </row>
    <row r="8042" spans="1:5" ht="13">
      <c r="A8042" s="115"/>
      <c r="B8042" s="115"/>
      <c r="C8042" s="115"/>
      <c r="D8042" s="115"/>
      <c r="E8042" s="115"/>
    </row>
    <row r="8043" spans="1:5" ht="13">
      <c r="A8043" s="115"/>
      <c r="B8043" s="115"/>
      <c r="C8043" s="115"/>
      <c r="D8043" s="115"/>
      <c r="E8043" s="115"/>
    </row>
    <row r="8044" spans="1:5" ht="13">
      <c r="A8044" s="115"/>
      <c r="B8044" s="115"/>
      <c r="C8044" s="115"/>
      <c r="D8044" s="115"/>
      <c r="E8044" s="115"/>
    </row>
    <row r="8045" spans="1:5" ht="13">
      <c r="A8045" s="115"/>
      <c r="B8045" s="115"/>
      <c r="C8045" s="115"/>
      <c r="D8045" s="115"/>
      <c r="E8045" s="115"/>
    </row>
    <row r="8046" spans="1:5" ht="13">
      <c r="A8046" s="115"/>
      <c r="B8046" s="115"/>
      <c r="C8046" s="115"/>
      <c r="D8046" s="115"/>
      <c r="E8046" s="115"/>
    </row>
    <row r="8047" spans="1:5" ht="13">
      <c r="A8047" s="115"/>
      <c r="B8047" s="115"/>
      <c r="C8047" s="115"/>
      <c r="D8047" s="115"/>
      <c r="E8047" s="115"/>
    </row>
    <row r="8048" spans="1:5" ht="13">
      <c r="A8048" s="115"/>
      <c r="B8048" s="115"/>
      <c r="C8048" s="115"/>
      <c r="D8048" s="115"/>
      <c r="E8048" s="115"/>
    </row>
    <row r="8049" spans="1:5" ht="13">
      <c r="A8049" s="115"/>
      <c r="B8049" s="115"/>
      <c r="C8049" s="115"/>
      <c r="D8049" s="115"/>
      <c r="E8049" s="115"/>
    </row>
    <row r="8050" spans="1:5" ht="13">
      <c r="A8050" s="115"/>
      <c r="B8050" s="115"/>
      <c r="C8050" s="115"/>
      <c r="D8050" s="115"/>
      <c r="E8050" s="115"/>
    </row>
    <row r="8051" spans="1:5" ht="13">
      <c r="A8051" s="115"/>
      <c r="B8051" s="115"/>
      <c r="C8051" s="115"/>
      <c r="D8051" s="115"/>
      <c r="E8051" s="115"/>
    </row>
    <row r="8052" spans="1:5" ht="13">
      <c r="A8052" s="115"/>
      <c r="B8052" s="115"/>
      <c r="C8052" s="115"/>
      <c r="D8052" s="115"/>
      <c r="E8052" s="115"/>
    </row>
    <row r="8053" spans="1:5" ht="13">
      <c r="A8053" s="115"/>
      <c r="B8053" s="115"/>
      <c r="C8053" s="115"/>
      <c r="D8053" s="115"/>
      <c r="E8053" s="115"/>
    </row>
    <row r="8054" spans="1:5" ht="13">
      <c r="A8054" s="115"/>
      <c r="B8054" s="115"/>
      <c r="C8054" s="115"/>
      <c r="D8054" s="115"/>
      <c r="E8054" s="115"/>
    </row>
    <row r="8055" spans="1:5" ht="13">
      <c r="A8055" s="115"/>
      <c r="B8055" s="115"/>
      <c r="C8055" s="115"/>
      <c r="D8055" s="115"/>
      <c r="E8055" s="115"/>
    </row>
    <row r="8056" spans="1:5" ht="13">
      <c r="A8056" s="115"/>
      <c r="B8056" s="115"/>
      <c r="C8056" s="115"/>
      <c r="D8056" s="115"/>
      <c r="E8056" s="115"/>
    </row>
    <row r="8057" spans="1:5" ht="13">
      <c r="A8057" s="115"/>
      <c r="B8057" s="115"/>
      <c r="C8057" s="115"/>
      <c r="D8057" s="115"/>
      <c r="E8057" s="115"/>
    </row>
    <row r="8058" spans="1:5" ht="13">
      <c r="A8058" s="115"/>
      <c r="B8058" s="115"/>
      <c r="C8058" s="115"/>
      <c r="D8058" s="115"/>
      <c r="E8058" s="115"/>
    </row>
    <row r="8059" spans="1:5" ht="13">
      <c r="A8059" s="115"/>
      <c r="B8059" s="115"/>
      <c r="C8059" s="115"/>
      <c r="D8059" s="115"/>
      <c r="E8059" s="115"/>
    </row>
    <row r="8060" spans="1:5" ht="13">
      <c r="A8060" s="115"/>
      <c r="B8060" s="115"/>
      <c r="C8060" s="115"/>
      <c r="D8060" s="115"/>
      <c r="E8060" s="115"/>
    </row>
    <row r="8061" spans="1:5" ht="13">
      <c r="A8061" s="115"/>
      <c r="B8061" s="115"/>
      <c r="C8061" s="115"/>
      <c r="D8061" s="115"/>
      <c r="E8061" s="115"/>
    </row>
    <row r="8062" spans="1:5" ht="13">
      <c r="A8062" s="115"/>
      <c r="B8062" s="115"/>
      <c r="C8062" s="115"/>
      <c r="D8062" s="115"/>
      <c r="E8062" s="115"/>
    </row>
    <row r="8063" spans="1:5" ht="13">
      <c r="A8063" s="115"/>
      <c r="B8063" s="115"/>
      <c r="C8063" s="115"/>
      <c r="D8063" s="115"/>
      <c r="E8063" s="115"/>
    </row>
    <row r="8064" spans="1:5" ht="13">
      <c r="A8064" s="115"/>
      <c r="B8064" s="115"/>
      <c r="C8064" s="115"/>
      <c r="D8064" s="115"/>
      <c r="E8064" s="115"/>
    </row>
    <row r="8065" spans="1:5" ht="13">
      <c r="A8065" s="115"/>
      <c r="B8065" s="115"/>
      <c r="C8065" s="115"/>
      <c r="D8065" s="115"/>
      <c r="E8065" s="115"/>
    </row>
    <row r="8066" spans="1:5" ht="13">
      <c r="A8066" s="115"/>
      <c r="B8066" s="115"/>
      <c r="C8066" s="115"/>
      <c r="D8066" s="115"/>
      <c r="E8066" s="115"/>
    </row>
    <row r="8067" spans="1:5" ht="13">
      <c r="A8067" s="115"/>
      <c r="B8067" s="115"/>
      <c r="C8067" s="115"/>
      <c r="D8067" s="115"/>
      <c r="E8067" s="115"/>
    </row>
    <row r="8068" spans="1:5" ht="13">
      <c r="A8068" s="115"/>
      <c r="B8068" s="115"/>
      <c r="C8068" s="115"/>
      <c r="D8068" s="115"/>
      <c r="E8068" s="115"/>
    </row>
    <row r="8069" spans="1:5" ht="13">
      <c r="A8069" s="115"/>
      <c r="B8069" s="115"/>
      <c r="C8069" s="115"/>
      <c r="D8069" s="115"/>
      <c r="E8069" s="115"/>
    </row>
    <row r="8070" spans="1:5" ht="13">
      <c r="A8070" s="115"/>
      <c r="B8070" s="115"/>
      <c r="C8070" s="115"/>
      <c r="D8070" s="115"/>
      <c r="E8070" s="115"/>
    </row>
    <row r="8071" spans="1:5" ht="13">
      <c r="A8071" s="115"/>
      <c r="B8071" s="115"/>
      <c r="C8071" s="115"/>
      <c r="D8071" s="115"/>
      <c r="E8071" s="115"/>
    </row>
    <row r="8072" spans="1:5" ht="13">
      <c r="A8072" s="115"/>
      <c r="B8072" s="115"/>
      <c r="C8072" s="115"/>
      <c r="D8072" s="115"/>
      <c r="E8072" s="115"/>
    </row>
    <row r="8073" spans="1:5" ht="13">
      <c r="A8073" s="115"/>
      <c r="B8073" s="115"/>
      <c r="C8073" s="115"/>
      <c r="D8073" s="115"/>
      <c r="E8073" s="115"/>
    </row>
    <row r="8074" spans="1:5" ht="13">
      <c r="A8074" s="115"/>
      <c r="B8074" s="115"/>
      <c r="C8074" s="115"/>
      <c r="D8074" s="115"/>
      <c r="E8074" s="115"/>
    </row>
    <row r="8075" spans="1:5" ht="13">
      <c r="A8075" s="115"/>
      <c r="B8075" s="115"/>
      <c r="C8075" s="115"/>
      <c r="D8075" s="115"/>
      <c r="E8075" s="115"/>
    </row>
    <row r="8076" spans="1:5" ht="13">
      <c r="A8076" s="115"/>
      <c r="B8076" s="115"/>
      <c r="C8076" s="115"/>
      <c r="D8076" s="115"/>
      <c r="E8076" s="115"/>
    </row>
    <row r="8077" spans="1:5" ht="13">
      <c r="A8077" s="115"/>
      <c r="B8077" s="115"/>
      <c r="C8077" s="115"/>
      <c r="D8077" s="115"/>
      <c r="E8077" s="115"/>
    </row>
    <row r="8078" spans="1:5" ht="13">
      <c r="A8078" s="115"/>
      <c r="B8078" s="115"/>
      <c r="C8078" s="115"/>
      <c r="D8078" s="115"/>
      <c r="E8078" s="115"/>
    </row>
    <row r="8079" spans="1:5" ht="13">
      <c r="A8079" s="115"/>
      <c r="B8079" s="115"/>
      <c r="C8079" s="115"/>
      <c r="D8079" s="115"/>
      <c r="E8079" s="115"/>
    </row>
    <row r="8080" spans="1:5" ht="13">
      <c r="A8080" s="115"/>
      <c r="B8080" s="115"/>
      <c r="C8080" s="115"/>
      <c r="D8080" s="115"/>
      <c r="E8080" s="115"/>
    </row>
    <row r="8081" spans="1:5" ht="13">
      <c r="A8081" s="115"/>
      <c r="B8081" s="115"/>
      <c r="C8081" s="115"/>
      <c r="D8081" s="115"/>
      <c r="E8081" s="115"/>
    </row>
    <row r="8082" spans="1:5" ht="13">
      <c r="A8082" s="115"/>
      <c r="B8082" s="115"/>
      <c r="C8082" s="115"/>
      <c r="D8082" s="115"/>
      <c r="E8082" s="115"/>
    </row>
    <row r="8083" spans="1:5" ht="13">
      <c r="A8083" s="115"/>
      <c r="B8083" s="115"/>
      <c r="C8083" s="115"/>
      <c r="D8083" s="115"/>
      <c r="E8083" s="115"/>
    </row>
    <row r="8084" spans="1:5" ht="13">
      <c r="A8084" s="115"/>
      <c r="B8084" s="115"/>
      <c r="C8084" s="115"/>
      <c r="D8084" s="115"/>
      <c r="E8084" s="115"/>
    </row>
    <row r="8085" spans="1:5" ht="13">
      <c r="A8085" s="115"/>
      <c r="B8085" s="115"/>
      <c r="C8085" s="115"/>
      <c r="D8085" s="115"/>
      <c r="E8085" s="115"/>
    </row>
    <row r="8086" spans="1:5" ht="13">
      <c r="A8086" s="115"/>
      <c r="B8086" s="115"/>
      <c r="C8086" s="115"/>
      <c r="D8086" s="115"/>
      <c r="E8086" s="115"/>
    </row>
    <row r="8087" spans="1:5" ht="13">
      <c r="A8087" s="115"/>
      <c r="B8087" s="115"/>
      <c r="C8087" s="115"/>
      <c r="D8087" s="115"/>
      <c r="E8087" s="115"/>
    </row>
    <row r="8088" spans="1:5" ht="13">
      <c r="A8088" s="115"/>
      <c r="B8088" s="115"/>
      <c r="C8088" s="115"/>
      <c r="D8088" s="115"/>
      <c r="E8088" s="115"/>
    </row>
    <row r="8089" spans="1:5" ht="13">
      <c r="A8089" s="115"/>
      <c r="B8089" s="115"/>
      <c r="C8089" s="115"/>
      <c r="D8089" s="115"/>
      <c r="E8089" s="115"/>
    </row>
    <row r="8090" spans="1:5" ht="13">
      <c r="A8090" s="115"/>
      <c r="B8090" s="115"/>
      <c r="C8090" s="115"/>
      <c r="D8090" s="115"/>
      <c r="E8090" s="115"/>
    </row>
    <row r="8091" spans="1:5" ht="13">
      <c r="A8091" s="115"/>
      <c r="B8091" s="115"/>
      <c r="C8091" s="115"/>
      <c r="D8091" s="115"/>
      <c r="E8091" s="115"/>
    </row>
    <row r="8092" spans="1:5" ht="13">
      <c r="A8092" s="115"/>
      <c r="B8092" s="115"/>
      <c r="C8092" s="115"/>
      <c r="D8092" s="115"/>
      <c r="E8092" s="115"/>
    </row>
    <row r="8093" spans="1:5" ht="13">
      <c r="A8093" s="115"/>
      <c r="B8093" s="115"/>
      <c r="C8093" s="115"/>
      <c r="D8093" s="115"/>
      <c r="E8093" s="115"/>
    </row>
    <row r="8094" spans="1:5" ht="13">
      <c r="A8094" s="115"/>
      <c r="B8094" s="115"/>
      <c r="C8094" s="115"/>
      <c r="D8094" s="115"/>
      <c r="E8094" s="115"/>
    </row>
    <row r="8095" spans="1:5" ht="13">
      <c r="A8095" s="115"/>
      <c r="B8095" s="115"/>
      <c r="C8095" s="115"/>
      <c r="D8095" s="115"/>
      <c r="E8095" s="115"/>
    </row>
    <row r="8096" spans="1:5" ht="13">
      <c r="A8096" s="115"/>
      <c r="B8096" s="115"/>
      <c r="C8096" s="115"/>
      <c r="D8096" s="115"/>
      <c r="E8096" s="115"/>
    </row>
    <row r="8097" spans="1:5" ht="13">
      <c r="A8097" s="115"/>
      <c r="B8097" s="115"/>
      <c r="C8097" s="115"/>
      <c r="D8097" s="115"/>
      <c r="E8097" s="115"/>
    </row>
    <row r="8098" spans="1:5" ht="13">
      <c r="A8098" s="115"/>
      <c r="B8098" s="115"/>
      <c r="C8098" s="115"/>
      <c r="D8098" s="115"/>
      <c r="E8098" s="115"/>
    </row>
    <row r="8099" spans="1:5" ht="13">
      <c r="A8099" s="115"/>
      <c r="B8099" s="115"/>
      <c r="C8099" s="115"/>
      <c r="D8099" s="115"/>
      <c r="E8099" s="115"/>
    </row>
    <row r="8100" spans="1:5" ht="13">
      <c r="A8100" s="115"/>
      <c r="B8100" s="115"/>
      <c r="C8100" s="115"/>
      <c r="D8100" s="115"/>
      <c r="E8100" s="115"/>
    </row>
    <row r="8101" spans="1:5" ht="13">
      <c r="A8101" s="115"/>
      <c r="B8101" s="115"/>
      <c r="C8101" s="115"/>
      <c r="D8101" s="115"/>
      <c r="E8101" s="115"/>
    </row>
    <row r="8102" spans="1:5" ht="13">
      <c r="A8102" s="115"/>
      <c r="B8102" s="115"/>
      <c r="C8102" s="115"/>
      <c r="D8102" s="115"/>
      <c r="E8102" s="115"/>
    </row>
    <row r="8103" spans="1:5" ht="13">
      <c r="A8103" s="115"/>
      <c r="B8103" s="115"/>
      <c r="C8103" s="115"/>
      <c r="D8103" s="115"/>
      <c r="E8103" s="115"/>
    </row>
    <row r="8104" spans="1:5" ht="13">
      <c r="A8104" s="115"/>
      <c r="B8104" s="115"/>
      <c r="C8104" s="115"/>
      <c r="D8104" s="115"/>
      <c r="E8104" s="115"/>
    </row>
    <row r="8105" spans="1:5" ht="13">
      <c r="A8105" s="115"/>
      <c r="B8105" s="115"/>
      <c r="C8105" s="115"/>
      <c r="D8105" s="115"/>
      <c r="E8105" s="115"/>
    </row>
    <row r="8106" spans="1:5" ht="13">
      <c r="A8106" s="115"/>
      <c r="B8106" s="115"/>
      <c r="C8106" s="115"/>
      <c r="D8106" s="115"/>
      <c r="E8106" s="115"/>
    </row>
    <row r="8107" spans="1:5" ht="13">
      <c r="A8107" s="115"/>
      <c r="B8107" s="115"/>
      <c r="C8107" s="115"/>
      <c r="D8107" s="115"/>
      <c r="E8107" s="115"/>
    </row>
    <row r="8108" spans="1:5" ht="13">
      <c r="A8108" s="115"/>
      <c r="B8108" s="115"/>
      <c r="C8108" s="115"/>
      <c r="D8108" s="115"/>
      <c r="E8108" s="115"/>
    </row>
    <row r="8109" spans="1:5" ht="13">
      <c r="A8109" s="115"/>
      <c r="B8109" s="115"/>
      <c r="C8109" s="115"/>
      <c r="D8109" s="115"/>
      <c r="E8109" s="115"/>
    </row>
    <row r="8110" spans="1:5" ht="13">
      <c r="A8110" s="115"/>
      <c r="B8110" s="115"/>
      <c r="C8110" s="115"/>
      <c r="D8110" s="115"/>
      <c r="E8110" s="115"/>
    </row>
    <row r="8111" spans="1:5" ht="13">
      <c r="A8111" s="115"/>
      <c r="B8111" s="115"/>
      <c r="C8111" s="115"/>
      <c r="D8111" s="115"/>
      <c r="E8111" s="115"/>
    </row>
    <row r="8112" spans="1:5" ht="13">
      <c r="A8112" s="115"/>
      <c r="B8112" s="115"/>
      <c r="C8112" s="115"/>
      <c r="D8112" s="115"/>
      <c r="E8112" s="115"/>
    </row>
    <row r="8113" spans="1:5" ht="13">
      <c r="A8113" s="115"/>
      <c r="B8113" s="115"/>
      <c r="C8113" s="115"/>
      <c r="D8113" s="115"/>
      <c r="E8113" s="115"/>
    </row>
    <row r="8114" spans="1:5" ht="13">
      <c r="A8114" s="115"/>
      <c r="B8114" s="115"/>
      <c r="C8114" s="115"/>
      <c r="D8114" s="115"/>
      <c r="E8114" s="115"/>
    </row>
    <row r="8115" spans="1:5" ht="13">
      <c r="A8115" s="115"/>
      <c r="B8115" s="115"/>
      <c r="C8115" s="115"/>
      <c r="D8115" s="115"/>
      <c r="E8115" s="115"/>
    </row>
    <row r="8116" spans="1:5" ht="13">
      <c r="A8116" s="115"/>
      <c r="B8116" s="115"/>
      <c r="C8116" s="115"/>
      <c r="D8116" s="115"/>
      <c r="E8116" s="115"/>
    </row>
    <row r="8117" spans="1:5" ht="13">
      <c r="A8117" s="115"/>
      <c r="B8117" s="115"/>
      <c r="C8117" s="115"/>
      <c r="D8117" s="115"/>
      <c r="E8117" s="115"/>
    </row>
    <row r="8118" spans="1:5" ht="13">
      <c r="A8118" s="115"/>
      <c r="B8118" s="115"/>
      <c r="C8118" s="115"/>
      <c r="D8118" s="115"/>
      <c r="E8118" s="115"/>
    </row>
    <row r="8119" spans="1:5" ht="13">
      <c r="A8119" s="115"/>
      <c r="B8119" s="115"/>
      <c r="C8119" s="115"/>
      <c r="D8119" s="115"/>
      <c r="E8119" s="115"/>
    </row>
    <row r="8120" spans="1:5" ht="13">
      <c r="A8120" s="115"/>
      <c r="B8120" s="115"/>
      <c r="C8120" s="115"/>
      <c r="D8120" s="115"/>
      <c r="E8120" s="115"/>
    </row>
    <row r="8121" spans="1:5" ht="13">
      <c r="A8121" s="115"/>
      <c r="B8121" s="115"/>
      <c r="C8121" s="115"/>
      <c r="D8121" s="115"/>
      <c r="E8121" s="115"/>
    </row>
    <row r="8122" spans="1:5" ht="13">
      <c r="A8122" s="115"/>
      <c r="B8122" s="115"/>
      <c r="C8122" s="115"/>
      <c r="D8122" s="115"/>
      <c r="E8122" s="115"/>
    </row>
    <row r="8123" spans="1:5" ht="13">
      <c r="A8123" s="115"/>
      <c r="B8123" s="115"/>
      <c r="C8123" s="115"/>
      <c r="D8123" s="115"/>
      <c r="E8123" s="115"/>
    </row>
    <row r="8124" spans="1:5" ht="13">
      <c r="A8124" s="115"/>
      <c r="B8124" s="115"/>
      <c r="C8124" s="115"/>
      <c r="D8124" s="115"/>
      <c r="E8124" s="115"/>
    </row>
    <row r="8125" spans="1:5" ht="13">
      <c r="A8125" s="115"/>
      <c r="B8125" s="115"/>
      <c r="C8125" s="115"/>
      <c r="D8125" s="115"/>
      <c r="E8125" s="115"/>
    </row>
    <row r="8126" spans="1:5" ht="13">
      <c r="A8126" s="115"/>
      <c r="B8126" s="115"/>
      <c r="C8126" s="115"/>
      <c r="D8126" s="115"/>
      <c r="E8126" s="115"/>
    </row>
    <row r="8127" spans="1:5" ht="13">
      <c r="A8127" s="115"/>
      <c r="B8127" s="115"/>
      <c r="C8127" s="115"/>
      <c r="D8127" s="115"/>
      <c r="E8127" s="115"/>
    </row>
    <row r="8128" spans="1:5" ht="13">
      <c r="A8128" s="115"/>
      <c r="B8128" s="115"/>
      <c r="C8128" s="115"/>
      <c r="D8128" s="115"/>
      <c r="E8128" s="115"/>
    </row>
    <row r="8129" spans="1:5" ht="13">
      <c r="A8129" s="115"/>
      <c r="B8129" s="115"/>
      <c r="C8129" s="115"/>
      <c r="D8129" s="115"/>
      <c r="E8129" s="115"/>
    </row>
    <row r="8130" spans="1:5" ht="13">
      <c r="A8130" s="115"/>
      <c r="B8130" s="115"/>
      <c r="C8130" s="115"/>
      <c r="D8130" s="115"/>
      <c r="E8130" s="115"/>
    </row>
    <row r="8131" spans="1:5" ht="13">
      <c r="A8131" s="115"/>
      <c r="B8131" s="115"/>
      <c r="C8131" s="115"/>
      <c r="D8131" s="115"/>
      <c r="E8131" s="115"/>
    </row>
    <row r="8132" spans="1:5" ht="13">
      <c r="A8132" s="115"/>
      <c r="B8132" s="115"/>
      <c r="C8132" s="115"/>
      <c r="D8132" s="115"/>
      <c r="E8132" s="115"/>
    </row>
    <row r="8133" spans="1:5" ht="13">
      <c r="A8133" s="115"/>
      <c r="B8133" s="115"/>
      <c r="C8133" s="115"/>
      <c r="D8133" s="115"/>
      <c r="E8133" s="115"/>
    </row>
    <row r="8134" spans="1:5" ht="13">
      <c r="A8134" s="115"/>
      <c r="B8134" s="115"/>
      <c r="C8134" s="115"/>
      <c r="D8134" s="115"/>
      <c r="E8134" s="115"/>
    </row>
    <row r="8135" spans="1:5" ht="13">
      <c r="A8135" s="115"/>
      <c r="B8135" s="115"/>
      <c r="C8135" s="115"/>
      <c r="D8135" s="115"/>
      <c r="E8135" s="115"/>
    </row>
    <row r="8136" spans="1:5" ht="13">
      <c r="A8136" s="115"/>
      <c r="B8136" s="115"/>
      <c r="C8136" s="115"/>
      <c r="D8136" s="115"/>
      <c r="E8136" s="115"/>
    </row>
    <row r="8137" spans="1:5" ht="13">
      <c r="A8137" s="115"/>
      <c r="B8137" s="115"/>
      <c r="C8137" s="115"/>
      <c r="D8137" s="115"/>
      <c r="E8137" s="115"/>
    </row>
    <row r="8138" spans="1:5" ht="13">
      <c r="A8138" s="115"/>
      <c r="B8138" s="115"/>
      <c r="C8138" s="115"/>
      <c r="D8138" s="115"/>
      <c r="E8138" s="115"/>
    </row>
    <row r="8139" spans="1:5" ht="13">
      <c r="A8139" s="115"/>
      <c r="B8139" s="115"/>
      <c r="C8139" s="115"/>
      <c r="D8139" s="115"/>
      <c r="E8139" s="115"/>
    </row>
    <row r="8140" spans="1:5" ht="13">
      <c r="A8140" s="115"/>
      <c r="B8140" s="115"/>
      <c r="C8140" s="115"/>
      <c r="D8140" s="115"/>
      <c r="E8140" s="115"/>
    </row>
    <row r="8141" spans="1:5" ht="13">
      <c r="A8141" s="115"/>
      <c r="B8141" s="115"/>
      <c r="C8141" s="115"/>
      <c r="D8141" s="115"/>
      <c r="E8141" s="115"/>
    </row>
    <row r="8142" spans="1:5" ht="13">
      <c r="A8142" s="115"/>
      <c r="B8142" s="115"/>
      <c r="C8142" s="115"/>
      <c r="D8142" s="115"/>
      <c r="E8142" s="115"/>
    </row>
    <row r="8143" spans="1:5" ht="13">
      <c r="A8143" s="115"/>
      <c r="B8143" s="115"/>
      <c r="C8143" s="115"/>
      <c r="D8143" s="115"/>
      <c r="E8143" s="115"/>
    </row>
    <row r="8144" spans="1:5" ht="13">
      <c r="A8144" s="115"/>
      <c r="B8144" s="115"/>
      <c r="C8144" s="115"/>
      <c r="D8144" s="115"/>
      <c r="E8144" s="115"/>
    </row>
    <row r="8145" spans="1:5" ht="13">
      <c r="A8145" s="115"/>
      <c r="B8145" s="115"/>
      <c r="C8145" s="115"/>
      <c r="D8145" s="115"/>
      <c r="E8145" s="115"/>
    </row>
    <row r="8146" spans="1:5" ht="13">
      <c r="A8146" s="115"/>
      <c r="B8146" s="115"/>
      <c r="C8146" s="115"/>
      <c r="D8146" s="115"/>
      <c r="E8146" s="115"/>
    </row>
    <row r="8147" spans="1:5" ht="13">
      <c r="A8147" s="115"/>
      <c r="B8147" s="115"/>
      <c r="C8147" s="115"/>
      <c r="D8147" s="115"/>
      <c r="E8147" s="115"/>
    </row>
    <row r="8148" spans="1:5" ht="13">
      <c r="A8148" s="115"/>
      <c r="B8148" s="115"/>
      <c r="C8148" s="115"/>
      <c r="D8148" s="115"/>
      <c r="E8148" s="115"/>
    </row>
    <row r="8149" spans="1:5" ht="13">
      <c r="A8149" s="115"/>
      <c r="B8149" s="115"/>
      <c r="C8149" s="115"/>
      <c r="D8149" s="115"/>
      <c r="E8149" s="115"/>
    </row>
    <row r="8150" spans="1:5" ht="13">
      <c r="A8150" s="115"/>
      <c r="B8150" s="115"/>
      <c r="C8150" s="115"/>
      <c r="D8150" s="115"/>
      <c r="E8150" s="115"/>
    </row>
    <row r="8151" spans="1:5" ht="13">
      <c r="A8151" s="115"/>
      <c r="B8151" s="115"/>
      <c r="C8151" s="115"/>
      <c r="D8151" s="115"/>
      <c r="E8151" s="115"/>
    </row>
    <row r="8152" spans="1:5" ht="13">
      <c r="A8152" s="115"/>
      <c r="B8152" s="115"/>
      <c r="C8152" s="115"/>
      <c r="D8152" s="115"/>
      <c r="E8152" s="115"/>
    </row>
    <row r="8153" spans="1:5" ht="13">
      <c r="A8153" s="115"/>
      <c r="B8153" s="115"/>
      <c r="C8153" s="115"/>
      <c r="D8153" s="115"/>
      <c r="E8153" s="115"/>
    </row>
    <row r="8154" spans="1:5" ht="13">
      <c r="A8154" s="115"/>
      <c r="B8154" s="115"/>
      <c r="C8154" s="115"/>
      <c r="D8154" s="115"/>
      <c r="E8154" s="115"/>
    </row>
    <row r="8155" spans="1:5" ht="13">
      <c r="A8155" s="115"/>
      <c r="B8155" s="115"/>
      <c r="C8155" s="115"/>
      <c r="D8155" s="115"/>
      <c r="E8155" s="115"/>
    </row>
    <row r="8156" spans="1:5" ht="13">
      <c r="A8156" s="115"/>
      <c r="B8156" s="115"/>
      <c r="C8156" s="115"/>
      <c r="D8156" s="115"/>
      <c r="E8156" s="115"/>
    </row>
    <row r="8157" spans="1:5" ht="13">
      <c r="A8157" s="115"/>
      <c r="B8157" s="115"/>
      <c r="C8157" s="115"/>
      <c r="D8157" s="115"/>
      <c r="E8157" s="115"/>
    </row>
    <row r="8158" spans="1:5" ht="13">
      <c r="A8158" s="115"/>
      <c r="B8158" s="115"/>
      <c r="C8158" s="115"/>
      <c r="D8158" s="115"/>
      <c r="E8158" s="115"/>
    </row>
    <row r="8159" spans="1:5" ht="13">
      <c r="A8159" s="115"/>
      <c r="B8159" s="115"/>
      <c r="C8159" s="115"/>
      <c r="D8159" s="115"/>
      <c r="E8159" s="115"/>
    </row>
    <row r="8160" spans="1:5" ht="13">
      <c r="A8160" s="115"/>
      <c r="B8160" s="115"/>
      <c r="C8160" s="115"/>
      <c r="D8160" s="115"/>
      <c r="E8160" s="115"/>
    </row>
    <row r="8161" spans="1:5" ht="13">
      <c r="A8161" s="115"/>
      <c r="B8161" s="115"/>
      <c r="C8161" s="115"/>
      <c r="D8161" s="115"/>
      <c r="E8161" s="115"/>
    </row>
    <row r="8162" spans="1:5" ht="13">
      <c r="A8162" s="115"/>
      <c r="B8162" s="115"/>
      <c r="C8162" s="115"/>
      <c r="D8162" s="115"/>
      <c r="E8162" s="115"/>
    </row>
    <row r="8163" spans="1:5" ht="13">
      <c r="A8163" s="115"/>
      <c r="B8163" s="115"/>
      <c r="C8163" s="115"/>
      <c r="D8163" s="115"/>
      <c r="E8163" s="115"/>
    </row>
    <row r="8164" spans="1:5" ht="13">
      <c r="A8164" s="115"/>
      <c r="B8164" s="115"/>
      <c r="C8164" s="115"/>
      <c r="D8164" s="115"/>
      <c r="E8164" s="115"/>
    </row>
    <row r="8165" spans="1:5" ht="13">
      <c r="A8165" s="115"/>
      <c r="B8165" s="115"/>
      <c r="C8165" s="115"/>
      <c r="D8165" s="115"/>
      <c r="E8165" s="115"/>
    </row>
    <row r="8166" spans="1:5" ht="13">
      <c r="A8166" s="115"/>
      <c r="B8166" s="115"/>
      <c r="C8166" s="115"/>
      <c r="D8166" s="115"/>
      <c r="E8166" s="115"/>
    </row>
    <row r="8167" spans="1:5" ht="13">
      <c r="A8167" s="115"/>
      <c r="B8167" s="115"/>
      <c r="C8167" s="115"/>
      <c r="D8167" s="115"/>
      <c r="E8167" s="115"/>
    </row>
    <row r="8168" spans="1:5" ht="13">
      <c r="A8168" s="115"/>
      <c r="B8168" s="115"/>
      <c r="C8168" s="115"/>
      <c r="D8168" s="115"/>
      <c r="E8168" s="115"/>
    </row>
    <row r="8169" spans="1:5" ht="13">
      <c r="A8169" s="115"/>
      <c r="B8169" s="115"/>
      <c r="C8169" s="115"/>
      <c r="D8169" s="115"/>
      <c r="E8169" s="115"/>
    </row>
    <row r="8170" spans="1:5" ht="13">
      <c r="A8170" s="115"/>
      <c r="B8170" s="115"/>
      <c r="C8170" s="115"/>
      <c r="D8170" s="115"/>
      <c r="E8170" s="115"/>
    </row>
    <row r="8171" spans="1:5" ht="13">
      <c r="A8171" s="115"/>
      <c r="B8171" s="115"/>
      <c r="C8171" s="115"/>
      <c r="D8171" s="115"/>
      <c r="E8171" s="115"/>
    </row>
    <row r="8172" spans="1:5" ht="13">
      <c r="A8172" s="115"/>
      <c r="B8172" s="115"/>
      <c r="C8172" s="115"/>
      <c r="D8172" s="115"/>
      <c r="E8172" s="115"/>
    </row>
    <row r="8173" spans="1:5" ht="13">
      <c r="A8173" s="115"/>
      <c r="B8173" s="115"/>
      <c r="C8173" s="115"/>
      <c r="D8173" s="115"/>
      <c r="E8173" s="115"/>
    </row>
    <row r="8174" spans="1:5" ht="13">
      <c r="A8174" s="115"/>
      <c r="B8174" s="115"/>
      <c r="C8174" s="115"/>
      <c r="D8174" s="115"/>
      <c r="E8174" s="115"/>
    </row>
    <row r="8175" spans="1:5" ht="13">
      <c r="A8175" s="115"/>
      <c r="B8175" s="115"/>
      <c r="C8175" s="115"/>
      <c r="D8175" s="115"/>
      <c r="E8175" s="115"/>
    </row>
    <row r="8176" spans="1:5" ht="13">
      <c r="A8176" s="115"/>
      <c r="B8176" s="115"/>
      <c r="C8176" s="115"/>
      <c r="D8176" s="115"/>
      <c r="E8176" s="115"/>
    </row>
    <row r="8177" spans="1:5" ht="13">
      <c r="A8177" s="115"/>
      <c r="B8177" s="115"/>
      <c r="C8177" s="115"/>
      <c r="D8177" s="115"/>
      <c r="E8177" s="115"/>
    </row>
    <row r="8178" spans="1:5" ht="13">
      <c r="A8178" s="115"/>
      <c r="B8178" s="115"/>
      <c r="C8178" s="115"/>
      <c r="D8178" s="115"/>
      <c r="E8178" s="115"/>
    </row>
    <row r="8179" spans="1:5" ht="13">
      <c r="A8179" s="115"/>
      <c r="B8179" s="115"/>
      <c r="C8179" s="115"/>
      <c r="D8179" s="115"/>
      <c r="E8179" s="115"/>
    </row>
    <row r="8180" spans="1:5" ht="13">
      <c r="A8180" s="115"/>
      <c r="B8180" s="115"/>
      <c r="C8180" s="115"/>
      <c r="D8180" s="115"/>
      <c r="E8180" s="115"/>
    </row>
    <row r="8181" spans="1:5" ht="13">
      <c r="A8181" s="115"/>
      <c r="B8181" s="115"/>
      <c r="C8181" s="115"/>
      <c r="D8181" s="115"/>
      <c r="E8181" s="115"/>
    </row>
    <row r="8182" spans="1:5" ht="13">
      <c r="A8182" s="115"/>
      <c r="B8182" s="115"/>
      <c r="C8182" s="115"/>
      <c r="D8182" s="115"/>
      <c r="E8182" s="115"/>
    </row>
    <row r="8183" spans="1:5" ht="13">
      <c r="A8183" s="115"/>
      <c r="B8183" s="115"/>
      <c r="C8183" s="115"/>
      <c r="D8183" s="115"/>
      <c r="E8183" s="115"/>
    </row>
    <row r="8184" spans="1:5" ht="13">
      <c r="A8184" s="115"/>
      <c r="B8184" s="115"/>
      <c r="C8184" s="115"/>
      <c r="D8184" s="115"/>
      <c r="E8184" s="115"/>
    </row>
    <row r="8185" spans="1:5" ht="13">
      <c r="A8185" s="115"/>
      <c r="B8185" s="115"/>
      <c r="C8185" s="115"/>
      <c r="D8185" s="115"/>
      <c r="E8185" s="115"/>
    </row>
    <row r="8186" spans="1:5" ht="13">
      <c r="A8186" s="115"/>
      <c r="B8186" s="115"/>
      <c r="C8186" s="115"/>
      <c r="D8186" s="115"/>
      <c r="E8186" s="115"/>
    </row>
    <row r="8187" spans="1:5" ht="13">
      <c r="A8187" s="115"/>
      <c r="B8187" s="115"/>
      <c r="C8187" s="115"/>
      <c r="D8187" s="115"/>
      <c r="E8187" s="115"/>
    </row>
    <row r="8188" spans="1:5" ht="13">
      <c r="A8188" s="115"/>
      <c r="B8188" s="115"/>
      <c r="C8188" s="115"/>
      <c r="D8188" s="115"/>
      <c r="E8188" s="115"/>
    </row>
    <row r="8189" spans="1:5" ht="13">
      <c r="A8189" s="115"/>
      <c r="B8189" s="115"/>
      <c r="C8189" s="115"/>
      <c r="D8189" s="115"/>
      <c r="E8189" s="115"/>
    </row>
    <row r="8190" spans="1:5" ht="13">
      <c r="A8190" s="115"/>
      <c r="B8190" s="115"/>
      <c r="C8190" s="115"/>
      <c r="D8190" s="115"/>
      <c r="E8190" s="115"/>
    </row>
    <row r="8191" spans="1:5" ht="13">
      <c r="A8191" s="115"/>
      <c r="B8191" s="115"/>
      <c r="C8191" s="115"/>
      <c r="D8191" s="115"/>
      <c r="E8191" s="115"/>
    </row>
    <row r="8192" spans="1:5" ht="13">
      <c r="A8192" s="115"/>
      <c r="B8192" s="115"/>
      <c r="C8192" s="115"/>
      <c r="D8192" s="115"/>
      <c r="E8192" s="115"/>
    </row>
    <row r="8193" spans="1:5" ht="13">
      <c r="A8193" s="115"/>
      <c r="B8193" s="115"/>
      <c r="C8193" s="115"/>
      <c r="D8193" s="115"/>
      <c r="E8193" s="115"/>
    </row>
    <row r="8194" spans="1:5" ht="13">
      <c r="A8194" s="115"/>
      <c r="B8194" s="115"/>
      <c r="C8194" s="115"/>
      <c r="D8194" s="115"/>
      <c r="E8194" s="115"/>
    </row>
    <row r="8195" spans="1:5" ht="13">
      <c r="A8195" s="115"/>
      <c r="B8195" s="115"/>
      <c r="C8195" s="115"/>
      <c r="D8195" s="115"/>
      <c r="E8195" s="115"/>
    </row>
    <row r="8196" spans="1:5" ht="13">
      <c r="A8196" s="115"/>
      <c r="B8196" s="115"/>
      <c r="C8196" s="115"/>
      <c r="D8196" s="115"/>
      <c r="E8196" s="115"/>
    </row>
    <row r="8197" spans="1:5" ht="13">
      <c r="A8197" s="115"/>
      <c r="B8197" s="115"/>
      <c r="C8197" s="115"/>
      <c r="D8197" s="115"/>
      <c r="E8197" s="115"/>
    </row>
    <row r="8198" spans="1:5" ht="13">
      <c r="A8198" s="115"/>
      <c r="B8198" s="115"/>
      <c r="C8198" s="115"/>
      <c r="D8198" s="115"/>
      <c r="E8198" s="115"/>
    </row>
    <row r="8199" spans="1:5" ht="13">
      <c r="A8199" s="115"/>
      <c r="B8199" s="115"/>
      <c r="C8199" s="115"/>
      <c r="D8199" s="115"/>
      <c r="E8199" s="115"/>
    </row>
    <row r="8200" spans="1:5" ht="13">
      <c r="A8200" s="115"/>
      <c r="B8200" s="115"/>
      <c r="C8200" s="115"/>
      <c r="D8200" s="115"/>
      <c r="E8200" s="115"/>
    </row>
    <row r="8201" spans="1:5" ht="13">
      <c r="A8201" s="115"/>
      <c r="B8201" s="115"/>
      <c r="C8201" s="115"/>
      <c r="D8201" s="115"/>
      <c r="E8201" s="115"/>
    </row>
    <row r="8202" spans="1:5" ht="13">
      <c r="A8202" s="115"/>
      <c r="B8202" s="115"/>
      <c r="C8202" s="115"/>
      <c r="D8202" s="115"/>
      <c r="E8202" s="115"/>
    </row>
    <row r="8203" spans="1:5" ht="13">
      <c r="A8203" s="115"/>
      <c r="B8203" s="115"/>
      <c r="C8203" s="115"/>
      <c r="D8203" s="115"/>
      <c r="E8203" s="115"/>
    </row>
    <row r="8204" spans="1:5" ht="13">
      <c r="A8204" s="115"/>
      <c r="B8204" s="115"/>
      <c r="C8204" s="115"/>
      <c r="D8204" s="115"/>
      <c r="E8204" s="115"/>
    </row>
    <row r="8205" spans="1:5" ht="13">
      <c r="A8205" s="115"/>
      <c r="B8205" s="115"/>
      <c r="C8205" s="115"/>
      <c r="D8205" s="115"/>
      <c r="E8205" s="115"/>
    </row>
    <row r="8206" spans="1:5" ht="13">
      <c r="A8206" s="115"/>
      <c r="B8206" s="115"/>
      <c r="C8206" s="115"/>
      <c r="D8206" s="115"/>
      <c r="E8206" s="115"/>
    </row>
    <row r="8207" spans="1:5" ht="13">
      <c r="A8207" s="115"/>
      <c r="B8207" s="115"/>
      <c r="C8207" s="115"/>
      <c r="D8207" s="115"/>
      <c r="E8207" s="115"/>
    </row>
    <row r="8208" spans="1:5" ht="13">
      <c r="A8208" s="115"/>
      <c r="B8208" s="115"/>
      <c r="C8208" s="115"/>
      <c r="D8208" s="115"/>
      <c r="E8208" s="115"/>
    </row>
    <row r="8209" spans="1:5" ht="13">
      <c r="A8209" s="115"/>
      <c r="B8209" s="115"/>
      <c r="C8209" s="115"/>
      <c r="D8209" s="115"/>
      <c r="E8209" s="115"/>
    </row>
    <row r="8210" spans="1:5" ht="13">
      <c r="A8210" s="115"/>
      <c r="B8210" s="115"/>
      <c r="C8210" s="115"/>
      <c r="D8210" s="115"/>
      <c r="E8210" s="115"/>
    </row>
    <row r="8211" spans="1:5" ht="13">
      <c r="A8211" s="115"/>
      <c r="B8211" s="115"/>
      <c r="C8211" s="115"/>
      <c r="D8211" s="115"/>
      <c r="E8211" s="115"/>
    </row>
    <row r="8212" spans="1:5" ht="13">
      <c r="A8212" s="115"/>
      <c r="B8212" s="115"/>
      <c r="C8212" s="115"/>
      <c r="D8212" s="115"/>
      <c r="E8212" s="115"/>
    </row>
    <row r="8213" spans="1:5" ht="13">
      <c r="A8213" s="115"/>
      <c r="B8213" s="115"/>
      <c r="C8213" s="115"/>
      <c r="D8213" s="115"/>
      <c r="E8213" s="115"/>
    </row>
    <row r="8214" spans="1:5" ht="13">
      <c r="A8214" s="115"/>
      <c r="B8214" s="115"/>
      <c r="C8214" s="115"/>
      <c r="D8214" s="115"/>
      <c r="E8214" s="115"/>
    </row>
    <row r="8215" spans="1:5" ht="13">
      <c r="A8215" s="115"/>
      <c r="B8215" s="115"/>
      <c r="C8215" s="115"/>
      <c r="D8215" s="115"/>
      <c r="E8215" s="115"/>
    </row>
    <row r="8216" spans="1:5" ht="13">
      <c r="A8216" s="115"/>
      <c r="B8216" s="115"/>
      <c r="C8216" s="115"/>
      <c r="D8216" s="115"/>
      <c r="E8216" s="115"/>
    </row>
    <row r="8217" spans="1:5" ht="13">
      <c r="A8217" s="115"/>
      <c r="B8217" s="115"/>
      <c r="C8217" s="115"/>
      <c r="D8217" s="115"/>
      <c r="E8217" s="115"/>
    </row>
    <row r="8218" spans="1:5" ht="13">
      <c r="A8218" s="115"/>
      <c r="B8218" s="115"/>
      <c r="C8218" s="115"/>
      <c r="D8218" s="115"/>
      <c r="E8218" s="115"/>
    </row>
    <row r="8219" spans="1:5" ht="13">
      <c r="A8219" s="115"/>
      <c r="B8219" s="115"/>
      <c r="C8219" s="115"/>
      <c r="D8219" s="115"/>
      <c r="E8219" s="115"/>
    </row>
    <row r="8220" spans="1:5" ht="13">
      <c r="A8220" s="115"/>
      <c r="B8220" s="115"/>
      <c r="C8220" s="115"/>
      <c r="D8220" s="115"/>
      <c r="E8220" s="115"/>
    </row>
    <row r="8221" spans="1:5" ht="13">
      <c r="A8221" s="115"/>
      <c r="B8221" s="115"/>
      <c r="C8221" s="115"/>
      <c r="D8221" s="115"/>
      <c r="E8221" s="115"/>
    </row>
    <row r="8222" spans="1:5" ht="13">
      <c r="A8222" s="115"/>
      <c r="B8222" s="115"/>
      <c r="C8222" s="115"/>
      <c r="D8222" s="115"/>
      <c r="E8222" s="115"/>
    </row>
    <row r="8223" spans="1:5" ht="13">
      <c r="A8223" s="115"/>
      <c r="B8223" s="115"/>
      <c r="C8223" s="115"/>
      <c r="D8223" s="115"/>
      <c r="E8223" s="115"/>
    </row>
    <row r="8224" spans="1:5" ht="13">
      <c r="A8224" s="115"/>
      <c r="B8224" s="115"/>
      <c r="C8224" s="115"/>
      <c r="D8224" s="115"/>
      <c r="E8224" s="115"/>
    </row>
    <row r="8225" spans="1:5" ht="13">
      <c r="A8225" s="115"/>
      <c r="B8225" s="115"/>
      <c r="C8225" s="115"/>
      <c r="D8225" s="115"/>
      <c r="E8225" s="115"/>
    </row>
    <row r="8226" spans="1:5" ht="13">
      <c r="A8226" s="115"/>
      <c r="B8226" s="115"/>
      <c r="C8226" s="115"/>
      <c r="D8226" s="115"/>
      <c r="E8226" s="115"/>
    </row>
    <row r="8227" spans="1:5" ht="13">
      <c r="A8227" s="115"/>
      <c r="B8227" s="115"/>
      <c r="C8227" s="115"/>
      <c r="D8227" s="115"/>
      <c r="E8227" s="115"/>
    </row>
    <row r="8228" spans="1:5" ht="13">
      <c r="A8228" s="115"/>
      <c r="B8228" s="115"/>
      <c r="C8228" s="115"/>
      <c r="D8228" s="115"/>
      <c r="E8228" s="115"/>
    </row>
    <row r="8229" spans="1:5" ht="13">
      <c r="A8229" s="115"/>
      <c r="B8229" s="115"/>
      <c r="C8229" s="115"/>
      <c r="D8229" s="115"/>
      <c r="E8229" s="115"/>
    </row>
    <row r="8230" spans="1:5" ht="13">
      <c r="A8230" s="115"/>
      <c r="B8230" s="115"/>
      <c r="C8230" s="115"/>
      <c r="D8230" s="115"/>
      <c r="E8230" s="115"/>
    </row>
    <row r="8231" spans="1:5" ht="13">
      <c r="A8231" s="115"/>
      <c r="B8231" s="115"/>
      <c r="C8231" s="115"/>
      <c r="D8231" s="115"/>
      <c r="E8231" s="115"/>
    </row>
    <row r="8232" spans="1:5" ht="13">
      <c r="A8232" s="115"/>
      <c r="B8232" s="115"/>
      <c r="C8232" s="115"/>
      <c r="D8232" s="115"/>
      <c r="E8232" s="115"/>
    </row>
    <row r="8233" spans="1:5" ht="13">
      <c r="A8233" s="115"/>
      <c r="B8233" s="115"/>
      <c r="C8233" s="115"/>
      <c r="D8233" s="115"/>
      <c r="E8233" s="115"/>
    </row>
    <row r="8234" spans="1:5" ht="13">
      <c r="A8234" s="115"/>
      <c r="B8234" s="115"/>
      <c r="C8234" s="115"/>
      <c r="D8234" s="115"/>
      <c r="E8234" s="115"/>
    </row>
    <row r="8235" spans="1:5" ht="13">
      <c r="A8235" s="115"/>
      <c r="B8235" s="115"/>
      <c r="C8235" s="115"/>
      <c r="D8235" s="115"/>
      <c r="E8235" s="115"/>
    </row>
    <row r="8236" spans="1:5" ht="13">
      <c r="A8236" s="115"/>
      <c r="B8236" s="115"/>
      <c r="C8236" s="115"/>
      <c r="D8236" s="115"/>
      <c r="E8236" s="115"/>
    </row>
    <row r="8237" spans="1:5" ht="13">
      <c r="A8237" s="115"/>
      <c r="B8237" s="115"/>
      <c r="C8237" s="115"/>
      <c r="D8237" s="115"/>
      <c r="E8237" s="115"/>
    </row>
    <row r="8238" spans="1:5" ht="13">
      <c r="A8238" s="115"/>
      <c r="B8238" s="115"/>
      <c r="C8238" s="115"/>
      <c r="D8238" s="115"/>
      <c r="E8238" s="115"/>
    </row>
    <row r="8239" spans="1:5" ht="13">
      <c r="A8239" s="115"/>
      <c r="B8239" s="115"/>
      <c r="C8239" s="115"/>
      <c r="D8239" s="115"/>
      <c r="E8239" s="115"/>
    </row>
    <row r="8240" spans="1:5" ht="13">
      <c r="A8240" s="115"/>
      <c r="B8240" s="115"/>
      <c r="C8240" s="115"/>
      <c r="D8240" s="115"/>
      <c r="E8240" s="115"/>
    </row>
    <row r="8241" spans="1:5" ht="13">
      <c r="A8241" s="115"/>
      <c r="B8241" s="115"/>
      <c r="C8241" s="115"/>
      <c r="D8241" s="115"/>
      <c r="E8241" s="115"/>
    </row>
    <row r="8242" spans="1:5" ht="13">
      <c r="A8242" s="115"/>
      <c r="B8242" s="115"/>
      <c r="C8242" s="115"/>
      <c r="D8242" s="115"/>
      <c r="E8242" s="115"/>
    </row>
    <row r="8243" spans="1:5" ht="13">
      <c r="A8243" s="115"/>
      <c r="B8243" s="115"/>
      <c r="C8243" s="115"/>
      <c r="D8243" s="115"/>
      <c r="E8243" s="115"/>
    </row>
    <row r="8244" spans="1:5" ht="13">
      <c r="A8244" s="115"/>
      <c r="B8244" s="115"/>
      <c r="C8244" s="115"/>
      <c r="D8244" s="115"/>
      <c r="E8244" s="115"/>
    </row>
    <row r="8245" spans="1:5" ht="13">
      <c r="A8245" s="115"/>
      <c r="B8245" s="115"/>
      <c r="C8245" s="115"/>
      <c r="D8245" s="115"/>
      <c r="E8245" s="115"/>
    </row>
    <row r="8246" spans="1:5" ht="13">
      <c r="A8246" s="115"/>
      <c r="B8246" s="115"/>
      <c r="C8246" s="115"/>
      <c r="D8246" s="115"/>
      <c r="E8246" s="115"/>
    </row>
    <row r="8247" spans="1:5" ht="13">
      <c r="A8247" s="115"/>
      <c r="B8247" s="115"/>
      <c r="C8247" s="115"/>
      <c r="D8247" s="115"/>
      <c r="E8247" s="115"/>
    </row>
    <row r="8248" spans="1:5" ht="13">
      <c r="A8248" s="115"/>
      <c r="B8248" s="115"/>
      <c r="C8248" s="115"/>
      <c r="D8248" s="115"/>
      <c r="E8248" s="115"/>
    </row>
    <row r="8249" spans="1:5" ht="13">
      <c r="A8249" s="115"/>
      <c r="B8249" s="115"/>
      <c r="C8249" s="115"/>
      <c r="D8249" s="115"/>
      <c r="E8249" s="115"/>
    </row>
    <row r="8250" spans="1:5" ht="13">
      <c r="A8250" s="115"/>
      <c r="B8250" s="115"/>
      <c r="C8250" s="115"/>
      <c r="D8250" s="115"/>
      <c r="E8250" s="115"/>
    </row>
    <row r="8251" spans="1:5" ht="13">
      <c r="A8251" s="115"/>
      <c r="B8251" s="115"/>
      <c r="C8251" s="115"/>
      <c r="D8251" s="115"/>
      <c r="E8251" s="115"/>
    </row>
    <row r="8252" spans="1:5" ht="13">
      <c r="A8252" s="115"/>
      <c r="B8252" s="115"/>
      <c r="C8252" s="115"/>
      <c r="D8252" s="115"/>
      <c r="E8252" s="115"/>
    </row>
    <row r="8253" spans="1:5" ht="13">
      <c r="A8253" s="115"/>
      <c r="B8253" s="115"/>
      <c r="C8253" s="115"/>
      <c r="D8253" s="115"/>
      <c r="E8253" s="115"/>
    </row>
    <row r="8254" spans="1:5" ht="13">
      <c r="A8254" s="115"/>
      <c r="B8254" s="115"/>
      <c r="C8254" s="115"/>
      <c r="D8254" s="115"/>
      <c r="E8254" s="115"/>
    </row>
    <row r="8255" spans="1:5" ht="13">
      <c r="A8255" s="115"/>
      <c r="B8255" s="115"/>
      <c r="C8255" s="115"/>
      <c r="D8255" s="115"/>
      <c r="E8255" s="115"/>
    </row>
    <row r="8256" spans="1:5" ht="13">
      <c r="A8256" s="115"/>
      <c r="B8256" s="115"/>
      <c r="C8256" s="115"/>
      <c r="D8256" s="115"/>
      <c r="E8256" s="115"/>
    </row>
    <row r="8257" spans="1:5" ht="13">
      <c r="A8257" s="115"/>
      <c r="B8257" s="115"/>
      <c r="C8257" s="115"/>
      <c r="D8257" s="115"/>
      <c r="E8257" s="115"/>
    </row>
    <row r="8258" spans="1:5" ht="13">
      <c r="A8258" s="115"/>
      <c r="B8258" s="115"/>
      <c r="C8258" s="115"/>
      <c r="D8258" s="115"/>
      <c r="E8258" s="115"/>
    </row>
    <row r="8259" spans="1:5" ht="13">
      <c r="A8259" s="115"/>
      <c r="B8259" s="115"/>
      <c r="C8259" s="115"/>
      <c r="D8259" s="115"/>
      <c r="E8259" s="115"/>
    </row>
    <row r="8260" spans="1:5" ht="13">
      <c r="A8260" s="115"/>
      <c r="B8260" s="115"/>
      <c r="C8260" s="115"/>
      <c r="D8260" s="115"/>
      <c r="E8260" s="115"/>
    </row>
    <row r="8261" spans="1:5" ht="13">
      <c r="A8261" s="115"/>
      <c r="B8261" s="115"/>
      <c r="C8261" s="115"/>
      <c r="D8261" s="115"/>
      <c r="E8261" s="115"/>
    </row>
    <row r="8262" spans="1:5" ht="13">
      <c r="A8262" s="115"/>
      <c r="B8262" s="115"/>
      <c r="C8262" s="115"/>
      <c r="D8262" s="115"/>
      <c r="E8262" s="115"/>
    </row>
    <row r="8263" spans="1:5" ht="13">
      <c r="A8263" s="115"/>
      <c r="B8263" s="115"/>
      <c r="C8263" s="115"/>
      <c r="D8263" s="115"/>
      <c r="E8263" s="115"/>
    </row>
    <row r="8264" spans="1:5" ht="13">
      <c r="A8264" s="115"/>
      <c r="B8264" s="115"/>
      <c r="C8264" s="115"/>
      <c r="D8264" s="115"/>
      <c r="E8264" s="115"/>
    </row>
    <row r="8265" spans="1:5" ht="13">
      <c r="A8265" s="115"/>
      <c r="B8265" s="115"/>
      <c r="C8265" s="115"/>
      <c r="D8265" s="115"/>
      <c r="E8265" s="115"/>
    </row>
    <row r="8266" spans="1:5" ht="13">
      <c r="A8266" s="115"/>
      <c r="B8266" s="115"/>
      <c r="C8266" s="115"/>
      <c r="D8266" s="115"/>
      <c r="E8266" s="115"/>
    </row>
    <row r="8267" spans="1:5" ht="13">
      <c r="A8267" s="115"/>
      <c r="B8267" s="115"/>
      <c r="C8267" s="115"/>
      <c r="D8267" s="115"/>
      <c r="E8267" s="115"/>
    </row>
    <row r="8268" spans="1:5" ht="13">
      <c r="A8268" s="115"/>
      <c r="B8268" s="115"/>
      <c r="C8268" s="115"/>
      <c r="D8268" s="115"/>
      <c r="E8268" s="115"/>
    </row>
    <row r="8269" spans="1:5" ht="13">
      <c r="A8269" s="115"/>
      <c r="B8269" s="115"/>
      <c r="C8269" s="115"/>
      <c r="D8269" s="115"/>
      <c r="E8269" s="115"/>
    </row>
    <row r="8270" spans="1:5" ht="13">
      <c r="A8270" s="115"/>
      <c r="B8270" s="115"/>
      <c r="C8270" s="115"/>
      <c r="D8270" s="115"/>
      <c r="E8270" s="115"/>
    </row>
    <row r="8271" spans="1:5" ht="13">
      <c r="A8271" s="115"/>
      <c r="B8271" s="115"/>
      <c r="C8271" s="115"/>
      <c r="D8271" s="115"/>
      <c r="E8271" s="115"/>
    </row>
    <row r="8272" spans="1:5" ht="13">
      <c r="A8272" s="115"/>
      <c r="B8272" s="115"/>
      <c r="C8272" s="115"/>
      <c r="D8272" s="115"/>
      <c r="E8272" s="115"/>
    </row>
    <row r="8273" spans="1:5" ht="13">
      <c r="A8273" s="115"/>
      <c r="B8273" s="115"/>
      <c r="C8273" s="115"/>
      <c r="D8273" s="115"/>
      <c r="E8273" s="115"/>
    </row>
    <row r="8274" spans="1:5" ht="13">
      <c r="A8274" s="115"/>
      <c r="B8274" s="115"/>
      <c r="C8274" s="115"/>
      <c r="D8274" s="115"/>
      <c r="E8274" s="115"/>
    </row>
    <row r="8275" spans="1:5" ht="13">
      <c r="A8275" s="115"/>
      <c r="B8275" s="115"/>
      <c r="C8275" s="115"/>
      <c r="D8275" s="115"/>
      <c r="E8275" s="115"/>
    </row>
    <row r="8276" spans="1:5" ht="13">
      <c r="A8276" s="115"/>
      <c r="B8276" s="115"/>
      <c r="C8276" s="115"/>
      <c r="D8276" s="115"/>
      <c r="E8276" s="115"/>
    </row>
    <row r="8277" spans="1:5" ht="13">
      <c r="A8277" s="115"/>
      <c r="B8277" s="115"/>
      <c r="C8277" s="115"/>
      <c r="D8277" s="115"/>
      <c r="E8277" s="115"/>
    </row>
    <row r="8278" spans="1:5" ht="13">
      <c r="A8278" s="115"/>
      <c r="B8278" s="115"/>
      <c r="C8278" s="115"/>
      <c r="D8278" s="115"/>
      <c r="E8278" s="115"/>
    </row>
    <row r="8279" spans="1:5" ht="13">
      <c r="A8279" s="115"/>
      <c r="B8279" s="115"/>
      <c r="C8279" s="115"/>
      <c r="D8279" s="115"/>
      <c r="E8279" s="115"/>
    </row>
    <row r="8280" spans="1:5" ht="13">
      <c r="A8280" s="115"/>
      <c r="B8280" s="115"/>
      <c r="C8280" s="115"/>
      <c r="D8280" s="115"/>
      <c r="E8280" s="115"/>
    </row>
    <row r="8281" spans="1:5" ht="13">
      <c r="A8281" s="115"/>
      <c r="B8281" s="115"/>
      <c r="C8281" s="115"/>
      <c r="D8281" s="115"/>
      <c r="E8281" s="115"/>
    </row>
    <row r="8282" spans="1:5" ht="13">
      <c r="A8282" s="115"/>
      <c r="B8282" s="115"/>
      <c r="C8282" s="115"/>
      <c r="D8282" s="115"/>
      <c r="E8282" s="115"/>
    </row>
    <row r="8283" spans="1:5" ht="13">
      <c r="A8283" s="115"/>
      <c r="B8283" s="115"/>
      <c r="C8283" s="115"/>
      <c r="D8283" s="115"/>
      <c r="E8283" s="115"/>
    </row>
    <row r="8284" spans="1:5" ht="13">
      <c r="A8284" s="115"/>
      <c r="B8284" s="115"/>
      <c r="C8284" s="115"/>
      <c r="D8284" s="115"/>
      <c r="E8284" s="115"/>
    </row>
    <row r="8285" spans="1:5" ht="13">
      <c r="A8285" s="115"/>
      <c r="B8285" s="115"/>
      <c r="C8285" s="115"/>
      <c r="D8285" s="115"/>
      <c r="E8285" s="115"/>
    </row>
    <row r="8286" spans="1:5" ht="13">
      <c r="A8286" s="115"/>
      <c r="B8286" s="115"/>
      <c r="C8286" s="115"/>
      <c r="D8286" s="115"/>
      <c r="E8286" s="115"/>
    </row>
    <row r="8287" spans="1:5" ht="13">
      <c r="A8287" s="115"/>
      <c r="B8287" s="115"/>
      <c r="C8287" s="115"/>
      <c r="D8287" s="115"/>
      <c r="E8287" s="115"/>
    </row>
    <row r="8288" spans="1:5" ht="13">
      <c r="A8288" s="115"/>
      <c r="B8288" s="115"/>
      <c r="C8288" s="115"/>
      <c r="D8288" s="115"/>
      <c r="E8288" s="115"/>
    </row>
    <row r="8289" spans="1:5" ht="13">
      <c r="A8289" s="115"/>
      <c r="B8289" s="115"/>
      <c r="C8289" s="115"/>
      <c r="D8289" s="115"/>
      <c r="E8289" s="115"/>
    </row>
    <row r="8290" spans="1:5" ht="13">
      <c r="A8290" s="115"/>
      <c r="B8290" s="115"/>
      <c r="C8290" s="115"/>
      <c r="D8290" s="115"/>
      <c r="E8290" s="115"/>
    </row>
    <row r="8291" spans="1:5" ht="13">
      <c r="A8291" s="115"/>
      <c r="B8291" s="115"/>
      <c r="C8291" s="115"/>
      <c r="D8291" s="115"/>
      <c r="E8291" s="115"/>
    </row>
    <row r="8292" spans="1:5" ht="13">
      <c r="A8292" s="115"/>
      <c r="B8292" s="115"/>
      <c r="C8292" s="115"/>
      <c r="D8292" s="115"/>
      <c r="E8292" s="115"/>
    </row>
    <row r="8293" spans="1:5" ht="13">
      <c r="A8293" s="115"/>
      <c r="B8293" s="115"/>
      <c r="C8293" s="115"/>
      <c r="D8293" s="115"/>
      <c r="E8293" s="115"/>
    </row>
    <row r="8294" spans="1:5" ht="13">
      <c r="A8294" s="115"/>
      <c r="B8294" s="115"/>
      <c r="C8294" s="115"/>
      <c r="D8294" s="115"/>
      <c r="E8294" s="115"/>
    </row>
    <row r="8295" spans="1:5" ht="13">
      <c r="A8295" s="115"/>
      <c r="B8295" s="115"/>
      <c r="C8295" s="115"/>
      <c r="D8295" s="115"/>
      <c r="E8295" s="115"/>
    </row>
    <row r="8296" spans="1:5" ht="13">
      <c r="A8296" s="115"/>
      <c r="B8296" s="115"/>
      <c r="C8296" s="115"/>
      <c r="D8296" s="115"/>
      <c r="E8296" s="115"/>
    </row>
    <row r="8297" spans="1:5" ht="13">
      <c r="A8297" s="115"/>
      <c r="B8297" s="115"/>
      <c r="C8297" s="115"/>
      <c r="D8297" s="115"/>
      <c r="E8297" s="115"/>
    </row>
    <row r="8298" spans="1:5" ht="13">
      <c r="A8298" s="115"/>
      <c r="B8298" s="115"/>
      <c r="C8298" s="115"/>
      <c r="D8298" s="115"/>
      <c r="E8298" s="115"/>
    </row>
    <row r="8299" spans="1:5" ht="13">
      <c r="A8299" s="115"/>
      <c r="B8299" s="115"/>
      <c r="C8299" s="115"/>
      <c r="D8299" s="115"/>
      <c r="E8299" s="115"/>
    </row>
    <row r="8300" spans="1:5" ht="13">
      <c r="A8300" s="115"/>
      <c r="B8300" s="115"/>
      <c r="C8300" s="115"/>
      <c r="D8300" s="115"/>
      <c r="E8300" s="115"/>
    </row>
    <row r="8301" spans="1:5" ht="13">
      <c r="A8301" s="115"/>
      <c r="B8301" s="115"/>
      <c r="C8301" s="115"/>
      <c r="D8301" s="115"/>
      <c r="E8301" s="115"/>
    </row>
    <row r="8302" spans="1:5" ht="13">
      <c r="A8302" s="115"/>
      <c r="B8302" s="115"/>
      <c r="C8302" s="115"/>
      <c r="D8302" s="115"/>
      <c r="E8302" s="115"/>
    </row>
    <row r="8303" spans="1:5" ht="13">
      <c r="A8303" s="115"/>
      <c r="B8303" s="115"/>
      <c r="C8303" s="115"/>
      <c r="D8303" s="115"/>
      <c r="E8303" s="115"/>
    </row>
    <row r="8304" spans="1:5" ht="13">
      <c r="A8304" s="115"/>
      <c r="B8304" s="115"/>
      <c r="C8304" s="115"/>
      <c r="D8304" s="115"/>
      <c r="E8304" s="115"/>
    </row>
    <row r="8305" spans="1:5" ht="13">
      <c r="A8305" s="115"/>
      <c r="B8305" s="115"/>
      <c r="C8305" s="115"/>
      <c r="D8305" s="115"/>
      <c r="E8305" s="115"/>
    </row>
    <row r="8306" spans="1:5" ht="13">
      <c r="A8306" s="115"/>
      <c r="B8306" s="115"/>
      <c r="C8306" s="115"/>
      <c r="D8306" s="115"/>
      <c r="E8306" s="115"/>
    </row>
    <row r="8307" spans="1:5" ht="13">
      <c r="A8307" s="115"/>
      <c r="B8307" s="115"/>
      <c r="C8307" s="115"/>
      <c r="D8307" s="115"/>
      <c r="E8307" s="115"/>
    </row>
    <row r="8308" spans="1:5" ht="13">
      <c r="A8308" s="115"/>
      <c r="B8308" s="115"/>
      <c r="C8308" s="115"/>
      <c r="D8308" s="115"/>
      <c r="E8308" s="115"/>
    </row>
    <row r="8309" spans="1:5" ht="13">
      <c r="A8309" s="115"/>
      <c r="B8309" s="115"/>
      <c r="C8309" s="115"/>
      <c r="D8309" s="115"/>
      <c r="E8309" s="115"/>
    </row>
    <row r="8310" spans="1:5" ht="13">
      <c r="A8310" s="115"/>
      <c r="B8310" s="115"/>
      <c r="C8310" s="115"/>
      <c r="D8310" s="115"/>
      <c r="E8310" s="115"/>
    </row>
    <row r="8311" spans="1:5" ht="13">
      <c r="A8311" s="115"/>
      <c r="B8311" s="115"/>
      <c r="C8311" s="115"/>
      <c r="D8311" s="115"/>
      <c r="E8311" s="115"/>
    </row>
    <row r="8312" spans="1:5" ht="13">
      <c r="A8312" s="115"/>
      <c r="B8312" s="115"/>
      <c r="C8312" s="115"/>
      <c r="D8312" s="115"/>
      <c r="E8312" s="115"/>
    </row>
    <row r="8313" spans="1:5" ht="13">
      <c r="A8313" s="115"/>
      <c r="B8313" s="115"/>
      <c r="C8313" s="115"/>
      <c r="D8313" s="115"/>
      <c r="E8313" s="115"/>
    </row>
    <row r="8314" spans="1:5" ht="13">
      <c r="A8314" s="115"/>
      <c r="B8314" s="115"/>
      <c r="C8314" s="115"/>
      <c r="D8314" s="115"/>
      <c r="E8314" s="115"/>
    </row>
    <row r="8315" spans="1:5" ht="13">
      <c r="A8315" s="115"/>
      <c r="B8315" s="115"/>
      <c r="C8315" s="115"/>
      <c r="D8315" s="115"/>
      <c r="E8315" s="115"/>
    </row>
    <row r="8316" spans="1:5" ht="13">
      <c r="A8316" s="115"/>
      <c r="B8316" s="115"/>
      <c r="C8316" s="115"/>
      <c r="D8316" s="115"/>
      <c r="E8316" s="115"/>
    </row>
    <row r="8317" spans="1:5" ht="13">
      <c r="A8317" s="115"/>
      <c r="B8317" s="115"/>
      <c r="C8317" s="115"/>
      <c r="D8317" s="115"/>
      <c r="E8317" s="115"/>
    </row>
    <row r="8318" spans="1:5" ht="13">
      <c r="A8318" s="115"/>
      <c r="B8318" s="115"/>
      <c r="C8318" s="115"/>
      <c r="D8318" s="115"/>
      <c r="E8318" s="115"/>
    </row>
    <row r="8319" spans="1:5" ht="13">
      <c r="A8319" s="115"/>
      <c r="B8319" s="115"/>
      <c r="C8319" s="115"/>
      <c r="D8319" s="115"/>
      <c r="E8319" s="115"/>
    </row>
    <row r="8320" spans="1:5" ht="13">
      <c r="A8320" s="115"/>
      <c r="B8320" s="115"/>
      <c r="C8320" s="115"/>
      <c r="D8320" s="115"/>
      <c r="E8320" s="115"/>
    </row>
    <row r="8321" spans="1:5" ht="13">
      <c r="A8321" s="115"/>
      <c r="B8321" s="115"/>
      <c r="C8321" s="115"/>
      <c r="D8321" s="115"/>
      <c r="E8321" s="115"/>
    </row>
    <row r="8322" spans="1:5" ht="13">
      <c r="A8322" s="115"/>
      <c r="B8322" s="115"/>
      <c r="C8322" s="115"/>
      <c r="D8322" s="115"/>
      <c r="E8322" s="115"/>
    </row>
    <row r="8323" spans="1:5" ht="13">
      <c r="A8323" s="115"/>
      <c r="B8323" s="115"/>
      <c r="C8323" s="115"/>
      <c r="D8323" s="115"/>
      <c r="E8323" s="115"/>
    </row>
    <row r="8324" spans="1:5" ht="13">
      <c r="A8324" s="115"/>
      <c r="B8324" s="115"/>
      <c r="C8324" s="115"/>
      <c r="D8324" s="115"/>
      <c r="E8324" s="115"/>
    </row>
    <row r="8325" spans="1:5" ht="13">
      <c r="A8325" s="115"/>
      <c r="B8325" s="115"/>
      <c r="C8325" s="115"/>
      <c r="D8325" s="115"/>
      <c r="E8325" s="115"/>
    </row>
    <row r="8326" spans="1:5" ht="13">
      <c r="A8326" s="115"/>
      <c r="B8326" s="115"/>
      <c r="C8326" s="115"/>
      <c r="D8326" s="115"/>
      <c r="E8326" s="115"/>
    </row>
    <row r="8327" spans="1:5" ht="13">
      <c r="A8327" s="115"/>
      <c r="B8327" s="115"/>
      <c r="C8327" s="115"/>
      <c r="D8327" s="115"/>
      <c r="E8327" s="115"/>
    </row>
    <row r="8328" spans="1:5" ht="13">
      <c r="A8328" s="115"/>
      <c r="B8328" s="115"/>
      <c r="C8328" s="115"/>
      <c r="D8328" s="115"/>
      <c r="E8328" s="115"/>
    </row>
    <row r="8329" spans="1:5" ht="13">
      <c r="A8329" s="115"/>
      <c r="B8329" s="115"/>
      <c r="C8329" s="115"/>
      <c r="D8329" s="115"/>
      <c r="E8329" s="115"/>
    </row>
    <row r="8330" spans="1:5" ht="13">
      <c r="A8330" s="115"/>
      <c r="B8330" s="115"/>
      <c r="C8330" s="115"/>
      <c r="D8330" s="115"/>
      <c r="E8330" s="115"/>
    </row>
    <row r="8331" spans="1:5" ht="13">
      <c r="A8331" s="115"/>
      <c r="B8331" s="115"/>
      <c r="C8331" s="115"/>
      <c r="D8331" s="115"/>
      <c r="E8331" s="115"/>
    </row>
    <row r="8332" spans="1:5" ht="13">
      <c r="A8332" s="115"/>
      <c r="B8332" s="115"/>
      <c r="C8332" s="115"/>
      <c r="D8332" s="115"/>
      <c r="E8332" s="115"/>
    </row>
    <row r="8333" spans="1:5" ht="13">
      <c r="A8333" s="115"/>
      <c r="B8333" s="115"/>
      <c r="C8333" s="115"/>
      <c r="D8333" s="115"/>
      <c r="E8333" s="115"/>
    </row>
    <row r="8334" spans="1:5" ht="13">
      <c r="A8334" s="115"/>
      <c r="B8334" s="115"/>
      <c r="C8334" s="115"/>
      <c r="D8334" s="115"/>
      <c r="E8334" s="115"/>
    </row>
    <row r="8335" spans="1:5" ht="13">
      <c r="A8335" s="115"/>
      <c r="B8335" s="115"/>
      <c r="C8335" s="115"/>
      <c r="D8335" s="115"/>
      <c r="E8335" s="115"/>
    </row>
    <row r="8336" spans="1:5" ht="13">
      <c r="A8336" s="115"/>
      <c r="B8336" s="115"/>
      <c r="C8336" s="115"/>
      <c r="D8336" s="115"/>
      <c r="E8336" s="115"/>
    </row>
    <row r="8337" spans="1:5" ht="13">
      <c r="A8337" s="115"/>
      <c r="B8337" s="115"/>
      <c r="C8337" s="115"/>
      <c r="D8337" s="115"/>
      <c r="E8337" s="115"/>
    </row>
    <row r="8338" spans="1:5" ht="13">
      <c r="A8338" s="115"/>
      <c r="B8338" s="115"/>
      <c r="C8338" s="115"/>
      <c r="D8338" s="115"/>
      <c r="E8338" s="115"/>
    </row>
    <row r="8339" spans="1:5" ht="13">
      <c r="A8339" s="115"/>
      <c r="B8339" s="115"/>
      <c r="C8339" s="115"/>
      <c r="D8339" s="115"/>
      <c r="E8339" s="115"/>
    </row>
    <row r="8340" spans="1:5" ht="13">
      <c r="A8340" s="115"/>
      <c r="B8340" s="115"/>
      <c r="C8340" s="115"/>
      <c r="D8340" s="115"/>
      <c r="E8340" s="115"/>
    </row>
    <row r="8341" spans="1:5" ht="13">
      <c r="A8341" s="115"/>
      <c r="B8341" s="115"/>
      <c r="C8341" s="115"/>
      <c r="D8341" s="115"/>
      <c r="E8341" s="115"/>
    </row>
    <row r="8342" spans="1:5" ht="13">
      <c r="A8342" s="115"/>
      <c r="B8342" s="115"/>
      <c r="C8342" s="115"/>
      <c r="D8342" s="115"/>
      <c r="E8342" s="115"/>
    </row>
    <row r="8343" spans="1:5" ht="13">
      <c r="A8343" s="115"/>
      <c r="B8343" s="115"/>
      <c r="C8343" s="115"/>
      <c r="D8343" s="115"/>
      <c r="E8343" s="115"/>
    </row>
    <row r="8344" spans="1:5" ht="13">
      <c r="A8344" s="115"/>
      <c r="B8344" s="115"/>
      <c r="C8344" s="115"/>
      <c r="D8344" s="115"/>
      <c r="E8344" s="115"/>
    </row>
    <row r="8345" spans="1:5" ht="13">
      <c r="A8345" s="115"/>
      <c r="B8345" s="115"/>
      <c r="C8345" s="115"/>
      <c r="D8345" s="115"/>
      <c r="E8345" s="115"/>
    </row>
    <row r="8346" spans="1:5" ht="13">
      <c r="A8346" s="115"/>
      <c r="B8346" s="115"/>
      <c r="C8346" s="115"/>
      <c r="D8346" s="115"/>
      <c r="E8346" s="115"/>
    </row>
    <row r="8347" spans="1:5" ht="13">
      <c r="A8347" s="115"/>
      <c r="B8347" s="115"/>
      <c r="C8347" s="115"/>
      <c r="D8347" s="115"/>
      <c r="E8347" s="115"/>
    </row>
    <row r="8348" spans="1:5" ht="13">
      <c r="A8348" s="115"/>
      <c r="B8348" s="115"/>
      <c r="C8348" s="115"/>
      <c r="D8348" s="115"/>
      <c r="E8348" s="115"/>
    </row>
    <row r="8349" spans="1:5" ht="13">
      <c r="A8349" s="115"/>
      <c r="B8349" s="115"/>
      <c r="C8349" s="115"/>
      <c r="D8349" s="115"/>
      <c r="E8349" s="115"/>
    </row>
    <row r="8350" spans="1:5" ht="13">
      <c r="A8350" s="115"/>
      <c r="B8350" s="115"/>
      <c r="C8350" s="115"/>
      <c r="D8350" s="115"/>
      <c r="E8350" s="115"/>
    </row>
    <row r="8351" spans="1:5" ht="13">
      <c r="A8351" s="115"/>
      <c r="B8351" s="115"/>
      <c r="C8351" s="115"/>
      <c r="D8351" s="115"/>
      <c r="E8351" s="115"/>
    </row>
    <row r="8352" spans="1:5" ht="13">
      <c r="A8352" s="115"/>
      <c r="B8352" s="115"/>
      <c r="C8352" s="115"/>
      <c r="D8352" s="115"/>
      <c r="E8352" s="115"/>
    </row>
    <row r="8353" spans="1:5" ht="13">
      <c r="A8353" s="115"/>
      <c r="B8353" s="115"/>
      <c r="C8353" s="115"/>
      <c r="D8353" s="115"/>
      <c r="E8353" s="115"/>
    </row>
    <row r="8354" spans="1:5" ht="13">
      <c r="A8354" s="115"/>
      <c r="B8354" s="115"/>
      <c r="C8354" s="115"/>
      <c r="D8354" s="115"/>
      <c r="E8354" s="115"/>
    </row>
    <row r="8355" spans="1:5" ht="13">
      <c r="A8355" s="115"/>
      <c r="B8355" s="115"/>
      <c r="C8355" s="115"/>
      <c r="D8355" s="115"/>
      <c r="E8355" s="115"/>
    </row>
    <row r="8356" spans="1:5" ht="13">
      <c r="A8356" s="115"/>
      <c r="B8356" s="115"/>
      <c r="C8356" s="115"/>
      <c r="D8356" s="115"/>
      <c r="E8356" s="115"/>
    </row>
    <row r="8357" spans="1:5" ht="13">
      <c r="A8357" s="115"/>
      <c r="B8357" s="115"/>
      <c r="C8357" s="115"/>
      <c r="D8357" s="115"/>
      <c r="E8357" s="115"/>
    </row>
    <row r="8358" spans="1:5" ht="13">
      <c r="A8358" s="115"/>
      <c r="B8358" s="115"/>
      <c r="C8358" s="115"/>
      <c r="D8358" s="115"/>
      <c r="E8358" s="115"/>
    </row>
    <row r="8359" spans="1:5" ht="13">
      <c r="A8359" s="115"/>
      <c r="B8359" s="115"/>
      <c r="C8359" s="115"/>
      <c r="D8359" s="115"/>
      <c r="E8359" s="115"/>
    </row>
    <row r="8360" spans="1:5" ht="13">
      <c r="A8360" s="115"/>
      <c r="B8360" s="115"/>
      <c r="C8360" s="115"/>
      <c r="D8360" s="115"/>
      <c r="E8360" s="115"/>
    </row>
    <row r="8361" spans="1:5" ht="13">
      <c r="A8361" s="115"/>
      <c r="B8361" s="115"/>
      <c r="C8361" s="115"/>
      <c r="D8361" s="115"/>
      <c r="E8361" s="115"/>
    </row>
    <row r="8362" spans="1:5" ht="13">
      <c r="A8362" s="115"/>
      <c r="B8362" s="115"/>
      <c r="C8362" s="115"/>
      <c r="D8362" s="115"/>
      <c r="E8362" s="115"/>
    </row>
    <row r="8363" spans="1:5" ht="13">
      <c r="A8363" s="115"/>
      <c r="B8363" s="115"/>
      <c r="C8363" s="115"/>
      <c r="D8363" s="115"/>
      <c r="E8363" s="115"/>
    </row>
    <row r="8364" spans="1:5" ht="13">
      <c r="A8364" s="115"/>
      <c r="B8364" s="115"/>
      <c r="C8364" s="115"/>
      <c r="D8364" s="115"/>
      <c r="E8364" s="115"/>
    </row>
    <row r="8365" spans="1:5" ht="13">
      <c r="A8365" s="115"/>
      <c r="B8365" s="115"/>
      <c r="C8365" s="115"/>
      <c r="D8365" s="115"/>
      <c r="E8365" s="115"/>
    </row>
    <row r="8366" spans="1:5" ht="13">
      <c r="A8366" s="115"/>
      <c r="B8366" s="115"/>
      <c r="C8366" s="115"/>
      <c r="D8366" s="115"/>
      <c r="E8366" s="115"/>
    </row>
    <row r="8367" spans="1:5" ht="13">
      <c r="A8367" s="115"/>
      <c r="B8367" s="115"/>
      <c r="C8367" s="115"/>
      <c r="D8367" s="115"/>
      <c r="E8367" s="115"/>
    </row>
    <row r="8368" spans="1:5" ht="13">
      <c r="A8368" s="115"/>
      <c r="B8368" s="115"/>
      <c r="C8368" s="115"/>
      <c r="D8368" s="115"/>
      <c r="E8368" s="115"/>
    </row>
    <row r="8369" spans="1:5" ht="13">
      <c r="A8369" s="115"/>
      <c r="B8369" s="115"/>
      <c r="C8369" s="115"/>
      <c r="D8369" s="115"/>
      <c r="E8369" s="115"/>
    </row>
    <row r="8370" spans="1:5" ht="13">
      <c r="A8370" s="115"/>
      <c r="B8370" s="115"/>
      <c r="C8370" s="115"/>
      <c r="D8370" s="115"/>
      <c r="E8370" s="115"/>
    </row>
    <row r="8371" spans="1:5" ht="13">
      <c r="A8371" s="115"/>
      <c r="B8371" s="115"/>
      <c r="C8371" s="115"/>
      <c r="D8371" s="115"/>
      <c r="E8371" s="115"/>
    </row>
    <row r="8372" spans="1:5" ht="13">
      <c r="A8372" s="115"/>
      <c r="B8372" s="115"/>
      <c r="C8372" s="115"/>
      <c r="D8372" s="115"/>
      <c r="E8372" s="115"/>
    </row>
    <row r="8373" spans="1:5" ht="13">
      <c r="A8373" s="115"/>
      <c r="B8373" s="115"/>
      <c r="C8373" s="115"/>
      <c r="D8373" s="115"/>
      <c r="E8373" s="115"/>
    </row>
    <row r="8374" spans="1:5" ht="13">
      <c r="A8374" s="115"/>
      <c r="B8374" s="115"/>
      <c r="C8374" s="115"/>
      <c r="D8374" s="115"/>
      <c r="E8374" s="115"/>
    </row>
    <row r="8375" spans="1:5" ht="13">
      <c r="A8375" s="115"/>
      <c r="B8375" s="115"/>
      <c r="C8375" s="115"/>
      <c r="D8375" s="115"/>
      <c r="E8375" s="115"/>
    </row>
    <row r="8376" spans="1:5" ht="13">
      <c r="A8376" s="115"/>
      <c r="B8376" s="115"/>
      <c r="C8376" s="115"/>
      <c r="D8376" s="115"/>
      <c r="E8376" s="115"/>
    </row>
    <row r="8377" spans="1:5" ht="13">
      <c r="A8377" s="115"/>
      <c r="B8377" s="115"/>
      <c r="C8377" s="115"/>
      <c r="D8377" s="115"/>
      <c r="E8377" s="115"/>
    </row>
    <row r="8378" spans="1:5" ht="13">
      <c r="A8378" s="115"/>
      <c r="B8378" s="115"/>
      <c r="C8378" s="115"/>
      <c r="D8378" s="115"/>
      <c r="E8378" s="115"/>
    </row>
    <row r="8379" spans="1:5" ht="13">
      <c r="A8379" s="115"/>
      <c r="B8379" s="115"/>
      <c r="C8379" s="115"/>
      <c r="D8379" s="115"/>
      <c r="E8379" s="115"/>
    </row>
    <row r="8380" spans="1:5" ht="13">
      <c r="A8380" s="115"/>
      <c r="B8380" s="115"/>
      <c r="C8380" s="115"/>
      <c r="D8380" s="115"/>
      <c r="E8380" s="115"/>
    </row>
    <row r="8381" spans="1:5" ht="13">
      <c r="A8381" s="115"/>
      <c r="B8381" s="115"/>
      <c r="C8381" s="115"/>
      <c r="D8381" s="115"/>
      <c r="E8381" s="115"/>
    </row>
    <row r="8382" spans="1:5" ht="13">
      <c r="A8382" s="115"/>
      <c r="B8382" s="115"/>
      <c r="C8382" s="115"/>
      <c r="D8382" s="115"/>
      <c r="E8382" s="115"/>
    </row>
    <row r="8383" spans="1:5" ht="13">
      <c r="A8383" s="115"/>
      <c r="B8383" s="115"/>
      <c r="C8383" s="115"/>
      <c r="D8383" s="115"/>
      <c r="E8383" s="115"/>
    </row>
    <row r="8384" spans="1:5" ht="13">
      <c r="A8384" s="115"/>
      <c r="B8384" s="115"/>
      <c r="C8384" s="115"/>
      <c r="D8384" s="115"/>
      <c r="E8384" s="115"/>
    </row>
    <row r="8385" spans="1:5" ht="13">
      <c r="A8385" s="115"/>
      <c r="B8385" s="115"/>
      <c r="C8385" s="115"/>
      <c r="D8385" s="115"/>
      <c r="E8385" s="115"/>
    </row>
    <row r="8386" spans="1:5" ht="13">
      <c r="A8386" s="115"/>
      <c r="B8386" s="115"/>
      <c r="C8386" s="115"/>
      <c r="D8386" s="115"/>
      <c r="E8386" s="115"/>
    </row>
    <row r="8387" spans="1:5" ht="13">
      <c r="A8387" s="115"/>
      <c r="B8387" s="115"/>
      <c r="C8387" s="115"/>
      <c r="D8387" s="115"/>
      <c r="E8387" s="115"/>
    </row>
    <row r="8388" spans="1:5" ht="13">
      <c r="A8388" s="115"/>
      <c r="B8388" s="115"/>
      <c r="C8388" s="115"/>
      <c r="D8388" s="115"/>
      <c r="E8388" s="115"/>
    </row>
    <row r="8389" spans="1:5" ht="13">
      <c r="A8389" s="115"/>
      <c r="B8389" s="115"/>
      <c r="C8389" s="115"/>
      <c r="D8389" s="115"/>
      <c r="E8389" s="115"/>
    </row>
    <row r="8390" spans="1:5" ht="13">
      <c r="A8390" s="115"/>
      <c r="B8390" s="115"/>
      <c r="C8390" s="115"/>
      <c r="D8390" s="115"/>
      <c r="E8390" s="115"/>
    </row>
    <row r="8391" spans="1:5" ht="13">
      <c r="A8391" s="115"/>
      <c r="B8391" s="115"/>
      <c r="C8391" s="115"/>
      <c r="D8391" s="115"/>
      <c r="E8391" s="115"/>
    </row>
    <row r="8392" spans="1:5" ht="13">
      <c r="A8392" s="115"/>
      <c r="B8392" s="115"/>
      <c r="C8392" s="115"/>
      <c r="D8392" s="115"/>
      <c r="E8392" s="115"/>
    </row>
    <row r="8393" spans="1:5" ht="13">
      <c r="A8393" s="115"/>
      <c r="B8393" s="115"/>
      <c r="C8393" s="115"/>
      <c r="D8393" s="115"/>
      <c r="E8393" s="115"/>
    </row>
    <row r="8394" spans="1:5" ht="13">
      <c r="A8394" s="115"/>
      <c r="B8394" s="115"/>
      <c r="C8394" s="115"/>
      <c r="D8394" s="115"/>
      <c r="E8394" s="115"/>
    </row>
    <row r="8395" spans="1:5" ht="13">
      <c r="A8395" s="115"/>
      <c r="B8395" s="115"/>
      <c r="C8395" s="115"/>
      <c r="D8395" s="115"/>
      <c r="E8395" s="115"/>
    </row>
    <row r="8396" spans="1:5" ht="13">
      <c r="A8396" s="115"/>
      <c r="B8396" s="115"/>
      <c r="C8396" s="115"/>
      <c r="D8396" s="115"/>
      <c r="E8396" s="115"/>
    </row>
    <row r="8397" spans="1:5" ht="13">
      <c r="A8397" s="115"/>
      <c r="B8397" s="115"/>
      <c r="C8397" s="115"/>
      <c r="D8397" s="115"/>
      <c r="E8397" s="115"/>
    </row>
    <row r="8398" spans="1:5" ht="13">
      <c r="A8398" s="115"/>
      <c r="B8398" s="115"/>
      <c r="C8398" s="115"/>
      <c r="D8398" s="115"/>
      <c r="E8398" s="115"/>
    </row>
    <row r="8399" spans="1:5" ht="13">
      <c r="A8399" s="115"/>
      <c r="B8399" s="115"/>
      <c r="C8399" s="115"/>
      <c r="D8399" s="115"/>
      <c r="E8399" s="115"/>
    </row>
    <row r="8400" spans="1:5" ht="13">
      <c r="A8400" s="115"/>
      <c r="B8400" s="115"/>
      <c r="C8400" s="115"/>
      <c r="D8400" s="115"/>
      <c r="E8400" s="115"/>
    </row>
    <row r="8401" spans="1:5" ht="13">
      <c r="A8401" s="115"/>
      <c r="B8401" s="115"/>
      <c r="C8401" s="115"/>
      <c r="D8401" s="115"/>
      <c r="E8401" s="115"/>
    </row>
    <row r="8402" spans="1:5" ht="13">
      <c r="A8402" s="115"/>
      <c r="B8402" s="115"/>
      <c r="C8402" s="115"/>
      <c r="D8402" s="115"/>
      <c r="E8402" s="115"/>
    </row>
    <row r="8403" spans="1:5" ht="13">
      <c r="A8403" s="115"/>
      <c r="B8403" s="115"/>
      <c r="C8403" s="115"/>
      <c r="D8403" s="115"/>
      <c r="E8403" s="115"/>
    </row>
    <row r="8404" spans="1:5" ht="13">
      <c r="A8404" s="115"/>
      <c r="B8404" s="115"/>
      <c r="C8404" s="115"/>
      <c r="D8404" s="115"/>
      <c r="E8404" s="115"/>
    </row>
    <row r="8405" spans="1:5" ht="13">
      <c r="A8405" s="115"/>
      <c r="B8405" s="115"/>
      <c r="C8405" s="115"/>
      <c r="D8405" s="115"/>
      <c r="E8405" s="115"/>
    </row>
    <row r="8406" spans="1:5" ht="13">
      <c r="A8406" s="115"/>
      <c r="B8406" s="115"/>
      <c r="C8406" s="115"/>
      <c r="D8406" s="115"/>
      <c r="E8406" s="115"/>
    </row>
    <row r="8407" spans="1:5" ht="13">
      <c r="A8407" s="115"/>
      <c r="B8407" s="115"/>
      <c r="C8407" s="115"/>
      <c r="D8407" s="115"/>
      <c r="E8407" s="115"/>
    </row>
    <row r="8408" spans="1:5" ht="13">
      <c r="A8408" s="115"/>
      <c r="B8408" s="115"/>
      <c r="C8408" s="115"/>
      <c r="D8408" s="115"/>
      <c r="E8408" s="115"/>
    </row>
    <row r="8409" spans="1:5" ht="13">
      <c r="A8409" s="115"/>
      <c r="B8409" s="115"/>
      <c r="C8409" s="115"/>
      <c r="D8409" s="115"/>
      <c r="E8409" s="115"/>
    </row>
    <row r="8410" spans="1:5" ht="13">
      <c r="A8410" s="115"/>
      <c r="B8410" s="115"/>
      <c r="C8410" s="115"/>
      <c r="D8410" s="115"/>
      <c r="E8410" s="115"/>
    </row>
    <row r="8411" spans="1:5" ht="13">
      <c r="A8411" s="115"/>
      <c r="B8411" s="115"/>
      <c r="C8411" s="115"/>
      <c r="D8411" s="115"/>
      <c r="E8411" s="115"/>
    </row>
    <row r="8412" spans="1:5" ht="13">
      <c r="A8412" s="115"/>
      <c r="B8412" s="115"/>
      <c r="C8412" s="115"/>
      <c r="D8412" s="115"/>
      <c r="E8412" s="115"/>
    </row>
    <row r="8413" spans="1:5" ht="13">
      <c r="A8413" s="115"/>
      <c r="B8413" s="115"/>
      <c r="C8413" s="115"/>
      <c r="D8413" s="115"/>
      <c r="E8413" s="115"/>
    </row>
    <row r="8414" spans="1:5" ht="13">
      <c r="A8414" s="115"/>
      <c r="B8414" s="115"/>
      <c r="C8414" s="115"/>
      <c r="D8414" s="115"/>
      <c r="E8414" s="115"/>
    </row>
    <row r="8415" spans="1:5" ht="13">
      <c r="A8415" s="115"/>
      <c r="B8415" s="115"/>
      <c r="C8415" s="115"/>
      <c r="D8415" s="115"/>
      <c r="E8415" s="115"/>
    </row>
    <row r="8416" spans="1:5" ht="13">
      <c r="A8416" s="115"/>
      <c r="B8416" s="115"/>
      <c r="C8416" s="115"/>
      <c r="D8416" s="115"/>
      <c r="E8416" s="115"/>
    </row>
    <row r="8417" spans="1:5" ht="13">
      <c r="A8417" s="115"/>
      <c r="B8417" s="115"/>
      <c r="C8417" s="115"/>
      <c r="D8417" s="115"/>
      <c r="E8417" s="115"/>
    </row>
    <row r="8418" spans="1:5" ht="13">
      <c r="A8418" s="115"/>
      <c r="B8418" s="115"/>
      <c r="C8418" s="115"/>
      <c r="D8418" s="115"/>
      <c r="E8418" s="115"/>
    </row>
    <row r="8419" spans="1:5" ht="13">
      <c r="A8419" s="115"/>
      <c r="B8419" s="115"/>
      <c r="C8419" s="115"/>
      <c r="D8419" s="115"/>
      <c r="E8419" s="115"/>
    </row>
    <row r="8420" spans="1:5" ht="13">
      <c r="A8420" s="115"/>
      <c r="B8420" s="115"/>
      <c r="C8420" s="115"/>
      <c r="D8420" s="115"/>
      <c r="E8420" s="115"/>
    </row>
    <row r="8421" spans="1:5" ht="13">
      <c r="A8421" s="115"/>
      <c r="B8421" s="115"/>
      <c r="C8421" s="115"/>
      <c r="D8421" s="115"/>
      <c r="E8421" s="115"/>
    </row>
    <row r="8422" spans="1:5" ht="13">
      <c r="A8422" s="115"/>
      <c r="B8422" s="115"/>
      <c r="C8422" s="115"/>
      <c r="D8422" s="115"/>
      <c r="E8422" s="115"/>
    </row>
    <row r="8423" spans="1:5" ht="13">
      <c r="A8423" s="115"/>
      <c r="B8423" s="115"/>
      <c r="C8423" s="115"/>
      <c r="D8423" s="115"/>
      <c r="E8423" s="115"/>
    </row>
    <row r="8424" spans="1:5" ht="13">
      <c r="A8424" s="115"/>
      <c r="B8424" s="115"/>
      <c r="C8424" s="115"/>
      <c r="D8424" s="115"/>
      <c r="E8424" s="115"/>
    </row>
    <row r="8425" spans="1:5" ht="13">
      <c r="A8425" s="115"/>
      <c r="B8425" s="115"/>
      <c r="C8425" s="115"/>
      <c r="D8425" s="115"/>
      <c r="E8425" s="115"/>
    </row>
    <row r="8426" spans="1:5" ht="13">
      <c r="A8426" s="115"/>
      <c r="B8426" s="115"/>
      <c r="C8426" s="115"/>
      <c r="D8426" s="115"/>
      <c r="E8426" s="115"/>
    </row>
    <row r="8427" spans="1:5" ht="13">
      <c r="A8427" s="115"/>
      <c r="B8427" s="115"/>
      <c r="C8427" s="115"/>
      <c r="D8427" s="115"/>
      <c r="E8427" s="115"/>
    </row>
    <row r="8428" spans="1:5" ht="13">
      <c r="A8428" s="115"/>
      <c r="B8428" s="115"/>
      <c r="C8428" s="115"/>
      <c r="D8428" s="115"/>
      <c r="E8428" s="115"/>
    </row>
    <row r="8429" spans="1:5" ht="13">
      <c r="A8429" s="115"/>
      <c r="B8429" s="115"/>
      <c r="C8429" s="115"/>
      <c r="D8429" s="115"/>
      <c r="E8429" s="115"/>
    </row>
    <row r="8430" spans="1:5" ht="13">
      <c r="A8430" s="115"/>
      <c r="B8430" s="115"/>
      <c r="C8430" s="115"/>
      <c r="D8430" s="115"/>
      <c r="E8430" s="115"/>
    </row>
    <row r="8431" spans="1:5" ht="13">
      <c r="A8431" s="115"/>
      <c r="B8431" s="115"/>
      <c r="C8431" s="115"/>
      <c r="D8431" s="115"/>
      <c r="E8431" s="115"/>
    </row>
    <row r="8432" spans="1:5" ht="13">
      <c r="A8432" s="115"/>
      <c r="B8432" s="115"/>
      <c r="C8432" s="115"/>
      <c r="D8432" s="115"/>
      <c r="E8432" s="115"/>
    </row>
    <row r="8433" spans="1:5" ht="13">
      <c r="A8433" s="115"/>
      <c r="B8433" s="115"/>
      <c r="C8433" s="115"/>
      <c r="D8433" s="115"/>
      <c r="E8433" s="115"/>
    </row>
    <row r="8434" spans="1:5" ht="13">
      <c r="A8434" s="115"/>
      <c r="B8434" s="115"/>
      <c r="C8434" s="115"/>
      <c r="D8434" s="115"/>
      <c r="E8434" s="115"/>
    </row>
    <row r="8435" spans="1:5" ht="13">
      <c r="A8435" s="115"/>
      <c r="B8435" s="115"/>
      <c r="C8435" s="115"/>
      <c r="D8435" s="115"/>
      <c r="E8435" s="115"/>
    </row>
    <row r="8436" spans="1:5" ht="13">
      <c r="A8436" s="115"/>
      <c r="B8436" s="115"/>
      <c r="C8436" s="115"/>
      <c r="D8436" s="115"/>
      <c r="E8436" s="115"/>
    </row>
    <row r="8437" spans="1:5" ht="13">
      <c r="A8437" s="115"/>
      <c r="B8437" s="115"/>
      <c r="C8437" s="115"/>
      <c r="D8437" s="115"/>
      <c r="E8437" s="115"/>
    </row>
    <row r="8438" spans="1:5" ht="13">
      <c r="A8438" s="115"/>
      <c r="B8438" s="115"/>
      <c r="C8438" s="115"/>
      <c r="D8438" s="115"/>
      <c r="E8438" s="115"/>
    </row>
    <row r="8439" spans="1:5" ht="13">
      <c r="A8439" s="115"/>
      <c r="B8439" s="115"/>
      <c r="C8439" s="115"/>
      <c r="D8439" s="115"/>
      <c r="E8439" s="115"/>
    </row>
    <row r="8440" spans="1:5" ht="13">
      <c r="A8440" s="115"/>
      <c r="B8440" s="115"/>
      <c r="C8440" s="115"/>
      <c r="D8440" s="115"/>
      <c r="E8440" s="115"/>
    </row>
    <row r="8441" spans="1:5" ht="13">
      <c r="A8441" s="115"/>
      <c r="B8441" s="115"/>
      <c r="C8441" s="115"/>
      <c r="D8441" s="115"/>
      <c r="E8441" s="115"/>
    </row>
    <row r="8442" spans="1:5" ht="13">
      <c r="A8442" s="115"/>
      <c r="B8442" s="115"/>
      <c r="C8442" s="115"/>
      <c r="D8442" s="115"/>
      <c r="E8442" s="115"/>
    </row>
    <row r="8443" spans="1:5" ht="13">
      <c r="A8443" s="115"/>
      <c r="B8443" s="115"/>
      <c r="C8443" s="115"/>
      <c r="D8443" s="115"/>
      <c r="E8443" s="115"/>
    </row>
    <row r="8444" spans="1:5" ht="13">
      <c r="A8444" s="115"/>
      <c r="B8444" s="115"/>
      <c r="C8444" s="115"/>
      <c r="D8444" s="115"/>
      <c r="E8444" s="115"/>
    </row>
    <row r="8445" spans="1:5" ht="13">
      <c r="A8445" s="115"/>
      <c r="B8445" s="115"/>
      <c r="C8445" s="115"/>
      <c r="D8445" s="115"/>
      <c r="E8445" s="115"/>
    </row>
    <row r="8446" spans="1:5" ht="13">
      <c r="A8446" s="115"/>
      <c r="B8446" s="115"/>
      <c r="C8446" s="115"/>
      <c r="D8446" s="115"/>
      <c r="E8446" s="115"/>
    </row>
    <row r="8447" spans="1:5" ht="13">
      <c r="A8447" s="115"/>
      <c r="B8447" s="115"/>
      <c r="C8447" s="115"/>
      <c r="D8447" s="115"/>
      <c r="E8447" s="115"/>
    </row>
    <row r="8448" spans="1:5" ht="13">
      <c r="A8448" s="115"/>
      <c r="B8448" s="115"/>
      <c r="C8448" s="115"/>
      <c r="D8448" s="115"/>
      <c r="E8448" s="115"/>
    </row>
    <row r="8449" spans="1:5" ht="13">
      <c r="A8449" s="115"/>
      <c r="B8449" s="115"/>
      <c r="C8449" s="115"/>
      <c r="D8449" s="115"/>
      <c r="E8449" s="115"/>
    </row>
    <row r="8450" spans="1:5" ht="13">
      <c r="A8450" s="115"/>
      <c r="B8450" s="115"/>
      <c r="C8450" s="115"/>
      <c r="D8450" s="115"/>
      <c r="E8450" s="115"/>
    </row>
    <row r="8451" spans="1:5" ht="13">
      <c r="A8451" s="115"/>
      <c r="B8451" s="115"/>
      <c r="C8451" s="115"/>
      <c r="D8451" s="115"/>
      <c r="E8451" s="115"/>
    </row>
    <row r="8452" spans="1:5" ht="13">
      <c r="A8452" s="115"/>
      <c r="B8452" s="115"/>
      <c r="C8452" s="115"/>
      <c r="D8452" s="115"/>
      <c r="E8452" s="115"/>
    </row>
    <row r="8453" spans="1:5" ht="13">
      <c r="A8453" s="115"/>
      <c r="B8453" s="115"/>
      <c r="C8453" s="115"/>
      <c r="D8453" s="115"/>
      <c r="E8453" s="115"/>
    </row>
    <row r="8454" spans="1:5" ht="13">
      <c r="A8454" s="115"/>
      <c r="B8454" s="115"/>
      <c r="C8454" s="115"/>
      <c r="D8454" s="115"/>
      <c r="E8454" s="115"/>
    </row>
    <row r="8455" spans="1:5" ht="13">
      <c r="A8455" s="115"/>
      <c r="B8455" s="115"/>
      <c r="C8455" s="115"/>
      <c r="D8455" s="115"/>
      <c r="E8455" s="115"/>
    </row>
    <row r="8456" spans="1:5" ht="13">
      <c r="A8456" s="115"/>
      <c r="B8456" s="115"/>
      <c r="C8456" s="115"/>
      <c r="D8456" s="115"/>
      <c r="E8456" s="115"/>
    </row>
    <row r="8457" spans="1:5" ht="13">
      <c r="A8457" s="115"/>
      <c r="B8457" s="115"/>
      <c r="C8457" s="115"/>
      <c r="D8457" s="115"/>
      <c r="E8457" s="115"/>
    </row>
    <row r="8458" spans="1:5" ht="13">
      <c r="A8458" s="115"/>
      <c r="B8458" s="115"/>
      <c r="C8458" s="115"/>
      <c r="D8458" s="115"/>
      <c r="E8458" s="115"/>
    </row>
    <row r="8459" spans="1:5" ht="13">
      <c r="A8459" s="115"/>
      <c r="B8459" s="115"/>
      <c r="C8459" s="115"/>
      <c r="D8459" s="115"/>
      <c r="E8459" s="115"/>
    </row>
    <row r="8460" spans="1:5" ht="13">
      <c r="A8460" s="115"/>
      <c r="B8460" s="115"/>
      <c r="C8460" s="115"/>
      <c r="D8460" s="115"/>
      <c r="E8460" s="115"/>
    </row>
    <row r="8461" spans="1:5" ht="13">
      <c r="A8461" s="115"/>
      <c r="B8461" s="115"/>
      <c r="C8461" s="115"/>
      <c r="D8461" s="115"/>
      <c r="E8461" s="115"/>
    </row>
    <row r="8462" spans="1:5" ht="13">
      <c r="A8462" s="115"/>
      <c r="B8462" s="115"/>
      <c r="C8462" s="115"/>
      <c r="D8462" s="115"/>
      <c r="E8462" s="115"/>
    </row>
    <row r="8463" spans="1:5" ht="13">
      <c r="A8463" s="115"/>
      <c r="B8463" s="115"/>
      <c r="C8463" s="115"/>
      <c r="D8463" s="115"/>
      <c r="E8463" s="115"/>
    </row>
    <row r="8464" spans="1:5" ht="13">
      <c r="A8464" s="115"/>
      <c r="B8464" s="115"/>
      <c r="C8464" s="115"/>
      <c r="D8464" s="115"/>
      <c r="E8464" s="115"/>
    </row>
    <row r="8465" spans="1:5" ht="13">
      <c r="A8465" s="115"/>
      <c r="B8465" s="115"/>
      <c r="C8465" s="115"/>
      <c r="D8465" s="115"/>
      <c r="E8465" s="115"/>
    </row>
    <row r="8466" spans="1:5" ht="13">
      <c r="A8466" s="115"/>
      <c r="B8466" s="115"/>
      <c r="C8466" s="115"/>
      <c r="D8466" s="115"/>
      <c r="E8466" s="115"/>
    </row>
    <row r="8467" spans="1:5" ht="13">
      <c r="A8467" s="115"/>
      <c r="B8467" s="115"/>
      <c r="C8467" s="115"/>
      <c r="D8467" s="115"/>
      <c r="E8467" s="115"/>
    </row>
    <row r="8468" spans="1:5" ht="13">
      <c r="A8468" s="115"/>
      <c r="B8468" s="115"/>
      <c r="C8468" s="115"/>
      <c r="D8468" s="115"/>
      <c r="E8468" s="115"/>
    </row>
    <row r="8469" spans="1:5" ht="13">
      <c r="A8469" s="115"/>
      <c r="B8469" s="115"/>
      <c r="C8469" s="115"/>
      <c r="D8469" s="115"/>
      <c r="E8469" s="115"/>
    </row>
    <row r="8470" spans="1:5" ht="13">
      <c r="A8470" s="115"/>
      <c r="B8470" s="115"/>
      <c r="C8470" s="115"/>
      <c r="D8470" s="115"/>
      <c r="E8470" s="115"/>
    </row>
    <row r="8471" spans="1:5" ht="13">
      <c r="A8471" s="115"/>
      <c r="B8471" s="115"/>
      <c r="C8471" s="115"/>
      <c r="D8471" s="115"/>
      <c r="E8471" s="115"/>
    </row>
    <row r="8472" spans="1:5" ht="13">
      <c r="A8472" s="115"/>
      <c r="B8472" s="115"/>
      <c r="C8472" s="115"/>
      <c r="D8472" s="115"/>
      <c r="E8472" s="115"/>
    </row>
    <row r="8473" spans="1:5" ht="13">
      <c r="A8473" s="115"/>
      <c r="B8473" s="115"/>
      <c r="C8473" s="115"/>
      <c r="D8473" s="115"/>
      <c r="E8473" s="115"/>
    </row>
    <row r="8474" spans="1:5" ht="13">
      <c r="A8474" s="115"/>
      <c r="B8474" s="115"/>
      <c r="C8474" s="115"/>
      <c r="D8474" s="115"/>
      <c r="E8474" s="115"/>
    </row>
    <row r="8475" spans="1:5" ht="13">
      <c r="A8475" s="115"/>
      <c r="B8475" s="115"/>
      <c r="C8475" s="115"/>
      <c r="D8475" s="115"/>
      <c r="E8475" s="115"/>
    </row>
    <row r="8476" spans="1:5" ht="13">
      <c r="A8476" s="115"/>
      <c r="B8476" s="115"/>
      <c r="C8476" s="115"/>
      <c r="D8476" s="115"/>
      <c r="E8476" s="115"/>
    </row>
    <row r="8477" spans="1:5" ht="13">
      <c r="A8477" s="115"/>
      <c r="B8477" s="115"/>
      <c r="C8477" s="115"/>
      <c r="D8477" s="115"/>
      <c r="E8477" s="115"/>
    </row>
    <row r="8478" spans="1:5" ht="13">
      <c r="A8478" s="115"/>
      <c r="B8478" s="115"/>
      <c r="C8478" s="115"/>
      <c r="D8478" s="115"/>
      <c r="E8478" s="115"/>
    </row>
    <row r="8479" spans="1:5" ht="13">
      <c r="A8479" s="115"/>
      <c r="B8479" s="115"/>
      <c r="C8479" s="115"/>
      <c r="D8479" s="115"/>
      <c r="E8479" s="115"/>
    </row>
    <row r="8480" spans="1:5" ht="13">
      <c r="A8480" s="115"/>
      <c r="B8480" s="115"/>
      <c r="C8480" s="115"/>
      <c r="D8480" s="115"/>
      <c r="E8480" s="115"/>
    </row>
    <row r="8481" spans="1:5" ht="13">
      <c r="A8481" s="115"/>
      <c r="B8481" s="115"/>
      <c r="C8481" s="115"/>
      <c r="D8481" s="115"/>
      <c r="E8481" s="115"/>
    </row>
    <row r="8482" spans="1:5" ht="13">
      <c r="A8482" s="115"/>
      <c r="B8482" s="115"/>
      <c r="C8482" s="115"/>
      <c r="D8482" s="115"/>
      <c r="E8482" s="115"/>
    </row>
    <row r="8483" spans="1:5" ht="13">
      <c r="A8483" s="115"/>
      <c r="B8483" s="115"/>
      <c r="C8483" s="115"/>
      <c r="D8483" s="115"/>
      <c r="E8483" s="115"/>
    </row>
    <row r="8484" spans="1:5" ht="13">
      <c r="A8484" s="115"/>
      <c r="B8484" s="115"/>
      <c r="C8484" s="115"/>
      <c r="D8484" s="115"/>
      <c r="E8484" s="115"/>
    </row>
    <row r="8485" spans="1:5" ht="13">
      <c r="A8485" s="115"/>
      <c r="B8485" s="115"/>
      <c r="C8485" s="115"/>
      <c r="D8485" s="115"/>
      <c r="E8485" s="115"/>
    </row>
    <row r="8486" spans="1:5" ht="13">
      <c r="A8486" s="115"/>
      <c r="B8486" s="115"/>
      <c r="C8486" s="115"/>
      <c r="D8486" s="115"/>
      <c r="E8486" s="115"/>
    </row>
    <row r="8487" spans="1:5" ht="13">
      <c r="A8487" s="115"/>
      <c r="B8487" s="115"/>
      <c r="C8487" s="115"/>
      <c r="D8487" s="115"/>
      <c r="E8487" s="115"/>
    </row>
    <row r="8488" spans="1:5" ht="13">
      <c r="A8488" s="115"/>
      <c r="B8488" s="115"/>
      <c r="C8488" s="115"/>
      <c r="D8488" s="115"/>
      <c r="E8488" s="115"/>
    </row>
    <row r="8489" spans="1:5" ht="13">
      <c r="A8489" s="115"/>
      <c r="B8489" s="115"/>
      <c r="C8489" s="115"/>
      <c r="D8489" s="115"/>
      <c r="E8489" s="115"/>
    </row>
    <row r="8490" spans="1:5" ht="13">
      <c r="A8490" s="115"/>
      <c r="B8490" s="115"/>
      <c r="C8490" s="115"/>
      <c r="D8490" s="115"/>
      <c r="E8490" s="115"/>
    </row>
    <row r="8491" spans="1:5" ht="13">
      <c r="A8491" s="115"/>
      <c r="B8491" s="115"/>
      <c r="C8491" s="115"/>
      <c r="D8491" s="115"/>
      <c r="E8491" s="115"/>
    </row>
    <row r="8492" spans="1:5" ht="13">
      <c r="A8492" s="115"/>
      <c r="B8492" s="115"/>
      <c r="C8492" s="115"/>
      <c r="D8492" s="115"/>
      <c r="E8492" s="115"/>
    </row>
    <row r="8493" spans="1:5" ht="13">
      <c r="A8493" s="115"/>
      <c r="B8493" s="115"/>
      <c r="C8493" s="115"/>
      <c r="D8493" s="115"/>
      <c r="E8493" s="115"/>
    </row>
    <row r="8494" spans="1:5" ht="13">
      <c r="A8494" s="115"/>
      <c r="B8494" s="115"/>
      <c r="C8494" s="115"/>
      <c r="D8494" s="115"/>
      <c r="E8494" s="115"/>
    </row>
    <row r="8495" spans="1:5" ht="13">
      <c r="A8495" s="115"/>
      <c r="B8495" s="115"/>
      <c r="C8495" s="115"/>
      <c r="D8495" s="115"/>
      <c r="E8495" s="115"/>
    </row>
    <row r="8496" spans="1:5" ht="13">
      <c r="A8496" s="115"/>
      <c r="B8496" s="115"/>
      <c r="C8496" s="115"/>
      <c r="D8496" s="115"/>
      <c r="E8496" s="115"/>
    </row>
    <row r="8497" spans="1:5" ht="13">
      <c r="A8497" s="115"/>
      <c r="B8497" s="115"/>
      <c r="C8497" s="115"/>
      <c r="D8497" s="115"/>
      <c r="E8497" s="115"/>
    </row>
    <row r="8498" spans="1:5" ht="13">
      <c r="A8498" s="115"/>
      <c r="B8498" s="115"/>
      <c r="C8498" s="115"/>
      <c r="D8498" s="115"/>
      <c r="E8498" s="115"/>
    </row>
    <row r="8499" spans="1:5" ht="13">
      <c r="A8499" s="115"/>
      <c r="B8499" s="115"/>
      <c r="C8499" s="115"/>
      <c r="D8499" s="115"/>
      <c r="E8499" s="115"/>
    </row>
    <row r="8500" spans="1:5" ht="13">
      <c r="A8500" s="115"/>
      <c r="B8500" s="115"/>
      <c r="C8500" s="115"/>
      <c r="D8500" s="115"/>
      <c r="E8500" s="115"/>
    </row>
    <row r="8501" spans="1:5" ht="13">
      <c r="A8501" s="115"/>
      <c r="B8501" s="115"/>
      <c r="C8501" s="115"/>
      <c r="D8501" s="115"/>
      <c r="E8501" s="115"/>
    </row>
    <row r="8502" spans="1:5" ht="13">
      <c r="A8502" s="115"/>
      <c r="B8502" s="115"/>
      <c r="C8502" s="115"/>
      <c r="D8502" s="115"/>
      <c r="E8502" s="115"/>
    </row>
    <row r="8503" spans="1:5" ht="13">
      <c r="A8503" s="115"/>
      <c r="B8503" s="115"/>
      <c r="C8503" s="115"/>
      <c r="D8503" s="115"/>
      <c r="E8503" s="115"/>
    </row>
    <row r="8504" spans="1:5" ht="13">
      <c r="A8504" s="115"/>
      <c r="B8504" s="115"/>
      <c r="C8504" s="115"/>
      <c r="D8504" s="115"/>
      <c r="E8504" s="115"/>
    </row>
    <row r="8505" spans="1:5" ht="13">
      <c r="A8505" s="115"/>
      <c r="B8505" s="115"/>
      <c r="C8505" s="115"/>
      <c r="D8505" s="115"/>
      <c r="E8505" s="115"/>
    </row>
    <row r="8506" spans="1:5" ht="13">
      <c r="A8506" s="115"/>
      <c r="B8506" s="115"/>
      <c r="C8506" s="115"/>
      <c r="D8506" s="115"/>
      <c r="E8506" s="115"/>
    </row>
    <row r="8507" spans="1:5" ht="13">
      <c r="A8507" s="115"/>
      <c r="B8507" s="115"/>
      <c r="C8507" s="115"/>
      <c r="D8507" s="115"/>
      <c r="E8507" s="115"/>
    </row>
    <row r="8508" spans="1:5" ht="13">
      <c r="A8508" s="115"/>
      <c r="B8508" s="115"/>
      <c r="C8508" s="115"/>
      <c r="D8508" s="115"/>
      <c r="E8508" s="115"/>
    </row>
    <row r="8509" spans="1:5" ht="13">
      <c r="A8509" s="115"/>
      <c r="B8509" s="115"/>
      <c r="C8509" s="115"/>
      <c r="D8509" s="115"/>
      <c r="E8509" s="115"/>
    </row>
    <row r="8510" spans="1:5" ht="13">
      <c r="A8510" s="115"/>
      <c r="B8510" s="115"/>
      <c r="C8510" s="115"/>
      <c r="D8510" s="115"/>
      <c r="E8510" s="115"/>
    </row>
    <row r="8511" spans="1:5" ht="13">
      <c r="A8511" s="115"/>
      <c r="B8511" s="115"/>
      <c r="C8511" s="115"/>
      <c r="D8511" s="115"/>
      <c r="E8511" s="115"/>
    </row>
    <row r="8512" spans="1:5" ht="13">
      <c r="A8512" s="115"/>
      <c r="B8512" s="115"/>
      <c r="C8512" s="115"/>
      <c r="D8512" s="115"/>
      <c r="E8512" s="115"/>
    </row>
    <row r="8513" spans="1:5" ht="13">
      <c r="A8513" s="115"/>
      <c r="B8513" s="115"/>
      <c r="C8513" s="115"/>
      <c r="D8513" s="115"/>
      <c r="E8513" s="115"/>
    </row>
    <row r="8514" spans="1:5" ht="13">
      <c r="A8514" s="115"/>
      <c r="B8514" s="115"/>
      <c r="C8514" s="115"/>
      <c r="D8514" s="115"/>
      <c r="E8514" s="115"/>
    </row>
    <row r="8515" spans="1:5" ht="13">
      <c r="A8515" s="115"/>
      <c r="B8515" s="115"/>
      <c r="C8515" s="115"/>
      <c r="D8515" s="115"/>
      <c r="E8515" s="115"/>
    </row>
    <row r="8516" spans="1:5" ht="13">
      <c r="A8516" s="115"/>
      <c r="B8516" s="115"/>
      <c r="C8516" s="115"/>
      <c r="D8516" s="115"/>
      <c r="E8516" s="115"/>
    </row>
    <row r="8517" spans="1:5" ht="13">
      <c r="A8517" s="115"/>
      <c r="B8517" s="115"/>
      <c r="C8517" s="115"/>
      <c r="D8517" s="115"/>
      <c r="E8517" s="115"/>
    </row>
    <row r="8518" spans="1:5" ht="13">
      <c r="A8518" s="115"/>
      <c r="B8518" s="115"/>
      <c r="C8518" s="115"/>
      <c r="D8518" s="115"/>
      <c r="E8518" s="115"/>
    </row>
    <row r="8519" spans="1:5" ht="13">
      <c r="A8519" s="115"/>
      <c r="B8519" s="115"/>
      <c r="C8519" s="115"/>
      <c r="D8519" s="115"/>
      <c r="E8519" s="115"/>
    </row>
    <row r="8520" spans="1:5" ht="13">
      <c r="A8520" s="115"/>
      <c r="B8520" s="115"/>
      <c r="C8520" s="115"/>
      <c r="D8520" s="115"/>
      <c r="E8520" s="115"/>
    </row>
    <row r="8521" spans="1:5" ht="13">
      <c r="A8521" s="115"/>
      <c r="B8521" s="115"/>
      <c r="C8521" s="115"/>
      <c r="D8521" s="115"/>
      <c r="E8521" s="115"/>
    </row>
    <row r="8522" spans="1:5" ht="13">
      <c r="A8522" s="115"/>
      <c r="B8522" s="115"/>
      <c r="C8522" s="115"/>
      <c r="D8522" s="115"/>
      <c r="E8522" s="115"/>
    </row>
    <row r="8523" spans="1:5" ht="13">
      <c r="A8523" s="115"/>
      <c r="B8523" s="115"/>
      <c r="C8523" s="115"/>
      <c r="D8523" s="115"/>
      <c r="E8523" s="115"/>
    </row>
    <row r="8524" spans="1:5" ht="13">
      <c r="A8524" s="115"/>
      <c r="B8524" s="115"/>
      <c r="C8524" s="115"/>
      <c r="D8524" s="115"/>
      <c r="E8524" s="115"/>
    </row>
    <row r="8525" spans="1:5" ht="13">
      <c r="A8525" s="115"/>
      <c r="B8525" s="115"/>
      <c r="C8525" s="115"/>
      <c r="D8525" s="115"/>
      <c r="E8525" s="115"/>
    </row>
    <row r="8526" spans="1:5" ht="13">
      <c r="A8526" s="115"/>
      <c r="B8526" s="115"/>
      <c r="C8526" s="115"/>
      <c r="D8526" s="115"/>
      <c r="E8526" s="115"/>
    </row>
    <row r="8527" spans="1:5" ht="13">
      <c r="A8527" s="115"/>
      <c r="B8527" s="115"/>
      <c r="C8527" s="115"/>
      <c r="D8527" s="115"/>
      <c r="E8527" s="115"/>
    </row>
    <row r="8528" spans="1:5" ht="13">
      <c r="A8528" s="115"/>
      <c r="B8528" s="115"/>
      <c r="C8528" s="115"/>
      <c r="D8528" s="115"/>
      <c r="E8528" s="115"/>
    </row>
    <row r="8529" spans="1:5" ht="13">
      <c r="A8529" s="115"/>
      <c r="B8529" s="115"/>
      <c r="C8529" s="115"/>
      <c r="D8529" s="115"/>
      <c r="E8529" s="115"/>
    </row>
    <row r="8530" spans="1:5" ht="13">
      <c r="A8530" s="115"/>
      <c r="B8530" s="115"/>
      <c r="C8530" s="115"/>
      <c r="D8530" s="115"/>
      <c r="E8530" s="115"/>
    </row>
    <row r="8531" spans="1:5" ht="13">
      <c r="A8531" s="115"/>
      <c r="B8531" s="115"/>
      <c r="C8531" s="115"/>
      <c r="D8531" s="115"/>
      <c r="E8531" s="115"/>
    </row>
    <row r="8532" spans="1:5" ht="13">
      <c r="A8532" s="115"/>
      <c r="B8532" s="115"/>
      <c r="C8532" s="115"/>
      <c r="D8532" s="115"/>
      <c r="E8532" s="115"/>
    </row>
    <row r="8533" spans="1:5" ht="13">
      <c r="A8533" s="115"/>
      <c r="B8533" s="115"/>
      <c r="C8533" s="115"/>
      <c r="D8533" s="115"/>
      <c r="E8533" s="115"/>
    </row>
    <row r="8534" spans="1:5" ht="13">
      <c r="A8534" s="115"/>
      <c r="B8534" s="115"/>
      <c r="C8534" s="115"/>
      <c r="D8534" s="115"/>
      <c r="E8534" s="115"/>
    </row>
    <row r="8535" spans="1:5" ht="13">
      <c r="A8535" s="115"/>
      <c r="B8535" s="115"/>
      <c r="C8535" s="115"/>
      <c r="D8535" s="115"/>
      <c r="E8535" s="115"/>
    </row>
    <row r="8536" spans="1:5" ht="13">
      <c r="A8536" s="115"/>
      <c r="B8536" s="115"/>
      <c r="C8536" s="115"/>
      <c r="D8536" s="115"/>
      <c r="E8536" s="115"/>
    </row>
    <row r="8537" spans="1:5" ht="13">
      <c r="A8537" s="115"/>
      <c r="B8537" s="115"/>
      <c r="C8537" s="115"/>
      <c r="D8537" s="115"/>
      <c r="E8537" s="115"/>
    </row>
    <row r="8538" spans="1:5" ht="13">
      <c r="A8538" s="115"/>
      <c r="B8538" s="115"/>
      <c r="C8538" s="115"/>
      <c r="D8538" s="115"/>
      <c r="E8538" s="115"/>
    </row>
    <row r="8539" spans="1:5" ht="13">
      <c r="A8539" s="115"/>
      <c r="B8539" s="115"/>
      <c r="C8539" s="115"/>
      <c r="D8539" s="115"/>
      <c r="E8539" s="115"/>
    </row>
    <row r="8540" spans="1:5" ht="13">
      <c r="A8540" s="115"/>
      <c r="B8540" s="115"/>
      <c r="C8540" s="115"/>
      <c r="D8540" s="115"/>
      <c r="E8540" s="115"/>
    </row>
    <row r="8541" spans="1:5" ht="13">
      <c r="A8541" s="115"/>
      <c r="B8541" s="115"/>
      <c r="C8541" s="115"/>
      <c r="D8541" s="115"/>
      <c r="E8541" s="115"/>
    </row>
    <row r="8542" spans="1:5" ht="13">
      <c r="A8542" s="115"/>
      <c r="B8542" s="115"/>
      <c r="C8542" s="115"/>
      <c r="D8542" s="115"/>
      <c r="E8542" s="115"/>
    </row>
    <row r="8543" spans="1:5" ht="13">
      <c r="A8543" s="115"/>
      <c r="B8543" s="115"/>
      <c r="C8543" s="115"/>
      <c r="D8543" s="115"/>
      <c r="E8543" s="115"/>
    </row>
    <row r="8544" spans="1:5" ht="13">
      <c r="A8544" s="115"/>
      <c r="B8544" s="115"/>
      <c r="C8544" s="115"/>
      <c r="D8544" s="115"/>
      <c r="E8544" s="115"/>
    </row>
    <row r="8545" spans="1:5" ht="13">
      <c r="A8545" s="115"/>
      <c r="B8545" s="115"/>
      <c r="C8545" s="115"/>
      <c r="D8545" s="115"/>
      <c r="E8545" s="115"/>
    </row>
    <row r="8546" spans="1:5" ht="13">
      <c r="A8546" s="115"/>
      <c r="B8546" s="115"/>
      <c r="C8546" s="115"/>
      <c r="D8546" s="115"/>
      <c r="E8546" s="115"/>
    </row>
    <row r="8547" spans="1:5" ht="13">
      <c r="A8547" s="115"/>
      <c r="B8547" s="115"/>
      <c r="C8547" s="115"/>
      <c r="D8547" s="115"/>
      <c r="E8547" s="115"/>
    </row>
    <row r="8548" spans="1:5" ht="13">
      <c r="A8548" s="115"/>
      <c r="B8548" s="115"/>
      <c r="C8548" s="115"/>
      <c r="D8548" s="115"/>
      <c r="E8548" s="115"/>
    </row>
    <row r="8549" spans="1:5" ht="13">
      <c r="A8549" s="115"/>
      <c r="B8549" s="115"/>
      <c r="C8549" s="115"/>
      <c r="D8549" s="115"/>
      <c r="E8549" s="115"/>
    </row>
    <row r="8550" spans="1:5" ht="13">
      <c r="A8550" s="115"/>
      <c r="B8550" s="115"/>
      <c r="C8550" s="115"/>
      <c r="D8550" s="115"/>
      <c r="E8550" s="115"/>
    </row>
    <row r="8551" spans="1:5" ht="13">
      <c r="A8551" s="115"/>
      <c r="B8551" s="115"/>
      <c r="C8551" s="115"/>
      <c r="D8551" s="115"/>
      <c r="E8551" s="115"/>
    </row>
    <row r="8552" spans="1:5" ht="13">
      <c r="A8552" s="115"/>
      <c r="B8552" s="115"/>
      <c r="C8552" s="115"/>
      <c r="D8552" s="115"/>
      <c r="E8552" s="115"/>
    </row>
    <row r="8553" spans="1:5" ht="13">
      <c r="A8553" s="115"/>
      <c r="B8553" s="115"/>
      <c r="C8553" s="115"/>
      <c r="D8553" s="115"/>
      <c r="E8553" s="115"/>
    </row>
    <row r="8554" spans="1:5" ht="13">
      <c r="A8554" s="115"/>
      <c r="B8554" s="115"/>
      <c r="C8554" s="115"/>
      <c r="D8554" s="115"/>
      <c r="E8554" s="115"/>
    </row>
    <row r="8555" spans="1:5" ht="13">
      <c r="A8555" s="115"/>
      <c r="B8555" s="115"/>
      <c r="C8555" s="115"/>
      <c r="D8555" s="115"/>
      <c r="E8555" s="115"/>
    </row>
    <row r="8556" spans="1:5" ht="13">
      <c r="A8556" s="115"/>
      <c r="B8556" s="115"/>
      <c r="C8556" s="115"/>
      <c r="D8556" s="115"/>
      <c r="E8556" s="115"/>
    </row>
    <row r="8557" spans="1:5" ht="13">
      <c r="A8557" s="115"/>
      <c r="B8557" s="115"/>
      <c r="C8557" s="115"/>
      <c r="D8557" s="115"/>
      <c r="E8557" s="115"/>
    </row>
    <row r="8558" spans="1:5" ht="13">
      <c r="A8558" s="115"/>
      <c r="B8558" s="115"/>
      <c r="C8558" s="115"/>
      <c r="D8558" s="115"/>
      <c r="E8558" s="115"/>
    </row>
    <row r="8559" spans="1:5" ht="13">
      <c r="A8559" s="115"/>
      <c r="B8559" s="115"/>
      <c r="C8559" s="115"/>
      <c r="D8559" s="115"/>
      <c r="E8559" s="115"/>
    </row>
    <row r="8560" spans="1:5" ht="13">
      <c r="A8560" s="115"/>
      <c r="B8560" s="115"/>
      <c r="C8560" s="115"/>
      <c r="D8560" s="115"/>
      <c r="E8560" s="115"/>
    </row>
    <row r="8561" spans="1:5" ht="13">
      <c r="A8561" s="115"/>
      <c r="B8561" s="115"/>
      <c r="C8561" s="115"/>
      <c r="D8561" s="115"/>
      <c r="E8561" s="115"/>
    </row>
    <row r="8562" spans="1:5" ht="13">
      <c r="A8562" s="115"/>
      <c r="B8562" s="115"/>
      <c r="C8562" s="115"/>
      <c r="D8562" s="115"/>
      <c r="E8562" s="115"/>
    </row>
    <row r="8563" spans="1:5" ht="13">
      <c r="A8563" s="115"/>
      <c r="B8563" s="115"/>
      <c r="C8563" s="115"/>
      <c r="D8563" s="115"/>
      <c r="E8563" s="115"/>
    </row>
    <row r="8564" spans="1:5" ht="13">
      <c r="A8564" s="115"/>
      <c r="B8564" s="115"/>
      <c r="C8564" s="115"/>
      <c r="D8564" s="115"/>
      <c r="E8564" s="115"/>
    </row>
    <row r="8565" spans="1:5" ht="13">
      <c r="A8565" s="115"/>
      <c r="B8565" s="115"/>
      <c r="C8565" s="115"/>
      <c r="D8565" s="115"/>
      <c r="E8565" s="115"/>
    </row>
    <row r="8566" spans="1:5" ht="13">
      <c r="A8566" s="115"/>
      <c r="B8566" s="115"/>
      <c r="C8566" s="115"/>
      <c r="D8566" s="115"/>
      <c r="E8566" s="115"/>
    </row>
    <row r="8567" spans="1:5" ht="13">
      <c r="A8567" s="115"/>
      <c r="B8567" s="115"/>
      <c r="C8567" s="115"/>
      <c r="D8567" s="115"/>
      <c r="E8567" s="115"/>
    </row>
    <row r="8568" spans="1:5" ht="13">
      <c r="A8568" s="115"/>
      <c r="B8568" s="115"/>
      <c r="C8568" s="115"/>
      <c r="D8568" s="115"/>
      <c r="E8568" s="115"/>
    </row>
    <row r="8569" spans="1:5" ht="13">
      <c r="A8569" s="115"/>
      <c r="B8569" s="115"/>
      <c r="C8569" s="115"/>
      <c r="D8569" s="115"/>
      <c r="E8569" s="115"/>
    </row>
    <row r="8570" spans="1:5" ht="13">
      <c r="A8570" s="115"/>
      <c r="B8570" s="115"/>
      <c r="C8570" s="115"/>
      <c r="D8570" s="115"/>
      <c r="E8570" s="115"/>
    </row>
    <row r="8571" spans="1:5" ht="13">
      <c r="A8571" s="115"/>
      <c r="B8571" s="115"/>
      <c r="C8571" s="115"/>
      <c r="D8571" s="115"/>
      <c r="E8571" s="115"/>
    </row>
    <row r="8572" spans="1:5" ht="13">
      <c r="A8572" s="115"/>
      <c r="B8572" s="115"/>
      <c r="C8572" s="115"/>
      <c r="D8572" s="115"/>
      <c r="E8572" s="115"/>
    </row>
    <row r="8573" spans="1:5" ht="13">
      <c r="A8573" s="115"/>
      <c r="B8573" s="115"/>
      <c r="C8573" s="115"/>
      <c r="D8573" s="115"/>
      <c r="E8573" s="115"/>
    </row>
    <row r="8574" spans="1:5" ht="13">
      <c r="A8574" s="115"/>
      <c r="B8574" s="115"/>
      <c r="C8574" s="115"/>
      <c r="D8574" s="115"/>
      <c r="E8574" s="115"/>
    </row>
    <row r="8575" spans="1:5" ht="13">
      <c r="A8575" s="115"/>
      <c r="B8575" s="115"/>
      <c r="C8575" s="115"/>
      <c r="D8575" s="115"/>
      <c r="E8575" s="115"/>
    </row>
    <row r="8576" spans="1:5" ht="13">
      <c r="A8576" s="115"/>
      <c r="B8576" s="115"/>
      <c r="C8576" s="115"/>
      <c r="D8576" s="115"/>
      <c r="E8576" s="115"/>
    </row>
    <row r="8577" spans="1:5" ht="13">
      <c r="A8577" s="115"/>
      <c r="B8577" s="115"/>
      <c r="C8577" s="115"/>
      <c r="D8577" s="115"/>
      <c r="E8577" s="115"/>
    </row>
    <row r="8578" spans="1:5" ht="13">
      <c r="A8578" s="115"/>
      <c r="B8578" s="115"/>
      <c r="C8578" s="115"/>
      <c r="D8578" s="115"/>
      <c r="E8578" s="115"/>
    </row>
    <row r="8579" spans="1:5" ht="13">
      <c r="A8579" s="115"/>
      <c r="B8579" s="115"/>
      <c r="C8579" s="115"/>
      <c r="D8579" s="115"/>
      <c r="E8579" s="115"/>
    </row>
    <row r="8580" spans="1:5" ht="13">
      <c r="A8580" s="115"/>
      <c r="B8580" s="115"/>
      <c r="C8580" s="115"/>
      <c r="D8580" s="115"/>
      <c r="E8580" s="115"/>
    </row>
    <row r="8581" spans="1:5" ht="13">
      <c r="A8581" s="115"/>
      <c r="B8581" s="115"/>
      <c r="C8581" s="115"/>
      <c r="D8581" s="115"/>
      <c r="E8581" s="115"/>
    </row>
    <row r="8582" spans="1:5" ht="13">
      <c r="A8582" s="115"/>
      <c r="B8582" s="115"/>
      <c r="C8582" s="115"/>
      <c r="D8582" s="115"/>
      <c r="E8582" s="115"/>
    </row>
    <row r="8583" spans="1:5" ht="13">
      <c r="A8583" s="115"/>
      <c r="B8583" s="115"/>
      <c r="C8583" s="115"/>
      <c r="D8583" s="115"/>
      <c r="E8583" s="115"/>
    </row>
    <row r="8584" spans="1:5" ht="13">
      <c r="A8584" s="115"/>
      <c r="B8584" s="115"/>
      <c r="C8584" s="115"/>
      <c r="D8584" s="115"/>
      <c r="E8584" s="115"/>
    </row>
    <row r="8585" spans="1:5" ht="13">
      <c r="A8585" s="115"/>
      <c r="B8585" s="115"/>
      <c r="C8585" s="115"/>
      <c r="D8585" s="115"/>
      <c r="E8585" s="115"/>
    </row>
    <row r="8586" spans="1:5" ht="13">
      <c r="A8586" s="115"/>
      <c r="B8586" s="115"/>
      <c r="C8586" s="115"/>
      <c r="D8586" s="115"/>
      <c r="E8586" s="115"/>
    </row>
    <row r="8587" spans="1:5" ht="13">
      <c r="A8587" s="115"/>
      <c r="B8587" s="115"/>
      <c r="C8587" s="115"/>
      <c r="D8587" s="115"/>
      <c r="E8587" s="115"/>
    </row>
    <row r="8588" spans="1:5" ht="13">
      <c r="A8588" s="115"/>
      <c r="B8588" s="115"/>
      <c r="C8588" s="115"/>
      <c r="D8588" s="115"/>
      <c r="E8588" s="115"/>
    </row>
    <row r="8589" spans="1:5" ht="13">
      <c r="A8589" s="115"/>
      <c r="B8589" s="115"/>
      <c r="C8589" s="115"/>
      <c r="D8589" s="115"/>
      <c r="E8589" s="115"/>
    </row>
    <row r="8590" spans="1:5" ht="13">
      <c r="A8590" s="115"/>
      <c r="B8590" s="115"/>
      <c r="C8590" s="115"/>
      <c r="D8590" s="115"/>
      <c r="E8590" s="115"/>
    </row>
    <row r="8591" spans="1:5" ht="13">
      <c r="A8591" s="115"/>
      <c r="B8591" s="115"/>
      <c r="C8591" s="115"/>
      <c r="D8591" s="115"/>
      <c r="E8591" s="115"/>
    </row>
    <row r="8592" spans="1:5" ht="13">
      <c r="A8592" s="115"/>
      <c r="B8592" s="115"/>
      <c r="C8592" s="115"/>
      <c r="D8592" s="115"/>
      <c r="E8592" s="115"/>
    </row>
    <row r="8593" spans="1:5" ht="13">
      <c r="A8593" s="115"/>
      <c r="B8593" s="115"/>
      <c r="C8593" s="115"/>
      <c r="D8593" s="115"/>
      <c r="E8593" s="115"/>
    </row>
    <row r="8594" spans="1:5" ht="13">
      <c r="A8594" s="115"/>
      <c r="B8594" s="115"/>
      <c r="C8594" s="115"/>
      <c r="D8594" s="115"/>
      <c r="E8594" s="115"/>
    </row>
    <row r="8595" spans="1:5" ht="13">
      <c r="A8595" s="115"/>
      <c r="B8595" s="115"/>
      <c r="C8595" s="115"/>
      <c r="D8595" s="115"/>
      <c r="E8595" s="115"/>
    </row>
    <row r="8596" spans="1:5" ht="13">
      <c r="A8596" s="115"/>
      <c r="B8596" s="115"/>
      <c r="C8596" s="115"/>
      <c r="D8596" s="115"/>
      <c r="E8596" s="115"/>
    </row>
    <row r="8597" spans="1:5" ht="13">
      <c r="A8597" s="115"/>
      <c r="B8597" s="115"/>
      <c r="C8597" s="115"/>
      <c r="D8597" s="115"/>
      <c r="E8597" s="115"/>
    </row>
    <row r="8598" spans="1:5" ht="13">
      <c r="A8598" s="115"/>
      <c r="B8598" s="115"/>
      <c r="C8598" s="115"/>
      <c r="D8598" s="115"/>
      <c r="E8598" s="115"/>
    </row>
    <row r="8599" spans="1:5" ht="13">
      <c r="A8599" s="115"/>
      <c r="B8599" s="115"/>
      <c r="C8599" s="115"/>
      <c r="D8599" s="115"/>
      <c r="E8599" s="115"/>
    </row>
    <row r="8600" spans="1:5" ht="13">
      <c r="A8600" s="115"/>
      <c r="B8600" s="115"/>
      <c r="C8600" s="115"/>
      <c r="D8600" s="115"/>
      <c r="E8600" s="115"/>
    </row>
    <row r="8601" spans="1:5" ht="13">
      <c r="A8601" s="115"/>
      <c r="B8601" s="115"/>
      <c r="C8601" s="115"/>
      <c r="D8601" s="115"/>
      <c r="E8601" s="115"/>
    </row>
    <row r="8602" spans="1:5" ht="13">
      <c r="A8602" s="115"/>
      <c r="B8602" s="115"/>
      <c r="C8602" s="115"/>
      <c r="D8602" s="115"/>
      <c r="E8602" s="115"/>
    </row>
    <row r="8603" spans="1:5" ht="13">
      <c r="A8603" s="115"/>
      <c r="B8603" s="115"/>
      <c r="C8603" s="115"/>
      <c r="D8603" s="115"/>
      <c r="E8603" s="115"/>
    </row>
    <row r="8604" spans="1:5" ht="13">
      <c r="A8604" s="115"/>
      <c r="B8604" s="115"/>
      <c r="C8604" s="115"/>
      <c r="D8604" s="115"/>
      <c r="E8604" s="115"/>
    </row>
    <row r="8605" spans="1:5" ht="13">
      <c r="A8605" s="115"/>
      <c r="B8605" s="115"/>
      <c r="C8605" s="115"/>
      <c r="D8605" s="115"/>
      <c r="E8605" s="115"/>
    </row>
    <row r="8606" spans="1:5" ht="13">
      <c r="A8606" s="115"/>
      <c r="B8606" s="115"/>
      <c r="C8606" s="115"/>
      <c r="D8606" s="115"/>
      <c r="E8606" s="115"/>
    </row>
    <row r="8607" spans="1:5" ht="13">
      <c r="A8607" s="115"/>
      <c r="B8607" s="115"/>
      <c r="C8607" s="115"/>
      <c r="D8607" s="115"/>
      <c r="E8607" s="115"/>
    </row>
    <row r="8608" spans="1:5" ht="13">
      <c r="A8608" s="115"/>
      <c r="B8608" s="115"/>
      <c r="C8608" s="115"/>
      <c r="D8608" s="115"/>
      <c r="E8608" s="115"/>
    </row>
    <row r="8609" spans="1:5" ht="13">
      <c r="A8609" s="115"/>
      <c r="B8609" s="115"/>
      <c r="C8609" s="115"/>
      <c r="D8609" s="115"/>
      <c r="E8609" s="115"/>
    </row>
    <row r="8610" spans="1:5" ht="13">
      <c r="A8610" s="115"/>
      <c r="B8610" s="115"/>
      <c r="C8610" s="115"/>
      <c r="D8610" s="115"/>
      <c r="E8610" s="115"/>
    </row>
    <row r="8611" spans="1:5" ht="13">
      <c r="A8611" s="115"/>
      <c r="B8611" s="115"/>
      <c r="C8611" s="115"/>
      <c r="D8611" s="115"/>
      <c r="E8611" s="115"/>
    </row>
    <row r="8612" spans="1:5" ht="13">
      <c r="A8612" s="115"/>
      <c r="B8612" s="115"/>
      <c r="C8612" s="115"/>
      <c r="D8612" s="115"/>
      <c r="E8612" s="115"/>
    </row>
    <row r="8613" spans="1:5" ht="13">
      <c r="A8613" s="115"/>
      <c r="B8613" s="115"/>
      <c r="C8613" s="115"/>
      <c r="D8613" s="115"/>
      <c r="E8613" s="115"/>
    </row>
    <row r="8614" spans="1:5" ht="13">
      <c r="A8614" s="115"/>
      <c r="B8614" s="115"/>
      <c r="C8614" s="115"/>
      <c r="D8614" s="115"/>
      <c r="E8614" s="115"/>
    </row>
    <row r="8615" spans="1:5" ht="13">
      <c r="A8615" s="115"/>
      <c r="B8615" s="115"/>
      <c r="C8615" s="115"/>
      <c r="D8615" s="115"/>
      <c r="E8615" s="115"/>
    </row>
    <row r="8616" spans="1:5" ht="13">
      <c r="A8616" s="115"/>
      <c r="B8616" s="115"/>
      <c r="C8616" s="115"/>
      <c r="D8616" s="115"/>
      <c r="E8616" s="115"/>
    </row>
    <row r="8617" spans="1:5" ht="13">
      <c r="A8617" s="115"/>
      <c r="B8617" s="115"/>
      <c r="C8617" s="115"/>
      <c r="D8617" s="115"/>
      <c r="E8617" s="115"/>
    </row>
    <row r="8618" spans="1:5" ht="13">
      <c r="A8618" s="115"/>
      <c r="B8618" s="115"/>
      <c r="C8618" s="115"/>
      <c r="D8618" s="115"/>
      <c r="E8618" s="115"/>
    </row>
    <row r="8619" spans="1:5" ht="13">
      <c r="A8619" s="115"/>
      <c r="B8619" s="115"/>
      <c r="C8619" s="115"/>
      <c r="D8619" s="115"/>
      <c r="E8619" s="115"/>
    </row>
    <row r="8620" spans="1:5" ht="13">
      <c r="A8620" s="115"/>
      <c r="B8620" s="115"/>
      <c r="C8620" s="115"/>
      <c r="D8620" s="115"/>
      <c r="E8620" s="115"/>
    </row>
    <row r="8621" spans="1:5" ht="13">
      <c r="A8621" s="115"/>
      <c r="B8621" s="115"/>
      <c r="C8621" s="115"/>
      <c r="D8621" s="115"/>
      <c r="E8621" s="115"/>
    </row>
    <row r="8622" spans="1:5" ht="13">
      <c r="A8622" s="115"/>
      <c r="B8622" s="115"/>
      <c r="C8622" s="115"/>
      <c r="D8622" s="115"/>
      <c r="E8622" s="115"/>
    </row>
    <row r="8623" spans="1:5" ht="13">
      <c r="A8623" s="115"/>
      <c r="B8623" s="115"/>
      <c r="C8623" s="115"/>
      <c r="D8623" s="115"/>
      <c r="E8623" s="115"/>
    </row>
    <row r="8624" spans="1:5" ht="13">
      <c r="A8624" s="115"/>
      <c r="B8624" s="115"/>
      <c r="C8624" s="115"/>
      <c r="D8624" s="115"/>
      <c r="E8624" s="115"/>
    </row>
    <row r="8625" spans="1:5" ht="13">
      <c r="A8625" s="115"/>
      <c r="B8625" s="115"/>
      <c r="C8625" s="115"/>
      <c r="D8625" s="115"/>
      <c r="E8625" s="115"/>
    </row>
    <row r="8626" spans="1:5" ht="13">
      <c r="A8626" s="115"/>
      <c r="B8626" s="115"/>
      <c r="C8626" s="115"/>
      <c r="D8626" s="115"/>
      <c r="E8626" s="115"/>
    </row>
    <row r="8627" spans="1:5" ht="13">
      <c r="A8627" s="115"/>
      <c r="B8627" s="115"/>
      <c r="C8627" s="115"/>
      <c r="D8627" s="115"/>
      <c r="E8627" s="115"/>
    </row>
    <row r="8628" spans="1:5" ht="13">
      <c r="A8628" s="115"/>
      <c r="B8628" s="115"/>
      <c r="C8628" s="115"/>
      <c r="D8628" s="115"/>
      <c r="E8628" s="115"/>
    </row>
    <row r="8629" spans="1:5" ht="13">
      <c r="A8629" s="115"/>
      <c r="B8629" s="115"/>
      <c r="C8629" s="115"/>
      <c r="D8629" s="115"/>
      <c r="E8629" s="115"/>
    </row>
    <row r="8630" spans="1:5" ht="13">
      <c r="A8630" s="115"/>
      <c r="B8630" s="115"/>
      <c r="C8630" s="115"/>
      <c r="D8630" s="115"/>
      <c r="E8630" s="115"/>
    </row>
    <row r="8631" spans="1:5" ht="13">
      <c r="A8631" s="115"/>
      <c r="B8631" s="115"/>
      <c r="C8631" s="115"/>
      <c r="D8631" s="115"/>
      <c r="E8631" s="115"/>
    </row>
    <row r="8632" spans="1:5" ht="13">
      <c r="A8632" s="115"/>
      <c r="B8632" s="115"/>
      <c r="C8632" s="115"/>
      <c r="D8632" s="115"/>
      <c r="E8632" s="115"/>
    </row>
    <row r="8633" spans="1:5" ht="13">
      <c r="A8633" s="115"/>
      <c r="B8633" s="115"/>
      <c r="C8633" s="115"/>
      <c r="D8633" s="115"/>
      <c r="E8633" s="115"/>
    </row>
    <row r="8634" spans="1:5" ht="13">
      <c r="A8634" s="115"/>
      <c r="B8634" s="115"/>
      <c r="C8634" s="115"/>
      <c r="D8634" s="115"/>
      <c r="E8634" s="115"/>
    </row>
    <row r="8635" spans="1:5" ht="13">
      <c r="A8635" s="115"/>
      <c r="B8635" s="115"/>
      <c r="C8635" s="115"/>
      <c r="D8635" s="115"/>
      <c r="E8635" s="115"/>
    </row>
    <row r="8636" spans="1:5" ht="13">
      <c r="A8636" s="115"/>
      <c r="B8636" s="115"/>
      <c r="C8636" s="115"/>
      <c r="D8636" s="115"/>
      <c r="E8636" s="115"/>
    </row>
    <row r="8637" spans="1:5" ht="13">
      <c r="A8637" s="115"/>
      <c r="B8637" s="115"/>
      <c r="C8637" s="115"/>
      <c r="D8637" s="115"/>
      <c r="E8637" s="115"/>
    </row>
    <row r="8638" spans="1:5" ht="13">
      <c r="A8638" s="115"/>
      <c r="B8638" s="115"/>
      <c r="C8638" s="115"/>
      <c r="D8638" s="115"/>
      <c r="E8638" s="115"/>
    </row>
    <row r="8639" spans="1:5" ht="13">
      <c r="A8639" s="115"/>
      <c r="B8639" s="115"/>
      <c r="C8639" s="115"/>
      <c r="D8639" s="115"/>
      <c r="E8639" s="115"/>
    </row>
    <row r="8640" spans="1:5" ht="13">
      <c r="A8640" s="115"/>
      <c r="B8640" s="115"/>
      <c r="C8640" s="115"/>
      <c r="D8640" s="115"/>
      <c r="E8640" s="115"/>
    </row>
    <row r="8641" spans="1:5" ht="13">
      <c r="A8641" s="115"/>
      <c r="B8641" s="115"/>
      <c r="C8641" s="115"/>
      <c r="D8641" s="115"/>
      <c r="E8641" s="115"/>
    </row>
    <row r="8642" spans="1:5" ht="13">
      <c r="A8642" s="115"/>
      <c r="B8642" s="115"/>
      <c r="C8642" s="115"/>
      <c r="D8642" s="115"/>
      <c r="E8642" s="115"/>
    </row>
    <row r="8643" spans="1:5" ht="13">
      <c r="A8643" s="115"/>
      <c r="B8643" s="115"/>
      <c r="C8643" s="115"/>
      <c r="D8643" s="115"/>
      <c r="E8643" s="115"/>
    </row>
    <row r="8644" spans="1:5" ht="13">
      <c r="A8644" s="115"/>
      <c r="B8644" s="115"/>
      <c r="C8644" s="115"/>
      <c r="D8644" s="115"/>
      <c r="E8644" s="115"/>
    </row>
    <row r="8645" spans="1:5" ht="13">
      <c r="A8645" s="115"/>
      <c r="B8645" s="115"/>
      <c r="C8645" s="115"/>
      <c r="D8645" s="115"/>
      <c r="E8645" s="115"/>
    </row>
    <row r="8646" spans="1:5" ht="13">
      <c r="A8646" s="115"/>
      <c r="B8646" s="115"/>
      <c r="C8646" s="115"/>
      <c r="D8646" s="115"/>
      <c r="E8646" s="115"/>
    </row>
    <row r="8647" spans="1:5" ht="13">
      <c r="A8647" s="115"/>
      <c r="B8647" s="115"/>
      <c r="C8647" s="115"/>
      <c r="D8647" s="115"/>
      <c r="E8647" s="115"/>
    </row>
    <row r="8648" spans="1:5" ht="13">
      <c r="A8648" s="115"/>
      <c r="B8648" s="115"/>
      <c r="C8648" s="115"/>
      <c r="D8648" s="115"/>
      <c r="E8648" s="115"/>
    </row>
    <row r="8649" spans="1:5" ht="13">
      <c r="A8649" s="115"/>
      <c r="B8649" s="115"/>
      <c r="C8649" s="115"/>
      <c r="D8649" s="115"/>
      <c r="E8649" s="115"/>
    </row>
    <row r="8650" spans="1:5" ht="13">
      <c r="A8650" s="115"/>
      <c r="B8650" s="115"/>
      <c r="C8650" s="115"/>
      <c r="D8650" s="115"/>
      <c r="E8650" s="115"/>
    </row>
    <row r="8651" spans="1:5" ht="13">
      <c r="A8651" s="115"/>
      <c r="B8651" s="115"/>
      <c r="C8651" s="115"/>
      <c r="D8651" s="115"/>
      <c r="E8651" s="115"/>
    </row>
    <row r="8652" spans="1:5" ht="13">
      <c r="A8652" s="115"/>
      <c r="B8652" s="115"/>
      <c r="C8652" s="115"/>
      <c r="D8652" s="115"/>
      <c r="E8652" s="115"/>
    </row>
    <row r="8653" spans="1:5" ht="13">
      <c r="A8653" s="115"/>
      <c r="B8653" s="115"/>
      <c r="C8653" s="115"/>
      <c r="D8653" s="115"/>
      <c r="E8653" s="115"/>
    </row>
    <row r="8654" spans="1:5" ht="13">
      <c r="A8654" s="115"/>
      <c r="B8654" s="115"/>
      <c r="C8654" s="115"/>
      <c r="D8654" s="115"/>
      <c r="E8654" s="115"/>
    </row>
    <row r="8655" spans="1:5" ht="13">
      <c r="A8655" s="115"/>
      <c r="B8655" s="115"/>
      <c r="C8655" s="115"/>
      <c r="D8655" s="115"/>
      <c r="E8655" s="115"/>
    </row>
    <row r="8656" spans="1:5" ht="13">
      <c r="A8656" s="115"/>
      <c r="B8656" s="115"/>
      <c r="C8656" s="115"/>
      <c r="D8656" s="115"/>
      <c r="E8656" s="115"/>
    </row>
    <row r="8657" spans="1:5" ht="13">
      <c r="A8657" s="115"/>
      <c r="B8657" s="115"/>
      <c r="C8657" s="115"/>
      <c r="D8657" s="115"/>
      <c r="E8657" s="115"/>
    </row>
    <row r="8658" spans="1:5" ht="13">
      <c r="A8658" s="115"/>
      <c r="B8658" s="115"/>
      <c r="C8658" s="115"/>
      <c r="D8658" s="115"/>
      <c r="E8658" s="115"/>
    </row>
    <row r="8659" spans="1:5" ht="13">
      <c r="A8659" s="115"/>
      <c r="B8659" s="115"/>
      <c r="C8659" s="115"/>
      <c r="D8659" s="115"/>
      <c r="E8659" s="115"/>
    </row>
    <row r="8660" spans="1:5" ht="13">
      <c r="A8660" s="115"/>
      <c r="B8660" s="115"/>
      <c r="C8660" s="115"/>
      <c r="D8660" s="115"/>
      <c r="E8660" s="115"/>
    </row>
    <row r="8661" spans="1:5" ht="13">
      <c r="A8661" s="115"/>
      <c r="B8661" s="115"/>
      <c r="C8661" s="115"/>
      <c r="D8661" s="115"/>
      <c r="E8661" s="115"/>
    </row>
    <row r="8662" spans="1:5" ht="13">
      <c r="A8662" s="115"/>
      <c r="B8662" s="115"/>
      <c r="C8662" s="115"/>
      <c r="D8662" s="115"/>
      <c r="E8662" s="115"/>
    </row>
    <row r="8663" spans="1:5" ht="13">
      <c r="A8663" s="115"/>
      <c r="B8663" s="115"/>
      <c r="C8663" s="115"/>
      <c r="D8663" s="115"/>
      <c r="E8663" s="115"/>
    </row>
    <row r="8664" spans="1:5" ht="13">
      <c r="A8664" s="115"/>
      <c r="B8664" s="115"/>
      <c r="C8664" s="115"/>
      <c r="D8664" s="115"/>
      <c r="E8664" s="115"/>
    </row>
    <row r="8665" spans="1:5" ht="13">
      <c r="A8665" s="115"/>
      <c r="B8665" s="115"/>
      <c r="C8665" s="115"/>
      <c r="D8665" s="115"/>
      <c r="E8665" s="115"/>
    </row>
    <row r="8666" spans="1:5" ht="13">
      <c r="A8666" s="115"/>
      <c r="B8666" s="115"/>
      <c r="C8666" s="115"/>
      <c r="D8666" s="115"/>
      <c r="E8666" s="115"/>
    </row>
    <row r="8667" spans="1:5" ht="13">
      <c r="A8667" s="115"/>
      <c r="B8667" s="115"/>
      <c r="C8667" s="115"/>
      <c r="D8667" s="115"/>
      <c r="E8667" s="115"/>
    </row>
    <row r="8668" spans="1:5" ht="13">
      <c r="A8668" s="115"/>
      <c r="B8668" s="115"/>
      <c r="C8668" s="115"/>
      <c r="D8668" s="115"/>
      <c r="E8668" s="115"/>
    </row>
    <row r="8669" spans="1:5" ht="13">
      <c r="A8669" s="115"/>
      <c r="B8669" s="115"/>
      <c r="C8669" s="115"/>
      <c r="D8669" s="115"/>
      <c r="E8669" s="115"/>
    </row>
    <row r="8670" spans="1:5" ht="13">
      <c r="A8670" s="115"/>
      <c r="B8670" s="115"/>
      <c r="C8670" s="115"/>
      <c r="D8670" s="115"/>
      <c r="E8670" s="115"/>
    </row>
    <row r="8671" spans="1:5" ht="13">
      <c r="A8671" s="115"/>
      <c r="B8671" s="115"/>
      <c r="C8671" s="115"/>
      <c r="D8671" s="115"/>
      <c r="E8671" s="115"/>
    </row>
    <row r="8672" spans="1:5" ht="13">
      <c r="A8672" s="115"/>
      <c r="B8672" s="115"/>
      <c r="C8672" s="115"/>
      <c r="D8672" s="115"/>
      <c r="E8672" s="115"/>
    </row>
    <row r="8673" spans="1:5" ht="13">
      <c r="A8673" s="115"/>
      <c r="B8673" s="115"/>
      <c r="C8673" s="115"/>
      <c r="D8673" s="115"/>
      <c r="E8673" s="115"/>
    </row>
    <row r="8674" spans="1:5" ht="13">
      <c r="A8674" s="115"/>
      <c r="B8674" s="115"/>
      <c r="C8674" s="115"/>
      <c r="D8674" s="115"/>
      <c r="E8674" s="115"/>
    </row>
    <row r="8675" spans="1:5" ht="13">
      <c r="A8675" s="115"/>
      <c r="B8675" s="115"/>
      <c r="C8675" s="115"/>
      <c r="D8675" s="115"/>
      <c r="E8675" s="115"/>
    </row>
    <row r="8676" spans="1:5" ht="13">
      <c r="A8676" s="115"/>
      <c r="B8676" s="115"/>
      <c r="C8676" s="115"/>
      <c r="D8676" s="115"/>
      <c r="E8676" s="115"/>
    </row>
    <row r="8677" spans="1:5" ht="13">
      <c r="A8677" s="115"/>
      <c r="B8677" s="115"/>
      <c r="C8677" s="115"/>
      <c r="D8677" s="115"/>
      <c r="E8677" s="115"/>
    </row>
    <row r="8678" spans="1:5" ht="13">
      <c r="A8678" s="115"/>
      <c r="B8678" s="115"/>
      <c r="C8678" s="115"/>
      <c r="D8678" s="115"/>
      <c r="E8678" s="115"/>
    </row>
    <row r="8679" spans="1:5" ht="13">
      <c r="A8679" s="115"/>
      <c r="B8679" s="115"/>
      <c r="C8679" s="115"/>
      <c r="D8679" s="115"/>
      <c r="E8679" s="115"/>
    </row>
    <row r="8680" spans="1:5" ht="13">
      <c r="A8680" s="115"/>
      <c r="B8680" s="115"/>
      <c r="C8680" s="115"/>
      <c r="D8680" s="115"/>
      <c r="E8680" s="115"/>
    </row>
    <row r="8681" spans="1:5" ht="13">
      <c r="A8681" s="115"/>
      <c r="B8681" s="115"/>
      <c r="C8681" s="115"/>
      <c r="D8681" s="115"/>
      <c r="E8681" s="115"/>
    </row>
    <row r="8682" spans="1:5" ht="13">
      <c r="A8682" s="115"/>
      <c r="B8682" s="115"/>
      <c r="C8682" s="115"/>
      <c r="D8682" s="115"/>
      <c r="E8682" s="115"/>
    </row>
    <row r="8683" spans="1:5" ht="13">
      <c r="A8683" s="115"/>
      <c r="B8683" s="115"/>
      <c r="C8683" s="115"/>
      <c r="D8683" s="115"/>
      <c r="E8683" s="115"/>
    </row>
    <row r="8684" spans="1:5" ht="13">
      <c r="A8684" s="115"/>
      <c r="B8684" s="115"/>
      <c r="C8684" s="115"/>
      <c r="D8684" s="115"/>
      <c r="E8684" s="115"/>
    </row>
    <row r="8685" spans="1:5" ht="13">
      <c r="A8685" s="115"/>
      <c r="B8685" s="115"/>
      <c r="C8685" s="115"/>
      <c r="D8685" s="115"/>
      <c r="E8685" s="115"/>
    </row>
    <row r="8686" spans="1:5" ht="13">
      <c r="A8686" s="115"/>
      <c r="B8686" s="115"/>
      <c r="C8686" s="115"/>
      <c r="D8686" s="115"/>
      <c r="E8686" s="115"/>
    </row>
    <row r="8687" spans="1:5" ht="13">
      <c r="A8687" s="115"/>
      <c r="B8687" s="115"/>
      <c r="C8687" s="115"/>
      <c r="D8687" s="115"/>
      <c r="E8687" s="115"/>
    </row>
    <row r="8688" spans="1:5" ht="13">
      <c r="A8688" s="115"/>
      <c r="B8688" s="115"/>
      <c r="C8688" s="115"/>
      <c r="D8688" s="115"/>
      <c r="E8688" s="115"/>
    </row>
    <row r="8689" spans="1:5" ht="13">
      <c r="A8689" s="115"/>
      <c r="B8689" s="115"/>
      <c r="C8689" s="115"/>
      <c r="D8689" s="115"/>
      <c r="E8689" s="115"/>
    </row>
    <row r="8690" spans="1:5" ht="13">
      <c r="A8690" s="115"/>
      <c r="B8690" s="115"/>
      <c r="C8690" s="115"/>
      <c r="D8690" s="115"/>
      <c r="E8690" s="115"/>
    </row>
    <row r="8691" spans="1:5" ht="13">
      <c r="A8691" s="115"/>
      <c r="B8691" s="115"/>
      <c r="C8691" s="115"/>
      <c r="D8691" s="115"/>
      <c r="E8691" s="115"/>
    </row>
    <row r="8692" spans="1:5" ht="13">
      <c r="A8692" s="115"/>
      <c r="B8692" s="115"/>
      <c r="C8692" s="115"/>
      <c r="D8692" s="115"/>
      <c r="E8692" s="115"/>
    </row>
    <row r="8693" spans="1:5" ht="13">
      <c r="A8693" s="115"/>
      <c r="B8693" s="115"/>
      <c r="C8693" s="115"/>
      <c r="D8693" s="115"/>
      <c r="E8693" s="115"/>
    </row>
    <row r="8694" spans="1:5" ht="13">
      <c r="A8694" s="115"/>
      <c r="B8694" s="115"/>
      <c r="C8694" s="115"/>
      <c r="D8694" s="115"/>
      <c r="E8694" s="115"/>
    </row>
    <row r="8695" spans="1:5" ht="13">
      <c r="A8695" s="115"/>
      <c r="B8695" s="115"/>
      <c r="C8695" s="115"/>
      <c r="D8695" s="115"/>
      <c r="E8695" s="115"/>
    </row>
    <row r="8696" spans="1:5" ht="13">
      <c r="A8696" s="115"/>
      <c r="B8696" s="115"/>
      <c r="C8696" s="115"/>
      <c r="D8696" s="115"/>
      <c r="E8696" s="115"/>
    </row>
    <row r="8697" spans="1:5" ht="13">
      <c r="A8697" s="115"/>
      <c r="B8697" s="115"/>
      <c r="C8697" s="115"/>
      <c r="D8697" s="115"/>
      <c r="E8697" s="115"/>
    </row>
    <row r="8698" spans="1:5" ht="13">
      <c r="A8698" s="115"/>
      <c r="B8698" s="115"/>
      <c r="C8698" s="115"/>
      <c r="D8698" s="115"/>
      <c r="E8698" s="115"/>
    </row>
    <row r="8699" spans="1:5" ht="13">
      <c r="A8699" s="115"/>
      <c r="B8699" s="115"/>
      <c r="C8699" s="115"/>
      <c r="D8699" s="115"/>
      <c r="E8699" s="115"/>
    </row>
    <row r="8700" spans="1:5" ht="13">
      <c r="A8700" s="115"/>
      <c r="B8700" s="115"/>
      <c r="C8700" s="115"/>
      <c r="D8700" s="115"/>
      <c r="E8700" s="115"/>
    </row>
    <row r="8701" spans="1:5" ht="13">
      <c r="A8701" s="115"/>
      <c r="B8701" s="115"/>
      <c r="C8701" s="115"/>
      <c r="D8701" s="115"/>
      <c r="E8701" s="115"/>
    </row>
    <row r="8702" spans="1:5" ht="13">
      <c r="A8702" s="115"/>
      <c r="B8702" s="115"/>
      <c r="C8702" s="115"/>
      <c r="D8702" s="115"/>
      <c r="E8702" s="115"/>
    </row>
    <row r="8703" spans="1:5" ht="13">
      <c r="A8703" s="115"/>
      <c r="B8703" s="115"/>
      <c r="C8703" s="115"/>
      <c r="D8703" s="115"/>
      <c r="E8703" s="115"/>
    </row>
    <row r="8704" spans="1:5" ht="13">
      <c r="A8704" s="115"/>
      <c r="B8704" s="115"/>
      <c r="C8704" s="115"/>
      <c r="D8704" s="115"/>
      <c r="E8704" s="115"/>
    </row>
    <row r="8705" spans="1:5" ht="13">
      <c r="A8705" s="115"/>
      <c r="B8705" s="115"/>
      <c r="C8705" s="115"/>
      <c r="D8705" s="115"/>
      <c r="E8705" s="115"/>
    </row>
    <row r="8706" spans="1:5" ht="13">
      <c r="A8706" s="115"/>
      <c r="B8706" s="115"/>
      <c r="C8706" s="115"/>
      <c r="D8706" s="115"/>
      <c r="E8706" s="115"/>
    </row>
    <row r="8707" spans="1:5" ht="13">
      <c r="A8707" s="115"/>
      <c r="B8707" s="115"/>
      <c r="C8707" s="115"/>
      <c r="D8707" s="115"/>
      <c r="E8707" s="115"/>
    </row>
    <row r="8708" spans="1:5" ht="13">
      <c r="A8708" s="115"/>
      <c r="B8708" s="115"/>
      <c r="C8708" s="115"/>
      <c r="D8708" s="115"/>
      <c r="E8708" s="115"/>
    </row>
    <row r="8709" spans="1:5" ht="13">
      <c r="A8709" s="115"/>
      <c r="B8709" s="115"/>
      <c r="C8709" s="115"/>
      <c r="D8709" s="115"/>
      <c r="E8709" s="115"/>
    </row>
    <row r="8710" spans="1:5" ht="13">
      <c r="A8710" s="115"/>
      <c r="B8710" s="115"/>
      <c r="C8710" s="115"/>
      <c r="D8710" s="115"/>
      <c r="E8710" s="115"/>
    </row>
    <row r="8711" spans="1:5" ht="13">
      <c r="A8711" s="115"/>
      <c r="B8711" s="115"/>
      <c r="C8711" s="115"/>
      <c r="D8711" s="115"/>
      <c r="E8711" s="115"/>
    </row>
    <row r="8712" spans="1:5" ht="13">
      <c r="A8712" s="115"/>
      <c r="B8712" s="115"/>
      <c r="C8712" s="115"/>
      <c r="D8712" s="115"/>
      <c r="E8712" s="115"/>
    </row>
    <row r="8713" spans="1:5" ht="13">
      <c r="A8713" s="115"/>
      <c r="B8713" s="115"/>
      <c r="C8713" s="115"/>
      <c r="D8713" s="115"/>
      <c r="E8713" s="115"/>
    </row>
    <row r="8714" spans="1:5" ht="13">
      <c r="A8714" s="115"/>
      <c r="B8714" s="115"/>
      <c r="C8714" s="115"/>
      <c r="D8714" s="115"/>
      <c r="E8714" s="115"/>
    </row>
    <row r="8715" spans="1:5" ht="13">
      <c r="A8715" s="115"/>
      <c r="B8715" s="115"/>
      <c r="C8715" s="115"/>
      <c r="D8715" s="115"/>
      <c r="E8715" s="115"/>
    </row>
    <row r="8716" spans="1:5" ht="13">
      <c r="A8716" s="115"/>
      <c r="B8716" s="115"/>
      <c r="C8716" s="115"/>
      <c r="D8716" s="115"/>
      <c r="E8716" s="115"/>
    </row>
    <row r="8717" spans="1:5" ht="13">
      <c r="A8717" s="115"/>
      <c r="B8717" s="115"/>
      <c r="C8717" s="115"/>
      <c r="D8717" s="115"/>
      <c r="E8717" s="115"/>
    </row>
    <row r="8718" spans="1:5" ht="13">
      <c r="A8718" s="115"/>
      <c r="B8718" s="115"/>
      <c r="C8718" s="115"/>
      <c r="D8718" s="115"/>
      <c r="E8718" s="115"/>
    </row>
    <row r="8719" spans="1:5" ht="13">
      <c r="A8719" s="115"/>
      <c r="B8719" s="115"/>
      <c r="C8719" s="115"/>
      <c r="D8719" s="115"/>
      <c r="E8719" s="115"/>
    </row>
    <row r="8720" spans="1:5" ht="13">
      <c r="A8720" s="115"/>
      <c r="B8720" s="115"/>
      <c r="C8720" s="115"/>
      <c r="D8720" s="115"/>
      <c r="E8720" s="115"/>
    </row>
    <row r="8721" spans="1:5" ht="13">
      <c r="A8721" s="115"/>
      <c r="B8721" s="115"/>
      <c r="C8721" s="115"/>
      <c r="D8721" s="115"/>
      <c r="E8721" s="115"/>
    </row>
    <row r="8722" spans="1:5" ht="13">
      <c r="A8722" s="115"/>
      <c r="B8722" s="115"/>
      <c r="C8722" s="115"/>
      <c r="D8722" s="115"/>
      <c r="E8722" s="115"/>
    </row>
    <row r="8723" spans="1:5" ht="13">
      <c r="A8723" s="115"/>
      <c r="B8723" s="115"/>
      <c r="C8723" s="115"/>
      <c r="D8723" s="115"/>
      <c r="E8723" s="115"/>
    </row>
    <row r="8724" spans="1:5" ht="13">
      <c r="A8724" s="115"/>
      <c r="B8724" s="115"/>
      <c r="C8724" s="115"/>
      <c r="D8724" s="115"/>
      <c r="E8724" s="115"/>
    </row>
    <row r="8725" spans="1:5" ht="13">
      <c r="A8725" s="115"/>
      <c r="B8725" s="115"/>
      <c r="C8725" s="115"/>
      <c r="D8725" s="115"/>
      <c r="E8725" s="115"/>
    </row>
    <row r="8726" spans="1:5" ht="13">
      <c r="A8726" s="115"/>
      <c r="B8726" s="115"/>
      <c r="C8726" s="115"/>
      <c r="D8726" s="115"/>
      <c r="E8726" s="115"/>
    </row>
    <row r="8727" spans="1:5" ht="13">
      <c r="A8727" s="115"/>
      <c r="B8727" s="115"/>
      <c r="C8727" s="115"/>
      <c r="D8727" s="115"/>
      <c r="E8727" s="115"/>
    </row>
    <row r="8728" spans="1:5" ht="13">
      <c r="A8728" s="115"/>
      <c r="B8728" s="115"/>
      <c r="C8728" s="115"/>
      <c r="D8728" s="115"/>
      <c r="E8728" s="115"/>
    </row>
    <row r="8729" spans="1:5" ht="13">
      <c r="A8729" s="115"/>
      <c r="B8729" s="115"/>
      <c r="C8729" s="115"/>
      <c r="D8729" s="115"/>
      <c r="E8729" s="115"/>
    </row>
    <row r="8730" spans="1:5" ht="13">
      <c r="A8730" s="115"/>
      <c r="B8730" s="115"/>
      <c r="C8730" s="115"/>
      <c r="D8730" s="115"/>
      <c r="E8730" s="115"/>
    </row>
    <row r="8731" spans="1:5" ht="13">
      <c r="A8731" s="115"/>
      <c r="B8731" s="115"/>
      <c r="C8731" s="115"/>
      <c r="D8731" s="115"/>
      <c r="E8731" s="115"/>
    </row>
    <row r="8732" spans="1:5" ht="13">
      <c r="A8732" s="115"/>
      <c r="B8732" s="115"/>
      <c r="C8732" s="115"/>
      <c r="D8732" s="115"/>
      <c r="E8732" s="115"/>
    </row>
    <row r="8733" spans="1:5" ht="13">
      <c r="A8733" s="115"/>
      <c r="B8733" s="115"/>
      <c r="C8733" s="115"/>
      <c r="D8733" s="115"/>
      <c r="E8733" s="115"/>
    </row>
    <row r="8734" spans="1:5" ht="13">
      <c r="A8734" s="115"/>
      <c r="B8734" s="115"/>
      <c r="C8734" s="115"/>
      <c r="D8734" s="115"/>
      <c r="E8734" s="115"/>
    </row>
    <row r="8735" spans="1:5" ht="13">
      <c r="A8735" s="115"/>
      <c r="B8735" s="115"/>
      <c r="C8735" s="115"/>
      <c r="D8735" s="115"/>
      <c r="E8735" s="115"/>
    </row>
    <row r="8736" spans="1:5" ht="13">
      <c r="A8736" s="115"/>
      <c r="B8736" s="115"/>
      <c r="C8736" s="115"/>
      <c r="D8736" s="115"/>
      <c r="E8736" s="115"/>
    </row>
    <row r="8737" spans="1:5" ht="13">
      <c r="A8737" s="115"/>
      <c r="B8737" s="115"/>
      <c r="C8737" s="115"/>
      <c r="D8737" s="115"/>
      <c r="E8737" s="115"/>
    </row>
    <row r="8738" spans="1:5" ht="13">
      <c r="A8738" s="115"/>
      <c r="B8738" s="115"/>
      <c r="C8738" s="115"/>
      <c r="D8738" s="115"/>
      <c r="E8738" s="115"/>
    </row>
    <row r="8739" spans="1:5" ht="13">
      <c r="A8739" s="115"/>
      <c r="B8739" s="115"/>
      <c r="C8739" s="115"/>
      <c r="D8739" s="115"/>
      <c r="E8739" s="115"/>
    </row>
    <row r="8740" spans="1:5" ht="13">
      <c r="A8740" s="115"/>
      <c r="B8740" s="115"/>
      <c r="C8740" s="115"/>
      <c r="D8740" s="115"/>
      <c r="E8740" s="115"/>
    </row>
    <row r="8741" spans="1:5" ht="13">
      <c r="A8741" s="115"/>
      <c r="B8741" s="115"/>
      <c r="C8741" s="115"/>
      <c r="D8741" s="115"/>
      <c r="E8741" s="115"/>
    </row>
    <row r="8742" spans="1:5" ht="13">
      <c r="A8742" s="115"/>
      <c r="B8742" s="115"/>
      <c r="C8742" s="115"/>
      <c r="D8742" s="115"/>
      <c r="E8742" s="115"/>
    </row>
    <row r="8743" spans="1:5" ht="13">
      <c r="A8743" s="115"/>
      <c r="B8743" s="115"/>
      <c r="C8743" s="115"/>
      <c r="D8743" s="115"/>
      <c r="E8743" s="115"/>
    </row>
    <row r="8744" spans="1:5" ht="13">
      <c r="A8744" s="115"/>
      <c r="B8744" s="115"/>
      <c r="C8744" s="115"/>
      <c r="D8744" s="115"/>
      <c r="E8744" s="115"/>
    </row>
    <row r="8745" spans="1:5" ht="13">
      <c r="A8745" s="115"/>
      <c r="B8745" s="115"/>
      <c r="C8745" s="115"/>
      <c r="D8745" s="115"/>
      <c r="E8745" s="115"/>
    </row>
    <row r="8746" spans="1:5" ht="13">
      <c r="A8746" s="115"/>
      <c r="B8746" s="115"/>
      <c r="C8746" s="115"/>
      <c r="D8746" s="115"/>
      <c r="E8746" s="115"/>
    </row>
    <row r="8747" spans="1:5" ht="13">
      <c r="A8747" s="115"/>
      <c r="B8747" s="115"/>
      <c r="C8747" s="115"/>
      <c r="D8747" s="115"/>
      <c r="E8747" s="115"/>
    </row>
    <row r="8748" spans="1:5" ht="13">
      <c r="A8748" s="115"/>
      <c r="B8748" s="115"/>
      <c r="C8748" s="115"/>
      <c r="D8748" s="115"/>
      <c r="E8748" s="115"/>
    </row>
    <row r="8749" spans="1:5" ht="13">
      <c r="A8749" s="115"/>
      <c r="B8749" s="115"/>
      <c r="C8749" s="115"/>
      <c r="D8749" s="115"/>
      <c r="E8749" s="115"/>
    </row>
    <row r="8750" spans="1:5" ht="13">
      <c r="A8750" s="115"/>
      <c r="B8750" s="115"/>
      <c r="C8750" s="115"/>
      <c r="D8750" s="115"/>
      <c r="E8750" s="115"/>
    </row>
    <row r="8751" spans="1:5" ht="13">
      <c r="A8751" s="115"/>
      <c r="B8751" s="115"/>
      <c r="C8751" s="115"/>
      <c r="D8751" s="115"/>
      <c r="E8751" s="115"/>
    </row>
    <row r="8752" spans="1:5" ht="13">
      <c r="A8752" s="115"/>
      <c r="B8752" s="115"/>
      <c r="C8752" s="115"/>
      <c r="D8752" s="115"/>
      <c r="E8752" s="115"/>
    </row>
    <row r="8753" spans="1:5" ht="13">
      <c r="A8753" s="115"/>
      <c r="B8753" s="115"/>
      <c r="C8753" s="115"/>
      <c r="D8753" s="115"/>
      <c r="E8753" s="115"/>
    </row>
    <row r="8754" spans="1:5" ht="13">
      <c r="A8754" s="115"/>
      <c r="B8754" s="115"/>
      <c r="C8754" s="115"/>
      <c r="D8754" s="115"/>
      <c r="E8754" s="115"/>
    </row>
    <row r="8755" spans="1:5" ht="13">
      <c r="A8755" s="115"/>
      <c r="B8755" s="115"/>
      <c r="C8755" s="115"/>
      <c r="D8755" s="115"/>
      <c r="E8755" s="115"/>
    </row>
    <row r="8756" spans="1:5" ht="13">
      <c r="A8756" s="115"/>
      <c r="B8756" s="115"/>
      <c r="C8756" s="115"/>
      <c r="D8756" s="115"/>
      <c r="E8756" s="115"/>
    </row>
    <row r="8757" spans="1:5" ht="13">
      <c r="A8757" s="115"/>
      <c r="B8757" s="115"/>
      <c r="C8757" s="115"/>
      <c r="D8757" s="115"/>
      <c r="E8757" s="115"/>
    </row>
    <row r="8758" spans="1:5" ht="13">
      <c r="A8758" s="115"/>
      <c r="B8758" s="115"/>
      <c r="C8758" s="115"/>
      <c r="D8758" s="115"/>
      <c r="E8758" s="115"/>
    </row>
    <row r="8759" spans="1:5" ht="13">
      <c r="A8759" s="115"/>
      <c r="B8759" s="115"/>
      <c r="C8759" s="115"/>
      <c r="D8759" s="115"/>
      <c r="E8759" s="115"/>
    </row>
    <row r="8760" spans="1:5" ht="13">
      <c r="A8760" s="115"/>
      <c r="B8760" s="115"/>
      <c r="C8760" s="115"/>
      <c r="D8760" s="115"/>
      <c r="E8760" s="115"/>
    </row>
    <row r="8761" spans="1:5" ht="13">
      <c r="A8761" s="115"/>
      <c r="B8761" s="115"/>
      <c r="C8761" s="115"/>
      <c r="D8761" s="115"/>
      <c r="E8761" s="115"/>
    </row>
    <row r="8762" spans="1:5" ht="13">
      <c r="A8762" s="115"/>
      <c r="B8762" s="115"/>
      <c r="C8762" s="115"/>
      <c r="D8762" s="115"/>
      <c r="E8762" s="115"/>
    </row>
    <row r="8763" spans="1:5" ht="13">
      <c r="A8763" s="115"/>
      <c r="B8763" s="115"/>
      <c r="C8763" s="115"/>
      <c r="D8763" s="115"/>
      <c r="E8763" s="115"/>
    </row>
    <row r="8764" spans="1:5" ht="13">
      <c r="A8764" s="115"/>
      <c r="B8764" s="115"/>
      <c r="C8764" s="115"/>
      <c r="D8764" s="115"/>
      <c r="E8764" s="115"/>
    </row>
    <row r="8765" spans="1:5" ht="13">
      <c r="A8765" s="115"/>
      <c r="B8765" s="115"/>
      <c r="C8765" s="115"/>
      <c r="D8765" s="115"/>
      <c r="E8765" s="115"/>
    </row>
    <row r="8766" spans="1:5" ht="13">
      <c r="A8766" s="115"/>
      <c r="B8766" s="115"/>
      <c r="C8766" s="115"/>
      <c r="D8766" s="115"/>
      <c r="E8766" s="115"/>
    </row>
    <row r="8767" spans="1:5" ht="13">
      <c r="A8767" s="115"/>
      <c r="B8767" s="115"/>
      <c r="C8767" s="115"/>
      <c r="D8767" s="115"/>
      <c r="E8767" s="115"/>
    </row>
    <row r="8768" spans="1:5" ht="13">
      <c r="A8768" s="115"/>
      <c r="B8768" s="115"/>
      <c r="C8768" s="115"/>
      <c r="D8768" s="115"/>
      <c r="E8768" s="115"/>
    </row>
    <row r="8769" spans="1:5" ht="13">
      <c r="A8769" s="115"/>
      <c r="B8769" s="115"/>
      <c r="C8769" s="115"/>
      <c r="D8769" s="115"/>
      <c r="E8769" s="115"/>
    </row>
    <row r="8770" spans="1:5" ht="13">
      <c r="A8770" s="115"/>
      <c r="B8770" s="115"/>
      <c r="C8770" s="115"/>
      <c r="D8770" s="115"/>
      <c r="E8770" s="115"/>
    </row>
    <row r="8771" spans="1:5" ht="13">
      <c r="A8771" s="115"/>
      <c r="B8771" s="115"/>
      <c r="C8771" s="115"/>
      <c r="D8771" s="115"/>
      <c r="E8771" s="115"/>
    </row>
    <row r="8772" spans="1:5" ht="13">
      <c r="A8772" s="115"/>
      <c r="B8772" s="115"/>
      <c r="C8772" s="115"/>
      <c r="D8772" s="115"/>
      <c r="E8772" s="115"/>
    </row>
    <row r="8773" spans="1:5" ht="13">
      <c r="A8773" s="115"/>
      <c r="B8773" s="115"/>
      <c r="C8773" s="115"/>
      <c r="D8773" s="115"/>
      <c r="E8773" s="115"/>
    </row>
    <row r="8774" spans="1:5" ht="13">
      <c r="A8774" s="115"/>
      <c r="B8774" s="115"/>
      <c r="C8774" s="115"/>
      <c r="D8774" s="115"/>
      <c r="E8774" s="115"/>
    </row>
    <row r="8775" spans="1:5" ht="13">
      <c r="A8775" s="115"/>
      <c r="B8775" s="115"/>
      <c r="C8775" s="115"/>
      <c r="D8775" s="115"/>
      <c r="E8775" s="115"/>
    </row>
    <row r="8776" spans="1:5" ht="13">
      <c r="A8776" s="115"/>
      <c r="B8776" s="115"/>
      <c r="C8776" s="115"/>
      <c r="D8776" s="115"/>
      <c r="E8776" s="115"/>
    </row>
    <row r="8777" spans="1:5" ht="13">
      <c r="A8777" s="115"/>
      <c r="B8777" s="115"/>
      <c r="C8777" s="115"/>
      <c r="D8777" s="115"/>
      <c r="E8777" s="115"/>
    </row>
    <row r="8778" spans="1:5" ht="13">
      <c r="A8778" s="115"/>
      <c r="B8778" s="115"/>
      <c r="C8778" s="115"/>
      <c r="D8778" s="115"/>
      <c r="E8778" s="115"/>
    </row>
    <row r="8779" spans="1:5" ht="13">
      <c r="A8779" s="115"/>
      <c r="B8779" s="115"/>
      <c r="C8779" s="115"/>
      <c r="D8779" s="115"/>
      <c r="E8779" s="115"/>
    </row>
    <row r="8780" spans="1:5" ht="13">
      <c r="A8780" s="115"/>
      <c r="B8780" s="115"/>
      <c r="C8780" s="115"/>
      <c r="D8780" s="115"/>
      <c r="E8780" s="115"/>
    </row>
    <row r="8781" spans="1:5" ht="13">
      <c r="A8781" s="115"/>
      <c r="B8781" s="115"/>
      <c r="C8781" s="115"/>
      <c r="D8781" s="115"/>
      <c r="E8781" s="115"/>
    </row>
    <row r="8782" spans="1:5" ht="13">
      <c r="A8782" s="115"/>
      <c r="B8782" s="115"/>
      <c r="C8782" s="115"/>
      <c r="D8782" s="115"/>
      <c r="E8782" s="115"/>
    </row>
    <row r="8783" spans="1:5" ht="13">
      <c r="A8783" s="115"/>
      <c r="B8783" s="115"/>
      <c r="C8783" s="115"/>
      <c r="D8783" s="115"/>
      <c r="E8783" s="115"/>
    </row>
    <row r="8784" spans="1:5" ht="13">
      <c r="A8784" s="115"/>
      <c r="B8784" s="115"/>
      <c r="C8784" s="115"/>
      <c r="D8784" s="115"/>
      <c r="E8784" s="115"/>
    </row>
    <row r="8785" spans="1:5" ht="13">
      <c r="A8785" s="115"/>
      <c r="B8785" s="115"/>
      <c r="C8785" s="115"/>
      <c r="D8785" s="115"/>
      <c r="E8785" s="115"/>
    </row>
    <row r="8786" spans="1:5" ht="13">
      <c r="A8786" s="115"/>
      <c r="B8786" s="115"/>
      <c r="C8786" s="115"/>
      <c r="D8786" s="115"/>
      <c r="E8786" s="115"/>
    </row>
    <row r="8787" spans="1:5" ht="13">
      <c r="A8787" s="115"/>
      <c r="B8787" s="115"/>
      <c r="C8787" s="115"/>
      <c r="D8787" s="115"/>
      <c r="E8787" s="115"/>
    </row>
    <row r="8788" spans="1:5" ht="13">
      <c r="A8788" s="115"/>
      <c r="B8788" s="115"/>
      <c r="C8788" s="115"/>
      <c r="D8788" s="115"/>
      <c r="E8788" s="115"/>
    </row>
    <row r="8789" spans="1:5" ht="13">
      <c r="A8789" s="115"/>
      <c r="B8789" s="115"/>
      <c r="C8789" s="115"/>
      <c r="D8789" s="115"/>
      <c r="E8789" s="115"/>
    </row>
    <row r="8790" spans="1:5" ht="13">
      <c r="A8790" s="115"/>
      <c r="B8790" s="115"/>
      <c r="C8790" s="115"/>
      <c r="D8790" s="115"/>
      <c r="E8790" s="115"/>
    </row>
    <row r="8791" spans="1:5" ht="13">
      <c r="A8791" s="115"/>
      <c r="B8791" s="115"/>
      <c r="C8791" s="115"/>
      <c r="D8791" s="115"/>
      <c r="E8791" s="115"/>
    </row>
    <row r="8792" spans="1:5" ht="13">
      <c r="A8792" s="115"/>
      <c r="B8792" s="115"/>
      <c r="C8792" s="115"/>
      <c r="D8792" s="115"/>
      <c r="E8792" s="115"/>
    </row>
    <row r="8793" spans="1:5" ht="13">
      <c r="A8793" s="115"/>
      <c r="B8793" s="115"/>
      <c r="C8793" s="115"/>
      <c r="D8793" s="115"/>
      <c r="E8793" s="115"/>
    </row>
    <row r="8794" spans="1:5" ht="13">
      <c r="A8794" s="115"/>
      <c r="B8794" s="115"/>
      <c r="C8794" s="115"/>
      <c r="D8794" s="115"/>
      <c r="E8794" s="115"/>
    </row>
    <row r="8795" spans="1:5" ht="13">
      <c r="A8795" s="115"/>
      <c r="B8795" s="115"/>
      <c r="C8795" s="115"/>
      <c r="D8795" s="115"/>
      <c r="E8795" s="115"/>
    </row>
    <row r="8796" spans="1:5" ht="13">
      <c r="A8796" s="115"/>
      <c r="B8796" s="115"/>
      <c r="C8796" s="115"/>
      <c r="D8796" s="115"/>
      <c r="E8796" s="115"/>
    </row>
    <row r="8797" spans="1:5" ht="13">
      <c r="A8797" s="115"/>
      <c r="B8797" s="115"/>
      <c r="C8797" s="115"/>
      <c r="D8797" s="115"/>
      <c r="E8797" s="115"/>
    </row>
    <row r="8798" spans="1:5" ht="13">
      <c r="A8798" s="115"/>
      <c r="B8798" s="115"/>
      <c r="C8798" s="115"/>
      <c r="D8798" s="115"/>
      <c r="E8798" s="115"/>
    </row>
    <row r="8799" spans="1:5" ht="13">
      <c r="A8799" s="115"/>
      <c r="B8799" s="115"/>
      <c r="C8799" s="115"/>
      <c r="D8799" s="115"/>
      <c r="E8799" s="115"/>
    </row>
    <row r="8800" spans="1:5" ht="13">
      <c r="A8800" s="115"/>
      <c r="B8800" s="115"/>
      <c r="C8800" s="115"/>
      <c r="D8800" s="115"/>
      <c r="E8800" s="115"/>
    </row>
    <row r="8801" spans="1:5" ht="13">
      <c r="A8801" s="115"/>
      <c r="B8801" s="115"/>
      <c r="C8801" s="115"/>
      <c r="D8801" s="115"/>
      <c r="E8801" s="115"/>
    </row>
    <row r="8802" spans="1:5" ht="13">
      <c r="A8802" s="115"/>
      <c r="B8802" s="115"/>
      <c r="C8802" s="115"/>
      <c r="D8802" s="115"/>
      <c r="E8802" s="115"/>
    </row>
    <row r="8803" spans="1:5" ht="13">
      <c r="A8803" s="115"/>
      <c r="B8803" s="115"/>
      <c r="C8803" s="115"/>
      <c r="D8803" s="115"/>
      <c r="E8803" s="115"/>
    </row>
    <row r="8804" spans="1:5" ht="13">
      <c r="A8804" s="115"/>
      <c r="B8804" s="115"/>
      <c r="C8804" s="115"/>
      <c r="D8804" s="115"/>
      <c r="E8804" s="115"/>
    </row>
    <row r="8805" spans="1:5" ht="13">
      <c r="A8805" s="115"/>
      <c r="B8805" s="115"/>
      <c r="C8805" s="115"/>
      <c r="D8805" s="115"/>
      <c r="E8805" s="115"/>
    </row>
    <row r="8806" spans="1:5" ht="13">
      <c r="A8806" s="115"/>
      <c r="B8806" s="115"/>
      <c r="C8806" s="115"/>
      <c r="D8806" s="115"/>
      <c r="E8806" s="115"/>
    </row>
    <row r="8807" spans="1:5" ht="13">
      <c r="A8807" s="115"/>
      <c r="B8807" s="115"/>
      <c r="C8807" s="115"/>
      <c r="D8807" s="115"/>
      <c r="E8807" s="115"/>
    </row>
    <row r="8808" spans="1:5" ht="13">
      <c r="A8808" s="115"/>
      <c r="B8808" s="115"/>
      <c r="C8808" s="115"/>
      <c r="D8808" s="115"/>
      <c r="E8808" s="115"/>
    </row>
    <row r="8809" spans="1:5" ht="13">
      <c r="A8809" s="115"/>
      <c r="B8809" s="115"/>
      <c r="C8809" s="115"/>
      <c r="D8809" s="115"/>
      <c r="E8809" s="115"/>
    </row>
    <row r="8810" spans="1:5" ht="13">
      <c r="A8810" s="115"/>
      <c r="B8810" s="115"/>
      <c r="C8810" s="115"/>
      <c r="D8810" s="115"/>
      <c r="E8810" s="115"/>
    </row>
    <row r="8811" spans="1:5" ht="13">
      <c r="A8811" s="115"/>
      <c r="B8811" s="115"/>
      <c r="C8811" s="115"/>
      <c r="D8811" s="115"/>
      <c r="E8811" s="115"/>
    </row>
    <row r="8812" spans="1:5" ht="13">
      <c r="A8812" s="115"/>
      <c r="B8812" s="115"/>
      <c r="C8812" s="115"/>
      <c r="D8812" s="115"/>
      <c r="E8812" s="115"/>
    </row>
    <row r="8813" spans="1:5" ht="13">
      <c r="A8813" s="115"/>
      <c r="B8813" s="115"/>
      <c r="C8813" s="115"/>
      <c r="D8813" s="115"/>
      <c r="E8813" s="115"/>
    </row>
    <row r="8814" spans="1:5" ht="13">
      <c r="A8814" s="115"/>
      <c r="B8814" s="115"/>
      <c r="C8814" s="115"/>
      <c r="D8814" s="115"/>
      <c r="E8814" s="115"/>
    </row>
    <row r="8815" spans="1:5" ht="13">
      <c r="A8815" s="115"/>
      <c r="B8815" s="115"/>
      <c r="C8815" s="115"/>
      <c r="D8815" s="115"/>
      <c r="E8815" s="115"/>
    </row>
    <row r="8816" spans="1:5" ht="13">
      <c r="A8816" s="115"/>
      <c r="B8816" s="115"/>
      <c r="C8816" s="115"/>
      <c r="D8816" s="115"/>
      <c r="E8816" s="115"/>
    </row>
    <row r="8817" spans="1:5" ht="13">
      <c r="A8817" s="115"/>
      <c r="B8817" s="115"/>
      <c r="C8817" s="115"/>
      <c r="D8817" s="115"/>
      <c r="E8817" s="115"/>
    </row>
    <row r="8818" spans="1:5" ht="13">
      <c r="A8818" s="115"/>
      <c r="B8818" s="115"/>
      <c r="C8818" s="115"/>
      <c r="D8818" s="115"/>
      <c r="E8818" s="115"/>
    </row>
    <row r="8819" spans="1:5" ht="13">
      <c r="A8819" s="115"/>
      <c r="B8819" s="115"/>
      <c r="C8819" s="115"/>
      <c r="D8819" s="115"/>
      <c r="E8819" s="115"/>
    </row>
    <row r="8820" spans="1:5" ht="13">
      <c r="A8820" s="115"/>
      <c r="B8820" s="115"/>
      <c r="C8820" s="115"/>
      <c r="D8820" s="115"/>
      <c r="E8820" s="115"/>
    </row>
    <row r="8821" spans="1:5" ht="13">
      <c r="A8821" s="115"/>
      <c r="B8821" s="115"/>
      <c r="C8821" s="115"/>
      <c r="D8821" s="115"/>
      <c r="E8821" s="115"/>
    </row>
    <row r="8822" spans="1:5" ht="13">
      <c r="A8822" s="115"/>
      <c r="B8822" s="115"/>
      <c r="C8822" s="115"/>
      <c r="D8822" s="115"/>
      <c r="E8822" s="115"/>
    </row>
    <row r="8823" spans="1:5" ht="13">
      <c r="A8823" s="115"/>
      <c r="B8823" s="115"/>
      <c r="C8823" s="115"/>
      <c r="D8823" s="115"/>
      <c r="E8823" s="115"/>
    </row>
    <row r="8824" spans="1:5" ht="13">
      <c r="A8824" s="115"/>
      <c r="B8824" s="115"/>
      <c r="C8824" s="115"/>
      <c r="D8824" s="115"/>
      <c r="E8824" s="115"/>
    </row>
    <row r="8825" spans="1:5" ht="13">
      <c r="A8825" s="115"/>
      <c r="B8825" s="115"/>
      <c r="C8825" s="115"/>
      <c r="D8825" s="115"/>
      <c r="E8825" s="115"/>
    </row>
    <row r="8826" spans="1:5" ht="13">
      <c r="A8826" s="115"/>
      <c r="B8826" s="115"/>
      <c r="C8826" s="115"/>
      <c r="D8826" s="115"/>
      <c r="E8826" s="115"/>
    </row>
    <row r="8827" spans="1:5" ht="13">
      <c r="A8827" s="115"/>
      <c r="B8827" s="115"/>
      <c r="C8827" s="115"/>
      <c r="D8827" s="115"/>
      <c r="E8827" s="115"/>
    </row>
    <row r="8828" spans="1:5" ht="13">
      <c r="A8828" s="115"/>
      <c r="B8828" s="115"/>
      <c r="C8828" s="115"/>
      <c r="D8828" s="115"/>
      <c r="E8828" s="115"/>
    </row>
    <row r="8829" spans="1:5" ht="13">
      <c r="A8829" s="115"/>
      <c r="B8829" s="115"/>
      <c r="C8829" s="115"/>
      <c r="D8829" s="115"/>
      <c r="E8829" s="115"/>
    </row>
    <row r="8830" spans="1:5" ht="13">
      <c r="A8830" s="115"/>
      <c r="B8830" s="115"/>
      <c r="C8830" s="115"/>
      <c r="D8830" s="115"/>
      <c r="E8830" s="115"/>
    </row>
    <row r="8831" spans="1:5" ht="13">
      <c r="A8831" s="115"/>
      <c r="B8831" s="115"/>
      <c r="C8831" s="115"/>
      <c r="D8831" s="115"/>
      <c r="E8831" s="115"/>
    </row>
    <row r="8832" spans="1:5" ht="13">
      <c r="A8832" s="115"/>
      <c r="B8832" s="115"/>
      <c r="C8832" s="115"/>
      <c r="D8832" s="115"/>
      <c r="E8832" s="115"/>
    </row>
    <row r="8833" spans="1:5" ht="13">
      <c r="A8833" s="115"/>
      <c r="B8833" s="115"/>
      <c r="C8833" s="115"/>
      <c r="D8833" s="115"/>
      <c r="E8833" s="115"/>
    </row>
    <row r="8834" spans="1:5" ht="13">
      <c r="A8834" s="115"/>
      <c r="B8834" s="115"/>
      <c r="C8834" s="115"/>
      <c r="D8834" s="115"/>
      <c r="E8834" s="115"/>
    </row>
    <row r="8835" spans="1:5" ht="13">
      <c r="A8835" s="115"/>
      <c r="B8835" s="115"/>
      <c r="C8835" s="115"/>
      <c r="D8835" s="115"/>
      <c r="E8835" s="115"/>
    </row>
    <row r="8836" spans="1:5" ht="13">
      <c r="A8836" s="115"/>
      <c r="B8836" s="115"/>
      <c r="C8836" s="115"/>
      <c r="D8836" s="115"/>
      <c r="E8836" s="115"/>
    </row>
    <row r="8837" spans="1:5" ht="13">
      <c r="A8837" s="115"/>
      <c r="B8837" s="115"/>
      <c r="C8837" s="115"/>
      <c r="D8837" s="115"/>
      <c r="E8837" s="115"/>
    </row>
    <row r="8838" spans="1:5" ht="13">
      <c r="A8838" s="115"/>
      <c r="B8838" s="115"/>
      <c r="C8838" s="115"/>
      <c r="D8838" s="115"/>
      <c r="E8838" s="115"/>
    </row>
    <row r="8839" spans="1:5" ht="13">
      <c r="A8839" s="115"/>
      <c r="B8839" s="115"/>
      <c r="C8839" s="115"/>
      <c r="D8839" s="115"/>
      <c r="E8839" s="115"/>
    </row>
    <row r="8840" spans="1:5" ht="13">
      <c r="A8840" s="115"/>
      <c r="B8840" s="115"/>
      <c r="C8840" s="115"/>
      <c r="D8840" s="115"/>
      <c r="E8840" s="115"/>
    </row>
    <row r="8841" spans="1:5" ht="13">
      <c r="A8841" s="115"/>
      <c r="B8841" s="115"/>
      <c r="C8841" s="115"/>
      <c r="D8841" s="115"/>
      <c r="E8841" s="115"/>
    </row>
    <row r="8842" spans="1:5" ht="13">
      <c r="A8842" s="115"/>
      <c r="B8842" s="115"/>
      <c r="C8842" s="115"/>
      <c r="D8842" s="115"/>
      <c r="E8842" s="115"/>
    </row>
    <row r="8843" spans="1:5" ht="13">
      <c r="A8843" s="115"/>
      <c r="B8843" s="115"/>
      <c r="C8843" s="115"/>
      <c r="D8843" s="115"/>
      <c r="E8843" s="115"/>
    </row>
    <row r="8844" spans="1:5" ht="13">
      <c r="A8844" s="115"/>
      <c r="B8844" s="115"/>
      <c r="C8844" s="115"/>
      <c r="D8844" s="115"/>
      <c r="E8844" s="115"/>
    </row>
    <row r="8845" spans="1:5" ht="13">
      <c r="A8845" s="115"/>
      <c r="B8845" s="115"/>
      <c r="C8845" s="115"/>
      <c r="D8845" s="115"/>
      <c r="E8845" s="115"/>
    </row>
    <row r="8846" spans="1:5" ht="13">
      <c r="A8846" s="115"/>
      <c r="B8846" s="115"/>
      <c r="C8846" s="115"/>
      <c r="D8846" s="115"/>
      <c r="E8846" s="115"/>
    </row>
    <row r="8847" spans="1:5" ht="13">
      <c r="A8847" s="115"/>
      <c r="B8847" s="115"/>
      <c r="C8847" s="115"/>
      <c r="D8847" s="115"/>
      <c r="E8847" s="115"/>
    </row>
    <row r="8848" spans="1:5" ht="13">
      <c r="A8848" s="115"/>
      <c r="B8848" s="115"/>
      <c r="C8848" s="115"/>
      <c r="D8848" s="115"/>
      <c r="E8848" s="115"/>
    </row>
    <row r="8849" spans="1:5" ht="13">
      <c r="A8849" s="115"/>
      <c r="B8849" s="115"/>
      <c r="C8849" s="115"/>
      <c r="D8849" s="115"/>
      <c r="E8849" s="115"/>
    </row>
    <row r="8850" spans="1:5" ht="13">
      <c r="A8850" s="115"/>
      <c r="B8850" s="115"/>
      <c r="C8850" s="115"/>
      <c r="D8850" s="115"/>
      <c r="E8850" s="115"/>
    </row>
    <row r="8851" spans="1:5" ht="13">
      <c r="A8851" s="115"/>
      <c r="B8851" s="115"/>
      <c r="C8851" s="115"/>
      <c r="D8851" s="115"/>
      <c r="E8851" s="115"/>
    </row>
    <row r="8852" spans="1:5" ht="13">
      <c r="A8852" s="115"/>
      <c r="B8852" s="115"/>
      <c r="C8852" s="115"/>
      <c r="D8852" s="115"/>
      <c r="E8852" s="115"/>
    </row>
    <row r="8853" spans="1:5" ht="13">
      <c r="A8853" s="115"/>
      <c r="B8853" s="115"/>
      <c r="C8853" s="115"/>
      <c r="D8853" s="115"/>
      <c r="E8853" s="115"/>
    </row>
    <row r="8854" spans="1:5" ht="13">
      <c r="A8854" s="115"/>
      <c r="B8854" s="115"/>
      <c r="C8854" s="115"/>
      <c r="D8854" s="115"/>
      <c r="E8854" s="115"/>
    </row>
    <row r="8855" spans="1:5" ht="13">
      <c r="A8855" s="115"/>
      <c r="B8855" s="115"/>
      <c r="C8855" s="115"/>
      <c r="D8855" s="115"/>
      <c r="E8855" s="115"/>
    </row>
    <row r="8856" spans="1:5" ht="13">
      <c r="A8856" s="115"/>
      <c r="B8856" s="115"/>
      <c r="C8856" s="115"/>
      <c r="D8856" s="115"/>
      <c r="E8856" s="115"/>
    </row>
    <row r="8857" spans="1:5" ht="13">
      <c r="A8857" s="115"/>
      <c r="B8857" s="115"/>
      <c r="C8857" s="115"/>
      <c r="D8857" s="115"/>
      <c r="E8857" s="115"/>
    </row>
    <row r="8858" spans="1:5" ht="13">
      <c r="A8858" s="115"/>
      <c r="B8858" s="115"/>
      <c r="C8858" s="115"/>
      <c r="D8858" s="115"/>
      <c r="E8858" s="115"/>
    </row>
    <row r="8859" spans="1:5" ht="13">
      <c r="A8859" s="115"/>
      <c r="B8859" s="115"/>
      <c r="C8859" s="115"/>
      <c r="D8859" s="115"/>
      <c r="E8859" s="115"/>
    </row>
    <row r="8860" spans="1:5" ht="13">
      <c r="A8860" s="115"/>
      <c r="B8860" s="115"/>
      <c r="C8860" s="115"/>
      <c r="D8860" s="115"/>
      <c r="E8860" s="115"/>
    </row>
    <row r="8861" spans="1:5" ht="13">
      <c r="A8861" s="115"/>
      <c r="B8861" s="115"/>
      <c r="C8861" s="115"/>
      <c r="D8861" s="115"/>
      <c r="E8861" s="115"/>
    </row>
    <row r="8862" spans="1:5" ht="13">
      <c r="A8862" s="115"/>
      <c r="B8862" s="115"/>
      <c r="C8862" s="115"/>
      <c r="D8862" s="115"/>
      <c r="E8862" s="115"/>
    </row>
    <row r="8863" spans="1:5" ht="13">
      <c r="A8863" s="115"/>
      <c r="B8863" s="115"/>
      <c r="C8863" s="115"/>
      <c r="D8863" s="115"/>
      <c r="E8863" s="115"/>
    </row>
    <row r="8864" spans="1:5" ht="13">
      <c r="A8864" s="115"/>
      <c r="B8864" s="115"/>
      <c r="C8864" s="115"/>
      <c r="D8864" s="115"/>
      <c r="E8864" s="115"/>
    </row>
    <row r="8865" spans="1:5" ht="13">
      <c r="A8865" s="115"/>
      <c r="B8865" s="115"/>
      <c r="C8865" s="115"/>
      <c r="D8865" s="115"/>
      <c r="E8865" s="115"/>
    </row>
    <row r="8866" spans="1:5" ht="13">
      <c r="A8866" s="115"/>
      <c r="B8866" s="115"/>
      <c r="C8866" s="115"/>
      <c r="D8866" s="115"/>
      <c r="E8866" s="115"/>
    </row>
    <row r="8867" spans="1:5" ht="13">
      <c r="A8867" s="115"/>
      <c r="B8867" s="115"/>
      <c r="C8867" s="115"/>
      <c r="D8867" s="115"/>
      <c r="E8867" s="115"/>
    </row>
    <row r="8868" spans="1:5" ht="13">
      <c r="A8868" s="115"/>
      <c r="B8868" s="115"/>
      <c r="C8868" s="115"/>
      <c r="D8868" s="115"/>
      <c r="E8868" s="115"/>
    </row>
    <row r="8869" spans="1:5" ht="13">
      <c r="A8869" s="115"/>
      <c r="B8869" s="115"/>
      <c r="C8869" s="115"/>
      <c r="D8869" s="115"/>
      <c r="E8869" s="115"/>
    </row>
    <row r="8870" spans="1:5" ht="13">
      <c r="A8870" s="115"/>
      <c r="B8870" s="115"/>
      <c r="C8870" s="115"/>
      <c r="D8870" s="115"/>
      <c r="E8870" s="115"/>
    </row>
    <row r="8871" spans="1:5" ht="13">
      <c r="A8871" s="115"/>
      <c r="B8871" s="115"/>
      <c r="C8871" s="115"/>
      <c r="D8871" s="115"/>
      <c r="E8871" s="115"/>
    </row>
    <row r="8872" spans="1:5" ht="13">
      <c r="A8872" s="115"/>
      <c r="B8872" s="115"/>
      <c r="C8872" s="115"/>
      <c r="D8872" s="115"/>
      <c r="E8872" s="115"/>
    </row>
    <row r="8873" spans="1:5" ht="13">
      <c r="A8873" s="115"/>
      <c r="B8873" s="115"/>
      <c r="C8873" s="115"/>
      <c r="D8873" s="115"/>
      <c r="E8873" s="115"/>
    </row>
    <row r="8874" spans="1:5" ht="13">
      <c r="A8874" s="115"/>
      <c r="B8874" s="115"/>
      <c r="C8874" s="115"/>
      <c r="D8874" s="115"/>
      <c r="E8874" s="115"/>
    </row>
    <row r="8875" spans="1:5" ht="13">
      <c r="A8875" s="115"/>
      <c r="B8875" s="115"/>
      <c r="C8875" s="115"/>
      <c r="D8875" s="115"/>
      <c r="E8875" s="115"/>
    </row>
    <row r="8876" spans="1:5" ht="13">
      <c r="A8876" s="115"/>
      <c r="B8876" s="115"/>
      <c r="C8876" s="115"/>
      <c r="D8876" s="115"/>
      <c r="E8876" s="115"/>
    </row>
    <row r="8877" spans="1:5" ht="13">
      <c r="A8877" s="115"/>
      <c r="B8877" s="115"/>
      <c r="C8877" s="115"/>
      <c r="D8877" s="115"/>
      <c r="E8877" s="115"/>
    </row>
    <row r="8878" spans="1:5" ht="13">
      <c r="A8878" s="115"/>
      <c r="B8878" s="115"/>
      <c r="C8878" s="115"/>
      <c r="D8878" s="115"/>
      <c r="E8878" s="115"/>
    </row>
    <row r="8879" spans="1:5" ht="13">
      <c r="A8879" s="115"/>
      <c r="B8879" s="115"/>
      <c r="C8879" s="115"/>
      <c r="D8879" s="115"/>
      <c r="E8879" s="115"/>
    </row>
    <row r="8880" spans="1:5" ht="13">
      <c r="A8880" s="115"/>
      <c r="B8880" s="115"/>
      <c r="C8880" s="115"/>
      <c r="D8880" s="115"/>
      <c r="E8880" s="115"/>
    </row>
    <row r="8881" spans="1:5" ht="13">
      <c r="A8881" s="115"/>
      <c r="B8881" s="115"/>
      <c r="C8881" s="115"/>
      <c r="D8881" s="115"/>
      <c r="E8881" s="115"/>
    </row>
    <row r="8882" spans="1:5" ht="13">
      <c r="A8882" s="115"/>
      <c r="B8882" s="115"/>
      <c r="C8882" s="115"/>
      <c r="D8882" s="115"/>
      <c r="E8882" s="115"/>
    </row>
    <row r="8883" spans="1:5" ht="13">
      <c r="A8883" s="115"/>
      <c r="B8883" s="115"/>
      <c r="C8883" s="115"/>
      <c r="D8883" s="115"/>
      <c r="E8883" s="115"/>
    </row>
    <row r="8884" spans="1:5" ht="13">
      <c r="A8884" s="115"/>
      <c r="B8884" s="115"/>
      <c r="C8884" s="115"/>
      <c r="D8884" s="115"/>
      <c r="E8884" s="115"/>
    </row>
    <row r="8885" spans="1:5" ht="13">
      <c r="A8885" s="115"/>
      <c r="B8885" s="115"/>
      <c r="C8885" s="115"/>
      <c r="D8885" s="115"/>
      <c r="E8885" s="115"/>
    </row>
    <row r="8886" spans="1:5" ht="13">
      <c r="A8886" s="115"/>
      <c r="B8886" s="115"/>
      <c r="C8886" s="115"/>
      <c r="D8886" s="115"/>
      <c r="E8886" s="115"/>
    </row>
    <row r="8887" spans="1:5" ht="13">
      <c r="A8887" s="115"/>
      <c r="B8887" s="115"/>
      <c r="C8887" s="115"/>
      <c r="D8887" s="115"/>
      <c r="E8887" s="115"/>
    </row>
    <row r="8888" spans="1:5" ht="13">
      <c r="A8888" s="115"/>
      <c r="B8888" s="115"/>
      <c r="C8888" s="115"/>
      <c r="D8888" s="115"/>
      <c r="E8888" s="115"/>
    </row>
    <row r="8889" spans="1:5" ht="13">
      <c r="A8889" s="115"/>
      <c r="B8889" s="115"/>
      <c r="C8889" s="115"/>
      <c r="D8889" s="115"/>
      <c r="E8889" s="115"/>
    </row>
    <row r="8890" spans="1:5" ht="13">
      <c r="A8890" s="115"/>
      <c r="B8890" s="115"/>
      <c r="C8890" s="115"/>
      <c r="D8890" s="115"/>
      <c r="E8890" s="115"/>
    </row>
    <row r="8891" spans="1:5" ht="13">
      <c r="A8891" s="115"/>
      <c r="B8891" s="115"/>
      <c r="C8891" s="115"/>
      <c r="D8891" s="115"/>
      <c r="E8891" s="115"/>
    </row>
    <row r="8892" spans="1:5" ht="13">
      <c r="A8892" s="115"/>
      <c r="B8892" s="115"/>
      <c r="C8892" s="115"/>
      <c r="D8892" s="115"/>
      <c r="E8892" s="115"/>
    </row>
    <row r="8893" spans="1:5" ht="13">
      <c r="A8893" s="115"/>
      <c r="B8893" s="115"/>
      <c r="C8893" s="115"/>
      <c r="D8893" s="115"/>
      <c r="E8893" s="115"/>
    </row>
    <row r="8894" spans="1:5" ht="13">
      <c r="A8894" s="115"/>
      <c r="B8894" s="115"/>
      <c r="C8894" s="115"/>
      <c r="D8894" s="115"/>
      <c r="E8894" s="115"/>
    </row>
    <row r="8895" spans="1:5" ht="13">
      <c r="A8895" s="115"/>
      <c r="B8895" s="115"/>
      <c r="C8895" s="115"/>
      <c r="D8895" s="115"/>
      <c r="E8895" s="115"/>
    </row>
    <row r="8896" spans="1:5" ht="13">
      <c r="A8896" s="115"/>
      <c r="B8896" s="115"/>
      <c r="C8896" s="115"/>
      <c r="D8896" s="115"/>
      <c r="E8896" s="115"/>
    </row>
    <row r="8897" spans="1:5" ht="13">
      <c r="A8897" s="115"/>
      <c r="B8897" s="115"/>
      <c r="C8897" s="115"/>
      <c r="D8897" s="115"/>
      <c r="E8897" s="115"/>
    </row>
    <row r="8898" spans="1:5" ht="13">
      <c r="A8898" s="115"/>
      <c r="B8898" s="115"/>
      <c r="C8898" s="115"/>
      <c r="D8898" s="115"/>
      <c r="E8898" s="115"/>
    </row>
    <row r="8899" spans="1:5" ht="13">
      <c r="A8899" s="115"/>
      <c r="B8899" s="115"/>
      <c r="C8899" s="115"/>
      <c r="D8899" s="115"/>
      <c r="E8899" s="115"/>
    </row>
    <row r="8900" spans="1:5" ht="13">
      <c r="A8900" s="115"/>
      <c r="B8900" s="115"/>
      <c r="C8900" s="115"/>
      <c r="D8900" s="115"/>
      <c r="E8900" s="115"/>
    </row>
    <row r="8901" spans="1:5" ht="13">
      <c r="A8901" s="115"/>
      <c r="B8901" s="115"/>
      <c r="C8901" s="115"/>
      <c r="D8901" s="115"/>
      <c r="E8901" s="115"/>
    </row>
    <row r="8902" spans="1:5" ht="13">
      <c r="A8902" s="115"/>
      <c r="B8902" s="115"/>
      <c r="C8902" s="115"/>
      <c r="D8902" s="115"/>
      <c r="E8902" s="115"/>
    </row>
    <row r="8903" spans="1:5" ht="13">
      <c r="A8903" s="115"/>
      <c r="B8903" s="115"/>
      <c r="C8903" s="115"/>
      <c r="D8903" s="115"/>
      <c r="E8903" s="115"/>
    </row>
    <row r="8904" spans="1:5" ht="13">
      <c r="A8904" s="115"/>
      <c r="B8904" s="115"/>
      <c r="C8904" s="115"/>
      <c r="D8904" s="115"/>
      <c r="E8904" s="115"/>
    </row>
    <row r="8905" spans="1:5" ht="13">
      <c r="A8905" s="115"/>
      <c r="B8905" s="115"/>
      <c r="C8905" s="115"/>
      <c r="D8905" s="115"/>
      <c r="E8905" s="115"/>
    </row>
    <row r="8906" spans="1:5" ht="13">
      <c r="A8906" s="115"/>
      <c r="B8906" s="115"/>
      <c r="C8906" s="115"/>
      <c r="D8906" s="115"/>
      <c r="E8906" s="115"/>
    </row>
    <row r="8907" spans="1:5" ht="13">
      <c r="A8907" s="115"/>
      <c r="B8907" s="115"/>
      <c r="C8907" s="115"/>
      <c r="D8907" s="115"/>
      <c r="E8907" s="115"/>
    </row>
    <row r="8908" spans="1:5" ht="13">
      <c r="A8908" s="115"/>
      <c r="B8908" s="115"/>
      <c r="C8908" s="115"/>
      <c r="D8908" s="115"/>
      <c r="E8908" s="115"/>
    </row>
    <row r="8909" spans="1:5" ht="13">
      <c r="A8909" s="115"/>
      <c r="B8909" s="115"/>
      <c r="C8909" s="115"/>
      <c r="D8909" s="115"/>
      <c r="E8909" s="115"/>
    </row>
    <row r="8910" spans="1:5" ht="13">
      <c r="A8910" s="115"/>
      <c r="B8910" s="115"/>
      <c r="C8910" s="115"/>
      <c r="D8910" s="115"/>
      <c r="E8910" s="115"/>
    </row>
    <row r="8911" spans="1:5" ht="13">
      <c r="A8911" s="115"/>
      <c r="B8911" s="115"/>
      <c r="C8911" s="115"/>
      <c r="D8911" s="115"/>
      <c r="E8911" s="115"/>
    </row>
    <row r="8912" spans="1:5" ht="13">
      <c r="A8912" s="115"/>
      <c r="B8912" s="115"/>
      <c r="C8912" s="115"/>
      <c r="D8912" s="115"/>
      <c r="E8912" s="115"/>
    </row>
    <row r="8913" spans="1:5" ht="13">
      <c r="A8913" s="115"/>
      <c r="B8913" s="115"/>
      <c r="C8913" s="115"/>
      <c r="D8913" s="115"/>
      <c r="E8913" s="115"/>
    </row>
    <row r="8914" spans="1:5" ht="13">
      <c r="A8914" s="115"/>
      <c r="B8914" s="115"/>
      <c r="C8914" s="115"/>
      <c r="D8914" s="115"/>
      <c r="E8914" s="115"/>
    </row>
    <row r="8915" spans="1:5" ht="13">
      <c r="A8915" s="115"/>
      <c r="B8915" s="115"/>
      <c r="C8915" s="115"/>
      <c r="D8915" s="115"/>
      <c r="E8915" s="115"/>
    </row>
    <row r="8916" spans="1:5" ht="13">
      <c r="A8916" s="115"/>
      <c r="B8916" s="115"/>
      <c r="C8916" s="115"/>
      <c r="D8916" s="115"/>
      <c r="E8916" s="115"/>
    </row>
    <row r="8917" spans="1:5" ht="13">
      <c r="A8917" s="115"/>
      <c r="B8917" s="115"/>
      <c r="C8917" s="115"/>
      <c r="D8917" s="115"/>
      <c r="E8917" s="115"/>
    </row>
    <row r="8918" spans="1:5" ht="13">
      <c r="A8918" s="115"/>
      <c r="B8918" s="115"/>
      <c r="C8918" s="115"/>
      <c r="D8918" s="115"/>
      <c r="E8918" s="115"/>
    </row>
    <row r="8919" spans="1:5" ht="13">
      <c r="A8919" s="115"/>
      <c r="B8919" s="115"/>
      <c r="C8919" s="115"/>
      <c r="D8919" s="115"/>
      <c r="E8919" s="115"/>
    </row>
    <row r="8920" spans="1:5" ht="13">
      <c r="A8920" s="115"/>
      <c r="B8920" s="115"/>
      <c r="C8920" s="115"/>
      <c r="D8920" s="115"/>
      <c r="E8920" s="115"/>
    </row>
    <row r="8921" spans="1:5" ht="13">
      <c r="A8921" s="115"/>
      <c r="B8921" s="115"/>
      <c r="C8921" s="115"/>
      <c r="D8921" s="115"/>
      <c r="E8921" s="115"/>
    </row>
    <row r="8922" spans="1:5" ht="13">
      <c r="A8922" s="115"/>
      <c r="B8922" s="115"/>
      <c r="C8922" s="115"/>
      <c r="D8922" s="115"/>
      <c r="E8922" s="115"/>
    </row>
    <row r="8923" spans="1:5" ht="13">
      <c r="A8923" s="115"/>
      <c r="B8923" s="115"/>
      <c r="C8923" s="115"/>
      <c r="D8923" s="115"/>
      <c r="E8923" s="115"/>
    </row>
    <row r="8924" spans="1:5" ht="13">
      <c r="A8924" s="115"/>
      <c r="B8924" s="115"/>
      <c r="C8924" s="115"/>
      <c r="D8924" s="115"/>
      <c r="E8924" s="115"/>
    </row>
    <row r="8925" spans="1:5" ht="13">
      <c r="A8925" s="115"/>
      <c r="B8925" s="115"/>
      <c r="C8925" s="115"/>
      <c r="D8925" s="115"/>
      <c r="E8925" s="115"/>
    </row>
    <row r="8926" spans="1:5" ht="13">
      <c r="A8926" s="115"/>
      <c r="B8926" s="115"/>
      <c r="C8926" s="115"/>
      <c r="D8926" s="115"/>
      <c r="E8926" s="115"/>
    </row>
    <row r="8927" spans="1:5" ht="13">
      <c r="A8927" s="115"/>
      <c r="B8927" s="115"/>
      <c r="C8927" s="115"/>
      <c r="D8927" s="115"/>
      <c r="E8927" s="115"/>
    </row>
    <row r="8928" spans="1:5" ht="13">
      <c r="A8928" s="115"/>
      <c r="B8928" s="115"/>
      <c r="C8928" s="115"/>
      <c r="D8928" s="115"/>
      <c r="E8928" s="115"/>
    </row>
    <row r="8929" spans="1:5" ht="13">
      <c r="A8929" s="115"/>
      <c r="B8929" s="115"/>
      <c r="C8929" s="115"/>
      <c r="D8929" s="115"/>
      <c r="E8929" s="115"/>
    </row>
    <row r="8930" spans="1:5" ht="13">
      <c r="A8930" s="115"/>
      <c r="B8930" s="115"/>
      <c r="C8930" s="115"/>
      <c r="D8930" s="115"/>
      <c r="E8930" s="115"/>
    </row>
    <row r="8931" spans="1:5" ht="13">
      <c r="A8931" s="115"/>
      <c r="B8931" s="115"/>
      <c r="C8931" s="115"/>
      <c r="D8931" s="115"/>
      <c r="E8931" s="115"/>
    </row>
    <row r="8932" spans="1:5" ht="13">
      <c r="A8932" s="115"/>
      <c r="B8932" s="115"/>
      <c r="C8932" s="115"/>
      <c r="D8932" s="115"/>
      <c r="E8932" s="115"/>
    </row>
    <row r="8933" spans="1:5" ht="13">
      <c r="A8933" s="115"/>
      <c r="B8933" s="115"/>
      <c r="C8933" s="115"/>
      <c r="D8933" s="115"/>
      <c r="E8933" s="115"/>
    </row>
    <row r="8934" spans="1:5" ht="13">
      <c r="A8934" s="115"/>
      <c r="B8934" s="115"/>
      <c r="C8934" s="115"/>
      <c r="D8934" s="115"/>
      <c r="E8934" s="115"/>
    </row>
    <row r="8935" spans="1:5" ht="13">
      <c r="A8935" s="115"/>
      <c r="B8935" s="115"/>
      <c r="C8935" s="115"/>
      <c r="D8935" s="115"/>
      <c r="E8935" s="115"/>
    </row>
    <row r="8936" spans="1:5" ht="13">
      <c r="A8936" s="115"/>
      <c r="B8936" s="115"/>
      <c r="C8936" s="115"/>
      <c r="D8936" s="115"/>
      <c r="E8936" s="115"/>
    </row>
    <row r="8937" spans="1:5" ht="13">
      <c r="A8937" s="115"/>
      <c r="B8937" s="115"/>
      <c r="C8937" s="115"/>
      <c r="D8937" s="115"/>
      <c r="E8937" s="115"/>
    </row>
    <row r="8938" spans="1:5" ht="13">
      <c r="A8938" s="115"/>
      <c r="B8938" s="115"/>
      <c r="C8938" s="115"/>
      <c r="D8938" s="115"/>
      <c r="E8938" s="115"/>
    </row>
    <row r="8939" spans="1:5" ht="13">
      <c r="A8939" s="115"/>
      <c r="B8939" s="115"/>
      <c r="C8939" s="115"/>
      <c r="D8939" s="115"/>
      <c r="E8939" s="115"/>
    </row>
    <row r="8940" spans="1:5" ht="13">
      <c r="A8940" s="115"/>
      <c r="B8940" s="115"/>
      <c r="C8940" s="115"/>
      <c r="D8940" s="115"/>
      <c r="E8940" s="115"/>
    </row>
    <row r="8941" spans="1:5" ht="13">
      <c r="A8941" s="115"/>
      <c r="B8941" s="115"/>
      <c r="C8941" s="115"/>
      <c r="D8941" s="115"/>
      <c r="E8941" s="115"/>
    </row>
    <row r="8942" spans="1:5" ht="13">
      <c r="A8942" s="115"/>
      <c r="B8942" s="115"/>
      <c r="C8942" s="115"/>
      <c r="D8942" s="115"/>
      <c r="E8942" s="115"/>
    </row>
    <row r="8943" spans="1:5" ht="13">
      <c r="A8943" s="115"/>
      <c r="B8943" s="115"/>
      <c r="C8943" s="115"/>
      <c r="D8943" s="115"/>
      <c r="E8943" s="115"/>
    </row>
    <row r="8944" spans="1:5" ht="13">
      <c r="A8944" s="115"/>
      <c r="B8944" s="115"/>
      <c r="C8944" s="115"/>
      <c r="D8944" s="115"/>
      <c r="E8944" s="115"/>
    </row>
    <row r="8945" spans="1:5" ht="13">
      <c r="A8945" s="115"/>
      <c r="B8945" s="115"/>
      <c r="C8945" s="115"/>
      <c r="D8945" s="115"/>
      <c r="E8945" s="115"/>
    </row>
    <row r="8946" spans="1:5" ht="13">
      <c r="A8946" s="115"/>
      <c r="B8946" s="115"/>
      <c r="C8946" s="115"/>
      <c r="D8946" s="115"/>
      <c r="E8946" s="115"/>
    </row>
    <row r="8947" spans="1:5" ht="13">
      <c r="A8947" s="115"/>
      <c r="B8947" s="115"/>
      <c r="C8947" s="115"/>
      <c r="D8947" s="115"/>
      <c r="E8947" s="115"/>
    </row>
    <row r="8948" spans="1:5" ht="13">
      <c r="A8948" s="115"/>
      <c r="B8948" s="115"/>
      <c r="C8948" s="115"/>
      <c r="D8948" s="115"/>
      <c r="E8948" s="115"/>
    </row>
    <row r="8949" spans="1:5" ht="13">
      <c r="A8949" s="115"/>
      <c r="B8949" s="115"/>
      <c r="C8949" s="115"/>
      <c r="D8949" s="115"/>
      <c r="E8949" s="115"/>
    </row>
    <row r="8950" spans="1:5" ht="13">
      <c r="A8950" s="115"/>
      <c r="B8950" s="115"/>
      <c r="C8950" s="115"/>
      <c r="D8950" s="115"/>
      <c r="E8950" s="115"/>
    </row>
    <row r="8951" spans="1:5" ht="13">
      <c r="A8951" s="115"/>
      <c r="B8951" s="115"/>
      <c r="C8951" s="115"/>
      <c r="D8951" s="115"/>
      <c r="E8951" s="115"/>
    </row>
    <row r="8952" spans="1:5" ht="13">
      <c r="A8952" s="115"/>
      <c r="B8952" s="115"/>
      <c r="C8952" s="115"/>
      <c r="D8952" s="115"/>
      <c r="E8952" s="115"/>
    </row>
    <row r="8953" spans="1:5" ht="13">
      <c r="A8953" s="115"/>
      <c r="B8953" s="115"/>
      <c r="C8953" s="115"/>
      <c r="D8953" s="115"/>
      <c r="E8953" s="115"/>
    </row>
    <row r="8954" spans="1:5" ht="13">
      <c r="A8954" s="115"/>
      <c r="B8954" s="115"/>
      <c r="C8954" s="115"/>
      <c r="D8954" s="115"/>
      <c r="E8954" s="115"/>
    </row>
    <row r="8955" spans="1:5" ht="13">
      <c r="A8955" s="115"/>
      <c r="B8955" s="115"/>
      <c r="C8955" s="115"/>
      <c r="D8955" s="115"/>
      <c r="E8955" s="115"/>
    </row>
    <row r="8956" spans="1:5" ht="13">
      <c r="A8956" s="115"/>
      <c r="B8956" s="115"/>
      <c r="C8956" s="115"/>
      <c r="D8956" s="115"/>
      <c r="E8956" s="115"/>
    </row>
    <row r="8957" spans="1:5" ht="13">
      <c r="A8957" s="115"/>
      <c r="B8957" s="115"/>
      <c r="C8957" s="115"/>
      <c r="D8957" s="115"/>
      <c r="E8957" s="115"/>
    </row>
    <row r="8958" spans="1:5" ht="13">
      <c r="A8958" s="115"/>
      <c r="B8958" s="115"/>
      <c r="C8958" s="115"/>
      <c r="D8958" s="115"/>
      <c r="E8958" s="115"/>
    </row>
    <row r="8959" spans="1:5" ht="13">
      <c r="A8959" s="115"/>
      <c r="B8959" s="115"/>
      <c r="C8959" s="115"/>
      <c r="D8959" s="115"/>
      <c r="E8959" s="115"/>
    </row>
    <row r="8960" spans="1:5" ht="13">
      <c r="A8960" s="115"/>
      <c r="B8960" s="115"/>
      <c r="C8960" s="115"/>
      <c r="D8960" s="115"/>
      <c r="E8960" s="115"/>
    </row>
    <row r="8961" spans="1:5" ht="13">
      <c r="A8961" s="115"/>
      <c r="B8961" s="115"/>
      <c r="C8961" s="115"/>
      <c r="D8961" s="115"/>
      <c r="E8961" s="115"/>
    </row>
    <row r="8962" spans="1:5" ht="13">
      <c r="A8962" s="115"/>
      <c r="B8962" s="115"/>
      <c r="C8962" s="115"/>
      <c r="D8962" s="115"/>
      <c r="E8962" s="115"/>
    </row>
    <row r="8963" spans="1:5" ht="13">
      <c r="A8963" s="115"/>
      <c r="B8963" s="115"/>
      <c r="C8963" s="115"/>
      <c r="D8963" s="115"/>
      <c r="E8963" s="115"/>
    </row>
    <row r="8964" spans="1:5" ht="13">
      <c r="A8964" s="115"/>
      <c r="B8964" s="115"/>
      <c r="C8964" s="115"/>
      <c r="D8964" s="115"/>
      <c r="E8964" s="115"/>
    </row>
    <row r="8965" spans="1:5" ht="13">
      <c r="A8965" s="115"/>
      <c r="B8965" s="115"/>
      <c r="C8965" s="115"/>
      <c r="D8965" s="115"/>
      <c r="E8965" s="115"/>
    </row>
    <row r="8966" spans="1:5" ht="13">
      <c r="A8966" s="115"/>
      <c r="B8966" s="115"/>
      <c r="C8966" s="115"/>
      <c r="D8966" s="115"/>
      <c r="E8966" s="115"/>
    </row>
    <row r="8967" spans="1:5" ht="13">
      <c r="A8967" s="115"/>
      <c r="B8967" s="115"/>
      <c r="C8967" s="115"/>
      <c r="D8967" s="115"/>
      <c r="E8967" s="115"/>
    </row>
    <row r="8968" spans="1:5" ht="13">
      <c r="A8968" s="115"/>
      <c r="B8968" s="115"/>
      <c r="C8968" s="115"/>
      <c r="D8968" s="115"/>
      <c r="E8968" s="115"/>
    </row>
    <row r="8969" spans="1:5" ht="13">
      <c r="A8969" s="115"/>
      <c r="B8969" s="115"/>
      <c r="C8969" s="115"/>
      <c r="D8969" s="115"/>
      <c r="E8969" s="115"/>
    </row>
    <row r="8970" spans="1:5" ht="13">
      <c r="A8970" s="115"/>
      <c r="B8970" s="115"/>
      <c r="C8970" s="115"/>
      <c r="D8970" s="115"/>
      <c r="E8970" s="115"/>
    </row>
    <row r="8971" spans="1:5" ht="13">
      <c r="A8971" s="115"/>
      <c r="B8971" s="115"/>
      <c r="C8971" s="115"/>
      <c r="D8971" s="115"/>
      <c r="E8971" s="115"/>
    </row>
    <row r="8972" spans="1:5" ht="13">
      <c r="A8972" s="115"/>
      <c r="B8972" s="115"/>
      <c r="C8972" s="115"/>
      <c r="D8972" s="115"/>
      <c r="E8972" s="115"/>
    </row>
    <row r="8973" spans="1:5" ht="13">
      <c r="A8973" s="115"/>
      <c r="B8973" s="115"/>
      <c r="C8973" s="115"/>
      <c r="D8973" s="115"/>
      <c r="E8973" s="115"/>
    </row>
    <row r="8974" spans="1:5" ht="13">
      <c r="A8974" s="115"/>
      <c r="B8974" s="115"/>
      <c r="C8974" s="115"/>
      <c r="D8974" s="115"/>
      <c r="E8974" s="115"/>
    </row>
    <row r="8975" spans="1:5" ht="13">
      <c r="A8975" s="115"/>
      <c r="B8975" s="115"/>
      <c r="C8975" s="115"/>
      <c r="D8975" s="115"/>
      <c r="E8975" s="115"/>
    </row>
    <row r="8976" spans="1:5" ht="13">
      <c r="A8976" s="115"/>
      <c r="B8976" s="115"/>
      <c r="C8976" s="115"/>
      <c r="D8976" s="115"/>
      <c r="E8976" s="115"/>
    </row>
    <row r="8977" spans="1:5" ht="13">
      <c r="A8977" s="115"/>
      <c r="B8977" s="115"/>
      <c r="C8977" s="115"/>
      <c r="D8977" s="115"/>
      <c r="E8977" s="115"/>
    </row>
    <row r="8978" spans="1:5" ht="13">
      <c r="A8978" s="115"/>
      <c r="B8978" s="115"/>
      <c r="C8978" s="115"/>
      <c r="D8978" s="115"/>
      <c r="E8978" s="115"/>
    </row>
    <row r="8979" spans="1:5" ht="13">
      <c r="A8979" s="115"/>
      <c r="B8979" s="115"/>
      <c r="C8979" s="115"/>
      <c r="D8979" s="115"/>
      <c r="E8979" s="115"/>
    </row>
    <row r="8980" spans="1:5" ht="13">
      <c r="A8980" s="115"/>
      <c r="B8980" s="115"/>
      <c r="C8980" s="115"/>
      <c r="D8980" s="115"/>
      <c r="E8980" s="115"/>
    </row>
    <row r="8981" spans="1:5" ht="13">
      <c r="A8981" s="115"/>
      <c r="B8981" s="115"/>
      <c r="C8981" s="115"/>
      <c r="D8981" s="115"/>
      <c r="E8981" s="115"/>
    </row>
    <row r="8982" spans="1:5" ht="13">
      <c r="A8982" s="115"/>
      <c r="B8982" s="115"/>
      <c r="C8982" s="115"/>
      <c r="D8982" s="115"/>
      <c r="E8982" s="115"/>
    </row>
    <row r="8983" spans="1:5" ht="13">
      <c r="A8983" s="115"/>
      <c r="B8983" s="115"/>
      <c r="C8983" s="115"/>
      <c r="D8983" s="115"/>
      <c r="E8983" s="115"/>
    </row>
    <row r="8984" spans="1:5" ht="13">
      <c r="A8984" s="115"/>
      <c r="B8984" s="115"/>
      <c r="C8984" s="115"/>
      <c r="D8984" s="115"/>
      <c r="E8984" s="115"/>
    </row>
    <row r="8985" spans="1:5" ht="13">
      <c r="A8985" s="115"/>
      <c r="B8985" s="115"/>
      <c r="C8985" s="115"/>
      <c r="D8985" s="115"/>
      <c r="E8985" s="115"/>
    </row>
    <row r="8986" spans="1:5" ht="13">
      <c r="A8986" s="115"/>
      <c r="B8986" s="115"/>
      <c r="C8986" s="115"/>
      <c r="D8986" s="115"/>
      <c r="E8986" s="115"/>
    </row>
    <row r="8987" spans="1:5" ht="13">
      <c r="A8987" s="115"/>
      <c r="B8987" s="115"/>
      <c r="C8987" s="115"/>
      <c r="D8987" s="115"/>
      <c r="E8987" s="115"/>
    </row>
    <row r="8988" spans="1:5" ht="13">
      <c r="A8988" s="115"/>
      <c r="B8988" s="115"/>
      <c r="C8988" s="115"/>
      <c r="D8988" s="115"/>
      <c r="E8988" s="115"/>
    </row>
    <row r="8989" spans="1:5" ht="13">
      <c r="A8989" s="115"/>
      <c r="B8989" s="115"/>
      <c r="C8989" s="115"/>
      <c r="D8989" s="115"/>
      <c r="E8989" s="115"/>
    </row>
    <row r="8990" spans="1:5" ht="13">
      <c r="A8990" s="115"/>
      <c r="B8990" s="115"/>
      <c r="C8990" s="115"/>
      <c r="D8990" s="115"/>
      <c r="E8990" s="115"/>
    </row>
    <row r="8991" spans="1:5" ht="13">
      <c r="A8991" s="115"/>
      <c r="B8991" s="115"/>
      <c r="C8991" s="115"/>
      <c r="D8991" s="115"/>
      <c r="E8991" s="115"/>
    </row>
    <row r="8992" spans="1:5" ht="13">
      <c r="A8992" s="115"/>
      <c r="B8992" s="115"/>
      <c r="C8992" s="115"/>
      <c r="D8992" s="115"/>
      <c r="E8992" s="115"/>
    </row>
    <row r="8993" spans="1:5" ht="13">
      <c r="A8993" s="115"/>
      <c r="B8993" s="115"/>
      <c r="C8993" s="115"/>
      <c r="D8993" s="115"/>
      <c r="E8993" s="115"/>
    </row>
    <row r="8994" spans="1:5" ht="13">
      <c r="A8994" s="115"/>
      <c r="B8994" s="115"/>
      <c r="C8994" s="115"/>
      <c r="D8994" s="115"/>
      <c r="E8994" s="115"/>
    </row>
    <row r="8995" spans="1:5" ht="13">
      <c r="A8995" s="115"/>
      <c r="B8995" s="115"/>
      <c r="C8995" s="115"/>
      <c r="D8995" s="115"/>
      <c r="E8995" s="115"/>
    </row>
    <row r="8996" spans="1:5" ht="13">
      <c r="A8996" s="115"/>
      <c r="B8996" s="115"/>
      <c r="C8996" s="115"/>
      <c r="D8996" s="115"/>
      <c r="E8996" s="115"/>
    </row>
    <row r="8997" spans="1:5" ht="13">
      <c r="A8997" s="115"/>
      <c r="B8997" s="115"/>
      <c r="C8997" s="115"/>
      <c r="D8997" s="115"/>
      <c r="E8997" s="115"/>
    </row>
    <row r="8998" spans="1:5" ht="13">
      <c r="A8998" s="115"/>
      <c r="B8998" s="115"/>
      <c r="C8998" s="115"/>
      <c r="D8998" s="115"/>
      <c r="E8998" s="115"/>
    </row>
    <row r="8999" spans="1:5" ht="13">
      <c r="A8999" s="115"/>
      <c r="B8999" s="115"/>
      <c r="C8999" s="115"/>
      <c r="D8999" s="115"/>
      <c r="E8999" s="115"/>
    </row>
    <row r="9000" spans="1:5" ht="13">
      <c r="A9000" s="115"/>
      <c r="B9000" s="115"/>
      <c r="C9000" s="115"/>
      <c r="D9000" s="115"/>
      <c r="E9000" s="115"/>
    </row>
    <row r="9001" spans="1:5" ht="13">
      <c r="A9001" s="115"/>
      <c r="B9001" s="115"/>
      <c r="C9001" s="115"/>
      <c r="D9001" s="115"/>
      <c r="E9001" s="115"/>
    </row>
    <row r="9002" spans="1:5" ht="13">
      <c r="A9002" s="115"/>
      <c r="B9002" s="115"/>
      <c r="C9002" s="115"/>
      <c r="D9002" s="115"/>
      <c r="E9002" s="115"/>
    </row>
    <row r="9003" spans="1:5" ht="13">
      <c r="A9003" s="115"/>
      <c r="B9003" s="115"/>
      <c r="C9003" s="115"/>
      <c r="D9003" s="115"/>
      <c r="E9003" s="115"/>
    </row>
    <row r="9004" spans="1:5" ht="13">
      <c r="A9004" s="115"/>
      <c r="B9004" s="115"/>
      <c r="C9004" s="115"/>
      <c r="D9004" s="115"/>
      <c r="E9004" s="115"/>
    </row>
    <row r="9005" spans="1:5" ht="13">
      <c r="A9005" s="115"/>
      <c r="B9005" s="115"/>
      <c r="C9005" s="115"/>
      <c r="D9005" s="115"/>
      <c r="E9005" s="115"/>
    </row>
    <row r="9006" spans="1:5" ht="13">
      <c r="A9006" s="115"/>
      <c r="B9006" s="115"/>
      <c r="C9006" s="115"/>
      <c r="D9006" s="115"/>
      <c r="E9006" s="115"/>
    </row>
    <row r="9007" spans="1:5" ht="13">
      <c r="A9007" s="115"/>
      <c r="B9007" s="115"/>
      <c r="C9007" s="115"/>
      <c r="D9007" s="115"/>
      <c r="E9007" s="115"/>
    </row>
    <row r="9008" spans="1:5" ht="13">
      <c r="A9008" s="115"/>
      <c r="B9008" s="115"/>
      <c r="C9008" s="115"/>
      <c r="D9008" s="115"/>
      <c r="E9008" s="115"/>
    </row>
    <row r="9009" spans="1:5" ht="13">
      <c r="A9009" s="115"/>
      <c r="B9009" s="115"/>
      <c r="C9009" s="115"/>
      <c r="D9009" s="115"/>
      <c r="E9009" s="115"/>
    </row>
    <row r="9010" spans="1:5" ht="13">
      <c r="A9010" s="115"/>
      <c r="B9010" s="115"/>
      <c r="C9010" s="115"/>
      <c r="D9010" s="115"/>
      <c r="E9010" s="115"/>
    </row>
    <row r="9011" spans="1:5" ht="13">
      <c r="A9011" s="115"/>
      <c r="B9011" s="115"/>
      <c r="C9011" s="115"/>
      <c r="D9011" s="115"/>
      <c r="E9011" s="115"/>
    </row>
    <row r="9012" spans="1:5" ht="13">
      <c r="A9012" s="115"/>
      <c r="B9012" s="115"/>
      <c r="C9012" s="115"/>
      <c r="D9012" s="115"/>
      <c r="E9012" s="115"/>
    </row>
    <row r="9013" spans="1:5" ht="13">
      <c r="A9013" s="115"/>
      <c r="B9013" s="115"/>
      <c r="C9013" s="115"/>
      <c r="D9013" s="115"/>
      <c r="E9013" s="115"/>
    </row>
    <row r="9014" spans="1:5" ht="13">
      <c r="A9014" s="115"/>
      <c r="B9014" s="115"/>
      <c r="C9014" s="115"/>
      <c r="D9014" s="115"/>
      <c r="E9014" s="115"/>
    </row>
    <row r="9015" spans="1:5" ht="13">
      <c r="A9015" s="115"/>
      <c r="B9015" s="115"/>
      <c r="C9015" s="115"/>
      <c r="D9015" s="115"/>
      <c r="E9015" s="115"/>
    </row>
    <row r="9016" spans="1:5" ht="13">
      <c r="A9016" s="115"/>
      <c r="B9016" s="115"/>
      <c r="C9016" s="115"/>
      <c r="D9016" s="115"/>
      <c r="E9016" s="115"/>
    </row>
    <row r="9017" spans="1:5" ht="13">
      <c r="A9017" s="115"/>
      <c r="B9017" s="115"/>
      <c r="C9017" s="115"/>
      <c r="D9017" s="115"/>
      <c r="E9017" s="115"/>
    </row>
    <row r="9018" spans="1:5" ht="13">
      <c r="A9018" s="115"/>
      <c r="B9018" s="115"/>
      <c r="C9018" s="115"/>
      <c r="D9018" s="115"/>
      <c r="E9018" s="115"/>
    </row>
    <row r="9019" spans="1:5" ht="13">
      <c r="A9019" s="115"/>
      <c r="B9019" s="115"/>
      <c r="C9019" s="115"/>
      <c r="D9019" s="115"/>
      <c r="E9019" s="115"/>
    </row>
    <row r="9020" spans="1:5" ht="13">
      <c r="A9020" s="115"/>
      <c r="B9020" s="115"/>
      <c r="C9020" s="115"/>
      <c r="D9020" s="115"/>
      <c r="E9020" s="115"/>
    </row>
    <row r="9021" spans="1:5" ht="13">
      <c r="A9021" s="115"/>
      <c r="B9021" s="115"/>
      <c r="C9021" s="115"/>
      <c r="D9021" s="115"/>
      <c r="E9021" s="115"/>
    </row>
    <row r="9022" spans="1:5" ht="13">
      <c r="A9022" s="115"/>
      <c r="B9022" s="115"/>
      <c r="C9022" s="115"/>
      <c r="D9022" s="115"/>
      <c r="E9022" s="115"/>
    </row>
    <row r="9023" spans="1:5" ht="13">
      <c r="A9023" s="115"/>
      <c r="B9023" s="115"/>
      <c r="C9023" s="115"/>
      <c r="D9023" s="115"/>
      <c r="E9023" s="115"/>
    </row>
    <row r="9024" spans="1:5" ht="13">
      <c r="A9024" s="115"/>
      <c r="B9024" s="115"/>
      <c r="C9024" s="115"/>
      <c r="D9024" s="115"/>
      <c r="E9024" s="115"/>
    </row>
    <row r="9025" spans="1:5" ht="13">
      <c r="A9025" s="115"/>
      <c r="B9025" s="115"/>
      <c r="C9025" s="115"/>
      <c r="D9025" s="115"/>
      <c r="E9025" s="115"/>
    </row>
    <row r="9026" spans="1:5" ht="13">
      <c r="A9026" s="115"/>
      <c r="B9026" s="115"/>
      <c r="C9026" s="115"/>
      <c r="D9026" s="115"/>
      <c r="E9026" s="115"/>
    </row>
    <row r="9027" spans="1:5" ht="13">
      <c r="A9027" s="115"/>
      <c r="B9027" s="115"/>
      <c r="C9027" s="115"/>
      <c r="D9027" s="115"/>
      <c r="E9027" s="115"/>
    </row>
    <row r="9028" spans="1:5" ht="13">
      <c r="A9028" s="115"/>
      <c r="B9028" s="115"/>
      <c r="C9028" s="115"/>
      <c r="D9028" s="115"/>
      <c r="E9028" s="115"/>
    </row>
    <row r="9029" spans="1:5" ht="13">
      <c r="A9029" s="115"/>
      <c r="B9029" s="115"/>
      <c r="C9029" s="115"/>
      <c r="D9029" s="115"/>
      <c r="E9029" s="115"/>
    </row>
    <row r="9030" spans="1:5" ht="13">
      <c r="A9030" s="115"/>
      <c r="B9030" s="115"/>
      <c r="C9030" s="115"/>
      <c r="D9030" s="115"/>
      <c r="E9030" s="115"/>
    </row>
    <row r="9031" spans="1:5" ht="13">
      <c r="A9031" s="115"/>
      <c r="B9031" s="115"/>
      <c r="C9031" s="115"/>
      <c r="D9031" s="115"/>
      <c r="E9031" s="115"/>
    </row>
    <row r="9032" spans="1:5" ht="13">
      <c r="A9032" s="115"/>
      <c r="B9032" s="115"/>
      <c r="C9032" s="115"/>
      <c r="D9032" s="115"/>
      <c r="E9032" s="115"/>
    </row>
    <row r="9033" spans="1:5" ht="13">
      <c r="A9033" s="115"/>
      <c r="B9033" s="115"/>
      <c r="C9033" s="115"/>
      <c r="D9033" s="115"/>
      <c r="E9033" s="115"/>
    </row>
    <row r="9034" spans="1:5" ht="13">
      <c r="A9034" s="115"/>
      <c r="B9034" s="115"/>
      <c r="C9034" s="115"/>
      <c r="D9034" s="115"/>
      <c r="E9034" s="115"/>
    </row>
    <row r="9035" spans="1:5" ht="13">
      <c r="A9035" s="115"/>
      <c r="B9035" s="115"/>
      <c r="C9035" s="115"/>
      <c r="D9035" s="115"/>
      <c r="E9035" s="115"/>
    </row>
    <row r="9036" spans="1:5" ht="13">
      <c r="A9036" s="115"/>
      <c r="B9036" s="115"/>
      <c r="C9036" s="115"/>
      <c r="D9036" s="115"/>
      <c r="E9036" s="115"/>
    </row>
    <row r="9037" spans="1:5" ht="13">
      <c r="A9037" s="115"/>
      <c r="B9037" s="115"/>
      <c r="C9037" s="115"/>
      <c r="D9037" s="115"/>
      <c r="E9037" s="115"/>
    </row>
    <row r="9038" spans="1:5" ht="13">
      <c r="A9038" s="115"/>
      <c r="B9038" s="115"/>
      <c r="C9038" s="115"/>
      <c r="D9038" s="115"/>
      <c r="E9038" s="115"/>
    </row>
    <row r="9039" spans="1:5" ht="13">
      <c r="A9039" s="115"/>
      <c r="B9039" s="115"/>
      <c r="C9039" s="115"/>
      <c r="D9039" s="115"/>
      <c r="E9039" s="115"/>
    </row>
    <row r="9040" spans="1:5" ht="13">
      <c r="A9040" s="115"/>
      <c r="B9040" s="115"/>
      <c r="C9040" s="115"/>
      <c r="D9040" s="115"/>
      <c r="E9040" s="115"/>
    </row>
    <row r="9041" spans="1:5" ht="13">
      <c r="A9041" s="115"/>
      <c r="B9041" s="115"/>
      <c r="C9041" s="115"/>
      <c r="D9041" s="115"/>
      <c r="E9041" s="115"/>
    </row>
    <row r="9042" spans="1:5" ht="13">
      <c r="A9042" s="115"/>
      <c r="B9042" s="115"/>
      <c r="C9042" s="115"/>
      <c r="D9042" s="115"/>
      <c r="E9042" s="115"/>
    </row>
    <row r="9043" spans="1:5" ht="13">
      <c r="A9043" s="115"/>
      <c r="B9043" s="115"/>
      <c r="C9043" s="115"/>
      <c r="D9043" s="115"/>
      <c r="E9043" s="115"/>
    </row>
    <row r="9044" spans="1:5" ht="13">
      <c r="A9044" s="115"/>
      <c r="B9044" s="115"/>
      <c r="C9044" s="115"/>
      <c r="D9044" s="115"/>
      <c r="E9044" s="115"/>
    </row>
    <row r="9045" spans="1:5" ht="13">
      <c r="A9045" s="115"/>
      <c r="B9045" s="115"/>
      <c r="C9045" s="115"/>
      <c r="D9045" s="115"/>
      <c r="E9045" s="115"/>
    </row>
    <row r="9046" spans="1:5" ht="13">
      <c r="A9046" s="115"/>
      <c r="B9046" s="115"/>
      <c r="C9046" s="115"/>
      <c r="D9046" s="115"/>
      <c r="E9046" s="115"/>
    </row>
    <row r="9047" spans="1:5" ht="13">
      <c r="A9047" s="115"/>
      <c r="B9047" s="115"/>
      <c r="C9047" s="115"/>
      <c r="D9047" s="115"/>
      <c r="E9047" s="115"/>
    </row>
    <row r="9048" spans="1:5" ht="13">
      <c r="A9048" s="115"/>
      <c r="B9048" s="115"/>
      <c r="C9048" s="115"/>
      <c r="D9048" s="115"/>
      <c r="E9048" s="115"/>
    </row>
    <row r="9049" spans="1:5" ht="13">
      <c r="A9049" s="115"/>
      <c r="B9049" s="115"/>
      <c r="C9049" s="115"/>
      <c r="D9049" s="115"/>
      <c r="E9049" s="115"/>
    </row>
    <row r="9050" spans="1:5" ht="13">
      <c r="A9050" s="115"/>
      <c r="B9050" s="115"/>
      <c r="C9050" s="115"/>
      <c r="D9050" s="115"/>
      <c r="E9050" s="115"/>
    </row>
    <row r="9051" spans="1:5" ht="13">
      <c r="A9051" s="115"/>
      <c r="B9051" s="115"/>
      <c r="C9051" s="115"/>
      <c r="D9051" s="115"/>
      <c r="E9051" s="115"/>
    </row>
    <row r="9052" spans="1:5" ht="13">
      <c r="A9052" s="115"/>
      <c r="B9052" s="115"/>
      <c r="C9052" s="115"/>
      <c r="D9052" s="115"/>
      <c r="E9052" s="115"/>
    </row>
    <row r="9053" spans="1:5" ht="13">
      <c r="A9053" s="115"/>
      <c r="B9053" s="115"/>
      <c r="C9053" s="115"/>
      <c r="D9053" s="115"/>
      <c r="E9053" s="115"/>
    </row>
    <row r="9054" spans="1:5" ht="13">
      <c r="A9054" s="115"/>
      <c r="B9054" s="115"/>
      <c r="C9054" s="115"/>
      <c r="D9054" s="115"/>
      <c r="E9054" s="115"/>
    </row>
    <row r="9055" spans="1:5" ht="13">
      <c r="A9055" s="115"/>
      <c r="B9055" s="115"/>
      <c r="C9055" s="115"/>
      <c r="D9055" s="115"/>
      <c r="E9055" s="115"/>
    </row>
    <row r="9056" spans="1:5" ht="13">
      <c r="A9056" s="115"/>
      <c r="B9056" s="115"/>
      <c r="C9056" s="115"/>
      <c r="D9056" s="115"/>
      <c r="E9056" s="115"/>
    </row>
    <row r="9057" spans="1:5" ht="13">
      <c r="A9057" s="115"/>
      <c r="B9057" s="115"/>
      <c r="C9057" s="115"/>
      <c r="D9057" s="115"/>
      <c r="E9057" s="115"/>
    </row>
    <row r="9058" spans="1:5" ht="13">
      <c r="A9058" s="115"/>
      <c r="B9058" s="115"/>
      <c r="C9058" s="115"/>
      <c r="D9058" s="115"/>
      <c r="E9058" s="115"/>
    </row>
    <row r="9059" spans="1:5" ht="13">
      <c r="A9059" s="115"/>
      <c r="B9059" s="115"/>
      <c r="C9059" s="115"/>
      <c r="D9059" s="115"/>
      <c r="E9059" s="115"/>
    </row>
    <row r="9060" spans="1:5" ht="13">
      <c r="A9060" s="115"/>
      <c r="B9060" s="115"/>
      <c r="C9060" s="115"/>
      <c r="D9060" s="115"/>
      <c r="E9060" s="115"/>
    </row>
    <row r="9061" spans="1:5" ht="13">
      <c r="A9061" s="115"/>
      <c r="B9061" s="115"/>
      <c r="C9061" s="115"/>
      <c r="D9061" s="115"/>
      <c r="E9061" s="115"/>
    </row>
    <row r="9062" spans="1:5" ht="13">
      <c r="A9062" s="115"/>
      <c r="B9062" s="115"/>
      <c r="C9062" s="115"/>
      <c r="D9062" s="115"/>
      <c r="E9062" s="115"/>
    </row>
    <row r="9063" spans="1:5" ht="13">
      <c r="A9063" s="115"/>
      <c r="B9063" s="115"/>
      <c r="C9063" s="115"/>
      <c r="D9063" s="115"/>
      <c r="E9063" s="115"/>
    </row>
    <row r="9064" spans="1:5" ht="13">
      <c r="A9064" s="115"/>
      <c r="B9064" s="115"/>
      <c r="C9064" s="115"/>
      <c r="D9064" s="115"/>
      <c r="E9064" s="115"/>
    </row>
    <row r="9065" spans="1:5" ht="13">
      <c r="A9065" s="115"/>
      <c r="B9065" s="115"/>
      <c r="C9065" s="115"/>
      <c r="D9065" s="115"/>
      <c r="E9065" s="115"/>
    </row>
    <row r="9066" spans="1:5" ht="13">
      <c r="A9066" s="115"/>
      <c r="B9066" s="115"/>
      <c r="C9066" s="115"/>
      <c r="D9066" s="115"/>
      <c r="E9066" s="115"/>
    </row>
    <row r="9067" spans="1:5" ht="13">
      <c r="A9067" s="115"/>
      <c r="B9067" s="115"/>
      <c r="C9067" s="115"/>
      <c r="D9067" s="115"/>
      <c r="E9067" s="115"/>
    </row>
    <row r="9068" spans="1:5" ht="13">
      <c r="A9068" s="115"/>
      <c r="B9068" s="115"/>
      <c r="C9068" s="115"/>
      <c r="D9068" s="115"/>
      <c r="E9068" s="115"/>
    </row>
    <row r="9069" spans="1:5" ht="13">
      <c r="A9069" s="115"/>
      <c r="B9069" s="115"/>
      <c r="C9069" s="115"/>
      <c r="D9069" s="115"/>
      <c r="E9069" s="115"/>
    </row>
    <row r="9070" spans="1:5" ht="13">
      <c r="A9070" s="115"/>
      <c r="B9070" s="115"/>
      <c r="C9070" s="115"/>
      <c r="D9070" s="115"/>
      <c r="E9070" s="115"/>
    </row>
    <row r="9071" spans="1:5" ht="13">
      <c r="A9071" s="115"/>
      <c r="B9071" s="115"/>
      <c r="C9071" s="115"/>
      <c r="D9071" s="115"/>
      <c r="E9071" s="115"/>
    </row>
    <row r="9072" spans="1:5" ht="13">
      <c r="A9072" s="115"/>
      <c r="B9072" s="115"/>
      <c r="C9072" s="115"/>
      <c r="D9072" s="115"/>
      <c r="E9072" s="115"/>
    </row>
    <row r="9073" spans="1:5" ht="13">
      <c r="A9073" s="115"/>
      <c r="B9073" s="115"/>
      <c r="C9073" s="115"/>
      <c r="D9073" s="115"/>
      <c r="E9073" s="115"/>
    </row>
    <row r="9074" spans="1:5" ht="13">
      <c r="A9074" s="115"/>
      <c r="B9074" s="115"/>
      <c r="C9074" s="115"/>
      <c r="D9074" s="115"/>
      <c r="E9074" s="115"/>
    </row>
    <row r="9075" spans="1:5" ht="13">
      <c r="A9075" s="115"/>
      <c r="B9075" s="115"/>
      <c r="C9075" s="115"/>
      <c r="D9075" s="115"/>
      <c r="E9075" s="115"/>
    </row>
    <row r="9076" spans="1:5" ht="13">
      <c r="A9076" s="115"/>
      <c r="B9076" s="115"/>
      <c r="C9076" s="115"/>
      <c r="D9076" s="115"/>
      <c r="E9076" s="115"/>
    </row>
    <row r="9077" spans="1:5" ht="13">
      <c r="A9077" s="115"/>
      <c r="B9077" s="115"/>
      <c r="C9077" s="115"/>
      <c r="D9077" s="115"/>
      <c r="E9077" s="115"/>
    </row>
    <row r="9078" spans="1:5" ht="13">
      <c r="A9078" s="115"/>
      <c r="B9078" s="115"/>
      <c r="C9078" s="115"/>
      <c r="D9078" s="115"/>
      <c r="E9078" s="115"/>
    </row>
    <row r="9079" spans="1:5" ht="13">
      <c r="A9079" s="115"/>
      <c r="B9079" s="115"/>
      <c r="C9079" s="115"/>
      <c r="D9079" s="115"/>
      <c r="E9079" s="115"/>
    </row>
    <row r="9080" spans="1:5" ht="13">
      <c r="A9080" s="115"/>
      <c r="B9080" s="115"/>
      <c r="C9080" s="115"/>
      <c r="D9080" s="115"/>
      <c r="E9080" s="115"/>
    </row>
    <row r="9081" spans="1:5" ht="13">
      <c r="A9081" s="115"/>
      <c r="B9081" s="115"/>
      <c r="C9081" s="115"/>
      <c r="D9081" s="115"/>
      <c r="E9081" s="115"/>
    </row>
    <row r="9082" spans="1:5" ht="13">
      <c r="A9082" s="115"/>
      <c r="B9082" s="115"/>
      <c r="C9082" s="115"/>
      <c r="D9082" s="115"/>
      <c r="E9082" s="115"/>
    </row>
    <row r="9083" spans="1:5" ht="13">
      <c r="A9083" s="115"/>
      <c r="B9083" s="115"/>
      <c r="C9083" s="115"/>
      <c r="D9083" s="115"/>
      <c r="E9083" s="115"/>
    </row>
    <row r="9084" spans="1:5" ht="13">
      <c r="A9084" s="115"/>
      <c r="B9084" s="115"/>
      <c r="C9084" s="115"/>
      <c r="D9084" s="115"/>
      <c r="E9084" s="115"/>
    </row>
    <row r="9085" spans="1:5" ht="13">
      <c r="A9085" s="115"/>
      <c r="B9085" s="115"/>
      <c r="C9085" s="115"/>
      <c r="D9085" s="115"/>
      <c r="E9085" s="115"/>
    </row>
    <row r="9086" spans="1:5" ht="13">
      <c r="A9086" s="115"/>
      <c r="B9086" s="115"/>
      <c r="C9086" s="115"/>
      <c r="D9086" s="115"/>
      <c r="E9086" s="115"/>
    </row>
    <row r="9087" spans="1:5" ht="13">
      <c r="A9087" s="115"/>
      <c r="B9087" s="115"/>
      <c r="C9087" s="115"/>
      <c r="D9087" s="115"/>
      <c r="E9087" s="115"/>
    </row>
    <row r="9088" spans="1:5" ht="13">
      <c r="A9088" s="115"/>
      <c r="B9088" s="115"/>
      <c r="C9088" s="115"/>
      <c r="D9088" s="115"/>
      <c r="E9088" s="115"/>
    </row>
    <row r="9089" spans="1:5" ht="13">
      <c r="A9089" s="115"/>
      <c r="B9089" s="115"/>
      <c r="C9089" s="115"/>
      <c r="D9089" s="115"/>
      <c r="E9089" s="115"/>
    </row>
    <row r="9090" spans="1:5" ht="13">
      <c r="A9090" s="115"/>
      <c r="B9090" s="115"/>
      <c r="C9090" s="115"/>
      <c r="D9090" s="115"/>
      <c r="E9090" s="115"/>
    </row>
    <row r="9091" spans="1:5" ht="13">
      <c r="A9091" s="115"/>
      <c r="B9091" s="115"/>
      <c r="C9091" s="115"/>
      <c r="D9091" s="115"/>
      <c r="E9091" s="115"/>
    </row>
    <row r="9092" spans="1:5" ht="13">
      <c r="A9092" s="115"/>
      <c r="B9092" s="115"/>
      <c r="C9092" s="115"/>
      <c r="D9092" s="115"/>
      <c r="E9092" s="115"/>
    </row>
    <row r="9093" spans="1:5" ht="13">
      <c r="A9093" s="115"/>
      <c r="B9093" s="115"/>
      <c r="C9093" s="115"/>
      <c r="D9093" s="115"/>
      <c r="E9093" s="115"/>
    </row>
    <row r="9094" spans="1:5" ht="13">
      <c r="A9094" s="115"/>
      <c r="B9094" s="115"/>
      <c r="C9094" s="115"/>
      <c r="D9094" s="115"/>
      <c r="E9094" s="115"/>
    </row>
    <row r="9095" spans="1:5" ht="13">
      <c r="A9095" s="115"/>
      <c r="B9095" s="115"/>
      <c r="C9095" s="115"/>
      <c r="D9095" s="115"/>
      <c r="E9095" s="115"/>
    </row>
    <row r="9096" spans="1:5" ht="13">
      <c r="A9096" s="115"/>
      <c r="B9096" s="115"/>
      <c r="C9096" s="115"/>
      <c r="D9096" s="115"/>
      <c r="E9096" s="115"/>
    </row>
    <row r="9097" spans="1:5" ht="13">
      <c r="A9097" s="115"/>
      <c r="B9097" s="115"/>
      <c r="C9097" s="115"/>
      <c r="D9097" s="115"/>
      <c r="E9097" s="115"/>
    </row>
    <row r="9098" spans="1:5" ht="13">
      <c r="A9098" s="115"/>
      <c r="B9098" s="115"/>
      <c r="C9098" s="115"/>
      <c r="D9098" s="115"/>
      <c r="E9098" s="115"/>
    </row>
    <row r="9099" spans="1:5" ht="13">
      <c r="A9099" s="115"/>
      <c r="B9099" s="115"/>
      <c r="C9099" s="115"/>
      <c r="D9099" s="115"/>
      <c r="E9099" s="115"/>
    </row>
    <row r="9100" spans="1:5" ht="13">
      <c r="A9100" s="115"/>
      <c r="B9100" s="115"/>
      <c r="C9100" s="115"/>
      <c r="D9100" s="115"/>
      <c r="E9100" s="115"/>
    </row>
    <row r="9101" spans="1:5" ht="13">
      <c r="A9101" s="115"/>
      <c r="B9101" s="115"/>
      <c r="C9101" s="115"/>
      <c r="D9101" s="115"/>
      <c r="E9101" s="115"/>
    </row>
    <row r="9102" spans="1:5" ht="13">
      <c r="A9102" s="115"/>
      <c r="B9102" s="115"/>
      <c r="C9102" s="115"/>
      <c r="D9102" s="115"/>
      <c r="E9102" s="115"/>
    </row>
    <row r="9103" spans="1:5" ht="13">
      <c r="A9103" s="115"/>
      <c r="B9103" s="115"/>
      <c r="C9103" s="115"/>
      <c r="D9103" s="115"/>
      <c r="E9103" s="115"/>
    </row>
    <row r="9104" spans="1:5" ht="13">
      <c r="A9104" s="115"/>
      <c r="B9104" s="115"/>
      <c r="C9104" s="115"/>
      <c r="D9104" s="115"/>
      <c r="E9104" s="115"/>
    </row>
    <row r="9105" spans="1:5" ht="13">
      <c r="A9105" s="115"/>
      <c r="B9105" s="115"/>
      <c r="C9105" s="115"/>
      <c r="D9105" s="115"/>
      <c r="E9105" s="115"/>
    </row>
    <row r="9106" spans="1:5" ht="13">
      <c r="A9106" s="115"/>
      <c r="B9106" s="115"/>
      <c r="C9106" s="115"/>
      <c r="D9106" s="115"/>
      <c r="E9106" s="115"/>
    </row>
    <row r="9107" spans="1:5" ht="13">
      <c r="A9107" s="115"/>
      <c r="B9107" s="115"/>
      <c r="C9107" s="115"/>
      <c r="D9107" s="115"/>
      <c r="E9107" s="115"/>
    </row>
    <row r="9108" spans="1:5" ht="13">
      <c r="A9108" s="115"/>
      <c r="B9108" s="115"/>
      <c r="C9108" s="115"/>
      <c r="D9108" s="115"/>
      <c r="E9108" s="115"/>
    </row>
    <row r="9109" spans="1:5" ht="13">
      <c r="A9109" s="115"/>
      <c r="B9109" s="115"/>
      <c r="C9109" s="115"/>
      <c r="D9109" s="115"/>
      <c r="E9109" s="115"/>
    </row>
    <row r="9110" spans="1:5" ht="13">
      <c r="A9110" s="115"/>
      <c r="B9110" s="115"/>
      <c r="C9110" s="115"/>
      <c r="D9110" s="115"/>
      <c r="E9110" s="115"/>
    </row>
    <row r="9111" spans="1:5" ht="13">
      <c r="A9111" s="115"/>
      <c r="B9111" s="115"/>
      <c r="C9111" s="115"/>
      <c r="D9111" s="115"/>
      <c r="E9111" s="115"/>
    </row>
    <row r="9112" spans="1:5" ht="13">
      <c r="A9112" s="115"/>
      <c r="B9112" s="115"/>
      <c r="C9112" s="115"/>
      <c r="D9112" s="115"/>
      <c r="E9112" s="115"/>
    </row>
    <row r="9113" spans="1:5" ht="13">
      <c r="A9113" s="115"/>
      <c r="B9113" s="115"/>
      <c r="C9113" s="115"/>
      <c r="D9113" s="115"/>
      <c r="E9113" s="115"/>
    </row>
    <row r="9114" spans="1:5" ht="13">
      <c r="A9114" s="115"/>
      <c r="B9114" s="115"/>
      <c r="C9114" s="115"/>
      <c r="D9114" s="115"/>
      <c r="E9114" s="115"/>
    </row>
    <row r="9115" spans="1:5" ht="13">
      <c r="A9115" s="115"/>
      <c r="B9115" s="115"/>
      <c r="C9115" s="115"/>
      <c r="D9115" s="115"/>
      <c r="E9115" s="115"/>
    </row>
    <row r="9116" spans="1:5" ht="13">
      <c r="A9116" s="115"/>
      <c r="B9116" s="115"/>
      <c r="C9116" s="115"/>
      <c r="D9116" s="115"/>
      <c r="E9116" s="115"/>
    </row>
    <row r="9117" spans="1:5" ht="13">
      <c r="A9117" s="115"/>
      <c r="B9117" s="115"/>
      <c r="C9117" s="115"/>
      <c r="D9117" s="115"/>
      <c r="E9117" s="115"/>
    </row>
    <row r="9118" spans="1:5" ht="13">
      <c r="A9118" s="115"/>
      <c r="B9118" s="115"/>
      <c r="C9118" s="115"/>
      <c r="D9118" s="115"/>
      <c r="E9118" s="115"/>
    </row>
    <row r="9119" spans="1:5" ht="13">
      <c r="A9119" s="115"/>
      <c r="B9119" s="115"/>
      <c r="C9119" s="115"/>
      <c r="D9119" s="115"/>
      <c r="E9119" s="115"/>
    </row>
    <row r="9120" spans="1:5" ht="13">
      <c r="A9120" s="115"/>
      <c r="B9120" s="115"/>
      <c r="C9120" s="115"/>
      <c r="D9120" s="115"/>
      <c r="E9120" s="115"/>
    </row>
    <row r="9121" spans="1:5" ht="13">
      <c r="A9121" s="115"/>
      <c r="B9121" s="115"/>
      <c r="C9121" s="115"/>
      <c r="D9121" s="115"/>
      <c r="E9121" s="115"/>
    </row>
    <row r="9122" spans="1:5" ht="13">
      <c r="A9122" s="115"/>
      <c r="B9122" s="115"/>
      <c r="C9122" s="115"/>
      <c r="D9122" s="115"/>
      <c r="E9122" s="115"/>
    </row>
    <row r="9123" spans="1:5" ht="13">
      <c r="A9123" s="115"/>
      <c r="B9123" s="115"/>
      <c r="C9123" s="115"/>
      <c r="D9123" s="115"/>
      <c r="E9123" s="115"/>
    </row>
    <row r="9124" spans="1:5" ht="13">
      <c r="A9124" s="115"/>
      <c r="B9124" s="115"/>
      <c r="C9124" s="115"/>
      <c r="D9124" s="115"/>
      <c r="E9124" s="115"/>
    </row>
    <row r="9125" spans="1:5" ht="13">
      <c r="A9125" s="115"/>
      <c r="B9125" s="115"/>
      <c r="C9125" s="115"/>
      <c r="D9125" s="115"/>
      <c r="E9125" s="115"/>
    </row>
    <row r="9126" spans="1:5" ht="13">
      <c r="A9126" s="115"/>
      <c r="B9126" s="115"/>
      <c r="C9126" s="115"/>
      <c r="D9126" s="115"/>
      <c r="E9126" s="115"/>
    </row>
    <row r="9127" spans="1:5" ht="13">
      <c r="A9127" s="115"/>
      <c r="B9127" s="115"/>
      <c r="C9127" s="115"/>
      <c r="D9127" s="115"/>
      <c r="E9127" s="115"/>
    </row>
    <row r="9128" spans="1:5" ht="13">
      <c r="A9128" s="115"/>
      <c r="B9128" s="115"/>
      <c r="C9128" s="115"/>
      <c r="D9128" s="115"/>
      <c r="E9128" s="115"/>
    </row>
    <row r="9129" spans="1:5" ht="13">
      <c r="A9129" s="115"/>
      <c r="B9129" s="115"/>
      <c r="C9129" s="115"/>
      <c r="D9129" s="115"/>
      <c r="E9129" s="115"/>
    </row>
    <row r="9130" spans="1:5" ht="13">
      <c r="A9130" s="115"/>
      <c r="B9130" s="115"/>
      <c r="C9130" s="115"/>
      <c r="D9130" s="115"/>
      <c r="E9130" s="115"/>
    </row>
    <row r="9131" spans="1:5" ht="13">
      <c r="A9131" s="115"/>
      <c r="B9131" s="115"/>
      <c r="C9131" s="115"/>
      <c r="D9131" s="115"/>
      <c r="E9131" s="115"/>
    </row>
    <row r="9132" spans="1:5" ht="13">
      <c r="A9132" s="115"/>
      <c r="B9132" s="115"/>
      <c r="C9132" s="115"/>
      <c r="D9132" s="115"/>
      <c r="E9132" s="115"/>
    </row>
    <row r="9133" spans="1:5" ht="13">
      <c r="A9133" s="115"/>
      <c r="B9133" s="115"/>
      <c r="C9133" s="115"/>
      <c r="D9133" s="115"/>
      <c r="E9133" s="115"/>
    </row>
    <row r="9134" spans="1:5" ht="13">
      <c r="A9134" s="115"/>
      <c r="B9134" s="115"/>
      <c r="C9134" s="115"/>
      <c r="D9134" s="115"/>
      <c r="E9134" s="115"/>
    </row>
    <row r="9135" spans="1:5" ht="13">
      <c r="A9135" s="115"/>
      <c r="B9135" s="115"/>
      <c r="C9135" s="115"/>
      <c r="D9135" s="115"/>
      <c r="E9135" s="115"/>
    </row>
    <row r="9136" spans="1:5" ht="13">
      <c r="A9136" s="115"/>
      <c r="B9136" s="115"/>
      <c r="C9136" s="115"/>
      <c r="D9136" s="115"/>
      <c r="E9136" s="115"/>
    </row>
    <row r="9137" spans="1:5" ht="13">
      <c r="A9137" s="115"/>
      <c r="B9137" s="115"/>
      <c r="C9137" s="115"/>
      <c r="D9137" s="115"/>
      <c r="E9137" s="115"/>
    </row>
    <row r="9138" spans="1:5" ht="13">
      <c r="A9138" s="115"/>
      <c r="B9138" s="115"/>
      <c r="C9138" s="115"/>
      <c r="D9138" s="115"/>
      <c r="E9138" s="115"/>
    </row>
    <row r="9139" spans="1:5" ht="13">
      <c r="A9139" s="115"/>
      <c r="B9139" s="115"/>
      <c r="C9139" s="115"/>
      <c r="D9139" s="115"/>
      <c r="E9139" s="115"/>
    </row>
    <row r="9140" spans="1:5" ht="13">
      <c r="A9140" s="115"/>
      <c r="B9140" s="115"/>
      <c r="C9140" s="115"/>
      <c r="D9140" s="115"/>
      <c r="E9140" s="115"/>
    </row>
    <row r="9141" spans="1:5" ht="13">
      <c r="A9141" s="115"/>
      <c r="B9141" s="115"/>
      <c r="C9141" s="115"/>
      <c r="D9141" s="115"/>
      <c r="E9141" s="115"/>
    </row>
    <row r="9142" spans="1:5" ht="13">
      <c r="A9142" s="115"/>
      <c r="B9142" s="115"/>
      <c r="C9142" s="115"/>
      <c r="D9142" s="115"/>
      <c r="E9142" s="115"/>
    </row>
    <row r="9143" spans="1:5" ht="13">
      <c r="A9143" s="115"/>
      <c r="B9143" s="115"/>
      <c r="C9143" s="115"/>
      <c r="D9143" s="115"/>
      <c r="E9143" s="115"/>
    </row>
    <row r="9144" spans="1:5" ht="13">
      <c r="A9144" s="115"/>
      <c r="B9144" s="115"/>
      <c r="C9144" s="115"/>
      <c r="D9144" s="115"/>
      <c r="E9144" s="115"/>
    </row>
    <row r="9145" spans="1:5" ht="13">
      <c r="A9145" s="115"/>
      <c r="B9145" s="115"/>
      <c r="C9145" s="115"/>
      <c r="D9145" s="115"/>
      <c r="E9145" s="115"/>
    </row>
    <row r="9146" spans="1:5" ht="13">
      <c r="A9146" s="115"/>
      <c r="B9146" s="115"/>
      <c r="C9146" s="115"/>
      <c r="D9146" s="115"/>
      <c r="E9146" s="115"/>
    </row>
    <row r="9147" spans="1:5" ht="13">
      <c r="A9147" s="115"/>
      <c r="B9147" s="115"/>
      <c r="C9147" s="115"/>
      <c r="D9147" s="115"/>
      <c r="E9147" s="115"/>
    </row>
    <row r="9148" spans="1:5" ht="13">
      <c r="A9148" s="115"/>
      <c r="B9148" s="115"/>
      <c r="C9148" s="115"/>
      <c r="D9148" s="115"/>
      <c r="E9148" s="115"/>
    </row>
    <row r="9149" spans="1:5" ht="13">
      <c r="A9149" s="115"/>
      <c r="B9149" s="115"/>
      <c r="C9149" s="115"/>
      <c r="D9149" s="115"/>
      <c r="E9149" s="115"/>
    </row>
    <row r="9150" spans="1:5" ht="13">
      <c r="A9150" s="115"/>
      <c r="B9150" s="115"/>
      <c r="C9150" s="115"/>
      <c r="D9150" s="115"/>
      <c r="E9150" s="115"/>
    </row>
    <row r="9151" spans="1:5" ht="13">
      <c r="A9151" s="115"/>
      <c r="B9151" s="115"/>
      <c r="C9151" s="115"/>
      <c r="D9151" s="115"/>
      <c r="E9151" s="115"/>
    </row>
    <row r="9152" spans="1:5" ht="13">
      <c r="A9152" s="115"/>
      <c r="B9152" s="115"/>
      <c r="C9152" s="115"/>
      <c r="D9152" s="115"/>
      <c r="E9152" s="115"/>
    </row>
    <row r="9153" spans="1:5" ht="13">
      <c r="A9153" s="115"/>
      <c r="B9153" s="115"/>
      <c r="C9153" s="115"/>
      <c r="D9153" s="115"/>
      <c r="E9153" s="115"/>
    </row>
    <row r="9154" spans="1:5" ht="13">
      <c r="A9154" s="115"/>
      <c r="B9154" s="115"/>
      <c r="C9154" s="115"/>
      <c r="D9154" s="115"/>
      <c r="E9154" s="115"/>
    </row>
    <row r="9155" spans="1:5" ht="13">
      <c r="A9155" s="115"/>
      <c r="B9155" s="115"/>
      <c r="C9155" s="115"/>
      <c r="D9155" s="115"/>
      <c r="E9155" s="115"/>
    </row>
    <row r="9156" spans="1:5" ht="13">
      <c r="A9156" s="115"/>
      <c r="B9156" s="115"/>
      <c r="C9156" s="115"/>
      <c r="D9156" s="115"/>
      <c r="E9156" s="115"/>
    </row>
    <row r="9157" spans="1:5" ht="13">
      <c r="A9157" s="115"/>
      <c r="B9157" s="115"/>
      <c r="C9157" s="115"/>
      <c r="D9157" s="115"/>
      <c r="E9157" s="115"/>
    </row>
    <row r="9158" spans="1:5" ht="13">
      <c r="A9158" s="115"/>
      <c r="B9158" s="115"/>
      <c r="C9158" s="115"/>
      <c r="D9158" s="115"/>
      <c r="E9158" s="115"/>
    </row>
    <row r="9159" spans="1:5" ht="13">
      <c r="A9159" s="115"/>
      <c r="B9159" s="115"/>
      <c r="C9159" s="115"/>
      <c r="D9159" s="115"/>
      <c r="E9159" s="115"/>
    </row>
    <row r="9160" spans="1:5" ht="13">
      <c r="A9160" s="115"/>
      <c r="B9160" s="115"/>
      <c r="C9160" s="115"/>
      <c r="D9160" s="115"/>
      <c r="E9160" s="115"/>
    </row>
    <row r="9161" spans="1:5" ht="13">
      <c r="A9161" s="115"/>
      <c r="B9161" s="115"/>
      <c r="C9161" s="115"/>
      <c r="D9161" s="115"/>
      <c r="E9161" s="115"/>
    </row>
    <row r="9162" spans="1:5" ht="13">
      <c r="A9162" s="115"/>
      <c r="B9162" s="115"/>
      <c r="C9162" s="115"/>
      <c r="D9162" s="115"/>
      <c r="E9162" s="115"/>
    </row>
    <row r="9163" spans="1:5" ht="13">
      <c r="A9163" s="115"/>
      <c r="B9163" s="115"/>
      <c r="C9163" s="115"/>
      <c r="D9163" s="115"/>
      <c r="E9163" s="115"/>
    </row>
    <row r="9164" spans="1:5" ht="13">
      <c r="A9164" s="115"/>
      <c r="B9164" s="115"/>
      <c r="C9164" s="115"/>
      <c r="D9164" s="115"/>
      <c r="E9164" s="115"/>
    </row>
    <row r="9165" spans="1:5" ht="13">
      <c r="A9165" s="115"/>
      <c r="B9165" s="115"/>
      <c r="C9165" s="115"/>
      <c r="D9165" s="115"/>
      <c r="E9165" s="115"/>
    </row>
    <row r="9166" spans="1:5" ht="13">
      <c r="A9166" s="115"/>
      <c r="B9166" s="115"/>
      <c r="C9166" s="115"/>
      <c r="D9166" s="115"/>
      <c r="E9166" s="115"/>
    </row>
    <row r="9167" spans="1:5" ht="13">
      <c r="A9167" s="115"/>
      <c r="B9167" s="115"/>
      <c r="C9167" s="115"/>
      <c r="D9167" s="115"/>
      <c r="E9167" s="115"/>
    </row>
    <row r="9168" spans="1:5" ht="13">
      <c r="A9168" s="115"/>
      <c r="B9168" s="115"/>
      <c r="C9168" s="115"/>
      <c r="D9168" s="115"/>
      <c r="E9168" s="115"/>
    </row>
    <row r="9169" spans="1:5" ht="13">
      <c r="A9169" s="115"/>
      <c r="B9169" s="115"/>
      <c r="C9169" s="115"/>
      <c r="D9169" s="115"/>
      <c r="E9169" s="115"/>
    </row>
    <row r="9170" spans="1:5" ht="13">
      <c r="A9170" s="115"/>
      <c r="B9170" s="115"/>
      <c r="C9170" s="115"/>
      <c r="D9170" s="115"/>
      <c r="E9170" s="115"/>
    </row>
    <row r="9171" spans="1:5" ht="13">
      <c r="A9171" s="115"/>
      <c r="B9171" s="115"/>
      <c r="C9171" s="115"/>
      <c r="D9171" s="115"/>
      <c r="E9171" s="115"/>
    </row>
    <row r="9172" spans="1:5" ht="13">
      <c r="A9172" s="115"/>
      <c r="B9172" s="115"/>
      <c r="C9172" s="115"/>
      <c r="D9172" s="115"/>
      <c r="E9172" s="115"/>
    </row>
    <row r="9173" spans="1:5" ht="13">
      <c r="A9173" s="115"/>
      <c r="B9173" s="115"/>
      <c r="C9173" s="115"/>
      <c r="D9173" s="115"/>
      <c r="E9173" s="115"/>
    </row>
    <row r="9174" spans="1:5" ht="13">
      <c r="A9174" s="115"/>
      <c r="B9174" s="115"/>
      <c r="C9174" s="115"/>
      <c r="D9174" s="115"/>
      <c r="E9174" s="115"/>
    </row>
    <row r="9175" spans="1:5" ht="13">
      <c r="A9175" s="115"/>
      <c r="B9175" s="115"/>
      <c r="C9175" s="115"/>
      <c r="D9175" s="115"/>
      <c r="E9175" s="115"/>
    </row>
    <row r="9176" spans="1:5" ht="13">
      <c r="A9176" s="115"/>
      <c r="B9176" s="115"/>
      <c r="C9176" s="115"/>
      <c r="D9176" s="115"/>
      <c r="E9176" s="115"/>
    </row>
    <row r="9177" spans="1:5" ht="13">
      <c r="A9177" s="115"/>
      <c r="B9177" s="115"/>
      <c r="C9177" s="115"/>
      <c r="D9177" s="115"/>
      <c r="E9177" s="115"/>
    </row>
    <row r="9178" spans="1:5" ht="13">
      <c r="A9178" s="115"/>
      <c r="B9178" s="115"/>
      <c r="C9178" s="115"/>
      <c r="D9178" s="115"/>
      <c r="E9178" s="115"/>
    </row>
    <row r="9179" spans="1:5" ht="13">
      <c r="A9179" s="115"/>
      <c r="B9179" s="115"/>
      <c r="C9179" s="115"/>
      <c r="D9179" s="115"/>
      <c r="E9179" s="115"/>
    </row>
    <row r="9180" spans="1:5" ht="13">
      <c r="A9180" s="115"/>
      <c r="B9180" s="115"/>
      <c r="C9180" s="115"/>
      <c r="D9180" s="115"/>
      <c r="E9180" s="115"/>
    </row>
    <row r="9181" spans="1:5" ht="13">
      <c r="A9181" s="115"/>
      <c r="B9181" s="115"/>
      <c r="C9181" s="115"/>
      <c r="D9181" s="115"/>
      <c r="E9181" s="115"/>
    </row>
    <row r="9182" spans="1:5" ht="13">
      <c r="A9182" s="115"/>
      <c r="B9182" s="115"/>
      <c r="C9182" s="115"/>
      <c r="D9182" s="115"/>
      <c r="E9182" s="115"/>
    </row>
    <row r="9183" spans="1:5" ht="13">
      <c r="A9183" s="115"/>
      <c r="B9183" s="115"/>
      <c r="C9183" s="115"/>
      <c r="D9183" s="115"/>
      <c r="E9183" s="115"/>
    </row>
    <row r="9184" spans="1:5" ht="13">
      <c r="A9184" s="115"/>
      <c r="B9184" s="115"/>
      <c r="C9184" s="115"/>
      <c r="D9184" s="115"/>
      <c r="E9184" s="115"/>
    </row>
    <row r="9185" spans="1:5" ht="13">
      <c r="A9185" s="115"/>
      <c r="B9185" s="115"/>
      <c r="C9185" s="115"/>
      <c r="D9185" s="115"/>
      <c r="E9185" s="115"/>
    </row>
    <row r="9186" spans="1:5" ht="13">
      <c r="A9186" s="115"/>
      <c r="B9186" s="115"/>
      <c r="C9186" s="115"/>
      <c r="D9186" s="115"/>
      <c r="E9186" s="115"/>
    </row>
    <row r="9187" spans="1:5" ht="13">
      <c r="A9187" s="115"/>
      <c r="B9187" s="115"/>
      <c r="C9187" s="115"/>
      <c r="D9187" s="115"/>
      <c r="E9187" s="115"/>
    </row>
    <row r="9188" spans="1:5" ht="13">
      <c r="A9188" s="115"/>
      <c r="B9188" s="115"/>
      <c r="C9188" s="115"/>
      <c r="D9188" s="115"/>
      <c r="E9188" s="115"/>
    </row>
    <row r="9189" spans="1:5" ht="13">
      <c r="A9189" s="115"/>
      <c r="B9189" s="115"/>
      <c r="C9189" s="115"/>
      <c r="D9189" s="115"/>
      <c r="E9189" s="115"/>
    </row>
    <row r="9190" spans="1:5" ht="13">
      <c r="A9190" s="115"/>
      <c r="B9190" s="115"/>
      <c r="C9190" s="115"/>
      <c r="D9190" s="115"/>
      <c r="E9190" s="115"/>
    </row>
    <row r="9191" spans="1:5" ht="13">
      <c r="A9191" s="115"/>
      <c r="B9191" s="115"/>
      <c r="C9191" s="115"/>
      <c r="D9191" s="115"/>
      <c r="E9191" s="115"/>
    </row>
    <row r="9192" spans="1:5" ht="13">
      <c r="A9192" s="115"/>
      <c r="B9192" s="115"/>
      <c r="C9192" s="115"/>
      <c r="D9192" s="115"/>
      <c r="E9192" s="115"/>
    </row>
    <row r="9193" spans="1:5" ht="13">
      <c r="A9193" s="115"/>
      <c r="B9193" s="115"/>
      <c r="C9193" s="115"/>
      <c r="D9193" s="115"/>
      <c r="E9193" s="115"/>
    </row>
    <row r="9194" spans="1:5" ht="13">
      <c r="A9194" s="115"/>
      <c r="B9194" s="115"/>
      <c r="C9194" s="115"/>
      <c r="D9194" s="115"/>
      <c r="E9194" s="115"/>
    </row>
    <row r="9195" spans="1:5" ht="13">
      <c r="A9195" s="115"/>
      <c r="B9195" s="115"/>
      <c r="C9195" s="115"/>
      <c r="D9195" s="115"/>
      <c r="E9195" s="115"/>
    </row>
    <row r="9196" spans="1:5" ht="13">
      <c r="A9196" s="115"/>
      <c r="B9196" s="115"/>
      <c r="C9196" s="115"/>
      <c r="D9196" s="115"/>
      <c r="E9196" s="115"/>
    </row>
    <row r="9197" spans="1:5" ht="13">
      <c r="A9197" s="115"/>
      <c r="B9197" s="115"/>
      <c r="C9197" s="115"/>
      <c r="D9197" s="115"/>
      <c r="E9197" s="115"/>
    </row>
    <row r="9198" spans="1:5" ht="13">
      <c r="A9198" s="115"/>
      <c r="B9198" s="115"/>
      <c r="C9198" s="115"/>
      <c r="D9198" s="115"/>
      <c r="E9198" s="115"/>
    </row>
    <row r="9199" spans="1:5" ht="13">
      <c r="A9199" s="115"/>
      <c r="B9199" s="115"/>
      <c r="C9199" s="115"/>
      <c r="D9199" s="115"/>
      <c r="E9199" s="115"/>
    </row>
    <row r="9200" spans="1:5" ht="13">
      <c r="A9200" s="115"/>
      <c r="B9200" s="115"/>
      <c r="C9200" s="115"/>
      <c r="D9200" s="115"/>
      <c r="E9200" s="115"/>
    </row>
    <row r="9201" spans="1:5" ht="13">
      <c r="A9201" s="115"/>
      <c r="B9201" s="115"/>
      <c r="C9201" s="115"/>
      <c r="D9201" s="115"/>
      <c r="E9201" s="115"/>
    </row>
    <row r="9202" spans="1:5" ht="13">
      <c r="A9202" s="115"/>
      <c r="B9202" s="115"/>
      <c r="C9202" s="115"/>
      <c r="D9202" s="115"/>
      <c r="E9202" s="115"/>
    </row>
    <row r="9203" spans="1:5" ht="13">
      <c r="A9203" s="115"/>
      <c r="B9203" s="115"/>
      <c r="C9203" s="115"/>
      <c r="D9203" s="115"/>
      <c r="E9203" s="115"/>
    </row>
    <row r="9204" spans="1:5" ht="13">
      <c r="A9204" s="115"/>
      <c r="B9204" s="115"/>
      <c r="C9204" s="115"/>
      <c r="D9204" s="115"/>
      <c r="E9204" s="115"/>
    </row>
    <row r="9205" spans="1:5" ht="13">
      <c r="A9205" s="115"/>
      <c r="B9205" s="115"/>
      <c r="C9205" s="115"/>
      <c r="D9205" s="115"/>
      <c r="E9205" s="115"/>
    </row>
    <row r="9206" spans="1:5" ht="13">
      <c r="A9206" s="115"/>
      <c r="B9206" s="115"/>
      <c r="C9206" s="115"/>
      <c r="D9206" s="115"/>
      <c r="E9206" s="115"/>
    </row>
    <row r="9207" spans="1:5" ht="13">
      <c r="A9207" s="115"/>
      <c r="B9207" s="115"/>
      <c r="C9207" s="115"/>
      <c r="D9207" s="115"/>
      <c r="E9207" s="115"/>
    </row>
    <row r="9208" spans="1:5" ht="13">
      <c r="A9208" s="115"/>
      <c r="B9208" s="115"/>
      <c r="C9208" s="115"/>
      <c r="D9208" s="115"/>
      <c r="E9208" s="115"/>
    </row>
    <row r="9209" spans="1:5" ht="13">
      <c r="A9209" s="115"/>
      <c r="B9209" s="115"/>
      <c r="C9209" s="115"/>
      <c r="D9209" s="115"/>
      <c r="E9209" s="115"/>
    </row>
    <row r="9210" spans="1:5" ht="13">
      <c r="A9210" s="115"/>
      <c r="B9210" s="115"/>
      <c r="C9210" s="115"/>
      <c r="D9210" s="115"/>
      <c r="E9210" s="115"/>
    </row>
    <row r="9211" spans="1:5" ht="13">
      <c r="A9211" s="115"/>
      <c r="B9211" s="115"/>
      <c r="C9211" s="115"/>
      <c r="D9211" s="115"/>
      <c r="E9211" s="115"/>
    </row>
    <row r="9212" spans="1:5" ht="13">
      <c r="A9212" s="115"/>
      <c r="B9212" s="115"/>
      <c r="C9212" s="115"/>
      <c r="D9212" s="115"/>
      <c r="E9212" s="115"/>
    </row>
    <row r="9213" spans="1:5" ht="13">
      <c r="A9213" s="115"/>
      <c r="B9213" s="115"/>
      <c r="C9213" s="115"/>
      <c r="D9213" s="115"/>
      <c r="E9213" s="115"/>
    </row>
    <row r="9214" spans="1:5" ht="13">
      <c r="A9214" s="115"/>
      <c r="B9214" s="115"/>
      <c r="C9214" s="115"/>
      <c r="D9214" s="115"/>
      <c r="E9214" s="115"/>
    </row>
    <row r="9215" spans="1:5" ht="13">
      <c r="A9215" s="115"/>
      <c r="B9215" s="115"/>
      <c r="C9215" s="115"/>
      <c r="D9215" s="115"/>
      <c r="E9215" s="115"/>
    </row>
    <row r="9216" spans="1:5" ht="13">
      <c r="A9216" s="115"/>
      <c r="B9216" s="115"/>
      <c r="C9216" s="115"/>
      <c r="D9216" s="115"/>
      <c r="E9216" s="115"/>
    </row>
    <row r="9217" spans="1:5" ht="13">
      <c r="A9217" s="115"/>
      <c r="B9217" s="115"/>
      <c r="C9217" s="115"/>
      <c r="D9217" s="115"/>
      <c r="E9217" s="115"/>
    </row>
    <row r="9218" spans="1:5" ht="13">
      <c r="A9218" s="115"/>
      <c r="B9218" s="115"/>
      <c r="C9218" s="115"/>
      <c r="D9218" s="115"/>
      <c r="E9218" s="115"/>
    </row>
    <row r="9219" spans="1:5" ht="13">
      <c r="A9219" s="115"/>
      <c r="B9219" s="115"/>
      <c r="C9219" s="115"/>
      <c r="D9219" s="115"/>
      <c r="E9219" s="115"/>
    </row>
    <row r="9220" spans="1:5" ht="13">
      <c r="A9220" s="115"/>
      <c r="B9220" s="115"/>
      <c r="C9220" s="115"/>
      <c r="D9220" s="115"/>
      <c r="E9220" s="115"/>
    </row>
    <row r="9221" spans="1:5" ht="13">
      <c r="A9221" s="115"/>
      <c r="B9221" s="115"/>
      <c r="C9221" s="115"/>
      <c r="D9221" s="115"/>
      <c r="E9221" s="115"/>
    </row>
    <row r="9222" spans="1:5" ht="13">
      <c r="A9222" s="115"/>
      <c r="B9222" s="115"/>
      <c r="C9222" s="115"/>
      <c r="D9222" s="115"/>
      <c r="E9222" s="115"/>
    </row>
    <row r="9223" spans="1:5" ht="13">
      <c r="A9223" s="115"/>
      <c r="B9223" s="115"/>
      <c r="C9223" s="115"/>
      <c r="D9223" s="115"/>
      <c r="E9223" s="115"/>
    </row>
    <row r="9224" spans="1:5" ht="13">
      <c r="A9224" s="115"/>
      <c r="B9224" s="115"/>
      <c r="C9224" s="115"/>
      <c r="D9224" s="115"/>
      <c r="E9224" s="115"/>
    </row>
    <row r="9225" spans="1:5" ht="13">
      <c r="A9225" s="115"/>
      <c r="B9225" s="115"/>
      <c r="C9225" s="115"/>
      <c r="D9225" s="115"/>
      <c r="E9225" s="115"/>
    </row>
    <row r="9226" spans="1:5" ht="13">
      <c r="A9226" s="115"/>
      <c r="B9226" s="115"/>
      <c r="C9226" s="115"/>
      <c r="D9226" s="115"/>
      <c r="E9226" s="115"/>
    </row>
    <row r="9227" spans="1:5" ht="13">
      <c r="A9227" s="115"/>
      <c r="B9227" s="115"/>
      <c r="C9227" s="115"/>
      <c r="D9227" s="115"/>
      <c r="E9227" s="115"/>
    </row>
    <row r="9228" spans="1:5" ht="13">
      <c r="A9228" s="115"/>
      <c r="B9228" s="115"/>
      <c r="C9228" s="115"/>
      <c r="D9228" s="115"/>
      <c r="E9228" s="115"/>
    </row>
    <row r="9229" spans="1:5" ht="13">
      <c r="A9229" s="115"/>
      <c r="B9229" s="115"/>
      <c r="C9229" s="115"/>
      <c r="D9229" s="115"/>
      <c r="E9229" s="115"/>
    </row>
    <row r="9230" spans="1:5" ht="13">
      <c r="A9230" s="115"/>
      <c r="B9230" s="115"/>
      <c r="C9230" s="115"/>
      <c r="D9230" s="115"/>
      <c r="E9230" s="115"/>
    </row>
    <row r="9231" spans="1:5" ht="13">
      <c r="A9231" s="115"/>
      <c r="B9231" s="115"/>
      <c r="C9231" s="115"/>
      <c r="D9231" s="115"/>
      <c r="E9231" s="115"/>
    </row>
    <row r="9232" spans="1:5" ht="13">
      <c r="A9232" s="115"/>
      <c r="B9232" s="115"/>
      <c r="C9232" s="115"/>
      <c r="D9232" s="115"/>
      <c r="E9232" s="115"/>
    </row>
    <row r="9233" spans="1:5" ht="13">
      <c r="A9233" s="115"/>
      <c r="B9233" s="115"/>
      <c r="C9233" s="115"/>
      <c r="D9233" s="115"/>
      <c r="E9233" s="115"/>
    </row>
    <row r="9234" spans="1:5" ht="13">
      <c r="A9234" s="115"/>
      <c r="B9234" s="115"/>
      <c r="C9234" s="115"/>
      <c r="D9234" s="115"/>
      <c r="E9234" s="115"/>
    </row>
    <row r="9235" spans="1:5" ht="13">
      <c r="A9235" s="115"/>
      <c r="B9235" s="115"/>
      <c r="C9235" s="115"/>
      <c r="D9235" s="115"/>
      <c r="E9235" s="115"/>
    </row>
    <row r="9236" spans="1:5" ht="13">
      <c r="A9236" s="115"/>
      <c r="B9236" s="115"/>
      <c r="C9236" s="115"/>
      <c r="D9236" s="115"/>
      <c r="E9236" s="115"/>
    </row>
    <row r="9237" spans="1:5" ht="13">
      <c r="A9237" s="115"/>
      <c r="B9237" s="115"/>
      <c r="C9237" s="115"/>
      <c r="D9237" s="115"/>
      <c r="E9237" s="115"/>
    </row>
    <row r="9238" spans="1:5" ht="13">
      <c r="A9238" s="115"/>
      <c r="B9238" s="115"/>
      <c r="C9238" s="115"/>
      <c r="D9238" s="115"/>
      <c r="E9238" s="115"/>
    </row>
    <row r="9239" spans="1:5" ht="13">
      <c r="A9239" s="115"/>
      <c r="B9239" s="115"/>
      <c r="C9239" s="115"/>
      <c r="D9239" s="115"/>
      <c r="E9239" s="115"/>
    </row>
    <row r="9240" spans="1:5" ht="13">
      <c r="A9240" s="115"/>
      <c r="B9240" s="115"/>
      <c r="C9240" s="115"/>
      <c r="D9240" s="115"/>
      <c r="E9240" s="115"/>
    </row>
    <row r="9241" spans="1:5" ht="13">
      <c r="A9241" s="115"/>
      <c r="B9241" s="115"/>
      <c r="C9241" s="115"/>
      <c r="D9241" s="115"/>
      <c r="E9241" s="115"/>
    </row>
    <row r="9242" spans="1:5" ht="13">
      <c r="A9242" s="115"/>
      <c r="B9242" s="115"/>
      <c r="C9242" s="115"/>
      <c r="D9242" s="115"/>
      <c r="E9242" s="115"/>
    </row>
    <row r="9243" spans="1:5" ht="13">
      <c r="A9243" s="115"/>
      <c r="B9243" s="115"/>
      <c r="C9243" s="115"/>
      <c r="D9243" s="115"/>
      <c r="E9243" s="115"/>
    </row>
    <row r="9244" spans="1:5" ht="13">
      <c r="A9244" s="115"/>
      <c r="B9244" s="115"/>
      <c r="C9244" s="115"/>
      <c r="D9244" s="115"/>
      <c r="E9244" s="115"/>
    </row>
    <row r="9245" spans="1:5" ht="13">
      <c r="A9245" s="115"/>
      <c r="B9245" s="115"/>
      <c r="C9245" s="115"/>
      <c r="D9245" s="115"/>
      <c r="E9245" s="115"/>
    </row>
    <row r="9246" spans="1:5" ht="13">
      <c r="A9246" s="115"/>
      <c r="B9246" s="115"/>
      <c r="C9246" s="115"/>
      <c r="D9246" s="115"/>
      <c r="E9246" s="115"/>
    </row>
    <row r="9247" spans="1:5" ht="13">
      <c r="A9247" s="115"/>
      <c r="B9247" s="115"/>
      <c r="C9247" s="115"/>
      <c r="D9247" s="115"/>
      <c r="E9247" s="115"/>
    </row>
    <row r="9248" spans="1:5" ht="13">
      <c r="A9248" s="115"/>
      <c r="B9248" s="115"/>
      <c r="C9248" s="115"/>
      <c r="D9248" s="115"/>
      <c r="E9248" s="115"/>
    </row>
    <row r="9249" spans="1:5" ht="13">
      <c r="A9249" s="115"/>
      <c r="B9249" s="115"/>
      <c r="C9249" s="115"/>
      <c r="D9249" s="115"/>
      <c r="E9249" s="115"/>
    </row>
    <row r="9250" spans="1:5" ht="13">
      <c r="A9250" s="115"/>
      <c r="B9250" s="115"/>
      <c r="C9250" s="115"/>
      <c r="D9250" s="115"/>
      <c r="E9250" s="115"/>
    </row>
    <row r="9251" spans="1:5" ht="13">
      <c r="A9251" s="115"/>
      <c r="B9251" s="115"/>
      <c r="C9251" s="115"/>
      <c r="D9251" s="115"/>
      <c r="E9251" s="115"/>
    </row>
    <row r="9252" spans="1:5" ht="13">
      <c r="A9252" s="115"/>
      <c r="B9252" s="115"/>
      <c r="C9252" s="115"/>
      <c r="D9252" s="115"/>
      <c r="E9252" s="115"/>
    </row>
    <row r="9253" spans="1:5" ht="13">
      <c r="A9253" s="115"/>
      <c r="B9253" s="115"/>
      <c r="C9253" s="115"/>
      <c r="D9253" s="115"/>
      <c r="E9253" s="115"/>
    </row>
    <row r="9254" spans="1:5" ht="13">
      <c r="A9254" s="115"/>
      <c r="B9254" s="115"/>
      <c r="C9254" s="115"/>
      <c r="D9254" s="115"/>
      <c r="E9254" s="115"/>
    </row>
    <row r="9255" spans="1:5" ht="13">
      <c r="A9255" s="115"/>
      <c r="B9255" s="115"/>
      <c r="C9255" s="115"/>
      <c r="D9255" s="115"/>
      <c r="E9255" s="115"/>
    </row>
    <row r="9256" spans="1:5" ht="13">
      <c r="A9256" s="115"/>
      <c r="B9256" s="115"/>
      <c r="C9256" s="115"/>
      <c r="D9256" s="115"/>
      <c r="E9256" s="115"/>
    </row>
    <row r="9257" spans="1:5" ht="13">
      <c r="A9257" s="115"/>
      <c r="B9257" s="115"/>
      <c r="C9257" s="115"/>
      <c r="D9257" s="115"/>
      <c r="E9257" s="115"/>
    </row>
    <row r="9258" spans="1:5" ht="13">
      <c r="A9258" s="115"/>
      <c r="B9258" s="115"/>
      <c r="C9258" s="115"/>
      <c r="D9258" s="115"/>
      <c r="E9258" s="115"/>
    </row>
    <row r="9259" spans="1:5" ht="13">
      <c r="A9259" s="115"/>
      <c r="B9259" s="115"/>
      <c r="C9259" s="115"/>
      <c r="D9259" s="115"/>
      <c r="E9259" s="115"/>
    </row>
    <row r="9260" spans="1:5" ht="13">
      <c r="A9260" s="115"/>
      <c r="B9260" s="115"/>
      <c r="C9260" s="115"/>
      <c r="D9260" s="115"/>
      <c r="E9260" s="115"/>
    </row>
    <row r="9261" spans="1:5" ht="13">
      <c r="A9261" s="115"/>
      <c r="B9261" s="115"/>
      <c r="C9261" s="115"/>
      <c r="D9261" s="115"/>
      <c r="E9261" s="115"/>
    </row>
    <row r="9262" spans="1:5" ht="13">
      <c r="A9262" s="115"/>
      <c r="B9262" s="115"/>
      <c r="C9262" s="115"/>
      <c r="D9262" s="115"/>
      <c r="E9262" s="115"/>
    </row>
    <row r="9263" spans="1:5" ht="13">
      <c r="A9263" s="115"/>
      <c r="B9263" s="115"/>
      <c r="C9263" s="115"/>
      <c r="D9263" s="115"/>
      <c r="E9263" s="115"/>
    </row>
    <row r="9264" spans="1:5" ht="13">
      <c r="A9264" s="115"/>
      <c r="B9264" s="115"/>
      <c r="C9264" s="115"/>
      <c r="D9264" s="115"/>
      <c r="E9264" s="115"/>
    </row>
    <row r="9265" spans="1:5" ht="13">
      <c r="A9265" s="115"/>
      <c r="B9265" s="115"/>
      <c r="C9265" s="115"/>
      <c r="D9265" s="115"/>
      <c r="E9265" s="115"/>
    </row>
    <row r="9266" spans="1:5" ht="13">
      <c r="A9266" s="115"/>
      <c r="B9266" s="115"/>
      <c r="C9266" s="115"/>
      <c r="D9266" s="115"/>
      <c r="E9266" s="115"/>
    </row>
    <row r="9267" spans="1:5" ht="13">
      <c r="A9267" s="115"/>
      <c r="B9267" s="115"/>
      <c r="C9267" s="115"/>
      <c r="D9267" s="115"/>
      <c r="E9267" s="115"/>
    </row>
    <row r="9268" spans="1:5" ht="13">
      <c r="A9268" s="115"/>
      <c r="B9268" s="115"/>
      <c r="C9268" s="115"/>
      <c r="D9268" s="115"/>
      <c r="E9268" s="115"/>
    </row>
    <row r="9269" spans="1:5" ht="13">
      <c r="A9269" s="115"/>
      <c r="B9269" s="115"/>
      <c r="C9269" s="115"/>
      <c r="D9269" s="115"/>
      <c r="E9269" s="115"/>
    </row>
    <row r="9270" spans="1:5" ht="13">
      <c r="A9270" s="115"/>
      <c r="B9270" s="115"/>
      <c r="C9270" s="115"/>
      <c r="D9270" s="115"/>
      <c r="E9270" s="115"/>
    </row>
    <row r="9271" spans="1:5" ht="13">
      <c r="A9271" s="115"/>
      <c r="B9271" s="115"/>
      <c r="C9271" s="115"/>
      <c r="D9271" s="115"/>
      <c r="E9271" s="115"/>
    </row>
    <row r="9272" spans="1:5" ht="13">
      <c r="A9272" s="115"/>
      <c r="B9272" s="115"/>
      <c r="C9272" s="115"/>
      <c r="D9272" s="115"/>
      <c r="E9272" s="115"/>
    </row>
    <row r="9273" spans="1:5" ht="13">
      <c r="A9273" s="115"/>
      <c r="B9273" s="115"/>
      <c r="C9273" s="115"/>
      <c r="D9273" s="115"/>
      <c r="E9273" s="115"/>
    </row>
    <row r="9274" spans="1:5" ht="13">
      <c r="A9274" s="115"/>
      <c r="B9274" s="115"/>
      <c r="C9274" s="115"/>
      <c r="D9274" s="115"/>
      <c r="E9274" s="115"/>
    </row>
    <row r="9275" spans="1:5" ht="13">
      <c r="A9275" s="115"/>
      <c r="B9275" s="115"/>
      <c r="C9275" s="115"/>
      <c r="D9275" s="115"/>
      <c r="E9275" s="115"/>
    </row>
    <row r="9276" spans="1:5" ht="13">
      <c r="A9276" s="115"/>
      <c r="B9276" s="115"/>
      <c r="C9276" s="115"/>
      <c r="D9276" s="115"/>
      <c r="E9276" s="115"/>
    </row>
    <row r="9277" spans="1:5" ht="13">
      <c r="A9277" s="115"/>
      <c r="B9277" s="115"/>
      <c r="C9277" s="115"/>
      <c r="D9277" s="115"/>
      <c r="E9277" s="115"/>
    </row>
    <row r="9278" spans="1:5" ht="13">
      <c r="A9278" s="115"/>
      <c r="B9278" s="115"/>
      <c r="C9278" s="115"/>
      <c r="D9278" s="115"/>
      <c r="E9278" s="115"/>
    </row>
    <row r="9279" spans="1:5" ht="13">
      <c r="A9279" s="115"/>
      <c r="B9279" s="115"/>
      <c r="C9279" s="115"/>
      <c r="D9279" s="115"/>
      <c r="E9279" s="115"/>
    </row>
    <row r="9280" spans="1:5" ht="13">
      <c r="A9280" s="115"/>
      <c r="B9280" s="115"/>
      <c r="C9280" s="115"/>
      <c r="D9280" s="115"/>
      <c r="E9280" s="115"/>
    </row>
    <row r="9281" spans="1:5" ht="13">
      <c r="A9281" s="115"/>
      <c r="B9281" s="115"/>
      <c r="C9281" s="115"/>
      <c r="D9281" s="115"/>
      <c r="E9281" s="115"/>
    </row>
    <row r="9282" spans="1:5" ht="13">
      <c r="A9282" s="115"/>
      <c r="B9282" s="115"/>
      <c r="C9282" s="115"/>
      <c r="D9282" s="115"/>
      <c r="E9282" s="115"/>
    </row>
    <row r="9283" spans="1:5" ht="13">
      <c r="A9283" s="115"/>
      <c r="B9283" s="115"/>
      <c r="C9283" s="115"/>
      <c r="D9283" s="115"/>
      <c r="E9283" s="115"/>
    </row>
    <row r="9284" spans="1:5" ht="13">
      <c r="A9284" s="115"/>
      <c r="B9284" s="115"/>
      <c r="C9284" s="115"/>
      <c r="D9284" s="115"/>
      <c r="E9284" s="115"/>
    </row>
    <row r="9285" spans="1:5" ht="13">
      <c r="A9285" s="115"/>
      <c r="B9285" s="115"/>
      <c r="C9285" s="115"/>
      <c r="D9285" s="115"/>
      <c r="E9285" s="115"/>
    </row>
    <row r="9286" spans="1:5" ht="13">
      <c r="A9286" s="115"/>
      <c r="B9286" s="115"/>
      <c r="C9286" s="115"/>
      <c r="D9286" s="115"/>
      <c r="E9286" s="115"/>
    </row>
    <row r="9287" spans="1:5" ht="13">
      <c r="A9287" s="115"/>
      <c r="B9287" s="115"/>
      <c r="C9287" s="115"/>
      <c r="D9287" s="115"/>
      <c r="E9287" s="115"/>
    </row>
    <row r="9288" spans="1:5" ht="13">
      <c r="A9288" s="115"/>
      <c r="B9288" s="115"/>
      <c r="C9288" s="115"/>
      <c r="D9288" s="115"/>
      <c r="E9288" s="115"/>
    </row>
    <row r="9289" spans="1:5" ht="13">
      <c r="A9289" s="115"/>
      <c r="B9289" s="115"/>
      <c r="C9289" s="115"/>
      <c r="D9289" s="115"/>
      <c r="E9289" s="115"/>
    </row>
    <row r="9290" spans="1:5" ht="13">
      <c r="A9290" s="115"/>
      <c r="B9290" s="115"/>
      <c r="C9290" s="115"/>
      <c r="D9290" s="115"/>
      <c r="E9290" s="115"/>
    </row>
    <row r="9291" spans="1:5" ht="13">
      <c r="A9291" s="115"/>
      <c r="B9291" s="115"/>
      <c r="C9291" s="115"/>
      <c r="D9291" s="115"/>
      <c r="E9291" s="115"/>
    </row>
    <row r="9292" spans="1:5" ht="13">
      <c r="A9292" s="115"/>
      <c r="B9292" s="115"/>
      <c r="C9292" s="115"/>
      <c r="D9292" s="115"/>
      <c r="E9292" s="115"/>
    </row>
    <row r="9293" spans="1:5" ht="13">
      <c r="A9293" s="115"/>
      <c r="B9293" s="115"/>
      <c r="C9293" s="115"/>
      <c r="D9293" s="115"/>
      <c r="E9293" s="115"/>
    </row>
    <row r="9294" spans="1:5" ht="13">
      <c r="A9294" s="115"/>
      <c r="B9294" s="115"/>
      <c r="C9294" s="115"/>
      <c r="D9294" s="115"/>
      <c r="E9294" s="115"/>
    </row>
    <row r="9295" spans="1:5" ht="13">
      <c r="A9295" s="115"/>
      <c r="B9295" s="115"/>
      <c r="C9295" s="115"/>
      <c r="D9295" s="115"/>
      <c r="E9295" s="115"/>
    </row>
    <row r="9296" spans="1:5" ht="13">
      <c r="A9296" s="115"/>
      <c r="B9296" s="115"/>
      <c r="C9296" s="115"/>
      <c r="D9296" s="115"/>
      <c r="E9296" s="115"/>
    </row>
    <row r="9297" spans="1:5" ht="13">
      <c r="A9297" s="115"/>
      <c r="B9297" s="115"/>
      <c r="C9297" s="115"/>
      <c r="D9297" s="115"/>
      <c r="E9297" s="115"/>
    </row>
    <row r="9298" spans="1:5" ht="13">
      <c r="A9298" s="115"/>
      <c r="B9298" s="115"/>
      <c r="C9298" s="115"/>
      <c r="D9298" s="115"/>
      <c r="E9298" s="115"/>
    </row>
    <row r="9299" spans="1:5" ht="13">
      <c r="A9299" s="115"/>
      <c r="B9299" s="115"/>
      <c r="C9299" s="115"/>
      <c r="D9299" s="115"/>
      <c r="E9299" s="115"/>
    </row>
    <row r="9300" spans="1:5" ht="13">
      <c r="A9300" s="115"/>
      <c r="B9300" s="115"/>
      <c r="C9300" s="115"/>
      <c r="D9300" s="115"/>
      <c r="E9300" s="115"/>
    </row>
    <row r="9301" spans="1:5" ht="13">
      <c r="A9301" s="115"/>
      <c r="B9301" s="115"/>
      <c r="C9301" s="115"/>
      <c r="D9301" s="115"/>
      <c r="E9301" s="115"/>
    </row>
    <row r="9302" spans="1:5" ht="13">
      <c r="A9302" s="115"/>
      <c r="B9302" s="115"/>
      <c r="C9302" s="115"/>
      <c r="D9302" s="115"/>
      <c r="E9302" s="115"/>
    </row>
    <row r="9303" spans="1:5" ht="13">
      <c r="A9303" s="115"/>
      <c r="B9303" s="115"/>
      <c r="C9303" s="115"/>
      <c r="D9303" s="115"/>
      <c r="E9303" s="115"/>
    </row>
    <row r="9304" spans="1:5" ht="13">
      <c r="A9304" s="115"/>
      <c r="B9304" s="115"/>
      <c r="C9304" s="115"/>
      <c r="D9304" s="115"/>
      <c r="E9304" s="115"/>
    </row>
    <row r="9305" spans="1:5" ht="13">
      <c r="A9305" s="115"/>
      <c r="B9305" s="115"/>
      <c r="C9305" s="115"/>
      <c r="D9305" s="115"/>
      <c r="E9305" s="115"/>
    </row>
    <row r="9306" spans="1:5" ht="13">
      <c r="A9306" s="115"/>
      <c r="B9306" s="115"/>
      <c r="C9306" s="115"/>
      <c r="D9306" s="115"/>
      <c r="E9306" s="115"/>
    </row>
    <row r="9307" spans="1:5" ht="13">
      <c r="A9307" s="115"/>
      <c r="B9307" s="115"/>
      <c r="C9307" s="115"/>
      <c r="D9307" s="115"/>
      <c r="E9307" s="115"/>
    </row>
    <row r="9308" spans="1:5" ht="13">
      <c r="A9308" s="115"/>
      <c r="B9308" s="115"/>
      <c r="C9308" s="115"/>
      <c r="D9308" s="115"/>
      <c r="E9308" s="115"/>
    </row>
    <row r="9309" spans="1:5" ht="13">
      <c r="A9309" s="115"/>
      <c r="B9309" s="115"/>
      <c r="C9309" s="115"/>
      <c r="D9309" s="115"/>
      <c r="E9309" s="115"/>
    </row>
    <row r="9310" spans="1:5" ht="13">
      <c r="A9310" s="115"/>
      <c r="B9310" s="115"/>
      <c r="C9310" s="115"/>
      <c r="D9310" s="115"/>
      <c r="E9310" s="115"/>
    </row>
    <row r="9311" spans="1:5" ht="13">
      <c r="A9311" s="115"/>
      <c r="B9311" s="115"/>
      <c r="C9311" s="115"/>
      <c r="D9311" s="115"/>
      <c r="E9311" s="115"/>
    </row>
    <row r="9312" spans="1:5" ht="13">
      <c r="A9312" s="115"/>
      <c r="B9312" s="115"/>
      <c r="C9312" s="115"/>
      <c r="D9312" s="115"/>
      <c r="E9312" s="115"/>
    </row>
    <row r="9313" spans="1:5" ht="13">
      <c r="A9313" s="115"/>
      <c r="B9313" s="115"/>
      <c r="C9313" s="115"/>
      <c r="D9313" s="115"/>
      <c r="E9313" s="115"/>
    </row>
    <row r="9314" spans="1:5" ht="13">
      <c r="A9314" s="115"/>
      <c r="B9314" s="115"/>
      <c r="C9314" s="115"/>
      <c r="D9314" s="115"/>
      <c r="E9314" s="115"/>
    </row>
    <row r="9315" spans="1:5" ht="13">
      <c r="A9315" s="115"/>
      <c r="B9315" s="115"/>
      <c r="C9315" s="115"/>
      <c r="D9315" s="115"/>
      <c r="E9315" s="115"/>
    </row>
    <row r="9316" spans="1:5" ht="13">
      <c r="A9316" s="115"/>
      <c r="B9316" s="115"/>
      <c r="C9316" s="115"/>
      <c r="D9316" s="115"/>
      <c r="E9316" s="115"/>
    </row>
    <row r="9317" spans="1:5" ht="13">
      <c r="A9317" s="115"/>
      <c r="B9317" s="115"/>
      <c r="C9317" s="115"/>
      <c r="D9317" s="115"/>
      <c r="E9317" s="115"/>
    </row>
    <row r="9318" spans="1:5" ht="13">
      <c r="A9318" s="115"/>
      <c r="B9318" s="115"/>
      <c r="C9318" s="115"/>
      <c r="D9318" s="115"/>
      <c r="E9318" s="115"/>
    </row>
    <row r="9319" spans="1:5" ht="13">
      <c r="A9319" s="115"/>
      <c r="B9319" s="115"/>
      <c r="C9319" s="115"/>
      <c r="D9319" s="115"/>
      <c r="E9319" s="115"/>
    </row>
    <row r="9320" spans="1:5" ht="13">
      <c r="A9320" s="115"/>
      <c r="B9320" s="115"/>
      <c r="C9320" s="115"/>
      <c r="D9320" s="115"/>
      <c r="E9320" s="115"/>
    </row>
    <row r="9321" spans="1:5" ht="13">
      <c r="A9321" s="115"/>
      <c r="B9321" s="115"/>
      <c r="C9321" s="115"/>
      <c r="D9321" s="115"/>
      <c r="E9321" s="115"/>
    </row>
    <row r="9322" spans="1:5" ht="13">
      <c r="A9322" s="115"/>
      <c r="B9322" s="115"/>
      <c r="C9322" s="115"/>
      <c r="D9322" s="115"/>
      <c r="E9322" s="115"/>
    </row>
    <row r="9323" spans="1:5" ht="13">
      <c r="A9323" s="115"/>
      <c r="B9323" s="115"/>
      <c r="C9323" s="115"/>
      <c r="D9323" s="115"/>
      <c r="E9323" s="115"/>
    </row>
    <row r="9324" spans="1:5" ht="13">
      <c r="A9324" s="115"/>
      <c r="B9324" s="115"/>
      <c r="C9324" s="115"/>
      <c r="D9324" s="115"/>
      <c r="E9324" s="115"/>
    </row>
    <row r="9325" spans="1:5" ht="13">
      <c r="A9325" s="115"/>
      <c r="B9325" s="115"/>
      <c r="C9325" s="115"/>
      <c r="D9325" s="115"/>
      <c r="E9325" s="115"/>
    </row>
    <row r="9326" spans="1:5" ht="13">
      <c r="A9326" s="115"/>
      <c r="B9326" s="115"/>
      <c r="C9326" s="115"/>
      <c r="D9326" s="115"/>
      <c r="E9326" s="115"/>
    </row>
    <row r="9327" spans="1:5" ht="13">
      <c r="A9327" s="115"/>
      <c r="B9327" s="115"/>
      <c r="C9327" s="115"/>
      <c r="D9327" s="115"/>
      <c r="E9327" s="115"/>
    </row>
    <row r="9328" spans="1:5" ht="13">
      <c r="A9328" s="115"/>
      <c r="B9328" s="115"/>
      <c r="C9328" s="115"/>
      <c r="D9328" s="115"/>
      <c r="E9328" s="115"/>
    </row>
    <row r="9329" spans="1:5" ht="13">
      <c r="A9329" s="115"/>
      <c r="B9329" s="115"/>
      <c r="C9329" s="115"/>
      <c r="D9329" s="115"/>
      <c r="E9329" s="115"/>
    </row>
    <row r="9330" spans="1:5" ht="13">
      <c r="A9330" s="115"/>
      <c r="B9330" s="115"/>
      <c r="C9330" s="115"/>
      <c r="D9330" s="115"/>
      <c r="E9330" s="115"/>
    </row>
    <row r="9331" spans="1:5" ht="13">
      <c r="A9331" s="115"/>
      <c r="B9331" s="115"/>
      <c r="C9331" s="115"/>
      <c r="D9331" s="115"/>
      <c r="E9331" s="115"/>
    </row>
    <row r="9332" spans="1:5" ht="13">
      <c r="A9332" s="115"/>
      <c r="B9332" s="115"/>
      <c r="C9332" s="115"/>
      <c r="D9332" s="115"/>
      <c r="E9332" s="115"/>
    </row>
    <row r="9333" spans="1:5" ht="13">
      <c r="A9333" s="115"/>
      <c r="B9333" s="115"/>
      <c r="C9333" s="115"/>
      <c r="D9333" s="115"/>
      <c r="E9333" s="115"/>
    </row>
    <row r="9334" spans="1:5" ht="13">
      <c r="A9334" s="115"/>
      <c r="B9334" s="115"/>
      <c r="C9334" s="115"/>
      <c r="D9334" s="115"/>
      <c r="E9334" s="115"/>
    </row>
    <row r="9335" spans="1:5" ht="13">
      <c r="A9335" s="115"/>
      <c r="B9335" s="115"/>
      <c r="C9335" s="115"/>
      <c r="D9335" s="115"/>
      <c r="E9335" s="115"/>
    </row>
    <row r="9336" spans="1:5" ht="13">
      <c r="A9336" s="115"/>
      <c r="B9336" s="115"/>
      <c r="C9336" s="115"/>
      <c r="D9336" s="115"/>
      <c r="E9336" s="115"/>
    </row>
    <row r="9337" spans="1:5" ht="13">
      <c r="A9337" s="115"/>
      <c r="B9337" s="115"/>
      <c r="C9337" s="115"/>
      <c r="D9337" s="115"/>
      <c r="E9337" s="115"/>
    </row>
    <row r="9338" spans="1:5" ht="13">
      <c r="A9338" s="115"/>
      <c r="B9338" s="115"/>
      <c r="C9338" s="115"/>
      <c r="D9338" s="115"/>
      <c r="E9338" s="115"/>
    </row>
    <row r="9339" spans="1:5" ht="13">
      <c r="A9339" s="115"/>
      <c r="B9339" s="115"/>
      <c r="C9339" s="115"/>
      <c r="D9339" s="115"/>
      <c r="E9339" s="115"/>
    </row>
    <row r="9340" spans="1:5" ht="13">
      <c r="A9340" s="115"/>
      <c r="B9340" s="115"/>
      <c r="C9340" s="115"/>
      <c r="D9340" s="115"/>
      <c r="E9340" s="115"/>
    </row>
    <row r="9341" spans="1:5" ht="13">
      <c r="A9341" s="115"/>
      <c r="B9341" s="115"/>
      <c r="C9341" s="115"/>
      <c r="D9341" s="115"/>
      <c r="E9341" s="115"/>
    </row>
    <row r="9342" spans="1:5" ht="13">
      <c r="A9342" s="115"/>
      <c r="B9342" s="115"/>
      <c r="C9342" s="115"/>
      <c r="D9342" s="115"/>
      <c r="E9342" s="115"/>
    </row>
    <row r="9343" spans="1:5" ht="13">
      <c r="A9343" s="115"/>
      <c r="B9343" s="115"/>
      <c r="C9343" s="115"/>
      <c r="D9343" s="115"/>
      <c r="E9343" s="115"/>
    </row>
    <row r="9344" spans="1:5" ht="13">
      <c r="A9344" s="115"/>
      <c r="B9344" s="115"/>
      <c r="C9344" s="115"/>
      <c r="D9344" s="115"/>
      <c r="E9344" s="115"/>
    </row>
    <row r="9345" spans="1:5" ht="13">
      <c r="A9345" s="115"/>
      <c r="B9345" s="115"/>
      <c r="C9345" s="115"/>
      <c r="D9345" s="115"/>
      <c r="E9345" s="115"/>
    </row>
    <row r="9346" spans="1:5" ht="13">
      <c r="A9346" s="115"/>
      <c r="B9346" s="115"/>
      <c r="C9346" s="115"/>
      <c r="D9346" s="115"/>
      <c r="E9346" s="115"/>
    </row>
    <row r="9347" spans="1:5" ht="13">
      <c r="A9347" s="115"/>
      <c r="B9347" s="115"/>
      <c r="C9347" s="115"/>
      <c r="D9347" s="115"/>
      <c r="E9347" s="115"/>
    </row>
    <row r="9348" spans="1:5" ht="13">
      <c r="A9348" s="115"/>
      <c r="B9348" s="115"/>
      <c r="C9348" s="115"/>
      <c r="D9348" s="115"/>
      <c r="E9348" s="115"/>
    </row>
    <row r="9349" spans="1:5" ht="13">
      <c r="A9349" s="115"/>
      <c r="B9349" s="115"/>
      <c r="C9349" s="115"/>
      <c r="D9349" s="115"/>
      <c r="E9349" s="115"/>
    </row>
    <row r="9350" spans="1:5" ht="13">
      <c r="A9350" s="115"/>
      <c r="B9350" s="115"/>
      <c r="C9350" s="115"/>
      <c r="D9350" s="115"/>
      <c r="E9350" s="115"/>
    </row>
    <row r="9351" spans="1:5" ht="13">
      <c r="A9351" s="115"/>
      <c r="B9351" s="115"/>
      <c r="C9351" s="115"/>
      <c r="D9351" s="115"/>
      <c r="E9351" s="115"/>
    </row>
    <row r="9352" spans="1:5" ht="13">
      <c r="A9352" s="115"/>
      <c r="B9352" s="115"/>
      <c r="C9352" s="115"/>
      <c r="D9352" s="115"/>
      <c r="E9352" s="115"/>
    </row>
    <row r="9353" spans="1:5" ht="13">
      <c r="A9353" s="115"/>
      <c r="B9353" s="115"/>
      <c r="C9353" s="115"/>
      <c r="D9353" s="115"/>
      <c r="E9353" s="115"/>
    </row>
    <row r="9354" spans="1:5" ht="13">
      <c r="A9354" s="115"/>
      <c r="B9354" s="115"/>
      <c r="C9354" s="115"/>
      <c r="D9354" s="115"/>
      <c r="E9354" s="115"/>
    </row>
    <row r="9355" spans="1:5" ht="13">
      <c r="A9355" s="115"/>
      <c r="B9355" s="115"/>
      <c r="C9355" s="115"/>
      <c r="D9355" s="115"/>
      <c r="E9355" s="115"/>
    </row>
    <row r="9356" spans="1:5" ht="13">
      <c r="A9356" s="115"/>
      <c r="B9356" s="115"/>
      <c r="C9356" s="115"/>
      <c r="D9356" s="115"/>
      <c r="E9356" s="115"/>
    </row>
    <row r="9357" spans="1:5" ht="13">
      <c r="A9357" s="115"/>
      <c r="B9357" s="115"/>
      <c r="C9357" s="115"/>
      <c r="D9357" s="115"/>
      <c r="E9357" s="115"/>
    </row>
    <row r="9358" spans="1:5" ht="13">
      <c r="A9358" s="115"/>
      <c r="B9358" s="115"/>
      <c r="C9358" s="115"/>
      <c r="D9358" s="115"/>
      <c r="E9358" s="115"/>
    </row>
    <row r="9359" spans="1:5" ht="13">
      <c r="A9359" s="115"/>
      <c r="B9359" s="115"/>
      <c r="C9359" s="115"/>
      <c r="D9359" s="115"/>
      <c r="E9359" s="115"/>
    </row>
    <row r="9360" spans="1:5" ht="13">
      <c r="A9360" s="115"/>
      <c r="B9360" s="115"/>
      <c r="C9360" s="115"/>
      <c r="D9360" s="115"/>
      <c r="E9360" s="115"/>
    </row>
    <row r="9361" spans="1:5" ht="13">
      <c r="A9361" s="115"/>
      <c r="B9361" s="115"/>
      <c r="C9361" s="115"/>
      <c r="D9361" s="115"/>
      <c r="E9361" s="115"/>
    </row>
    <row r="9362" spans="1:5" ht="13">
      <c r="A9362" s="115"/>
      <c r="B9362" s="115"/>
      <c r="C9362" s="115"/>
      <c r="D9362" s="115"/>
      <c r="E9362" s="115"/>
    </row>
    <row r="9363" spans="1:5" ht="13">
      <c r="A9363" s="115"/>
      <c r="B9363" s="115"/>
      <c r="C9363" s="115"/>
      <c r="D9363" s="115"/>
      <c r="E9363" s="115"/>
    </row>
    <row r="9364" spans="1:5" ht="13">
      <c r="A9364" s="115"/>
      <c r="B9364" s="115"/>
      <c r="C9364" s="115"/>
      <c r="D9364" s="115"/>
      <c r="E9364" s="115"/>
    </row>
    <row r="9365" spans="1:5" ht="13">
      <c r="A9365" s="115"/>
      <c r="B9365" s="115"/>
      <c r="C9365" s="115"/>
      <c r="D9365" s="115"/>
      <c r="E9365" s="115"/>
    </row>
    <row r="9366" spans="1:5" ht="13">
      <c r="A9366" s="115"/>
      <c r="B9366" s="115"/>
      <c r="C9366" s="115"/>
      <c r="D9366" s="115"/>
      <c r="E9366" s="115"/>
    </row>
    <row r="9367" spans="1:5" ht="13">
      <c r="A9367" s="115"/>
      <c r="B9367" s="115"/>
      <c r="C9367" s="115"/>
      <c r="D9367" s="115"/>
      <c r="E9367" s="115"/>
    </row>
    <row r="9368" spans="1:5" ht="13">
      <c r="A9368" s="115"/>
      <c r="B9368" s="115"/>
      <c r="C9368" s="115"/>
      <c r="D9368" s="115"/>
      <c r="E9368" s="115"/>
    </row>
    <row r="9369" spans="1:5" ht="13">
      <c r="A9369" s="115"/>
      <c r="B9369" s="115"/>
      <c r="C9369" s="115"/>
      <c r="D9369" s="115"/>
      <c r="E9369" s="115"/>
    </row>
    <row r="9370" spans="1:5" ht="13">
      <c r="A9370" s="115"/>
      <c r="B9370" s="115"/>
      <c r="C9370" s="115"/>
      <c r="D9370" s="115"/>
      <c r="E9370" s="115"/>
    </row>
    <row r="9371" spans="1:5" ht="13">
      <c r="A9371" s="115"/>
      <c r="B9371" s="115"/>
      <c r="C9371" s="115"/>
      <c r="D9371" s="115"/>
      <c r="E9371" s="115"/>
    </row>
    <row r="9372" spans="1:5" ht="13">
      <c r="A9372" s="115"/>
      <c r="B9372" s="115"/>
      <c r="C9372" s="115"/>
      <c r="D9372" s="115"/>
      <c r="E9372" s="115"/>
    </row>
    <row r="9373" spans="1:5" ht="13">
      <c r="A9373" s="115"/>
      <c r="B9373" s="115"/>
      <c r="C9373" s="115"/>
      <c r="D9373" s="115"/>
      <c r="E9373" s="115"/>
    </row>
    <row r="9374" spans="1:5" ht="13">
      <c r="A9374" s="115"/>
      <c r="B9374" s="115"/>
      <c r="C9374" s="115"/>
      <c r="D9374" s="115"/>
      <c r="E9374" s="115"/>
    </row>
    <row r="9375" spans="1:5" ht="13">
      <c r="A9375" s="115"/>
      <c r="B9375" s="115"/>
      <c r="C9375" s="115"/>
      <c r="D9375" s="115"/>
      <c r="E9375" s="115"/>
    </row>
    <row r="9376" spans="1:5" ht="13">
      <c r="A9376" s="115"/>
      <c r="B9376" s="115"/>
      <c r="C9376" s="115"/>
      <c r="D9376" s="115"/>
      <c r="E9376" s="115"/>
    </row>
    <row r="9377" spans="1:5" ht="13">
      <c r="A9377" s="115"/>
      <c r="B9377" s="115"/>
      <c r="C9377" s="115"/>
      <c r="D9377" s="115"/>
      <c r="E9377" s="115"/>
    </row>
    <row r="9378" spans="1:5" ht="13">
      <c r="A9378" s="115"/>
      <c r="B9378" s="115"/>
      <c r="C9378" s="115"/>
      <c r="D9378" s="115"/>
      <c r="E9378" s="115"/>
    </row>
    <row r="9379" spans="1:5" ht="13">
      <c r="A9379" s="115"/>
      <c r="B9379" s="115"/>
      <c r="C9379" s="115"/>
      <c r="D9379" s="115"/>
      <c r="E9379" s="115"/>
    </row>
    <row r="9380" spans="1:5" ht="13">
      <c r="A9380" s="115"/>
      <c r="B9380" s="115"/>
      <c r="C9380" s="115"/>
      <c r="D9380" s="115"/>
      <c r="E9380" s="115"/>
    </row>
    <row r="9381" spans="1:5" ht="13">
      <c r="A9381" s="115"/>
      <c r="B9381" s="115"/>
      <c r="C9381" s="115"/>
      <c r="D9381" s="115"/>
      <c r="E9381" s="115"/>
    </row>
    <row r="9382" spans="1:5" ht="13">
      <c r="A9382" s="115"/>
      <c r="B9382" s="115"/>
      <c r="C9382" s="115"/>
      <c r="D9382" s="115"/>
      <c r="E9382" s="115"/>
    </row>
    <row r="9383" spans="1:5" ht="13">
      <c r="A9383" s="115"/>
      <c r="B9383" s="115"/>
      <c r="C9383" s="115"/>
      <c r="D9383" s="115"/>
      <c r="E9383" s="115"/>
    </row>
    <row r="9384" spans="1:5" ht="13">
      <c r="A9384" s="115"/>
      <c r="B9384" s="115"/>
      <c r="C9384" s="115"/>
      <c r="D9384" s="115"/>
      <c r="E9384" s="115"/>
    </row>
    <row r="9385" spans="1:5" ht="13">
      <c r="A9385" s="115"/>
      <c r="B9385" s="115"/>
      <c r="C9385" s="115"/>
      <c r="D9385" s="115"/>
      <c r="E9385" s="115"/>
    </row>
    <row r="9386" spans="1:5" ht="13">
      <c r="A9386" s="115"/>
      <c r="B9386" s="115"/>
      <c r="C9386" s="115"/>
      <c r="D9386" s="115"/>
      <c r="E9386" s="115"/>
    </row>
    <row r="9387" spans="1:5" ht="13">
      <c r="A9387" s="115"/>
      <c r="B9387" s="115"/>
      <c r="C9387" s="115"/>
      <c r="D9387" s="115"/>
      <c r="E9387" s="115"/>
    </row>
    <row r="9388" spans="1:5" ht="13">
      <c r="A9388" s="115"/>
      <c r="B9388" s="115"/>
      <c r="C9388" s="115"/>
      <c r="D9388" s="115"/>
      <c r="E9388" s="115"/>
    </row>
    <row r="9389" spans="1:5" ht="13">
      <c r="A9389" s="115"/>
      <c r="B9389" s="115"/>
      <c r="C9389" s="115"/>
      <c r="D9389" s="115"/>
      <c r="E9389" s="115"/>
    </row>
    <row r="9390" spans="1:5" ht="13">
      <c r="A9390" s="115"/>
      <c r="B9390" s="115"/>
      <c r="C9390" s="115"/>
      <c r="D9390" s="115"/>
      <c r="E9390" s="115"/>
    </row>
    <row r="9391" spans="1:5" ht="13">
      <c r="A9391" s="115"/>
      <c r="B9391" s="115"/>
      <c r="C9391" s="115"/>
      <c r="D9391" s="115"/>
      <c r="E9391" s="115"/>
    </row>
    <row r="9392" spans="1:5" ht="13">
      <c r="A9392" s="115"/>
      <c r="B9392" s="115"/>
      <c r="C9392" s="115"/>
      <c r="D9392" s="115"/>
      <c r="E9392" s="115"/>
    </row>
    <row r="9393" spans="1:5" ht="13">
      <c r="A9393" s="115"/>
      <c r="B9393" s="115"/>
      <c r="C9393" s="115"/>
      <c r="D9393" s="115"/>
      <c r="E9393" s="115"/>
    </row>
    <row r="9394" spans="1:5" ht="13">
      <c r="A9394" s="115"/>
      <c r="B9394" s="115"/>
      <c r="C9394" s="115"/>
      <c r="D9394" s="115"/>
      <c r="E9394" s="115"/>
    </row>
    <row r="9395" spans="1:5" ht="13">
      <c r="A9395" s="115"/>
      <c r="B9395" s="115"/>
      <c r="C9395" s="115"/>
      <c r="D9395" s="115"/>
      <c r="E9395" s="115"/>
    </row>
    <row r="9396" spans="1:5" ht="13">
      <c r="A9396" s="115"/>
      <c r="B9396" s="115"/>
      <c r="C9396" s="115"/>
      <c r="D9396" s="115"/>
      <c r="E9396" s="115"/>
    </row>
    <row r="9397" spans="1:5" ht="13">
      <c r="A9397" s="115"/>
      <c r="B9397" s="115"/>
      <c r="C9397" s="115"/>
      <c r="D9397" s="115"/>
      <c r="E9397" s="115"/>
    </row>
    <row r="9398" spans="1:5" ht="13">
      <c r="A9398" s="115"/>
      <c r="B9398" s="115"/>
      <c r="C9398" s="115"/>
      <c r="D9398" s="115"/>
      <c r="E9398" s="115"/>
    </row>
    <row r="9399" spans="1:5" ht="13">
      <c r="A9399" s="115"/>
      <c r="B9399" s="115"/>
      <c r="C9399" s="115"/>
      <c r="D9399" s="115"/>
      <c r="E9399" s="115"/>
    </row>
    <row r="9400" spans="1:5" ht="13">
      <c r="A9400" s="115"/>
      <c r="B9400" s="115"/>
      <c r="C9400" s="115"/>
      <c r="D9400" s="115"/>
      <c r="E9400" s="115"/>
    </row>
    <row r="9401" spans="1:5" ht="13">
      <c r="A9401" s="115"/>
      <c r="B9401" s="115"/>
      <c r="C9401" s="115"/>
      <c r="D9401" s="115"/>
      <c r="E9401" s="115"/>
    </row>
    <row r="9402" spans="1:5" ht="13">
      <c r="A9402" s="115"/>
      <c r="B9402" s="115"/>
      <c r="C9402" s="115"/>
      <c r="D9402" s="115"/>
      <c r="E9402" s="115"/>
    </row>
    <row r="9403" spans="1:5" ht="13">
      <c r="A9403" s="115"/>
      <c r="B9403" s="115"/>
      <c r="C9403" s="115"/>
      <c r="D9403" s="115"/>
      <c r="E9403" s="115"/>
    </row>
    <row r="9404" spans="1:5" ht="13">
      <c r="A9404" s="115"/>
      <c r="B9404" s="115"/>
      <c r="C9404" s="115"/>
      <c r="D9404" s="115"/>
      <c r="E9404" s="115"/>
    </row>
    <row r="9405" spans="1:5" ht="13">
      <c r="A9405" s="115"/>
      <c r="B9405" s="115"/>
      <c r="C9405" s="115"/>
      <c r="D9405" s="115"/>
      <c r="E9405" s="115"/>
    </row>
    <row r="9406" spans="1:5" ht="13">
      <c r="A9406" s="115"/>
      <c r="B9406" s="115"/>
      <c r="C9406" s="115"/>
      <c r="D9406" s="115"/>
      <c r="E9406" s="115"/>
    </row>
    <row r="9407" spans="1:5" ht="13">
      <c r="A9407" s="115"/>
      <c r="B9407" s="115"/>
      <c r="C9407" s="115"/>
      <c r="D9407" s="115"/>
      <c r="E9407" s="115"/>
    </row>
    <row r="9408" spans="1:5" ht="13">
      <c r="A9408" s="115"/>
      <c r="B9408" s="115"/>
      <c r="C9408" s="115"/>
      <c r="D9408" s="115"/>
      <c r="E9408" s="115"/>
    </row>
    <row r="9409" spans="1:5" ht="13">
      <c r="A9409" s="115"/>
      <c r="B9409" s="115"/>
      <c r="C9409" s="115"/>
      <c r="D9409" s="115"/>
      <c r="E9409" s="115"/>
    </row>
    <row r="9410" spans="1:5" ht="13">
      <c r="A9410" s="115"/>
      <c r="B9410" s="115"/>
      <c r="C9410" s="115"/>
      <c r="D9410" s="115"/>
      <c r="E9410" s="115"/>
    </row>
    <row r="9411" spans="1:5" ht="13">
      <c r="A9411" s="115"/>
      <c r="B9411" s="115"/>
      <c r="C9411" s="115"/>
      <c r="D9411" s="115"/>
      <c r="E9411" s="115"/>
    </row>
    <row r="9412" spans="1:5" ht="13">
      <c r="A9412" s="115"/>
      <c r="B9412" s="115"/>
      <c r="C9412" s="115"/>
      <c r="D9412" s="115"/>
      <c r="E9412" s="115"/>
    </row>
    <row r="9413" spans="1:5" ht="13">
      <c r="A9413" s="115"/>
      <c r="B9413" s="115"/>
      <c r="C9413" s="115"/>
      <c r="D9413" s="115"/>
      <c r="E9413" s="115"/>
    </row>
    <row r="9414" spans="1:5" ht="13">
      <c r="A9414" s="115"/>
      <c r="B9414" s="115"/>
      <c r="C9414" s="115"/>
      <c r="D9414" s="115"/>
      <c r="E9414" s="115"/>
    </row>
    <row r="9415" spans="1:5" ht="13">
      <c r="A9415" s="115"/>
      <c r="B9415" s="115"/>
      <c r="C9415" s="115"/>
      <c r="D9415" s="115"/>
      <c r="E9415" s="115"/>
    </row>
    <row r="9416" spans="1:5" ht="13">
      <c r="A9416" s="115"/>
      <c r="B9416" s="115"/>
      <c r="C9416" s="115"/>
      <c r="D9416" s="115"/>
      <c r="E9416" s="115"/>
    </row>
    <row r="9417" spans="1:5" ht="13">
      <c r="A9417" s="115"/>
      <c r="B9417" s="115"/>
      <c r="C9417" s="115"/>
      <c r="D9417" s="115"/>
      <c r="E9417" s="115"/>
    </row>
    <row r="9418" spans="1:5" ht="13">
      <c r="A9418" s="115"/>
      <c r="B9418" s="115"/>
      <c r="C9418" s="115"/>
      <c r="D9418" s="115"/>
      <c r="E9418" s="115"/>
    </row>
    <row r="9419" spans="1:5" ht="13">
      <c r="A9419" s="115"/>
      <c r="B9419" s="115"/>
      <c r="C9419" s="115"/>
      <c r="D9419" s="115"/>
      <c r="E9419" s="115"/>
    </row>
    <row r="9420" spans="1:5" ht="13">
      <c r="A9420" s="115"/>
      <c r="B9420" s="115"/>
      <c r="C9420" s="115"/>
      <c r="D9420" s="115"/>
      <c r="E9420" s="115"/>
    </row>
    <row r="9421" spans="1:5" ht="13">
      <c r="A9421" s="115"/>
      <c r="B9421" s="115"/>
      <c r="C9421" s="115"/>
      <c r="D9421" s="115"/>
      <c r="E9421" s="115"/>
    </row>
    <row r="9422" spans="1:5" ht="13">
      <c r="A9422" s="115"/>
      <c r="B9422" s="115"/>
      <c r="C9422" s="115"/>
      <c r="D9422" s="115"/>
      <c r="E9422" s="115"/>
    </row>
    <row r="9423" spans="1:5" ht="13">
      <c r="A9423" s="115"/>
      <c r="B9423" s="115"/>
      <c r="C9423" s="115"/>
      <c r="D9423" s="115"/>
      <c r="E9423" s="115"/>
    </row>
    <row r="9424" spans="1:5" ht="13">
      <c r="A9424" s="115"/>
      <c r="B9424" s="115"/>
      <c r="C9424" s="115"/>
      <c r="D9424" s="115"/>
      <c r="E9424" s="115"/>
    </row>
    <row r="9425" spans="1:5" ht="13">
      <c r="A9425" s="115"/>
      <c r="B9425" s="115"/>
      <c r="C9425" s="115"/>
      <c r="D9425" s="115"/>
      <c r="E9425" s="115"/>
    </row>
    <row r="9426" spans="1:5" ht="13">
      <c r="A9426" s="115"/>
      <c r="B9426" s="115"/>
      <c r="C9426" s="115"/>
      <c r="D9426" s="115"/>
      <c r="E9426" s="115"/>
    </row>
    <row r="9427" spans="1:5" ht="13">
      <c r="A9427" s="115"/>
      <c r="B9427" s="115"/>
      <c r="C9427" s="115"/>
      <c r="D9427" s="115"/>
      <c r="E9427" s="115"/>
    </row>
    <row r="9428" spans="1:5" ht="13">
      <c r="A9428" s="115"/>
      <c r="B9428" s="115"/>
      <c r="C9428" s="115"/>
      <c r="D9428" s="115"/>
      <c r="E9428" s="115"/>
    </row>
    <row r="9429" spans="1:5" ht="13">
      <c r="A9429" s="115"/>
      <c r="B9429" s="115"/>
      <c r="C9429" s="115"/>
      <c r="D9429" s="115"/>
      <c r="E9429" s="115"/>
    </row>
    <row r="9430" spans="1:5" ht="13">
      <c r="A9430" s="115"/>
      <c r="B9430" s="115"/>
      <c r="C9430" s="115"/>
      <c r="D9430" s="115"/>
      <c r="E9430" s="115"/>
    </row>
    <row r="9431" spans="1:5" ht="13">
      <c r="A9431" s="115"/>
      <c r="B9431" s="115"/>
      <c r="C9431" s="115"/>
      <c r="D9431" s="115"/>
      <c r="E9431" s="115"/>
    </row>
    <row r="9432" spans="1:5" ht="13">
      <c r="A9432" s="115"/>
      <c r="B9432" s="115"/>
      <c r="C9432" s="115"/>
      <c r="D9432" s="115"/>
      <c r="E9432" s="115"/>
    </row>
    <row r="9433" spans="1:5" ht="13">
      <c r="A9433" s="115"/>
      <c r="B9433" s="115"/>
      <c r="C9433" s="115"/>
      <c r="D9433" s="115"/>
      <c r="E9433" s="115"/>
    </row>
    <row r="9434" spans="1:5" ht="13">
      <c r="A9434" s="115"/>
      <c r="B9434" s="115"/>
      <c r="C9434" s="115"/>
      <c r="D9434" s="115"/>
      <c r="E9434" s="115"/>
    </row>
    <row r="9435" spans="1:5" ht="13">
      <c r="A9435" s="115"/>
      <c r="B9435" s="115"/>
      <c r="C9435" s="115"/>
      <c r="D9435" s="115"/>
      <c r="E9435" s="115"/>
    </row>
    <row r="9436" spans="1:5" ht="13">
      <c r="A9436" s="115"/>
      <c r="B9436" s="115"/>
      <c r="C9436" s="115"/>
      <c r="D9436" s="115"/>
      <c r="E9436" s="115"/>
    </row>
    <row r="9437" spans="1:5" ht="13">
      <c r="A9437" s="115"/>
      <c r="B9437" s="115"/>
      <c r="C9437" s="115"/>
      <c r="D9437" s="115"/>
      <c r="E9437" s="115"/>
    </row>
    <row r="9438" spans="1:5" ht="13">
      <c r="A9438" s="115"/>
      <c r="B9438" s="115"/>
      <c r="C9438" s="115"/>
      <c r="D9438" s="115"/>
      <c r="E9438" s="115"/>
    </row>
    <row r="9439" spans="1:5" ht="13">
      <c r="A9439" s="115"/>
      <c r="B9439" s="115"/>
      <c r="C9439" s="115"/>
      <c r="D9439" s="115"/>
      <c r="E9439" s="115"/>
    </row>
    <row r="9440" spans="1:5" ht="13">
      <c r="A9440" s="115"/>
      <c r="B9440" s="115"/>
      <c r="C9440" s="115"/>
      <c r="D9440" s="115"/>
      <c r="E9440" s="115"/>
    </row>
    <row r="9441" spans="1:5" ht="13">
      <c r="A9441" s="115"/>
      <c r="B9441" s="115"/>
      <c r="C9441" s="115"/>
      <c r="D9441" s="115"/>
      <c r="E9441" s="115"/>
    </row>
    <row r="9442" spans="1:5" ht="13">
      <c r="A9442" s="115"/>
      <c r="B9442" s="115"/>
      <c r="C9442" s="115"/>
      <c r="D9442" s="115"/>
      <c r="E9442" s="115"/>
    </row>
    <row r="9443" spans="1:5" ht="13">
      <c r="A9443" s="115"/>
      <c r="B9443" s="115"/>
      <c r="C9443" s="115"/>
      <c r="D9443" s="115"/>
      <c r="E9443" s="115"/>
    </row>
    <row r="9444" spans="1:5" ht="13">
      <c r="A9444" s="115"/>
      <c r="B9444" s="115"/>
      <c r="C9444" s="115"/>
      <c r="D9444" s="115"/>
      <c r="E9444" s="115"/>
    </row>
    <row r="9445" spans="1:5" ht="13">
      <c r="A9445" s="115"/>
      <c r="B9445" s="115"/>
      <c r="C9445" s="115"/>
      <c r="D9445" s="115"/>
      <c r="E9445" s="115"/>
    </row>
    <row r="9446" spans="1:5" ht="13">
      <c r="A9446" s="115"/>
      <c r="B9446" s="115"/>
      <c r="C9446" s="115"/>
      <c r="D9446" s="115"/>
      <c r="E9446" s="115"/>
    </row>
    <row r="9447" spans="1:5" ht="13">
      <c r="A9447" s="115"/>
      <c r="B9447" s="115"/>
      <c r="C9447" s="115"/>
      <c r="D9447" s="115"/>
      <c r="E9447" s="115"/>
    </row>
    <row r="9448" spans="1:5" ht="13">
      <c r="A9448" s="115"/>
      <c r="B9448" s="115"/>
      <c r="C9448" s="115"/>
      <c r="D9448" s="115"/>
      <c r="E9448" s="115"/>
    </row>
    <row r="9449" spans="1:5" ht="13">
      <c r="A9449" s="115"/>
      <c r="B9449" s="115"/>
      <c r="C9449" s="115"/>
      <c r="D9449" s="115"/>
      <c r="E9449" s="115"/>
    </row>
    <row r="9450" spans="1:5" ht="13">
      <c r="A9450" s="115"/>
      <c r="B9450" s="115"/>
      <c r="C9450" s="115"/>
      <c r="D9450" s="115"/>
      <c r="E9450" s="115"/>
    </row>
    <row r="9451" spans="1:5" ht="13">
      <c r="A9451" s="115"/>
      <c r="B9451" s="115"/>
      <c r="C9451" s="115"/>
      <c r="D9451" s="115"/>
      <c r="E9451" s="115"/>
    </row>
    <row r="9452" spans="1:5" ht="13">
      <c r="A9452" s="115"/>
      <c r="B9452" s="115"/>
      <c r="C9452" s="115"/>
      <c r="D9452" s="115"/>
      <c r="E9452" s="115"/>
    </row>
    <row r="9453" spans="1:5" ht="13">
      <c r="A9453" s="115"/>
      <c r="B9453" s="115"/>
      <c r="C9453" s="115"/>
      <c r="D9453" s="115"/>
      <c r="E9453" s="115"/>
    </row>
    <row r="9454" spans="1:5" ht="13">
      <c r="A9454" s="115"/>
      <c r="B9454" s="115"/>
      <c r="C9454" s="115"/>
      <c r="D9454" s="115"/>
      <c r="E9454" s="115"/>
    </row>
    <row r="9455" spans="1:5" ht="13">
      <c r="A9455" s="115"/>
      <c r="B9455" s="115"/>
      <c r="C9455" s="115"/>
      <c r="D9455" s="115"/>
      <c r="E9455" s="115"/>
    </row>
    <row r="9456" spans="1:5" ht="13">
      <c r="A9456" s="115"/>
      <c r="B9456" s="115"/>
      <c r="C9456" s="115"/>
      <c r="D9456" s="115"/>
      <c r="E9456" s="115"/>
    </row>
    <row r="9457" spans="1:5" ht="13">
      <c r="A9457" s="115"/>
      <c r="B9457" s="115"/>
      <c r="C9457" s="115"/>
      <c r="D9457" s="115"/>
      <c r="E9457" s="115"/>
    </row>
    <row r="9458" spans="1:5" ht="13">
      <c r="A9458" s="115"/>
      <c r="B9458" s="115"/>
      <c r="C9458" s="115"/>
      <c r="D9458" s="115"/>
      <c r="E9458" s="115"/>
    </row>
    <row r="9459" spans="1:5" ht="13">
      <c r="A9459" s="115"/>
      <c r="B9459" s="115"/>
      <c r="C9459" s="115"/>
      <c r="D9459" s="115"/>
      <c r="E9459" s="115"/>
    </row>
    <row r="9460" spans="1:5" ht="13">
      <c r="A9460" s="115"/>
      <c r="B9460" s="115"/>
      <c r="C9460" s="115"/>
      <c r="D9460" s="115"/>
      <c r="E9460" s="115"/>
    </row>
    <row r="9461" spans="1:5" ht="13">
      <c r="A9461" s="115"/>
      <c r="B9461" s="115"/>
      <c r="C9461" s="115"/>
      <c r="D9461" s="115"/>
      <c r="E9461" s="115"/>
    </row>
    <row r="9462" spans="1:5" ht="13">
      <c r="A9462" s="115"/>
      <c r="B9462" s="115"/>
      <c r="C9462" s="115"/>
      <c r="D9462" s="115"/>
      <c r="E9462" s="115"/>
    </row>
    <row r="9463" spans="1:5" ht="13">
      <c r="A9463" s="115"/>
      <c r="B9463" s="115"/>
      <c r="C9463" s="115"/>
      <c r="D9463" s="115"/>
      <c r="E9463" s="115"/>
    </row>
    <row r="9464" spans="1:5" ht="13">
      <c r="A9464" s="115"/>
      <c r="B9464" s="115"/>
      <c r="C9464" s="115"/>
      <c r="D9464" s="115"/>
      <c r="E9464" s="115"/>
    </row>
    <row r="9465" spans="1:5" ht="13">
      <c r="A9465" s="115"/>
      <c r="B9465" s="115"/>
      <c r="C9465" s="115"/>
      <c r="D9465" s="115"/>
      <c r="E9465" s="115"/>
    </row>
    <row r="9466" spans="1:5" ht="13">
      <c r="A9466" s="115"/>
      <c r="B9466" s="115"/>
      <c r="C9466" s="115"/>
      <c r="D9466" s="115"/>
      <c r="E9466" s="115"/>
    </row>
    <row r="9467" spans="1:5" ht="13">
      <c r="A9467" s="115"/>
      <c r="B9467" s="115"/>
      <c r="C9467" s="115"/>
      <c r="D9467" s="115"/>
      <c r="E9467" s="115"/>
    </row>
    <row r="9468" spans="1:5" ht="13">
      <c r="A9468" s="115"/>
      <c r="B9468" s="115"/>
      <c r="C9468" s="115"/>
      <c r="D9468" s="115"/>
      <c r="E9468" s="115"/>
    </row>
    <row r="9469" spans="1:5" ht="13">
      <c r="A9469" s="115"/>
      <c r="B9469" s="115"/>
      <c r="C9469" s="115"/>
      <c r="D9469" s="115"/>
      <c r="E9469" s="115"/>
    </row>
    <row r="9470" spans="1:5" ht="13">
      <c r="A9470" s="115"/>
      <c r="B9470" s="115"/>
      <c r="C9470" s="115"/>
      <c r="D9470" s="115"/>
      <c r="E9470" s="115"/>
    </row>
    <row r="9471" spans="1:5" ht="13">
      <c r="A9471" s="115"/>
      <c r="B9471" s="115"/>
      <c r="C9471" s="115"/>
      <c r="D9471" s="115"/>
      <c r="E9471" s="115"/>
    </row>
    <row r="9472" spans="1:5" ht="13">
      <c r="A9472" s="115"/>
      <c r="B9472" s="115"/>
      <c r="C9472" s="115"/>
      <c r="D9472" s="115"/>
      <c r="E9472" s="115"/>
    </row>
    <row r="9473" spans="1:5" ht="13">
      <c r="A9473" s="115"/>
      <c r="B9473" s="115"/>
      <c r="C9473" s="115"/>
      <c r="D9473" s="115"/>
      <c r="E9473" s="115"/>
    </row>
    <row r="9474" spans="1:5" ht="13">
      <c r="A9474" s="115"/>
      <c r="B9474" s="115"/>
      <c r="C9474" s="115"/>
      <c r="D9474" s="115"/>
      <c r="E9474" s="115"/>
    </row>
    <row r="9475" spans="1:5" ht="13">
      <c r="A9475" s="115"/>
      <c r="B9475" s="115"/>
      <c r="C9475" s="115"/>
      <c r="D9475" s="115"/>
      <c r="E9475" s="115"/>
    </row>
    <row r="9476" spans="1:5" ht="13">
      <c r="A9476" s="115"/>
      <c r="B9476" s="115"/>
      <c r="C9476" s="115"/>
      <c r="D9476" s="115"/>
      <c r="E9476" s="115"/>
    </row>
    <row r="9477" spans="1:5" ht="13">
      <c r="A9477" s="115"/>
      <c r="B9477" s="115"/>
      <c r="C9477" s="115"/>
      <c r="D9477" s="115"/>
      <c r="E9477" s="115"/>
    </row>
    <row r="9478" spans="1:5" ht="13">
      <c r="A9478" s="115"/>
      <c r="B9478" s="115"/>
      <c r="C9478" s="115"/>
      <c r="D9478" s="115"/>
      <c r="E9478" s="115"/>
    </row>
    <row r="9479" spans="1:5" ht="13">
      <c r="A9479" s="115"/>
      <c r="B9479" s="115"/>
      <c r="C9479" s="115"/>
      <c r="D9479" s="115"/>
      <c r="E9479" s="115"/>
    </row>
    <row r="9480" spans="1:5" ht="13">
      <c r="A9480" s="115"/>
      <c r="B9480" s="115"/>
      <c r="C9480" s="115"/>
      <c r="D9480" s="115"/>
      <c r="E9480" s="115"/>
    </row>
    <row r="9481" spans="1:5" ht="13">
      <c r="A9481" s="115"/>
      <c r="B9481" s="115"/>
      <c r="C9481" s="115"/>
      <c r="D9481" s="115"/>
      <c r="E9481" s="115"/>
    </row>
    <row r="9482" spans="1:5" ht="13">
      <c r="A9482" s="115"/>
      <c r="B9482" s="115"/>
      <c r="C9482" s="115"/>
      <c r="D9482" s="115"/>
      <c r="E9482" s="115"/>
    </row>
    <row r="9483" spans="1:5" ht="13">
      <c r="A9483" s="115"/>
      <c r="B9483" s="115"/>
      <c r="C9483" s="115"/>
      <c r="D9483" s="115"/>
      <c r="E9483" s="115"/>
    </row>
    <row r="9484" spans="1:5" ht="13">
      <c r="A9484" s="115"/>
      <c r="B9484" s="115"/>
      <c r="C9484" s="115"/>
      <c r="D9484" s="115"/>
      <c r="E9484" s="115"/>
    </row>
    <row r="9485" spans="1:5" ht="13">
      <c r="A9485" s="115"/>
      <c r="B9485" s="115"/>
      <c r="C9485" s="115"/>
      <c r="D9485" s="115"/>
      <c r="E9485" s="115"/>
    </row>
    <row r="9486" spans="1:5" ht="13">
      <c r="A9486" s="115"/>
      <c r="B9486" s="115"/>
      <c r="C9486" s="115"/>
      <c r="D9486" s="115"/>
      <c r="E9486" s="115"/>
    </row>
    <row r="9487" spans="1:5" ht="13">
      <c r="A9487" s="115"/>
      <c r="B9487" s="115"/>
      <c r="C9487" s="115"/>
      <c r="D9487" s="115"/>
      <c r="E9487" s="115"/>
    </row>
    <row r="9488" spans="1:5" ht="13">
      <c r="A9488" s="115"/>
      <c r="B9488" s="115"/>
      <c r="C9488" s="115"/>
      <c r="D9488" s="115"/>
      <c r="E9488" s="115"/>
    </row>
    <row r="9489" spans="1:5" ht="13">
      <c r="A9489" s="115"/>
      <c r="B9489" s="115"/>
      <c r="C9489" s="115"/>
      <c r="D9489" s="115"/>
      <c r="E9489" s="115"/>
    </row>
    <row r="9490" spans="1:5" ht="13">
      <c r="A9490" s="115"/>
      <c r="B9490" s="115"/>
      <c r="C9490" s="115"/>
      <c r="D9490" s="115"/>
      <c r="E9490" s="115"/>
    </row>
    <row r="9491" spans="1:5" ht="13">
      <c r="A9491" s="115"/>
      <c r="B9491" s="115"/>
      <c r="C9491" s="115"/>
      <c r="D9491" s="115"/>
      <c r="E9491" s="115"/>
    </row>
    <row r="9492" spans="1:5" ht="13">
      <c r="A9492" s="115"/>
      <c r="B9492" s="115"/>
      <c r="C9492" s="115"/>
      <c r="D9492" s="115"/>
      <c r="E9492" s="115"/>
    </row>
    <row r="9493" spans="1:5" ht="13">
      <c r="A9493" s="115"/>
      <c r="B9493" s="115"/>
      <c r="C9493" s="115"/>
      <c r="D9493" s="115"/>
      <c r="E9493" s="115"/>
    </row>
    <row r="9494" spans="1:5" ht="13">
      <c r="A9494" s="115"/>
      <c r="B9494" s="115"/>
      <c r="C9494" s="115"/>
      <c r="D9494" s="115"/>
      <c r="E9494" s="115"/>
    </row>
    <row r="9495" spans="1:5" ht="13">
      <c r="A9495" s="115"/>
      <c r="B9495" s="115"/>
      <c r="C9495" s="115"/>
      <c r="D9495" s="115"/>
      <c r="E9495" s="115"/>
    </row>
    <row r="9496" spans="1:5" ht="13">
      <c r="A9496" s="115"/>
      <c r="B9496" s="115"/>
      <c r="C9496" s="115"/>
      <c r="D9496" s="115"/>
      <c r="E9496" s="115"/>
    </row>
    <row r="9497" spans="1:5" ht="13">
      <c r="A9497" s="115"/>
      <c r="B9497" s="115"/>
      <c r="C9497" s="115"/>
      <c r="D9497" s="115"/>
      <c r="E9497" s="115"/>
    </row>
    <row r="9498" spans="1:5" ht="13">
      <c r="A9498" s="115"/>
      <c r="B9498" s="115"/>
      <c r="C9498" s="115"/>
      <c r="D9498" s="115"/>
      <c r="E9498" s="115"/>
    </row>
    <row r="9499" spans="1:5" ht="13">
      <c r="A9499" s="115"/>
      <c r="B9499" s="115"/>
      <c r="C9499" s="115"/>
      <c r="D9499" s="115"/>
      <c r="E9499" s="115"/>
    </row>
    <row r="9500" spans="1:5" ht="13">
      <c r="A9500" s="115"/>
      <c r="B9500" s="115"/>
      <c r="C9500" s="115"/>
      <c r="D9500" s="115"/>
      <c r="E9500" s="115"/>
    </row>
    <row r="9501" spans="1:5" ht="13">
      <c r="A9501" s="115"/>
      <c r="B9501" s="115"/>
      <c r="C9501" s="115"/>
      <c r="D9501" s="115"/>
      <c r="E9501" s="115"/>
    </row>
    <row r="9502" spans="1:5" ht="13">
      <c r="A9502" s="115"/>
      <c r="B9502" s="115"/>
      <c r="C9502" s="115"/>
      <c r="D9502" s="115"/>
      <c r="E9502" s="115"/>
    </row>
    <row r="9503" spans="1:5" ht="13">
      <c r="A9503" s="115"/>
      <c r="B9503" s="115"/>
      <c r="C9503" s="115"/>
      <c r="D9503" s="115"/>
      <c r="E9503" s="115"/>
    </row>
    <row r="9504" spans="1:5" ht="13">
      <c r="A9504" s="115"/>
      <c r="B9504" s="115"/>
      <c r="C9504" s="115"/>
      <c r="D9504" s="115"/>
      <c r="E9504" s="115"/>
    </row>
    <row r="9505" spans="1:5" ht="13">
      <c r="A9505" s="115"/>
      <c r="B9505" s="115"/>
      <c r="C9505" s="115"/>
      <c r="D9505" s="115"/>
      <c r="E9505" s="115"/>
    </row>
    <row r="9506" spans="1:5" ht="13">
      <c r="A9506" s="115"/>
      <c r="B9506" s="115"/>
      <c r="C9506" s="115"/>
      <c r="D9506" s="115"/>
      <c r="E9506" s="115"/>
    </row>
    <row r="9507" spans="1:5" ht="13">
      <c r="A9507" s="115"/>
      <c r="B9507" s="115"/>
      <c r="C9507" s="115"/>
      <c r="D9507" s="115"/>
      <c r="E9507" s="115"/>
    </row>
    <row r="9508" spans="1:5" ht="13">
      <c r="A9508" s="115"/>
      <c r="B9508" s="115"/>
      <c r="C9508" s="115"/>
      <c r="D9508" s="115"/>
      <c r="E9508" s="115"/>
    </row>
    <row r="9509" spans="1:5" ht="13">
      <c r="A9509" s="115"/>
      <c r="B9509" s="115"/>
      <c r="C9509" s="115"/>
      <c r="D9509" s="115"/>
      <c r="E9509" s="115"/>
    </row>
    <row r="9510" spans="1:5" ht="13">
      <c r="A9510" s="115"/>
      <c r="B9510" s="115"/>
      <c r="C9510" s="115"/>
      <c r="D9510" s="115"/>
      <c r="E9510" s="115"/>
    </row>
    <row r="9511" spans="1:5" ht="13">
      <c r="A9511" s="115"/>
      <c r="B9511" s="115"/>
      <c r="C9511" s="115"/>
      <c r="D9511" s="115"/>
      <c r="E9511" s="115"/>
    </row>
    <row r="9512" spans="1:5" ht="13">
      <c r="A9512" s="115"/>
      <c r="B9512" s="115"/>
      <c r="C9512" s="115"/>
      <c r="D9512" s="115"/>
      <c r="E9512" s="115"/>
    </row>
    <row r="9513" spans="1:5" ht="13">
      <c r="A9513" s="115"/>
      <c r="B9513" s="115"/>
      <c r="C9513" s="115"/>
      <c r="D9513" s="115"/>
      <c r="E9513" s="115"/>
    </row>
    <row r="9514" spans="1:5" ht="13">
      <c r="A9514" s="115"/>
      <c r="B9514" s="115"/>
      <c r="C9514" s="115"/>
      <c r="D9514" s="115"/>
      <c r="E9514" s="115"/>
    </row>
    <row r="9515" spans="1:5" ht="13">
      <c r="A9515" s="115"/>
      <c r="B9515" s="115"/>
      <c r="C9515" s="115"/>
      <c r="D9515" s="115"/>
      <c r="E9515" s="115"/>
    </row>
    <row r="9516" spans="1:5" ht="13">
      <c r="A9516" s="115"/>
      <c r="B9516" s="115"/>
      <c r="C9516" s="115"/>
      <c r="D9516" s="115"/>
      <c r="E9516" s="115"/>
    </row>
    <row r="9517" spans="1:5" ht="13">
      <c r="A9517" s="115"/>
      <c r="B9517" s="115"/>
      <c r="C9517" s="115"/>
      <c r="D9517" s="115"/>
      <c r="E9517" s="115"/>
    </row>
    <row r="9518" spans="1:5" ht="13">
      <c r="A9518" s="115"/>
      <c r="B9518" s="115"/>
      <c r="C9518" s="115"/>
      <c r="D9518" s="115"/>
      <c r="E9518" s="115"/>
    </row>
    <row r="9519" spans="1:5" ht="13">
      <c r="A9519" s="115"/>
      <c r="B9519" s="115"/>
      <c r="C9519" s="115"/>
      <c r="D9519" s="115"/>
      <c r="E9519" s="115"/>
    </row>
    <row r="9520" spans="1:5" ht="13">
      <c r="A9520" s="115"/>
      <c r="B9520" s="115"/>
      <c r="C9520" s="115"/>
      <c r="D9520" s="115"/>
      <c r="E9520" s="115"/>
    </row>
    <row r="9521" spans="1:5" ht="13">
      <c r="A9521" s="115"/>
      <c r="B9521" s="115"/>
      <c r="C9521" s="115"/>
      <c r="D9521" s="115"/>
      <c r="E9521" s="115"/>
    </row>
    <row r="9522" spans="1:5" ht="13">
      <c r="A9522" s="115"/>
      <c r="B9522" s="115"/>
      <c r="C9522" s="115"/>
      <c r="D9522" s="115"/>
      <c r="E9522" s="115"/>
    </row>
    <row r="9523" spans="1:5" ht="13">
      <c r="A9523" s="115"/>
      <c r="B9523" s="115"/>
      <c r="C9523" s="115"/>
      <c r="D9523" s="115"/>
      <c r="E9523" s="115"/>
    </row>
    <row r="9524" spans="1:5" ht="13">
      <c r="A9524" s="115"/>
      <c r="B9524" s="115"/>
      <c r="C9524" s="115"/>
      <c r="D9524" s="115"/>
      <c r="E9524" s="115"/>
    </row>
    <row r="9525" spans="1:5" ht="13">
      <c r="A9525" s="115"/>
      <c r="B9525" s="115"/>
      <c r="C9525" s="115"/>
      <c r="D9525" s="115"/>
      <c r="E9525" s="115"/>
    </row>
    <row r="9526" spans="1:5" ht="13">
      <c r="A9526" s="115"/>
      <c r="B9526" s="115"/>
      <c r="C9526" s="115"/>
      <c r="D9526" s="115"/>
      <c r="E9526" s="115"/>
    </row>
    <row r="9527" spans="1:5" ht="13">
      <c r="A9527" s="115"/>
      <c r="B9527" s="115"/>
      <c r="C9527" s="115"/>
      <c r="D9527" s="115"/>
      <c r="E9527" s="115"/>
    </row>
    <row r="9528" spans="1:5" ht="13">
      <c r="A9528" s="115"/>
      <c r="B9528" s="115"/>
      <c r="C9528" s="115"/>
      <c r="D9528" s="115"/>
      <c r="E9528" s="115"/>
    </row>
    <row r="9529" spans="1:5" ht="13">
      <c r="A9529" s="115"/>
      <c r="B9529" s="115"/>
      <c r="C9529" s="115"/>
      <c r="D9529" s="115"/>
      <c r="E9529" s="115"/>
    </row>
    <row r="9530" spans="1:5" ht="13">
      <c r="A9530" s="115"/>
      <c r="B9530" s="115"/>
      <c r="C9530" s="115"/>
      <c r="D9530" s="115"/>
      <c r="E9530" s="115"/>
    </row>
    <row r="9531" spans="1:5" ht="13">
      <c r="A9531" s="115"/>
      <c r="B9531" s="115"/>
      <c r="C9531" s="115"/>
      <c r="D9531" s="115"/>
      <c r="E9531" s="115"/>
    </row>
    <row r="9532" spans="1:5" ht="13">
      <c r="A9532" s="115"/>
      <c r="B9532" s="115"/>
      <c r="C9532" s="115"/>
      <c r="D9532" s="115"/>
      <c r="E9532" s="115"/>
    </row>
    <row r="9533" spans="1:5" ht="13">
      <c r="A9533" s="115"/>
      <c r="B9533" s="115"/>
      <c r="C9533" s="115"/>
      <c r="D9533" s="115"/>
      <c r="E9533" s="115"/>
    </row>
    <row r="9534" spans="1:5" ht="13">
      <c r="A9534" s="115"/>
      <c r="B9534" s="115"/>
      <c r="C9534" s="115"/>
      <c r="D9534" s="115"/>
      <c r="E9534" s="115"/>
    </row>
    <row r="9535" spans="1:5" ht="13">
      <c r="A9535" s="115"/>
      <c r="B9535" s="115"/>
      <c r="C9535" s="115"/>
      <c r="D9535" s="115"/>
      <c r="E9535" s="115"/>
    </row>
    <row r="9536" spans="1:5" ht="13">
      <c r="A9536" s="115"/>
      <c r="B9536" s="115"/>
      <c r="C9536" s="115"/>
      <c r="D9536" s="115"/>
      <c r="E9536" s="115"/>
    </row>
    <row r="9537" spans="1:5" ht="13">
      <c r="A9537" s="115"/>
      <c r="B9537" s="115"/>
      <c r="C9537" s="115"/>
      <c r="D9537" s="115"/>
      <c r="E9537" s="115"/>
    </row>
    <row r="9538" spans="1:5" ht="13">
      <c r="A9538" s="115"/>
      <c r="B9538" s="115"/>
      <c r="C9538" s="115"/>
      <c r="D9538" s="115"/>
      <c r="E9538" s="115"/>
    </row>
    <row r="9539" spans="1:5" ht="13">
      <c r="A9539" s="115"/>
      <c r="B9539" s="115"/>
      <c r="C9539" s="115"/>
      <c r="D9539" s="115"/>
      <c r="E9539" s="115"/>
    </row>
    <row r="9540" spans="1:5" ht="13">
      <c r="A9540" s="115"/>
      <c r="B9540" s="115"/>
      <c r="C9540" s="115"/>
      <c r="D9540" s="115"/>
      <c r="E9540" s="115"/>
    </row>
    <row r="9541" spans="1:5" ht="13">
      <c r="A9541" s="115"/>
      <c r="B9541" s="115"/>
      <c r="C9541" s="115"/>
      <c r="D9541" s="115"/>
      <c r="E9541" s="115"/>
    </row>
    <row r="9542" spans="1:5" ht="13">
      <c r="A9542" s="115"/>
      <c r="B9542" s="115"/>
      <c r="C9542" s="115"/>
      <c r="D9542" s="115"/>
      <c r="E9542" s="115"/>
    </row>
    <row r="9543" spans="1:5" ht="13">
      <c r="A9543" s="115"/>
      <c r="B9543" s="115"/>
      <c r="C9543" s="115"/>
      <c r="D9543" s="115"/>
      <c r="E9543" s="115"/>
    </row>
    <row r="9544" spans="1:5" ht="13">
      <c r="A9544" s="115"/>
      <c r="B9544" s="115"/>
      <c r="C9544" s="115"/>
      <c r="D9544" s="115"/>
      <c r="E9544" s="115"/>
    </row>
    <row r="9545" spans="1:5" ht="13">
      <c r="A9545" s="115"/>
      <c r="B9545" s="115"/>
      <c r="C9545" s="115"/>
      <c r="D9545" s="115"/>
      <c r="E9545" s="115"/>
    </row>
    <row r="9546" spans="1:5" ht="13">
      <c r="A9546" s="115"/>
      <c r="B9546" s="115"/>
      <c r="C9546" s="115"/>
      <c r="D9546" s="115"/>
      <c r="E9546" s="115"/>
    </row>
    <row r="9547" spans="1:5" ht="13">
      <c r="A9547" s="115"/>
      <c r="B9547" s="115"/>
      <c r="C9547" s="115"/>
      <c r="D9547" s="115"/>
      <c r="E9547" s="115"/>
    </row>
    <row r="9548" spans="1:5" ht="13">
      <c r="A9548" s="115"/>
      <c r="B9548" s="115"/>
      <c r="C9548" s="115"/>
      <c r="D9548" s="115"/>
      <c r="E9548" s="115"/>
    </row>
    <row r="9549" spans="1:5" ht="13">
      <c r="A9549" s="115"/>
      <c r="B9549" s="115"/>
      <c r="C9549" s="115"/>
      <c r="D9549" s="115"/>
      <c r="E9549" s="115"/>
    </row>
    <row r="9550" spans="1:5" ht="13">
      <c r="A9550" s="115"/>
      <c r="B9550" s="115"/>
      <c r="C9550" s="115"/>
      <c r="D9550" s="115"/>
      <c r="E9550" s="115"/>
    </row>
    <row r="9551" spans="1:5" ht="13">
      <c r="A9551" s="115"/>
      <c r="B9551" s="115"/>
      <c r="C9551" s="115"/>
      <c r="D9551" s="115"/>
      <c r="E9551" s="115"/>
    </row>
    <row r="9552" spans="1:5" ht="13">
      <c r="A9552" s="115"/>
      <c r="B9552" s="115"/>
      <c r="C9552" s="115"/>
      <c r="D9552" s="115"/>
      <c r="E9552" s="115"/>
    </row>
    <row r="9553" spans="1:5" ht="13">
      <c r="A9553" s="115"/>
      <c r="B9553" s="115"/>
      <c r="C9553" s="115"/>
      <c r="D9553" s="115"/>
      <c r="E9553" s="115"/>
    </row>
    <row r="9554" spans="1:5" ht="13">
      <c r="A9554" s="115"/>
      <c r="B9554" s="115"/>
      <c r="C9554" s="115"/>
      <c r="D9554" s="115"/>
      <c r="E9554" s="115"/>
    </row>
    <row r="9555" spans="1:5" ht="13">
      <c r="A9555" s="115"/>
      <c r="B9555" s="115"/>
      <c r="C9555" s="115"/>
      <c r="D9555" s="115"/>
      <c r="E9555" s="115"/>
    </row>
    <row r="9556" spans="1:5" ht="13">
      <c r="A9556" s="115"/>
      <c r="B9556" s="115"/>
      <c r="C9556" s="115"/>
      <c r="D9556" s="115"/>
      <c r="E9556" s="115"/>
    </row>
    <row r="9557" spans="1:5" ht="13">
      <c r="A9557" s="115"/>
      <c r="B9557" s="115"/>
      <c r="C9557" s="115"/>
      <c r="D9557" s="115"/>
      <c r="E9557" s="115"/>
    </row>
    <row r="9558" spans="1:5" ht="13">
      <c r="A9558" s="115"/>
      <c r="B9558" s="115"/>
      <c r="C9558" s="115"/>
      <c r="D9558" s="115"/>
      <c r="E9558" s="115"/>
    </row>
    <row r="9559" spans="1:5" ht="13">
      <c r="A9559" s="115"/>
      <c r="B9559" s="115"/>
      <c r="C9559" s="115"/>
      <c r="D9559" s="115"/>
      <c r="E9559" s="115"/>
    </row>
    <row r="9560" spans="1:5" ht="13">
      <c r="A9560" s="115"/>
      <c r="B9560" s="115"/>
      <c r="C9560" s="115"/>
      <c r="D9560" s="115"/>
      <c r="E9560" s="115"/>
    </row>
    <row r="9561" spans="1:5" ht="13">
      <c r="A9561" s="115"/>
      <c r="B9561" s="115"/>
      <c r="C9561" s="115"/>
      <c r="D9561" s="115"/>
      <c r="E9561" s="115"/>
    </row>
    <row r="9562" spans="1:5" ht="13">
      <c r="A9562" s="115"/>
      <c r="B9562" s="115"/>
      <c r="C9562" s="115"/>
      <c r="D9562" s="115"/>
      <c r="E9562" s="115"/>
    </row>
    <row r="9563" spans="1:5" ht="13">
      <c r="A9563" s="115"/>
      <c r="B9563" s="115"/>
      <c r="C9563" s="115"/>
      <c r="D9563" s="115"/>
      <c r="E9563" s="115"/>
    </row>
    <row r="9564" spans="1:5" ht="13">
      <c r="A9564" s="115"/>
      <c r="B9564" s="115"/>
      <c r="C9564" s="115"/>
      <c r="D9564" s="115"/>
      <c r="E9564" s="115"/>
    </row>
    <row r="9565" spans="1:5" ht="13">
      <c r="A9565" s="115"/>
      <c r="B9565" s="115"/>
      <c r="C9565" s="115"/>
      <c r="D9565" s="115"/>
      <c r="E9565" s="115"/>
    </row>
    <row r="9566" spans="1:5" ht="13">
      <c r="A9566" s="115"/>
      <c r="B9566" s="115"/>
      <c r="C9566" s="115"/>
      <c r="D9566" s="115"/>
      <c r="E9566" s="115"/>
    </row>
    <row r="9567" spans="1:5" ht="13">
      <c r="A9567" s="115"/>
      <c r="B9567" s="115"/>
      <c r="C9567" s="115"/>
      <c r="D9567" s="115"/>
      <c r="E9567" s="115"/>
    </row>
    <row r="9568" spans="1:5" ht="13">
      <c r="A9568" s="115"/>
      <c r="B9568" s="115"/>
      <c r="C9568" s="115"/>
      <c r="D9568" s="115"/>
      <c r="E9568" s="115"/>
    </row>
    <row r="9569" spans="1:5" ht="13">
      <c r="A9569" s="115"/>
      <c r="B9569" s="115"/>
      <c r="C9569" s="115"/>
      <c r="D9569" s="115"/>
      <c r="E9569" s="115"/>
    </row>
    <row r="9570" spans="1:5" ht="13">
      <c r="A9570" s="115"/>
      <c r="B9570" s="115"/>
      <c r="C9570" s="115"/>
      <c r="D9570" s="115"/>
      <c r="E9570" s="115"/>
    </row>
    <row r="9571" spans="1:5" ht="13">
      <c r="A9571" s="115"/>
      <c r="B9571" s="115"/>
      <c r="C9571" s="115"/>
      <c r="D9571" s="115"/>
      <c r="E9571" s="115"/>
    </row>
    <row r="9572" spans="1:5" ht="13">
      <c r="A9572" s="115"/>
      <c r="B9572" s="115"/>
      <c r="C9572" s="115"/>
      <c r="D9572" s="115"/>
      <c r="E9572" s="115"/>
    </row>
    <row r="9573" spans="1:5" ht="13">
      <c r="A9573" s="115"/>
      <c r="B9573" s="115"/>
      <c r="C9573" s="115"/>
      <c r="D9573" s="115"/>
      <c r="E9573" s="115"/>
    </row>
    <row r="9574" spans="1:5" ht="13">
      <c r="A9574" s="115"/>
      <c r="B9574" s="115"/>
      <c r="C9574" s="115"/>
      <c r="D9574" s="115"/>
      <c r="E9574" s="115"/>
    </row>
    <row r="9575" spans="1:5" ht="13">
      <c r="A9575" s="115"/>
      <c r="B9575" s="115"/>
      <c r="C9575" s="115"/>
      <c r="D9575" s="115"/>
      <c r="E9575" s="115"/>
    </row>
    <row r="9576" spans="1:5" ht="13">
      <c r="A9576" s="115"/>
      <c r="B9576" s="115"/>
      <c r="C9576" s="115"/>
      <c r="D9576" s="115"/>
      <c r="E9576" s="115"/>
    </row>
    <row r="9577" spans="1:5" ht="13">
      <c r="A9577" s="115"/>
      <c r="B9577" s="115"/>
      <c r="C9577" s="115"/>
      <c r="D9577" s="115"/>
      <c r="E9577" s="115"/>
    </row>
    <row r="9578" spans="1:5" ht="13">
      <c r="A9578" s="115"/>
      <c r="B9578" s="115"/>
      <c r="C9578" s="115"/>
      <c r="D9578" s="115"/>
      <c r="E9578" s="115"/>
    </row>
    <row r="9579" spans="1:5" ht="13">
      <c r="A9579" s="115"/>
      <c r="B9579" s="115"/>
      <c r="C9579" s="115"/>
      <c r="D9579" s="115"/>
      <c r="E9579" s="115"/>
    </row>
    <row r="9580" spans="1:5" ht="13">
      <c r="A9580" s="115"/>
      <c r="B9580" s="115"/>
      <c r="C9580" s="115"/>
      <c r="D9580" s="115"/>
      <c r="E9580" s="115"/>
    </row>
    <row r="9581" spans="1:5" ht="13">
      <c r="A9581" s="115"/>
      <c r="B9581" s="115"/>
      <c r="C9581" s="115"/>
      <c r="D9581" s="115"/>
      <c r="E9581" s="115"/>
    </row>
    <row r="9582" spans="1:5" ht="13">
      <c r="A9582" s="115"/>
      <c r="B9582" s="115"/>
      <c r="C9582" s="115"/>
      <c r="D9582" s="115"/>
      <c r="E9582" s="115"/>
    </row>
    <row r="9583" spans="1:5" ht="13">
      <c r="A9583" s="115"/>
      <c r="B9583" s="115"/>
      <c r="C9583" s="115"/>
      <c r="D9583" s="115"/>
      <c r="E9583" s="115"/>
    </row>
    <row r="9584" spans="1:5" ht="13">
      <c r="A9584" s="115"/>
      <c r="B9584" s="115"/>
      <c r="C9584" s="115"/>
      <c r="D9584" s="115"/>
      <c r="E9584" s="115"/>
    </row>
    <row r="9585" spans="1:5" ht="13">
      <c r="A9585" s="115"/>
      <c r="B9585" s="115"/>
      <c r="C9585" s="115"/>
      <c r="D9585" s="115"/>
      <c r="E9585" s="115"/>
    </row>
    <row r="9586" spans="1:5" ht="13">
      <c r="A9586" s="115"/>
      <c r="B9586" s="115"/>
      <c r="C9586" s="115"/>
      <c r="D9586" s="115"/>
      <c r="E9586" s="115"/>
    </row>
    <row r="9587" spans="1:5" ht="13">
      <c r="A9587" s="115"/>
      <c r="B9587" s="115"/>
      <c r="C9587" s="115"/>
      <c r="D9587" s="115"/>
      <c r="E9587" s="115"/>
    </row>
    <row r="9588" spans="1:5" ht="13">
      <c r="A9588" s="115"/>
      <c r="B9588" s="115"/>
      <c r="C9588" s="115"/>
      <c r="D9588" s="115"/>
      <c r="E9588" s="115"/>
    </row>
    <row r="9589" spans="1:5" ht="13">
      <c r="A9589" s="115"/>
      <c r="B9589" s="115"/>
      <c r="C9589" s="115"/>
      <c r="D9589" s="115"/>
      <c r="E9589" s="115"/>
    </row>
    <row r="9590" spans="1:5" ht="13">
      <c r="A9590" s="115"/>
      <c r="B9590" s="115"/>
      <c r="C9590" s="115"/>
      <c r="D9590" s="115"/>
      <c r="E9590" s="115"/>
    </row>
    <row r="9591" spans="1:5" ht="13">
      <c r="A9591" s="115"/>
      <c r="B9591" s="115"/>
      <c r="C9591" s="115"/>
      <c r="D9591" s="115"/>
      <c r="E9591" s="115"/>
    </row>
    <row r="9592" spans="1:5" ht="13">
      <c r="A9592" s="115"/>
      <c r="B9592" s="115"/>
      <c r="C9592" s="115"/>
      <c r="D9592" s="115"/>
      <c r="E9592" s="115"/>
    </row>
    <row r="9593" spans="1:5" ht="13">
      <c r="A9593" s="115"/>
      <c r="B9593" s="115"/>
      <c r="C9593" s="115"/>
      <c r="D9593" s="115"/>
      <c r="E9593" s="115"/>
    </row>
    <row r="9594" spans="1:5" ht="13">
      <c r="A9594" s="115"/>
      <c r="B9594" s="115"/>
      <c r="C9594" s="115"/>
      <c r="D9594" s="115"/>
      <c r="E9594" s="115"/>
    </row>
    <row r="9595" spans="1:5" ht="13">
      <c r="A9595" s="115"/>
      <c r="B9595" s="115"/>
      <c r="C9595" s="115"/>
      <c r="D9595" s="115"/>
      <c r="E9595" s="115"/>
    </row>
    <row r="9596" spans="1:5" ht="13">
      <c r="A9596" s="115"/>
      <c r="B9596" s="115"/>
      <c r="C9596" s="115"/>
      <c r="D9596" s="115"/>
      <c r="E9596" s="115"/>
    </row>
    <row r="9597" spans="1:5" ht="13">
      <c r="A9597" s="115"/>
      <c r="B9597" s="115"/>
      <c r="C9597" s="115"/>
      <c r="D9597" s="115"/>
      <c r="E9597" s="115"/>
    </row>
    <row r="9598" spans="1:5" ht="13">
      <c r="A9598" s="115"/>
      <c r="B9598" s="115"/>
      <c r="C9598" s="115"/>
      <c r="D9598" s="115"/>
      <c r="E9598" s="115"/>
    </row>
    <row r="9599" spans="1:5" ht="13">
      <c r="A9599" s="115"/>
      <c r="B9599" s="115"/>
      <c r="C9599" s="115"/>
      <c r="D9599" s="115"/>
      <c r="E9599" s="115"/>
    </row>
    <row r="9600" spans="1:5" ht="13">
      <c r="A9600" s="115"/>
      <c r="B9600" s="115"/>
      <c r="C9600" s="115"/>
      <c r="D9600" s="115"/>
      <c r="E9600" s="115"/>
    </row>
    <row r="9601" spans="1:5" ht="13">
      <c r="A9601" s="115"/>
      <c r="B9601" s="115"/>
      <c r="C9601" s="115"/>
      <c r="D9601" s="115"/>
      <c r="E9601" s="115"/>
    </row>
    <row r="9602" spans="1:5" ht="13">
      <c r="A9602" s="115"/>
      <c r="B9602" s="115"/>
      <c r="C9602" s="115"/>
      <c r="D9602" s="115"/>
      <c r="E9602" s="115"/>
    </row>
    <row r="9603" spans="1:5" ht="13">
      <c r="A9603" s="115"/>
      <c r="B9603" s="115"/>
      <c r="C9603" s="115"/>
      <c r="D9603" s="115"/>
      <c r="E9603" s="115"/>
    </row>
    <row r="9604" spans="1:5" ht="13">
      <c r="A9604" s="115"/>
      <c r="B9604" s="115"/>
      <c r="C9604" s="115"/>
      <c r="D9604" s="115"/>
      <c r="E9604" s="115"/>
    </row>
    <row r="9605" spans="1:5" ht="13">
      <c r="A9605" s="115"/>
      <c r="B9605" s="115"/>
      <c r="C9605" s="115"/>
      <c r="D9605" s="115"/>
      <c r="E9605" s="115"/>
    </row>
    <row r="9606" spans="1:5" ht="13">
      <c r="A9606" s="115"/>
      <c r="B9606" s="115"/>
      <c r="C9606" s="115"/>
      <c r="D9606" s="115"/>
      <c r="E9606" s="115"/>
    </row>
    <row r="9607" spans="1:5" ht="13">
      <c r="A9607" s="115"/>
      <c r="B9607" s="115"/>
      <c r="C9607" s="115"/>
      <c r="D9607" s="115"/>
      <c r="E9607" s="115"/>
    </row>
    <row r="9608" spans="1:5" ht="13">
      <c r="A9608" s="115"/>
      <c r="B9608" s="115"/>
      <c r="C9608" s="115"/>
      <c r="D9608" s="115"/>
      <c r="E9608" s="115"/>
    </row>
    <row r="9609" spans="1:5" ht="13">
      <c r="A9609" s="115"/>
      <c r="B9609" s="115"/>
      <c r="C9609" s="115"/>
      <c r="D9609" s="115"/>
      <c r="E9609" s="115"/>
    </row>
    <row r="9610" spans="1:5" ht="13">
      <c r="A9610" s="115"/>
      <c r="B9610" s="115"/>
      <c r="C9610" s="115"/>
      <c r="D9610" s="115"/>
      <c r="E9610" s="115"/>
    </row>
    <row r="9611" spans="1:5" ht="13">
      <c r="A9611" s="115"/>
      <c r="B9611" s="115"/>
      <c r="C9611" s="115"/>
      <c r="D9611" s="115"/>
      <c r="E9611" s="115"/>
    </row>
    <row r="9612" spans="1:5" ht="13">
      <c r="A9612" s="115"/>
      <c r="B9612" s="115"/>
      <c r="C9612" s="115"/>
      <c r="D9612" s="115"/>
      <c r="E9612" s="115"/>
    </row>
    <row r="9613" spans="1:5" ht="13">
      <c r="A9613" s="115"/>
      <c r="B9613" s="115"/>
      <c r="C9613" s="115"/>
      <c r="D9613" s="115"/>
      <c r="E9613" s="115"/>
    </row>
    <row r="9614" spans="1:5" ht="13">
      <c r="A9614" s="115"/>
      <c r="B9614" s="115"/>
      <c r="C9614" s="115"/>
      <c r="D9614" s="115"/>
      <c r="E9614" s="115"/>
    </row>
    <row r="9615" spans="1:5" ht="13">
      <c r="A9615" s="115"/>
      <c r="B9615" s="115"/>
      <c r="C9615" s="115"/>
      <c r="D9615" s="115"/>
      <c r="E9615" s="115"/>
    </row>
    <row r="9616" spans="1:5" ht="13">
      <c r="A9616" s="115"/>
      <c r="B9616" s="115"/>
      <c r="C9616" s="115"/>
      <c r="D9616" s="115"/>
      <c r="E9616" s="115"/>
    </row>
    <row r="9617" spans="1:5" ht="13">
      <c r="A9617" s="115"/>
      <c r="B9617" s="115"/>
      <c r="C9617" s="115"/>
      <c r="D9617" s="115"/>
      <c r="E9617" s="115"/>
    </row>
    <row r="9618" spans="1:5" ht="13">
      <c r="A9618" s="115"/>
      <c r="B9618" s="115"/>
      <c r="C9618" s="115"/>
      <c r="D9618" s="115"/>
      <c r="E9618" s="115"/>
    </row>
    <row r="9619" spans="1:5" ht="13">
      <c r="A9619" s="115"/>
      <c r="B9619" s="115"/>
      <c r="C9619" s="115"/>
      <c r="D9619" s="115"/>
      <c r="E9619" s="115"/>
    </row>
    <row r="9620" spans="1:5" ht="13">
      <c r="A9620" s="115"/>
      <c r="B9620" s="115"/>
      <c r="C9620" s="115"/>
      <c r="D9620" s="115"/>
      <c r="E9620" s="115"/>
    </row>
    <row r="9621" spans="1:5" ht="13">
      <c r="A9621" s="115"/>
      <c r="B9621" s="115"/>
      <c r="C9621" s="115"/>
      <c r="D9621" s="115"/>
      <c r="E9621" s="115"/>
    </row>
    <row r="9622" spans="1:5" ht="13">
      <c r="A9622" s="115"/>
      <c r="B9622" s="115"/>
      <c r="C9622" s="115"/>
      <c r="D9622" s="115"/>
      <c r="E9622" s="115"/>
    </row>
    <row r="9623" spans="1:5" ht="13">
      <c r="A9623" s="115"/>
      <c r="B9623" s="115"/>
      <c r="C9623" s="115"/>
      <c r="D9623" s="115"/>
      <c r="E9623" s="115"/>
    </row>
    <row r="9624" spans="1:5" ht="13">
      <c r="A9624" s="115"/>
      <c r="B9624" s="115"/>
      <c r="C9624" s="115"/>
      <c r="D9624" s="115"/>
      <c r="E9624" s="115"/>
    </row>
    <row r="9625" spans="1:5" ht="13">
      <c r="A9625" s="115"/>
      <c r="B9625" s="115"/>
      <c r="C9625" s="115"/>
      <c r="D9625" s="115"/>
      <c r="E9625" s="115"/>
    </row>
    <row r="9626" spans="1:5" ht="13">
      <c r="A9626" s="115"/>
      <c r="B9626" s="115"/>
      <c r="C9626" s="115"/>
      <c r="D9626" s="115"/>
      <c r="E9626" s="115"/>
    </row>
    <row r="9627" spans="1:5" ht="13">
      <c r="A9627" s="115"/>
      <c r="B9627" s="115"/>
      <c r="C9627" s="115"/>
      <c r="D9627" s="115"/>
      <c r="E9627" s="115"/>
    </row>
    <row r="9628" spans="1:5" ht="13">
      <c r="A9628" s="115"/>
      <c r="B9628" s="115"/>
      <c r="C9628" s="115"/>
      <c r="D9628" s="115"/>
      <c r="E9628" s="115"/>
    </row>
    <row r="9629" spans="1:5" ht="13">
      <c r="A9629" s="115"/>
      <c r="B9629" s="115"/>
      <c r="C9629" s="115"/>
      <c r="D9629" s="115"/>
      <c r="E9629" s="115"/>
    </row>
    <row r="9630" spans="1:5" ht="13">
      <c r="A9630" s="115"/>
      <c r="B9630" s="115"/>
      <c r="C9630" s="115"/>
      <c r="D9630" s="115"/>
      <c r="E9630" s="115"/>
    </row>
    <row r="9631" spans="1:5" ht="13">
      <c r="A9631" s="115"/>
      <c r="B9631" s="115"/>
      <c r="C9631" s="115"/>
      <c r="D9631" s="115"/>
      <c r="E9631" s="115"/>
    </row>
    <row r="9632" spans="1:5" ht="13">
      <c r="A9632" s="115"/>
      <c r="B9632" s="115"/>
      <c r="C9632" s="115"/>
      <c r="D9632" s="115"/>
      <c r="E9632" s="115"/>
    </row>
    <row r="9633" spans="1:5" ht="13">
      <c r="A9633" s="115"/>
      <c r="B9633" s="115"/>
      <c r="C9633" s="115"/>
      <c r="D9633" s="115"/>
      <c r="E9633" s="115"/>
    </row>
    <row r="9634" spans="1:5" ht="13">
      <c r="A9634" s="115"/>
      <c r="B9634" s="115"/>
      <c r="C9634" s="115"/>
      <c r="D9634" s="115"/>
      <c r="E9634" s="115"/>
    </row>
    <row r="9635" spans="1:5" ht="13">
      <c r="A9635" s="115"/>
      <c r="B9635" s="115"/>
      <c r="C9635" s="115"/>
      <c r="D9635" s="115"/>
      <c r="E9635" s="115"/>
    </row>
    <row r="9636" spans="1:5" ht="13">
      <c r="A9636" s="115"/>
      <c r="B9636" s="115"/>
      <c r="C9636" s="115"/>
      <c r="D9636" s="115"/>
      <c r="E9636" s="115"/>
    </row>
    <row r="9637" spans="1:5" ht="13">
      <c r="A9637" s="115"/>
      <c r="B9637" s="115"/>
      <c r="C9637" s="115"/>
      <c r="D9637" s="115"/>
      <c r="E9637" s="115"/>
    </row>
    <row r="9638" spans="1:5" ht="13">
      <c r="A9638" s="115"/>
      <c r="B9638" s="115"/>
      <c r="C9638" s="115"/>
      <c r="D9638" s="115"/>
      <c r="E9638" s="115"/>
    </row>
    <row r="9639" spans="1:5" ht="13">
      <c r="A9639" s="115"/>
      <c r="B9639" s="115"/>
      <c r="C9639" s="115"/>
      <c r="D9639" s="115"/>
      <c r="E9639" s="115"/>
    </row>
    <row r="9640" spans="1:5" ht="13">
      <c r="A9640" s="115"/>
      <c r="B9640" s="115"/>
      <c r="C9640" s="115"/>
      <c r="D9640" s="115"/>
      <c r="E9640" s="115"/>
    </row>
    <row r="9641" spans="1:5" ht="13">
      <c r="A9641" s="115"/>
      <c r="B9641" s="115"/>
      <c r="C9641" s="115"/>
      <c r="D9641" s="115"/>
      <c r="E9641" s="115"/>
    </row>
    <row r="9642" spans="1:5" ht="13">
      <c r="A9642" s="115"/>
      <c r="B9642" s="115"/>
      <c r="C9642" s="115"/>
      <c r="D9642" s="115"/>
      <c r="E9642" s="115"/>
    </row>
    <row r="9643" spans="1:5" ht="13">
      <c r="A9643" s="115"/>
      <c r="B9643" s="115"/>
      <c r="C9643" s="115"/>
      <c r="D9643" s="115"/>
      <c r="E9643" s="115"/>
    </row>
    <row r="9644" spans="1:5" ht="13">
      <c r="A9644" s="115"/>
      <c r="B9644" s="115"/>
      <c r="C9644" s="115"/>
      <c r="D9644" s="115"/>
      <c r="E9644" s="115"/>
    </row>
    <row r="9645" spans="1:5" ht="13">
      <c r="A9645" s="115"/>
      <c r="B9645" s="115"/>
      <c r="C9645" s="115"/>
      <c r="D9645" s="115"/>
      <c r="E9645" s="115"/>
    </row>
    <row r="9646" spans="1:5" ht="13">
      <c r="A9646" s="115"/>
      <c r="B9646" s="115"/>
      <c r="C9646" s="115"/>
      <c r="D9646" s="115"/>
      <c r="E9646" s="115"/>
    </row>
    <row r="9647" spans="1:5" ht="13">
      <c r="A9647" s="115"/>
      <c r="B9647" s="115"/>
      <c r="C9647" s="115"/>
      <c r="D9647" s="115"/>
      <c r="E9647" s="115"/>
    </row>
    <row r="9648" spans="1:5" ht="13">
      <c r="A9648" s="115"/>
      <c r="B9648" s="115"/>
      <c r="C9648" s="115"/>
      <c r="D9648" s="115"/>
      <c r="E9648" s="115"/>
    </row>
    <row r="9649" spans="1:5" ht="13">
      <c r="A9649" s="115"/>
      <c r="B9649" s="115"/>
      <c r="C9649" s="115"/>
      <c r="D9649" s="115"/>
      <c r="E9649" s="115"/>
    </row>
    <row r="9650" spans="1:5" ht="13">
      <c r="A9650" s="115"/>
      <c r="B9650" s="115"/>
      <c r="C9650" s="115"/>
      <c r="D9650" s="115"/>
      <c r="E9650" s="115"/>
    </row>
    <row r="9651" spans="1:5" ht="13">
      <c r="A9651" s="115"/>
      <c r="B9651" s="115"/>
      <c r="C9651" s="115"/>
      <c r="D9651" s="115"/>
      <c r="E9651" s="115"/>
    </row>
    <row r="9652" spans="1:5" ht="13">
      <c r="A9652" s="115"/>
      <c r="B9652" s="115"/>
      <c r="C9652" s="115"/>
      <c r="D9652" s="115"/>
      <c r="E9652" s="115"/>
    </row>
    <row r="9653" spans="1:5" ht="13">
      <c r="A9653" s="115"/>
      <c r="B9653" s="115"/>
      <c r="C9653" s="115"/>
      <c r="D9653" s="115"/>
      <c r="E9653" s="115"/>
    </row>
    <row r="9654" spans="1:5" ht="13">
      <c r="A9654" s="115"/>
      <c r="B9654" s="115"/>
      <c r="C9654" s="115"/>
      <c r="D9654" s="115"/>
      <c r="E9654" s="115"/>
    </row>
    <row r="9655" spans="1:5" ht="13">
      <c r="A9655" s="115"/>
      <c r="B9655" s="115"/>
      <c r="C9655" s="115"/>
      <c r="D9655" s="115"/>
      <c r="E9655" s="115"/>
    </row>
    <row r="9656" spans="1:5" ht="13">
      <c r="A9656" s="115"/>
      <c r="B9656" s="115"/>
      <c r="C9656" s="115"/>
      <c r="D9656" s="115"/>
      <c r="E9656" s="115"/>
    </row>
    <row r="9657" spans="1:5" ht="13">
      <c r="A9657" s="115"/>
      <c r="B9657" s="115"/>
      <c r="C9657" s="115"/>
      <c r="D9657" s="115"/>
      <c r="E9657" s="115"/>
    </row>
    <row r="9658" spans="1:5" ht="13">
      <c r="A9658" s="115"/>
      <c r="B9658" s="115"/>
      <c r="C9658" s="115"/>
      <c r="D9658" s="115"/>
      <c r="E9658" s="115"/>
    </row>
    <row r="9659" spans="1:5" ht="13">
      <c r="A9659" s="115"/>
      <c r="B9659" s="115"/>
      <c r="C9659" s="115"/>
      <c r="D9659" s="115"/>
      <c r="E9659" s="115"/>
    </row>
    <row r="9660" spans="1:5" ht="13">
      <c r="A9660" s="115"/>
      <c r="B9660" s="115"/>
      <c r="C9660" s="115"/>
      <c r="D9660" s="115"/>
      <c r="E9660" s="115"/>
    </row>
    <row r="9661" spans="1:5" ht="13">
      <c r="A9661" s="115"/>
      <c r="B9661" s="115"/>
      <c r="C9661" s="115"/>
      <c r="D9661" s="115"/>
      <c r="E9661" s="115"/>
    </row>
    <row r="9662" spans="1:5" ht="13">
      <c r="A9662" s="115"/>
      <c r="B9662" s="115"/>
      <c r="C9662" s="115"/>
      <c r="D9662" s="115"/>
      <c r="E9662" s="115"/>
    </row>
    <row r="9663" spans="1:5" ht="13">
      <c r="A9663" s="115"/>
      <c r="B9663" s="115"/>
      <c r="C9663" s="115"/>
      <c r="D9663" s="115"/>
      <c r="E9663" s="115"/>
    </row>
    <row r="9664" spans="1:5" ht="13">
      <c r="A9664" s="115"/>
      <c r="B9664" s="115"/>
      <c r="C9664" s="115"/>
      <c r="D9664" s="115"/>
      <c r="E9664" s="115"/>
    </row>
    <row r="9665" spans="1:5" ht="13">
      <c r="A9665" s="115"/>
      <c r="B9665" s="115"/>
      <c r="C9665" s="115"/>
      <c r="D9665" s="115"/>
      <c r="E9665" s="115"/>
    </row>
    <row r="9666" spans="1:5" ht="13">
      <c r="A9666" s="115"/>
      <c r="B9666" s="115"/>
      <c r="C9666" s="115"/>
      <c r="D9666" s="115"/>
      <c r="E9666" s="115"/>
    </row>
    <row r="9667" spans="1:5" ht="13">
      <c r="A9667" s="115"/>
      <c r="B9667" s="115"/>
      <c r="C9667" s="115"/>
      <c r="D9667" s="115"/>
      <c r="E9667" s="115"/>
    </row>
    <row r="9668" spans="1:5" ht="13">
      <c r="A9668" s="115"/>
      <c r="B9668" s="115"/>
      <c r="C9668" s="115"/>
      <c r="D9668" s="115"/>
      <c r="E9668" s="115"/>
    </row>
    <row r="9669" spans="1:5" ht="13">
      <c r="A9669" s="115"/>
      <c r="B9669" s="115"/>
      <c r="C9669" s="115"/>
      <c r="D9669" s="115"/>
      <c r="E9669" s="115"/>
    </row>
    <row r="9670" spans="1:5" ht="13">
      <c r="A9670" s="115"/>
      <c r="B9670" s="115"/>
      <c r="C9670" s="115"/>
      <c r="D9670" s="115"/>
      <c r="E9670" s="115"/>
    </row>
    <row r="9671" spans="1:5" ht="13">
      <c r="A9671" s="115"/>
      <c r="B9671" s="115"/>
      <c r="C9671" s="115"/>
      <c r="D9671" s="115"/>
      <c r="E9671" s="115"/>
    </row>
    <row r="9672" spans="1:5" ht="13">
      <c r="A9672" s="115"/>
      <c r="B9672" s="115"/>
      <c r="C9672" s="115"/>
      <c r="D9672" s="115"/>
      <c r="E9672" s="115"/>
    </row>
    <row r="9673" spans="1:5" ht="13">
      <c r="A9673" s="115"/>
      <c r="B9673" s="115"/>
      <c r="C9673" s="115"/>
      <c r="D9673" s="115"/>
      <c r="E9673" s="115"/>
    </row>
    <row r="9674" spans="1:5" ht="13">
      <c r="A9674" s="115"/>
      <c r="B9674" s="115"/>
      <c r="C9674" s="115"/>
      <c r="D9674" s="115"/>
      <c r="E9674" s="115"/>
    </row>
    <row r="9675" spans="1:5" ht="13">
      <c r="A9675" s="115"/>
      <c r="B9675" s="115"/>
      <c r="C9675" s="115"/>
      <c r="D9675" s="115"/>
      <c r="E9675" s="115"/>
    </row>
    <row r="9676" spans="1:5" ht="13">
      <c r="A9676" s="115"/>
      <c r="B9676" s="115"/>
      <c r="C9676" s="115"/>
      <c r="D9676" s="115"/>
      <c r="E9676" s="115"/>
    </row>
    <row r="9677" spans="1:5" ht="13">
      <c r="A9677" s="115"/>
      <c r="B9677" s="115"/>
      <c r="C9677" s="115"/>
      <c r="D9677" s="115"/>
      <c r="E9677" s="115"/>
    </row>
    <row r="9678" spans="1:5" ht="13">
      <c r="A9678" s="115"/>
      <c r="B9678" s="115"/>
      <c r="C9678" s="115"/>
      <c r="D9678" s="115"/>
      <c r="E9678" s="115"/>
    </row>
    <row r="9679" spans="1:5" ht="13">
      <c r="A9679" s="115"/>
      <c r="B9679" s="115"/>
      <c r="C9679" s="115"/>
      <c r="D9679" s="115"/>
      <c r="E9679" s="115"/>
    </row>
    <row r="9680" spans="1:5" ht="13">
      <c r="A9680" s="115"/>
      <c r="B9680" s="115"/>
      <c r="C9680" s="115"/>
      <c r="D9680" s="115"/>
      <c r="E9680" s="115"/>
    </row>
    <row r="9681" spans="1:5" ht="13">
      <c r="A9681" s="115"/>
      <c r="B9681" s="115"/>
      <c r="C9681" s="115"/>
      <c r="D9681" s="115"/>
      <c r="E9681" s="115"/>
    </row>
    <row r="9682" spans="1:5" ht="13">
      <c r="A9682" s="115"/>
      <c r="B9682" s="115"/>
      <c r="C9682" s="115"/>
      <c r="D9682" s="115"/>
      <c r="E9682" s="115"/>
    </row>
    <row r="9683" spans="1:5" ht="13">
      <c r="A9683" s="115"/>
      <c r="B9683" s="115"/>
      <c r="C9683" s="115"/>
      <c r="D9683" s="115"/>
      <c r="E9683" s="115"/>
    </row>
    <row r="9684" spans="1:5" ht="13">
      <c r="A9684" s="115"/>
      <c r="B9684" s="115"/>
      <c r="C9684" s="115"/>
      <c r="D9684" s="115"/>
      <c r="E9684" s="115"/>
    </row>
    <row r="9685" spans="1:5" ht="13">
      <c r="A9685" s="115"/>
      <c r="B9685" s="115"/>
      <c r="C9685" s="115"/>
      <c r="D9685" s="115"/>
      <c r="E9685" s="115"/>
    </row>
    <row r="9686" spans="1:5" ht="13">
      <c r="A9686" s="115"/>
      <c r="B9686" s="115"/>
      <c r="C9686" s="115"/>
      <c r="D9686" s="115"/>
      <c r="E9686" s="115"/>
    </row>
    <row r="9687" spans="1:5" ht="13">
      <c r="A9687" s="115"/>
      <c r="B9687" s="115"/>
      <c r="C9687" s="115"/>
      <c r="D9687" s="115"/>
      <c r="E9687" s="115"/>
    </row>
    <row r="9688" spans="1:5" ht="13">
      <c r="A9688" s="115"/>
      <c r="B9688" s="115"/>
      <c r="C9688" s="115"/>
      <c r="D9688" s="115"/>
      <c r="E9688" s="115"/>
    </row>
    <row r="9689" spans="1:5" ht="13">
      <c r="A9689" s="115"/>
      <c r="B9689" s="115"/>
      <c r="C9689" s="115"/>
      <c r="D9689" s="115"/>
      <c r="E9689" s="115"/>
    </row>
    <row r="9690" spans="1:5" ht="13">
      <c r="A9690" s="115"/>
      <c r="B9690" s="115"/>
      <c r="C9690" s="115"/>
      <c r="D9690" s="115"/>
      <c r="E9690" s="115"/>
    </row>
    <row r="9691" spans="1:5" ht="13">
      <c r="A9691" s="115"/>
      <c r="B9691" s="115"/>
      <c r="C9691" s="115"/>
      <c r="D9691" s="115"/>
      <c r="E9691" s="115"/>
    </row>
    <row r="9692" spans="1:5" ht="13">
      <c r="A9692" s="115"/>
      <c r="B9692" s="115"/>
      <c r="C9692" s="115"/>
      <c r="D9692" s="115"/>
      <c r="E9692" s="115"/>
    </row>
    <row r="9693" spans="1:5" ht="13">
      <c r="A9693" s="115"/>
      <c r="B9693" s="115"/>
      <c r="C9693" s="115"/>
      <c r="D9693" s="115"/>
      <c r="E9693" s="115"/>
    </row>
    <row r="9694" spans="1:5" ht="13">
      <c r="A9694" s="115"/>
      <c r="B9694" s="115"/>
      <c r="C9694" s="115"/>
      <c r="D9694" s="115"/>
      <c r="E9694" s="115"/>
    </row>
    <row r="9695" spans="1:5" ht="13">
      <c r="A9695" s="115"/>
      <c r="B9695" s="115"/>
      <c r="C9695" s="115"/>
      <c r="D9695" s="115"/>
      <c r="E9695" s="115"/>
    </row>
    <row r="9696" spans="1:5" ht="13">
      <c r="A9696" s="115"/>
      <c r="B9696" s="115"/>
      <c r="C9696" s="115"/>
      <c r="D9696" s="115"/>
      <c r="E9696" s="115"/>
    </row>
    <row r="9697" spans="1:5" ht="13">
      <c r="A9697" s="115"/>
      <c r="B9697" s="115"/>
      <c r="C9697" s="115"/>
      <c r="D9697" s="115"/>
      <c r="E9697" s="115"/>
    </row>
    <row r="9698" spans="1:5" ht="13">
      <c r="A9698" s="115"/>
      <c r="B9698" s="115"/>
      <c r="C9698" s="115"/>
      <c r="D9698" s="115"/>
      <c r="E9698" s="115"/>
    </row>
    <row r="9699" spans="1:5" ht="13">
      <c r="A9699" s="115"/>
      <c r="B9699" s="115"/>
      <c r="C9699" s="115"/>
      <c r="D9699" s="115"/>
      <c r="E9699" s="115"/>
    </row>
    <row r="9700" spans="1:5" ht="13">
      <c r="A9700" s="115"/>
      <c r="B9700" s="115"/>
      <c r="C9700" s="115"/>
      <c r="D9700" s="115"/>
      <c r="E9700" s="115"/>
    </row>
    <row r="9701" spans="1:5" ht="13">
      <c r="A9701" s="115"/>
      <c r="B9701" s="115"/>
      <c r="C9701" s="115"/>
      <c r="D9701" s="115"/>
      <c r="E9701" s="115"/>
    </row>
    <row r="9702" spans="1:5" ht="13">
      <c r="A9702" s="115"/>
      <c r="B9702" s="115"/>
      <c r="C9702" s="115"/>
      <c r="D9702" s="115"/>
      <c r="E9702" s="115"/>
    </row>
    <row r="9703" spans="1:5" ht="13">
      <c r="A9703" s="115"/>
      <c r="B9703" s="115"/>
      <c r="C9703" s="115"/>
      <c r="D9703" s="115"/>
      <c r="E9703" s="115"/>
    </row>
    <row r="9704" spans="1:5" ht="13">
      <c r="A9704" s="115"/>
      <c r="B9704" s="115"/>
      <c r="C9704" s="115"/>
      <c r="D9704" s="115"/>
      <c r="E9704" s="115"/>
    </row>
    <row r="9705" spans="1:5" ht="13">
      <c r="A9705" s="115"/>
      <c r="B9705" s="115"/>
      <c r="C9705" s="115"/>
      <c r="D9705" s="115"/>
      <c r="E9705" s="115"/>
    </row>
    <row r="9706" spans="1:5" ht="13">
      <c r="A9706" s="115"/>
      <c r="B9706" s="115"/>
      <c r="C9706" s="115"/>
      <c r="D9706" s="115"/>
      <c r="E9706" s="115"/>
    </row>
    <row r="9707" spans="1:5" ht="13">
      <c r="A9707" s="115"/>
      <c r="B9707" s="115"/>
      <c r="C9707" s="115"/>
      <c r="D9707" s="115"/>
      <c r="E9707" s="115"/>
    </row>
    <row r="9708" spans="1:5" ht="13">
      <c r="A9708" s="115"/>
      <c r="B9708" s="115"/>
      <c r="C9708" s="115"/>
      <c r="D9708" s="115"/>
      <c r="E9708" s="115"/>
    </row>
    <row r="9709" spans="1:5" ht="13">
      <c r="A9709" s="115"/>
      <c r="B9709" s="115"/>
      <c r="C9709" s="115"/>
      <c r="D9709" s="115"/>
      <c r="E9709" s="115"/>
    </row>
    <row r="9710" spans="1:5" ht="13">
      <c r="A9710" s="115"/>
      <c r="B9710" s="115"/>
      <c r="C9710" s="115"/>
      <c r="D9710" s="115"/>
      <c r="E9710" s="115"/>
    </row>
    <row r="9711" spans="1:5" ht="13">
      <c r="A9711" s="115"/>
      <c r="B9711" s="115"/>
      <c r="C9711" s="115"/>
      <c r="D9711" s="115"/>
      <c r="E9711" s="115"/>
    </row>
    <row r="9712" spans="1:5" ht="13">
      <c r="A9712" s="115"/>
      <c r="B9712" s="115"/>
      <c r="C9712" s="115"/>
      <c r="D9712" s="115"/>
      <c r="E9712" s="115"/>
    </row>
    <row r="9713" spans="1:5" ht="13">
      <c r="A9713" s="115"/>
      <c r="B9713" s="115"/>
      <c r="C9713" s="115"/>
      <c r="D9713" s="115"/>
      <c r="E9713" s="115"/>
    </row>
    <row r="9714" spans="1:5" ht="13">
      <c r="A9714" s="115"/>
      <c r="B9714" s="115"/>
      <c r="C9714" s="115"/>
      <c r="D9714" s="115"/>
      <c r="E9714" s="115"/>
    </row>
    <row r="9715" spans="1:5" ht="13">
      <c r="A9715" s="115"/>
      <c r="B9715" s="115"/>
      <c r="C9715" s="115"/>
      <c r="D9715" s="115"/>
      <c r="E9715" s="115"/>
    </row>
    <row r="9716" spans="1:5" ht="13">
      <c r="A9716" s="115"/>
      <c r="B9716" s="115"/>
      <c r="C9716" s="115"/>
      <c r="D9716" s="115"/>
      <c r="E9716" s="115"/>
    </row>
    <row r="9717" spans="1:5" ht="13">
      <c r="A9717" s="115"/>
      <c r="B9717" s="115"/>
      <c r="C9717" s="115"/>
      <c r="D9717" s="115"/>
      <c r="E9717" s="115"/>
    </row>
    <row r="9718" spans="1:5" ht="13">
      <c r="A9718" s="115"/>
      <c r="B9718" s="115"/>
      <c r="C9718" s="115"/>
      <c r="D9718" s="115"/>
      <c r="E9718" s="115"/>
    </row>
    <row r="9719" spans="1:5" ht="13">
      <c r="A9719" s="115"/>
      <c r="B9719" s="115"/>
      <c r="C9719" s="115"/>
      <c r="D9719" s="115"/>
      <c r="E9719" s="115"/>
    </row>
    <row r="9720" spans="1:5" ht="13">
      <c r="A9720" s="115"/>
      <c r="B9720" s="115"/>
      <c r="C9720" s="115"/>
      <c r="D9720" s="115"/>
      <c r="E9720" s="115"/>
    </row>
    <row r="9721" spans="1:5" ht="13">
      <c r="A9721" s="115"/>
      <c r="B9721" s="115"/>
      <c r="C9721" s="115"/>
      <c r="D9721" s="115"/>
      <c r="E9721" s="115"/>
    </row>
    <row r="9722" spans="1:5" ht="13">
      <c r="A9722" s="115"/>
      <c r="B9722" s="115"/>
      <c r="C9722" s="115"/>
      <c r="D9722" s="115"/>
      <c r="E9722" s="115"/>
    </row>
    <row r="9723" spans="1:5" ht="13">
      <c r="A9723" s="115"/>
      <c r="B9723" s="115"/>
      <c r="C9723" s="115"/>
      <c r="D9723" s="115"/>
      <c r="E9723" s="115"/>
    </row>
    <row r="9724" spans="1:5" ht="13">
      <c r="A9724" s="115"/>
      <c r="B9724" s="115"/>
      <c r="C9724" s="115"/>
      <c r="D9724" s="115"/>
      <c r="E9724" s="115"/>
    </row>
    <row r="9725" spans="1:5" ht="13">
      <c r="A9725" s="115"/>
      <c r="B9725" s="115"/>
      <c r="C9725" s="115"/>
      <c r="D9725" s="115"/>
      <c r="E9725" s="115"/>
    </row>
    <row r="9726" spans="1:5" ht="13">
      <c r="A9726" s="115"/>
      <c r="B9726" s="115"/>
      <c r="C9726" s="115"/>
      <c r="D9726" s="115"/>
      <c r="E9726" s="115"/>
    </row>
    <row r="9727" spans="1:5" ht="13">
      <c r="A9727" s="115"/>
      <c r="B9727" s="115"/>
      <c r="C9727" s="115"/>
      <c r="D9727" s="115"/>
      <c r="E9727" s="115"/>
    </row>
    <row r="9728" spans="1:5" ht="13">
      <c r="A9728" s="115"/>
      <c r="B9728" s="115"/>
      <c r="C9728" s="115"/>
      <c r="D9728" s="115"/>
      <c r="E9728" s="115"/>
    </row>
    <row r="9729" spans="1:5" ht="13">
      <c r="A9729" s="115"/>
      <c r="B9729" s="115"/>
      <c r="C9729" s="115"/>
      <c r="D9729" s="115"/>
      <c r="E9729" s="115"/>
    </row>
    <row r="9730" spans="1:5" ht="13">
      <c r="A9730" s="115"/>
      <c r="B9730" s="115"/>
      <c r="C9730" s="115"/>
      <c r="D9730" s="115"/>
      <c r="E9730" s="115"/>
    </row>
    <row r="9731" spans="1:5" ht="13">
      <c r="A9731" s="115"/>
      <c r="B9731" s="115"/>
      <c r="C9731" s="115"/>
      <c r="D9731" s="115"/>
      <c r="E9731" s="115"/>
    </row>
    <row r="9732" spans="1:5" ht="13">
      <c r="A9732" s="115"/>
      <c r="B9732" s="115"/>
      <c r="C9732" s="115"/>
      <c r="D9732" s="115"/>
      <c r="E9732" s="115"/>
    </row>
    <row r="9733" spans="1:5" ht="13">
      <c r="A9733" s="115"/>
      <c r="B9733" s="115"/>
      <c r="C9733" s="115"/>
      <c r="D9733" s="115"/>
      <c r="E9733" s="115"/>
    </row>
    <row r="9734" spans="1:5" ht="13">
      <c r="A9734" s="115"/>
      <c r="B9734" s="115"/>
      <c r="C9734" s="115"/>
      <c r="D9734" s="115"/>
      <c r="E9734" s="115"/>
    </row>
    <row r="9735" spans="1:5" ht="13">
      <c r="A9735" s="115"/>
      <c r="B9735" s="115"/>
      <c r="C9735" s="115"/>
      <c r="D9735" s="115"/>
      <c r="E9735" s="115"/>
    </row>
    <row r="9736" spans="1:5" ht="13">
      <c r="A9736" s="115"/>
      <c r="B9736" s="115"/>
      <c r="C9736" s="115"/>
      <c r="D9736" s="115"/>
      <c r="E9736" s="115"/>
    </row>
    <row r="9737" spans="1:5" ht="13">
      <c r="A9737" s="115"/>
      <c r="B9737" s="115"/>
      <c r="C9737" s="115"/>
      <c r="D9737" s="115"/>
      <c r="E9737" s="115"/>
    </row>
    <row r="9738" spans="1:5" ht="13">
      <c r="A9738" s="115"/>
      <c r="B9738" s="115"/>
      <c r="C9738" s="115"/>
      <c r="D9738" s="115"/>
      <c r="E9738" s="115"/>
    </row>
    <row r="9739" spans="1:5" ht="13">
      <c r="A9739" s="115"/>
      <c r="B9739" s="115"/>
      <c r="C9739" s="115"/>
      <c r="D9739" s="115"/>
      <c r="E9739" s="115"/>
    </row>
    <row r="9740" spans="1:5" ht="13">
      <c r="A9740" s="115"/>
      <c r="B9740" s="115"/>
      <c r="C9740" s="115"/>
      <c r="D9740" s="115"/>
      <c r="E9740" s="115"/>
    </row>
    <row r="9741" spans="1:5" ht="13">
      <c r="A9741" s="115"/>
      <c r="B9741" s="115"/>
      <c r="C9741" s="115"/>
      <c r="D9741" s="115"/>
      <c r="E9741" s="115"/>
    </row>
    <row r="9742" spans="1:5" ht="13">
      <c r="A9742" s="115"/>
      <c r="B9742" s="115"/>
      <c r="C9742" s="115"/>
      <c r="D9742" s="115"/>
      <c r="E9742" s="115"/>
    </row>
    <row r="9743" spans="1:5" ht="13">
      <c r="A9743" s="115"/>
      <c r="B9743" s="115"/>
      <c r="C9743" s="115"/>
      <c r="D9743" s="115"/>
      <c r="E9743" s="115"/>
    </row>
    <row r="9744" spans="1:5" ht="13">
      <c r="A9744" s="115"/>
      <c r="B9744" s="115"/>
      <c r="C9744" s="115"/>
      <c r="D9744" s="115"/>
      <c r="E9744" s="115"/>
    </row>
    <row r="9745" spans="1:5" ht="13">
      <c r="A9745" s="115"/>
      <c r="B9745" s="115"/>
      <c r="C9745" s="115"/>
      <c r="D9745" s="115"/>
      <c r="E9745" s="115"/>
    </row>
    <row r="9746" spans="1:5" ht="13">
      <c r="A9746" s="115"/>
      <c r="B9746" s="115"/>
      <c r="C9746" s="115"/>
      <c r="D9746" s="115"/>
      <c r="E9746" s="115"/>
    </row>
    <row r="9747" spans="1:5" ht="13">
      <c r="A9747" s="115"/>
      <c r="B9747" s="115"/>
      <c r="C9747" s="115"/>
      <c r="D9747" s="115"/>
      <c r="E9747" s="115"/>
    </row>
    <row r="9748" spans="1:5" ht="13">
      <c r="A9748" s="115"/>
      <c r="B9748" s="115"/>
      <c r="C9748" s="115"/>
      <c r="D9748" s="115"/>
      <c r="E9748" s="115"/>
    </row>
    <row r="9749" spans="1:5" ht="13">
      <c r="A9749" s="115"/>
      <c r="B9749" s="115"/>
      <c r="C9749" s="115"/>
      <c r="D9749" s="115"/>
      <c r="E9749" s="115"/>
    </row>
    <row r="9750" spans="1:5" ht="13">
      <c r="A9750" s="115"/>
      <c r="B9750" s="115"/>
      <c r="C9750" s="115"/>
      <c r="D9750" s="115"/>
      <c r="E9750" s="115"/>
    </row>
    <row r="9751" spans="1:5" ht="13">
      <c r="A9751" s="115"/>
      <c r="B9751" s="115"/>
      <c r="C9751" s="115"/>
      <c r="D9751" s="115"/>
      <c r="E9751" s="115"/>
    </row>
    <row r="9752" spans="1:5" ht="13">
      <c r="A9752" s="115"/>
      <c r="B9752" s="115"/>
      <c r="C9752" s="115"/>
      <c r="D9752" s="115"/>
      <c r="E9752" s="115"/>
    </row>
    <row r="9753" spans="1:5" ht="13">
      <c r="A9753" s="115"/>
      <c r="B9753" s="115"/>
      <c r="C9753" s="115"/>
      <c r="D9753" s="115"/>
      <c r="E9753" s="115"/>
    </row>
    <row r="9754" spans="1:5" ht="13">
      <c r="A9754" s="115"/>
      <c r="B9754" s="115"/>
      <c r="C9754" s="115"/>
      <c r="D9754" s="115"/>
      <c r="E9754" s="115"/>
    </row>
    <row r="9755" spans="1:5" ht="13">
      <c r="A9755" s="115"/>
      <c r="B9755" s="115"/>
      <c r="C9755" s="115"/>
      <c r="D9755" s="115"/>
      <c r="E9755" s="115"/>
    </row>
    <row r="9756" spans="1:5" ht="13">
      <c r="A9756" s="115"/>
      <c r="B9756" s="115"/>
      <c r="C9756" s="115"/>
      <c r="D9756" s="115"/>
      <c r="E9756" s="115"/>
    </row>
    <row r="9757" spans="1:5" ht="13">
      <c r="A9757" s="115"/>
      <c r="B9757" s="115"/>
      <c r="C9757" s="115"/>
      <c r="D9757" s="115"/>
      <c r="E9757" s="115"/>
    </row>
    <row r="9758" spans="1:5" ht="13">
      <c r="A9758" s="115"/>
      <c r="B9758" s="115"/>
      <c r="C9758" s="115"/>
      <c r="D9758" s="115"/>
      <c r="E9758" s="115"/>
    </row>
    <row r="9759" spans="1:5" ht="13">
      <c r="A9759" s="115"/>
      <c r="B9759" s="115"/>
      <c r="C9759" s="115"/>
      <c r="D9759" s="115"/>
      <c r="E9759" s="115"/>
    </row>
    <row r="9760" spans="1:5" ht="13">
      <c r="A9760" s="115"/>
      <c r="B9760" s="115"/>
      <c r="C9760" s="115"/>
      <c r="D9760" s="115"/>
      <c r="E9760" s="115"/>
    </row>
    <row r="9761" spans="1:5" ht="13">
      <c r="A9761" s="115"/>
      <c r="B9761" s="115"/>
      <c r="C9761" s="115"/>
      <c r="D9761" s="115"/>
      <c r="E9761" s="115"/>
    </row>
    <row r="9762" spans="1:5" ht="13">
      <c r="A9762" s="115"/>
      <c r="B9762" s="115"/>
      <c r="C9762" s="115"/>
      <c r="D9762" s="115"/>
      <c r="E9762" s="115"/>
    </row>
    <row r="9763" spans="1:5" ht="13">
      <c r="A9763" s="115"/>
      <c r="B9763" s="115"/>
      <c r="C9763" s="115"/>
      <c r="D9763" s="115"/>
      <c r="E9763" s="115"/>
    </row>
    <row r="9764" spans="1:5" ht="13">
      <c r="A9764" s="115"/>
      <c r="B9764" s="115"/>
      <c r="C9764" s="115"/>
      <c r="D9764" s="115"/>
      <c r="E9764" s="115"/>
    </row>
    <row r="9765" spans="1:5" ht="13">
      <c r="A9765" s="115"/>
      <c r="B9765" s="115"/>
      <c r="C9765" s="115"/>
      <c r="D9765" s="115"/>
      <c r="E9765" s="115"/>
    </row>
    <row r="9766" spans="1:5" ht="13">
      <c r="A9766" s="115"/>
      <c r="B9766" s="115"/>
      <c r="C9766" s="115"/>
      <c r="D9766" s="115"/>
      <c r="E9766" s="115"/>
    </row>
    <row r="9767" spans="1:5" ht="13">
      <c r="A9767" s="115"/>
      <c r="B9767" s="115"/>
      <c r="C9767" s="115"/>
      <c r="D9767" s="115"/>
      <c r="E9767" s="115"/>
    </row>
    <row r="9768" spans="1:5" ht="13">
      <c r="A9768" s="115"/>
      <c r="B9768" s="115"/>
      <c r="C9768" s="115"/>
      <c r="D9768" s="115"/>
      <c r="E9768" s="115"/>
    </row>
    <row r="9769" spans="1:5" ht="13">
      <c r="A9769" s="115"/>
      <c r="B9769" s="115"/>
      <c r="C9769" s="115"/>
      <c r="D9769" s="115"/>
      <c r="E9769" s="115"/>
    </row>
    <row r="9770" spans="1:5" ht="13">
      <c r="A9770" s="115"/>
      <c r="B9770" s="115"/>
      <c r="C9770" s="115"/>
      <c r="D9770" s="115"/>
      <c r="E9770" s="115"/>
    </row>
    <row r="9771" spans="1:5" ht="13">
      <c r="A9771" s="115"/>
      <c r="B9771" s="115"/>
      <c r="C9771" s="115"/>
      <c r="D9771" s="115"/>
      <c r="E9771" s="115"/>
    </row>
    <row r="9772" spans="1:5" ht="13">
      <c r="A9772" s="115"/>
      <c r="B9772" s="115"/>
      <c r="C9772" s="115"/>
      <c r="D9772" s="115"/>
      <c r="E9772" s="115"/>
    </row>
    <row r="9773" spans="1:5" ht="13">
      <c r="A9773" s="115"/>
      <c r="B9773" s="115"/>
      <c r="C9773" s="115"/>
      <c r="D9773" s="115"/>
      <c r="E9773" s="115"/>
    </row>
    <row r="9774" spans="1:5" ht="13">
      <c r="A9774" s="115"/>
      <c r="B9774" s="115"/>
      <c r="C9774" s="115"/>
      <c r="D9774" s="115"/>
      <c r="E9774" s="115"/>
    </row>
    <row r="9775" spans="1:5" ht="13">
      <c r="A9775" s="115"/>
      <c r="B9775" s="115"/>
      <c r="C9775" s="115"/>
      <c r="D9775" s="115"/>
      <c r="E9775" s="115"/>
    </row>
    <row r="9776" spans="1:5" ht="13">
      <c r="A9776" s="115"/>
      <c r="B9776" s="115"/>
      <c r="C9776" s="115"/>
      <c r="D9776" s="115"/>
      <c r="E9776" s="115"/>
    </row>
    <row r="9777" spans="1:5" ht="13">
      <c r="A9777" s="115"/>
      <c r="B9777" s="115"/>
      <c r="C9777" s="115"/>
      <c r="D9777" s="115"/>
      <c r="E9777" s="115"/>
    </row>
    <row r="9778" spans="1:5" ht="13">
      <c r="A9778" s="115"/>
      <c r="B9778" s="115"/>
      <c r="C9778" s="115"/>
      <c r="D9778" s="115"/>
      <c r="E9778" s="115"/>
    </row>
    <row r="9779" spans="1:5" ht="13">
      <c r="A9779" s="115"/>
      <c r="B9779" s="115"/>
      <c r="C9779" s="115"/>
      <c r="D9779" s="115"/>
      <c r="E9779" s="115"/>
    </row>
    <row r="9780" spans="1:5" ht="13">
      <c r="A9780" s="115"/>
      <c r="B9780" s="115"/>
      <c r="C9780" s="115"/>
      <c r="D9780" s="115"/>
      <c r="E9780" s="115"/>
    </row>
    <row r="9781" spans="1:5" ht="13">
      <c r="A9781" s="115"/>
      <c r="B9781" s="115"/>
      <c r="C9781" s="115"/>
      <c r="D9781" s="115"/>
      <c r="E9781" s="115"/>
    </row>
    <row r="9782" spans="1:5" ht="13">
      <c r="A9782" s="115"/>
      <c r="B9782" s="115"/>
      <c r="C9782" s="115"/>
      <c r="D9782" s="115"/>
      <c r="E9782" s="115"/>
    </row>
    <row r="9783" spans="1:5" ht="13">
      <c r="A9783" s="115"/>
      <c r="B9783" s="115"/>
      <c r="C9783" s="115"/>
      <c r="D9783" s="115"/>
      <c r="E9783" s="115"/>
    </row>
    <row r="9784" spans="1:5" ht="13">
      <c r="A9784" s="115"/>
      <c r="B9784" s="115"/>
      <c r="C9784" s="115"/>
      <c r="D9784" s="115"/>
      <c r="E9784" s="115"/>
    </row>
    <row r="9785" spans="1:5" ht="13">
      <c r="A9785" s="115"/>
      <c r="B9785" s="115"/>
      <c r="C9785" s="115"/>
      <c r="D9785" s="115"/>
      <c r="E9785" s="115"/>
    </row>
    <row r="9786" spans="1:5" ht="13">
      <c r="A9786" s="115"/>
      <c r="B9786" s="115"/>
      <c r="C9786" s="115"/>
      <c r="D9786" s="115"/>
      <c r="E9786" s="115"/>
    </row>
    <row r="9787" spans="1:5" ht="13">
      <c r="A9787" s="115"/>
      <c r="B9787" s="115"/>
      <c r="C9787" s="115"/>
      <c r="D9787" s="115"/>
      <c r="E9787" s="115"/>
    </row>
    <row r="9788" spans="1:5" ht="13">
      <c r="A9788" s="115"/>
      <c r="B9788" s="115"/>
      <c r="C9788" s="115"/>
      <c r="D9788" s="115"/>
      <c r="E9788" s="115"/>
    </row>
    <row r="9789" spans="1:5" ht="13">
      <c r="A9789" s="115"/>
      <c r="B9789" s="115"/>
      <c r="C9789" s="115"/>
      <c r="D9789" s="115"/>
      <c r="E9789" s="115"/>
    </row>
    <row r="9790" spans="1:5" ht="13">
      <c r="A9790" s="115"/>
      <c r="B9790" s="115"/>
      <c r="C9790" s="115"/>
      <c r="D9790" s="115"/>
      <c r="E9790" s="115"/>
    </row>
    <row r="9791" spans="1:5" ht="13">
      <c r="A9791" s="115"/>
      <c r="B9791" s="115"/>
      <c r="C9791" s="115"/>
      <c r="D9791" s="115"/>
      <c r="E9791" s="115"/>
    </row>
    <row r="9792" spans="1:5" ht="13">
      <c r="A9792" s="115"/>
      <c r="B9792" s="115"/>
      <c r="C9792" s="115"/>
      <c r="D9792" s="115"/>
      <c r="E9792" s="115"/>
    </row>
    <row r="9793" spans="1:5" ht="13">
      <c r="A9793" s="115"/>
      <c r="B9793" s="115"/>
      <c r="C9793" s="115"/>
      <c r="D9793" s="115"/>
      <c r="E9793" s="115"/>
    </row>
    <row r="9794" spans="1:5" ht="13">
      <c r="A9794" s="115"/>
      <c r="B9794" s="115"/>
      <c r="C9794" s="115"/>
      <c r="D9794" s="115"/>
      <c r="E9794" s="115"/>
    </row>
    <row r="9795" spans="1:5" ht="13">
      <c r="A9795" s="115"/>
      <c r="B9795" s="115"/>
      <c r="C9795" s="115"/>
      <c r="D9795" s="115"/>
      <c r="E9795" s="115"/>
    </row>
    <row r="9796" spans="1:5" ht="13">
      <c r="A9796" s="115"/>
      <c r="B9796" s="115"/>
      <c r="C9796" s="115"/>
      <c r="D9796" s="115"/>
      <c r="E9796" s="115"/>
    </row>
    <row r="9797" spans="1:5" ht="13">
      <c r="A9797" s="115"/>
      <c r="B9797" s="115"/>
      <c r="C9797" s="115"/>
      <c r="D9797" s="115"/>
      <c r="E9797" s="115"/>
    </row>
    <row r="9798" spans="1:5" ht="13">
      <c r="A9798" s="115"/>
      <c r="B9798" s="115"/>
      <c r="C9798" s="115"/>
      <c r="D9798" s="115"/>
      <c r="E9798" s="115"/>
    </row>
    <row r="9799" spans="1:5" ht="13">
      <c r="A9799" s="115"/>
      <c r="B9799" s="115"/>
      <c r="C9799" s="115"/>
      <c r="D9799" s="115"/>
      <c r="E9799" s="115"/>
    </row>
    <row r="9800" spans="1:5" ht="13">
      <c r="A9800" s="115"/>
      <c r="B9800" s="115"/>
      <c r="C9800" s="115"/>
      <c r="D9800" s="115"/>
      <c r="E9800" s="115"/>
    </row>
    <row r="9801" spans="1:5" ht="13">
      <c r="A9801" s="115"/>
      <c r="B9801" s="115"/>
      <c r="C9801" s="115"/>
      <c r="D9801" s="115"/>
      <c r="E9801" s="115"/>
    </row>
    <row r="9802" spans="1:5" ht="13">
      <c r="A9802" s="115"/>
      <c r="B9802" s="115"/>
      <c r="C9802" s="115"/>
      <c r="D9802" s="115"/>
      <c r="E9802" s="115"/>
    </row>
    <row r="9803" spans="1:5" ht="13">
      <c r="A9803" s="115"/>
      <c r="B9803" s="115"/>
      <c r="C9803" s="115"/>
      <c r="D9803" s="115"/>
      <c r="E9803" s="115"/>
    </row>
    <row r="9804" spans="1:5" ht="13">
      <c r="A9804" s="115"/>
      <c r="B9804" s="115"/>
      <c r="C9804" s="115"/>
      <c r="D9804" s="115"/>
      <c r="E9804" s="115"/>
    </row>
    <row r="9805" spans="1:5" ht="13">
      <c r="A9805" s="115"/>
      <c r="B9805" s="115"/>
      <c r="C9805" s="115"/>
      <c r="D9805" s="115"/>
      <c r="E9805" s="115"/>
    </row>
    <row r="9806" spans="1:5" ht="13">
      <c r="A9806" s="115"/>
      <c r="B9806" s="115"/>
      <c r="C9806" s="115"/>
      <c r="D9806" s="115"/>
      <c r="E9806" s="115"/>
    </row>
    <row r="9807" spans="1:5" ht="13">
      <c r="A9807" s="115"/>
      <c r="B9807" s="115"/>
      <c r="C9807" s="115"/>
      <c r="D9807" s="115"/>
      <c r="E9807" s="115"/>
    </row>
    <row r="9808" spans="1:5" ht="13">
      <c r="A9808" s="115"/>
      <c r="B9808" s="115"/>
      <c r="C9808" s="115"/>
      <c r="D9808" s="115"/>
      <c r="E9808" s="115"/>
    </row>
    <row r="9809" spans="1:5" ht="13">
      <c r="A9809" s="115"/>
      <c r="B9809" s="115"/>
      <c r="C9809" s="115"/>
      <c r="D9809" s="115"/>
      <c r="E9809" s="115"/>
    </row>
    <row r="9810" spans="1:5" ht="13">
      <c r="A9810" s="115"/>
      <c r="B9810" s="115"/>
      <c r="C9810" s="115"/>
      <c r="D9810" s="115"/>
      <c r="E9810" s="115"/>
    </row>
    <row r="9811" spans="1:5" ht="13">
      <c r="A9811" s="115"/>
      <c r="B9811" s="115"/>
      <c r="C9811" s="115"/>
      <c r="D9811" s="115"/>
      <c r="E9811" s="115"/>
    </row>
    <row r="9812" spans="1:5" ht="13">
      <c r="A9812" s="115"/>
      <c r="B9812" s="115"/>
      <c r="C9812" s="115"/>
      <c r="D9812" s="115"/>
      <c r="E9812" s="115"/>
    </row>
    <row r="9813" spans="1:5" ht="13">
      <c r="A9813" s="115"/>
      <c r="B9813" s="115"/>
      <c r="C9813" s="115"/>
      <c r="D9813" s="115"/>
      <c r="E9813" s="115"/>
    </row>
    <row r="9814" spans="1:5" ht="13">
      <c r="A9814" s="115"/>
      <c r="B9814" s="115"/>
      <c r="C9814" s="115"/>
      <c r="D9814" s="115"/>
      <c r="E9814" s="115"/>
    </row>
    <row r="9815" spans="1:5" ht="13">
      <c r="A9815" s="115"/>
      <c r="B9815" s="115"/>
      <c r="C9815" s="115"/>
      <c r="D9815" s="115"/>
      <c r="E9815" s="115"/>
    </row>
    <row r="9816" spans="1:5" ht="13">
      <c r="A9816" s="115"/>
      <c r="B9816" s="115"/>
      <c r="C9816" s="115"/>
      <c r="D9816" s="115"/>
      <c r="E9816" s="115"/>
    </row>
    <row r="9817" spans="1:5" ht="13">
      <c r="A9817" s="115"/>
      <c r="B9817" s="115"/>
      <c r="C9817" s="115"/>
      <c r="D9817" s="115"/>
      <c r="E9817" s="115"/>
    </row>
    <row r="9818" spans="1:5" ht="13">
      <c r="A9818" s="115"/>
      <c r="B9818" s="115"/>
      <c r="C9818" s="115"/>
      <c r="D9818" s="115"/>
      <c r="E9818" s="115"/>
    </row>
    <row r="9819" spans="1:5" ht="13">
      <c r="A9819" s="115"/>
      <c r="B9819" s="115"/>
      <c r="C9819" s="115"/>
      <c r="D9819" s="115"/>
      <c r="E9819" s="115"/>
    </row>
    <row r="9820" spans="1:5" ht="13">
      <c r="A9820" s="115"/>
      <c r="B9820" s="115"/>
      <c r="C9820" s="115"/>
      <c r="D9820" s="115"/>
      <c r="E9820" s="115"/>
    </row>
    <row r="9821" spans="1:5" ht="13">
      <c r="A9821" s="115"/>
      <c r="B9821" s="115"/>
      <c r="C9821" s="115"/>
      <c r="D9821" s="115"/>
      <c r="E9821" s="115"/>
    </row>
    <row r="9822" spans="1:5" ht="13">
      <c r="A9822" s="115"/>
      <c r="B9822" s="115"/>
      <c r="C9822" s="115"/>
      <c r="D9822" s="115"/>
      <c r="E9822" s="115"/>
    </row>
    <row r="9823" spans="1:5" ht="13">
      <c r="A9823" s="115"/>
      <c r="B9823" s="115"/>
      <c r="C9823" s="115"/>
      <c r="D9823" s="115"/>
      <c r="E9823" s="115"/>
    </row>
    <row r="9824" spans="1:5" ht="13">
      <c r="A9824" s="115"/>
      <c r="B9824" s="115"/>
      <c r="C9824" s="115"/>
      <c r="D9824" s="115"/>
      <c r="E9824" s="115"/>
    </row>
    <row r="9825" spans="1:5" ht="13">
      <c r="A9825" s="115"/>
      <c r="B9825" s="115"/>
      <c r="C9825" s="115"/>
      <c r="D9825" s="115"/>
      <c r="E9825" s="115"/>
    </row>
    <row r="9826" spans="1:5" ht="13">
      <c r="A9826" s="115"/>
      <c r="B9826" s="115"/>
      <c r="C9826" s="115"/>
      <c r="D9826" s="115"/>
      <c r="E9826" s="115"/>
    </row>
    <row r="9827" spans="1:5" ht="13">
      <c r="A9827" s="115"/>
      <c r="B9827" s="115"/>
      <c r="C9827" s="115"/>
      <c r="D9827" s="115"/>
      <c r="E9827" s="115"/>
    </row>
    <row r="9828" spans="1:5" ht="13">
      <c r="A9828" s="115"/>
      <c r="B9828" s="115"/>
      <c r="C9828" s="115"/>
      <c r="D9828" s="115"/>
      <c r="E9828" s="115"/>
    </row>
    <row r="9829" spans="1:5" ht="13">
      <c r="A9829" s="115"/>
      <c r="B9829" s="115"/>
      <c r="C9829" s="115"/>
      <c r="D9829" s="115"/>
      <c r="E9829" s="115"/>
    </row>
    <row r="9830" spans="1:5" ht="13">
      <c r="A9830" s="115"/>
      <c r="B9830" s="115"/>
      <c r="C9830" s="115"/>
      <c r="D9830" s="115"/>
      <c r="E9830" s="115"/>
    </row>
    <row r="9831" spans="1:5" ht="13">
      <c r="A9831" s="115"/>
      <c r="B9831" s="115"/>
      <c r="C9831" s="115"/>
      <c r="D9831" s="115"/>
      <c r="E9831" s="115"/>
    </row>
    <row r="9832" spans="1:5" ht="13">
      <c r="A9832" s="115"/>
      <c r="B9832" s="115"/>
      <c r="C9832" s="115"/>
      <c r="D9832" s="115"/>
      <c r="E9832" s="115"/>
    </row>
    <row r="9833" spans="1:5" ht="13">
      <c r="A9833" s="115"/>
      <c r="B9833" s="115"/>
      <c r="C9833" s="115"/>
      <c r="D9833" s="115"/>
      <c r="E9833" s="115"/>
    </row>
    <row r="9834" spans="1:5" ht="13">
      <c r="A9834" s="115"/>
      <c r="B9834" s="115"/>
      <c r="C9834" s="115"/>
      <c r="D9834" s="115"/>
      <c r="E9834" s="115"/>
    </row>
    <row r="9835" spans="1:5" ht="13">
      <c r="A9835" s="115"/>
      <c r="B9835" s="115"/>
      <c r="C9835" s="115"/>
      <c r="D9835" s="115"/>
      <c r="E9835" s="115"/>
    </row>
    <row r="9836" spans="1:5" ht="13">
      <c r="A9836" s="115"/>
      <c r="B9836" s="115"/>
      <c r="C9836" s="115"/>
      <c r="D9836" s="115"/>
      <c r="E9836" s="115"/>
    </row>
    <row r="9837" spans="1:5" ht="13">
      <c r="A9837" s="115"/>
      <c r="B9837" s="115"/>
      <c r="C9837" s="115"/>
      <c r="D9837" s="115"/>
      <c r="E9837" s="115"/>
    </row>
    <row r="9838" spans="1:5" ht="13">
      <c r="A9838" s="115"/>
      <c r="B9838" s="115"/>
      <c r="C9838" s="115"/>
      <c r="D9838" s="115"/>
      <c r="E9838" s="115"/>
    </row>
    <row r="9839" spans="1:5" ht="13">
      <c r="A9839" s="115"/>
      <c r="B9839" s="115"/>
      <c r="C9839" s="115"/>
      <c r="D9839" s="115"/>
      <c r="E9839" s="115"/>
    </row>
    <row r="9840" spans="1:5" ht="13">
      <c r="A9840" s="115"/>
      <c r="B9840" s="115"/>
      <c r="C9840" s="115"/>
      <c r="D9840" s="115"/>
      <c r="E9840" s="115"/>
    </row>
    <row r="9841" spans="1:5" ht="13">
      <c r="A9841" s="115"/>
      <c r="B9841" s="115"/>
      <c r="C9841" s="115"/>
      <c r="D9841" s="115"/>
      <c r="E9841" s="115"/>
    </row>
    <row r="9842" spans="1:5" ht="13">
      <c r="A9842" s="115"/>
      <c r="B9842" s="115"/>
      <c r="C9842" s="115"/>
      <c r="D9842" s="115"/>
      <c r="E9842" s="115"/>
    </row>
    <row r="9843" spans="1:5" ht="13">
      <c r="A9843" s="115"/>
      <c r="B9843" s="115"/>
      <c r="C9843" s="115"/>
      <c r="D9843" s="115"/>
      <c r="E9843" s="115"/>
    </row>
    <row r="9844" spans="1:5" ht="13">
      <c r="A9844" s="115"/>
      <c r="B9844" s="115"/>
      <c r="C9844" s="115"/>
      <c r="D9844" s="115"/>
      <c r="E9844" s="115"/>
    </row>
    <row r="9845" spans="1:5" ht="13">
      <c r="A9845" s="115"/>
      <c r="B9845" s="115"/>
      <c r="C9845" s="115"/>
      <c r="D9845" s="115"/>
      <c r="E9845" s="115"/>
    </row>
    <row r="9846" spans="1:5" ht="13">
      <c r="A9846" s="115"/>
      <c r="B9846" s="115"/>
      <c r="C9846" s="115"/>
      <c r="D9846" s="115"/>
      <c r="E9846" s="115"/>
    </row>
    <row r="9847" spans="1:5" ht="13">
      <c r="A9847" s="115"/>
      <c r="B9847" s="115"/>
      <c r="C9847" s="115"/>
      <c r="D9847" s="115"/>
      <c r="E9847" s="115"/>
    </row>
    <row r="9848" spans="1:5" ht="13">
      <c r="A9848" s="115"/>
      <c r="B9848" s="115"/>
      <c r="C9848" s="115"/>
      <c r="D9848" s="115"/>
      <c r="E9848" s="115"/>
    </row>
    <row r="9849" spans="1:5" ht="13">
      <c r="A9849" s="115"/>
      <c r="B9849" s="115"/>
      <c r="C9849" s="115"/>
      <c r="D9849" s="115"/>
      <c r="E9849" s="115"/>
    </row>
    <row r="9850" spans="1:5" ht="13">
      <c r="A9850" s="115"/>
      <c r="B9850" s="115"/>
      <c r="C9850" s="115"/>
      <c r="D9850" s="115"/>
      <c r="E9850" s="115"/>
    </row>
    <row r="9851" spans="1:5" ht="13">
      <c r="A9851" s="115"/>
      <c r="B9851" s="115"/>
      <c r="C9851" s="115"/>
      <c r="D9851" s="115"/>
      <c r="E9851" s="115"/>
    </row>
    <row r="9852" spans="1:5" ht="13">
      <c r="A9852" s="115"/>
      <c r="B9852" s="115"/>
      <c r="C9852" s="115"/>
      <c r="D9852" s="115"/>
      <c r="E9852" s="115"/>
    </row>
    <row r="9853" spans="1:5" ht="13">
      <c r="A9853" s="115"/>
      <c r="B9853" s="115"/>
      <c r="C9853" s="115"/>
      <c r="D9853" s="115"/>
      <c r="E9853" s="115"/>
    </row>
    <row r="9854" spans="1:5" ht="13">
      <c r="A9854" s="115"/>
      <c r="B9854" s="115"/>
      <c r="C9854" s="115"/>
      <c r="D9854" s="115"/>
      <c r="E9854" s="115"/>
    </row>
    <row r="9855" spans="1:5" ht="13">
      <c r="A9855" s="115"/>
      <c r="B9855" s="115"/>
      <c r="C9855" s="115"/>
      <c r="D9855" s="115"/>
      <c r="E9855" s="115"/>
    </row>
    <row r="9856" spans="1:5" ht="13">
      <c r="A9856" s="115"/>
      <c r="B9856" s="115"/>
      <c r="C9856" s="115"/>
      <c r="D9856" s="115"/>
      <c r="E9856" s="115"/>
    </row>
    <row r="9857" spans="1:5" ht="13">
      <c r="A9857" s="115"/>
      <c r="B9857" s="115"/>
      <c r="C9857" s="115"/>
      <c r="D9857" s="115"/>
      <c r="E9857" s="115"/>
    </row>
    <row r="9858" spans="1:5" ht="13">
      <c r="A9858" s="115"/>
      <c r="B9858" s="115"/>
      <c r="C9858" s="115"/>
      <c r="D9858" s="115"/>
      <c r="E9858" s="115"/>
    </row>
    <row r="9859" spans="1:5" ht="13">
      <c r="A9859" s="115"/>
      <c r="B9859" s="115"/>
      <c r="C9859" s="115"/>
      <c r="D9859" s="115"/>
      <c r="E9859" s="115"/>
    </row>
    <row r="9860" spans="1:5" ht="13">
      <c r="A9860" s="115"/>
      <c r="B9860" s="115"/>
      <c r="C9860" s="115"/>
      <c r="D9860" s="115"/>
      <c r="E9860" s="115"/>
    </row>
    <row r="9861" spans="1:5" ht="13">
      <c r="A9861" s="115"/>
      <c r="B9861" s="115"/>
      <c r="C9861" s="115"/>
      <c r="D9861" s="115"/>
      <c r="E9861" s="115"/>
    </row>
    <row r="9862" spans="1:5" ht="13">
      <c r="A9862" s="115"/>
      <c r="B9862" s="115"/>
      <c r="C9862" s="115"/>
      <c r="D9862" s="115"/>
      <c r="E9862" s="115"/>
    </row>
    <row r="9863" spans="1:5" ht="13">
      <c r="A9863" s="115"/>
      <c r="B9863" s="115"/>
      <c r="C9863" s="115"/>
      <c r="D9863" s="115"/>
      <c r="E9863" s="115"/>
    </row>
    <row r="9864" spans="1:5" ht="13">
      <c r="A9864" s="115"/>
      <c r="B9864" s="115"/>
      <c r="C9864" s="115"/>
      <c r="D9864" s="115"/>
      <c r="E9864" s="115"/>
    </row>
    <row r="9865" spans="1:5" ht="13">
      <c r="A9865" s="115"/>
      <c r="B9865" s="115"/>
      <c r="C9865" s="115"/>
      <c r="D9865" s="115"/>
      <c r="E9865" s="115"/>
    </row>
    <row r="9866" spans="1:5" ht="13">
      <c r="A9866" s="115"/>
      <c r="B9866" s="115"/>
      <c r="C9866" s="115"/>
      <c r="D9866" s="115"/>
      <c r="E9866" s="115"/>
    </row>
    <row r="9867" spans="1:5" ht="13">
      <c r="A9867" s="115"/>
      <c r="B9867" s="115"/>
      <c r="C9867" s="115"/>
      <c r="D9867" s="115"/>
      <c r="E9867" s="115"/>
    </row>
    <row r="9868" spans="1:5" ht="13">
      <c r="A9868" s="115"/>
      <c r="B9868" s="115"/>
      <c r="C9868" s="115"/>
      <c r="D9868" s="115"/>
      <c r="E9868" s="115"/>
    </row>
    <row r="9869" spans="1:5" ht="13">
      <c r="A9869" s="115"/>
      <c r="B9869" s="115"/>
      <c r="C9869" s="115"/>
      <c r="D9869" s="115"/>
      <c r="E9869" s="115"/>
    </row>
    <row r="9870" spans="1:5" ht="13">
      <c r="A9870" s="115"/>
      <c r="B9870" s="115"/>
      <c r="C9870" s="115"/>
      <c r="D9870" s="115"/>
      <c r="E9870" s="115"/>
    </row>
    <row r="9871" spans="1:5" ht="13">
      <c r="A9871" s="115"/>
      <c r="B9871" s="115"/>
      <c r="C9871" s="115"/>
      <c r="D9871" s="115"/>
      <c r="E9871" s="115"/>
    </row>
    <row r="9872" spans="1:5" ht="13">
      <c r="A9872" s="115"/>
      <c r="B9872" s="115"/>
      <c r="C9872" s="115"/>
      <c r="D9872" s="115"/>
      <c r="E9872" s="115"/>
    </row>
    <row r="9873" spans="1:5" ht="13">
      <c r="A9873" s="115"/>
      <c r="B9873" s="115"/>
      <c r="C9873" s="115"/>
      <c r="D9873" s="115"/>
      <c r="E9873" s="115"/>
    </row>
    <row r="9874" spans="1:5" ht="13">
      <c r="A9874" s="115"/>
      <c r="B9874" s="115"/>
      <c r="C9874" s="115"/>
      <c r="D9874" s="115"/>
      <c r="E9874" s="115"/>
    </row>
    <row r="9875" spans="1:5" ht="13">
      <c r="A9875" s="115"/>
      <c r="B9875" s="115"/>
      <c r="C9875" s="115"/>
      <c r="D9875" s="115"/>
      <c r="E9875" s="115"/>
    </row>
    <row r="9876" spans="1:5" ht="13">
      <c r="A9876" s="115"/>
      <c r="B9876" s="115"/>
      <c r="C9876" s="115"/>
      <c r="D9876" s="115"/>
      <c r="E9876" s="115"/>
    </row>
    <row r="9877" spans="1:5" ht="13">
      <c r="A9877" s="115"/>
      <c r="B9877" s="115"/>
      <c r="C9877" s="115"/>
      <c r="D9877" s="115"/>
      <c r="E9877" s="115"/>
    </row>
    <row r="9878" spans="1:5" ht="13">
      <c r="A9878" s="115"/>
      <c r="B9878" s="115"/>
      <c r="C9878" s="115"/>
      <c r="D9878" s="115"/>
      <c r="E9878" s="115"/>
    </row>
    <row r="9879" spans="1:5" ht="13">
      <c r="A9879" s="115"/>
      <c r="B9879" s="115"/>
      <c r="C9879" s="115"/>
      <c r="D9879" s="115"/>
      <c r="E9879" s="115"/>
    </row>
    <row r="9880" spans="1:5" ht="13">
      <c r="A9880" s="115"/>
      <c r="B9880" s="115"/>
      <c r="C9880" s="115"/>
      <c r="D9880" s="115"/>
      <c r="E9880" s="115"/>
    </row>
    <row r="9881" spans="1:5" ht="13">
      <c r="A9881" s="115"/>
      <c r="B9881" s="115"/>
      <c r="C9881" s="115"/>
      <c r="D9881" s="115"/>
      <c r="E9881" s="115"/>
    </row>
    <row r="9882" spans="1:5" ht="13">
      <c r="A9882" s="115"/>
      <c r="B9882" s="115"/>
      <c r="C9882" s="115"/>
      <c r="D9882" s="115"/>
      <c r="E9882" s="115"/>
    </row>
    <row r="9883" spans="1:5" ht="13">
      <c r="A9883" s="115"/>
      <c r="B9883" s="115"/>
      <c r="C9883" s="115"/>
      <c r="D9883" s="115"/>
      <c r="E9883" s="115"/>
    </row>
    <row r="9884" spans="1:5" ht="13">
      <c r="A9884" s="115"/>
      <c r="B9884" s="115"/>
      <c r="C9884" s="115"/>
      <c r="D9884" s="115"/>
      <c r="E9884" s="115"/>
    </row>
    <row r="9885" spans="1:5" ht="13">
      <c r="A9885" s="115"/>
      <c r="B9885" s="115"/>
      <c r="C9885" s="115"/>
      <c r="D9885" s="115"/>
      <c r="E9885" s="115"/>
    </row>
    <row r="9886" spans="1:5" ht="13">
      <c r="A9886" s="115"/>
      <c r="B9886" s="115"/>
      <c r="C9886" s="115"/>
      <c r="D9886" s="115"/>
      <c r="E9886" s="115"/>
    </row>
    <row r="9887" spans="1:5" ht="13">
      <c r="A9887" s="115"/>
      <c r="B9887" s="115"/>
      <c r="C9887" s="115"/>
      <c r="D9887" s="115"/>
      <c r="E9887" s="115"/>
    </row>
    <row r="9888" spans="1:5" ht="13">
      <c r="A9888" s="115"/>
      <c r="B9888" s="115"/>
      <c r="C9888" s="115"/>
      <c r="D9888" s="115"/>
      <c r="E9888" s="115"/>
    </row>
    <row r="9889" spans="1:5" ht="13">
      <c r="A9889" s="115"/>
      <c r="B9889" s="115"/>
      <c r="C9889" s="115"/>
      <c r="D9889" s="115"/>
      <c r="E9889" s="115"/>
    </row>
    <row r="9890" spans="1:5" ht="13">
      <c r="A9890" s="115"/>
      <c r="B9890" s="115"/>
      <c r="C9890" s="115"/>
      <c r="D9890" s="115"/>
      <c r="E9890" s="115"/>
    </row>
    <row r="9891" spans="1:5" ht="13">
      <c r="A9891" s="115"/>
      <c r="B9891" s="115"/>
      <c r="C9891" s="115"/>
      <c r="D9891" s="115"/>
      <c r="E9891" s="115"/>
    </row>
    <row r="9892" spans="1:5" ht="13">
      <c r="A9892" s="115"/>
      <c r="B9892" s="115"/>
      <c r="C9892" s="115"/>
      <c r="D9892" s="115"/>
      <c r="E9892" s="115"/>
    </row>
    <row r="9893" spans="1:5" ht="13">
      <c r="A9893" s="115"/>
      <c r="B9893" s="115"/>
      <c r="C9893" s="115"/>
      <c r="D9893" s="115"/>
      <c r="E9893" s="115"/>
    </row>
    <row r="9894" spans="1:5" ht="13">
      <c r="A9894" s="115"/>
      <c r="B9894" s="115"/>
      <c r="C9894" s="115"/>
      <c r="D9894" s="115"/>
      <c r="E9894" s="115"/>
    </row>
    <row r="9895" spans="1:5" ht="13">
      <c r="A9895" s="115"/>
      <c r="B9895" s="115"/>
      <c r="C9895" s="115"/>
      <c r="D9895" s="115"/>
      <c r="E9895" s="115"/>
    </row>
    <row r="9896" spans="1:5" ht="13">
      <c r="A9896" s="115"/>
      <c r="B9896" s="115"/>
      <c r="C9896" s="115"/>
      <c r="D9896" s="115"/>
      <c r="E9896" s="115"/>
    </row>
    <row r="9897" spans="1:5" ht="13">
      <c r="A9897" s="115"/>
      <c r="B9897" s="115"/>
      <c r="C9897" s="115"/>
      <c r="D9897" s="115"/>
      <c r="E9897" s="115"/>
    </row>
    <row r="9898" spans="1:5" ht="13">
      <c r="A9898" s="115"/>
      <c r="B9898" s="115"/>
      <c r="C9898" s="115"/>
      <c r="D9898" s="115"/>
      <c r="E9898" s="115"/>
    </row>
    <row r="9899" spans="1:5" ht="13">
      <c r="A9899" s="115"/>
      <c r="B9899" s="115"/>
      <c r="C9899" s="115"/>
      <c r="D9899" s="115"/>
      <c r="E9899" s="115"/>
    </row>
    <row r="9900" spans="1:5" ht="13">
      <c r="A9900" s="115"/>
      <c r="B9900" s="115"/>
      <c r="C9900" s="115"/>
      <c r="D9900" s="115"/>
      <c r="E9900" s="115"/>
    </row>
    <row r="9901" spans="1:5" ht="13">
      <c r="A9901" s="115"/>
      <c r="B9901" s="115"/>
      <c r="C9901" s="115"/>
      <c r="D9901" s="115"/>
      <c r="E9901" s="115"/>
    </row>
    <row r="9902" spans="1:5" ht="13">
      <c r="A9902" s="115"/>
      <c r="B9902" s="115"/>
      <c r="C9902" s="115"/>
      <c r="D9902" s="115"/>
      <c r="E9902" s="115"/>
    </row>
    <row r="9903" spans="1:5" ht="13">
      <c r="A9903" s="115"/>
      <c r="B9903" s="115"/>
      <c r="C9903" s="115"/>
      <c r="D9903" s="115"/>
      <c r="E9903" s="115"/>
    </row>
    <row r="9904" spans="1:5" ht="13">
      <c r="A9904" s="115"/>
      <c r="B9904" s="115"/>
      <c r="C9904" s="115"/>
      <c r="D9904" s="115"/>
      <c r="E9904" s="115"/>
    </row>
    <row r="9905" spans="1:5" ht="13">
      <c r="A9905" s="115"/>
      <c r="B9905" s="115"/>
      <c r="C9905" s="115"/>
      <c r="D9905" s="115"/>
      <c r="E9905" s="115"/>
    </row>
    <row r="9906" spans="1:5" ht="13">
      <c r="A9906" s="115"/>
      <c r="B9906" s="115"/>
      <c r="C9906" s="115"/>
      <c r="D9906" s="115"/>
      <c r="E9906" s="115"/>
    </row>
    <row r="9907" spans="1:5" ht="13">
      <c r="A9907" s="115"/>
      <c r="B9907" s="115"/>
      <c r="C9907" s="115"/>
      <c r="D9907" s="115"/>
      <c r="E9907" s="115"/>
    </row>
    <row r="9908" spans="1:5" ht="13">
      <c r="A9908" s="115"/>
      <c r="B9908" s="115"/>
      <c r="C9908" s="115"/>
      <c r="D9908" s="115"/>
      <c r="E9908" s="115"/>
    </row>
    <row r="9909" spans="1:5" ht="13">
      <c r="A9909" s="115"/>
      <c r="B9909" s="115"/>
      <c r="C9909" s="115"/>
      <c r="D9909" s="115"/>
      <c r="E9909" s="115"/>
    </row>
    <row r="9910" spans="1:5" ht="13">
      <c r="A9910" s="115"/>
      <c r="B9910" s="115"/>
      <c r="C9910" s="115"/>
      <c r="D9910" s="115"/>
      <c r="E9910" s="115"/>
    </row>
    <row r="9911" spans="1:5" ht="13">
      <c r="A9911" s="115"/>
      <c r="B9911" s="115"/>
      <c r="C9911" s="115"/>
      <c r="D9911" s="115"/>
      <c r="E9911" s="115"/>
    </row>
    <row r="9912" spans="1:5" ht="13">
      <c r="A9912" s="115"/>
      <c r="B9912" s="115"/>
      <c r="C9912" s="115"/>
      <c r="D9912" s="115"/>
      <c r="E9912" s="115"/>
    </row>
    <row r="9913" spans="1:5" ht="13">
      <c r="A9913" s="115"/>
      <c r="B9913" s="115"/>
      <c r="C9913" s="115"/>
      <c r="D9913" s="115"/>
      <c r="E9913" s="115"/>
    </row>
    <row r="9914" spans="1:5" ht="13">
      <c r="A9914" s="115"/>
      <c r="B9914" s="115"/>
      <c r="C9914" s="115"/>
      <c r="D9914" s="115"/>
      <c r="E9914" s="115"/>
    </row>
    <row r="9915" spans="1:5" ht="13">
      <c r="A9915" s="115"/>
      <c r="B9915" s="115"/>
      <c r="C9915" s="115"/>
      <c r="D9915" s="115"/>
      <c r="E9915" s="115"/>
    </row>
    <row r="9916" spans="1:5" ht="13">
      <c r="A9916" s="115"/>
      <c r="B9916" s="115"/>
      <c r="C9916" s="115"/>
      <c r="D9916" s="115"/>
      <c r="E9916" s="115"/>
    </row>
    <row r="9917" spans="1:5" ht="13">
      <c r="A9917" s="115"/>
      <c r="B9917" s="115"/>
      <c r="C9917" s="115"/>
      <c r="D9917" s="115"/>
      <c r="E9917" s="115"/>
    </row>
    <row r="9918" spans="1:5" ht="13">
      <c r="A9918" s="115"/>
      <c r="B9918" s="115"/>
      <c r="C9918" s="115"/>
      <c r="D9918" s="115"/>
      <c r="E9918" s="115"/>
    </row>
    <row r="9919" spans="1:5" ht="13">
      <c r="A9919" s="115"/>
      <c r="B9919" s="115"/>
      <c r="C9919" s="115"/>
      <c r="D9919" s="115"/>
      <c r="E9919" s="115"/>
    </row>
    <row r="9920" spans="1:5" ht="13">
      <c r="A9920" s="115"/>
      <c r="B9920" s="115"/>
      <c r="C9920" s="115"/>
      <c r="D9920" s="115"/>
      <c r="E9920" s="115"/>
    </row>
    <row r="9921" spans="1:5" ht="13">
      <c r="A9921" s="115"/>
      <c r="B9921" s="115"/>
      <c r="C9921" s="115"/>
      <c r="D9921" s="115"/>
      <c r="E9921" s="115"/>
    </row>
    <row r="9922" spans="1:5" ht="13">
      <c r="A9922" s="115"/>
      <c r="B9922" s="115"/>
      <c r="C9922" s="115"/>
      <c r="D9922" s="115"/>
      <c r="E9922" s="115"/>
    </row>
    <row r="9923" spans="1:5" ht="13">
      <c r="A9923" s="115"/>
      <c r="B9923" s="115"/>
      <c r="C9923" s="115"/>
      <c r="D9923" s="115"/>
      <c r="E9923" s="115"/>
    </row>
    <row r="9924" spans="1:5" ht="13">
      <c r="A9924" s="115"/>
      <c r="B9924" s="115"/>
      <c r="C9924" s="115"/>
      <c r="D9924" s="115"/>
      <c r="E9924" s="115"/>
    </row>
    <row r="9925" spans="1:5" ht="13">
      <c r="A9925" s="115"/>
      <c r="B9925" s="115"/>
      <c r="C9925" s="115"/>
      <c r="D9925" s="115"/>
      <c r="E9925" s="115"/>
    </row>
    <row r="9926" spans="1:5" ht="13">
      <c r="A9926" s="115"/>
      <c r="B9926" s="115"/>
      <c r="C9926" s="115"/>
      <c r="D9926" s="115"/>
      <c r="E9926" s="115"/>
    </row>
    <row r="9927" spans="1:5" ht="13">
      <c r="A9927" s="115"/>
      <c r="B9927" s="115"/>
      <c r="C9927" s="115"/>
      <c r="D9927" s="115"/>
      <c r="E9927" s="115"/>
    </row>
    <row r="9928" spans="1:5" ht="13">
      <c r="A9928" s="115"/>
      <c r="B9928" s="115"/>
      <c r="C9928" s="115"/>
      <c r="D9928" s="115"/>
      <c r="E9928" s="115"/>
    </row>
    <row r="9929" spans="1:5" ht="13">
      <c r="A9929" s="115"/>
      <c r="B9929" s="115"/>
      <c r="C9929" s="115"/>
      <c r="D9929" s="115"/>
      <c r="E9929" s="115"/>
    </row>
    <row r="9930" spans="1:5" ht="13">
      <c r="A9930" s="115"/>
      <c r="B9930" s="115"/>
      <c r="C9930" s="115"/>
      <c r="D9930" s="115"/>
      <c r="E9930" s="115"/>
    </row>
    <row r="9931" spans="1:5" ht="13">
      <c r="A9931" s="115"/>
      <c r="B9931" s="115"/>
      <c r="C9931" s="115"/>
      <c r="D9931" s="115"/>
      <c r="E9931" s="115"/>
    </row>
    <row r="9932" spans="1:5" ht="13">
      <c r="A9932" s="115"/>
      <c r="B9932" s="115"/>
      <c r="C9932" s="115"/>
      <c r="D9932" s="115"/>
      <c r="E9932" s="115"/>
    </row>
    <row r="9933" spans="1:5" ht="13">
      <c r="A9933" s="115"/>
      <c r="B9933" s="115"/>
      <c r="C9933" s="115"/>
      <c r="D9933" s="115"/>
      <c r="E9933" s="115"/>
    </row>
    <row r="9934" spans="1:5" ht="13">
      <c r="A9934" s="115"/>
      <c r="B9934" s="115"/>
      <c r="C9934" s="115"/>
      <c r="D9934" s="115"/>
      <c r="E9934" s="115"/>
    </row>
    <row r="9935" spans="1:5" ht="13">
      <c r="A9935" s="115"/>
      <c r="B9935" s="115"/>
      <c r="C9935" s="115"/>
      <c r="D9935" s="115"/>
      <c r="E9935" s="115"/>
    </row>
    <row r="9936" spans="1:5" ht="13">
      <c r="A9936" s="115"/>
      <c r="B9936" s="115"/>
      <c r="C9936" s="115"/>
      <c r="D9936" s="115"/>
      <c r="E9936" s="115"/>
    </row>
    <row r="9937" spans="1:5" ht="13">
      <c r="A9937" s="115"/>
      <c r="B9937" s="115"/>
      <c r="C9937" s="115"/>
      <c r="D9937" s="115"/>
      <c r="E9937" s="115"/>
    </row>
    <row r="9938" spans="1:5" ht="13">
      <c r="A9938" s="115"/>
      <c r="B9938" s="115"/>
      <c r="C9938" s="115"/>
      <c r="D9938" s="115"/>
      <c r="E9938" s="115"/>
    </row>
    <row r="9939" spans="1:5" ht="13">
      <c r="A9939" s="115"/>
      <c r="B9939" s="115"/>
      <c r="C9939" s="115"/>
      <c r="D9939" s="115"/>
      <c r="E9939" s="115"/>
    </row>
    <row r="9940" spans="1:5" ht="13">
      <c r="A9940" s="115"/>
      <c r="B9940" s="115"/>
      <c r="C9940" s="115"/>
      <c r="D9940" s="115"/>
      <c r="E9940" s="115"/>
    </row>
    <row r="9941" spans="1:5" ht="13">
      <c r="A9941" s="115"/>
      <c r="B9941" s="115"/>
      <c r="C9941" s="115"/>
      <c r="D9941" s="115"/>
      <c r="E9941" s="115"/>
    </row>
    <row r="9942" spans="1:5" ht="13">
      <c r="A9942" s="115"/>
      <c r="B9942" s="115"/>
      <c r="C9942" s="115"/>
      <c r="D9942" s="115"/>
      <c r="E9942" s="115"/>
    </row>
    <row r="9943" spans="1:5" ht="13">
      <c r="A9943" s="115"/>
      <c r="B9943" s="115"/>
      <c r="C9943" s="115"/>
      <c r="D9943" s="115"/>
      <c r="E9943" s="115"/>
    </row>
    <row r="9944" spans="1:5" ht="13">
      <c r="A9944" s="115"/>
      <c r="B9944" s="115"/>
      <c r="C9944" s="115"/>
      <c r="D9944" s="115"/>
      <c r="E9944" s="115"/>
    </row>
    <row r="9945" spans="1:5" ht="13">
      <c r="A9945" s="115"/>
      <c r="B9945" s="115"/>
      <c r="C9945" s="115"/>
      <c r="D9945" s="115"/>
      <c r="E9945" s="115"/>
    </row>
    <row r="9946" spans="1:5" ht="13">
      <c r="A9946" s="115"/>
      <c r="B9946" s="115"/>
      <c r="C9946" s="115"/>
      <c r="D9946" s="115"/>
      <c r="E9946" s="115"/>
    </row>
    <row r="9947" spans="1:5" ht="13">
      <c r="A9947" s="115"/>
      <c r="B9947" s="115"/>
      <c r="C9947" s="115"/>
      <c r="D9947" s="115"/>
      <c r="E9947" s="115"/>
    </row>
    <row r="9948" spans="1:5" ht="13">
      <c r="A9948" s="115"/>
      <c r="B9948" s="115"/>
      <c r="C9948" s="115"/>
      <c r="D9948" s="115"/>
      <c r="E9948" s="115"/>
    </row>
    <row r="9949" spans="1:5" ht="13">
      <c r="A9949" s="115"/>
      <c r="B9949" s="115"/>
      <c r="C9949" s="115"/>
      <c r="D9949" s="115"/>
      <c r="E9949" s="115"/>
    </row>
    <row r="9950" spans="1:5" ht="13">
      <c r="A9950" s="115"/>
      <c r="B9950" s="115"/>
      <c r="C9950" s="115"/>
      <c r="D9950" s="115"/>
      <c r="E9950" s="115"/>
    </row>
    <row r="9951" spans="1:5" ht="13">
      <c r="A9951" s="115"/>
      <c r="B9951" s="115"/>
      <c r="C9951" s="115"/>
      <c r="D9951" s="115"/>
      <c r="E9951" s="115"/>
    </row>
    <row r="9952" spans="1:5" ht="13">
      <c r="A9952" s="115"/>
      <c r="B9952" s="115"/>
      <c r="C9952" s="115"/>
      <c r="D9952" s="115"/>
      <c r="E9952" s="115"/>
    </row>
    <row r="9953" spans="1:5" ht="13">
      <c r="A9953" s="115"/>
      <c r="B9953" s="115"/>
      <c r="C9953" s="115"/>
      <c r="D9953" s="115"/>
      <c r="E9953" s="115"/>
    </row>
    <row r="9954" spans="1:5" ht="13">
      <c r="A9954" s="115"/>
      <c r="B9954" s="115"/>
      <c r="C9954" s="115"/>
      <c r="D9954" s="115"/>
      <c r="E9954" s="115"/>
    </row>
    <row r="9955" spans="1:5" ht="13">
      <c r="A9955" s="115"/>
      <c r="B9955" s="115"/>
      <c r="C9955" s="115"/>
      <c r="D9955" s="115"/>
      <c r="E9955" s="115"/>
    </row>
    <row r="9956" spans="1:5" ht="13">
      <c r="A9956" s="115"/>
      <c r="B9956" s="115"/>
      <c r="C9956" s="115"/>
      <c r="D9956" s="115"/>
      <c r="E9956" s="115"/>
    </row>
    <row r="9957" spans="1:5" ht="13">
      <c r="A9957" s="115"/>
      <c r="B9957" s="115"/>
      <c r="C9957" s="115"/>
      <c r="D9957" s="115"/>
      <c r="E9957" s="115"/>
    </row>
    <row r="9958" spans="1:5" ht="13">
      <c r="A9958" s="115"/>
      <c r="B9958" s="115"/>
      <c r="C9958" s="115"/>
      <c r="D9958" s="115"/>
      <c r="E9958" s="115"/>
    </row>
    <row r="9959" spans="1:5" ht="13">
      <c r="A9959" s="115"/>
      <c r="B9959" s="115"/>
      <c r="C9959" s="115"/>
      <c r="D9959" s="115"/>
      <c r="E9959" s="115"/>
    </row>
    <row r="9960" spans="1:5" ht="13">
      <c r="A9960" s="115"/>
      <c r="B9960" s="115"/>
      <c r="C9960" s="115"/>
      <c r="D9960" s="115"/>
      <c r="E9960" s="115"/>
    </row>
    <row r="9961" spans="1:5" ht="13">
      <c r="A9961" s="115"/>
      <c r="B9961" s="115"/>
      <c r="C9961" s="115"/>
      <c r="D9961" s="115"/>
      <c r="E9961" s="115"/>
    </row>
    <row r="9962" spans="1:5" ht="13">
      <c r="A9962" s="115"/>
      <c r="B9962" s="115"/>
      <c r="C9962" s="115"/>
      <c r="D9962" s="115"/>
      <c r="E9962" s="115"/>
    </row>
    <row r="9963" spans="1:5" ht="13">
      <c r="A9963" s="115"/>
      <c r="B9963" s="115"/>
      <c r="C9963" s="115"/>
      <c r="D9963" s="115"/>
      <c r="E9963" s="115"/>
    </row>
    <row r="9964" spans="1:5" ht="13">
      <c r="A9964" s="115"/>
      <c r="B9964" s="115"/>
      <c r="C9964" s="115"/>
      <c r="D9964" s="115"/>
      <c r="E9964" s="115"/>
    </row>
    <row r="9965" spans="1:5" ht="13">
      <c r="A9965" s="115"/>
      <c r="B9965" s="115"/>
      <c r="C9965" s="115"/>
      <c r="D9965" s="115"/>
      <c r="E9965" s="115"/>
    </row>
    <row r="9966" spans="1:5" ht="13">
      <c r="A9966" s="115"/>
      <c r="B9966" s="115"/>
      <c r="C9966" s="115"/>
      <c r="D9966" s="115"/>
      <c r="E9966" s="115"/>
    </row>
    <row r="9967" spans="1:5" ht="13">
      <c r="A9967" s="115"/>
      <c r="B9967" s="115"/>
      <c r="C9967" s="115"/>
      <c r="D9967" s="115"/>
      <c r="E9967" s="115"/>
    </row>
    <row r="9968" spans="1:5" ht="13">
      <c r="A9968" s="115"/>
      <c r="B9968" s="115"/>
      <c r="C9968" s="115"/>
      <c r="D9968" s="115"/>
      <c r="E9968" s="115"/>
    </row>
    <row r="9969" spans="1:5" ht="13">
      <c r="A9969" s="115"/>
      <c r="B9969" s="115"/>
      <c r="C9969" s="115"/>
      <c r="D9969" s="115"/>
      <c r="E9969" s="115"/>
    </row>
    <row r="9970" spans="1:5" ht="13">
      <c r="A9970" s="115"/>
      <c r="B9970" s="115"/>
      <c r="C9970" s="115"/>
      <c r="D9970" s="115"/>
      <c r="E9970" s="115"/>
    </row>
    <row r="9971" spans="1:5" ht="13">
      <c r="A9971" s="115"/>
      <c r="B9971" s="115"/>
      <c r="C9971" s="115"/>
      <c r="D9971" s="115"/>
      <c r="E9971" s="115"/>
    </row>
    <row r="9972" spans="1:5" ht="13">
      <c r="A9972" s="115"/>
      <c r="B9972" s="115"/>
      <c r="C9972" s="115"/>
      <c r="D9972" s="115"/>
      <c r="E9972" s="115"/>
    </row>
    <row r="9973" spans="1:5" ht="13">
      <c r="A9973" s="115"/>
      <c r="B9973" s="115"/>
      <c r="C9973" s="115"/>
      <c r="D9973" s="115"/>
      <c r="E9973" s="115"/>
    </row>
    <row r="9974" spans="1:5" ht="13">
      <c r="A9974" s="115"/>
      <c r="B9974" s="115"/>
      <c r="C9974" s="115"/>
      <c r="D9974" s="115"/>
      <c r="E9974" s="115"/>
    </row>
    <row r="9975" spans="1:5" ht="13">
      <c r="A9975" s="115"/>
      <c r="B9975" s="115"/>
      <c r="C9975" s="115"/>
      <c r="D9975" s="115"/>
      <c r="E9975" s="115"/>
    </row>
    <row r="9976" spans="1:5" ht="13">
      <c r="A9976" s="115"/>
      <c r="B9976" s="115"/>
      <c r="C9976" s="115"/>
      <c r="D9976" s="115"/>
      <c r="E9976" s="115"/>
    </row>
    <row r="9977" spans="1:5" ht="13">
      <c r="A9977" s="115"/>
      <c r="B9977" s="115"/>
      <c r="C9977" s="115"/>
      <c r="D9977" s="115"/>
      <c r="E9977" s="115"/>
    </row>
    <row r="9978" spans="1:5" ht="13">
      <c r="A9978" s="115"/>
      <c r="B9978" s="115"/>
      <c r="C9978" s="115"/>
      <c r="D9978" s="115"/>
      <c r="E9978" s="115"/>
    </row>
    <row r="9979" spans="1:5" ht="13">
      <c r="A9979" s="115"/>
      <c r="B9979" s="115"/>
      <c r="C9979" s="115"/>
      <c r="D9979" s="115"/>
      <c r="E9979" s="115"/>
    </row>
    <row r="9980" spans="1:5" ht="13">
      <c r="A9980" s="115"/>
      <c r="B9980" s="115"/>
      <c r="C9980" s="115"/>
      <c r="D9980" s="115"/>
      <c r="E9980" s="115"/>
    </row>
    <row r="9981" spans="1:5" ht="13">
      <c r="A9981" s="115"/>
      <c r="B9981" s="115"/>
      <c r="C9981" s="115"/>
      <c r="D9981" s="115"/>
      <c r="E9981" s="115"/>
    </row>
    <row r="9982" spans="1:5" ht="13">
      <c r="A9982" s="115"/>
      <c r="B9982" s="115"/>
      <c r="C9982" s="115"/>
      <c r="D9982" s="115"/>
      <c r="E9982" s="115"/>
    </row>
    <row r="9983" spans="1:5" ht="13">
      <c r="A9983" s="115"/>
      <c r="B9983" s="115"/>
      <c r="C9983" s="115"/>
      <c r="D9983" s="115"/>
      <c r="E9983" s="115"/>
    </row>
    <row r="9984" spans="1:5" ht="13">
      <c r="A9984" s="115"/>
      <c r="B9984" s="115"/>
      <c r="C9984" s="115"/>
      <c r="D9984" s="115"/>
      <c r="E9984" s="115"/>
    </row>
    <row r="9985" spans="1:5" ht="13">
      <c r="A9985" s="115"/>
      <c r="B9985" s="115"/>
      <c r="C9985" s="115"/>
      <c r="D9985" s="115"/>
      <c r="E9985" s="115"/>
    </row>
    <row r="9986" spans="1:5" ht="13">
      <c r="A9986" s="115"/>
      <c r="B9986" s="115"/>
      <c r="C9986" s="115"/>
      <c r="D9986" s="115"/>
      <c r="E9986" s="115"/>
    </row>
    <row r="9987" spans="1:5" ht="13">
      <c r="A9987" s="115"/>
      <c r="B9987" s="115"/>
      <c r="C9987" s="115"/>
      <c r="D9987" s="115"/>
      <c r="E9987" s="115"/>
    </row>
    <row r="9988" spans="1:5" ht="13">
      <c r="A9988" s="115"/>
      <c r="B9988" s="115"/>
      <c r="C9988" s="115"/>
      <c r="D9988" s="115"/>
      <c r="E9988" s="115"/>
    </row>
    <row r="9989" spans="1:5" ht="13">
      <c r="A9989" s="115"/>
      <c r="B9989" s="115"/>
      <c r="C9989" s="115"/>
      <c r="D9989" s="115"/>
      <c r="E9989" s="115"/>
    </row>
    <row r="9990" spans="1:5" ht="13">
      <c r="A9990" s="115"/>
      <c r="B9990" s="115"/>
      <c r="C9990" s="115"/>
      <c r="D9990" s="115"/>
      <c r="E9990" s="115"/>
    </row>
    <row r="9991" spans="1:5" ht="13">
      <c r="A9991" s="115"/>
      <c r="B9991" s="115"/>
      <c r="C9991" s="115"/>
      <c r="D9991" s="115"/>
      <c r="E9991" s="115"/>
    </row>
    <row r="9992" spans="1:5" ht="13">
      <c r="A9992" s="115"/>
      <c r="B9992" s="115"/>
      <c r="C9992" s="115"/>
      <c r="D9992" s="115"/>
      <c r="E9992" s="115"/>
    </row>
    <row r="9993" spans="1:5" ht="13">
      <c r="A9993" s="115"/>
      <c r="B9993" s="115"/>
      <c r="C9993" s="115"/>
      <c r="D9993" s="115"/>
      <c r="E9993" s="115"/>
    </row>
    <row r="9994" spans="1:5" ht="13">
      <c r="A9994" s="115"/>
      <c r="B9994" s="115"/>
      <c r="C9994" s="115"/>
      <c r="D9994" s="115"/>
      <c r="E9994" s="115"/>
    </row>
    <row r="9995" spans="1:5" ht="13">
      <c r="A9995" s="115"/>
      <c r="B9995" s="115"/>
      <c r="C9995" s="115"/>
      <c r="D9995" s="115"/>
      <c r="E9995" s="115"/>
    </row>
    <row r="9996" spans="1:5" ht="13">
      <c r="A9996" s="115"/>
      <c r="B9996" s="115"/>
      <c r="C9996" s="115"/>
      <c r="D9996" s="115"/>
      <c r="E9996" s="115"/>
    </row>
    <row r="9997" spans="1:5" ht="13">
      <c r="A9997" s="115"/>
      <c r="B9997" s="115"/>
      <c r="C9997" s="115"/>
      <c r="D9997" s="115"/>
      <c r="E9997" s="115"/>
    </row>
    <row r="9998" spans="1:5" ht="13">
      <c r="A9998" s="115"/>
      <c r="B9998" s="115"/>
      <c r="C9998" s="115"/>
      <c r="D9998" s="115"/>
      <c r="E9998" s="115"/>
    </row>
    <row r="9999" spans="1:5" ht="13">
      <c r="A9999" s="115"/>
      <c r="B9999" s="115"/>
      <c r="C9999" s="115"/>
      <c r="D9999" s="115"/>
      <c r="E9999" s="115"/>
    </row>
    <row r="10000" spans="1:5" ht="13">
      <c r="A10000" s="115"/>
      <c r="B10000" s="115"/>
      <c r="C10000" s="115"/>
      <c r="D10000" s="115"/>
      <c r="E10000" s="115"/>
    </row>
    <row r="10001" spans="1:5" ht="13">
      <c r="A10001" s="115"/>
      <c r="B10001" s="115"/>
      <c r="C10001" s="115"/>
      <c r="D10001" s="115"/>
      <c r="E10001" s="115"/>
    </row>
    <row r="10002" spans="1:5" ht="13">
      <c r="A10002" s="115"/>
      <c r="B10002" s="115"/>
      <c r="C10002" s="115"/>
      <c r="D10002" s="115"/>
      <c r="E10002" s="115"/>
    </row>
    <row r="10003" spans="1:5" ht="13">
      <c r="A10003" s="115"/>
      <c r="B10003" s="115"/>
      <c r="C10003" s="115"/>
      <c r="D10003" s="115"/>
      <c r="E10003" s="115"/>
    </row>
    <row r="10004" spans="1:5" ht="13">
      <c r="A10004" s="115"/>
      <c r="B10004" s="115"/>
      <c r="C10004" s="115"/>
      <c r="D10004" s="115"/>
      <c r="E10004" s="115"/>
    </row>
    <row r="10005" spans="1:5" ht="13">
      <c r="A10005" s="115"/>
      <c r="B10005" s="115"/>
      <c r="C10005" s="115"/>
      <c r="D10005" s="115"/>
      <c r="E10005" s="115"/>
    </row>
    <row r="10006" spans="1:5" ht="13">
      <c r="A10006" s="115"/>
      <c r="B10006" s="115"/>
      <c r="C10006" s="115"/>
      <c r="D10006" s="115"/>
      <c r="E10006" s="115"/>
    </row>
    <row r="10007" spans="1:5" ht="13">
      <c r="A10007" s="115"/>
      <c r="B10007" s="115"/>
      <c r="C10007" s="115"/>
      <c r="D10007" s="115"/>
      <c r="E10007" s="115"/>
    </row>
    <row r="10008" spans="1:5" ht="13">
      <c r="A10008" s="115"/>
      <c r="B10008" s="115"/>
      <c r="C10008" s="115"/>
      <c r="D10008" s="115"/>
      <c r="E10008" s="115"/>
    </row>
    <row r="10009" spans="1:5" ht="13">
      <c r="A10009" s="115"/>
      <c r="B10009" s="115"/>
      <c r="C10009" s="115"/>
      <c r="D10009" s="115"/>
      <c r="E10009" s="115"/>
    </row>
    <row r="10010" spans="1:5" ht="13">
      <c r="A10010" s="115"/>
      <c r="B10010" s="115"/>
      <c r="C10010" s="115"/>
      <c r="D10010" s="115"/>
      <c r="E10010" s="115"/>
    </row>
    <row r="10011" spans="1:5" ht="13">
      <c r="A10011" s="115"/>
      <c r="B10011" s="115"/>
      <c r="C10011" s="115"/>
      <c r="D10011" s="115"/>
      <c r="E10011" s="115"/>
    </row>
    <row r="10012" spans="1:5" ht="13">
      <c r="A10012" s="115"/>
      <c r="B10012" s="115"/>
      <c r="C10012" s="115"/>
      <c r="D10012" s="115"/>
      <c r="E10012" s="115"/>
    </row>
    <row r="10013" spans="1:5" ht="13">
      <c r="A10013" s="115"/>
      <c r="B10013" s="115"/>
      <c r="C10013" s="115"/>
      <c r="D10013" s="115"/>
      <c r="E10013" s="115"/>
    </row>
    <row r="10014" spans="1:5" ht="13">
      <c r="A10014" s="115"/>
      <c r="B10014" s="115"/>
      <c r="C10014" s="115"/>
      <c r="D10014" s="115"/>
      <c r="E10014" s="115"/>
    </row>
    <row r="10015" spans="1:5" ht="13">
      <c r="A10015" s="115"/>
      <c r="B10015" s="115"/>
      <c r="C10015" s="115"/>
      <c r="D10015" s="115"/>
      <c r="E10015" s="115"/>
    </row>
    <row r="10016" spans="1:5" ht="13">
      <c r="A10016" s="115"/>
      <c r="B10016" s="115"/>
      <c r="C10016" s="115"/>
      <c r="D10016" s="115"/>
      <c r="E10016" s="115"/>
    </row>
    <row r="10017" spans="1:5" ht="13">
      <c r="A10017" s="115"/>
      <c r="B10017" s="115"/>
      <c r="C10017" s="115"/>
      <c r="D10017" s="115"/>
      <c r="E10017" s="115"/>
    </row>
    <row r="10018" spans="1:5" ht="13">
      <c r="A10018" s="115"/>
      <c r="B10018" s="115"/>
      <c r="C10018" s="115"/>
      <c r="D10018" s="115"/>
      <c r="E10018" s="115"/>
    </row>
    <row r="10019" spans="1:5" ht="13">
      <c r="A10019" s="115"/>
      <c r="B10019" s="115"/>
      <c r="C10019" s="115"/>
      <c r="D10019" s="115"/>
      <c r="E10019" s="115"/>
    </row>
    <row r="10020" spans="1:5" ht="13">
      <c r="A10020" s="115"/>
      <c r="B10020" s="115"/>
      <c r="C10020" s="115"/>
      <c r="D10020" s="115"/>
      <c r="E10020" s="115"/>
    </row>
    <row r="10021" spans="1:5" ht="13">
      <c r="A10021" s="115"/>
      <c r="B10021" s="115"/>
      <c r="C10021" s="115"/>
      <c r="D10021" s="115"/>
      <c r="E10021" s="115"/>
    </row>
    <row r="10022" spans="1:5" ht="13">
      <c r="A10022" s="115"/>
      <c r="B10022" s="115"/>
      <c r="C10022" s="115"/>
      <c r="D10022" s="115"/>
      <c r="E10022" s="115"/>
    </row>
    <row r="10023" spans="1:5" ht="13">
      <c r="A10023" s="115"/>
      <c r="B10023" s="115"/>
      <c r="C10023" s="115"/>
      <c r="D10023" s="115"/>
      <c r="E10023" s="115"/>
    </row>
    <row r="10024" spans="1:5" ht="13">
      <c r="A10024" s="115"/>
      <c r="B10024" s="115"/>
      <c r="C10024" s="115"/>
      <c r="D10024" s="115"/>
      <c r="E10024" s="115"/>
    </row>
    <row r="10025" spans="1:5" ht="13">
      <c r="A10025" s="115"/>
      <c r="B10025" s="115"/>
      <c r="C10025" s="115"/>
      <c r="D10025" s="115"/>
      <c r="E10025" s="115"/>
    </row>
    <row r="10026" spans="1:5" ht="13">
      <c r="A10026" s="115"/>
      <c r="B10026" s="115"/>
      <c r="C10026" s="115"/>
      <c r="D10026" s="115"/>
      <c r="E10026" s="115"/>
    </row>
    <row r="10027" spans="1:5" ht="13">
      <c r="A10027" s="115"/>
      <c r="B10027" s="115"/>
      <c r="C10027" s="115"/>
      <c r="D10027" s="115"/>
      <c r="E10027" s="115"/>
    </row>
    <row r="10028" spans="1:5" ht="13">
      <c r="A10028" s="115"/>
      <c r="B10028" s="115"/>
      <c r="C10028" s="115"/>
      <c r="D10028" s="115"/>
      <c r="E10028" s="115"/>
    </row>
    <row r="10029" spans="1:5" ht="13">
      <c r="A10029" s="115"/>
      <c r="B10029" s="115"/>
      <c r="C10029" s="115"/>
      <c r="D10029" s="115"/>
      <c r="E10029" s="115"/>
    </row>
    <row r="10030" spans="1:5" ht="13">
      <c r="A10030" s="115"/>
      <c r="B10030" s="115"/>
      <c r="C10030" s="115"/>
      <c r="D10030" s="115"/>
      <c r="E10030" s="115"/>
    </row>
    <row r="10031" spans="1:5" ht="13">
      <c r="A10031" s="115"/>
      <c r="B10031" s="115"/>
      <c r="C10031" s="115"/>
      <c r="D10031" s="115"/>
      <c r="E10031" s="115"/>
    </row>
    <row r="10032" spans="1:5" ht="13">
      <c r="A10032" s="115"/>
      <c r="B10032" s="115"/>
      <c r="C10032" s="115"/>
      <c r="D10032" s="115"/>
      <c r="E10032" s="115"/>
    </row>
    <row r="10033" spans="1:5" ht="13">
      <c r="A10033" s="115"/>
      <c r="B10033" s="115"/>
      <c r="C10033" s="115"/>
      <c r="D10033" s="115"/>
      <c r="E10033" s="115"/>
    </row>
    <row r="10034" spans="1:5" ht="13">
      <c r="A10034" s="115"/>
      <c r="B10034" s="115"/>
      <c r="C10034" s="115"/>
      <c r="D10034" s="115"/>
      <c r="E10034" s="115"/>
    </row>
    <row r="10035" spans="1:5" ht="13">
      <c r="A10035" s="115"/>
      <c r="B10035" s="115"/>
      <c r="C10035" s="115"/>
      <c r="D10035" s="115"/>
      <c r="E10035" s="115"/>
    </row>
    <row r="10036" spans="1:5" ht="13">
      <c r="A10036" s="115"/>
      <c r="B10036" s="115"/>
      <c r="C10036" s="115"/>
      <c r="D10036" s="115"/>
      <c r="E10036" s="115"/>
    </row>
    <row r="10037" spans="1:5" ht="13">
      <c r="A10037" s="115"/>
      <c r="B10037" s="115"/>
      <c r="C10037" s="115"/>
      <c r="D10037" s="115"/>
      <c r="E10037" s="115"/>
    </row>
    <row r="10038" spans="1:5" ht="13">
      <c r="A10038" s="115"/>
      <c r="B10038" s="115"/>
      <c r="C10038" s="115"/>
      <c r="D10038" s="115"/>
      <c r="E10038" s="115"/>
    </row>
    <row r="10039" spans="1:5" ht="13">
      <c r="A10039" s="115"/>
      <c r="B10039" s="115"/>
      <c r="C10039" s="115"/>
      <c r="D10039" s="115"/>
      <c r="E10039" s="115"/>
    </row>
    <row r="10040" spans="1:5" ht="13">
      <c r="A10040" s="115"/>
      <c r="B10040" s="115"/>
      <c r="C10040" s="115"/>
      <c r="D10040" s="115"/>
      <c r="E10040" s="115"/>
    </row>
    <row r="10041" spans="1:5" ht="13">
      <c r="A10041" s="115"/>
      <c r="B10041" s="115"/>
      <c r="C10041" s="115"/>
      <c r="D10041" s="115"/>
      <c r="E10041" s="115"/>
    </row>
    <row r="10042" spans="1:5" ht="13">
      <c r="A10042" s="115"/>
      <c r="B10042" s="115"/>
      <c r="C10042" s="115"/>
      <c r="D10042" s="115"/>
      <c r="E10042" s="115"/>
    </row>
    <row r="10043" spans="1:5" ht="13">
      <c r="A10043" s="115"/>
      <c r="B10043" s="115"/>
      <c r="C10043" s="115"/>
      <c r="D10043" s="115"/>
      <c r="E10043" s="115"/>
    </row>
    <row r="10044" spans="1:5" ht="13">
      <c r="A10044" s="115"/>
      <c r="B10044" s="115"/>
      <c r="C10044" s="115"/>
      <c r="D10044" s="115"/>
      <c r="E10044" s="115"/>
    </row>
    <row r="10045" spans="1:5" ht="13">
      <c r="A10045" s="115"/>
      <c r="B10045" s="115"/>
      <c r="C10045" s="115"/>
      <c r="D10045" s="115"/>
      <c r="E10045" s="115"/>
    </row>
    <row r="10046" spans="1:5" ht="13">
      <c r="A10046" s="115"/>
      <c r="B10046" s="115"/>
      <c r="C10046" s="115"/>
      <c r="D10046" s="115"/>
      <c r="E10046" s="115"/>
    </row>
    <row r="10047" spans="1:5" ht="13">
      <c r="A10047" s="115"/>
      <c r="B10047" s="115"/>
      <c r="C10047" s="115"/>
      <c r="D10047" s="115"/>
      <c r="E10047" s="115"/>
    </row>
    <row r="10048" spans="1:5" ht="13">
      <c r="A10048" s="115"/>
      <c r="B10048" s="115"/>
      <c r="C10048" s="115"/>
      <c r="D10048" s="115"/>
      <c r="E10048" s="115"/>
    </row>
    <row r="10049" spans="1:5" ht="13">
      <c r="A10049" s="115"/>
      <c r="B10049" s="115"/>
      <c r="C10049" s="115"/>
      <c r="D10049" s="115"/>
      <c r="E10049" s="115"/>
    </row>
    <row r="10050" spans="1:5" ht="13">
      <c r="A10050" s="115"/>
      <c r="B10050" s="115"/>
      <c r="C10050" s="115"/>
      <c r="D10050" s="115"/>
      <c r="E10050" s="115"/>
    </row>
    <row r="10051" spans="1:5" ht="13">
      <c r="A10051" s="115"/>
      <c r="B10051" s="115"/>
      <c r="C10051" s="115"/>
      <c r="D10051" s="115"/>
      <c r="E10051" s="115"/>
    </row>
    <row r="10052" spans="1:5" ht="13">
      <c r="A10052" s="115"/>
      <c r="B10052" s="115"/>
      <c r="C10052" s="115"/>
      <c r="D10052" s="115"/>
      <c r="E10052" s="115"/>
    </row>
    <row r="10053" spans="1:5" ht="13">
      <c r="A10053" s="115"/>
      <c r="B10053" s="115"/>
      <c r="C10053" s="115"/>
      <c r="D10053" s="115"/>
      <c r="E10053" s="115"/>
    </row>
    <row r="10054" spans="1:5" ht="13">
      <c r="A10054" s="115"/>
      <c r="B10054" s="115"/>
      <c r="C10054" s="115"/>
      <c r="D10054" s="115"/>
      <c r="E10054" s="115"/>
    </row>
    <row r="10055" spans="1:5" ht="13">
      <c r="A10055" s="115"/>
      <c r="B10055" s="115"/>
      <c r="C10055" s="115"/>
      <c r="D10055" s="115"/>
      <c r="E10055" s="115"/>
    </row>
    <row r="10056" spans="1:5" ht="13">
      <c r="A10056" s="115"/>
      <c r="B10056" s="115"/>
      <c r="C10056" s="115"/>
      <c r="D10056" s="115"/>
      <c r="E10056" s="115"/>
    </row>
    <row r="10057" spans="1:5" ht="13">
      <c r="A10057" s="115"/>
      <c r="B10057" s="115"/>
      <c r="C10057" s="115"/>
      <c r="D10057" s="115"/>
      <c r="E10057" s="115"/>
    </row>
    <row r="10058" spans="1:5" ht="13">
      <c r="A10058" s="115"/>
      <c r="B10058" s="115"/>
      <c r="C10058" s="115"/>
      <c r="D10058" s="115"/>
      <c r="E10058" s="115"/>
    </row>
    <row r="10059" spans="1:5" ht="13">
      <c r="A10059" s="115"/>
      <c r="B10059" s="115"/>
      <c r="C10059" s="115"/>
      <c r="D10059" s="115"/>
      <c r="E10059" s="115"/>
    </row>
    <row r="10060" spans="1:5" ht="13">
      <c r="A10060" s="115"/>
      <c r="B10060" s="115"/>
      <c r="C10060" s="115"/>
      <c r="D10060" s="115"/>
      <c r="E10060" s="115"/>
    </row>
    <row r="10061" spans="1:5" ht="13">
      <c r="A10061" s="115"/>
      <c r="B10061" s="115"/>
      <c r="C10061" s="115"/>
      <c r="D10061" s="115"/>
      <c r="E10061" s="115"/>
    </row>
    <row r="10062" spans="1:5" ht="13">
      <c r="A10062" s="115"/>
      <c r="B10062" s="115"/>
      <c r="C10062" s="115"/>
      <c r="D10062" s="115"/>
      <c r="E10062" s="115"/>
    </row>
    <row r="10063" spans="1:5" ht="13">
      <c r="A10063" s="115"/>
      <c r="B10063" s="115"/>
      <c r="C10063" s="115"/>
      <c r="D10063" s="115"/>
      <c r="E10063" s="115"/>
    </row>
    <row r="10064" spans="1:5" ht="13">
      <c r="A10064" s="115"/>
      <c r="B10064" s="115"/>
      <c r="C10064" s="115"/>
      <c r="D10064" s="115"/>
      <c r="E10064" s="115"/>
    </row>
    <row r="10065" spans="1:5" ht="13">
      <c r="A10065" s="115"/>
      <c r="B10065" s="115"/>
      <c r="C10065" s="115"/>
      <c r="D10065" s="115"/>
      <c r="E10065" s="115"/>
    </row>
    <row r="10066" spans="1:5" ht="13">
      <c r="A10066" s="115"/>
      <c r="B10066" s="115"/>
      <c r="C10066" s="115"/>
      <c r="D10066" s="115"/>
      <c r="E10066" s="115"/>
    </row>
    <row r="10067" spans="1:5" ht="13">
      <c r="A10067" s="115"/>
      <c r="B10067" s="115"/>
      <c r="C10067" s="115"/>
      <c r="D10067" s="115"/>
      <c r="E10067" s="115"/>
    </row>
    <row r="10068" spans="1:5" ht="13">
      <c r="A10068" s="115"/>
      <c r="B10068" s="115"/>
      <c r="C10068" s="115"/>
      <c r="D10068" s="115"/>
      <c r="E10068" s="115"/>
    </row>
    <row r="10069" spans="1:5" ht="13">
      <c r="A10069" s="115"/>
      <c r="B10069" s="115"/>
      <c r="C10069" s="115"/>
      <c r="D10069" s="115"/>
      <c r="E10069" s="115"/>
    </row>
    <row r="10070" spans="1:5" ht="13">
      <c r="A10070" s="115"/>
      <c r="B10070" s="115"/>
      <c r="C10070" s="115"/>
      <c r="D10070" s="115"/>
      <c r="E10070" s="115"/>
    </row>
    <row r="10071" spans="1:5" ht="13">
      <c r="A10071" s="115"/>
      <c r="B10071" s="115"/>
      <c r="C10071" s="115"/>
      <c r="D10071" s="115"/>
      <c r="E10071" s="115"/>
    </row>
    <row r="10072" spans="1:5" ht="13">
      <c r="A10072" s="115"/>
      <c r="B10072" s="115"/>
      <c r="C10072" s="115"/>
      <c r="D10072" s="115"/>
      <c r="E10072" s="115"/>
    </row>
    <row r="10073" spans="1:5" ht="13">
      <c r="A10073" s="115"/>
      <c r="B10073" s="115"/>
      <c r="C10073" s="115"/>
      <c r="D10073" s="115"/>
      <c r="E10073" s="115"/>
    </row>
    <row r="10074" spans="1:5" ht="13">
      <c r="A10074" s="115"/>
      <c r="B10074" s="115"/>
      <c r="C10074" s="115"/>
      <c r="D10074" s="115"/>
      <c r="E10074" s="115"/>
    </row>
    <row r="10075" spans="1:5" ht="13">
      <c r="A10075" s="115"/>
      <c r="B10075" s="115"/>
      <c r="C10075" s="115"/>
      <c r="D10075" s="115"/>
      <c r="E10075" s="115"/>
    </row>
    <row r="10076" spans="1:5" ht="13">
      <c r="A10076" s="115"/>
      <c r="B10076" s="115"/>
      <c r="C10076" s="115"/>
      <c r="D10076" s="115"/>
      <c r="E10076" s="115"/>
    </row>
    <row r="10077" spans="1:5" ht="13">
      <c r="A10077" s="115"/>
      <c r="B10077" s="115"/>
      <c r="C10077" s="115"/>
      <c r="D10077" s="115"/>
      <c r="E10077" s="115"/>
    </row>
    <row r="10078" spans="1:5" ht="13">
      <c r="A10078" s="115"/>
      <c r="B10078" s="115"/>
      <c r="C10078" s="115"/>
      <c r="D10078" s="115"/>
      <c r="E10078" s="115"/>
    </row>
    <row r="10079" spans="1:5" ht="13">
      <c r="A10079" s="115"/>
      <c r="B10079" s="115"/>
      <c r="C10079" s="115"/>
      <c r="D10079" s="115"/>
      <c r="E10079" s="115"/>
    </row>
    <row r="10080" spans="1:5" ht="13">
      <c r="A10080" s="115"/>
      <c r="B10080" s="115"/>
      <c r="C10080" s="115"/>
      <c r="D10080" s="115"/>
      <c r="E10080" s="115"/>
    </row>
    <row r="10081" spans="1:5" ht="13">
      <c r="A10081" s="115"/>
      <c r="B10081" s="115"/>
      <c r="C10081" s="115"/>
      <c r="D10081" s="115"/>
      <c r="E10081" s="115"/>
    </row>
    <row r="10082" spans="1:5" ht="13">
      <c r="A10082" s="115"/>
      <c r="B10082" s="115"/>
      <c r="C10082" s="115"/>
      <c r="D10082" s="115"/>
      <c r="E10082" s="115"/>
    </row>
    <row r="10083" spans="1:5" ht="13">
      <c r="A10083" s="115"/>
      <c r="B10083" s="115"/>
      <c r="C10083" s="115"/>
      <c r="D10083" s="115"/>
      <c r="E10083" s="115"/>
    </row>
    <row r="10084" spans="1:5" ht="13">
      <c r="A10084" s="115"/>
      <c r="B10084" s="115"/>
      <c r="C10084" s="115"/>
      <c r="D10084" s="115"/>
      <c r="E10084" s="115"/>
    </row>
    <row r="10085" spans="1:5" ht="13">
      <c r="A10085" s="115"/>
      <c r="B10085" s="115"/>
      <c r="C10085" s="115"/>
      <c r="D10085" s="115"/>
      <c r="E10085" s="115"/>
    </row>
    <row r="10086" spans="1:5" ht="13">
      <c r="A10086" s="115"/>
      <c r="B10086" s="115"/>
      <c r="C10086" s="115"/>
      <c r="D10086" s="115"/>
      <c r="E10086" s="115"/>
    </row>
    <row r="10087" spans="1:5" ht="13">
      <c r="A10087" s="115"/>
      <c r="B10087" s="115"/>
      <c r="C10087" s="115"/>
      <c r="D10087" s="115"/>
      <c r="E10087" s="115"/>
    </row>
    <row r="10088" spans="1:5" ht="13">
      <c r="A10088" s="115"/>
      <c r="B10088" s="115"/>
      <c r="C10088" s="115"/>
      <c r="D10088" s="115"/>
      <c r="E10088" s="115"/>
    </row>
    <row r="10089" spans="1:5" ht="13">
      <c r="A10089" s="115"/>
      <c r="B10089" s="115"/>
      <c r="C10089" s="115"/>
      <c r="D10089" s="115"/>
      <c r="E10089" s="115"/>
    </row>
    <row r="10090" spans="1:5" ht="13">
      <c r="A10090" s="115"/>
      <c r="B10090" s="115"/>
      <c r="C10090" s="115"/>
      <c r="D10090" s="115"/>
      <c r="E10090" s="115"/>
    </row>
    <row r="10091" spans="1:5" ht="13">
      <c r="A10091" s="115"/>
      <c r="B10091" s="115"/>
      <c r="C10091" s="115"/>
      <c r="D10091" s="115"/>
      <c r="E10091" s="115"/>
    </row>
    <row r="10092" spans="1:5" ht="13">
      <c r="A10092" s="115"/>
      <c r="B10092" s="115"/>
      <c r="C10092" s="115"/>
      <c r="D10092" s="115"/>
      <c r="E10092" s="115"/>
    </row>
    <row r="10093" spans="1:5" ht="13">
      <c r="A10093" s="115"/>
      <c r="B10093" s="115"/>
      <c r="C10093" s="115"/>
      <c r="D10093" s="115"/>
      <c r="E10093" s="115"/>
    </row>
    <row r="10094" spans="1:5" ht="13">
      <c r="A10094" s="115"/>
      <c r="B10094" s="115"/>
      <c r="C10094" s="115"/>
      <c r="D10094" s="115"/>
      <c r="E10094" s="115"/>
    </row>
    <row r="10095" spans="1:5" ht="13">
      <c r="A10095" s="115"/>
      <c r="B10095" s="115"/>
      <c r="C10095" s="115"/>
      <c r="D10095" s="115"/>
      <c r="E10095" s="115"/>
    </row>
    <row r="10096" spans="1:5" ht="13">
      <c r="A10096" s="115"/>
      <c r="B10096" s="115"/>
      <c r="C10096" s="115"/>
      <c r="D10096" s="115"/>
      <c r="E10096" s="115"/>
    </row>
    <row r="10097" spans="1:5" ht="13">
      <c r="A10097" s="115"/>
      <c r="B10097" s="115"/>
      <c r="C10097" s="115"/>
      <c r="D10097" s="115"/>
      <c r="E10097" s="115"/>
    </row>
    <row r="10098" spans="1:5" ht="13">
      <c r="A10098" s="115"/>
      <c r="B10098" s="115"/>
      <c r="C10098" s="115"/>
      <c r="D10098" s="115"/>
      <c r="E10098" s="115"/>
    </row>
    <row r="10099" spans="1:5" ht="13">
      <c r="A10099" s="115"/>
      <c r="B10099" s="115"/>
      <c r="C10099" s="115"/>
      <c r="D10099" s="115"/>
      <c r="E10099" s="115"/>
    </row>
    <row r="10100" spans="1:5" ht="13">
      <c r="A10100" s="115"/>
      <c r="B10100" s="115"/>
      <c r="C10100" s="115"/>
      <c r="D10100" s="115"/>
      <c r="E10100" s="115"/>
    </row>
    <row r="10101" spans="1:5" ht="13">
      <c r="A10101" s="115"/>
      <c r="B10101" s="115"/>
      <c r="C10101" s="115"/>
      <c r="D10101" s="115"/>
      <c r="E10101" s="115"/>
    </row>
    <row r="10102" spans="1:5" ht="13">
      <c r="A10102" s="115"/>
      <c r="B10102" s="115"/>
      <c r="C10102" s="115"/>
      <c r="D10102" s="115"/>
      <c r="E10102" s="115"/>
    </row>
    <row r="10103" spans="1:5" ht="13">
      <c r="A10103" s="115"/>
      <c r="B10103" s="115"/>
      <c r="C10103" s="115"/>
      <c r="D10103" s="115"/>
      <c r="E10103" s="115"/>
    </row>
    <row r="10104" spans="1:5" ht="13">
      <c r="A10104" s="115"/>
      <c r="B10104" s="115"/>
      <c r="C10104" s="115"/>
      <c r="D10104" s="115"/>
      <c r="E10104" s="115"/>
    </row>
    <row r="10105" spans="1:5" ht="13">
      <c r="A10105" s="115"/>
      <c r="B10105" s="115"/>
      <c r="C10105" s="115"/>
      <c r="D10105" s="115"/>
      <c r="E10105" s="115"/>
    </row>
    <row r="10106" spans="1:5" ht="13">
      <c r="A10106" s="115"/>
      <c r="B10106" s="115"/>
      <c r="C10106" s="115"/>
      <c r="D10106" s="115"/>
      <c r="E10106" s="115"/>
    </row>
    <row r="10107" spans="1:5" ht="13">
      <c r="A10107" s="115"/>
      <c r="B10107" s="115"/>
      <c r="C10107" s="115"/>
      <c r="D10107" s="115"/>
      <c r="E10107" s="115"/>
    </row>
    <row r="10108" spans="1:5" ht="13">
      <c r="A10108" s="115"/>
      <c r="B10108" s="115"/>
      <c r="C10108" s="115"/>
      <c r="D10108" s="115"/>
      <c r="E10108" s="115"/>
    </row>
    <row r="10109" spans="1:5" ht="13">
      <c r="A10109" s="115"/>
      <c r="B10109" s="115"/>
      <c r="C10109" s="115"/>
      <c r="D10109" s="115"/>
      <c r="E10109" s="115"/>
    </row>
    <row r="10110" spans="1:5" ht="13">
      <c r="A10110" s="115"/>
      <c r="B10110" s="115"/>
      <c r="C10110" s="115"/>
      <c r="D10110" s="115"/>
      <c r="E10110" s="115"/>
    </row>
    <row r="10111" spans="1:5" ht="13">
      <c r="A10111" s="115"/>
      <c r="B10111" s="115"/>
      <c r="C10111" s="115"/>
      <c r="D10111" s="115"/>
      <c r="E10111" s="115"/>
    </row>
    <row r="10112" spans="1:5" ht="13">
      <c r="A10112" s="115"/>
      <c r="B10112" s="115"/>
      <c r="C10112" s="115"/>
      <c r="D10112" s="115"/>
      <c r="E10112" s="115"/>
    </row>
    <row r="10113" spans="1:5" ht="13">
      <c r="A10113" s="115"/>
      <c r="B10113" s="115"/>
      <c r="C10113" s="115"/>
      <c r="D10113" s="115"/>
      <c r="E10113" s="115"/>
    </row>
    <row r="10114" spans="1:5" ht="13">
      <c r="A10114" s="115"/>
      <c r="B10114" s="115"/>
      <c r="C10114" s="115"/>
      <c r="D10114" s="115"/>
      <c r="E10114" s="115"/>
    </row>
    <row r="10115" spans="1:5" ht="13">
      <c r="A10115" s="115"/>
      <c r="B10115" s="115"/>
      <c r="C10115" s="115"/>
      <c r="D10115" s="115"/>
      <c r="E10115" s="115"/>
    </row>
    <row r="10116" spans="1:5" ht="13">
      <c r="A10116" s="115"/>
      <c r="B10116" s="115"/>
      <c r="C10116" s="115"/>
      <c r="D10116" s="115"/>
      <c r="E10116" s="115"/>
    </row>
    <row r="10117" spans="1:5" ht="13">
      <c r="A10117" s="115"/>
      <c r="B10117" s="115"/>
      <c r="C10117" s="115"/>
      <c r="D10117" s="115"/>
      <c r="E10117" s="115"/>
    </row>
    <row r="10118" spans="1:5" ht="13">
      <c r="A10118" s="115"/>
      <c r="B10118" s="115"/>
      <c r="C10118" s="115"/>
      <c r="D10118" s="115"/>
      <c r="E10118" s="115"/>
    </row>
    <row r="10119" spans="1:5" ht="13">
      <c r="A10119" s="115"/>
      <c r="B10119" s="115"/>
      <c r="C10119" s="115"/>
      <c r="D10119" s="115"/>
      <c r="E10119" s="115"/>
    </row>
    <row r="10120" spans="1:5" ht="13">
      <c r="A10120" s="115"/>
      <c r="B10120" s="115"/>
      <c r="C10120" s="115"/>
      <c r="D10120" s="115"/>
      <c r="E10120" s="115"/>
    </row>
    <row r="10121" spans="1:5" ht="13">
      <c r="A10121" s="115"/>
      <c r="B10121" s="115"/>
      <c r="C10121" s="115"/>
      <c r="D10121" s="115"/>
      <c r="E10121" s="115"/>
    </row>
    <row r="10122" spans="1:5" ht="13">
      <c r="A10122" s="115"/>
      <c r="B10122" s="115"/>
      <c r="C10122" s="115"/>
      <c r="D10122" s="115"/>
      <c r="E10122" s="115"/>
    </row>
    <row r="10123" spans="1:5" ht="13">
      <c r="A10123" s="115"/>
      <c r="B10123" s="115"/>
      <c r="C10123" s="115"/>
      <c r="D10123" s="115"/>
      <c r="E10123" s="115"/>
    </row>
    <row r="10124" spans="1:5" ht="13">
      <c r="A10124" s="115"/>
      <c r="B10124" s="115"/>
      <c r="C10124" s="115"/>
      <c r="D10124" s="115"/>
      <c r="E10124" s="115"/>
    </row>
    <row r="10125" spans="1:5" ht="13">
      <c r="A10125" s="115"/>
      <c r="B10125" s="115"/>
      <c r="C10125" s="115"/>
      <c r="D10125" s="115"/>
      <c r="E10125" s="115"/>
    </row>
    <row r="10126" spans="1:5" ht="13">
      <c r="A10126" s="115"/>
      <c r="B10126" s="115"/>
      <c r="C10126" s="115"/>
      <c r="D10126" s="115"/>
      <c r="E10126" s="115"/>
    </row>
    <row r="10127" spans="1:5" ht="13">
      <c r="A10127" s="115"/>
      <c r="B10127" s="115"/>
      <c r="C10127" s="115"/>
      <c r="D10127" s="115"/>
      <c r="E10127" s="115"/>
    </row>
    <row r="10128" spans="1:5" ht="13">
      <c r="A10128" s="115"/>
      <c r="B10128" s="115"/>
      <c r="C10128" s="115"/>
      <c r="D10128" s="115"/>
      <c r="E10128" s="115"/>
    </row>
    <row r="10129" spans="1:5" ht="13">
      <c r="A10129" s="115"/>
      <c r="B10129" s="115"/>
      <c r="C10129" s="115"/>
      <c r="D10129" s="115"/>
      <c r="E10129" s="115"/>
    </row>
    <row r="10130" spans="1:5" ht="13">
      <c r="A10130" s="115"/>
      <c r="B10130" s="115"/>
      <c r="C10130" s="115"/>
      <c r="D10130" s="115"/>
      <c r="E10130" s="115"/>
    </row>
    <row r="10131" spans="1:5" ht="13">
      <c r="A10131" s="115"/>
      <c r="B10131" s="115"/>
      <c r="C10131" s="115"/>
      <c r="D10131" s="115"/>
      <c r="E10131" s="115"/>
    </row>
    <row r="10132" spans="1:5" ht="13">
      <c r="A10132" s="115"/>
      <c r="B10132" s="115"/>
      <c r="C10132" s="115"/>
      <c r="D10132" s="115"/>
      <c r="E10132" s="115"/>
    </row>
    <row r="10133" spans="1:5" ht="13">
      <c r="A10133" s="115"/>
      <c r="B10133" s="115"/>
      <c r="C10133" s="115"/>
      <c r="D10133" s="115"/>
      <c r="E10133" s="115"/>
    </row>
    <row r="10134" spans="1:5" ht="13">
      <c r="A10134" s="115"/>
      <c r="B10134" s="115"/>
      <c r="C10134" s="115"/>
      <c r="D10134" s="115"/>
      <c r="E10134" s="115"/>
    </row>
    <row r="10135" spans="1:5" ht="13">
      <c r="A10135" s="115"/>
      <c r="B10135" s="115"/>
      <c r="C10135" s="115"/>
      <c r="D10135" s="115"/>
      <c r="E10135" s="115"/>
    </row>
    <row r="10136" spans="1:5" ht="13">
      <c r="A10136" s="115"/>
      <c r="B10136" s="115"/>
      <c r="C10136" s="115"/>
      <c r="D10136" s="115"/>
      <c r="E10136" s="115"/>
    </row>
    <row r="10137" spans="1:5" ht="13">
      <c r="A10137" s="115"/>
      <c r="B10137" s="115"/>
      <c r="C10137" s="115"/>
      <c r="D10137" s="115"/>
      <c r="E10137" s="115"/>
    </row>
    <row r="10138" spans="1:5" ht="13">
      <c r="A10138" s="115"/>
      <c r="B10138" s="115"/>
      <c r="C10138" s="115"/>
      <c r="D10138" s="115"/>
      <c r="E10138" s="115"/>
    </row>
    <row r="10139" spans="1:5" ht="13">
      <c r="A10139" s="115"/>
      <c r="B10139" s="115"/>
      <c r="C10139" s="115"/>
      <c r="D10139" s="115"/>
      <c r="E10139" s="115"/>
    </row>
    <row r="10140" spans="1:5" ht="13">
      <c r="A10140" s="115"/>
      <c r="B10140" s="115"/>
      <c r="C10140" s="115"/>
      <c r="D10140" s="115"/>
      <c r="E10140" s="115"/>
    </row>
    <row r="10141" spans="1:5" ht="13">
      <c r="A10141" s="115"/>
      <c r="B10141" s="115"/>
      <c r="C10141" s="115"/>
      <c r="D10141" s="115"/>
      <c r="E10141" s="115"/>
    </row>
    <row r="10142" spans="1:5" ht="13">
      <c r="A10142" s="115"/>
      <c r="B10142" s="115"/>
      <c r="C10142" s="115"/>
      <c r="D10142" s="115"/>
      <c r="E10142" s="115"/>
    </row>
    <row r="10143" spans="1:5" ht="13">
      <c r="A10143" s="115"/>
      <c r="B10143" s="115"/>
      <c r="C10143" s="115"/>
      <c r="D10143" s="115"/>
      <c r="E10143" s="115"/>
    </row>
    <row r="10144" spans="1:5" ht="13">
      <c r="A10144" s="115"/>
      <c r="B10144" s="115"/>
      <c r="C10144" s="115"/>
      <c r="D10144" s="115"/>
      <c r="E10144" s="115"/>
    </row>
    <row r="10145" spans="1:5" ht="13">
      <c r="A10145" s="115"/>
      <c r="B10145" s="115"/>
      <c r="C10145" s="115"/>
      <c r="D10145" s="115"/>
      <c r="E10145" s="115"/>
    </row>
    <row r="10146" spans="1:5" ht="13">
      <c r="A10146" s="115"/>
      <c r="B10146" s="115"/>
      <c r="C10146" s="115"/>
      <c r="D10146" s="115"/>
      <c r="E10146" s="115"/>
    </row>
    <row r="10147" spans="1:5" ht="13">
      <c r="A10147" s="115"/>
      <c r="B10147" s="115"/>
      <c r="C10147" s="115"/>
      <c r="D10147" s="115"/>
      <c r="E10147" s="115"/>
    </row>
    <row r="10148" spans="1:5" ht="13">
      <c r="A10148" s="115"/>
      <c r="B10148" s="115"/>
      <c r="C10148" s="115"/>
      <c r="D10148" s="115"/>
      <c r="E10148" s="115"/>
    </row>
    <row r="10149" spans="1:5" ht="13">
      <c r="A10149" s="115"/>
      <c r="B10149" s="115"/>
      <c r="C10149" s="115"/>
      <c r="D10149" s="115"/>
      <c r="E10149" s="115"/>
    </row>
    <row r="10150" spans="1:5" ht="13">
      <c r="A10150" s="115"/>
      <c r="B10150" s="115"/>
      <c r="C10150" s="115"/>
      <c r="D10150" s="115"/>
      <c r="E10150" s="115"/>
    </row>
    <row r="10151" spans="1:5" ht="13">
      <c r="A10151" s="115"/>
      <c r="B10151" s="115"/>
      <c r="C10151" s="115"/>
      <c r="D10151" s="115"/>
      <c r="E10151" s="115"/>
    </row>
    <row r="10152" spans="1:5" ht="13">
      <c r="A10152" s="115"/>
      <c r="B10152" s="115"/>
      <c r="C10152" s="115"/>
      <c r="D10152" s="115"/>
      <c r="E10152" s="115"/>
    </row>
    <row r="10153" spans="1:5" ht="13">
      <c r="A10153" s="115"/>
      <c r="B10153" s="115"/>
      <c r="C10153" s="115"/>
      <c r="D10153" s="115"/>
      <c r="E10153" s="115"/>
    </row>
    <row r="10154" spans="1:5" ht="13">
      <c r="A10154" s="115"/>
      <c r="B10154" s="115"/>
      <c r="C10154" s="115"/>
      <c r="D10154" s="115"/>
      <c r="E10154" s="115"/>
    </row>
    <row r="10155" spans="1:5" ht="13">
      <c r="A10155" s="115"/>
      <c r="B10155" s="115"/>
      <c r="C10155" s="115"/>
      <c r="D10155" s="115"/>
      <c r="E10155" s="115"/>
    </row>
    <row r="10156" spans="1:5" ht="13">
      <c r="A10156" s="115"/>
      <c r="B10156" s="115"/>
      <c r="C10156" s="115"/>
      <c r="D10156" s="115"/>
      <c r="E10156" s="115"/>
    </row>
    <row r="10157" spans="1:5" ht="13">
      <c r="A10157" s="115"/>
      <c r="B10157" s="115"/>
      <c r="C10157" s="115"/>
      <c r="D10157" s="115"/>
      <c r="E10157" s="115"/>
    </row>
    <row r="10158" spans="1:5" ht="13">
      <c r="A10158" s="115"/>
      <c r="B10158" s="115"/>
      <c r="C10158" s="115"/>
      <c r="D10158" s="115"/>
      <c r="E10158" s="115"/>
    </row>
    <row r="10159" spans="1:5" ht="13">
      <c r="A10159" s="115"/>
      <c r="B10159" s="115"/>
      <c r="C10159" s="115"/>
      <c r="D10159" s="115"/>
      <c r="E10159" s="115"/>
    </row>
    <row r="10160" spans="1:5" ht="13">
      <c r="A10160" s="115"/>
      <c r="B10160" s="115"/>
      <c r="C10160" s="115"/>
      <c r="D10160" s="115"/>
      <c r="E10160" s="115"/>
    </row>
    <row r="10161" spans="1:5" ht="13">
      <c r="A10161" s="115"/>
      <c r="B10161" s="115"/>
      <c r="C10161" s="115"/>
      <c r="D10161" s="115"/>
      <c r="E10161" s="115"/>
    </row>
    <row r="10162" spans="1:5" ht="13">
      <c r="A10162" s="115"/>
      <c r="B10162" s="115"/>
      <c r="C10162" s="115"/>
      <c r="D10162" s="115"/>
      <c r="E10162" s="115"/>
    </row>
    <row r="10163" spans="1:5" ht="13">
      <c r="A10163" s="115"/>
      <c r="B10163" s="115"/>
      <c r="C10163" s="115"/>
      <c r="D10163" s="115"/>
      <c r="E10163" s="115"/>
    </row>
    <row r="10164" spans="1:5" ht="13">
      <c r="A10164" s="115"/>
      <c r="B10164" s="115"/>
      <c r="C10164" s="115"/>
      <c r="D10164" s="115"/>
      <c r="E10164" s="115"/>
    </row>
    <row r="10165" spans="1:5" ht="13">
      <c r="A10165" s="115"/>
      <c r="B10165" s="115"/>
      <c r="C10165" s="115"/>
      <c r="D10165" s="115"/>
      <c r="E10165" s="115"/>
    </row>
    <row r="10166" spans="1:5" ht="13">
      <c r="A10166" s="115"/>
      <c r="B10166" s="115"/>
      <c r="C10166" s="115"/>
      <c r="D10166" s="115"/>
      <c r="E10166" s="115"/>
    </row>
    <row r="10167" spans="1:5" ht="13">
      <c r="A10167" s="115"/>
      <c r="B10167" s="115"/>
      <c r="C10167" s="115"/>
      <c r="D10167" s="115"/>
      <c r="E10167" s="115"/>
    </row>
    <row r="10168" spans="1:5" ht="13">
      <c r="A10168" s="115"/>
      <c r="B10168" s="115"/>
      <c r="C10168" s="115"/>
      <c r="D10168" s="115"/>
      <c r="E10168" s="115"/>
    </row>
    <row r="10169" spans="1:5" ht="13">
      <c r="A10169" s="115"/>
      <c r="B10169" s="115"/>
      <c r="C10169" s="115"/>
      <c r="D10169" s="115"/>
      <c r="E10169" s="115"/>
    </row>
    <row r="10170" spans="1:5" ht="13">
      <c r="A10170" s="115"/>
      <c r="B10170" s="115"/>
      <c r="C10170" s="115"/>
      <c r="D10170" s="115"/>
      <c r="E10170" s="115"/>
    </row>
    <row r="10171" spans="1:5" ht="13">
      <c r="A10171" s="115"/>
      <c r="B10171" s="115"/>
      <c r="C10171" s="115"/>
      <c r="D10171" s="115"/>
      <c r="E10171" s="115"/>
    </row>
    <row r="10172" spans="1:5" ht="13">
      <c r="A10172" s="115"/>
      <c r="B10172" s="115"/>
      <c r="C10172" s="115"/>
      <c r="D10172" s="115"/>
      <c r="E10172" s="115"/>
    </row>
    <row r="10173" spans="1:5" ht="13">
      <c r="A10173" s="115"/>
      <c r="B10173" s="115"/>
      <c r="C10173" s="115"/>
      <c r="D10173" s="115"/>
      <c r="E10173" s="115"/>
    </row>
    <row r="10174" spans="1:5" ht="13">
      <c r="A10174" s="115"/>
      <c r="B10174" s="115"/>
      <c r="C10174" s="115"/>
      <c r="D10174" s="115"/>
      <c r="E10174" s="115"/>
    </row>
    <row r="10175" spans="1:5" ht="13">
      <c r="A10175" s="115"/>
      <c r="B10175" s="115"/>
      <c r="C10175" s="115"/>
      <c r="D10175" s="115"/>
      <c r="E10175" s="115"/>
    </row>
    <row r="10176" spans="1:5" ht="13">
      <c r="A10176" s="115"/>
      <c r="B10176" s="115"/>
      <c r="C10176" s="115"/>
      <c r="D10176" s="115"/>
      <c r="E10176" s="115"/>
    </row>
    <row r="10177" spans="1:5" ht="13">
      <c r="A10177" s="115"/>
      <c r="B10177" s="115"/>
      <c r="C10177" s="115"/>
      <c r="D10177" s="115"/>
      <c r="E10177" s="115"/>
    </row>
    <row r="10178" spans="1:5" ht="13">
      <c r="A10178" s="115"/>
      <c r="B10178" s="115"/>
      <c r="C10178" s="115"/>
      <c r="D10178" s="115"/>
      <c r="E10178" s="115"/>
    </row>
    <row r="10179" spans="1:5" ht="13">
      <c r="A10179" s="115"/>
      <c r="B10179" s="115"/>
      <c r="C10179" s="115"/>
      <c r="D10179" s="115"/>
      <c r="E10179" s="115"/>
    </row>
    <row r="10180" spans="1:5" ht="13">
      <c r="A10180" s="115"/>
      <c r="B10180" s="115"/>
      <c r="C10180" s="115"/>
      <c r="D10180" s="115"/>
      <c r="E10180" s="115"/>
    </row>
    <row r="10181" spans="1:5" ht="13">
      <c r="A10181" s="115"/>
      <c r="B10181" s="115"/>
      <c r="C10181" s="115"/>
      <c r="D10181" s="115"/>
      <c r="E10181" s="115"/>
    </row>
    <row r="10182" spans="1:5" ht="13">
      <c r="A10182" s="115"/>
      <c r="B10182" s="115"/>
      <c r="C10182" s="115"/>
      <c r="D10182" s="115"/>
      <c r="E10182" s="115"/>
    </row>
    <row r="10183" spans="1:5" ht="13">
      <c r="A10183" s="115"/>
      <c r="B10183" s="115"/>
      <c r="C10183" s="115"/>
      <c r="D10183" s="115"/>
      <c r="E10183" s="115"/>
    </row>
    <row r="10184" spans="1:5" ht="13">
      <c r="A10184" s="115"/>
      <c r="B10184" s="115"/>
      <c r="C10184" s="115"/>
      <c r="D10184" s="115"/>
      <c r="E10184" s="115"/>
    </row>
    <row r="10185" spans="1:5" ht="13">
      <c r="A10185" s="115"/>
      <c r="B10185" s="115"/>
      <c r="C10185" s="115"/>
      <c r="D10185" s="115"/>
      <c r="E10185" s="115"/>
    </row>
    <row r="10186" spans="1:5" ht="13">
      <c r="A10186" s="115"/>
      <c r="B10186" s="115"/>
      <c r="C10186" s="115"/>
      <c r="D10186" s="115"/>
      <c r="E10186" s="115"/>
    </row>
    <row r="10187" spans="1:5" ht="13">
      <c r="A10187" s="115"/>
      <c r="B10187" s="115"/>
      <c r="C10187" s="115"/>
      <c r="D10187" s="115"/>
      <c r="E10187" s="115"/>
    </row>
    <row r="10188" spans="1:5" ht="13">
      <c r="A10188" s="115"/>
      <c r="B10188" s="115"/>
      <c r="C10188" s="115"/>
      <c r="D10188" s="115"/>
      <c r="E10188" s="115"/>
    </row>
    <row r="10189" spans="1:5" ht="13">
      <c r="A10189" s="115"/>
      <c r="B10189" s="115"/>
      <c r="C10189" s="115"/>
      <c r="D10189" s="115"/>
      <c r="E10189" s="115"/>
    </row>
    <row r="10190" spans="1:5" ht="13">
      <c r="A10190" s="115"/>
      <c r="B10190" s="115"/>
      <c r="C10190" s="115"/>
      <c r="D10190" s="115"/>
      <c r="E10190" s="115"/>
    </row>
    <row r="10191" spans="1:5" ht="13">
      <c r="A10191" s="115"/>
      <c r="B10191" s="115"/>
      <c r="C10191" s="115"/>
      <c r="D10191" s="115"/>
      <c r="E10191" s="115"/>
    </row>
    <row r="10192" spans="1:5" ht="13">
      <c r="A10192" s="115"/>
      <c r="B10192" s="115"/>
      <c r="C10192" s="115"/>
      <c r="D10192" s="115"/>
      <c r="E10192" s="115"/>
    </row>
    <row r="10193" spans="1:5" ht="13">
      <c r="A10193" s="115"/>
      <c r="B10193" s="115"/>
      <c r="C10193" s="115"/>
      <c r="D10193" s="115"/>
      <c r="E10193" s="115"/>
    </row>
    <row r="10194" spans="1:5" ht="13">
      <c r="A10194" s="115"/>
      <c r="B10194" s="115"/>
      <c r="C10194" s="115"/>
      <c r="D10194" s="115"/>
      <c r="E10194" s="115"/>
    </row>
    <row r="10195" spans="1:5" ht="13">
      <c r="A10195" s="115"/>
      <c r="B10195" s="115"/>
      <c r="C10195" s="115"/>
      <c r="D10195" s="115"/>
      <c r="E10195" s="115"/>
    </row>
    <row r="10196" spans="1:5" ht="13">
      <c r="A10196" s="115"/>
      <c r="B10196" s="115"/>
      <c r="C10196" s="115"/>
      <c r="D10196" s="115"/>
      <c r="E10196" s="115"/>
    </row>
    <row r="10197" spans="1:5" ht="13">
      <c r="A10197" s="115"/>
      <c r="B10197" s="115"/>
      <c r="C10197" s="115"/>
      <c r="D10197" s="115"/>
      <c r="E10197" s="115"/>
    </row>
    <row r="10198" spans="1:5" ht="13">
      <c r="A10198" s="115"/>
      <c r="B10198" s="115"/>
      <c r="C10198" s="115"/>
      <c r="D10198" s="115"/>
      <c r="E10198" s="115"/>
    </row>
    <row r="10199" spans="1:5" ht="13">
      <c r="A10199" s="115"/>
      <c r="B10199" s="115"/>
      <c r="C10199" s="115"/>
      <c r="D10199" s="115"/>
      <c r="E10199" s="115"/>
    </row>
    <row r="10200" spans="1:5" ht="13">
      <c r="A10200" s="115"/>
      <c r="B10200" s="115"/>
      <c r="C10200" s="115"/>
      <c r="D10200" s="115"/>
      <c r="E10200" s="115"/>
    </row>
    <row r="10201" spans="1:5" ht="13">
      <c r="A10201" s="115"/>
      <c r="B10201" s="115"/>
      <c r="C10201" s="115"/>
      <c r="D10201" s="115"/>
      <c r="E10201" s="115"/>
    </row>
    <row r="10202" spans="1:5" ht="13">
      <c r="A10202" s="115"/>
      <c r="B10202" s="115"/>
      <c r="C10202" s="115"/>
      <c r="D10202" s="115"/>
      <c r="E10202" s="115"/>
    </row>
    <row r="10203" spans="1:5" ht="13">
      <c r="A10203" s="115"/>
      <c r="B10203" s="115"/>
      <c r="C10203" s="115"/>
      <c r="D10203" s="115"/>
      <c r="E10203" s="115"/>
    </row>
    <row r="10204" spans="1:5" ht="13">
      <c r="A10204" s="115"/>
      <c r="B10204" s="115"/>
      <c r="C10204" s="115"/>
      <c r="D10204" s="115"/>
      <c r="E10204" s="115"/>
    </row>
    <row r="10205" spans="1:5" ht="13">
      <c r="A10205" s="115"/>
      <c r="B10205" s="115"/>
      <c r="C10205" s="115"/>
      <c r="D10205" s="115"/>
      <c r="E10205" s="115"/>
    </row>
    <row r="10206" spans="1:5" ht="13">
      <c r="A10206" s="115"/>
      <c r="B10206" s="115"/>
      <c r="C10206" s="115"/>
      <c r="D10206" s="115"/>
      <c r="E10206" s="115"/>
    </row>
    <row r="10207" spans="1:5" ht="13">
      <c r="A10207" s="115"/>
      <c r="B10207" s="115"/>
      <c r="C10207" s="115"/>
      <c r="D10207" s="115"/>
      <c r="E10207" s="115"/>
    </row>
    <row r="10208" spans="1:5" ht="13">
      <c r="A10208" s="115"/>
      <c r="B10208" s="115"/>
      <c r="C10208" s="115"/>
      <c r="D10208" s="115"/>
      <c r="E10208" s="115"/>
    </row>
    <row r="10209" spans="1:5" ht="13">
      <c r="A10209" s="115"/>
      <c r="B10209" s="115"/>
      <c r="C10209" s="115"/>
      <c r="D10209" s="115"/>
      <c r="E10209" s="115"/>
    </row>
    <row r="10210" spans="1:5" ht="13">
      <c r="A10210" s="115"/>
      <c r="B10210" s="115"/>
      <c r="C10210" s="115"/>
      <c r="D10210" s="115"/>
      <c r="E10210" s="115"/>
    </row>
    <row r="10211" spans="1:5" ht="13">
      <c r="A10211" s="115"/>
      <c r="B10211" s="115"/>
      <c r="C10211" s="115"/>
      <c r="D10211" s="115"/>
      <c r="E10211" s="115"/>
    </row>
    <row r="10212" spans="1:5" ht="13">
      <c r="A10212" s="115"/>
      <c r="B10212" s="115"/>
      <c r="C10212" s="115"/>
      <c r="D10212" s="115"/>
      <c r="E10212" s="115"/>
    </row>
    <row r="10213" spans="1:5" ht="13">
      <c r="A10213" s="115"/>
      <c r="B10213" s="115"/>
      <c r="C10213" s="115"/>
      <c r="D10213" s="115"/>
      <c r="E10213" s="115"/>
    </row>
    <row r="10214" spans="1:5" ht="13">
      <c r="A10214" s="115"/>
      <c r="B10214" s="115"/>
      <c r="C10214" s="115"/>
      <c r="D10214" s="115"/>
      <c r="E10214" s="115"/>
    </row>
    <row r="10215" spans="1:5" ht="13">
      <c r="A10215" s="115"/>
      <c r="B10215" s="115"/>
      <c r="C10215" s="115"/>
      <c r="D10215" s="115"/>
      <c r="E10215" s="115"/>
    </row>
    <row r="10216" spans="1:5" ht="13">
      <c r="A10216" s="115"/>
      <c r="B10216" s="115"/>
      <c r="C10216" s="115"/>
      <c r="D10216" s="115"/>
      <c r="E10216" s="115"/>
    </row>
    <row r="10217" spans="1:5" ht="13">
      <c r="A10217" s="115"/>
      <c r="B10217" s="115"/>
      <c r="C10217" s="115"/>
      <c r="D10217" s="115"/>
      <c r="E10217" s="115"/>
    </row>
    <row r="10218" spans="1:5" ht="13">
      <c r="A10218" s="115"/>
      <c r="B10218" s="115"/>
      <c r="C10218" s="115"/>
      <c r="D10218" s="115"/>
      <c r="E10218" s="115"/>
    </row>
    <row r="10219" spans="1:5" ht="13">
      <c r="A10219" s="115"/>
      <c r="B10219" s="115"/>
      <c r="C10219" s="115"/>
      <c r="D10219" s="115"/>
      <c r="E10219" s="115"/>
    </row>
    <row r="10220" spans="1:5" ht="13">
      <c r="A10220" s="115"/>
      <c r="B10220" s="115"/>
      <c r="C10220" s="115"/>
      <c r="D10220" s="115"/>
      <c r="E10220" s="115"/>
    </row>
    <row r="10221" spans="1:5" ht="13">
      <c r="A10221" s="115"/>
      <c r="B10221" s="115"/>
      <c r="C10221" s="115"/>
      <c r="D10221" s="115"/>
      <c r="E10221" s="115"/>
    </row>
    <row r="10222" spans="1:5" ht="13">
      <c r="A10222" s="115"/>
      <c r="B10222" s="115"/>
      <c r="C10222" s="115"/>
      <c r="D10222" s="115"/>
      <c r="E10222" s="115"/>
    </row>
    <row r="10223" spans="1:5" ht="13">
      <c r="A10223" s="115"/>
      <c r="B10223" s="115"/>
      <c r="C10223" s="115"/>
      <c r="D10223" s="115"/>
      <c r="E10223" s="115"/>
    </row>
    <row r="10224" spans="1:5" ht="13">
      <c r="A10224" s="115"/>
      <c r="B10224" s="115"/>
      <c r="C10224" s="115"/>
      <c r="D10224" s="115"/>
      <c r="E10224" s="115"/>
    </row>
    <row r="10225" spans="1:5" ht="13">
      <c r="A10225" s="115"/>
      <c r="B10225" s="115"/>
      <c r="C10225" s="115"/>
      <c r="D10225" s="115"/>
      <c r="E10225" s="115"/>
    </row>
    <row r="10226" spans="1:5" ht="13">
      <c r="A10226" s="115"/>
      <c r="B10226" s="115"/>
      <c r="C10226" s="115"/>
      <c r="D10226" s="115"/>
      <c r="E10226" s="115"/>
    </row>
    <row r="10227" spans="1:5" ht="13">
      <c r="A10227" s="115"/>
      <c r="B10227" s="115"/>
      <c r="C10227" s="115"/>
      <c r="D10227" s="115"/>
      <c r="E10227" s="115"/>
    </row>
    <row r="10228" spans="1:5" ht="13">
      <c r="A10228" s="115"/>
      <c r="B10228" s="115"/>
      <c r="C10228" s="115"/>
      <c r="D10228" s="115"/>
      <c r="E10228" s="115"/>
    </row>
    <row r="10229" spans="1:5" ht="13">
      <c r="A10229" s="115"/>
      <c r="B10229" s="115"/>
      <c r="C10229" s="115"/>
      <c r="D10229" s="115"/>
      <c r="E10229" s="115"/>
    </row>
    <row r="10230" spans="1:5" ht="13">
      <c r="A10230" s="115"/>
      <c r="B10230" s="115"/>
      <c r="C10230" s="115"/>
      <c r="D10230" s="115"/>
      <c r="E10230" s="115"/>
    </row>
    <row r="10231" spans="1:5" ht="13">
      <c r="A10231" s="115"/>
      <c r="B10231" s="115"/>
      <c r="C10231" s="115"/>
      <c r="D10231" s="115"/>
      <c r="E10231" s="115"/>
    </row>
    <row r="10232" spans="1:5" ht="13">
      <c r="A10232" s="115"/>
      <c r="B10232" s="115"/>
      <c r="C10232" s="115"/>
      <c r="D10232" s="115"/>
      <c r="E10232" s="115"/>
    </row>
    <row r="10233" spans="1:5" ht="13">
      <c r="A10233" s="115"/>
      <c r="B10233" s="115"/>
      <c r="C10233" s="115"/>
      <c r="D10233" s="115"/>
      <c r="E10233" s="115"/>
    </row>
    <row r="10234" spans="1:5" ht="13">
      <c r="A10234" s="115"/>
      <c r="B10234" s="115"/>
      <c r="C10234" s="115"/>
      <c r="D10234" s="115"/>
      <c r="E10234" s="115"/>
    </row>
    <row r="10235" spans="1:5" ht="13">
      <c r="A10235" s="115"/>
      <c r="B10235" s="115"/>
      <c r="C10235" s="115"/>
      <c r="D10235" s="115"/>
      <c r="E10235" s="115"/>
    </row>
    <row r="10236" spans="1:5" ht="13">
      <c r="A10236" s="115"/>
      <c r="B10236" s="115"/>
      <c r="C10236" s="115"/>
      <c r="D10236" s="115"/>
      <c r="E10236" s="115"/>
    </row>
    <row r="10237" spans="1:5" ht="13">
      <c r="A10237" s="115"/>
      <c r="B10237" s="115"/>
      <c r="C10237" s="115"/>
      <c r="D10237" s="115"/>
      <c r="E10237" s="115"/>
    </row>
    <row r="10238" spans="1:5" ht="13">
      <c r="A10238" s="115"/>
      <c r="B10238" s="115"/>
      <c r="C10238" s="115"/>
      <c r="D10238" s="115"/>
      <c r="E10238" s="115"/>
    </row>
    <row r="10239" spans="1:5" ht="13">
      <c r="A10239" s="115"/>
      <c r="B10239" s="115"/>
      <c r="C10239" s="115"/>
      <c r="D10239" s="115"/>
      <c r="E10239" s="115"/>
    </row>
    <row r="10240" spans="1:5" ht="13">
      <c r="A10240" s="115"/>
      <c r="B10240" s="115"/>
      <c r="C10240" s="115"/>
      <c r="D10240" s="115"/>
      <c r="E10240" s="115"/>
    </row>
    <row r="10241" spans="1:5" ht="13">
      <c r="A10241" s="115"/>
      <c r="B10241" s="115"/>
      <c r="C10241" s="115"/>
      <c r="D10241" s="115"/>
      <c r="E10241" s="115"/>
    </row>
    <row r="10242" spans="1:5" ht="13">
      <c r="A10242" s="115"/>
      <c r="B10242" s="115"/>
      <c r="C10242" s="115"/>
      <c r="D10242" s="115"/>
      <c r="E10242" s="115"/>
    </row>
    <row r="10243" spans="1:5" ht="13">
      <c r="A10243" s="115"/>
      <c r="B10243" s="115"/>
      <c r="C10243" s="115"/>
      <c r="D10243" s="115"/>
      <c r="E10243" s="115"/>
    </row>
    <row r="10244" spans="1:5" ht="13">
      <c r="A10244" s="115"/>
      <c r="B10244" s="115"/>
      <c r="C10244" s="115"/>
      <c r="D10244" s="115"/>
      <c r="E10244" s="115"/>
    </row>
    <row r="10245" spans="1:5" ht="13">
      <c r="A10245" s="115"/>
      <c r="B10245" s="115"/>
      <c r="C10245" s="115"/>
      <c r="D10245" s="115"/>
      <c r="E10245" s="115"/>
    </row>
    <row r="10246" spans="1:5" ht="13">
      <c r="A10246" s="115"/>
      <c r="B10246" s="115"/>
      <c r="C10246" s="115"/>
      <c r="D10246" s="115"/>
      <c r="E10246" s="115"/>
    </row>
    <row r="10247" spans="1:5" ht="13">
      <c r="A10247" s="115"/>
      <c r="B10247" s="115"/>
      <c r="C10247" s="115"/>
      <c r="D10247" s="115"/>
      <c r="E10247" s="115"/>
    </row>
    <row r="10248" spans="1:5" ht="13">
      <c r="A10248" s="115"/>
      <c r="B10248" s="115"/>
      <c r="C10248" s="115"/>
      <c r="D10248" s="115"/>
      <c r="E10248" s="115"/>
    </row>
    <row r="10249" spans="1:5" ht="13">
      <c r="A10249" s="115"/>
      <c r="B10249" s="115"/>
      <c r="C10249" s="115"/>
      <c r="D10249" s="115"/>
      <c r="E10249" s="115"/>
    </row>
    <row r="10250" spans="1:5" ht="13">
      <c r="A10250" s="115"/>
      <c r="B10250" s="115"/>
      <c r="C10250" s="115"/>
      <c r="D10250" s="115"/>
      <c r="E10250" s="115"/>
    </row>
    <row r="10251" spans="1:5" ht="13">
      <c r="A10251" s="115"/>
      <c r="B10251" s="115"/>
      <c r="C10251" s="115"/>
      <c r="D10251" s="115"/>
      <c r="E10251" s="115"/>
    </row>
    <row r="10252" spans="1:5" ht="13">
      <c r="A10252" s="115"/>
      <c r="B10252" s="115"/>
      <c r="C10252" s="115"/>
      <c r="D10252" s="115"/>
      <c r="E10252" s="115"/>
    </row>
    <row r="10253" spans="1:5" ht="13">
      <c r="A10253" s="115"/>
      <c r="B10253" s="115"/>
      <c r="C10253" s="115"/>
      <c r="D10253" s="115"/>
      <c r="E10253" s="115"/>
    </row>
    <row r="10254" spans="1:5" ht="13">
      <c r="A10254" s="115"/>
      <c r="B10254" s="115"/>
      <c r="C10254" s="115"/>
      <c r="D10254" s="115"/>
      <c r="E10254" s="115"/>
    </row>
    <row r="10255" spans="1:5" ht="13">
      <c r="A10255" s="115"/>
      <c r="B10255" s="115"/>
      <c r="C10255" s="115"/>
      <c r="D10255" s="115"/>
      <c r="E10255" s="115"/>
    </row>
    <row r="10256" spans="1:5" ht="13">
      <c r="A10256" s="115"/>
      <c r="B10256" s="115"/>
      <c r="C10256" s="115"/>
      <c r="D10256" s="115"/>
      <c r="E10256" s="115"/>
    </row>
    <row r="10257" spans="1:5" ht="13">
      <c r="A10257" s="115"/>
      <c r="B10257" s="115"/>
      <c r="C10257" s="115"/>
      <c r="D10257" s="115"/>
      <c r="E10257" s="115"/>
    </row>
    <row r="10258" spans="1:5" ht="13">
      <c r="A10258" s="115"/>
      <c r="B10258" s="115"/>
      <c r="C10258" s="115"/>
      <c r="D10258" s="115"/>
      <c r="E10258" s="115"/>
    </row>
    <row r="10259" spans="1:5" ht="13">
      <c r="A10259" s="115"/>
      <c r="B10259" s="115"/>
      <c r="C10259" s="115"/>
      <c r="D10259" s="115"/>
      <c r="E10259" s="115"/>
    </row>
    <row r="10260" spans="1:5" ht="13">
      <c r="A10260" s="115"/>
      <c r="B10260" s="115"/>
      <c r="C10260" s="115"/>
      <c r="D10260" s="115"/>
      <c r="E10260" s="115"/>
    </row>
    <row r="10261" spans="1:5" ht="13">
      <c r="A10261" s="115"/>
      <c r="B10261" s="115"/>
      <c r="C10261" s="115"/>
      <c r="D10261" s="115"/>
      <c r="E10261" s="115"/>
    </row>
    <row r="10262" spans="1:5" ht="13">
      <c r="A10262" s="115"/>
      <c r="B10262" s="115"/>
      <c r="C10262" s="115"/>
      <c r="D10262" s="115"/>
      <c r="E10262" s="115"/>
    </row>
    <row r="10263" spans="1:5" ht="13">
      <c r="A10263" s="115"/>
      <c r="B10263" s="115"/>
      <c r="C10263" s="115"/>
      <c r="D10263" s="115"/>
      <c r="E10263" s="115"/>
    </row>
    <row r="10264" spans="1:5" ht="13">
      <c r="A10264" s="115"/>
      <c r="B10264" s="115"/>
      <c r="C10264" s="115"/>
      <c r="D10264" s="115"/>
      <c r="E10264" s="115"/>
    </row>
    <row r="10265" spans="1:5" ht="13">
      <c r="A10265" s="115"/>
      <c r="B10265" s="115"/>
      <c r="C10265" s="115"/>
      <c r="D10265" s="115"/>
      <c r="E10265" s="115"/>
    </row>
    <row r="10266" spans="1:5" ht="13">
      <c r="A10266" s="115"/>
      <c r="B10266" s="115"/>
      <c r="C10266" s="115"/>
      <c r="D10266" s="115"/>
      <c r="E10266" s="115"/>
    </row>
    <row r="10267" spans="1:5" ht="13">
      <c r="A10267" s="115"/>
      <c r="B10267" s="115"/>
      <c r="C10267" s="115"/>
      <c r="D10267" s="115"/>
      <c r="E10267" s="115"/>
    </row>
    <row r="10268" spans="1:5" ht="13">
      <c r="A10268" s="115"/>
      <c r="B10268" s="115"/>
      <c r="C10268" s="115"/>
      <c r="D10268" s="115"/>
      <c r="E10268" s="115"/>
    </row>
    <row r="10269" spans="1:5" ht="13">
      <c r="A10269" s="115"/>
      <c r="B10269" s="115"/>
      <c r="C10269" s="115"/>
      <c r="D10269" s="115"/>
      <c r="E10269" s="115"/>
    </row>
    <row r="10270" spans="1:5" ht="13">
      <c r="A10270" s="115"/>
      <c r="B10270" s="115"/>
      <c r="C10270" s="115"/>
      <c r="D10270" s="115"/>
      <c r="E10270" s="115"/>
    </row>
    <row r="10271" spans="1:5" ht="13">
      <c r="A10271" s="115"/>
      <c r="B10271" s="115"/>
      <c r="C10271" s="115"/>
      <c r="D10271" s="115"/>
      <c r="E10271" s="115"/>
    </row>
    <row r="10272" spans="1:5" ht="13">
      <c r="A10272" s="115"/>
      <c r="B10272" s="115"/>
      <c r="C10272" s="115"/>
      <c r="D10272" s="115"/>
      <c r="E10272" s="115"/>
    </row>
    <row r="10273" spans="1:5" ht="13">
      <c r="A10273" s="115"/>
      <c r="B10273" s="115"/>
      <c r="C10273" s="115"/>
      <c r="D10273" s="115"/>
      <c r="E10273" s="115"/>
    </row>
    <row r="10274" spans="1:5" ht="13">
      <c r="A10274" s="115"/>
      <c r="B10274" s="115"/>
      <c r="C10274" s="115"/>
      <c r="D10274" s="115"/>
      <c r="E10274" s="115"/>
    </row>
    <row r="10275" spans="1:5" ht="13">
      <c r="A10275" s="115"/>
      <c r="B10275" s="115"/>
      <c r="C10275" s="115"/>
      <c r="D10275" s="115"/>
      <c r="E10275" s="115"/>
    </row>
    <row r="10276" spans="1:5" ht="13">
      <c r="A10276" s="115"/>
      <c r="B10276" s="115"/>
      <c r="C10276" s="115"/>
      <c r="D10276" s="115"/>
      <c r="E10276" s="115"/>
    </row>
    <row r="10277" spans="1:5" ht="13">
      <c r="A10277" s="115"/>
      <c r="B10277" s="115"/>
      <c r="C10277" s="115"/>
      <c r="D10277" s="115"/>
      <c r="E10277" s="115"/>
    </row>
    <row r="10278" spans="1:5" ht="13">
      <c r="A10278" s="115"/>
      <c r="B10278" s="115"/>
      <c r="C10278" s="115"/>
      <c r="D10278" s="115"/>
      <c r="E10278" s="115"/>
    </row>
    <row r="10279" spans="1:5" ht="13">
      <c r="A10279" s="115"/>
      <c r="B10279" s="115"/>
      <c r="C10279" s="115"/>
      <c r="D10279" s="115"/>
      <c r="E10279" s="115"/>
    </row>
    <row r="10280" spans="1:5" ht="13">
      <c r="A10280" s="115"/>
      <c r="B10280" s="115"/>
      <c r="C10280" s="115"/>
      <c r="D10280" s="115"/>
      <c r="E10280" s="115"/>
    </row>
    <row r="10281" spans="1:5" ht="13">
      <c r="A10281" s="115"/>
      <c r="B10281" s="115"/>
      <c r="C10281" s="115"/>
      <c r="D10281" s="115"/>
      <c r="E10281" s="115"/>
    </row>
    <row r="10282" spans="1:5" ht="13">
      <c r="A10282" s="115"/>
      <c r="B10282" s="115"/>
      <c r="C10282" s="115"/>
      <c r="D10282" s="115"/>
      <c r="E10282" s="115"/>
    </row>
    <row r="10283" spans="1:5" ht="13">
      <c r="A10283" s="115"/>
      <c r="B10283" s="115"/>
      <c r="C10283" s="115"/>
      <c r="D10283" s="115"/>
      <c r="E10283" s="115"/>
    </row>
    <row r="10284" spans="1:5" ht="13">
      <c r="A10284" s="115"/>
      <c r="B10284" s="115"/>
      <c r="C10284" s="115"/>
      <c r="D10284" s="115"/>
      <c r="E10284" s="115"/>
    </row>
    <row r="10285" spans="1:5" ht="13">
      <c r="A10285" s="115"/>
      <c r="B10285" s="115"/>
      <c r="C10285" s="115"/>
      <c r="D10285" s="115"/>
      <c r="E10285" s="115"/>
    </row>
    <row r="10286" spans="1:5" ht="13">
      <c r="A10286" s="115"/>
      <c r="B10286" s="115"/>
      <c r="C10286" s="115"/>
      <c r="D10286" s="115"/>
      <c r="E10286" s="115"/>
    </row>
    <row r="10287" spans="1:5" ht="13">
      <c r="A10287" s="115"/>
      <c r="B10287" s="115"/>
      <c r="C10287" s="115"/>
      <c r="D10287" s="115"/>
      <c r="E10287" s="115"/>
    </row>
    <row r="10288" spans="1:5" ht="13">
      <c r="A10288" s="115"/>
      <c r="B10288" s="115"/>
      <c r="C10288" s="115"/>
      <c r="D10288" s="115"/>
      <c r="E10288" s="115"/>
    </row>
    <row r="10289" spans="1:5" ht="13">
      <c r="A10289" s="115"/>
      <c r="B10289" s="115"/>
      <c r="C10289" s="115"/>
      <c r="D10289" s="115"/>
      <c r="E10289" s="115"/>
    </row>
    <row r="10290" spans="1:5" ht="13">
      <c r="A10290" s="115"/>
      <c r="B10290" s="115"/>
      <c r="C10290" s="115"/>
      <c r="D10290" s="115"/>
      <c r="E10290" s="115"/>
    </row>
    <row r="10291" spans="1:5" ht="13">
      <c r="A10291" s="115"/>
      <c r="B10291" s="115"/>
      <c r="C10291" s="115"/>
      <c r="D10291" s="115"/>
      <c r="E10291" s="115"/>
    </row>
    <row r="10292" spans="1:5" ht="13">
      <c r="A10292" s="115"/>
      <c r="B10292" s="115"/>
      <c r="C10292" s="115"/>
      <c r="D10292" s="115"/>
      <c r="E10292" s="115"/>
    </row>
    <row r="10293" spans="1:5" ht="13">
      <c r="A10293" s="115"/>
      <c r="B10293" s="115"/>
      <c r="C10293" s="115"/>
      <c r="D10293" s="115"/>
      <c r="E10293" s="115"/>
    </row>
    <row r="10294" spans="1:5" ht="13">
      <c r="A10294" s="115"/>
      <c r="B10294" s="115"/>
      <c r="C10294" s="115"/>
      <c r="D10294" s="115"/>
      <c r="E10294" s="115"/>
    </row>
    <row r="10295" spans="1:5" ht="13">
      <c r="A10295" s="115"/>
      <c r="B10295" s="115"/>
      <c r="C10295" s="115"/>
      <c r="D10295" s="115"/>
      <c r="E10295" s="115"/>
    </row>
    <row r="10296" spans="1:5" ht="13">
      <c r="A10296" s="115"/>
      <c r="B10296" s="115"/>
      <c r="C10296" s="115"/>
      <c r="D10296" s="115"/>
      <c r="E10296" s="115"/>
    </row>
    <row r="10297" spans="1:5" ht="13">
      <c r="A10297" s="115"/>
      <c r="B10297" s="115"/>
      <c r="C10297" s="115"/>
      <c r="D10297" s="115"/>
      <c r="E10297" s="115"/>
    </row>
    <row r="10298" spans="1:5" ht="13">
      <c r="A10298" s="115"/>
      <c r="B10298" s="115"/>
      <c r="C10298" s="115"/>
      <c r="D10298" s="115"/>
      <c r="E10298" s="115"/>
    </row>
    <row r="10299" spans="1:5" ht="13">
      <c r="A10299" s="115"/>
      <c r="B10299" s="115"/>
      <c r="C10299" s="115"/>
      <c r="D10299" s="115"/>
      <c r="E10299" s="115"/>
    </row>
    <row r="10300" spans="1:5" ht="13">
      <c r="A10300" s="115"/>
      <c r="B10300" s="115"/>
      <c r="C10300" s="115"/>
      <c r="D10300" s="115"/>
      <c r="E10300" s="115"/>
    </row>
    <row r="10301" spans="1:5" ht="13">
      <c r="A10301" s="115"/>
      <c r="B10301" s="115"/>
      <c r="C10301" s="115"/>
      <c r="D10301" s="115"/>
      <c r="E10301" s="115"/>
    </row>
    <row r="10302" spans="1:5" ht="13">
      <c r="A10302" s="115"/>
      <c r="B10302" s="115"/>
      <c r="C10302" s="115"/>
      <c r="D10302" s="115"/>
      <c r="E10302" s="115"/>
    </row>
    <row r="10303" spans="1:5" ht="13">
      <c r="A10303" s="115"/>
      <c r="B10303" s="115"/>
      <c r="C10303" s="115"/>
      <c r="D10303" s="115"/>
      <c r="E10303" s="115"/>
    </row>
    <row r="10304" spans="1:5" ht="13">
      <c r="A10304" s="115"/>
      <c r="B10304" s="115"/>
      <c r="C10304" s="115"/>
      <c r="D10304" s="115"/>
      <c r="E10304" s="115"/>
    </row>
    <row r="10305" spans="1:5" ht="13">
      <c r="A10305" s="115"/>
      <c r="B10305" s="115"/>
      <c r="C10305" s="115"/>
      <c r="D10305" s="115"/>
      <c r="E10305" s="115"/>
    </row>
    <row r="10306" spans="1:5" ht="13">
      <c r="A10306" s="115"/>
      <c r="B10306" s="115"/>
      <c r="C10306" s="115"/>
      <c r="D10306" s="115"/>
      <c r="E10306" s="115"/>
    </row>
    <row r="10307" spans="1:5" ht="13">
      <c r="A10307" s="115"/>
      <c r="B10307" s="115"/>
      <c r="C10307" s="115"/>
      <c r="D10307" s="115"/>
      <c r="E10307" s="115"/>
    </row>
    <row r="10308" spans="1:5" ht="13">
      <c r="A10308" s="115"/>
      <c r="B10308" s="115"/>
      <c r="C10308" s="115"/>
      <c r="D10308" s="115"/>
      <c r="E10308" s="115"/>
    </row>
    <row r="10309" spans="1:5" ht="13">
      <c r="A10309" s="115"/>
      <c r="B10309" s="115"/>
      <c r="C10309" s="115"/>
      <c r="D10309" s="115"/>
      <c r="E10309" s="115"/>
    </row>
    <row r="10310" spans="1:5" ht="13">
      <c r="A10310" s="115"/>
      <c r="B10310" s="115"/>
      <c r="C10310" s="115"/>
      <c r="D10310" s="115"/>
      <c r="E10310" s="115"/>
    </row>
    <row r="10311" spans="1:5" ht="13">
      <c r="A10311" s="115"/>
      <c r="B10311" s="115"/>
      <c r="C10311" s="115"/>
      <c r="D10311" s="115"/>
      <c r="E10311" s="115"/>
    </row>
    <row r="10312" spans="1:5" ht="13">
      <c r="A10312" s="115"/>
      <c r="B10312" s="115"/>
      <c r="C10312" s="115"/>
      <c r="D10312" s="115"/>
      <c r="E10312" s="115"/>
    </row>
    <row r="10313" spans="1:5" ht="13">
      <c r="A10313" s="115"/>
      <c r="B10313" s="115"/>
      <c r="C10313" s="115"/>
      <c r="D10313" s="115"/>
      <c r="E10313" s="115"/>
    </row>
    <row r="10314" spans="1:5" ht="13">
      <c r="A10314" s="115"/>
      <c r="B10314" s="115"/>
      <c r="C10314" s="115"/>
      <c r="D10314" s="115"/>
      <c r="E10314" s="115"/>
    </row>
    <row r="10315" spans="1:5" ht="13">
      <c r="A10315" s="115"/>
      <c r="B10315" s="115"/>
      <c r="C10315" s="115"/>
      <c r="D10315" s="115"/>
      <c r="E10315" s="115"/>
    </row>
    <row r="10316" spans="1:5" ht="13">
      <c r="A10316" s="115"/>
      <c r="B10316" s="115"/>
      <c r="C10316" s="115"/>
      <c r="D10316" s="115"/>
      <c r="E10316" s="115"/>
    </row>
    <row r="10317" spans="1:5" ht="13">
      <c r="A10317" s="115"/>
      <c r="B10317" s="115"/>
      <c r="C10317" s="115"/>
      <c r="D10317" s="115"/>
      <c r="E10317" s="115"/>
    </row>
    <row r="10318" spans="1:5" ht="13">
      <c r="A10318" s="115"/>
      <c r="B10318" s="115"/>
      <c r="C10318" s="115"/>
      <c r="D10318" s="115"/>
      <c r="E10318" s="115"/>
    </row>
    <row r="10319" spans="1:5" ht="13">
      <c r="A10319" s="115"/>
      <c r="B10319" s="115"/>
      <c r="C10319" s="115"/>
      <c r="D10319" s="115"/>
      <c r="E10319" s="115"/>
    </row>
    <row r="10320" spans="1:5" ht="13">
      <c r="A10320" s="115"/>
      <c r="B10320" s="115"/>
      <c r="C10320" s="115"/>
      <c r="D10320" s="115"/>
      <c r="E10320" s="115"/>
    </row>
    <row r="10321" spans="1:5" ht="13">
      <c r="A10321" s="115"/>
      <c r="B10321" s="115"/>
      <c r="C10321" s="115"/>
      <c r="D10321" s="115"/>
      <c r="E10321" s="115"/>
    </row>
    <row r="10322" spans="1:5" ht="13">
      <c r="A10322" s="115"/>
      <c r="B10322" s="115"/>
      <c r="C10322" s="115"/>
      <c r="D10322" s="115"/>
      <c r="E10322" s="115"/>
    </row>
    <row r="10323" spans="1:5" ht="13">
      <c r="A10323" s="115"/>
      <c r="B10323" s="115"/>
      <c r="C10323" s="115"/>
      <c r="D10323" s="115"/>
      <c r="E10323" s="115"/>
    </row>
    <row r="10324" spans="1:5" ht="13">
      <c r="A10324" s="115"/>
      <c r="B10324" s="115"/>
      <c r="C10324" s="115"/>
      <c r="D10324" s="115"/>
      <c r="E10324" s="115"/>
    </row>
    <row r="10325" spans="1:5" ht="13">
      <c r="A10325" s="115"/>
      <c r="B10325" s="115"/>
      <c r="C10325" s="115"/>
      <c r="D10325" s="115"/>
      <c r="E10325" s="115"/>
    </row>
    <row r="10326" spans="1:5" ht="13">
      <c r="A10326" s="115"/>
      <c r="B10326" s="115"/>
      <c r="C10326" s="115"/>
      <c r="D10326" s="115"/>
      <c r="E10326" s="115"/>
    </row>
    <row r="10327" spans="1:5" ht="13">
      <c r="A10327" s="115"/>
      <c r="B10327" s="115"/>
      <c r="C10327" s="115"/>
      <c r="D10327" s="115"/>
      <c r="E10327" s="115"/>
    </row>
    <row r="10328" spans="1:5" ht="13">
      <c r="A10328" s="115"/>
      <c r="B10328" s="115"/>
      <c r="C10328" s="115"/>
      <c r="D10328" s="115"/>
      <c r="E10328" s="115"/>
    </row>
    <row r="10329" spans="1:5" ht="13">
      <c r="A10329" s="115"/>
      <c r="B10329" s="115"/>
      <c r="C10329" s="115"/>
      <c r="D10329" s="115"/>
      <c r="E10329" s="115"/>
    </row>
    <row r="10330" spans="1:5" ht="13">
      <c r="A10330" s="115"/>
      <c r="B10330" s="115"/>
      <c r="C10330" s="115"/>
      <c r="D10330" s="115"/>
      <c r="E10330" s="115"/>
    </row>
    <row r="10331" spans="1:5" ht="13">
      <c r="A10331" s="115"/>
      <c r="B10331" s="115"/>
      <c r="C10331" s="115"/>
      <c r="D10331" s="115"/>
      <c r="E10331" s="115"/>
    </row>
    <row r="10332" spans="1:5" ht="13">
      <c r="A10332" s="115"/>
      <c r="B10332" s="115"/>
      <c r="C10332" s="115"/>
      <c r="D10332" s="115"/>
      <c r="E10332" s="115"/>
    </row>
    <row r="10333" spans="1:5" ht="13">
      <c r="A10333" s="115"/>
      <c r="B10333" s="115"/>
      <c r="C10333" s="115"/>
      <c r="D10333" s="115"/>
      <c r="E10333" s="115"/>
    </row>
    <row r="10334" spans="1:5" ht="13">
      <c r="A10334" s="115"/>
      <c r="B10334" s="115"/>
      <c r="C10334" s="115"/>
      <c r="D10334" s="115"/>
      <c r="E10334" s="115"/>
    </row>
    <row r="10335" spans="1:5" ht="13">
      <c r="A10335" s="115"/>
      <c r="B10335" s="115"/>
      <c r="C10335" s="115"/>
      <c r="D10335" s="115"/>
      <c r="E10335" s="115"/>
    </row>
    <row r="10336" spans="1:5" ht="13">
      <c r="A10336" s="115"/>
      <c r="B10336" s="115"/>
      <c r="C10336" s="115"/>
      <c r="D10336" s="115"/>
      <c r="E10336" s="115"/>
    </row>
    <row r="10337" spans="1:5" ht="13">
      <c r="A10337" s="115"/>
      <c r="B10337" s="115"/>
      <c r="C10337" s="115"/>
      <c r="D10337" s="115"/>
      <c r="E10337" s="115"/>
    </row>
    <row r="10338" spans="1:5" ht="13">
      <c r="A10338" s="115"/>
      <c r="B10338" s="115"/>
      <c r="C10338" s="115"/>
      <c r="D10338" s="115"/>
      <c r="E10338" s="115"/>
    </row>
    <row r="10339" spans="1:5" ht="13">
      <c r="A10339" s="115"/>
      <c r="B10339" s="115"/>
      <c r="C10339" s="115"/>
      <c r="D10339" s="115"/>
      <c r="E10339" s="115"/>
    </row>
    <row r="10340" spans="1:5" ht="13">
      <c r="A10340" s="115"/>
      <c r="B10340" s="115"/>
      <c r="C10340" s="115"/>
      <c r="D10340" s="115"/>
      <c r="E10340" s="115"/>
    </row>
    <row r="10341" spans="1:5" ht="13">
      <c r="A10341" s="115"/>
      <c r="B10341" s="115"/>
      <c r="C10341" s="115"/>
      <c r="D10341" s="115"/>
      <c r="E10341" s="115"/>
    </row>
    <row r="10342" spans="1:5" ht="13">
      <c r="A10342" s="115"/>
      <c r="B10342" s="115"/>
      <c r="C10342" s="115"/>
      <c r="D10342" s="115"/>
      <c r="E10342" s="115"/>
    </row>
    <row r="10343" spans="1:5" ht="13">
      <c r="A10343" s="115"/>
      <c r="B10343" s="115"/>
      <c r="C10343" s="115"/>
      <c r="D10343" s="115"/>
      <c r="E10343" s="115"/>
    </row>
    <row r="10344" spans="1:5" ht="13">
      <c r="A10344" s="115"/>
      <c r="B10344" s="115"/>
      <c r="C10344" s="115"/>
      <c r="D10344" s="115"/>
      <c r="E10344" s="115"/>
    </row>
    <row r="10345" spans="1:5" ht="13">
      <c r="A10345" s="115"/>
      <c r="B10345" s="115"/>
      <c r="C10345" s="115"/>
      <c r="D10345" s="115"/>
      <c r="E10345" s="115"/>
    </row>
    <row r="10346" spans="1:5" ht="13">
      <c r="A10346" s="115"/>
      <c r="B10346" s="115"/>
      <c r="C10346" s="115"/>
      <c r="D10346" s="115"/>
      <c r="E10346" s="115"/>
    </row>
    <row r="10347" spans="1:5" ht="13">
      <c r="A10347" s="115"/>
      <c r="B10347" s="115"/>
      <c r="C10347" s="115"/>
      <c r="D10347" s="115"/>
      <c r="E10347" s="115"/>
    </row>
    <row r="10348" spans="1:5" ht="13">
      <c r="A10348" s="115"/>
      <c r="B10348" s="115"/>
      <c r="C10348" s="115"/>
      <c r="D10348" s="115"/>
      <c r="E10348" s="115"/>
    </row>
    <row r="10349" spans="1:5" ht="13">
      <c r="A10349" s="115"/>
      <c r="B10349" s="115"/>
      <c r="C10349" s="115"/>
      <c r="D10349" s="115"/>
      <c r="E10349" s="115"/>
    </row>
    <row r="10350" spans="1:5" ht="13">
      <c r="A10350" s="115"/>
      <c r="B10350" s="115"/>
      <c r="C10350" s="115"/>
      <c r="D10350" s="115"/>
      <c r="E10350" s="115"/>
    </row>
    <row r="10351" spans="1:5" ht="13">
      <c r="A10351" s="115"/>
      <c r="B10351" s="115"/>
      <c r="C10351" s="115"/>
      <c r="D10351" s="115"/>
      <c r="E10351" s="115"/>
    </row>
    <row r="10352" spans="1:5" ht="13">
      <c r="A10352" s="115"/>
      <c r="B10352" s="115"/>
      <c r="C10352" s="115"/>
      <c r="D10352" s="115"/>
      <c r="E10352" s="115"/>
    </row>
    <row r="10353" spans="1:5" ht="13">
      <c r="A10353" s="115"/>
      <c r="B10353" s="115"/>
      <c r="C10353" s="115"/>
      <c r="D10353" s="115"/>
      <c r="E10353" s="115"/>
    </row>
    <row r="10354" spans="1:5" ht="13">
      <c r="A10354" s="115"/>
      <c r="B10354" s="115"/>
      <c r="C10354" s="115"/>
      <c r="D10354" s="115"/>
      <c r="E10354" s="115"/>
    </row>
    <row r="10355" spans="1:5" ht="13">
      <c r="A10355" s="115"/>
      <c r="B10355" s="115"/>
      <c r="C10355" s="115"/>
      <c r="D10355" s="115"/>
      <c r="E10355" s="115"/>
    </row>
    <row r="10356" spans="1:5" ht="13">
      <c r="A10356" s="115"/>
      <c r="B10356" s="115"/>
      <c r="C10356" s="115"/>
      <c r="D10356" s="115"/>
      <c r="E10356" s="115"/>
    </row>
    <row r="10357" spans="1:5" ht="13">
      <c r="A10357" s="115"/>
      <c r="B10357" s="115"/>
      <c r="C10357" s="115"/>
      <c r="D10357" s="115"/>
      <c r="E10357" s="115"/>
    </row>
    <row r="10358" spans="1:5" ht="13">
      <c r="A10358" s="115"/>
      <c r="B10358" s="115"/>
      <c r="C10358" s="115"/>
      <c r="D10358" s="115"/>
      <c r="E10358" s="115"/>
    </row>
    <row r="10359" spans="1:5" ht="13">
      <c r="A10359" s="115"/>
      <c r="B10359" s="115"/>
      <c r="C10359" s="115"/>
      <c r="D10359" s="115"/>
      <c r="E10359" s="115"/>
    </row>
    <row r="10360" spans="1:5" ht="13">
      <c r="A10360" s="115"/>
      <c r="B10360" s="115"/>
      <c r="C10360" s="115"/>
      <c r="D10360" s="115"/>
      <c r="E10360" s="115"/>
    </row>
    <row r="10361" spans="1:5" ht="13">
      <c r="A10361" s="115"/>
      <c r="B10361" s="115"/>
      <c r="C10361" s="115"/>
      <c r="D10361" s="115"/>
      <c r="E10361" s="115"/>
    </row>
    <row r="10362" spans="1:5" ht="13">
      <c r="A10362" s="115"/>
      <c r="B10362" s="115"/>
      <c r="C10362" s="115"/>
      <c r="D10362" s="115"/>
      <c r="E10362" s="115"/>
    </row>
    <row r="10363" spans="1:5" ht="13">
      <c r="A10363" s="115"/>
      <c r="B10363" s="115"/>
      <c r="C10363" s="115"/>
      <c r="D10363" s="115"/>
      <c r="E10363" s="115"/>
    </row>
    <row r="10364" spans="1:5" ht="13">
      <c r="A10364" s="115"/>
      <c r="B10364" s="115"/>
      <c r="C10364" s="115"/>
      <c r="D10364" s="115"/>
      <c r="E10364" s="115"/>
    </row>
    <row r="10365" spans="1:5" ht="13">
      <c r="A10365" s="115"/>
      <c r="B10365" s="115"/>
      <c r="C10365" s="115"/>
      <c r="D10365" s="115"/>
      <c r="E10365" s="115"/>
    </row>
    <row r="10366" spans="1:5" ht="13">
      <c r="A10366" s="115"/>
      <c r="B10366" s="115"/>
      <c r="C10366" s="115"/>
      <c r="D10366" s="115"/>
      <c r="E10366" s="115"/>
    </row>
    <row r="10367" spans="1:5" ht="13">
      <c r="A10367" s="115"/>
      <c r="B10367" s="115"/>
      <c r="C10367" s="115"/>
      <c r="D10367" s="115"/>
      <c r="E10367" s="115"/>
    </row>
    <row r="10368" spans="1:5" ht="13">
      <c r="A10368" s="115"/>
      <c r="B10368" s="115"/>
      <c r="C10368" s="115"/>
      <c r="D10368" s="115"/>
      <c r="E10368" s="115"/>
    </row>
    <row r="10369" spans="1:5" ht="13">
      <c r="A10369" s="115"/>
      <c r="B10369" s="115"/>
      <c r="C10369" s="115"/>
      <c r="D10369" s="115"/>
      <c r="E10369" s="115"/>
    </row>
    <row r="10370" spans="1:5" ht="13">
      <c r="A10370" s="115"/>
      <c r="B10370" s="115"/>
      <c r="C10370" s="115"/>
      <c r="D10370" s="115"/>
      <c r="E10370" s="115"/>
    </row>
    <row r="10371" spans="1:5" ht="13">
      <c r="A10371" s="115"/>
      <c r="B10371" s="115"/>
      <c r="C10371" s="115"/>
      <c r="D10371" s="115"/>
      <c r="E10371" s="115"/>
    </row>
    <row r="10372" spans="1:5" ht="13">
      <c r="A10372" s="115"/>
      <c r="B10372" s="115"/>
      <c r="C10372" s="115"/>
      <c r="D10372" s="115"/>
      <c r="E10372" s="115"/>
    </row>
    <row r="10373" spans="1:5" ht="13">
      <c r="A10373" s="115"/>
      <c r="B10373" s="115"/>
      <c r="C10373" s="115"/>
      <c r="D10373" s="115"/>
      <c r="E10373" s="115"/>
    </row>
    <row r="10374" spans="1:5" ht="13">
      <c r="A10374" s="115"/>
      <c r="B10374" s="115"/>
      <c r="C10374" s="115"/>
      <c r="D10374" s="115"/>
      <c r="E10374" s="115"/>
    </row>
    <row r="10375" spans="1:5" ht="13">
      <c r="A10375" s="115"/>
      <c r="B10375" s="115"/>
      <c r="C10375" s="115"/>
      <c r="D10375" s="115"/>
      <c r="E10375" s="115"/>
    </row>
    <row r="10376" spans="1:5" ht="13">
      <c r="A10376" s="115"/>
      <c r="B10376" s="115"/>
      <c r="C10376" s="115"/>
      <c r="D10376" s="115"/>
      <c r="E10376" s="115"/>
    </row>
    <row r="10377" spans="1:5" ht="13">
      <c r="A10377" s="115"/>
      <c r="B10377" s="115"/>
      <c r="C10377" s="115"/>
      <c r="D10377" s="115"/>
      <c r="E10377" s="115"/>
    </row>
    <row r="10378" spans="1:5" ht="13">
      <c r="A10378" s="115"/>
      <c r="B10378" s="115"/>
      <c r="C10378" s="115"/>
      <c r="D10378" s="115"/>
      <c r="E10378" s="115"/>
    </row>
    <row r="10379" spans="1:5" ht="13">
      <c r="A10379" s="115"/>
      <c r="B10379" s="115"/>
      <c r="C10379" s="115"/>
      <c r="D10379" s="115"/>
      <c r="E10379" s="115"/>
    </row>
    <row r="10380" spans="1:5" ht="13">
      <c r="A10380" s="115"/>
      <c r="B10380" s="115"/>
      <c r="C10380" s="115"/>
      <c r="D10380" s="115"/>
      <c r="E10380" s="115"/>
    </row>
    <row r="10381" spans="1:5" ht="13">
      <c r="A10381" s="115"/>
      <c r="B10381" s="115"/>
      <c r="C10381" s="115"/>
      <c r="D10381" s="115"/>
      <c r="E10381" s="115"/>
    </row>
    <row r="10382" spans="1:5" ht="13">
      <c r="A10382" s="115"/>
      <c r="B10382" s="115"/>
      <c r="C10382" s="115"/>
      <c r="D10382" s="115"/>
      <c r="E10382" s="115"/>
    </row>
    <row r="10383" spans="1:5" ht="13">
      <c r="A10383" s="115"/>
      <c r="B10383" s="115"/>
      <c r="C10383" s="115"/>
      <c r="D10383" s="115"/>
      <c r="E10383" s="115"/>
    </row>
    <row r="10384" spans="1:5" ht="13">
      <c r="A10384" s="115"/>
      <c r="B10384" s="115"/>
      <c r="C10384" s="115"/>
      <c r="D10384" s="115"/>
      <c r="E10384" s="115"/>
    </row>
    <row r="10385" spans="1:5" ht="13">
      <c r="A10385" s="115"/>
      <c r="B10385" s="115"/>
      <c r="C10385" s="115"/>
      <c r="D10385" s="115"/>
      <c r="E10385" s="115"/>
    </row>
    <row r="10386" spans="1:5" ht="13">
      <c r="A10386" s="115"/>
      <c r="B10386" s="115"/>
      <c r="C10386" s="115"/>
      <c r="D10386" s="115"/>
      <c r="E10386" s="115"/>
    </row>
    <row r="10387" spans="1:5" ht="13">
      <c r="A10387" s="115"/>
      <c r="B10387" s="115"/>
      <c r="C10387" s="115"/>
      <c r="D10387" s="115"/>
      <c r="E10387" s="115"/>
    </row>
    <row r="10388" spans="1:5" ht="13">
      <c r="A10388" s="115"/>
      <c r="B10388" s="115"/>
      <c r="C10388" s="115"/>
      <c r="D10388" s="115"/>
      <c r="E10388" s="115"/>
    </row>
    <row r="10389" spans="1:5" ht="13">
      <c r="A10389" s="115"/>
      <c r="B10389" s="115"/>
      <c r="C10389" s="115"/>
      <c r="D10389" s="115"/>
      <c r="E10389" s="115"/>
    </row>
    <row r="10390" spans="1:5" ht="13">
      <c r="A10390" s="115"/>
      <c r="B10390" s="115"/>
      <c r="C10390" s="115"/>
      <c r="D10390" s="115"/>
      <c r="E10390" s="115"/>
    </row>
    <row r="10391" spans="1:5" ht="13">
      <c r="A10391" s="115"/>
      <c r="B10391" s="115"/>
      <c r="C10391" s="115"/>
      <c r="D10391" s="115"/>
      <c r="E10391" s="115"/>
    </row>
    <row r="10392" spans="1:5" ht="13">
      <c r="A10392" s="115"/>
      <c r="B10392" s="115"/>
      <c r="C10392" s="115"/>
      <c r="D10392" s="115"/>
      <c r="E10392" s="115"/>
    </row>
    <row r="10393" spans="1:5" ht="13">
      <c r="A10393" s="115"/>
      <c r="B10393" s="115"/>
      <c r="C10393" s="115"/>
      <c r="D10393" s="115"/>
      <c r="E10393" s="115"/>
    </row>
    <row r="10394" spans="1:5" ht="13">
      <c r="A10394" s="115"/>
      <c r="B10394" s="115"/>
      <c r="C10394" s="115"/>
      <c r="D10394" s="115"/>
      <c r="E10394" s="115"/>
    </row>
    <row r="10395" spans="1:5" ht="13">
      <c r="A10395" s="115"/>
      <c r="B10395" s="115"/>
      <c r="C10395" s="115"/>
      <c r="D10395" s="115"/>
      <c r="E10395" s="115"/>
    </row>
    <row r="10396" spans="1:5" ht="13">
      <c r="A10396" s="115"/>
      <c r="B10396" s="115"/>
      <c r="C10396" s="115"/>
      <c r="D10396" s="115"/>
      <c r="E10396" s="115"/>
    </row>
    <row r="10397" spans="1:5" ht="13">
      <c r="A10397" s="115"/>
      <c r="B10397" s="115"/>
      <c r="C10397" s="115"/>
      <c r="D10397" s="115"/>
      <c r="E10397" s="115"/>
    </row>
    <row r="10398" spans="1:5" ht="13">
      <c r="A10398" s="115"/>
      <c r="B10398" s="115"/>
      <c r="C10398" s="115"/>
      <c r="D10398" s="115"/>
      <c r="E10398" s="115"/>
    </row>
    <row r="10399" spans="1:5" ht="13">
      <c r="A10399" s="115"/>
      <c r="B10399" s="115"/>
      <c r="C10399" s="115"/>
      <c r="D10399" s="115"/>
      <c r="E10399" s="115"/>
    </row>
    <row r="10400" spans="1:5" ht="13">
      <c r="A10400" s="115"/>
      <c r="B10400" s="115"/>
      <c r="C10400" s="115"/>
      <c r="D10400" s="115"/>
      <c r="E10400" s="115"/>
    </row>
    <row r="10401" spans="1:5" ht="13">
      <c r="A10401" s="115"/>
      <c r="B10401" s="115"/>
      <c r="C10401" s="115"/>
      <c r="D10401" s="115"/>
      <c r="E10401" s="115"/>
    </row>
    <row r="10402" spans="1:5" ht="13">
      <c r="A10402" s="115"/>
      <c r="B10402" s="115"/>
      <c r="C10402" s="115"/>
      <c r="D10402" s="115"/>
      <c r="E10402" s="115"/>
    </row>
    <row r="10403" spans="1:5" ht="13">
      <c r="A10403" s="115"/>
      <c r="B10403" s="115"/>
      <c r="C10403" s="115"/>
      <c r="D10403" s="115"/>
      <c r="E10403" s="115"/>
    </row>
    <row r="10404" spans="1:5" ht="13">
      <c r="A10404" s="115"/>
      <c r="B10404" s="115"/>
      <c r="C10404" s="115"/>
      <c r="D10404" s="115"/>
      <c r="E10404" s="115"/>
    </row>
    <row r="10405" spans="1:5" ht="13">
      <c r="A10405" s="115"/>
      <c r="B10405" s="115"/>
      <c r="C10405" s="115"/>
      <c r="D10405" s="115"/>
      <c r="E10405" s="115"/>
    </row>
    <row r="10406" spans="1:5" ht="13">
      <c r="A10406" s="115"/>
      <c r="B10406" s="115"/>
      <c r="C10406" s="115"/>
      <c r="D10406" s="115"/>
      <c r="E10406" s="115"/>
    </row>
    <row r="10407" spans="1:5" ht="13">
      <c r="A10407" s="115"/>
      <c r="B10407" s="115"/>
      <c r="C10407" s="115"/>
      <c r="D10407" s="115"/>
      <c r="E10407" s="115"/>
    </row>
    <row r="10408" spans="1:5" ht="13">
      <c r="A10408" s="115"/>
      <c r="B10408" s="115"/>
      <c r="C10408" s="115"/>
      <c r="D10408" s="115"/>
      <c r="E10408" s="115"/>
    </row>
    <row r="10409" spans="1:5" ht="13">
      <c r="A10409" s="115"/>
      <c r="B10409" s="115"/>
      <c r="C10409" s="115"/>
      <c r="D10409" s="115"/>
      <c r="E10409" s="115"/>
    </row>
    <row r="10410" spans="1:5" ht="13">
      <c r="A10410" s="115"/>
      <c r="B10410" s="115"/>
      <c r="C10410" s="115"/>
      <c r="D10410" s="115"/>
      <c r="E10410" s="115"/>
    </row>
    <row r="10411" spans="1:5" ht="13">
      <c r="A10411" s="115"/>
      <c r="B10411" s="115"/>
      <c r="C10411" s="115"/>
      <c r="D10411" s="115"/>
      <c r="E10411" s="115"/>
    </row>
    <row r="10412" spans="1:5" ht="13">
      <c r="A10412" s="115"/>
      <c r="B10412" s="115"/>
      <c r="C10412" s="115"/>
      <c r="D10412" s="115"/>
      <c r="E10412" s="115"/>
    </row>
    <row r="10413" spans="1:5" ht="13">
      <c r="A10413" s="115"/>
      <c r="B10413" s="115"/>
      <c r="C10413" s="115"/>
      <c r="D10413" s="115"/>
      <c r="E10413" s="115"/>
    </row>
    <row r="10414" spans="1:5" ht="13">
      <c r="A10414" s="115"/>
      <c r="B10414" s="115"/>
      <c r="C10414" s="115"/>
      <c r="D10414" s="115"/>
      <c r="E10414" s="115"/>
    </row>
    <row r="10415" spans="1:5" ht="13">
      <c r="A10415" s="115"/>
      <c r="B10415" s="115"/>
      <c r="C10415" s="115"/>
      <c r="D10415" s="115"/>
      <c r="E10415" s="115"/>
    </row>
    <row r="10416" spans="1:5" ht="13">
      <c r="A10416" s="115"/>
      <c r="B10416" s="115"/>
      <c r="C10416" s="115"/>
      <c r="D10416" s="115"/>
      <c r="E10416" s="115"/>
    </row>
    <row r="10417" spans="1:5" ht="13">
      <c r="A10417" s="115"/>
      <c r="B10417" s="115"/>
      <c r="C10417" s="115"/>
      <c r="D10417" s="115"/>
      <c r="E10417" s="115"/>
    </row>
    <row r="10418" spans="1:5" ht="13">
      <c r="A10418" s="115"/>
      <c r="B10418" s="115"/>
      <c r="C10418" s="115"/>
      <c r="D10418" s="115"/>
      <c r="E10418" s="115"/>
    </row>
    <row r="10419" spans="1:5" ht="13">
      <c r="A10419" s="115"/>
      <c r="B10419" s="115"/>
      <c r="C10419" s="115"/>
      <c r="D10419" s="115"/>
      <c r="E10419" s="115"/>
    </row>
    <row r="10420" spans="1:5" ht="13">
      <c r="A10420" s="115"/>
      <c r="B10420" s="115"/>
      <c r="C10420" s="115"/>
      <c r="D10420" s="115"/>
      <c r="E10420" s="115"/>
    </row>
    <row r="10421" spans="1:5" ht="13">
      <c r="A10421" s="115"/>
      <c r="B10421" s="115"/>
      <c r="C10421" s="115"/>
      <c r="D10421" s="115"/>
      <c r="E10421" s="115"/>
    </row>
    <row r="10422" spans="1:5" ht="13">
      <c r="A10422" s="115"/>
      <c r="B10422" s="115"/>
      <c r="C10422" s="115"/>
      <c r="D10422" s="115"/>
      <c r="E10422" s="115"/>
    </row>
    <row r="10423" spans="1:5" ht="13">
      <c r="A10423" s="115"/>
      <c r="B10423" s="115"/>
      <c r="C10423" s="115"/>
      <c r="D10423" s="115"/>
      <c r="E10423" s="115"/>
    </row>
    <row r="10424" spans="1:5" ht="13">
      <c r="A10424" s="115"/>
      <c r="B10424" s="115"/>
      <c r="C10424" s="115"/>
      <c r="D10424" s="115"/>
      <c r="E10424" s="115"/>
    </row>
    <row r="10425" spans="1:5" ht="13">
      <c r="A10425" s="115"/>
      <c r="B10425" s="115"/>
      <c r="C10425" s="115"/>
      <c r="D10425" s="115"/>
      <c r="E10425" s="115"/>
    </row>
    <row r="10426" spans="1:5" ht="13">
      <c r="A10426" s="115"/>
      <c r="B10426" s="115"/>
      <c r="C10426" s="115"/>
      <c r="D10426" s="115"/>
      <c r="E10426" s="115"/>
    </row>
    <row r="10427" spans="1:5" ht="13">
      <c r="A10427" s="115"/>
      <c r="B10427" s="115"/>
      <c r="C10427" s="115"/>
      <c r="D10427" s="115"/>
      <c r="E10427" s="115"/>
    </row>
    <row r="10428" spans="1:5" ht="13">
      <c r="A10428" s="115"/>
      <c r="B10428" s="115"/>
      <c r="C10428" s="115"/>
      <c r="D10428" s="115"/>
      <c r="E10428" s="115"/>
    </row>
    <row r="10429" spans="1:5" ht="13">
      <c r="A10429" s="115"/>
      <c r="B10429" s="115"/>
      <c r="C10429" s="115"/>
      <c r="D10429" s="115"/>
      <c r="E10429" s="115"/>
    </row>
    <row r="10430" spans="1:5" ht="13">
      <c r="A10430" s="115"/>
      <c r="B10430" s="115"/>
      <c r="C10430" s="115"/>
      <c r="D10430" s="115"/>
      <c r="E10430" s="115"/>
    </row>
    <row r="10431" spans="1:5" ht="13">
      <c r="A10431" s="115"/>
      <c r="B10431" s="115"/>
      <c r="C10431" s="115"/>
      <c r="D10431" s="115"/>
      <c r="E10431" s="115"/>
    </row>
    <row r="10432" spans="1:5" ht="13">
      <c r="A10432" s="115"/>
      <c r="B10432" s="115"/>
      <c r="C10432" s="115"/>
      <c r="D10432" s="115"/>
      <c r="E10432" s="115"/>
    </row>
    <row r="10433" spans="1:5" ht="13">
      <c r="A10433" s="115"/>
      <c r="B10433" s="115"/>
      <c r="C10433" s="115"/>
      <c r="D10433" s="115"/>
      <c r="E10433" s="115"/>
    </row>
    <row r="10434" spans="1:5" ht="13">
      <c r="A10434" s="115"/>
      <c r="B10434" s="115"/>
      <c r="C10434" s="115"/>
      <c r="D10434" s="115"/>
      <c r="E10434" s="115"/>
    </row>
    <row r="10435" spans="1:5" ht="13">
      <c r="A10435" s="115"/>
      <c r="B10435" s="115"/>
      <c r="C10435" s="115"/>
      <c r="D10435" s="115"/>
      <c r="E10435" s="115"/>
    </row>
    <row r="10436" spans="1:5" ht="13">
      <c r="A10436" s="115"/>
      <c r="B10436" s="115"/>
      <c r="C10436" s="115"/>
      <c r="D10436" s="115"/>
      <c r="E10436" s="115"/>
    </row>
    <row r="10437" spans="1:5" ht="13">
      <c r="A10437" s="115"/>
      <c r="B10437" s="115"/>
      <c r="C10437" s="115"/>
      <c r="D10437" s="115"/>
      <c r="E10437" s="115"/>
    </row>
    <row r="10438" spans="1:5" ht="13">
      <c r="A10438" s="115"/>
      <c r="B10438" s="115"/>
      <c r="C10438" s="115"/>
      <c r="D10438" s="115"/>
      <c r="E10438" s="115"/>
    </row>
    <row r="10439" spans="1:5" ht="13">
      <c r="A10439" s="115"/>
      <c r="B10439" s="115"/>
      <c r="C10439" s="115"/>
      <c r="D10439" s="115"/>
      <c r="E10439" s="115"/>
    </row>
    <row r="10440" spans="1:5" ht="13">
      <c r="A10440" s="115"/>
      <c r="B10440" s="115"/>
      <c r="C10440" s="115"/>
      <c r="D10440" s="115"/>
      <c r="E10440" s="115"/>
    </row>
    <row r="10441" spans="1:5" ht="13">
      <c r="A10441" s="115"/>
      <c r="B10441" s="115"/>
      <c r="C10441" s="115"/>
      <c r="D10441" s="115"/>
      <c r="E10441" s="115"/>
    </row>
    <row r="10442" spans="1:5" ht="13">
      <c r="A10442" s="115"/>
      <c r="B10442" s="115"/>
      <c r="C10442" s="115"/>
      <c r="D10442" s="115"/>
      <c r="E10442" s="115"/>
    </row>
    <row r="10443" spans="1:5" ht="13">
      <c r="A10443" s="115"/>
      <c r="B10443" s="115"/>
      <c r="C10443" s="115"/>
      <c r="D10443" s="115"/>
      <c r="E10443" s="115"/>
    </row>
    <row r="10444" spans="1:5" ht="13">
      <c r="A10444" s="115"/>
      <c r="B10444" s="115"/>
      <c r="C10444" s="115"/>
      <c r="D10444" s="115"/>
      <c r="E10444" s="115"/>
    </row>
    <row r="10445" spans="1:5" ht="13">
      <c r="A10445" s="115"/>
      <c r="B10445" s="115"/>
      <c r="C10445" s="115"/>
      <c r="D10445" s="115"/>
      <c r="E10445" s="115"/>
    </row>
    <row r="10446" spans="1:5" ht="13">
      <c r="A10446" s="115"/>
      <c r="B10446" s="115"/>
      <c r="C10446" s="115"/>
      <c r="D10446" s="115"/>
      <c r="E10446" s="115"/>
    </row>
    <row r="10447" spans="1:5" ht="13">
      <c r="A10447" s="115"/>
      <c r="B10447" s="115"/>
      <c r="C10447" s="115"/>
      <c r="D10447" s="115"/>
      <c r="E10447" s="115"/>
    </row>
    <row r="10448" spans="1:5" ht="13">
      <c r="A10448" s="115"/>
      <c r="B10448" s="115"/>
      <c r="C10448" s="115"/>
      <c r="D10448" s="115"/>
      <c r="E10448" s="115"/>
    </row>
    <row r="10449" spans="1:5" ht="13">
      <c r="A10449" s="115"/>
      <c r="B10449" s="115"/>
      <c r="C10449" s="115"/>
      <c r="D10449" s="115"/>
      <c r="E10449" s="115"/>
    </row>
    <row r="10450" spans="1:5" ht="13">
      <c r="A10450" s="115"/>
      <c r="B10450" s="115"/>
      <c r="C10450" s="115"/>
      <c r="D10450" s="115"/>
      <c r="E10450" s="115"/>
    </row>
    <row r="10451" spans="1:5" ht="13">
      <c r="A10451" s="115"/>
      <c r="B10451" s="115"/>
      <c r="C10451" s="115"/>
      <c r="D10451" s="115"/>
      <c r="E10451" s="115"/>
    </row>
    <row r="10452" spans="1:5" ht="13">
      <c r="A10452" s="115"/>
      <c r="B10452" s="115"/>
      <c r="C10452" s="115"/>
      <c r="D10452" s="115"/>
      <c r="E10452" s="115"/>
    </row>
    <row r="10453" spans="1:5" ht="13">
      <c r="A10453" s="115"/>
      <c r="B10453" s="115"/>
      <c r="C10453" s="115"/>
      <c r="D10453" s="115"/>
      <c r="E10453" s="115"/>
    </row>
    <row r="10454" spans="1:5" ht="13">
      <c r="A10454" s="115"/>
      <c r="B10454" s="115"/>
      <c r="C10454" s="115"/>
      <c r="D10454" s="115"/>
      <c r="E10454" s="115"/>
    </row>
    <row r="10455" spans="1:5" ht="13">
      <c r="A10455" s="115"/>
      <c r="B10455" s="115"/>
      <c r="C10455" s="115"/>
      <c r="D10455" s="115"/>
      <c r="E10455" s="115"/>
    </row>
    <row r="10456" spans="1:5" ht="13">
      <c r="A10456" s="115"/>
      <c r="B10456" s="115"/>
      <c r="C10456" s="115"/>
      <c r="D10456" s="115"/>
      <c r="E10456" s="115"/>
    </row>
    <row r="10457" spans="1:5" ht="13">
      <c r="A10457" s="115"/>
      <c r="B10457" s="115"/>
      <c r="C10457" s="115"/>
      <c r="D10457" s="115"/>
      <c r="E10457" s="115"/>
    </row>
    <row r="10458" spans="1:5" ht="13">
      <c r="A10458" s="115"/>
      <c r="B10458" s="115"/>
      <c r="C10458" s="115"/>
      <c r="D10458" s="115"/>
      <c r="E10458" s="115"/>
    </row>
    <row r="10459" spans="1:5" ht="13">
      <c r="A10459" s="115"/>
      <c r="B10459" s="115"/>
      <c r="C10459" s="115"/>
      <c r="D10459" s="115"/>
      <c r="E10459" s="115"/>
    </row>
    <row r="10460" spans="1:5" ht="13">
      <c r="A10460" s="115"/>
      <c r="B10460" s="115"/>
      <c r="C10460" s="115"/>
      <c r="D10460" s="115"/>
      <c r="E10460" s="115"/>
    </row>
    <row r="10461" spans="1:5" ht="13">
      <c r="A10461" s="115"/>
      <c r="B10461" s="115"/>
      <c r="C10461" s="115"/>
      <c r="D10461" s="115"/>
      <c r="E10461" s="115"/>
    </row>
    <row r="10462" spans="1:5" ht="13">
      <c r="A10462" s="115"/>
      <c r="B10462" s="115"/>
      <c r="C10462" s="115"/>
      <c r="D10462" s="115"/>
      <c r="E10462" s="115"/>
    </row>
    <row r="10463" spans="1:5" ht="13">
      <c r="A10463" s="115"/>
      <c r="B10463" s="115"/>
      <c r="C10463" s="115"/>
      <c r="D10463" s="115"/>
      <c r="E10463" s="115"/>
    </row>
    <row r="10464" spans="1:5" ht="13">
      <c r="A10464" s="115"/>
      <c r="B10464" s="115"/>
      <c r="C10464" s="115"/>
      <c r="D10464" s="115"/>
      <c r="E10464" s="115"/>
    </row>
    <row r="10465" spans="1:5" ht="13">
      <c r="A10465" s="115"/>
      <c r="B10465" s="115"/>
      <c r="C10465" s="115"/>
      <c r="D10465" s="115"/>
      <c r="E10465" s="115"/>
    </row>
    <row r="10466" spans="1:5" ht="13">
      <c r="A10466" s="115"/>
      <c r="B10466" s="115"/>
      <c r="C10466" s="115"/>
      <c r="D10466" s="115"/>
      <c r="E10466" s="115"/>
    </row>
    <row r="10467" spans="1:5" ht="13">
      <c r="A10467" s="115"/>
      <c r="B10467" s="115"/>
      <c r="C10467" s="115"/>
      <c r="D10467" s="115"/>
      <c r="E10467" s="115"/>
    </row>
    <row r="10468" spans="1:5" ht="13">
      <c r="A10468" s="115"/>
      <c r="B10468" s="115"/>
      <c r="C10468" s="115"/>
      <c r="D10468" s="115"/>
      <c r="E10468" s="115"/>
    </row>
    <row r="10469" spans="1:5" ht="13">
      <c r="A10469" s="115"/>
      <c r="B10469" s="115"/>
      <c r="C10469" s="115"/>
      <c r="D10469" s="115"/>
      <c r="E10469" s="115"/>
    </row>
    <row r="10470" spans="1:5" ht="13">
      <c r="A10470" s="115"/>
      <c r="B10470" s="115"/>
      <c r="C10470" s="115"/>
      <c r="D10470" s="115"/>
      <c r="E10470" s="115"/>
    </row>
    <row r="10471" spans="1:5" ht="13">
      <c r="A10471" s="115"/>
      <c r="B10471" s="115"/>
      <c r="C10471" s="115"/>
      <c r="D10471" s="115"/>
      <c r="E10471" s="115"/>
    </row>
    <row r="10472" spans="1:5" ht="13">
      <c r="A10472" s="115"/>
      <c r="B10472" s="115"/>
      <c r="C10472" s="115"/>
      <c r="D10472" s="115"/>
      <c r="E10472" s="115"/>
    </row>
    <row r="10473" spans="1:5" ht="13">
      <c r="A10473" s="115"/>
      <c r="B10473" s="115"/>
      <c r="C10473" s="115"/>
      <c r="D10473" s="115"/>
      <c r="E10473" s="115"/>
    </row>
    <row r="10474" spans="1:5" ht="13">
      <c r="A10474" s="115"/>
      <c r="B10474" s="115"/>
      <c r="C10474" s="115"/>
      <c r="D10474" s="115"/>
      <c r="E10474" s="115"/>
    </row>
    <row r="10475" spans="1:5" ht="13">
      <c r="A10475" s="115"/>
      <c r="B10475" s="115"/>
      <c r="C10475" s="115"/>
      <c r="D10475" s="115"/>
      <c r="E10475" s="115"/>
    </row>
    <row r="10476" spans="1:5" ht="13">
      <c r="A10476" s="115"/>
      <c r="B10476" s="115"/>
      <c r="C10476" s="115"/>
      <c r="D10476" s="115"/>
      <c r="E10476" s="115"/>
    </row>
    <row r="10477" spans="1:5" ht="13">
      <c r="A10477" s="115"/>
      <c r="B10477" s="115"/>
      <c r="C10477" s="115"/>
      <c r="D10477" s="115"/>
      <c r="E10477" s="115"/>
    </row>
    <row r="10478" spans="1:5" ht="13">
      <c r="A10478" s="115"/>
      <c r="B10478" s="115"/>
      <c r="C10478" s="115"/>
      <c r="D10478" s="115"/>
      <c r="E10478" s="115"/>
    </row>
    <row r="10479" spans="1:5" ht="13">
      <c r="A10479" s="115"/>
      <c r="B10479" s="115"/>
      <c r="C10479" s="115"/>
      <c r="D10479" s="115"/>
      <c r="E10479" s="115"/>
    </row>
    <row r="10480" spans="1:5" ht="13">
      <c r="A10480" s="115"/>
      <c r="B10480" s="115"/>
      <c r="C10480" s="115"/>
      <c r="D10480" s="115"/>
      <c r="E10480" s="115"/>
    </row>
    <row r="10481" spans="1:5" ht="13">
      <c r="A10481" s="115"/>
      <c r="B10481" s="115"/>
      <c r="C10481" s="115"/>
      <c r="D10481" s="115"/>
      <c r="E10481" s="115"/>
    </row>
    <row r="10482" spans="1:5" ht="13">
      <c r="A10482" s="115"/>
      <c r="B10482" s="115"/>
      <c r="C10482" s="115"/>
      <c r="D10482" s="115"/>
      <c r="E10482" s="115"/>
    </row>
    <row r="10483" spans="1:5" ht="13">
      <c r="A10483" s="115"/>
      <c r="B10483" s="115"/>
      <c r="C10483" s="115"/>
      <c r="D10483" s="115"/>
      <c r="E10483" s="115"/>
    </row>
    <row r="10484" spans="1:5" ht="13">
      <c r="A10484" s="115"/>
      <c r="B10484" s="115"/>
      <c r="C10484" s="115"/>
      <c r="D10484" s="115"/>
      <c r="E10484" s="115"/>
    </row>
    <row r="10485" spans="1:5" ht="13">
      <c r="A10485" s="115"/>
      <c r="B10485" s="115"/>
      <c r="C10485" s="115"/>
      <c r="D10485" s="115"/>
      <c r="E10485" s="115"/>
    </row>
    <row r="10486" spans="1:5" ht="13">
      <c r="A10486" s="115"/>
      <c r="B10486" s="115"/>
      <c r="C10486" s="115"/>
      <c r="D10486" s="115"/>
      <c r="E10486" s="115"/>
    </row>
    <row r="10487" spans="1:5" ht="13">
      <c r="A10487" s="115"/>
      <c r="B10487" s="115"/>
      <c r="C10487" s="115"/>
      <c r="D10487" s="115"/>
      <c r="E10487" s="115"/>
    </row>
    <row r="10488" spans="1:5" ht="13">
      <c r="A10488" s="115"/>
      <c r="B10488" s="115"/>
      <c r="C10488" s="115"/>
      <c r="D10488" s="115"/>
      <c r="E10488" s="115"/>
    </row>
    <row r="10489" spans="1:5" ht="13">
      <c r="A10489" s="115"/>
      <c r="B10489" s="115"/>
      <c r="C10489" s="115"/>
      <c r="D10489" s="115"/>
      <c r="E10489" s="115"/>
    </row>
    <row r="10490" spans="1:5" ht="13">
      <c r="A10490" s="115"/>
      <c r="B10490" s="115"/>
      <c r="C10490" s="115"/>
      <c r="D10490" s="115"/>
      <c r="E10490" s="115"/>
    </row>
    <row r="10491" spans="1:5" ht="13">
      <c r="A10491" s="115"/>
      <c r="B10491" s="115"/>
      <c r="C10491" s="115"/>
      <c r="D10491" s="115"/>
      <c r="E10491" s="115"/>
    </row>
    <row r="10492" spans="1:5" ht="13">
      <c r="A10492" s="115"/>
      <c r="B10492" s="115"/>
      <c r="C10492" s="115"/>
      <c r="D10492" s="115"/>
      <c r="E10492" s="115"/>
    </row>
    <row r="10493" spans="1:5" ht="13">
      <c r="A10493" s="115"/>
      <c r="B10493" s="115"/>
      <c r="C10493" s="115"/>
      <c r="D10493" s="115"/>
      <c r="E10493" s="115"/>
    </row>
    <row r="10494" spans="1:5" ht="13">
      <c r="A10494" s="115"/>
      <c r="B10494" s="115"/>
      <c r="C10494" s="115"/>
      <c r="D10494" s="115"/>
      <c r="E10494" s="115"/>
    </row>
    <row r="10495" spans="1:5" ht="13">
      <c r="A10495" s="115"/>
      <c r="B10495" s="115"/>
      <c r="C10495" s="115"/>
      <c r="D10495" s="115"/>
      <c r="E10495" s="115"/>
    </row>
    <row r="10496" spans="1:5" ht="13">
      <c r="A10496" s="115"/>
      <c r="B10496" s="115"/>
      <c r="C10496" s="115"/>
      <c r="D10496" s="115"/>
      <c r="E10496" s="115"/>
    </row>
    <row r="10497" spans="1:5" ht="13">
      <c r="A10497" s="115"/>
      <c r="B10497" s="115"/>
      <c r="C10497" s="115"/>
      <c r="D10497" s="115"/>
      <c r="E10497" s="115"/>
    </row>
    <row r="10498" spans="1:5" ht="13">
      <c r="A10498" s="115"/>
      <c r="B10498" s="115"/>
      <c r="C10498" s="115"/>
      <c r="D10498" s="115"/>
      <c r="E10498" s="115"/>
    </row>
    <row r="10499" spans="1:5" ht="13">
      <c r="A10499" s="115"/>
      <c r="B10499" s="115"/>
      <c r="C10499" s="115"/>
      <c r="D10499" s="115"/>
      <c r="E10499" s="115"/>
    </row>
    <row r="10500" spans="1:5" ht="13">
      <c r="A10500" s="115"/>
      <c r="B10500" s="115"/>
      <c r="C10500" s="115"/>
      <c r="D10500" s="115"/>
      <c r="E10500" s="115"/>
    </row>
    <row r="10501" spans="1:5" ht="13">
      <c r="A10501" s="115"/>
      <c r="B10501" s="115"/>
      <c r="C10501" s="115"/>
      <c r="D10501" s="115"/>
      <c r="E10501" s="115"/>
    </row>
    <row r="10502" spans="1:5" ht="13">
      <c r="A10502" s="115"/>
      <c r="B10502" s="115"/>
      <c r="C10502" s="115"/>
      <c r="D10502" s="115"/>
      <c r="E10502" s="115"/>
    </row>
    <row r="10503" spans="1:5" ht="13">
      <c r="A10503" s="115"/>
      <c r="B10503" s="115"/>
      <c r="C10503" s="115"/>
      <c r="D10503" s="115"/>
      <c r="E10503" s="115"/>
    </row>
    <row r="10504" spans="1:5" ht="13">
      <c r="A10504" s="115"/>
      <c r="B10504" s="115"/>
      <c r="C10504" s="115"/>
      <c r="D10504" s="115"/>
      <c r="E10504" s="115"/>
    </row>
    <row r="10505" spans="1:5" ht="13">
      <c r="A10505" s="115"/>
      <c r="B10505" s="115"/>
      <c r="C10505" s="115"/>
      <c r="D10505" s="115"/>
      <c r="E10505" s="115"/>
    </row>
    <row r="10506" spans="1:5" ht="13">
      <c r="A10506" s="115"/>
      <c r="B10506" s="115"/>
      <c r="C10506" s="115"/>
      <c r="D10506" s="115"/>
      <c r="E10506" s="115"/>
    </row>
    <row r="10507" spans="1:5" ht="13">
      <c r="A10507" s="115"/>
      <c r="B10507" s="115"/>
      <c r="C10507" s="115"/>
      <c r="D10507" s="115"/>
      <c r="E10507" s="115"/>
    </row>
    <row r="10508" spans="1:5" ht="13">
      <c r="A10508" s="115"/>
      <c r="B10508" s="115"/>
      <c r="C10508" s="115"/>
      <c r="D10508" s="115"/>
      <c r="E10508" s="115"/>
    </row>
    <row r="10509" spans="1:5" ht="13">
      <c r="A10509" s="115"/>
      <c r="B10509" s="115"/>
      <c r="C10509" s="115"/>
      <c r="D10509" s="115"/>
      <c r="E10509" s="115"/>
    </row>
    <row r="10510" spans="1:5" ht="13">
      <c r="A10510" s="115"/>
      <c r="B10510" s="115"/>
      <c r="C10510" s="115"/>
      <c r="D10510" s="115"/>
      <c r="E10510" s="115"/>
    </row>
    <row r="10511" spans="1:5" ht="13">
      <c r="A10511" s="115"/>
      <c r="B10511" s="115"/>
      <c r="C10511" s="115"/>
      <c r="D10511" s="115"/>
      <c r="E10511" s="115"/>
    </row>
    <row r="10512" spans="1:5" ht="13">
      <c r="A10512" s="115"/>
      <c r="B10512" s="115"/>
      <c r="C10512" s="115"/>
      <c r="D10512" s="115"/>
      <c r="E10512" s="115"/>
    </row>
    <row r="10513" spans="1:5" ht="13">
      <c r="A10513" s="115"/>
      <c r="B10513" s="115"/>
      <c r="C10513" s="115"/>
      <c r="D10513" s="115"/>
      <c r="E10513" s="115"/>
    </row>
    <row r="10514" spans="1:5" ht="13">
      <c r="A10514" s="115"/>
      <c r="B10514" s="115"/>
      <c r="C10514" s="115"/>
      <c r="D10514" s="115"/>
      <c r="E10514" s="115"/>
    </row>
    <row r="10515" spans="1:5" ht="13">
      <c r="A10515" s="115"/>
      <c r="B10515" s="115"/>
      <c r="C10515" s="115"/>
      <c r="D10515" s="115"/>
      <c r="E10515" s="115"/>
    </row>
    <row r="10516" spans="1:5" ht="13">
      <c r="A10516" s="115"/>
      <c r="B10516" s="115"/>
      <c r="C10516" s="115"/>
      <c r="D10516" s="115"/>
      <c r="E10516" s="115"/>
    </row>
    <row r="10517" spans="1:5" ht="13">
      <c r="A10517" s="115"/>
      <c r="B10517" s="115"/>
      <c r="C10517" s="115"/>
      <c r="D10517" s="115"/>
      <c r="E10517" s="115"/>
    </row>
    <row r="10518" spans="1:5" ht="13">
      <c r="A10518" s="115"/>
      <c r="B10518" s="115"/>
      <c r="C10518" s="115"/>
      <c r="D10518" s="115"/>
      <c r="E10518" s="115"/>
    </row>
    <row r="10519" spans="1:5" ht="13">
      <c r="A10519" s="115"/>
      <c r="B10519" s="115"/>
      <c r="C10519" s="115"/>
      <c r="D10519" s="115"/>
      <c r="E10519" s="115"/>
    </row>
    <row r="10520" spans="1:5" ht="13">
      <c r="A10520" s="115"/>
      <c r="B10520" s="115"/>
      <c r="C10520" s="115"/>
      <c r="D10520" s="115"/>
      <c r="E10520" s="115"/>
    </row>
    <row r="10521" spans="1:5" ht="13">
      <c r="A10521" s="115"/>
      <c r="B10521" s="115"/>
      <c r="C10521" s="115"/>
      <c r="D10521" s="115"/>
      <c r="E10521" s="115"/>
    </row>
    <row r="10522" spans="1:5" ht="13">
      <c r="A10522" s="115"/>
      <c r="B10522" s="115"/>
      <c r="C10522" s="115"/>
      <c r="D10522" s="115"/>
      <c r="E10522" s="115"/>
    </row>
    <row r="10523" spans="1:5" ht="13">
      <c r="A10523" s="115"/>
      <c r="B10523" s="115"/>
      <c r="C10523" s="115"/>
      <c r="D10523" s="115"/>
      <c r="E10523" s="115"/>
    </row>
    <row r="10524" spans="1:5" ht="13">
      <c r="A10524" s="115"/>
      <c r="B10524" s="115"/>
      <c r="C10524" s="115"/>
      <c r="D10524" s="115"/>
      <c r="E10524" s="115"/>
    </row>
    <row r="10525" spans="1:5" ht="13">
      <c r="A10525" s="115"/>
      <c r="B10525" s="115"/>
      <c r="C10525" s="115"/>
      <c r="D10525" s="115"/>
      <c r="E10525" s="115"/>
    </row>
    <row r="10526" spans="1:5" ht="13">
      <c r="A10526" s="115"/>
      <c r="B10526" s="115"/>
      <c r="C10526" s="115"/>
      <c r="D10526" s="115"/>
      <c r="E10526" s="115"/>
    </row>
    <row r="10527" spans="1:5" ht="13">
      <c r="A10527" s="115"/>
      <c r="B10527" s="115"/>
      <c r="C10527" s="115"/>
      <c r="D10527" s="115"/>
      <c r="E10527" s="115"/>
    </row>
    <row r="10528" spans="1:5" ht="13">
      <c r="A10528" s="115"/>
      <c r="B10528" s="115"/>
      <c r="C10528" s="115"/>
      <c r="D10528" s="115"/>
      <c r="E10528" s="115"/>
    </row>
    <row r="10529" spans="1:5" ht="13">
      <c r="A10529" s="115"/>
      <c r="B10529" s="115"/>
      <c r="C10529" s="115"/>
      <c r="D10529" s="115"/>
      <c r="E10529" s="115"/>
    </row>
    <row r="10530" spans="1:5" ht="13">
      <c r="A10530" s="115"/>
      <c r="B10530" s="115"/>
      <c r="C10530" s="115"/>
      <c r="D10530" s="115"/>
      <c r="E10530" s="115"/>
    </row>
    <row r="10531" spans="1:5" ht="13">
      <c r="A10531" s="115"/>
      <c r="B10531" s="115"/>
      <c r="C10531" s="115"/>
      <c r="D10531" s="115"/>
      <c r="E10531" s="115"/>
    </row>
    <row r="10532" spans="1:5" ht="13">
      <c r="A10532" s="115"/>
      <c r="B10532" s="115"/>
      <c r="C10532" s="115"/>
      <c r="D10532" s="115"/>
      <c r="E10532" s="115"/>
    </row>
    <row r="10533" spans="1:5" ht="13">
      <c r="A10533" s="115"/>
      <c r="B10533" s="115"/>
      <c r="C10533" s="115"/>
      <c r="D10533" s="115"/>
      <c r="E10533" s="115"/>
    </row>
    <row r="10534" spans="1:5" ht="13">
      <c r="A10534" s="115"/>
      <c r="B10534" s="115"/>
      <c r="C10534" s="115"/>
      <c r="D10534" s="115"/>
      <c r="E10534" s="115"/>
    </row>
    <row r="10535" spans="1:5" ht="13">
      <c r="A10535" s="115"/>
      <c r="B10535" s="115"/>
      <c r="C10535" s="115"/>
      <c r="D10535" s="115"/>
      <c r="E10535" s="115"/>
    </row>
    <row r="10536" spans="1:5" ht="13">
      <c r="A10536" s="115"/>
      <c r="B10536" s="115"/>
      <c r="C10536" s="115"/>
      <c r="D10536" s="115"/>
      <c r="E10536" s="115"/>
    </row>
    <row r="10537" spans="1:5" ht="13">
      <c r="A10537" s="115"/>
      <c r="B10537" s="115"/>
      <c r="C10537" s="115"/>
      <c r="D10537" s="115"/>
      <c r="E10537" s="115"/>
    </row>
    <row r="10538" spans="1:5" ht="13">
      <c r="A10538" s="115"/>
      <c r="B10538" s="115"/>
      <c r="C10538" s="115"/>
      <c r="D10538" s="115"/>
      <c r="E10538" s="115"/>
    </row>
    <row r="10539" spans="1:5" ht="13">
      <c r="A10539" s="115"/>
      <c r="B10539" s="115"/>
      <c r="C10539" s="115"/>
      <c r="D10539" s="115"/>
      <c r="E10539" s="115"/>
    </row>
    <row r="10540" spans="1:5" ht="13">
      <c r="A10540" s="115"/>
      <c r="B10540" s="115"/>
      <c r="C10540" s="115"/>
      <c r="D10540" s="115"/>
      <c r="E10540" s="115"/>
    </row>
    <row r="10541" spans="1:5" ht="13">
      <c r="A10541" s="115"/>
      <c r="B10541" s="115"/>
      <c r="C10541" s="115"/>
      <c r="D10541" s="115"/>
      <c r="E10541" s="115"/>
    </row>
    <row r="10542" spans="1:5" ht="13">
      <c r="A10542" s="115"/>
      <c r="B10542" s="115"/>
      <c r="C10542" s="115"/>
      <c r="D10542" s="115"/>
      <c r="E10542" s="115"/>
    </row>
    <row r="10543" spans="1:5" ht="13">
      <c r="A10543" s="115"/>
      <c r="B10543" s="115"/>
      <c r="C10543" s="115"/>
      <c r="D10543" s="115"/>
      <c r="E10543" s="115"/>
    </row>
    <row r="10544" spans="1:5" ht="13">
      <c r="A10544" s="115"/>
      <c r="B10544" s="115"/>
      <c r="C10544" s="115"/>
      <c r="D10544" s="115"/>
      <c r="E10544" s="115"/>
    </row>
    <row r="10545" spans="1:5" ht="13">
      <c r="A10545" s="115"/>
      <c r="B10545" s="115"/>
      <c r="C10545" s="115"/>
      <c r="D10545" s="115"/>
      <c r="E10545" s="115"/>
    </row>
    <row r="10546" spans="1:5" ht="13">
      <c r="A10546" s="115"/>
      <c r="B10546" s="115"/>
      <c r="C10546" s="115"/>
      <c r="D10546" s="115"/>
      <c r="E10546" s="115"/>
    </row>
    <row r="10547" spans="1:5" ht="13">
      <c r="A10547" s="115"/>
      <c r="B10547" s="115"/>
      <c r="C10547" s="115"/>
      <c r="D10547" s="115"/>
      <c r="E10547" s="115"/>
    </row>
    <row r="10548" spans="1:5" ht="13">
      <c r="A10548" s="115"/>
      <c r="B10548" s="115"/>
      <c r="C10548" s="115"/>
      <c r="D10548" s="115"/>
      <c r="E10548" s="115"/>
    </row>
    <row r="10549" spans="1:5" ht="13">
      <c r="A10549" s="115"/>
      <c r="B10549" s="115"/>
      <c r="C10549" s="115"/>
      <c r="D10549" s="115"/>
      <c r="E10549" s="115"/>
    </row>
    <row r="10550" spans="1:5" ht="13">
      <c r="A10550" s="115"/>
      <c r="B10550" s="115"/>
      <c r="C10550" s="115"/>
      <c r="D10550" s="115"/>
      <c r="E10550" s="115"/>
    </row>
    <row r="10551" spans="1:5" ht="13">
      <c r="A10551" s="115"/>
      <c r="B10551" s="115"/>
      <c r="C10551" s="115"/>
      <c r="D10551" s="115"/>
      <c r="E10551" s="115"/>
    </row>
    <row r="10552" spans="1:5" ht="13">
      <c r="A10552" s="115"/>
      <c r="B10552" s="115"/>
      <c r="C10552" s="115"/>
      <c r="D10552" s="115"/>
      <c r="E10552" s="115"/>
    </row>
    <row r="10553" spans="1:5" ht="13">
      <c r="A10553" s="115"/>
      <c r="B10553" s="115"/>
      <c r="C10553" s="115"/>
      <c r="D10553" s="115"/>
      <c r="E10553" s="115"/>
    </row>
    <row r="10554" spans="1:5" ht="13">
      <c r="A10554" s="115"/>
      <c r="B10554" s="115"/>
      <c r="C10554" s="115"/>
      <c r="D10554" s="115"/>
      <c r="E10554" s="115"/>
    </row>
    <row r="10555" spans="1:5" ht="13">
      <c r="A10555" s="115"/>
      <c r="B10555" s="115"/>
      <c r="C10555" s="115"/>
      <c r="D10555" s="115"/>
      <c r="E10555" s="115"/>
    </row>
    <row r="10556" spans="1:5" ht="13">
      <c r="A10556" s="115"/>
      <c r="B10556" s="115"/>
      <c r="C10556" s="115"/>
      <c r="D10556" s="115"/>
      <c r="E10556" s="115"/>
    </row>
    <row r="10557" spans="1:5" ht="13">
      <c r="A10557" s="115"/>
      <c r="B10557" s="115"/>
      <c r="C10557" s="115"/>
      <c r="D10557" s="115"/>
      <c r="E10557" s="115"/>
    </row>
    <row r="10558" spans="1:5" ht="13">
      <c r="A10558" s="115"/>
      <c r="B10558" s="115"/>
      <c r="C10558" s="115"/>
      <c r="D10558" s="115"/>
      <c r="E10558" s="115"/>
    </row>
    <row r="10559" spans="1:5" ht="13">
      <c r="A10559" s="115"/>
      <c r="B10559" s="115"/>
      <c r="C10559" s="115"/>
      <c r="D10559" s="115"/>
      <c r="E10559" s="115"/>
    </row>
    <row r="10560" spans="1:5" ht="13">
      <c r="A10560" s="115"/>
      <c r="B10560" s="115"/>
      <c r="C10560" s="115"/>
      <c r="D10560" s="115"/>
      <c r="E10560" s="115"/>
    </row>
    <row r="10561" spans="1:5" ht="13">
      <c r="A10561" s="115"/>
      <c r="B10561" s="115"/>
      <c r="C10561" s="115"/>
      <c r="D10561" s="115"/>
      <c r="E10561" s="115"/>
    </row>
    <row r="10562" spans="1:5" ht="13">
      <c r="A10562" s="115"/>
      <c r="B10562" s="115"/>
      <c r="C10562" s="115"/>
      <c r="D10562" s="115"/>
      <c r="E10562" s="115"/>
    </row>
    <row r="10563" spans="1:5" ht="13">
      <c r="A10563" s="115"/>
      <c r="B10563" s="115"/>
      <c r="C10563" s="115"/>
      <c r="D10563" s="115"/>
      <c r="E10563" s="115"/>
    </row>
    <row r="10564" spans="1:5" ht="13">
      <c r="A10564" s="115"/>
      <c r="B10564" s="115"/>
      <c r="C10564" s="115"/>
      <c r="D10564" s="115"/>
      <c r="E10564" s="115"/>
    </row>
    <row r="10565" spans="1:5" ht="13">
      <c r="A10565" s="115"/>
      <c r="B10565" s="115"/>
      <c r="C10565" s="115"/>
      <c r="D10565" s="115"/>
      <c r="E10565" s="115"/>
    </row>
    <row r="10566" spans="1:5" ht="13">
      <c r="A10566" s="115"/>
      <c r="B10566" s="115"/>
      <c r="C10566" s="115"/>
      <c r="D10566" s="115"/>
      <c r="E10566" s="115"/>
    </row>
    <row r="10567" spans="1:5" ht="13">
      <c r="A10567" s="115"/>
      <c r="B10567" s="115"/>
      <c r="C10567" s="115"/>
      <c r="D10567" s="115"/>
      <c r="E10567" s="115"/>
    </row>
    <row r="10568" spans="1:5" ht="13">
      <c r="A10568" s="115"/>
      <c r="B10568" s="115"/>
      <c r="C10568" s="115"/>
      <c r="D10568" s="115"/>
      <c r="E10568" s="115"/>
    </row>
    <row r="10569" spans="1:5" ht="13">
      <c r="A10569" s="115"/>
      <c r="B10569" s="115"/>
      <c r="C10569" s="115"/>
      <c r="D10569" s="115"/>
      <c r="E10569" s="115"/>
    </row>
    <row r="10570" spans="1:5" ht="13">
      <c r="A10570" s="115"/>
      <c r="B10570" s="115"/>
      <c r="C10570" s="115"/>
      <c r="D10570" s="115"/>
      <c r="E10570" s="115"/>
    </row>
    <row r="10571" spans="1:5" ht="13">
      <c r="A10571" s="115"/>
      <c r="B10571" s="115"/>
      <c r="C10571" s="115"/>
      <c r="D10571" s="115"/>
      <c r="E10571" s="115"/>
    </row>
    <row r="10572" spans="1:5" ht="13">
      <c r="A10572" s="115"/>
      <c r="B10572" s="115"/>
      <c r="C10572" s="115"/>
      <c r="D10572" s="115"/>
      <c r="E10572" s="115"/>
    </row>
    <row r="10573" spans="1:5" ht="13">
      <c r="A10573" s="115"/>
      <c r="B10573" s="115"/>
      <c r="C10573" s="115"/>
      <c r="D10573" s="115"/>
      <c r="E10573" s="115"/>
    </row>
    <row r="10574" spans="1:5" ht="13">
      <c r="A10574" s="115"/>
      <c r="B10574" s="115"/>
      <c r="C10574" s="115"/>
      <c r="D10574" s="115"/>
      <c r="E10574" s="115"/>
    </row>
    <row r="10575" spans="1:5" ht="13">
      <c r="A10575" s="115"/>
      <c r="B10575" s="115"/>
      <c r="C10575" s="115"/>
      <c r="D10575" s="115"/>
      <c r="E10575" s="115"/>
    </row>
    <row r="10576" spans="1:5" ht="13">
      <c r="A10576" s="115"/>
      <c r="B10576" s="115"/>
      <c r="C10576" s="115"/>
      <c r="D10576" s="115"/>
      <c r="E10576" s="115"/>
    </row>
    <row r="10577" spans="1:5" ht="13">
      <c r="A10577" s="115"/>
      <c r="B10577" s="115"/>
      <c r="C10577" s="115"/>
      <c r="D10577" s="115"/>
      <c r="E10577" s="115"/>
    </row>
    <row r="10578" spans="1:5" ht="13">
      <c r="A10578" s="115"/>
      <c r="B10578" s="115"/>
      <c r="C10578" s="115"/>
      <c r="D10578" s="115"/>
      <c r="E10578" s="115"/>
    </row>
    <row r="10579" spans="1:5" ht="13">
      <c r="A10579" s="115"/>
      <c r="B10579" s="115"/>
      <c r="C10579" s="115"/>
      <c r="D10579" s="115"/>
      <c r="E10579" s="115"/>
    </row>
    <row r="10580" spans="1:5" ht="13">
      <c r="A10580" s="115"/>
      <c r="B10580" s="115"/>
      <c r="C10580" s="115"/>
      <c r="D10580" s="115"/>
      <c r="E10580" s="115"/>
    </row>
    <row r="10581" spans="1:5" ht="13">
      <c r="A10581" s="115"/>
      <c r="B10581" s="115"/>
      <c r="C10581" s="115"/>
      <c r="D10581" s="115"/>
      <c r="E10581" s="115"/>
    </row>
    <row r="10582" spans="1:5" ht="13">
      <c r="A10582" s="115"/>
      <c r="B10582" s="115"/>
      <c r="C10582" s="115"/>
      <c r="D10582" s="115"/>
      <c r="E10582" s="115"/>
    </row>
    <row r="10583" spans="1:5" ht="13">
      <c r="A10583" s="115"/>
      <c r="B10583" s="115"/>
      <c r="C10583" s="115"/>
      <c r="D10583" s="115"/>
      <c r="E10583" s="115"/>
    </row>
    <row r="10584" spans="1:5" ht="13">
      <c r="A10584" s="115"/>
      <c r="B10584" s="115"/>
      <c r="C10584" s="115"/>
      <c r="D10584" s="115"/>
      <c r="E10584" s="115"/>
    </row>
    <row r="10585" spans="1:5" ht="13">
      <c r="A10585" s="115"/>
      <c r="B10585" s="115"/>
      <c r="C10585" s="115"/>
      <c r="D10585" s="115"/>
      <c r="E10585" s="115"/>
    </row>
    <row r="10586" spans="1:5" ht="13">
      <c r="A10586" s="115"/>
      <c r="B10586" s="115"/>
      <c r="C10586" s="115"/>
      <c r="D10586" s="115"/>
      <c r="E10586" s="115"/>
    </row>
    <row r="10587" spans="1:5" ht="13">
      <c r="A10587" s="115"/>
      <c r="B10587" s="115"/>
      <c r="C10587" s="115"/>
      <c r="D10587" s="115"/>
      <c r="E10587" s="115"/>
    </row>
    <row r="10588" spans="1:5" ht="13">
      <c r="A10588" s="115"/>
      <c r="B10588" s="115"/>
      <c r="C10588" s="115"/>
      <c r="D10588" s="115"/>
      <c r="E10588" s="115"/>
    </row>
    <row r="10589" spans="1:5" ht="13">
      <c r="A10589" s="115"/>
      <c r="B10589" s="115"/>
      <c r="C10589" s="115"/>
      <c r="D10589" s="115"/>
      <c r="E10589" s="115"/>
    </row>
    <row r="10590" spans="1:5" ht="13">
      <c r="A10590" s="115"/>
      <c r="B10590" s="115"/>
      <c r="C10590" s="115"/>
      <c r="D10590" s="115"/>
      <c r="E10590" s="115"/>
    </row>
    <row r="10591" spans="1:5" ht="13">
      <c r="A10591" s="115"/>
      <c r="B10591" s="115"/>
      <c r="C10591" s="115"/>
      <c r="D10591" s="115"/>
      <c r="E10591" s="115"/>
    </row>
    <row r="10592" spans="1:5" ht="13">
      <c r="A10592" s="115"/>
      <c r="B10592" s="115"/>
      <c r="C10592" s="115"/>
      <c r="D10592" s="115"/>
      <c r="E10592" s="115"/>
    </row>
    <row r="10593" spans="1:5" ht="13">
      <c r="A10593" s="115"/>
      <c r="B10593" s="115"/>
      <c r="C10593" s="115"/>
      <c r="D10593" s="115"/>
      <c r="E10593" s="115"/>
    </row>
    <row r="10594" spans="1:5" ht="13">
      <c r="A10594" s="115"/>
      <c r="B10594" s="115"/>
      <c r="C10594" s="115"/>
      <c r="D10594" s="115"/>
      <c r="E10594" s="115"/>
    </row>
    <row r="10595" spans="1:5" ht="13">
      <c r="A10595" s="115"/>
      <c r="B10595" s="115"/>
      <c r="C10595" s="115"/>
      <c r="D10595" s="115"/>
      <c r="E10595" s="115"/>
    </row>
    <row r="10596" spans="1:5" ht="13">
      <c r="A10596" s="115"/>
      <c r="B10596" s="115"/>
      <c r="C10596" s="115"/>
      <c r="D10596" s="115"/>
      <c r="E10596" s="115"/>
    </row>
    <row r="10597" spans="1:5" ht="13">
      <c r="A10597" s="115"/>
      <c r="B10597" s="115"/>
      <c r="C10597" s="115"/>
      <c r="D10597" s="115"/>
      <c r="E10597" s="115"/>
    </row>
    <row r="10598" spans="1:5" ht="13">
      <c r="A10598" s="115"/>
      <c r="B10598" s="115"/>
      <c r="C10598" s="115"/>
      <c r="D10598" s="115"/>
      <c r="E10598" s="115"/>
    </row>
    <row r="10599" spans="1:5" ht="13">
      <c r="A10599" s="115"/>
      <c r="B10599" s="115"/>
      <c r="C10599" s="115"/>
      <c r="D10599" s="115"/>
      <c r="E10599" s="115"/>
    </row>
    <row r="10600" spans="1:5" ht="13">
      <c r="A10600" s="115"/>
      <c r="B10600" s="115"/>
      <c r="C10600" s="115"/>
      <c r="D10600" s="115"/>
      <c r="E10600" s="115"/>
    </row>
    <row r="10601" spans="1:5" ht="13">
      <c r="A10601" s="115"/>
      <c r="B10601" s="115"/>
      <c r="C10601" s="115"/>
      <c r="D10601" s="115"/>
      <c r="E10601" s="115"/>
    </row>
    <row r="10602" spans="1:5" ht="13">
      <c r="A10602" s="115"/>
      <c r="B10602" s="115"/>
      <c r="C10602" s="115"/>
      <c r="D10602" s="115"/>
      <c r="E10602" s="115"/>
    </row>
    <row r="10603" spans="1:5" ht="13">
      <c r="A10603" s="115"/>
      <c r="B10603" s="115"/>
      <c r="C10603" s="115"/>
      <c r="D10603" s="115"/>
      <c r="E10603" s="115"/>
    </row>
    <row r="10604" spans="1:5" ht="13">
      <c r="A10604" s="115"/>
      <c r="B10604" s="115"/>
      <c r="C10604" s="115"/>
      <c r="D10604" s="115"/>
      <c r="E10604" s="115"/>
    </row>
    <row r="10605" spans="1:5" ht="13">
      <c r="A10605" s="115"/>
      <c r="B10605" s="115"/>
      <c r="C10605" s="115"/>
      <c r="D10605" s="115"/>
      <c r="E10605" s="115"/>
    </row>
    <row r="10606" spans="1:5" ht="13">
      <c r="A10606" s="115"/>
      <c r="B10606" s="115"/>
      <c r="C10606" s="115"/>
      <c r="D10606" s="115"/>
      <c r="E10606" s="115"/>
    </row>
    <row r="10607" spans="1:5" ht="13">
      <c r="A10607" s="115"/>
      <c r="B10607" s="115"/>
      <c r="C10607" s="115"/>
      <c r="D10607" s="115"/>
      <c r="E10607" s="115"/>
    </row>
    <row r="10608" spans="1:5" ht="13">
      <c r="A10608" s="115"/>
      <c r="B10608" s="115"/>
      <c r="C10608" s="115"/>
      <c r="D10608" s="115"/>
      <c r="E10608" s="115"/>
    </row>
    <row r="10609" spans="1:5" ht="13">
      <c r="A10609" s="115"/>
      <c r="B10609" s="115"/>
      <c r="C10609" s="115"/>
      <c r="D10609" s="115"/>
      <c r="E10609" s="115"/>
    </row>
    <row r="10610" spans="1:5" ht="13">
      <c r="A10610" s="115"/>
      <c r="B10610" s="115"/>
      <c r="C10610" s="115"/>
      <c r="D10610" s="115"/>
      <c r="E10610" s="115"/>
    </row>
    <row r="10611" spans="1:5" ht="13">
      <c r="A10611" s="115"/>
      <c r="B10611" s="115"/>
      <c r="C10611" s="115"/>
      <c r="D10611" s="115"/>
      <c r="E10611" s="115"/>
    </row>
    <row r="10612" spans="1:5" ht="13">
      <c r="A10612" s="115"/>
      <c r="B10612" s="115"/>
      <c r="C10612" s="115"/>
      <c r="D10612" s="115"/>
      <c r="E10612" s="115"/>
    </row>
    <row r="10613" spans="1:5" ht="13">
      <c r="A10613" s="115"/>
      <c r="B10613" s="115"/>
      <c r="C10613" s="115"/>
      <c r="D10613" s="115"/>
      <c r="E10613" s="115"/>
    </row>
    <row r="10614" spans="1:5" ht="13">
      <c r="A10614" s="115"/>
      <c r="B10614" s="115"/>
      <c r="C10614" s="115"/>
      <c r="D10614" s="115"/>
      <c r="E10614" s="115"/>
    </row>
    <row r="10615" spans="1:5" ht="13">
      <c r="A10615" s="115"/>
      <c r="B10615" s="115"/>
      <c r="C10615" s="115"/>
      <c r="D10615" s="115"/>
      <c r="E10615" s="115"/>
    </row>
    <row r="10616" spans="1:5" ht="13">
      <c r="A10616" s="115"/>
      <c r="B10616" s="115"/>
      <c r="C10616" s="115"/>
      <c r="D10616" s="115"/>
      <c r="E10616" s="115"/>
    </row>
    <row r="10617" spans="1:5" ht="13">
      <c r="A10617" s="115"/>
      <c r="B10617" s="115"/>
      <c r="C10617" s="115"/>
      <c r="D10617" s="115"/>
      <c r="E10617" s="115"/>
    </row>
    <row r="10618" spans="1:5" ht="13">
      <c r="A10618" s="115"/>
      <c r="B10618" s="115"/>
      <c r="C10618" s="115"/>
      <c r="D10618" s="115"/>
      <c r="E10618" s="115"/>
    </row>
    <row r="10619" spans="1:5" ht="13">
      <c r="A10619" s="115"/>
      <c r="B10619" s="115"/>
      <c r="C10619" s="115"/>
      <c r="D10619" s="115"/>
      <c r="E10619" s="115"/>
    </row>
    <row r="10620" spans="1:5" ht="13">
      <c r="A10620" s="115"/>
      <c r="B10620" s="115"/>
      <c r="C10620" s="115"/>
      <c r="D10620" s="115"/>
      <c r="E10620" s="115"/>
    </row>
    <row r="10621" spans="1:5" ht="13">
      <c r="A10621" s="115"/>
      <c r="B10621" s="115"/>
      <c r="C10621" s="115"/>
      <c r="D10621" s="115"/>
      <c r="E10621" s="115"/>
    </row>
    <row r="10622" spans="1:5" ht="13">
      <c r="A10622" s="115"/>
      <c r="B10622" s="115"/>
      <c r="C10622" s="115"/>
      <c r="D10622" s="115"/>
      <c r="E10622" s="115"/>
    </row>
    <row r="10623" spans="1:5" ht="13">
      <c r="A10623" s="115"/>
      <c r="B10623" s="115"/>
      <c r="C10623" s="115"/>
      <c r="D10623" s="115"/>
      <c r="E10623" s="115"/>
    </row>
    <row r="10624" spans="1:5" ht="13">
      <c r="A10624" s="115"/>
      <c r="B10624" s="115"/>
      <c r="C10624" s="115"/>
      <c r="D10624" s="115"/>
      <c r="E10624" s="115"/>
    </row>
    <row r="10625" spans="1:5" ht="13">
      <c r="A10625" s="115"/>
      <c r="B10625" s="115"/>
      <c r="C10625" s="115"/>
      <c r="D10625" s="115"/>
      <c r="E10625" s="115"/>
    </row>
    <row r="10626" spans="1:5" ht="13">
      <c r="A10626" s="115"/>
      <c r="B10626" s="115"/>
      <c r="C10626" s="115"/>
      <c r="D10626" s="115"/>
      <c r="E10626" s="115"/>
    </row>
    <row r="10627" spans="1:5" ht="13">
      <c r="A10627" s="115"/>
      <c r="B10627" s="115"/>
      <c r="C10627" s="115"/>
      <c r="D10627" s="115"/>
      <c r="E10627" s="115"/>
    </row>
    <row r="10628" spans="1:5" ht="13">
      <c r="A10628" s="115"/>
      <c r="B10628" s="115"/>
      <c r="C10628" s="115"/>
      <c r="D10628" s="115"/>
      <c r="E10628" s="115"/>
    </row>
    <row r="10629" spans="1:5" ht="13">
      <c r="A10629" s="115"/>
      <c r="B10629" s="115"/>
      <c r="C10629" s="115"/>
      <c r="D10629" s="115"/>
      <c r="E10629" s="115"/>
    </row>
    <row r="10630" spans="1:5" ht="13">
      <c r="A10630" s="115"/>
      <c r="B10630" s="115"/>
      <c r="C10630" s="115"/>
      <c r="D10630" s="115"/>
      <c r="E10630" s="115"/>
    </row>
    <row r="10631" spans="1:5" ht="13">
      <c r="A10631" s="115"/>
      <c r="B10631" s="115"/>
      <c r="C10631" s="115"/>
      <c r="D10631" s="115"/>
      <c r="E10631" s="115"/>
    </row>
    <row r="10632" spans="1:5" ht="13">
      <c r="A10632" s="115"/>
      <c r="B10632" s="115"/>
      <c r="C10632" s="115"/>
      <c r="D10632" s="115"/>
      <c r="E10632" s="115"/>
    </row>
    <row r="10633" spans="1:5" ht="13">
      <c r="A10633" s="115"/>
      <c r="B10633" s="115"/>
      <c r="C10633" s="115"/>
      <c r="D10633" s="115"/>
      <c r="E10633" s="115"/>
    </row>
    <row r="10634" spans="1:5" ht="13">
      <c r="A10634" s="115"/>
      <c r="B10634" s="115"/>
      <c r="C10634" s="115"/>
      <c r="D10634" s="115"/>
      <c r="E10634" s="115"/>
    </row>
    <row r="10635" spans="1:5" ht="13">
      <c r="A10635" s="115"/>
      <c r="B10635" s="115"/>
      <c r="C10635" s="115"/>
      <c r="D10635" s="115"/>
      <c r="E10635" s="115"/>
    </row>
    <row r="10636" spans="1:5" ht="13">
      <c r="A10636" s="115"/>
      <c r="B10636" s="115"/>
      <c r="C10636" s="115"/>
      <c r="D10636" s="115"/>
      <c r="E10636" s="115"/>
    </row>
    <row r="10637" spans="1:5" ht="13">
      <c r="A10637" s="115"/>
      <c r="B10637" s="115"/>
      <c r="C10637" s="115"/>
      <c r="D10637" s="115"/>
      <c r="E10637" s="115"/>
    </row>
    <row r="10638" spans="1:5" ht="13">
      <c r="A10638" s="115"/>
      <c r="B10638" s="115"/>
      <c r="C10638" s="115"/>
      <c r="D10638" s="115"/>
      <c r="E10638" s="115"/>
    </row>
    <row r="10639" spans="1:5" ht="13">
      <c r="A10639" s="115"/>
      <c r="B10639" s="115"/>
      <c r="C10639" s="115"/>
      <c r="D10639" s="115"/>
      <c r="E10639" s="115"/>
    </row>
    <row r="10640" spans="1:5" ht="13">
      <c r="A10640" s="115"/>
      <c r="B10640" s="115"/>
      <c r="C10640" s="115"/>
      <c r="D10640" s="115"/>
      <c r="E10640" s="115"/>
    </row>
    <row r="10641" spans="1:5" ht="13">
      <c r="A10641" s="115"/>
      <c r="B10641" s="115"/>
      <c r="C10641" s="115"/>
      <c r="D10641" s="115"/>
      <c r="E10641" s="115"/>
    </row>
    <row r="10642" spans="1:5" ht="13">
      <c r="A10642" s="115"/>
      <c r="B10642" s="115"/>
      <c r="C10642" s="115"/>
      <c r="D10642" s="115"/>
      <c r="E10642" s="115"/>
    </row>
    <row r="10643" spans="1:5" ht="13">
      <c r="A10643" s="115"/>
      <c r="B10643" s="115"/>
      <c r="C10643" s="115"/>
      <c r="D10643" s="115"/>
      <c r="E10643" s="115"/>
    </row>
    <row r="10644" spans="1:5" ht="13">
      <c r="A10644" s="115"/>
      <c r="B10644" s="115"/>
      <c r="C10644" s="115"/>
      <c r="D10644" s="115"/>
      <c r="E10644" s="115"/>
    </row>
    <row r="10645" spans="1:5" ht="13">
      <c r="A10645" s="115"/>
      <c r="B10645" s="115"/>
      <c r="C10645" s="115"/>
      <c r="D10645" s="115"/>
      <c r="E10645" s="115"/>
    </row>
    <row r="10646" spans="1:5" ht="13">
      <c r="A10646" s="115"/>
      <c r="B10646" s="115"/>
      <c r="C10646" s="115"/>
      <c r="D10646" s="115"/>
      <c r="E10646" s="115"/>
    </row>
    <row r="10647" spans="1:5" ht="13">
      <c r="A10647" s="115"/>
      <c r="B10647" s="115"/>
      <c r="C10647" s="115"/>
      <c r="D10647" s="115"/>
      <c r="E10647" s="115"/>
    </row>
    <row r="10648" spans="1:5" ht="13">
      <c r="A10648" s="115"/>
      <c r="B10648" s="115"/>
      <c r="C10648" s="115"/>
      <c r="D10648" s="115"/>
      <c r="E10648" s="115"/>
    </row>
    <row r="10649" spans="1:5" ht="13">
      <c r="A10649" s="115"/>
      <c r="B10649" s="115"/>
      <c r="C10649" s="115"/>
      <c r="D10649" s="115"/>
      <c r="E10649" s="115"/>
    </row>
    <row r="10650" spans="1:5" ht="13">
      <c r="A10650" s="115"/>
      <c r="B10650" s="115"/>
      <c r="C10650" s="115"/>
      <c r="D10650" s="115"/>
      <c r="E10650" s="115"/>
    </row>
    <row r="10651" spans="1:5" ht="13">
      <c r="A10651" s="115"/>
      <c r="B10651" s="115"/>
      <c r="C10651" s="115"/>
      <c r="D10651" s="115"/>
      <c r="E10651" s="115"/>
    </row>
    <row r="10652" spans="1:5" ht="13">
      <c r="A10652" s="115"/>
      <c r="B10652" s="115"/>
      <c r="C10652" s="115"/>
      <c r="D10652" s="115"/>
      <c r="E10652" s="115"/>
    </row>
    <row r="10653" spans="1:5" ht="13">
      <c r="A10653" s="115"/>
      <c r="B10653" s="115"/>
      <c r="C10653" s="115"/>
      <c r="D10653" s="115"/>
      <c r="E10653" s="115"/>
    </row>
    <row r="10654" spans="1:5" ht="13">
      <c r="A10654" s="115"/>
      <c r="B10654" s="115"/>
      <c r="C10654" s="115"/>
      <c r="D10654" s="115"/>
      <c r="E10654" s="115"/>
    </row>
    <row r="10655" spans="1:5" ht="13">
      <c r="A10655" s="115"/>
      <c r="B10655" s="115"/>
      <c r="C10655" s="115"/>
      <c r="D10655" s="115"/>
      <c r="E10655" s="115"/>
    </row>
    <row r="10656" spans="1:5" ht="13">
      <c r="A10656" s="115"/>
      <c r="B10656" s="115"/>
      <c r="C10656" s="115"/>
      <c r="D10656" s="115"/>
      <c r="E10656" s="115"/>
    </row>
    <row r="10657" spans="1:5" ht="13">
      <c r="A10657" s="115"/>
      <c r="B10657" s="115"/>
      <c r="C10657" s="115"/>
      <c r="D10657" s="115"/>
      <c r="E10657" s="115"/>
    </row>
    <row r="10658" spans="1:5" ht="13">
      <c r="A10658" s="115"/>
      <c r="B10658" s="115"/>
      <c r="C10658" s="115"/>
      <c r="D10658" s="115"/>
      <c r="E10658" s="115"/>
    </row>
    <row r="10659" spans="1:5" ht="13">
      <c r="A10659" s="115"/>
      <c r="B10659" s="115"/>
      <c r="C10659" s="115"/>
      <c r="D10659" s="115"/>
      <c r="E10659" s="115"/>
    </row>
    <row r="10660" spans="1:5" ht="13">
      <c r="A10660" s="115"/>
      <c r="B10660" s="115"/>
      <c r="C10660" s="115"/>
      <c r="D10660" s="115"/>
      <c r="E10660" s="115"/>
    </row>
    <row r="10661" spans="1:5" ht="13">
      <c r="A10661" s="115"/>
      <c r="B10661" s="115"/>
      <c r="C10661" s="115"/>
      <c r="D10661" s="115"/>
      <c r="E10661" s="115"/>
    </row>
    <row r="10662" spans="1:5" ht="13">
      <c r="A10662" s="115"/>
      <c r="B10662" s="115"/>
      <c r="C10662" s="115"/>
      <c r="D10662" s="115"/>
      <c r="E10662" s="115"/>
    </row>
    <row r="10663" spans="1:5" ht="13">
      <c r="A10663" s="115"/>
      <c r="B10663" s="115"/>
      <c r="C10663" s="115"/>
      <c r="D10663" s="115"/>
      <c r="E10663" s="115"/>
    </row>
    <row r="10664" spans="1:5" ht="13">
      <c r="A10664" s="115"/>
      <c r="B10664" s="115"/>
      <c r="C10664" s="115"/>
      <c r="D10664" s="115"/>
      <c r="E10664" s="115"/>
    </row>
    <row r="10665" spans="1:5" ht="13">
      <c r="A10665" s="115"/>
      <c r="B10665" s="115"/>
      <c r="C10665" s="115"/>
      <c r="D10665" s="115"/>
      <c r="E10665" s="115"/>
    </row>
    <row r="10666" spans="1:5" ht="13">
      <c r="A10666" s="115"/>
      <c r="B10666" s="115"/>
      <c r="C10666" s="115"/>
      <c r="D10666" s="115"/>
      <c r="E10666" s="115"/>
    </row>
    <row r="10667" spans="1:5" ht="13">
      <c r="A10667" s="115"/>
      <c r="B10667" s="115"/>
      <c r="C10667" s="115"/>
      <c r="D10667" s="115"/>
      <c r="E10667" s="115"/>
    </row>
    <row r="10668" spans="1:5" ht="13">
      <c r="A10668" s="115"/>
      <c r="B10668" s="115"/>
      <c r="C10668" s="115"/>
      <c r="D10668" s="115"/>
      <c r="E10668" s="115"/>
    </row>
    <row r="10669" spans="1:5" ht="13">
      <c r="A10669" s="115"/>
      <c r="B10669" s="115"/>
      <c r="C10669" s="115"/>
      <c r="D10669" s="115"/>
      <c r="E10669" s="115"/>
    </row>
    <row r="10670" spans="1:5" ht="13">
      <c r="A10670" s="115"/>
      <c r="B10670" s="115"/>
      <c r="C10670" s="115"/>
      <c r="D10670" s="115"/>
      <c r="E10670" s="115"/>
    </row>
    <row r="10671" spans="1:5" ht="13">
      <c r="A10671" s="115"/>
      <c r="B10671" s="115"/>
      <c r="C10671" s="115"/>
      <c r="D10671" s="115"/>
      <c r="E10671" s="115"/>
    </row>
    <row r="10672" spans="1:5" ht="13">
      <c r="A10672" s="115"/>
      <c r="B10672" s="115"/>
      <c r="C10672" s="115"/>
      <c r="D10672" s="115"/>
      <c r="E10672" s="115"/>
    </row>
    <row r="10673" spans="1:5" ht="13">
      <c r="A10673" s="115"/>
      <c r="B10673" s="115"/>
      <c r="C10673" s="115"/>
      <c r="D10673" s="115"/>
      <c r="E10673" s="115"/>
    </row>
    <row r="10674" spans="1:5" ht="13">
      <c r="A10674" s="115"/>
      <c r="B10674" s="115"/>
      <c r="C10674" s="115"/>
      <c r="D10674" s="115"/>
      <c r="E10674" s="115"/>
    </row>
    <row r="10675" spans="1:5" ht="13">
      <c r="A10675" s="115"/>
      <c r="B10675" s="115"/>
      <c r="C10675" s="115"/>
      <c r="D10675" s="115"/>
      <c r="E10675" s="115"/>
    </row>
    <row r="10676" spans="1:5" ht="13">
      <c r="A10676" s="115"/>
      <c r="B10676" s="115"/>
      <c r="C10676" s="115"/>
      <c r="D10676" s="115"/>
      <c r="E10676" s="115"/>
    </row>
    <row r="10677" spans="1:5" ht="13">
      <c r="A10677" s="115"/>
      <c r="B10677" s="115"/>
      <c r="C10677" s="115"/>
      <c r="D10677" s="115"/>
      <c r="E10677" s="115"/>
    </row>
    <row r="10678" spans="1:5" ht="13">
      <c r="A10678" s="115"/>
      <c r="B10678" s="115"/>
      <c r="C10678" s="115"/>
      <c r="D10678" s="115"/>
      <c r="E10678" s="115"/>
    </row>
    <row r="10679" spans="1:5" ht="13">
      <c r="A10679" s="115"/>
      <c r="B10679" s="115"/>
      <c r="C10679" s="115"/>
      <c r="D10679" s="115"/>
      <c r="E10679" s="115"/>
    </row>
    <row r="10680" spans="1:5" ht="13">
      <c r="A10680" s="115"/>
      <c r="B10680" s="115"/>
      <c r="C10680" s="115"/>
      <c r="D10680" s="115"/>
      <c r="E10680" s="115"/>
    </row>
    <row r="10681" spans="1:5" ht="13">
      <c r="A10681" s="115"/>
      <c r="B10681" s="115"/>
      <c r="C10681" s="115"/>
      <c r="D10681" s="115"/>
      <c r="E10681" s="115"/>
    </row>
    <row r="10682" spans="1:5" ht="13">
      <c r="A10682" s="115"/>
      <c r="B10682" s="115"/>
      <c r="C10682" s="115"/>
      <c r="D10682" s="115"/>
      <c r="E10682" s="115"/>
    </row>
    <row r="10683" spans="1:5" ht="13">
      <c r="A10683" s="115"/>
      <c r="B10683" s="115"/>
      <c r="C10683" s="115"/>
      <c r="D10683" s="115"/>
      <c r="E10683" s="115"/>
    </row>
    <row r="10684" spans="1:5" ht="13">
      <c r="A10684" s="115"/>
      <c r="B10684" s="115"/>
      <c r="C10684" s="115"/>
      <c r="D10684" s="115"/>
      <c r="E10684" s="115"/>
    </row>
    <row r="10685" spans="1:5" ht="13">
      <c r="A10685" s="115"/>
      <c r="B10685" s="115"/>
      <c r="C10685" s="115"/>
      <c r="D10685" s="115"/>
      <c r="E10685" s="115"/>
    </row>
    <row r="10686" spans="1:5" ht="13">
      <c r="A10686" s="115"/>
      <c r="B10686" s="115"/>
      <c r="C10686" s="115"/>
      <c r="D10686" s="115"/>
      <c r="E10686" s="115"/>
    </row>
    <row r="10687" spans="1:5" ht="13">
      <c r="A10687" s="115"/>
      <c r="B10687" s="115"/>
      <c r="C10687" s="115"/>
      <c r="D10687" s="115"/>
      <c r="E10687" s="115"/>
    </row>
    <row r="10688" spans="1:5" ht="13">
      <c r="A10688" s="115"/>
      <c r="B10688" s="115"/>
      <c r="C10688" s="115"/>
      <c r="D10688" s="115"/>
      <c r="E10688" s="115"/>
    </row>
    <row r="10689" spans="1:5" ht="13">
      <c r="A10689" s="115"/>
      <c r="B10689" s="115"/>
      <c r="C10689" s="115"/>
      <c r="D10689" s="115"/>
      <c r="E10689" s="115"/>
    </row>
    <row r="10690" spans="1:5" ht="13">
      <c r="A10690" s="115"/>
      <c r="B10690" s="115"/>
      <c r="C10690" s="115"/>
      <c r="D10690" s="115"/>
      <c r="E10690" s="115"/>
    </row>
    <row r="10691" spans="1:5" ht="13">
      <c r="A10691" s="115"/>
      <c r="B10691" s="115"/>
      <c r="C10691" s="115"/>
      <c r="D10691" s="115"/>
      <c r="E10691" s="115"/>
    </row>
    <row r="10692" spans="1:5" ht="13">
      <c r="A10692" s="115"/>
      <c r="B10692" s="115"/>
      <c r="C10692" s="115"/>
      <c r="D10692" s="115"/>
      <c r="E10692" s="115"/>
    </row>
    <row r="10693" spans="1:5" ht="13">
      <c r="A10693" s="115"/>
      <c r="B10693" s="115"/>
      <c r="C10693" s="115"/>
      <c r="D10693" s="115"/>
      <c r="E10693" s="115"/>
    </row>
    <row r="10694" spans="1:5" ht="13">
      <c r="A10694" s="115"/>
      <c r="B10694" s="115"/>
      <c r="C10694" s="115"/>
      <c r="D10694" s="115"/>
      <c r="E10694" s="115"/>
    </row>
    <row r="10695" spans="1:5" ht="13">
      <c r="A10695" s="115"/>
      <c r="B10695" s="115"/>
      <c r="C10695" s="115"/>
      <c r="D10695" s="115"/>
      <c r="E10695" s="115"/>
    </row>
    <row r="10696" spans="1:5" ht="13">
      <c r="A10696" s="115"/>
      <c r="B10696" s="115"/>
      <c r="C10696" s="115"/>
      <c r="D10696" s="115"/>
      <c r="E10696" s="115"/>
    </row>
    <row r="10697" spans="1:5" ht="13">
      <c r="A10697" s="115"/>
      <c r="B10697" s="115"/>
      <c r="C10697" s="115"/>
      <c r="D10697" s="115"/>
      <c r="E10697" s="115"/>
    </row>
    <row r="10698" spans="1:5" ht="13">
      <c r="A10698" s="115"/>
      <c r="B10698" s="115"/>
      <c r="C10698" s="115"/>
      <c r="D10698" s="115"/>
      <c r="E10698" s="115"/>
    </row>
    <row r="10699" spans="1:5" ht="13">
      <c r="A10699" s="115"/>
      <c r="B10699" s="115"/>
      <c r="C10699" s="115"/>
      <c r="D10699" s="115"/>
      <c r="E10699" s="115"/>
    </row>
    <row r="10700" spans="1:5" ht="13">
      <c r="A10700" s="115"/>
      <c r="B10700" s="115"/>
      <c r="C10700" s="115"/>
      <c r="D10700" s="115"/>
      <c r="E10700" s="115"/>
    </row>
    <row r="10701" spans="1:5" ht="13">
      <c r="A10701" s="115"/>
      <c r="B10701" s="115"/>
      <c r="C10701" s="115"/>
      <c r="D10701" s="115"/>
      <c r="E10701" s="115"/>
    </row>
    <row r="10702" spans="1:5" ht="13">
      <c r="A10702" s="115"/>
      <c r="B10702" s="115"/>
      <c r="C10702" s="115"/>
      <c r="D10702" s="115"/>
      <c r="E10702" s="115"/>
    </row>
    <row r="10703" spans="1:5" ht="13">
      <c r="A10703" s="115"/>
      <c r="B10703" s="115"/>
      <c r="C10703" s="115"/>
      <c r="D10703" s="115"/>
      <c r="E10703" s="115"/>
    </row>
    <row r="10704" spans="1:5" ht="13">
      <c r="A10704" s="115"/>
      <c r="B10704" s="115"/>
      <c r="C10704" s="115"/>
      <c r="D10704" s="115"/>
      <c r="E10704" s="115"/>
    </row>
    <row r="10705" spans="1:5" ht="13">
      <c r="A10705" s="115"/>
      <c r="B10705" s="115"/>
      <c r="C10705" s="115"/>
      <c r="D10705" s="115"/>
      <c r="E10705" s="115"/>
    </row>
    <row r="10706" spans="1:5" ht="13">
      <c r="A10706" s="115"/>
      <c r="B10706" s="115"/>
      <c r="C10706" s="115"/>
      <c r="D10706" s="115"/>
      <c r="E10706" s="115"/>
    </row>
    <row r="10707" spans="1:5" ht="13">
      <c r="A10707" s="115"/>
      <c r="B10707" s="115"/>
      <c r="C10707" s="115"/>
      <c r="D10707" s="115"/>
      <c r="E10707" s="115"/>
    </row>
    <row r="10708" spans="1:5" ht="13">
      <c r="A10708" s="115"/>
      <c r="B10708" s="115"/>
      <c r="C10708" s="115"/>
      <c r="D10708" s="115"/>
      <c r="E10708" s="115"/>
    </row>
    <row r="10709" spans="1:5" ht="13">
      <c r="A10709" s="115"/>
      <c r="B10709" s="115"/>
      <c r="C10709" s="115"/>
      <c r="D10709" s="115"/>
      <c r="E10709" s="115"/>
    </row>
    <row r="10710" spans="1:5" ht="13">
      <c r="A10710" s="115"/>
      <c r="B10710" s="115"/>
      <c r="C10710" s="115"/>
      <c r="D10710" s="115"/>
      <c r="E10710" s="115"/>
    </row>
    <row r="10711" spans="1:5" ht="13">
      <c r="A10711" s="115"/>
      <c r="B10711" s="115"/>
      <c r="C10711" s="115"/>
      <c r="D10711" s="115"/>
      <c r="E10711" s="115"/>
    </row>
    <row r="10712" spans="1:5" ht="13">
      <c r="A10712" s="115"/>
      <c r="B10712" s="115"/>
      <c r="C10712" s="115"/>
      <c r="D10712" s="115"/>
      <c r="E10712" s="115"/>
    </row>
    <row r="10713" spans="1:5" ht="13">
      <c r="A10713" s="115"/>
      <c r="B10713" s="115"/>
      <c r="C10713" s="115"/>
      <c r="D10713" s="115"/>
      <c r="E10713" s="115"/>
    </row>
    <row r="10714" spans="1:5" ht="13">
      <c r="A10714" s="115"/>
      <c r="B10714" s="115"/>
      <c r="C10714" s="115"/>
      <c r="D10714" s="115"/>
      <c r="E10714" s="115"/>
    </row>
    <row r="10715" spans="1:5" ht="13">
      <c r="A10715" s="115"/>
      <c r="B10715" s="115"/>
      <c r="C10715" s="115"/>
      <c r="D10715" s="115"/>
      <c r="E10715" s="115"/>
    </row>
    <row r="10716" spans="1:5" ht="13">
      <c r="A10716" s="115"/>
      <c r="B10716" s="115"/>
      <c r="C10716" s="115"/>
      <c r="D10716" s="115"/>
      <c r="E10716" s="115"/>
    </row>
    <row r="10717" spans="1:5" ht="13">
      <c r="A10717" s="115"/>
      <c r="B10717" s="115"/>
      <c r="C10717" s="115"/>
      <c r="D10717" s="115"/>
      <c r="E10717" s="115"/>
    </row>
    <row r="10718" spans="1:5" ht="13">
      <c r="A10718" s="115"/>
      <c r="B10718" s="115"/>
      <c r="C10718" s="115"/>
      <c r="D10718" s="115"/>
      <c r="E10718" s="115"/>
    </row>
    <row r="10719" spans="1:5" ht="13">
      <c r="A10719" s="115"/>
      <c r="B10719" s="115"/>
      <c r="C10719" s="115"/>
      <c r="D10719" s="115"/>
      <c r="E10719" s="115"/>
    </row>
    <row r="10720" spans="1:5" ht="13">
      <c r="A10720" s="115"/>
      <c r="B10720" s="115"/>
      <c r="C10720" s="115"/>
      <c r="D10720" s="115"/>
      <c r="E10720" s="115"/>
    </row>
    <row r="10721" spans="1:5" ht="13">
      <c r="A10721" s="115"/>
      <c r="B10721" s="115"/>
      <c r="C10721" s="115"/>
      <c r="D10721" s="115"/>
      <c r="E10721" s="115"/>
    </row>
    <row r="10722" spans="1:5" ht="13">
      <c r="A10722" s="115"/>
      <c r="B10722" s="115"/>
      <c r="C10722" s="115"/>
      <c r="D10722" s="115"/>
      <c r="E10722" s="115"/>
    </row>
    <row r="10723" spans="1:5" ht="13">
      <c r="A10723" s="115"/>
      <c r="B10723" s="115"/>
      <c r="C10723" s="115"/>
      <c r="D10723" s="115"/>
      <c r="E10723" s="115"/>
    </row>
    <row r="10724" spans="1:5" ht="13">
      <c r="A10724" s="115"/>
      <c r="B10724" s="115"/>
      <c r="C10724" s="115"/>
      <c r="D10724" s="115"/>
      <c r="E10724" s="115"/>
    </row>
    <row r="10725" spans="1:5" ht="13">
      <c r="A10725" s="115"/>
      <c r="B10725" s="115"/>
      <c r="C10725" s="115"/>
      <c r="D10725" s="115"/>
      <c r="E10725" s="115"/>
    </row>
    <row r="10726" spans="1:5" ht="13">
      <c r="A10726" s="115"/>
      <c r="B10726" s="115"/>
      <c r="C10726" s="115"/>
      <c r="D10726" s="115"/>
      <c r="E10726" s="115"/>
    </row>
    <row r="10727" spans="1:5" ht="13">
      <c r="A10727" s="115"/>
      <c r="B10727" s="115"/>
      <c r="C10727" s="115"/>
      <c r="D10727" s="115"/>
      <c r="E10727" s="115"/>
    </row>
    <row r="10728" spans="1:5" ht="13">
      <c r="A10728" s="115"/>
      <c r="B10728" s="115"/>
      <c r="C10728" s="115"/>
      <c r="D10728" s="115"/>
      <c r="E10728" s="115"/>
    </row>
    <row r="10729" spans="1:5" ht="13">
      <c r="A10729" s="115"/>
      <c r="B10729" s="115"/>
      <c r="C10729" s="115"/>
      <c r="D10729" s="115"/>
      <c r="E10729" s="115"/>
    </row>
    <row r="10730" spans="1:5" ht="13">
      <c r="A10730" s="115"/>
      <c r="B10730" s="115"/>
      <c r="C10730" s="115"/>
      <c r="D10730" s="115"/>
      <c r="E10730" s="115"/>
    </row>
    <row r="10731" spans="1:5" ht="13">
      <c r="A10731" s="115"/>
      <c r="B10731" s="115"/>
      <c r="C10731" s="115"/>
      <c r="D10731" s="115"/>
      <c r="E10731" s="115"/>
    </row>
    <row r="10732" spans="1:5" ht="13">
      <c r="A10732" s="115"/>
      <c r="B10732" s="115"/>
      <c r="C10732" s="115"/>
      <c r="D10732" s="115"/>
      <c r="E10732" s="115"/>
    </row>
    <row r="10733" spans="1:5" ht="13">
      <c r="A10733" s="115"/>
      <c r="B10733" s="115"/>
      <c r="C10733" s="115"/>
      <c r="D10733" s="115"/>
      <c r="E10733" s="115"/>
    </row>
    <row r="10734" spans="1:5" ht="13">
      <c r="A10734" s="115"/>
      <c r="B10734" s="115"/>
      <c r="C10734" s="115"/>
      <c r="D10734" s="115"/>
      <c r="E10734" s="115"/>
    </row>
    <row r="10735" spans="1:5" ht="13">
      <c r="A10735" s="115"/>
      <c r="B10735" s="115"/>
      <c r="C10735" s="115"/>
      <c r="D10735" s="115"/>
      <c r="E10735" s="115"/>
    </row>
    <row r="10736" spans="1:5" ht="13">
      <c r="A10736" s="115"/>
      <c r="B10736" s="115"/>
      <c r="C10736" s="115"/>
      <c r="D10736" s="115"/>
      <c r="E10736" s="115"/>
    </row>
    <row r="10737" spans="1:5" ht="13">
      <c r="A10737" s="115"/>
      <c r="B10737" s="115"/>
      <c r="C10737" s="115"/>
      <c r="D10737" s="115"/>
      <c r="E10737" s="115"/>
    </row>
    <row r="10738" spans="1:5" ht="13">
      <c r="A10738" s="115"/>
      <c r="B10738" s="115"/>
      <c r="C10738" s="115"/>
      <c r="D10738" s="115"/>
      <c r="E10738" s="115"/>
    </row>
    <row r="10739" spans="1:5" ht="13">
      <c r="A10739" s="115"/>
      <c r="B10739" s="115"/>
      <c r="C10739" s="115"/>
      <c r="D10739" s="115"/>
      <c r="E10739" s="115"/>
    </row>
    <row r="10740" spans="1:5" ht="13">
      <c r="A10740" s="115"/>
      <c r="B10740" s="115"/>
      <c r="C10740" s="115"/>
      <c r="D10740" s="115"/>
      <c r="E10740" s="115"/>
    </row>
    <row r="10741" spans="1:5" ht="13">
      <c r="A10741" s="115"/>
      <c r="B10741" s="115"/>
      <c r="C10741" s="115"/>
      <c r="D10741" s="115"/>
      <c r="E10741" s="115"/>
    </row>
    <row r="10742" spans="1:5" ht="13">
      <c r="A10742" s="115"/>
      <c r="B10742" s="115"/>
      <c r="C10742" s="115"/>
      <c r="D10742" s="115"/>
      <c r="E10742" s="115"/>
    </row>
    <row r="10743" spans="1:5" ht="13">
      <c r="A10743" s="115"/>
      <c r="B10743" s="115"/>
      <c r="C10743" s="115"/>
      <c r="D10743" s="115"/>
      <c r="E10743" s="115"/>
    </row>
    <row r="10744" spans="1:5" ht="13">
      <c r="A10744" s="115"/>
      <c r="B10744" s="115"/>
      <c r="C10744" s="115"/>
      <c r="D10744" s="115"/>
      <c r="E10744" s="115"/>
    </row>
    <row r="10745" spans="1:5" ht="13">
      <c r="A10745" s="115"/>
      <c r="B10745" s="115"/>
      <c r="C10745" s="115"/>
      <c r="D10745" s="115"/>
      <c r="E10745" s="115"/>
    </row>
    <row r="10746" spans="1:5" ht="13">
      <c r="A10746" s="115"/>
      <c r="B10746" s="115"/>
      <c r="C10746" s="115"/>
      <c r="D10746" s="115"/>
      <c r="E10746" s="115"/>
    </row>
    <row r="10747" spans="1:5" ht="13">
      <c r="A10747" s="115"/>
      <c r="B10747" s="115"/>
      <c r="C10747" s="115"/>
      <c r="D10747" s="115"/>
      <c r="E10747" s="115"/>
    </row>
    <row r="10748" spans="1:5" ht="13">
      <c r="A10748" s="115"/>
      <c r="B10748" s="115"/>
      <c r="C10748" s="115"/>
      <c r="D10748" s="115"/>
      <c r="E10748" s="115"/>
    </row>
    <row r="10749" spans="1:5" ht="13">
      <c r="A10749" s="115"/>
      <c r="B10749" s="115"/>
      <c r="C10749" s="115"/>
      <c r="D10749" s="115"/>
      <c r="E10749" s="115"/>
    </row>
    <row r="10750" spans="1:5" ht="13">
      <c r="A10750" s="115"/>
      <c r="B10750" s="115"/>
      <c r="C10750" s="115"/>
      <c r="D10750" s="115"/>
      <c r="E10750" s="115"/>
    </row>
    <row r="10751" spans="1:5" ht="13">
      <c r="A10751" s="115"/>
      <c r="B10751" s="115"/>
      <c r="C10751" s="115"/>
      <c r="D10751" s="115"/>
      <c r="E10751" s="115"/>
    </row>
    <row r="10752" spans="1:5" ht="13">
      <c r="A10752" s="115"/>
      <c r="B10752" s="115"/>
      <c r="C10752" s="115"/>
      <c r="D10752" s="115"/>
      <c r="E10752" s="115"/>
    </row>
    <row r="10753" spans="1:5" ht="13">
      <c r="A10753" s="115"/>
      <c r="B10753" s="115"/>
      <c r="C10753" s="115"/>
      <c r="D10753" s="115"/>
      <c r="E10753" s="115"/>
    </row>
    <row r="10754" spans="1:5" ht="13">
      <c r="A10754" s="115"/>
      <c r="B10754" s="115"/>
      <c r="C10754" s="115"/>
      <c r="D10754" s="115"/>
      <c r="E10754" s="115"/>
    </row>
    <row r="10755" spans="1:5" ht="13">
      <c r="A10755" s="115"/>
      <c r="B10755" s="115"/>
      <c r="C10755" s="115"/>
      <c r="D10755" s="115"/>
      <c r="E10755" s="115"/>
    </row>
    <row r="10756" spans="1:5" ht="13">
      <c r="A10756" s="115"/>
      <c r="B10756" s="115"/>
      <c r="C10756" s="115"/>
      <c r="D10756" s="115"/>
      <c r="E10756" s="115"/>
    </row>
    <row r="10757" spans="1:5" ht="13">
      <c r="A10757" s="115"/>
      <c r="B10757" s="115"/>
      <c r="C10757" s="115"/>
      <c r="D10757" s="115"/>
      <c r="E10757" s="115"/>
    </row>
    <row r="10758" spans="1:5" ht="13">
      <c r="A10758" s="115"/>
      <c r="B10758" s="115"/>
      <c r="C10758" s="115"/>
      <c r="D10758" s="115"/>
      <c r="E10758" s="115"/>
    </row>
    <row r="10759" spans="1:5" ht="13">
      <c r="A10759" s="115"/>
      <c r="B10759" s="115"/>
      <c r="C10759" s="115"/>
      <c r="D10759" s="115"/>
      <c r="E10759" s="115"/>
    </row>
    <row r="10760" spans="1:5" ht="13">
      <c r="A10760" s="115"/>
      <c r="B10760" s="115"/>
      <c r="C10760" s="115"/>
      <c r="D10760" s="115"/>
      <c r="E10760" s="115"/>
    </row>
    <row r="10761" spans="1:5" ht="13">
      <c r="A10761" s="115"/>
      <c r="B10761" s="115"/>
      <c r="C10761" s="115"/>
      <c r="D10761" s="115"/>
      <c r="E10761" s="115"/>
    </row>
    <row r="10762" spans="1:5" ht="13">
      <c r="A10762" s="115"/>
      <c r="B10762" s="115"/>
      <c r="C10762" s="115"/>
      <c r="D10762" s="115"/>
      <c r="E10762" s="115"/>
    </row>
    <row r="10763" spans="1:5" ht="13">
      <c r="A10763" s="115"/>
      <c r="B10763" s="115"/>
      <c r="C10763" s="115"/>
      <c r="D10763" s="115"/>
      <c r="E10763" s="115"/>
    </row>
    <row r="10764" spans="1:5" ht="13">
      <c r="A10764" s="115"/>
      <c r="B10764" s="115"/>
      <c r="C10764" s="115"/>
      <c r="D10764" s="115"/>
      <c r="E10764" s="115"/>
    </row>
    <row r="10765" spans="1:5" ht="13">
      <c r="A10765" s="115"/>
      <c r="B10765" s="115"/>
      <c r="C10765" s="115"/>
      <c r="D10765" s="115"/>
      <c r="E10765" s="115"/>
    </row>
    <row r="10766" spans="1:5" ht="13">
      <c r="A10766" s="115"/>
      <c r="B10766" s="115"/>
      <c r="C10766" s="115"/>
      <c r="D10766" s="115"/>
      <c r="E10766" s="115"/>
    </row>
    <row r="10767" spans="1:5" ht="13">
      <c r="A10767" s="115"/>
      <c r="B10767" s="115"/>
      <c r="C10767" s="115"/>
      <c r="D10767" s="115"/>
      <c r="E10767" s="115"/>
    </row>
    <row r="10768" spans="1:5" ht="13">
      <c r="A10768" s="115"/>
      <c r="B10768" s="115"/>
      <c r="C10768" s="115"/>
      <c r="D10768" s="115"/>
      <c r="E10768" s="115"/>
    </row>
    <row r="10769" spans="1:5" ht="13">
      <c r="A10769" s="115"/>
      <c r="B10769" s="115"/>
      <c r="C10769" s="115"/>
      <c r="D10769" s="115"/>
      <c r="E10769" s="115"/>
    </row>
    <row r="10770" spans="1:5" ht="13">
      <c r="A10770" s="115"/>
      <c r="B10770" s="115"/>
      <c r="C10770" s="115"/>
      <c r="D10770" s="115"/>
      <c r="E10770" s="115"/>
    </row>
    <row r="10771" spans="1:5" ht="13">
      <c r="A10771" s="115"/>
      <c r="B10771" s="115"/>
      <c r="C10771" s="115"/>
      <c r="D10771" s="115"/>
      <c r="E10771" s="115"/>
    </row>
    <row r="10772" spans="1:5" ht="13">
      <c r="A10772" s="115"/>
      <c r="B10772" s="115"/>
      <c r="C10772" s="115"/>
      <c r="D10772" s="115"/>
      <c r="E10772" s="115"/>
    </row>
    <row r="10773" spans="1:5" ht="13">
      <c r="A10773" s="115"/>
      <c r="B10773" s="115"/>
      <c r="C10773" s="115"/>
      <c r="D10773" s="115"/>
      <c r="E10773" s="115"/>
    </row>
    <row r="10774" spans="1:5" ht="13">
      <c r="A10774" s="115"/>
      <c r="B10774" s="115"/>
      <c r="C10774" s="115"/>
      <c r="D10774" s="115"/>
      <c r="E10774" s="115"/>
    </row>
    <row r="10775" spans="1:5" ht="13">
      <c r="A10775" s="115"/>
      <c r="B10775" s="115"/>
      <c r="C10775" s="115"/>
      <c r="D10775" s="115"/>
      <c r="E10775" s="115"/>
    </row>
    <row r="10776" spans="1:5" ht="13">
      <c r="A10776" s="115"/>
      <c r="B10776" s="115"/>
      <c r="C10776" s="115"/>
      <c r="D10776" s="115"/>
      <c r="E10776" s="115"/>
    </row>
    <row r="10777" spans="1:5" ht="13">
      <c r="A10777" s="115"/>
      <c r="B10777" s="115"/>
      <c r="C10777" s="115"/>
      <c r="D10777" s="115"/>
      <c r="E10777" s="115"/>
    </row>
    <row r="10778" spans="1:5" ht="13">
      <c r="A10778" s="115"/>
      <c r="B10778" s="115"/>
      <c r="C10778" s="115"/>
      <c r="D10778" s="115"/>
      <c r="E10778" s="115"/>
    </row>
    <row r="10779" spans="1:5" ht="13">
      <c r="A10779" s="115"/>
      <c r="B10779" s="115"/>
      <c r="C10779" s="115"/>
      <c r="D10779" s="115"/>
      <c r="E10779" s="115"/>
    </row>
    <row r="10780" spans="1:5" ht="13">
      <c r="A10780" s="115"/>
      <c r="B10780" s="115"/>
      <c r="C10780" s="115"/>
      <c r="D10780" s="115"/>
      <c r="E10780" s="115"/>
    </row>
    <row r="10781" spans="1:5" ht="13">
      <c r="A10781" s="115"/>
      <c r="B10781" s="115"/>
      <c r="C10781" s="115"/>
      <c r="D10781" s="115"/>
      <c r="E10781" s="115"/>
    </row>
    <row r="10782" spans="1:5" ht="13">
      <c r="A10782" s="115"/>
      <c r="B10782" s="115"/>
      <c r="C10782" s="115"/>
      <c r="D10782" s="115"/>
      <c r="E10782" s="115"/>
    </row>
    <row r="10783" spans="1:5" ht="13">
      <c r="A10783" s="115"/>
      <c r="B10783" s="115"/>
      <c r="C10783" s="115"/>
      <c r="D10783" s="115"/>
      <c r="E10783" s="115"/>
    </row>
    <row r="10784" spans="1:5" ht="13">
      <c r="A10784" s="115"/>
      <c r="B10784" s="115"/>
      <c r="C10784" s="115"/>
      <c r="D10784" s="115"/>
      <c r="E10784" s="115"/>
    </row>
    <row r="10785" spans="1:5" ht="13">
      <c r="A10785" s="115"/>
      <c r="B10785" s="115"/>
      <c r="C10785" s="115"/>
      <c r="D10785" s="115"/>
      <c r="E10785" s="115"/>
    </row>
    <row r="10786" spans="1:5" ht="13">
      <c r="A10786" s="115"/>
      <c r="B10786" s="115"/>
      <c r="C10786" s="115"/>
      <c r="D10786" s="115"/>
      <c r="E10786" s="115"/>
    </row>
    <row r="10787" spans="1:5" ht="13">
      <c r="A10787" s="115"/>
      <c r="B10787" s="115"/>
      <c r="C10787" s="115"/>
      <c r="D10787" s="115"/>
      <c r="E10787" s="115"/>
    </row>
    <row r="10788" spans="1:5" ht="13">
      <c r="A10788" s="115"/>
      <c r="B10788" s="115"/>
      <c r="C10788" s="115"/>
      <c r="D10788" s="115"/>
      <c r="E10788" s="115"/>
    </row>
    <row r="10789" spans="1:5" ht="13">
      <c r="A10789" s="115"/>
      <c r="B10789" s="115"/>
      <c r="C10789" s="115"/>
      <c r="D10789" s="115"/>
      <c r="E10789" s="115"/>
    </row>
    <row r="10790" spans="1:5" ht="13">
      <c r="A10790" s="115"/>
      <c r="B10790" s="115"/>
      <c r="C10790" s="115"/>
      <c r="D10790" s="115"/>
      <c r="E10790" s="115"/>
    </row>
    <row r="10791" spans="1:5" ht="13">
      <c r="A10791" s="115"/>
      <c r="B10791" s="115"/>
      <c r="C10791" s="115"/>
      <c r="D10791" s="115"/>
      <c r="E10791" s="115"/>
    </row>
    <row r="10792" spans="1:5" ht="13">
      <c r="A10792" s="115"/>
      <c r="B10792" s="115"/>
      <c r="C10792" s="115"/>
      <c r="D10792" s="115"/>
      <c r="E10792" s="115"/>
    </row>
    <row r="10793" spans="1:5" ht="13">
      <c r="A10793" s="115"/>
      <c r="B10793" s="115"/>
      <c r="C10793" s="115"/>
      <c r="D10793" s="115"/>
      <c r="E10793" s="115"/>
    </row>
    <row r="10794" spans="1:5" ht="13">
      <c r="A10794" s="115"/>
      <c r="B10794" s="115"/>
      <c r="C10794" s="115"/>
      <c r="D10794" s="115"/>
      <c r="E10794" s="115"/>
    </row>
    <row r="10795" spans="1:5" ht="13">
      <c r="A10795" s="115"/>
      <c r="B10795" s="115"/>
      <c r="C10795" s="115"/>
      <c r="D10795" s="115"/>
      <c r="E10795" s="115"/>
    </row>
    <row r="10796" spans="1:5" ht="13">
      <c r="A10796" s="115"/>
      <c r="B10796" s="115"/>
      <c r="C10796" s="115"/>
      <c r="D10796" s="115"/>
      <c r="E10796" s="115"/>
    </row>
    <row r="10797" spans="1:5" ht="13">
      <c r="A10797" s="115"/>
      <c r="B10797" s="115"/>
      <c r="C10797" s="115"/>
      <c r="D10797" s="115"/>
      <c r="E10797" s="115"/>
    </row>
    <row r="10798" spans="1:5" ht="13">
      <c r="A10798" s="115"/>
      <c r="B10798" s="115"/>
      <c r="C10798" s="115"/>
      <c r="D10798" s="115"/>
      <c r="E10798" s="115"/>
    </row>
    <row r="10799" spans="1:5" ht="13">
      <c r="A10799" s="115"/>
      <c r="B10799" s="115"/>
      <c r="C10799" s="115"/>
      <c r="D10799" s="115"/>
      <c r="E10799" s="115"/>
    </row>
    <row r="10800" spans="1:5" ht="13">
      <c r="A10800" s="115"/>
      <c r="B10800" s="115"/>
      <c r="C10800" s="115"/>
      <c r="D10800" s="115"/>
      <c r="E10800" s="115"/>
    </row>
    <row r="10801" spans="1:5" ht="13">
      <c r="A10801" s="115"/>
      <c r="B10801" s="115"/>
      <c r="C10801" s="115"/>
      <c r="D10801" s="115"/>
      <c r="E10801" s="115"/>
    </row>
    <row r="10802" spans="1:5" ht="13">
      <c r="A10802" s="115"/>
      <c r="B10802" s="115"/>
      <c r="C10802" s="115"/>
      <c r="D10802" s="115"/>
      <c r="E10802" s="115"/>
    </row>
    <row r="10803" spans="1:5" ht="13">
      <c r="A10803" s="115"/>
      <c r="B10803" s="115"/>
      <c r="C10803" s="115"/>
      <c r="D10803" s="115"/>
      <c r="E10803" s="115"/>
    </row>
    <row r="10804" spans="1:5" ht="13">
      <c r="A10804" s="115"/>
      <c r="B10804" s="115"/>
      <c r="C10804" s="115"/>
      <c r="D10804" s="115"/>
      <c r="E10804" s="115"/>
    </row>
    <row r="10805" spans="1:5" ht="13">
      <c r="A10805" s="115"/>
      <c r="B10805" s="115"/>
      <c r="C10805" s="115"/>
      <c r="D10805" s="115"/>
      <c r="E10805" s="115"/>
    </row>
    <row r="10806" spans="1:5" ht="13">
      <c r="A10806" s="115"/>
      <c r="B10806" s="115"/>
      <c r="C10806" s="115"/>
      <c r="D10806" s="115"/>
      <c r="E10806" s="115"/>
    </row>
    <row r="10807" spans="1:5" ht="13">
      <c r="A10807" s="115"/>
      <c r="B10807" s="115"/>
      <c r="C10807" s="115"/>
      <c r="D10807" s="115"/>
      <c r="E10807" s="115"/>
    </row>
    <row r="10808" spans="1:5" ht="13">
      <c r="A10808" s="115"/>
      <c r="B10808" s="115"/>
      <c r="C10808" s="115"/>
      <c r="D10808" s="115"/>
      <c r="E10808" s="115"/>
    </row>
    <row r="10809" spans="1:5" ht="13">
      <c r="A10809" s="115"/>
      <c r="B10809" s="115"/>
      <c r="C10809" s="115"/>
      <c r="D10809" s="115"/>
      <c r="E10809" s="115"/>
    </row>
    <row r="10810" spans="1:5" ht="13">
      <c r="A10810" s="115"/>
      <c r="B10810" s="115"/>
      <c r="C10810" s="115"/>
      <c r="D10810" s="115"/>
      <c r="E10810" s="115"/>
    </row>
    <row r="10811" spans="1:5" ht="13">
      <c r="A10811" s="115"/>
      <c r="B10811" s="115"/>
      <c r="C10811" s="115"/>
      <c r="D10811" s="115"/>
      <c r="E10811" s="115"/>
    </row>
    <row r="10812" spans="1:5" ht="13">
      <c r="A10812" s="115"/>
      <c r="B10812" s="115"/>
      <c r="C10812" s="115"/>
      <c r="D10812" s="115"/>
      <c r="E10812" s="115"/>
    </row>
    <row r="10813" spans="1:5" ht="13">
      <c r="A10813" s="115"/>
      <c r="B10813" s="115"/>
      <c r="C10813" s="115"/>
      <c r="D10813" s="115"/>
      <c r="E10813" s="115"/>
    </row>
    <row r="10814" spans="1:5" ht="13">
      <c r="A10814" s="115"/>
      <c r="B10814" s="115"/>
      <c r="C10814" s="115"/>
      <c r="D10814" s="115"/>
      <c r="E10814" s="115"/>
    </row>
    <row r="10815" spans="1:5" ht="13">
      <c r="A10815" s="115"/>
      <c r="B10815" s="115"/>
      <c r="C10815" s="115"/>
      <c r="D10815" s="115"/>
      <c r="E10815" s="115"/>
    </row>
    <row r="10816" spans="1:5" ht="13">
      <c r="A10816" s="115"/>
      <c r="B10816" s="115"/>
      <c r="C10816" s="115"/>
      <c r="D10816" s="115"/>
      <c r="E10816" s="115"/>
    </row>
    <row r="10817" spans="1:5" ht="13">
      <c r="A10817" s="115"/>
      <c r="B10817" s="115"/>
      <c r="C10817" s="115"/>
      <c r="D10817" s="115"/>
      <c r="E10817" s="115"/>
    </row>
    <row r="10818" spans="1:5" ht="13">
      <c r="A10818" s="115"/>
      <c r="B10818" s="115"/>
      <c r="C10818" s="115"/>
      <c r="D10818" s="115"/>
      <c r="E10818" s="115"/>
    </row>
    <row r="10819" spans="1:5" ht="13">
      <c r="A10819" s="115"/>
      <c r="B10819" s="115"/>
      <c r="C10819" s="115"/>
      <c r="D10819" s="115"/>
      <c r="E10819" s="115"/>
    </row>
    <row r="10820" spans="1:5" ht="13">
      <c r="A10820" s="115"/>
      <c r="B10820" s="115"/>
      <c r="C10820" s="115"/>
      <c r="D10820" s="115"/>
      <c r="E10820" s="115"/>
    </row>
    <row r="10821" spans="1:5" ht="13">
      <c r="A10821" s="115"/>
      <c r="B10821" s="115"/>
      <c r="C10821" s="115"/>
      <c r="D10821" s="115"/>
      <c r="E10821" s="115"/>
    </row>
    <row r="10822" spans="1:5" ht="13">
      <c r="A10822" s="115"/>
      <c r="B10822" s="115"/>
      <c r="C10822" s="115"/>
      <c r="D10822" s="115"/>
      <c r="E10822" s="115"/>
    </row>
    <row r="10823" spans="1:5" ht="13">
      <c r="A10823" s="115"/>
      <c r="B10823" s="115"/>
      <c r="C10823" s="115"/>
      <c r="D10823" s="115"/>
      <c r="E10823" s="115"/>
    </row>
    <row r="10824" spans="1:5" ht="13">
      <c r="A10824" s="115"/>
      <c r="B10824" s="115"/>
      <c r="C10824" s="115"/>
      <c r="D10824" s="115"/>
      <c r="E10824" s="115"/>
    </row>
    <row r="10825" spans="1:5" ht="13">
      <c r="A10825" s="115"/>
      <c r="B10825" s="115"/>
      <c r="C10825" s="115"/>
      <c r="D10825" s="115"/>
      <c r="E10825" s="115"/>
    </row>
    <row r="10826" spans="1:5" ht="13">
      <c r="A10826" s="115"/>
      <c r="B10826" s="115"/>
      <c r="C10826" s="115"/>
      <c r="D10826" s="115"/>
      <c r="E10826" s="115"/>
    </row>
    <row r="10827" spans="1:5" ht="13">
      <c r="A10827" s="115"/>
      <c r="B10827" s="115"/>
      <c r="C10827" s="115"/>
      <c r="D10827" s="115"/>
      <c r="E10827" s="115"/>
    </row>
    <row r="10828" spans="1:5" ht="13">
      <c r="A10828" s="115"/>
      <c r="B10828" s="115"/>
      <c r="C10828" s="115"/>
      <c r="D10828" s="115"/>
      <c r="E10828" s="115"/>
    </row>
    <row r="10829" spans="1:5" ht="13">
      <c r="A10829" s="115"/>
      <c r="B10829" s="115"/>
      <c r="C10829" s="115"/>
      <c r="D10829" s="115"/>
      <c r="E10829" s="115"/>
    </row>
    <row r="10830" spans="1:5" ht="13">
      <c r="A10830" s="115"/>
      <c r="B10830" s="115"/>
      <c r="C10830" s="115"/>
      <c r="D10830" s="115"/>
      <c r="E10830" s="115"/>
    </row>
    <row r="10831" spans="1:5" ht="13">
      <c r="A10831" s="115"/>
      <c r="B10831" s="115"/>
      <c r="C10831" s="115"/>
      <c r="D10831" s="115"/>
      <c r="E10831" s="115"/>
    </row>
    <row r="10832" spans="1:5" ht="13">
      <c r="A10832" s="115"/>
      <c r="B10832" s="115"/>
      <c r="C10832" s="115"/>
      <c r="D10832" s="115"/>
      <c r="E10832" s="115"/>
    </row>
    <row r="10833" spans="1:5" ht="13">
      <c r="A10833" s="115"/>
      <c r="B10833" s="115"/>
      <c r="C10833" s="115"/>
      <c r="D10833" s="115"/>
      <c r="E10833" s="115"/>
    </row>
    <row r="10834" spans="1:5" ht="13">
      <c r="A10834" s="115"/>
      <c r="B10834" s="115"/>
      <c r="C10834" s="115"/>
      <c r="D10834" s="115"/>
      <c r="E10834" s="115"/>
    </row>
    <row r="10835" spans="1:5" ht="13">
      <c r="A10835" s="115"/>
      <c r="B10835" s="115"/>
      <c r="C10835" s="115"/>
      <c r="D10835" s="115"/>
      <c r="E10835" s="115"/>
    </row>
    <row r="10836" spans="1:5" ht="13">
      <c r="A10836" s="115"/>
      <c r="B10836" s="115"/>
      <c r="C10836" s="115"/>
      <c r="D10836" s="115"/>
      <c r="E10836" s="115"/>
    </row>
    <row r="10837" spans="1:5" ht="13">
      <c r="A10837" s="115"/>
      <c r="B10837" s="115"/>
      <c r="C10837" s="115"/>
      <c r="D10837" s="115"/>
      <c r="E10837" s="115"/>
    </row>
    <row r="10838" spans="1:5" ht="13">
      <c r="A10838" s="115"/>
      <c r="B10838" s="115"/>
      <c r="C10838" s="115"/>
      <c r="D10838" s="115"/>
      <c r="E10838" s="115"/>
    </row>
    <row r="10839" spans="1:5" ht="13">
      <c r="A10839" s="115"/>
      <c r="B10839" s="115"/>
      <c r="C10839" s="115"/>
      <c r="D10839" s="115"/>
      <c r="E10839" s="115"/>
    </row>
    <row r="10840" spans="1:5" ht="13">
      <c r="A10840" s="115"/>
      <c r="B10840" s="115"/>
      <c r="C10840" s="115"/>
      <c r="D10840" s="115"/>
      <c r="E10840" s="115"/>
    </row>
    <row r="10841" spans="1:5" ht="13">
      <c r="A10841" s="115"/>
      <c r="B10841" s="115"/>
      <c r="C10841" s="115"/>
      <c r="D10841" s="115"/>
      <c r="E10841" s="115"/>
    </row>
    <row r="10842" spans="1:5" ht="13">
      <c r="A10842" s="115"/>
      <c r="B10842" s="115"/>
      <c r="C10842" s="115"/>
      <c r="D10842" s="115"/>
      <c r="E10842" s="115"/>
    </row>
    <row r="10843" spans="1:5" ht="13">
      <c r="A10843" s="115"/>
      <c r="B10843" s="115"/>
      <c r="C10843" s="115"/>
      <c r="D10843" s="115"/>
      <c r="E10843" s="115"/>
    </row>
    <row r="10844" spans="1:5" ht="13">
      <c r="A10844" s="115"/>
      <c r="B10844" s="115"/>
      <c r="C10844" s="115"/>
      <c r="D10844" s="115"/>
      <c r="E10844" s="115"/>
    </row>
    <row r="10845" spans="1:5" ht="13">
      <c r="A10845" s="115"/>
      <c r="B10845" s="115"/>
      <c r="C10845" s="115"/>
      <c r="D10845" s="115"/>
      <c r="E10845" s="115"/>
    </row>
    <row r="10846" spans="1:5" ht="13">
      <c r="A10846" s="115"/>
      <c r="B10846" s="115"/>
      <c r="C10846" s="115"/>
      <c r="D10846" s="115"/>
      <c r="E10846" s="115"/>
    </row>
    <row r="10847" spans="1:5" ht="13">
      <c r="A10847" s="115"/>
      <c r="B10847" s="115"/>
      <c r="C10847" s="115"/>
      <c r="D10847" s="115"/>
      <c r="E10847" s="115"/>
    </row>
    <row r="10848" spans="1:5" ht="13">
      <c r="A10848" s="115"/>
      <c r="B10848" s="115"/>
      <c r="C10848" s="115"/>
      <c r="D10848" s="115"/>
      <c r="E10848" s="115"/>
    </row>
    <row r="10849" spans="1:5" ht="13">
      <c r="A10849" s="115"/>
      <c r="B10849" s="115"/>
      <c r="C10849" s="115"/>
      <c r="D10849" s="115"/>
      <c r="E10849" s="115"/>
    </row>
    <row r="10850" spans="1:5" ht="13">
      <c r="A10850" s="115"/>
      <c r="B10850" s="115"/>
      <c r="C10850" s="115"/>
      <c r="D10850" s="115"/>
      <c r="E10850" s="115"/>
    </row>
    <row r="10851" spans="1:5" ht="13">
      <c r="A10851" s="115"/>
      <c r="B10851" s="115"/>
      <c r="C10851" s="115"/>
      <c r="D10851" s="115"/>
      <c r="E10851" s="115"/>
    </row>
    <row r="10852" spans="1:5" ht="13">
      <c r="A10852" s="115"/>
      <c r="B10852" s="115"/>
      <c r="C10852" s="115"/>
      <c r="D10852" s="115"/>
      <c r="E10852" s="115"/>
    </row>
    <row r="10853" spans="1:5" ht="13">
      <c r="A10853" s="115"/>
      <c r="B10853" s="115"/>
      <c r="C10853" s="115"/>
      <c r="D10853" s="115"/>
      <c r="E10853" s="115"/>
    </row>
    <row r="10854" spans="1:5" ht="13">
      <c r="A10854" s="115"/>
      <c r="B10854" s="115"/>
      <c r="C10854" s="115"/>
      <c r="D10854" s="115"/>
      <c r="E10854" s="115"/>
    </row>
    <row r="10855" spans="1:5" ht="13">
      <c r="A10855" s="115"/>
      <c r="B10855" s="115"/>
      <c r="C10855" s="115"/>
      <c r="D10855" s="115"/>
      <c r="E10855" s="115"/>
    </row>
    <row r="10856" spans="1:5" ht="13">
      <c r="A10856" s="115"/>
      <c r="B10856" s="115"/>
      <c r="C10856" s="115"/>
      <c r="D10856" s="115"/>
      <c r="E10856" s="115"/>
    </row>
    <row r="10857" spans="1:5" ht="13">
      <c r="A10857" s="115"/>
      <c r="B10857" s="115"/>
      <c r="C10857" s="115"/>
      <c r="D10857" s="115"/>
      <c r="E10857" s="115"/>
    </row>
    <row r="10858" spans="1:5" ht="13">
      <c r="A10858" s="115"/>
      <c r="B10858" s="115"/>
      <c r="C10858" s="115"/>
      <c r="D10858" s="115"/>
      <c r="E10858" s="115"/>
    </row>
    <row r="10859" spans="1:5" ht="13">
      <c r="A10859" s="115"/>
      <c r="B10859" s="115"/>
      <c r="C10859" s="115"/>
      <c r="D10859" s="115"/>
      <c r="E10859" s="115"/>
    </row>
    <row r="10860" spans="1:5" ht="13">
      <c r="A10860" s="115"/>
      <c r="B10860" s="115"/>
      <c r="C10860" s="115"/>
      <c r="D10860" s="115"/>
      <c r="E10860" s="115"/>
    </row>
    <row r="10861" spans="1:5" ht="13">
      <c r="A10861" s="115"/>
      <c r="B10861" s="115"/>
      <c r="C10861" s="115"/>
      <c r="D10861" s="115"/>
      <c r="E10861" s="115"/>
    </row>
    <row r="10862" spans="1:5" ht="13">
      <c r="A10862" s="115"/>
      <c r="B10862" s="115"/>
      <c r="C10862" s="115"/>
      <c r="D10862" s="115"/>
      <c r="E10862" s="115"/>
    </row>
    <row r="10863" spans="1:5" ht="13">
      <c r="A10863" s="115"/>
      <c r="B10863" s="115"/>
      <c r="C10863" s="115"/>
      <c r="D10863" s="115"/>
      <c r="E10863" s="115"/>
    </row>
    <row r="10864" spans="1:5" ht="13">
      <c r="A10864" s="115"/>
      <c r="B10864" s="115"/>
      <c r="C10864" s="115"/>
      <c r="D10864" s="115"/>
      <c r="E10864" s="115"/>
    </row>
    <row r="10865" spans="1:5" ht="13">
      <c r="A10865" s="115"/>
      <c r="B10865" s="115"/>
      <c r="C10865" s="115"/>
      <c r="D10865" s="115"/>
      <c r="E10865" s="115"/>
    </row>
    <row r="10866" spans="1:5" ht="13">
      <c r="A10866" s="115"/>
      <c r="B10866" s="115"/>
      <c r="C10866" s="115"/>
      <c r="D10866" s="115"/>
      <c r="E10866" s="115"/>
    </row>
    <row r="10867" spans="1:5" ht="13">
      <c r="A10867" s="115"/>
      <c r="B10867" s="115"/>
      <c r="C10867" s="115"/>
      <c r="D10867" s="115"/>
      <c r="E10867" s="115"/>
    </row>
    <row r="10868" spans="1:5" ht="13">
      <c r="A10868" s="115"/>
      <c r="B10868" s="115"/>
      <c r="C10868" s="115"/>
      <c r="D10868" s="115"/>
      <c r="E10868" s="115"/>
    </row>
    <row r="10869" spans="1:5" ht="13">
      <c r="A10869" s="115"/>
      <c r="B10869" s="115"/>
      <c r="C10869" s="115"/>
      <c r="D10869" s="115"/>
      <c r="E10869" s="115"/>
    </row>
    <row r="10870" spans="1:5" ht="13">
      <c r="A10870" s="115"/>
      <c r="B10870" s="115"/>
      <c r="C10870" s="115"/>
      <c r="D10870" s="115"/>
      <c r="E10870" s="115"/>
    </row>
    <row r="10871" spans="1:5" ht="13">
      <c r="A10871" s="115"/>
      <c r="B10871" s="115"/>
      <c r="C10871" s="115"/>
      <c r="D10871" s="115"/>
      <c r="E10871" s="115"/>
    </row>
    <row r="10872" spans="1:5" ht="13">
      <c r="A10872" s="115"/>
      <c r="B10872" s="115"/>
      <c r="C10872" s="115"/>
      <c r="D10872" s="115"/>
      <c r="E10872" s="115"/>
    </row>
    <row r="10873" spans="1:5" ht="13">
      <c r="A10873" s="115"/>
      <c r="B10873" s="115"/>
      <c r="C10873" s="115"/>
      <c r="D10873" s="115"/>
      <c r="E10873" s="115"/>
    </row>
    <row r="10874" spans="1:5" ht="13">
      <c r="A10874" s="115"/>
      <c r="B10874" s="115"/>
      <c r="C10874" s="115"/>
      <c r="D10874" s="115"/>
      <c r="E10874" s="115"/>
    </row>
    <row r="10875" spans="1:5" ht="13">
      <c r="A10875" s="115"/>
      <c r="B10875" s="115"/>
      <c r="C10875" s="115"/>
      <c r="D10875" s="115"/>
      <c r="E10875" s="115"/>
    </row>
    <row r="10876" spans="1:5" ht="13">
      <c r="A10876" s="115"/>
      <c r="B10876" s="115"/>
      <c r="C10876" s="115"/>
      <c r="D10876" s="115"/>
      <c r="E10876" s="115"/>
    </row>
    <row r="10877" spans="1:5" ht="13">
      <c r="A10877" s="115"/>
      <c r="B10877" s="115"/>
      <c r="C10877" s="115"/>
      <c r="D10877" s="115"/>
      <c r="E10877" s="115"/>
    </row>
    <row r="10878" spans="1:5" ht="13">
      <c r="A10878" s="115"/>
      <c r="B10878" s="115"/>
      <c r="C10878" s="115"/>
      <c r="D10878" s="115"/>
      <c r="E10878" s="115"/>
    </row>
    <row r="10879" spans="1:5" ht="13">
      <c r="A10879" s="115"/>
      <c r="B10879" s="115"/>
      <c r="C10879" s="115"/>
      <c r="D10879" s="115"/>
      <c r="E10879" s="115"/>
    </row>
    <row r="10880" spans="1:5" ht="13">
      <c r="A10880" s="115"/>
      <c r="B10880" s="115"/>
      <c r="C10880" s="115"/>
      <c r="D10880" s="115"/>
      <c r="E10880" s="115"/>
    </row>
    <row r="10881" spans="1:5" ht="13">
      <c r="A10881" s="115"/>
      <c r="B10881" s="115"/>
      <c r="C10881" s="115"/>
      <c r="D10881" s="115"/>
      <c r="E10881" s="115"/>
    </row>
    <row r="10882" spans="1:5" ht="13">
      <c r="A10882" s="115"/>
      <c r="B10882" s="115"/>
      <c r="C10882" s="115"/>
      <c r="D10882" s="115"/>
      <c r="E10882" s="115"/>
    </row>
    <row r="10883" spans="1:5" ht="13">
      <c r="A10883" s="115"/>
      <c r="B10883" s="115"/>
      <c r="C10883" s="115"/>
      <c r="D10883" s="115"/>
      <c r="E10883" s="115"/>
    </row>
    <row r="10884" spans="1:5" ht="13">
      <c r="A10884" s="115"/>
      <c r="B10884" s="115"/>
      <c r="C10884" s="115"/>
      <c r="D10884" s="115"/>
      <c r="E10884" s="115"/>
    </row>
    <row r="10885" spans="1:5" ht="13">
      <c r="A10885" s="115"/>
      <c r="B10885" s="115"/>
      <c r="C10885" s="115"/>
      <c r="D10885" s="115"/>
      <c r="E10885" s="115"/>
    </row>
    <row r="10886" spans="1:5" ht="13">
      <c r="A10886" s="115"/>
      <c r="B10886" s="115"/>
      <c r="C10886" s="115"/>
      <c r="D10886" s="115"/>
      <c r="E10886" s="115"/>
    </row>
    <row r="10887" spans="1:5" ht="13">
      <c r="A10887" s="115"/>
      <c r="B10887" s="115"/>
      <c r="C10887" s="115"/>
      <c r="D10887" s="115"/>
      <c r="E10887" s="115"/>
    </row>
    <row r="10888" spans="1:5" ht="13">
      <c r="A10888" s="115"/>
      <c r="B10888" s="115"/>
      <c r="C10888" s="115"/>
      <c r="D10888" s="115"/>
      <c r="E10888" s="115"/>
    </row>
    <row r="10889" spans="1:5" ht="13">
      <c r="A10889" s="115"/>
      <c r="B10889" s="115"/>
      <c r="C10889" s="115"/>
      <c r="D10889" s="115"/>
      <c r="E10889" s="115"/>
    </row>
    <row r="10890" spans="1:5" ht="13">
      <c r="A10890" s="115"/>
      <c r="B10890" s="115"/>
      <c r="C10890" s="115"/>
      <c r="D10890" s="115"/>
      <c r="E10890" s="115"/>
    </row>
    <row r="10891" spans="1:5" ht="13">
      <c r="A10891" s="115"/>
      <c r="B10891" s="115"/>
      <c r="C10891" s="115"/>
      <c r="D10891" s="115"/>
      <c r="E10891" s="115"/>
    </row>
    <row r="10892" spans="1:5" ht="13">
      <c r="A10892" s="115"/>
      <c r="B10892" s="115"/>
      <c r="C10892" s="115"/>
      <c r="D10892" s="115"/>
      <c r="E10892" s="115"/>
    </row>
    <row r="10893" spans="1:5" ht="13">
      <c r="A10893" s="115"/>
      <c r="B10893" s="115"/>
      <c r="C10893" s="115"/>
      <c r="D10893" s="115"/>
      <c r="E10893" s="115"/>
    </row>
    <row r="10894" spans="1:5" ht="13">
      <c r="A10894" s="115"/>
      <c r="B10894" s="115"/>
      <c r="C10894" s="115"/>
      <c r="D10894" s="115"/>
      <c r="E10894" s="115"/>
    </row>
    <row r="10895" spans="1:5" ht="13">
      <c r="A10895" s="115"/>
      <c r="B10895" s="115"/>
      <c r="C10895" s="115"/>
      <c r="D10895" s="115"/>
      <c r="E10895" s="115"/>
    </row>
    <row r="10896" spans="1:5" ht="13">
      <c r="A10896" s="115"/>
      <c r="B10896" s="115"/>
      <c r="C10896" s="115"/>
      <c r="D10896" s="115"/>
      <c r="E10896" s="115"/>
    </row>
    <row r="10897" spans="1:5" ht="13">
      <c r="A10897" s="115"/>
      <c r="B10897" s="115"/>
      <c r="C10897" s="115"/>
      <c r="D10897" s="115"/>
      <c r="E10897" s="115"/>
    </row>
    <row r="10898" spans="1:5" ht="13">
      <c r="A10898" s="115"/>
      <c r="B10898" s="115"/>
      <c r="C10898" s="115"/>
      <c r="D10898" s="115"/>
      <c r="E10898" s="115"/>
    </row>
    <row r="10899" spans="1:5" ht="13">
      <c r="A10899" s="115"/>
      <c r="B10899" s="115"/>
      <c r="C10899" s="115"/>
      <c r="D10899" s="115"/>
      <c r="E10899" s="115"/>
    </row>
    <row r="10900" spans="1:5" ht="13">
      <c r="A10900" s="115"/>
      <c r="B10900" s="115"/>
      <c r="C10900" s="115"/>
      <c r="D10900" s="115"/>
      <c r="E10900" s="115"/>
    </row>
    <row r="10901" spans="1:5" ht="13">
      <c r="A10901" s="115"/>
      <c r="B10901" s="115"/>
      <c r="C10901" s="115"/>
      <c r="D10901" s="115"/>
      <c r="E10901" s="115"/>
    </row>
    <row r="10902" spans="1:5" ht="13">
      <c r="A10902" s="115"/>
      <c r="B10902" s="115"/>
      <c r="C10902" s="115"/>
      <c r="D10902" s="115"/>
      <c r="E10902" s="115"/>
    </row>
    <row r="10903" spans="1:5" ht="13">
      <c r="A10903" s="115"/>
      <c r="B10903" s="115"/>
      <c r="C10903" s="115"/>
      <c r="D10903" s="115"/>
      <c r="E10903" s="115"/>
    </row>
    <row r="10904" spans="1:5" ht="13">
      <c r="A10904" s="115"/>
      <c r="B10904" s="115"/>
      <c r="C10904" s="115"/>
      <c r="D10904" s="115"/>
      <c r="E10904" s="115"/>
    </row>
    <row r="10905" spans="1:5" ht="13">
      <c r="A10905" s="115"/>
      <c r="B10905" s="115"/>
      <c r="C10905" s="115"/>
      <c r="D10905" s="115"/>
      <c r="E10905" s="115"/>
    </row>
    <row r="10906" spans="1:5" ht="13">
      <c r="A10906" s="115"/>
      <c r="B10906" s="115"/>
      <c r="C10906" s="115"/>
      <c r="D10906" s="115"/>
      <c r="E10906" s="115"/>
    </row>
    <row r="10907" spans="1:5" ht="13">
      <c r="A10907" s="115"/>
      <c r="B10907" s="115"/>
      <c r="C10907" s="115"/>
      <c r="D10907" s="115"/>
      <c r="E10907" s="115"/>
    </row>
    <row r="10908" spans="1:5" ht="13">
      <c r="A10908" s="115"/>
      <c r="B10908" s="115"/>
      <c r="C10908" s="115"/>
      <c r="D10908" s="115"/>
      <c r="E10908" s="115"/>
    </row>
    <row r="10909" spans="1:5" ht="13">
      <c r="A10909" s="115"/>
      <c r="B10909" s="115"/>
      <c r="C10909" s="115"/>
      <c r="D10909" s="115"/>
      <c r="E10909" s="115"/>
    </row>
    <row r="10910" spans="1:5" ht="13">
      <c r="A10910" s="115"/>
      <c r="B10910" s="115"/>
      <c r="C10910" s="115"/>
      <c r="D10910" s="115"/>
      <c r="E10910" s="115"/>
    </row>
    <row r="10911" spans="1:5" ht="13">
      <c r="A10911" s="115"/>
      <c r="B10911" s="115"/>
      <c r="C10911" s="115"/>
      <c r="D10911" s="115"/>
      <c r="E10911" s="115"/>
    </row>
    <row r="10912" spans="1:5" ht="13">
      <c r="A10912" s="115"/>
      <c r="B10912" s="115"/>
      <c r="C10912" s="115"/>
      <c r="D10912" s="115"/>
      <c r="E10912" s="115"/>
    </row>
    <row r="10913" spans="1:5" ht="13">
      <c r="A10913" s="115"/>
      <c r="B10913" s="115"/>
      <c r="C10913" s="115"/>
      <c r="D10913" s="115"/>
      <c r="E10913" s="115"/>
    </row>
    <row r="10914" spans="1:5" ht="13">
      <c r="A10914" s="115"/>
      <c r="B10914" s="115"/>
      <c r="C10914" s="115"/>
      <c r="D10914" s="115"/>
      <c r="E10914" s="115"/>
    </row>
    <row r="10915" spans="1:5" ht="13">
      <c r="A10915" s="115"/>
      <c r="B10915" s="115"/>
      <c r="C10915" s="115"/>
      <c r="D10915" s="115"/>
      <c r="E10915" s="115"/>
    </row>
    <row r="10916" spans="1:5" ht="13">
      <c r="A10916" s="115"/>
      <c r="B10916" s="115"/>
      <c r="C10916" s="115"/>
      <c r="D10916" s="115"/>
      <c r="E10916" s="115"/>
    </row>
    <row r="10917" spans="1:5" ht="13">
      <c r="A10917" s="115"/>
      <c r="B10917" s="115"/>
      <c r="C10917" s="115"/>
      <c r="D10917" s="115"/>
      <c r="E10917" s="115"/>
    </row>
    <row r="10918" spans="1:5" ht="13">
      <c r="A10918" s="115"/>
      <c r="B10918" s="115"/>
      <c r="C10918" s="115"/>
      <c r="D10918" s="115"/>
      <c r="E10918" s="115"/>
    </row>
    <row r="10919" spans="1:5" ht="13">
      <c r="A10919" s="115"/>
      <c r="B10919" s="115"/>
      <c r="C10919" s="115"/>
      <c r="D10919" s="115"/>
      <c r="E10919" s="115"/>
    </row>
    <row r="10920" spans="1:5" ht="13">
      <c r="A10920" s="115"/>
      <c r="B10920" s="115"/>
      <c r="C10920" s="115"/>
      <c r="D10920" s="115"/>
      <c r="E10920" s="115"/>
    </row>
    <row r="10921" spans="1:5" ht="13">
      <c r="A10921" s="115"/>
      <c r="B10921" s="115"/>
      <c r="C10921" s="115"/>
      <c r="D10921" s="115"/>
      <c r="E10921" s="115"/>
    </row>
    <row r="10922" spans="1:5" ht="13">
      <c r="A10922" s="115"/>
      <c r="B10922" s="115"/>
      <c r="C10922" s="115"/>
      <c r="D10922" s="115"/>
      <c r="E10922" s="115"/>
    </row>
    <row r="10923" spans="1:5" ht="13">
      <c r="A10923" s="115"/>
      <c r="B10923" s="115"/>
      <c r="C10923" s="115"/>
      <c r="D10923" s="115"/>
      <c r="E10923" s="115"/>
    </row>
    <row r="10924" spans="1:5" ht="13">
      <c r="A10924" s="115"/>
      <c r="B10924" s="115"/>
      <c r="C10924" s="115"/>
      <c r="D10924" s="115"/>
      <c r="E10924" s="115"/>
    </row>
    <row r="10925" spans="1:5" ht="13">
      <c r="A10925" s="115"/>
      <c r="B10925" s="115"/>
      <c r="C10925" s="115"/>
      <c r="D10925" s="115"/>
      <c r="E10925" s="115"/>
    </row>
    <row r="10926" spans="1:5" ht="13">
      <c r="A10926" s="115"/>
      <c r="B10926" s="115"/>
      <c r="C10926" s="115"/>
      <c r="D10926" s="115"/>
      <c r="E10926" s="115"/>
    </row>
    <row r="10927" spans="1:5" ht="13">
      <c r="A10927" s="115"/>
      <c r="B10927" s="115"/>
      <c r="C10927" s="115"/>
      <c r="D10927" s="115"/>
      <c r="E10927" s="115"/>
    </row>
    <row r="10928" spans="1:5" ht="13">
      <c r="A10928" s="115"/>
      <c r="B10928" s="115"/>
      <c r="C10928" s="115"/>
      <c r="D10928" s="115"/>
      <c r="E10928" s="115"/>
    </row>
    <row r="10929" spans="1:5" ht="13">
      <c r="A10929" s="115"/>
      <c r="B10929" s="115"/>
      <c r="C10929" s="115"/>
      <c r="D10929" s="115"/>
      <c r="E10929" s="115"/>
    </row>
    <row r="10930" spans="1:5" ht="13">
      <c r="A10930" s="115"/>
      <c r="B10930" s="115"/>
      <c r="C10930" s="115"/>
      <c r="D10930" s="115"/>
      <c r="E10930" s="115"/>
    </row>
    <row r="10931" spans="1:5" ht="13">
      <c r="A10931" s="115"/>
      <c r="B10931" s="115"/>
      <c r="C10931" s="115"/>
      <c r="D10931" s="115"/>
      <c r="E10931" s="115"/>
    </row>
    <row r="10932" spans="1:5" ht="13">
      <c r="A10932" s="115"/>
      <c r="B10932" s="115"/>
      <c r="C10932" s="115"/>
      <c r="D10932" s="115"/>
      <c r="E10932" s="115"/>
    </row>
    <row r="10933" spans="1:5" ht="13">
      <c r="A10933" s="115"/>
      <c r="B10933" s="115"/>
      <c r="C10933" s="115"/>
      <c r="D10933" s="115"/>
      <c r="E10933" s="115"/>
    </row>
    <row r="10934" spans="1:5" ht="13">
      <c r="A10934" s="115"/>
      <c r="B10934" s="115"/>
      <c r="C10934" s="115"/>
      <c r="D10934" s="115"/>
      <c r="E10934" s="115"/>
    </row>
    <row r="10935" spans="1:5" ht="13">
      <c r="A10935" s="115"/>
      <c r="B10935" s="115"/>
      <c r="C10935" s="115"/>
      <c r="D10935" s="115"/>
      <c r="E10935" s="115"/>
    </row>
    <row r="10936" spans="1:5" ht="13">
      <c r="A10936" s="115"/>
      <c r="B10936" s="115"/>
      <c r="C10936" s="115"/>
      <c r="D10936" s="115"/>
      <c r="E10936" s="115"/>
    </row>
    <row r="10937" spans="1:5" ht="13">
      <c r="A10937" s="115"/>
      <c r="B10937" s="115"/>
      <c r="C10937" s="115"/>
      <c r="D10937" s="115"/>
      <c r="E10937" s="115"/>
    </row>
    <row r="10938" spans="1:5" ht="13">
      <c r="A10938" s="115"/>
      <c r="B10938" s="115"/>
      <c r="C10938" s="115"/>
      <c r="D10938" s="115"/>
      <c r="E10938" s="115"/>
    </row>
    <row r="10939" spans="1:5" ht="13">
      <c r="A10939" s="115"/>
      <c r="B10939" s="115"/>
      <c r="C10939" s="115"/>
      <c r="D10939" s="115"/>
      <c r="E10939" s="115"/>
    </row>
    <row r="10940" spans="1:5" ht="13">
      <c r="A10940" s="115"/>
      <c r="B10940" s="115"/>
      <c r="C10940" s="115"/>
      <c r="D10940" s="115"/>
      <c r="E10940" s="115"/>
    </row>
    <row r="10941" spans="1:5" ht="13">
      <c r="A10941" s="115"/>
      <c r="B10941" s="115"/>
      <c r="C10941" s="115"/>
      <c r="D10941" s="115"/>
      <c r="E10941" s="115"/>
    </row>
    <row r="10942" spans="1:5" ht="13">
      <c r="A10942" s="115"/>
      <c r="B10942" s="115"/>
      <c r="C10942" s="115"/>
      <c r="D10942" s="115"/>
      <c r="E10942" s="115"/>
    </row>
    <row r="10943" spans="1:5" ht="13">
      <c r="A10943" s="115"/>
      <c r="B10943" s="115"/>
      <c r="C10943" s="115"/>
      <c r="D10943" s="115"/>
      <c r="E10943" s="115"/>
    </row>
    <row r="10944" spans="1:5" ht="13">
      <c r="A10944" s="115"/>
      <c r="B10944" s="115"/>
      <c r="C10944" s="115"/>
      <c r="D10944" s="115"/>
      <c r="E10944" s="115"/>
    </row>
    <row r="10945" spans="1:5" ht="13">
      <c r="A10945" s="115"/>
      <c r="B10945" s="115"/>
      <c r="C10945" s="115"/>
      <c r="D10945" s="115"/>
      <c r="E10945" s="115"/>
    </row>
    <row r="10946" spans="1:5" ht="13">
      <c r="A10946" s="115"/>
      <c r="B10946" s="115"/>
      <c r="C10946" s="115"/>
      <c r="D10946" s="115"/>
      <c r="E10946" s="115"/>
    </row>
    <row r="10947" spans="1:5" ht="13">
      <c r="A10947" s="115"/>
      <c r="B10947" s="115"/>
      <c r="C10947" s="115"/>
      <c r="D10947" s="115"/>
      <c r="E10947" s="115"/>
    </row>
    <row r="10948" spans="1:5" ht="13">
      <c r="A10948" s="115"/>
      <c r="B10948" s="115"/>
      <c r="C10948" s="115"/>
      <c r="D10948" s="115"/>
      <c r="E10948" s="115"/>
    </row>
    <row r="10949" spans="1:5" ht="13">
      <c r="A10949" s="115"/>
      <c r="B10949" s="115"/>
      <c r="C10949" s="115"/>
      <c r="D10949" s="115"/>
      <c r="E10949" s="115"/>
    </row>
    <row r="10950" spans="1:5" ht="13">
      <c r="A10950" s="115"/>
      <c r="B10950" s="115"/>
      <c r="C10950" s="115"/>
      <c r="D10950" s="115"/>
      <c r="E10950" s="115"/>
    </row>
    <row r="10951" spans="1:5" ht="13">
      <c r="A10951" s="115"/>
      <c r="B10951" s="115"/>
      <c r="C10951" s="115"/>
      <c r="D10951" s="115"/>
      <c r="E10951" s="115"/>
    </row>
    <row r="10952" spans="1:5" ht="13">
      <c r="A10952" s="115"/>
      <c r="B10952" s="115"/>
      <c r="C10952" s="115"/>
      <c r="D10952" s="115"/>
      <c r="E10952" s="115"/>
    </row>
    <row r="10953" spans="1:5" ht="13">
      <c r="A10953" s="115"/>
      <c r="B10953" s="115"/>
      <c r="C10953" s="115"/>
      <c r="D10953" s="115"/>
      <c r="E10953" s="115"/>
    </row>
    <row r="10954" spans="1:5" ht="13">
      <c r="A10954" s="115"/>
      <c r="B10954" s="115"/>
      <c r="C10954" s="115"/>
      <c r="D10954" s="115"/>
      <c r="E10954" s="115"/>
    </row>
    <row r="10955" spans="1:5" ht="13">
      <c r="A10955" s="115"/>
      <c r="B10955" s="115"/>
      <c r="C10955" s="115"/>
      <c r="D10955" s="115"/>
      <c r="E10955" s="115"/>
    </row>
    <row r="10956" spans="1:5" ht="13">
      <c r="A10956" s="115"/>
      <c r="B10956" s="115"/>
      <c r="C10956" s="115"/>
      <c r="D10956" s="115"/>
      <c r="E10956" s="115"/>
    </row>
    <row r="10957" spans="1:5" ht="13">
      <c r="A10957" s="115"/>
      <c r="B10957" s="115"/>
      <c r="C10957" s="115"/>
      <c r="D10957" s="115"/>
      <c r="E10957" s="115"/>
    </row>
    <row r="10958" spans="1:5" ht="13">
      <c r="A10958" s="115"/>
      <c r="B10958" s="115"/>
      <c r="C10958" s="115"/>
      <c r="D10958" s="115"/>
      <c r="E10958" s="115"/>
    </row>
    <row r="10959" spans="1:5" ht="13">
      <c r="A10959" s="115"/>
      <c r="B10959" s="115"/>
      <c r="C10959" s="115"/>
      <c r="D10959" s="115"/>
      <c r="E10959" s="115"/>
    </row>
    <row r="10960" spans="1:5" ht="13">
      <c r="A10960" s="115"/>
      <c r="B10960" s="115"/>
      <c r="C10960" s="115"/>
      <c r="D10960" s="115"/>
      <c r="E10960" s="115"/>
    </row>
    <row r="10961" spans="1:5" ht="13">
      <c r="A10961" s="115"/>
      <c r="B10961" s="115"/>
      <c r="C10961" s="115"/>
      <c r="D10961" s="115"/>
      <c r="E10961" s="115"/>
    </row>
    <row r="10962" spans="1:5" ht="13">
      <c r="A10962" s="115"/>
      <c r="B10962" s="115"/>
      <c r="C10962" s="115"/>
      <c r="D10962" s="115"/>
      <c r="E10962" s="115"/>
    </row>
    <row r="10963" spans="1:5" ht="13">
      <c r="A10963" s="115"/>
      <c r="B10963" s="115"/>
      <c r="C10963" s="115"/>
      <c r="D10963" s="115"/>
      <c r="E10963" s="115"/>
    </row>
    <row r="10964" spans="1:5" ht="13">
      <c r="A10964" s="115"/>
      <c r="B10964" s="115"/>
      <c r="C10964" s="115"/>
      <c r="D10964" s="115"/>
      <c r="E10964" s="115"/>
    </row>
    <row r="10965" spans="1:5" ht="13">
      <c r="A10965" s="115"/>
      <c r="B10965" s="115"/>
      <c r="C10965" s="115"/>
      <c r="D10965" s="115"/>
      <c r="E10965" s="115"/>
    </row>
    <row r="10966" spans="1:5" ht="13">
      <c r="A10966" s="115"/>
      <c r="B10966" s="115"/>
      <c r="C10966" s="115"/>
      <c r="D10966" s="115"/>
      <c r="E10966" s="115"/>
    </row>
    <row r="10967" spans="1:5" ht="13">
      <c r="A10967" s="115"/>
      <c r="B10967" s="115"/>
      <c r="C10967" s="115"/>
      <c r="D10967" s="115"/>
      <c r="E10967" s="115"/>
    </row>
    <row r="10968" spans="1:5" ht="13">
      <c r="A10968" s="115"/>
      <c r="B10968" s="115"/>
      <c r="C10968" s="115"/>
      <c r="D10968" s="115"/>
      <c r="E10968" s="115"/>
    </row>
    <row r="10969" spans="1:5" ht="13">
      <c r="A10969" s="115"/>
      <c r="B10969" s="115"/>
      <c r="C10969" s="115"/>
      <c r="D10969" s="115"/>
      <c r="E10969" s="115"/>
    </row>
    <row r="10970" spans="1:5" ht="13">
      <c r="A10970" s="115"/>
      <c r="B10970" s="115"/>
      <c r="C10970" s="115"/>
      <c r="D10970" s="115"/>
      <c r="E10970" s="115"/>
    </row>
    <row r="10971" spans="1:5" ht="13">
      <c r="A10971" s="115"/>
      <c r="B10971" s="115"/>
      <c r="C10971" s="115"/>
      <c r="D10971" s="115"/>
      <c r="E10971" s="115"/>
    </row>
    <row r="10972" spans="1:5" ht="13">
      <c r="A10972" s="115"/>
      <c r="B10972" s="115"/>
      <c r="C10972" s="115"/>
      <c r="D10972" s="115"/>
      <c r="E10972" s="115"/>
    </row>
    <row r="10973" spans="1:5" ht="13">
      <c r="A10973" s="115"/>
      <c r="B10973" s="115"/>
      <c r="C10973" s="115"/>
      <c r="D10973" s="115"/>
      <c r="E10973" s="115"/>
    </row>
    <row r="10974" spans="1:5" ht="13">
      <c r="A10974" s="115"/>
      <c r="B10974" s="115"/>
      <c r="C10974" s="115"/>
      <c r="D10974" s="115"/>
      <c r="E10974" s="115"/>
    </row>
    <row r="10975" spans="1:5" ht="13">
      <c r="A10975" s="115"/>
      <c r="B10975" s="115"/>
      <c r="C10975" s="115"/>
      <c r="D10975" s="115"/>
      <c r="E10975" s="115"/>
    </row>
    <row r="10976" spans="1:5" ht="13">
      <c r="A10976" s="115"/>
      <c r="B10976" s="115"/>
      <c r="C10976" s="115"/>
      <c r="D10976" s="115"/>
      <c r="E10976" s="115"/>
    </row>
    <row r="10977" spans="1:5" ht="13">
      <c r="A10977" s="115"/>
      <c r="B10977" s="115"/>
      <c r="C10977" s="115"/>
      <c r="D10977" s="115"/>
      <c r="E10977" s="115"/>
    </row>
    <row r="10978" spans="1:5" ht="13">
      <c r="A10978" s="115"/>
      <c r="B10978" s="115"/>
      <c r="C10978" s="115"/>
      <c r="D10978" s="115"/>
      <c r="E10978" s="115"/>
    </row>
    <row r="10979" spans="1:5" ht="13">
      <c r="A10979" s="115"/>
      <c r="B10979" s="115"/>
      <c r="C10979" s="115"/>
      <c r="D10979" s="115"/>
      <c r="E10979" s="115"/>
    </row>
    <row r="10980" spans="1:5" ht="13">
      <c r="A10980" s="115"/>
      <c r="B10980" s="115"/>
      <c r="C10980" s="115"/>
      <c r="D10980" s="115"/>
      <c r="E10980" s="115"/>
    </row>
    <row r="10981" spans="1:5" ht="13">
      <c r="A10981" s="115"/>
      <c r="B10981" s="115"/>
      <c r="C10981" s="115"/>
      <c r="D10981" s="115"/>
      <c r="E10981" s="115"/>
    </row>
    <row r="10982" spans="1:5" ht="13">
      <c r="A10982" s="115"/>
      <c r="B10982" s="115"/>
      <c r="C10982" s="115"/>
      <c r="D10982" s="115"/>
      <c r="E10982" s="115"/>
    </row>
    <row r="10983" spans="1:5" ht="13">
      <c r="A10983" s="115"/>
      <c r="B10983" s="115"/>
      <c r="C10983" s="115"/>
      <c r="D10983" s="115"/>
      <c r="E10983" s="115"/>
    </row>
    <row r="10984" spans="1:5" ht="13">
      <c r="A10984" s="115"/>
      <c r="B10984" s="115"/>
      <c r="C10984" s="115"/>
      <c r="D10984" s="115"/>
      <c r="E10984" s="115"/>
    </row>
    <row r="10985" spans="1:5" ht="13">
      <c r="A10985" s="115"/>
      <c r="B10985" s="115"/>
      <c r="C10985" s="115"/>
      <c r="D10985" s="115"/>
      <c r="E10985" s="115"/>
    </row>
    <row r="10986" spans="1:5" ht="13">
      <c r="A10986" s="115"/>
      <c r="B10986" s="115"/>
      <c r="C10986" s="115"/>
      <c r="D10986" s="115"/>
      <c r="E10986" s="115"/>
    </row>
    <row r="10987" spans="1:5" ht="13">
      <c r="A10987" s="115"/>
      <c r="B10987" s="115"/>
      <c r="C10987" s="115"/>
      <c r="D10987" s="115"/>
      <c r="E10987" s="115"/>
    </row>
    <row r="10988" spans="1:5" ht="13">
      <c r="A10988" s="115"/>
      <c r="B10988" s="115"/>
      <c r="C10988" s="115"/>
      <c r="D10988" s="115"/>
      <c r="E10988" s="115"/>
    </row>
    <row r="10989" spans="1:5" ht="13">
      <c r="A10989" s="115"/>
      <c r="B10989" s="115"/>
      <c r="C10989" s="115"/>
      <c r="D10989" s="115"/>
      <c r="E10989" s="115"/>
    </row>
    <row r="10990" spans="1:5" ht="13">
      <c r="A10990" s="115"/>
      <c r="B10990" s="115"/>
      <c r="C10990" s="115"/>
      <c r="D10990" s="115"/>
      <c r="E10990" s="115"/>
    </row>
    <row r="10991" spans="1:5" ht="13">
      <c r="A10991" s="115"/>
      <c r="B10991" s="115"/>
      <c r="C10991" s="115"/>
      <c r="D10991" s="115"/>
      <c r="E10991" s="115"/>
    </row>
    <row r="10992" spans="1:5" ht="13">
      <c r="A10992" s="115"/>
      <c r="B10992" s="115"/>
      <c r="C10992" s="115"/>
      <c r="D10992" s="115"/>
      <c r="E10992" s="115"/>
    </row>
    <row r="10993" spans="1:5" ht="13">
      <c r="A10993" s="115"/>
      <c r="B10993" s="115"/>
      <c r="C10993" s="115"/>
      <c r="D10993" s="115"/>
      <c r="E10993" s="115"/>
    </row>
    <row r="10994" spans="1:5" ht="13">
      <c r="A10994" s="115"/>
      <c r="B10994" s="115"/>
      <c r="C10994" s="115"/>
      <c r="D10994" s="115"/>
      <c r="E10994" s="115"/>
    </row>
    <row r="10995" spans="1:5" ht="13">
      <c r="A10995" s="115"/>
      <c r="B10995" s="115"/>
      <c r="C10995" s="115"/>
      <c r="D10995" s="115"/>
      <c r="E10995" s="115"/>
    </row>
    <row r="10996" spans="1:5" ht="13">
      <c r="A10996" s="115"/>
      <c r="B10996" s="115"/>
      <c r="C10996" s="115"/>
      <c r="D10996" s="115"/>
      <c r="E10996" s="115"/>
    </row>
    <row r="10997" spans="1:5" ht="13">
      <c r="A10997" s="115"/>
      <c r="B10997" s="115"/>
      <c r="C10997" s="115"/>
      <c r="D10997" s="115"/>
      <c r="E10997" s="115"/>
    </row>
    <row r="10998" spans="1:5" ht="13">
      <c r="A10998" s="115"/>
      <c r="B10998" s="115"/>
      <c r="C10998" s="115"/>
      <c r="D10998" s="115"/>
      <c r="E10998" s="115"/>
    </row>
    <row r="10999" spans="1:5" ht="13">
      <c r="A10999" s="115"/>
      <c r="B10999" s="115"/>
      <c r="C10999" s="115"/>
      <c r="D10999" s="115"/>
      <c r="E10999" s="115"/>
    </row>
    <row r="11000" spans="1:5" ht="13">
      <c r="A11000" s="115"/>
      <c r="B11000" s="115"/>
      <c r="C11000" s="115"/>
      <c r="D11000" s="115"/>
      <c r="E11000" s="115"/>
    </row>
    <row r="11001" spans="1:5" ht="13">
      <c r="A11001" s="115"/>
      <c r="B11001" s="115"/>
      <c r="C11001" s="115"/>
      <c r="D11001" s="115"/>
      <c r="E11001" s="115"/>
    </row>
    <row r="11002" spans="1:5" ht="13">
      <c r="A11002" s="115"/>
      <c r="B11002" s="115"/>
      <c r="C11002" s="115"/>
      <c r="D11002" s="115"/>
      <c r="E11002" s="115"/>
    </row>
    <row r="11003" spans="1:5" ht="13">
      <c r="A11003" s="115"/>
      <c r="B11003" s="115"/>
      <c r="C11003" s="115"/>
      <c r="D11003" s="115"/>
      <c r="E11003" s="115"/>
    </row>
    <row r="11004" spans="1:5" ht="13">
      <c r="A11004" s="115"/>
      <c r="B11004" s="115"/>
      <c r="C11004" s="115"/>
      <c r="D11004" s="115"/>
      <c r="E11004" s="115"/>
    </row>
    <row r="11005" spans="1:5" ht="13">
      <c r="A11005" s="115"/>
      <c r="B11005" s="115"/>
      <c r="C11005" s="115"/>
      <c r="D11005" s="115"/>
      <c r="E11005" s="115"/>
    </row>
    <row r="11006" spans="1:5" ht="13">
      <c r="A11006" s="115"/>
      <c r="B11006" s="115"/>
      <c r="C11006" s="115"/>
      <c r="D11006" s="115"/>
      <c r="E11006" s="115"/>
    </row>
    <row r="11007" spans="1:5" ht="13">
      <c r="A11007" s="115"/>
      <c r="B11007" s="115"/>
      <c r="C11007" s="115"/>
      <c r="D11007" s="115"/>
      <c r="E11007" s="115"/>
    </row>
    <row r="11008" spans="1:5" ht="13">
      <c r="A11008" s="115"/>
      <c r="B11008" s="115"/>
      <c r="C11008" s="115"/>
      <c r="D11008" s="115"/>
      <c r="E11008" s="115"/>
    </row>
    <row r="11009" spans="1:5" ht="13">
      <c r="A11009" s="115"/>
      <c r="B11009" s="115"/>
      <c r="C11009" s="115"/>
      <c r="D11009" s="115"/>
      <c r="E11009" s="115"/>
    </row>
    <row r="11010" spans="1:5" ht="13">
      <c r="A11010" s="115"/>
      <c r="B11010" s="115"/>
      <c r="C11010" s="115"/>
      <c r="D11010" s="115"/>
      <c r="E11010" s="115"/>
    </row>
    <row r="11011" spans="1:5" ht="13">
      <c r="A11011" s="115"/>
      <c r="B11011" s="115"/>
      <c r="C11011" s="115"/>
      <c r="D11011" s="115"/>
      <c r="E11011" s="115"/>
    </row>
    <row r="11012" spans="1:5" ht="13">
      <c r="A11012" s="115"/>
      <c r="B11012" s="115"/>
      <c r="C11012" s="115"/>
      <c r="D11012" s="115"/>
      <c r="E11012" s="115"/>
    </row>
    <row r="11013" spans="1:5" ht="13">
      <c r="A11013" s="115"/>
      <c r="B11013" s="115"/>
      <c r="C11013" s="115"/>
      <c r="D11013" s="115"/>
      <c r="E11013" s="115"/>
    </row>
    <row r="11014" spans="1:5" ht="13">
      <c r="A11014" s="115"/>
      <c r="B11014" s="115"/>
      <c r="C11014" s="115"/>
      <c r="D11014" s="115"/>
      <c r="E11014" s="115"/>
    </row>
    <row r="11015" spans="1:5" ht="13">
      <c r="A11015" s="115"/>
      <c r="B11015" s="115"/>
      <c r="C11015" s="115"/>
      <c r="D11015" s="115"/>
      <c r="E11015" s="115"/>
    </row>
    <row r="11016" spans="1:5" ht="13">
      <c r="A11016" s="115"/>
      <c r="B11016" s="115"/>
      <c r="C11016" s="115"/>
      <c r="D11016" s="115"/>
      <c r="E11016" s="115"/>
    </row>
    <row r="11017" spans="1:5" ht="13">
      <c r="A11017" s="115"/>
      <c r="B11017" s="115"/>
      <c r="C11017" s="115"/>
      <c r="D11017" s="115"/>
      <c r="E11017" s="115"/>
    </row>
    <row r="11018" spans="1:5" ht="13">
      <c r="A11018" s="115"/>
      <c r="B11018" s="115"/>
      <c r="C11018" s="115"/>
      <c r="D11018" s="115"/>
      <c r="E11018" s="115"/>
    </row>
    <row r="11019" spans="1:5" ht="13">
      <c r="A11019" s="115"/>
      <c r="B11019" s="115"/>
      <c r="C11019" s="115"/>
      <c r="D11019" s="115"/>
      <c r="E11019" s="115"/>
    </row>
    <row r="11020" spans="1:5" ht="13">
      <c r="A11020" s="115"/>
      <c r="B11020" s="115"/>
      <c r="C11020" s="115"/>
      <c r="D11020" s="115"/>
      <c r="E11020" s="115"/>
    </row>
    <row r="11021" spans="1:5" ht="13">
      <c r="A11021" s="115"/>
      <c r="B11021" s="115"/>
      <c r="C11021" s="115"/>
      <c r="D11021" s="115"/>
      <c r="E11021" s="115"/>
    </row>
    <row r="11022" spans="1:5" ht="13">
      <c r="A11022" s="115"/>
      <c r="B11022" s="115"/>
      <c r="C11022" s="115"/>
      <c r="D11022" s="115"/>
      <c r="E11022" s="115"/>
    </row>
    <row r="11023" spans="1:5" ht="13">
      <c r="A11023" s="115"/>
      <c r="B11023" s="115"/>
      <c r="C11023" s="115"/>
      <c r="D11023" s="115"/>
      <c r="E11023" s="115"/>
    </row>
    <row r="11024" spans="1:5" ht="13">
      <c r="A11024" s="115"/>
      <c r="B11024" s="115"/>
      <c r="C11024" s="115"/>
      <c r="D11024" s="115"/>
      <c r="E11024" s="115"/>
    </row>
    <row r="11025" spans="1:5" ht="13">
      <c r="A11025" s="115"/>
      <c r="B11025" s="115"/>
      <c r="C11025" s="115"/>
      <c r="D11025" s="115"/>
      <c r="E11025" s="115"/>
    </row>
    <row r="11026" spans="1:5" ht="13">
      <c r="A11026" s="115"/>
      <c r="B11026" s="115"/>
      <c r="C11026" s="115"/>
      <c r="D11026" s="115"/>
      <c r="E11026" s="115"/>
    </row>
    <row r="11027" spans="1:5" ht="13">
      <c r="A11027" s="115"/>
      <c r="B11027" s="115"/>
      <c r="C11027" s="115"/>
      <c r="D11027" s="115"/>
      <c r="E11027" s="115"/>
    </row>
    <row r="11028" spans="1:5" ht="13">
      <c r="A11028" s="115"/>
      <c r="B11028" s="115"/>
      <c r="C11028" s="115"/>
      <c r="D11028" s="115"/>
      <c r="E11028" s="115"/>
    </row>
    <row r="11029" spans="1:5" ht="13">
      <c r="A11029" s="115"/>
      <c r="B11029" s="115"/>
      <c r="C11029" s="115"/>
      <c r="D11029" s="115"/>
      <c r="E11029" s="115"/>
    </row>
    <row r="11030" spans="1:5" ht="13">
      <c r="A11030" s="115"/>
      <c r="B11030" s="115"/>
      <c r="C11030" s="115"/>
      <c r="D11030" s="115"/>
      <c r="E11030" s="115"/>
    </row>
    <row r="11031" spans="1:5" ht="13">
      <c r="A11031" s="115"/>
      <c r="B11031" s="115"/>
      <c r="C11031" s="115"/>
      <c r="D11031" s="115"/>
      <c r="E11031" s="115"/>
    </row>
    <row r="11032" spans="1:5" ht="13">
      <c r="A11032" s="115"/>
      <c r="B11032" s="115"/>
      <c r="C11032" s="115"/>
      <c r="D11032" s="115"/>
      <c r="E11032" s="115"/>
    </row>
    <row r="11033" spans="1:5" ht="13">
      <c r="A11033" s="115"/>
      <c r="B11033" s="115"/>
      <c r="C11033" s="115"/>
      <c r="D11033" s="115"/>
      <c r="E11033" s="115"/>
    </row>
    <row r="11034" spans="1:5" ht="13">
      <c r="A11034" s="115"/>
      <c r="B11034" s="115"/>
      <c r="C11034" s="115"/>
      <c r="D11034" s="115"/>
      <c r="E11034" s="115"/>
    </row>
    <row r="11035" spans="1:5" ht="13">
      <c r="A11035" s="115"/>
      <c r="B11035" s="115"/>
      <c r="C11035" s="115"/>
      <c r="D11035" s="115"/>
      <c r="E11035" s="115"/>
    </row>
    <row r="11036" spans="1:5" ht="13">
      <c r="A11036" s="115"/>
      <c r="B11036" s="115"/>
      <c r="C11036" s="115"/>
      <c r="D11036" s="115"/>
      <c r="E11036" s="115"/>
    </row>
    <row r="11037" spans="1:5" ht="13">
      <c r="A11037" s="115"/>
      <c r="B11037" s="115"/>
      <c r="C11037" s="115"/>
      <c r="D11037" s="115"/>
      <c r="E11037" s="115"/>
    </row>
    <row r="11038" spans="1:5" ht="13">
      <c r="A11038" s="115"/>
      <c r="B11038" s="115"/>
      <c r="C11038" s="115"/>
      <c r="D11038" s="115"/>
      <c r="E11038" s="115"/>
    </row>
    <row r="11039" spans="1:5" ht="13">
      <c r="A11039" s="115"/>
      <c r="B11039" s="115"/>
      <c r="C11039" s="115"/>
      <c r="D11039" s="115"/>
      <c r="E11039" s="115"/>
    </row>
    <row r="11040" spans="1:5" ht="13">
      <c r="A11040" s="115"/>
      <c r="B11040" s="115"/>
      <c r="C11040" s="115"/>
      <c r="D11040" s="115"/>
      <c r="E11040" s="115"/>
    </row>
    <row r="11041" spans="1:5" ht="13">
      <c r="A11041" s="115"/>
      <c r="B11041" s="115"/>
      <c r="C11041" s="115"/>
      <c r="D11041" s="115"/>
      <c r="E11041" s="115"/>
    </row>
    <row r="11042" spans="1:5" ht="13">
      <c r="A11042" s="115"/>
      <c r="B11042" s="115"/>
      <c r="C11042" s="115"/>
      <c r="D11042" s="115"/>
      <c r="E11042" s="115"/>
    </row>
    <row r="11043" spans="1:5" ht="13">
      <c r="A11043" s="115"/>
      <c r="B11043" s="115"/>
      <c r="C11043" s="115"/>
      <c r="D11043" s="115"/>
      <c r="E11043" s="115"/>
    </row>
    <row r="11044" spans="1:5" ht="13">
      <c r="A11044" s="115"/>
      <c r="B11044" s="115"/>
      <c r="C11044" s="115"/>
      <c r="D11044" s="115"/>
      <c r="E11044" s="115"/>
    </row>
    <row r="11045" spans="1:5" ht="13">
      <c r="A11045" s="115"/>
      <c r="B11045" s="115"/>
      <c r="C11045" s="115"/>
      <c r="D11045" s="115"/>
      <c r="E11045" s="115"/>
    </row>
    <row r="11046" spans="1:5" ht="13">
      <c r="A11046" s="115"/>
      <c r="B11046" s="115"/>
      <c r="C11046" s="115"/>
      <c r="D11046" s="115"/>
      <c r="E11046" s="115"/>
    </row>
    <row r="11047" spans="1:5" ht="13">
      <c r="A11047" s="115"/>
      <c r="B11047" s="115"/>
      <c r="C11047" s="115"/>
      <c r="D11047" s="115"/>
      <c r="E11047" s="115"/>
    </row>
    <row r="11048" spans="1:5" ht="13">
      <c r="A11048" s="115"/>
      <c r="B11048" s="115"/>
      <c r="C11048" s="115"/>
      <c r="D11048" s="115"/>
      <c r="E11048" s="115"/>
    </row>
    <row r="11049" spans="1:5" ht="13">
      <c r="A11049" s="115"/>
      <c r="B11049" s="115"/>
      <c r="C11049" s="115"/>
      <c r="D11049" s="115"/>
      <c r="E11049" s="115"/>
    </row>
    <row r="11050" spans="1:5" ht="13">
      <c r="A11050" s="115"/>
      <c r="B11050" s="115"/>
      <c r="C11050" s="115"/>
      <c r="D11050" s="115"/>
      <c r="E11050" s="115"/>
    </row>
    <row r="11051" spans="1:5" ht="13">
      <c r="A11051" s="115"/>
      <c r="B11051" s="115"/>
      <c r="C11051" s="115"/>
      <c r="D11051" s="115"/>
      <c r="E11051" s="115"/>
    </row>
    <row r="11052" spans="1:5" ht="13">
      <c r="A11052" s="115"/>
      <c r="B11052" s="115"/>
      <c r="C11052" s="115"/>
      <c r="D11052" s="115"/>
      <c r="E11052" s="115"/>
    </row>
    <row r="11053" spans="1:5" ht="13">
      <c r="A11053" s="115"/>
      <c r="B11053" s="115"/>
      <c r="C11053" s="115"/>
      <c r="D11053" s="115"/>
      <c r="E11053" s="115"/>
    </row>
    <row r="11054" spans="1:5" ht="13">
      <c r="A11054" s="115"/>
      <c r="B11054" s="115"/>
      <c r="C11054" s="115"/>
      <c r="D11054" s="115"/>
      <c r="E11054" s="115"/>
    </row>
    <row r="11055" spans="1:5" ht="13">
      <c r="A11055" s="115"/>
      <c r="B11055" s="115"/>
      <c r="C11055" s="115"/>
      <c r="D11055" s="115"/>
      <c r="E11055" s="115"/>
    </row>
    <row r="11056" spans="1:5" ht="13">
      <c r="A11056" s="115"/>
      <c r="B11056" s="115"/>
      <c r="C11056" s="115"/>
      <c r="D11056" s="115"/>
      <c r="E11056" s="115"/>
    </row>
    <row r="11057" spans="1:5" ht="13">
      <c r="A11057" s="115"/>
      <c r="B11057" s="115"/>
      <c r="C11057" s="115"/>
      <c r="D11057" s="115"/>
      <c r="E11057" s="115"/>
    </row>
    <row r="11058" spans="1:5" ht="13">
      <c r="A11058" s="115"/>
      <c r="B11058" s="115"/>
      <c r="C11058" s="115"/>
      <c r="D11058" s="115"/>
      <c r="E11058" s="115"/>
    </row>
    <row r="11059" spans="1:5" ht="13">
      <c r="A11059" s="115"/>
      <c r="B11059" s="115"/>
      <c r="C11059" s="115"/>
      <c r="D11059" s="115"/>
      <c r="E11059" s="115"/>
    </row>
    <row r="11060" spans="1:5" ht="13">
      <c r="A11060" s="115"/>
      <c r="B11060" s="115"/>
      <c r="C11060" s="115"/>
      <c r="D11060" s="115"/>
      <c r="E11060" s="115"/>
    </row>
    <row r="11061" spans="1:5" ht="13">
      <c r="A11061" s="115"/>
      <c r="B11061" s="115"/>
      <c r="C11061" s="115"/>
      <c r="D11061" s="115"/>
      <c r="E11061" s="115"/>
    </row>
    <row r="11062" spans="1:5" ht="13">
      <c r="A11062" s="115"/>
      <c r="B11062" s="115"/>
      <c r="C11062" s="115"/>
      <c r="D11062" s="115"/>
      <c r="E11062" s="115"/>
    </row>
    <row r="11063" spans="1:5" ht="13">
      <c r="A11063" s="115"/>
      <c r="B11063" s="115"/>
      <c r="C11063" s="115"/>
      <c r="D11063" s="115"/>
      <c r="E11063" s="115"/>
    </row>
    <row r="11064" spans="1:5" ht="13">
      <c r="A11064" s="115"/>
      <c r="B11064" s="115"/>
      <c r="C11064" s="115"/>
      <c r="D11064" s="115"/>
      <c r="E11064" s="115"/>
    </row>
    <row r="11065" spans="1:5" ht="13">
      <c r="A11065" s="115"/>
      <c r="B11065" s="115"/>
      <c r="C11065" s="115"/>
      <c r="D11065" s="115"/>
      <c r="E11065" s="115"/>
    </row>
    <row r="11066" spans="1:5" ht="13">
      <c r="A11066" s="115"/>
      <c r="B11066" s="115"/>
      <c r="C11066" s="115"/>
      <c r="D11066" s="115"/>
      <c r="E11066" s="115"/>
    </row>
    <row r="11067" spans="1:5" ht="13">
      <c r="A11067" s="115"/>
      <c r="B11067" s="115"/>
      <c r="C11067" s="115"/>
      <c r="D11067" s="115"/>
      <c r="E11067" s="115"/>
    </row>
    <row r="11068" spans="1:5" ht="13">
      <c r="A11068" s="115"/>
      <c r="B11068" s="115"/>
      <c r="C11068" s="115"/>
      <c r="D11068" s="115"/>
      <c r="E11068" s="115"/>
    </row>
    <row r="11069" spans="1:5" ht="13">
      <c r="A11069" s="115"/>
      <c r="B11069" s="115"/>
      <c r="C11069" s="115"/>
      <c r="D11069" s="115"/>
      <c r="E11069" s="115"/>
    </row>
    <row r="11070" spans="1:5" ht="13">
      <c r="A11070" s="115"/>
      <c r="B11070" s="115"/>
      <c r="C11070" s="115"/>
      <c r="D11070" s="115"/>
      <c r="E11070" s="115"/>
    </row>
    <row r="11071" spans="1:5" ht="13">
      <c r="A11071" s="115"/>
      <c r="B11071" s="115"/>
      <c r="C11071" s="115"/>
      <c r="D11071" s="115"/>
      <c r="E11071" s="115"/>
    </row>
    <row r="11072" spans="1:5" ht="13">
      <c r="A11072" s="115"/>
      <c r="B11072" s="115"/>
      <c r="C11072" s="115"/>
      <c r="D11072" s="115"/>
      <c r="E11072" s="115"/>
    </row>
    <row r="11073" spans="1:5" ht="13">
      <c r="A11073" s="115"/>
      <c r="B11073" s="115"/>
      <c r="C11073" s="115"/>
      <c r="D11073" s="115"/>
      <c r="E11073" s="115"/>
    </row>
    <row r="11074" spans="1:5" ht="13">
      <c r="A11074" s="115"/>
      <c r="B11074" s="115"/>
      <c r="C11074" s="115"/>
      <c r="D11074" s="115"/>
      <c r="E11074" s="115"/>
    </row>
    <row r="11075" spans="1:5" ht="13">
      <c r="A11075" s="115"/>
      <c r="B11075" s="115"/>
      <c r="C11075" s="115"/>
      <c r="D11075" s="115"/>
      <c r="E11075" s="115"/>
    </row>
    <row r="11076" spans="1:5" ht="13">
      <c r="A11076" s="115"/>
      <c r="B11076" s="115"/>
      <c r="C11076" s="115"/>
      <c r="D11076" s="115"/>
      <c r="E11076" s="115"/>
    </row>
    <row r="11077" spans="1:5" ht="13">
      <c r="A11077" s="115"/>
      <c r="B11077" s="115"/>
      <c r="C11077" s="115"/>
      <c r="D11077" s="115"/>
      <c r="E11077" s="115"/>
    </row>
    <row r="11078" spans="1:5" ht="13">
      <c r="A11078" s="115"/>
      <c r="B11078" s="115"/>
      <c r="C11078" s="115"/>
      <c r="D11078" s="115"/>
      <c r="E11078" s="115"/>
    </row>
    <row r="11079" spans="1:5" ht="13">
      <c r="A11079" s="115"/>
      <c r="B11079" s="115"/>
      <c r="C11079" s="115"/>
      <c r="D11079" s="115"/>
      <c r="E11079" s="115"/>
    </row>
    <row r="11080" spans="1:5" ht="13">
      <c r="A11080" s="115"/>
      <c r="B11080" s="115"/>
      <c r="C11080" s="115"/>
      <c r="D11080" s="115"/>
      <c r="E11080" s="115"/>
    </row>
    <row r="11081" spans="1:5" ht="13">
      <c r="A11081" s="115"/>
      <c r="B11081" s="115"/>
      <c r="C11081" s="115"/>
      <c r="D11081" s="115"/>
      <c r="E11081" s="115"/>
    </row>
    <row r="11082" spans="1:5" ht="13">
      <c r="A11082" s="115"/>
      <c r="B11082" s="115"/>
      <c r="C11082" s="115"/>
      <c r="D11082" s="115"/>
      <c r="E11082" s="115"/>
    </row>
    <row r="11083" spans="1:5" ht="13">
      <c r="A11083" s="115"/>
      <c r="B11083" s="115"/>
      <c r="C11083" s="115"/>
      <c r="D11083" s="115"/>
      <c r="E11083" s="115"/>
    </row>
    <row r="11084" spans="1:5" ht="13">
      <c r="A11084" s="115"/>
      <c r="B11084" s="115"/>
      <c r="C11084" s="115"/>
      <c r="D11084" s="115"/>
      <c r="E11084" s="115"/>
    </row>
    <row r="11085" spans="1:5" ht="13">
      <c r="A11085" s="115"/>
      <c r="B11085" s="115"/>
      <c r="C11085" s="115"/>
      <c r="D11085" s="115"/>
      <c r="E11085" s="115"/>
    </row>
    <row r="11086" spans="1:5" ht="13">
      <c r="A11086" s="115"/>
      <c r="B11086" s="115"/>
      <c r="C11086" s="115"/>
      <c r="D11086" s="115"/>
      <c r="E11086" s="115"/>
    </row>
    <row r="11087" spans="1:5" ht="13">
      <c r="A11087" s="115"/>
      <c r="B11087" s="115"/>
      <c r="C11087" s="115"/>
      <c r="D11087" s="115"/>
      <c r="E11087" s="115"/>
    </row>
    <row r="11088" spans="1:5" ht="13">
      <c r="A11088" s="115"/>
      <c r="B11088" s="115"/>
      <c r="C11088" s="115"/>
      <c r="D11088" s="115"/>
      <c r="E11088" s="115"/>
    </row>
    <row r="11089" spans="1:5" ht="13">
      <c r="A11089" s="115"/>
      <c r="B11089" s="115"/>
      <c r="C11089" s="115"/>
      <c r="D11089" s="115"/>
      <c r="E11089" s="115"/>
    </row>
    <row r="11090" spans="1:5" ht="13">
      <c r="A11090" s="115"/>
      <c r="B11090" s="115"/>
      <c r="C11090" s="115"/>
      <c r="D11090" s="115"/>
      <c r="E11090" s="115"/>
    </row>
    <row r="11091" spans="1:5" ht="13">
      <c r="A11091" s="115"/>
      <c r="B11091" s="115"/>
      <c r="C11091" s="115"/>
      <c r="D11091" s="115"/>
      <c r="E11091" s="115"/>
    </row>
    <row r="11092" spans="1:5" ht="13">
      <c r="A11092" s="115"/>
      <c r="B11092" s="115"/>
      <c r="C11092" s="115"/>
      <c r="D11092" s="115"/>
      <c r="E11092" s="115"/>
    </row>
    <row r="11093" spans="1:5" ht="13">
      <c r="A11093" s="115"/>
      <c r="B11093" s="115"/>
      <c r="C11093" s="115"/>
      <c r="D11093" s="115"/>
      <c r="E11093" s="115"/>
    </row>
    <row r="11094" spans="1:5" ht="13">
      <c r="A11094" s="115"/>
      <c r="B11094" s="115"/>
      <c r="C11094" s="115"/>
      <c r="D11094" s="115"/>
      <c r="E11094" s="115"/>
    </row>
    <row r="11095" spans="1:5" ht="13">
      <c r="A11095" s="115"/>
      <c r="B11095" s="115"/>
      <c r="C11095" s="115"/>
      <c r="D11095" s="115"/>
      <c r="E11095" s="115"/>
    </row>
    <row r="11096" spans="1:5" ht="13">
      <c r="A11096" s="115"/>
      <c r="B11096" s="115"/>
      <c r="C11096" s="115"/>
      <c r="D11096" s="115"/>
      <c r="E11096" s="115"/>
    </row>
    <row r="11097" spans="1:5" ht="13">
      <c r="A11097" s="115"/>
      <c r="B11097" s="115"/>
      <c r="C11097" s="115"/>
      <c r="D11097" s="115"/>
      <c r="E11097" s="115"/>
    </row>
    <row r="11098" spans="1:5" ht="13">
      <c r="A11098" s="115"/>
      <c r="B11098" s="115"/>
      <c r="C11098" s="115"/>
      <c r="D11098" s="115"/>
      <c r="E11098" s="115"/>
    </row>
    <row r="11099" spans="1:5" ht="13">
      <c r="A11099" s="115"/>
      <c r="B11099" s="115"/>
      <c r="C11099" s="115"/>
      <c r="D11099" s="115"/>
      <c r="E11099" s="115"/>
    </row>
    <row r="11100" spans="1:5" ht="13">
      <c r="A11100" s="115"/>
      <c r="B11100" s="115"/>
      <c r="C11100" s="115"/>
      <c r="D11100" s="115"/>
      <c r="E11100" s="115"/>
    </row>
    <row r="11101" spans="1:5" ht="13">
      <c r="A11101" s="115"/>
      <c r="B11101" s="115"/>
      <c r="C11101" s="115"/>
      <c r="D11101" s="115"/>
      <c r="E11101" s="115"/>
    </row>
    <row r="11102" spans="1:5" ht="13">
      <c r="A11102" s="115"/>
      <c r="B11102" s="115"/>
      <c r="C11102" s="115"/>
      <c r="D11102" s="115"/>
      <c r="E11102" s="115"/>
    </row>
    <row r="11103" spans="1:5" ht="13">
      <c r="A11103" s="115"/>
      <c r="B11103" s="115"/>
      <c r="C11103" s="115"/>
      <c r="D11103" s="115"/>
      <c r="E11103" s="115"/>
    </row>
    <row r="11104" spans="1:5" ht="13">
      <c r="A11104" s="115"/>
      <c r="B11104" s="115"/>
      <c r="C11104" s="115"/>
      <c r="D11104" s="115"/>
      <c r="E11104" s="115"/>
    </row>
    <row r="11105" spans="1:5" ht="13">
      <c r="A11105" s="115"/>
      <c r="B11105" s="115"/>
      <c r="C11105" s="115"/>
      <c r="D11105" s="115"/>
      <c r="E11105" s="115"/>
    </row>
    <row r="11106" spans="1:5" ht="13">
      <c r="A11106" s="115"/>
      <c r="B11106" s="115"/>
      <c r="C11106" s="115"/>
      <c r="D11106" s="115"/>
      <c r="E11106" s="115"/>
    </row>
    <row r="11107" spans="1:5" ht="13">
      <c r="A11107" s="115"/>
      <c r="B11107" s="115"/>
      <c r="C11107" s="115"/>
      <c r="D11107" s="115"/>
      <c r="E11107" s="115"/>
    </row>
    <row r="11108" spans="1:5" ht="13">
      <c r="A11108" s="115"/>
      <c r="B11108" s="115"/>
      <c r="C11108" s="115"/>
      <c r="D11108" s="115"/>
      <c r="E11108" s="115"/>
    </row>
    <row r="11109" spans="1:5" ht="13">
      <c r="A11109" s="115"/>
      <c r="B11109" s="115"/>
      <c r="C11109" s="115"/>
      <c r="D11109" s="115"/>
      <c r="E11109" s="115"/>
    </row>
    <row r="11110" spans="1:5" ht="13">
      <c r="A11110" s="115"/>
      <c r="B11110" s="115"/>
      <c r="C11110" s="115"/>
      <c r="D11110" s="115"/>
      <c r="E11110" s="115"/>
    </row>
    <row r="11111" spans="1:5" ht="13">
      <c r="A11111" s="115"/>
      <c r="B11111" s="115"/>
      <c r="C11111" s="115"/>
      <c r="D11111" s="115"/>
      <c r="E11111" s="115"/>
    </row>
    <row r="11112" spans="1:5" ht="13">
      <c r="A11112" s="115"/>
      <c r="B11112" s="115"/>
      <c r="C11112" s="115"/>
      <c r="D11112" s="115"/>
      <c r="E11112" s="115"/>
    </row>
    <row r="11113" spans="1:5" ht="13">
      <c r="A11113" s="115"/>
      <c r="B11113" s="115"/>
      <c r="C11113" s="115"/>
      <c r="D11113" s="115"/>
      <c r="E11113" s="115"/>
    </row>
    <row r="11114" spans="1:5" ht="13">
      <c r="A11114" s="115"/>
      <c r="B11114" s="115"/>
      <c r="C11114" s="115"/>
      <c r="D11114" s="115"/>
      <c r="E11114" s="115"/>
    </row>
    <row r="11115" spans="1:5" ht="13">
      <c r="A11115" s="115"/>
      <c r="B11115" s="115"/>
      <c r="C11115" s="115"/>
      <c r="D11115" s="115"/>
      <c r="E11115" s="115"/>
    </row>
    <row r="11116" spans="1:5" ht="13">
      <c r="A11116" s="115"/>
      <c r="B11116" s="115"/>
      <c r="C11116" s="115"/>
      <c r="D11116" s="115"/>
      <c r="E11116" s="115"/>
    </row>
    <row r="11117" spans="1:5" ht="13">
      <c r="A11117" s="115"/>
      <c r="B11117" s="115"/>
      <c r="C11117" s="115"/>
      <c r="D11117" s="115"/>
      <c r="E11117" s="115"/>
    </row>
    <row r="11118" spans="1:5" ht="13">
      <c r="A11118" s="115"/>
      <c r="B11118" s="115"/>
      <c r="C11118" s="115"/>
      <c r="D11118" s="115"/>
      <c r="E11118" s="115"/>
    </row>
    <row r="11119" spans="1:5" ht="13">
      <c r="A11119" s="115"/>
      <c r="B11119" s="115"/>
      <c r="C11119" s="115"/>
      <c r="D11119" s="115"/>
      <c r="E11119" s="115"/>
    </row>
    <row r="11120" spans="1:5" ht="13">
      <c r="A11120" s="115"/>
      <c r="B11120" s="115"/>
      <c r="C11120" s="115"/>
      <c r="D11120" s="115"/>
      <c r="E11120" s="115"/>
    </row>
    <row r="11121" spans="1:5" ht="13">
      <c r="A11121" s="115"/>
      <c r="B11121" s="115"/>
      <c r="C11121" s="115"/>
      <c r="D11121" s="115"/>
      <c r="E11121" s="115"/>
    </row>
    <row r="11122" spans="1:5" ht="13">
      <c r="A11122" s="115"/>
      <c r="B11122" s="115"/>
      <c r="C11122" s="115"/>
      <c r="D11122" s="115"/>
      <c r="E11122" s="115"/>
    </row>
    <row r="11123" spans="1:5" ht="13">
      <c r="A11123" s="115"/>
      <c r="B11123" s="115"/>
      <c r="C11123" s="115"/>
      <c r="D11123" s="115"/>
      <c r="E11123" s="115"/>
    </row>
    <row r="11124" spans="1:5" ht="13">
      <c r="A11124" s="115"/>
      <c r="B11124" s="115"/>
      <c r="C11124" s="115"/>
      <c r="D11124" s="115"/>
      <c r="E11124" s="115"/>
    </row>
    <row r="11125" spans="1:5" ht="13">
      <c r="A11125" s="115"/>
      <c r="B11125" s="115"/>
      <c r="C11125" s="115"/>
      <c r="D11125" s="115"/>
      <c r="E11125" s="115"/>
    </row>
    <row r="11126" spans="1:5" ht="13">
      <c r="A11126" s="115"/>
      <c r="B11126" s="115"/>
      <c r="C11126" s="115"/>
      <c r="D11126" s="115"/>
      <c r="E11126" s="115"/>
    </row>
    <row r="11127" spans="1:5" ht="13">
      <c r="A11127" s="115"/>
      <c r="B11127" s="115"/>
      <c r="C11127" s="115"/>
      <c r="D11127" s="115"/>
      <c r="E11127" s="115"/>
    </row>
    <row r="11128" spans="1:5" ht="13">
      <c r="A11128" s="115"/>
      <c r="B11128" s="115"/>
      <c r="C11128" s="115"/>
      <c r="D11128" s="115"/>
      <c r="E11128" s="115"/>
    </row>
    <row r="11129" spans="1:5" ht="13">
      <c r="A11129" s="115"/>
      <c r="B11129" s="115"/>
      <c r="C11129" s="115"/>
      <c r="D11129" s="115"/>
      <c r="E11129" s="115"/>
    </row>
    <row r="11130" spans="1:5" ht="13">
      <c r="A11130" s="115"/>
      <c r="B11130" s="115"/>
      <c r="C11130" s="115"/>
      <c r="D11130" s="115"/>
      <c r="E11130" s="115"/>
    </row>
    <row r="11131" spans="1:5" ht="13">
      <c r="A11131" s="115"/>
      <c r="B11131" s="115"/>
      <c r="C11131" s="115"/>
      <c r="D11131" s="115"/>
      <c r="E11131" s="115"/>
    </row>
    <row r="11132" spans="1:5" ht="13">
      <c r="A11132" s="115"/>
      <c r="B11132" s="115"/>
      <c r="C11132" s="115"/>
      <c r="D11132" s="115"/>
      <c r="E11132" s="115"/>
    </row>
    <row r="11133" spans="1:5" ht="13">
      <c r="A11133" s="115"/>
      <c r="B11133" s="115"/>
      <c r="C11133" s="115"/>
      <c r="D11133" s="115"/>
      <c r="E11133" s="115"/>
    </row>
    <row r="11134" spans="1:5" ht="13">
      <c r="A11134" s="115"/>
      <c r="B11134" s="115"/>
      <c r="C11134" s="115"/>
      <c r="D11134" s="115"/>
      <c r="E11134" s="115"/>
    </row>
    <row r="11135" spans="1:5" ht="13">
      <c r="A11135" s="115"/>
      <c r="B11135" s="115"/>
      <c r="C11135" s="115"/>
      <c r="D11135" s="115"/>
      <c r="E11135" s="115"/>
    </row>
    <row r="11136" spans="1:5" ht="13">
      <c r="A11136" s="115"/>
      <c r="B11136" s="115"/>
      <c r="C11136" s="115"/>
      <c r="D11136" s="115"/>
      <c r="E11136" s="115"/>
    </row>
    <row r="11137" spans="1:5" ht="13">
      <c r="A11137" s="115"/>
      <c r="B11137" s="115"/>
      <c r="C11137" s="115"/>
      <c r="D11137" s="115"/>
      <c r="E11137" s="115"/>
    </row>
    <row r="11138" spans="1:5" ht="13">
      <c r="A11138" s="115"/>
      <c r="B11138" s="115"/>
      <c r="C11138" s="115"/>
      <c r="D11138" s="115"/>
      <c r="E11138" s="115"/>
    </row>
    <row r="11139" spans="1:5" ht="13">
      <c r="A11139" s="115"/>
      <c r="B11139" s="115"/>
      <c r="C11139" s="115"/>
      <c r="D11139" s="115"/>
      <c r="E11139" s="115"/>
    </row>
    <row r="11140" spans="1:5" ht="13">
      <c r="A11140" s="115"/>
      <c r="B11140" s="115"/>
      <c r="C11140" s="115"/>
      <c r="D11140" s="115"/>
      <c r="E11140" s="115"/>
    </row>
    <row r="11141" spans="1:5" ht="13">
      <c r="A11141" s="115"/>
      <c r="B11141" s="115"/>
      <c r="C11141" s="115"/>
      <c r="D11141" s="115"/>
      <c r="E11141" s="115"/>
    </row>
    <row r="11142" spans="1:5" ht="13">
      <c r="A11142" s="115"/>
      <c r="B11142" s="115"/>
      <c r="C11142" s="115"/>
      <c r="D11142" s="115"/>
      <c r="E11142" s="115"/>
    </row>
    <row r="11143" spans="1:5" ht="13">
      <c r="A11143" s="115"/>
      <c r="B11143" s="115"/>
      <c r="C11143" s="115"/>
      <c r="D11143" s="115"/>
      <c r="E11143" s="115"/>
    </row>
    <row r="11144" spans="1:5" ht="13">
      <c r="A11144" s="115"/>
      <c r="B11144" s="115"/>
      <c r="C11144" s="115"/>
      <c r="D11144" s="115"/>
      <c r="E11144" s="115"/>
    </row>
    <row r="11145" spans="1:5" ht="13">
      <c r="A11145" s="115"/>
      <c r="B11145" s="115"/>
      <c r="C11145" s="115"/>
      <c r="D11145" s="115"/>
      <c r="E11145" s="115"/>
    </row>
    <row r="11146" spans="1:5" ht="13">
      <c r="A11146" s="115"/>
      <c r="B11146" s="115"/>
      <c r="C11146" s="115"/>
      <c r="D11146" s="115"/>
      <c r="E11146" s="115"/>
    </row>
    <row r="11147" spans="1:5" ht="13">
      <c r="A11147" s="115"/>
      <c r="B11147" s="115"/>
      <c r="C11147" s="115"/>
      <c r="D11147" s="115"/>
      <c r="E11147" s="115"/>
    </row>
    <row r="11148" spans="1:5" ht="13">
      <c r="A11148" s="115"/>
      <c r="B11148" s="115"/>
      <c r="C11148" s="115"/>
      <c r="D11148" s="115"/>
      <c r="E11148" s="115"/>
    </row>
    <row r="11149" spans="1:5" ht="13">
      <c r="A11149" s="115"/>
      <c r="B11149" s="115"/>
      <c r="C11149" s="115"/>
      <c r="D11149" s="115"/>
      <c r="E11149" s="115"/>
    </row>
    <row r="11150" spans="1:5" ht="13">
      <c r="A11150" s="115"/>
      <c r="B11150" s="115"/>
      <c r="C11150" s="115"/>
      <c r="D11150" s="115"/>
      <c r="E11150" s="115"/>
    </row>
    <row r="11151" spans="1:5" ht="13">
      <c r="A11151" s="115"/>
      <c r="B11151" s="115"/>
      <c r="C11151" s="115"/>
      <c r="D11151" s="115"/>
      <c r="E11151" s="115"/>
    </row>
    <row r="11152" spans="1:5" ht="13">
      <c r="A11152" s="115"/>
      <c r="B11152" s="115"/>
      <c r="C11152" s="115"/>
      <c r="D11152" s="115"/>
      <c r="E11152" s="115"/>
    </row>
    <row r="11153" spans="1:5" ht="13">
      <c r="A11153" s="115"/>
      <c r="B11153" s="115"/>
      <c r="C11153" s="115"/>
      <c r="D11153" s="115"/>
      <c r="E11153" s="115"/>
    </row>
    <row r="11154" spans="1:5" ht="13">
      <c r="A11154" s="115"/>
      <c r="B11154" s="115"/>
      <c r="C11154" s="115"/>
      <c r="D11154" s="115"/>
      <c r="E11154" s="115"/>
    </row>
    <row r="11155" spans="1:5" ht="13">
      <c r="A11155" s="115"/>
      <c r="B11155" s="115"/>
      <c r="C11155" s="115"/>
      <c r="D11155" s="115"/>
      <c r="E11155" s="115"/>
    </row>
    <row r="11156" spans="1:5" ht="13">
      <c r="A11156" s="115"/>
      <c r="B11156" s="115"/>
      <c r="C11156" s="115"/>
      <c r="D11156" s="115"/>
      <c r="E11156" s="115"/>
    </row>
    <row r="11157" spans="1:5" ht="13">
      <c r="A11157" s="115"/>
      <c r="B11157" s="115"/>
      <c r="C11157" s="115"/>
      <c r="D11157" s="115"/>
      <c r="E11157" s="115"/>
    </row>
    <row r="11158" spans="1:5" ht="13">
      <c r="A11158" s="115"/>
      <c r="B11158" s="115"/>
      <c r="C11158" s="115"/>
      <c r="D11158" s="115"/>
      <c r="E11158" s="115"/>
    </row>
    <row r="11159" spans="1:5" ht="13">
      <c r="A11159" s="115"/>
      <c r="B11159" s="115"/>
      <c r="C11159" s="115"/>
      <c r="D11159" s="115"/>
      <c r="E11159" s="115"/>
    </row>
    <row r="11160" spans="1:5" ht="13">
      <c r="A11160" s="115"/>
      <c r="B11160" s="115"/>
      <c r="C11160" s="115"/>
      <c r="D11160" s="115"/>
      <c r="E11160" s="115"/>
    </row>
    <row r="11161" spans="1:5" ht="13">
      <c r="A11161" s="115"/>
      <c r="B11161" s="115"/>
      <c r="C11161" s="115"/>
      <c r="D11161" s="115"/>
      <c r="E11161" s="115"/>
    </row>
    <row r="11162" spans="1:5" ht="13">
      <c r="A11162" s="115"/>
      <c r="B11162" s="115"/>
      <c r="C11162" s="115"/>
      <c r="D11162" s="115"/>
      <c r="E11162" s="115"/>
    </row>
    <row r="11163" spans="1:5" ht="13">
      <c r="A11163" s="115"/>
      <c r="B11163" s="115"/>
      <c r="C11163" s="115"/>
      <c r="D11163" s="115"/>
      <c r="E11163" s="115"/>
    </row>
    <row r="11164" spans="1:5" ht="13">
      <c r="A11164" s="115"/>
      <c r="B11164" s="115"/>
      <c r="C11164" s="115"/>
      <c r="D11164" s="115"/>
      <c r="E11164" s="115"/>
    </row>
    <row r="11165" spans="1:5" ht="13">
      <c r="A11165" s="115"/>
      <c r="B11165" s="115"/>
      <c r="C11165" s="115"/>
      <c r="D11165" s="115"/>
      <c r="E11165" s="115"/>
    </row>
    <row r="11166" spans="1:5" ht="13">
      <c r="A11166" s="115"/>
      <c r="B11166" s="115"/>
      <c r="C11166" s="115"/>
      <c r="D11166" s="115"/>
      <c r="E11166" s="115"/>
    </row>
    <row r="11167" spans="1:5" ht="13">
      <c r="A11167" s="115"/>
      <c r="B11167" s="115"/>
      <c r="C11167" s="115"/>
      <c r="D11167" s="115"/>
      <c r="E11167" s="115"/>
    </row>
    <row r="11168" spans="1:5" ht="13">
      <c r="A11168" s="115"/>
      <c r="B11168" s="115"/>
      <c r="C11168" s="115"/>
      <c r="D11168" s="115"/>
      <c r="E11168" s="115"/>
    </row>
    <row r="11169" spans="1:5" ht="13">
      <c r="A11169" s="115"/>
      <c r="B11169" s="115"/>
      <c r="C11169" s="115"/>
      <c r="D11169" s="115"/>
      <c r="E11169" s="115"/>
    </row>
    <row r="11170" spans="1:5" ht="13">
      <c r="A11170" s="115"/>
      <c r="B11170" s="115"/>
      <c r="C11170" s="115"/>
      <c r="D11170" s="115"/>
      <c r="E11170" s="115"/>
    </row>
    <row r="11171" spans="1:5" ht="13">
      <c r="A11171" s="115"/>
      <c r="B11171" s="115"/>
      <c r="C11171" s="115"/>
      <c r="D11171" s="115"/>
      <c r="E11171" s="115"/>
    </row>
    <row r="11172" spans="1:5" ht="13">
      <c r="A11172" s="115"/>
      <c r="B11172" s="115"/>
      <c r="C11172" s="115"/>
      <c r="D11172" s="115"/>
      <c r="E11172" s="115"/>
    </row>
    <row r="11173" spans="1:5" ht="13">
      <c r="A11173" s="115"/>
      <c r="B11173" s="115"/>
      <c r="C11173" s="115"/>
      <c r="D11173" s="115"/>
      <c r="E11173" s="115"/>
    </row>
    <row r="11174" spans="1:5" ht="13">
      <c r="A11174" s="115"/>
      <c r="B11174" s="115"/>
      <c r="C11174" s="115"/>
      <c r="D11174" s="115"/>
      <c r="E11174" s="115"/>
    </row>
    <row r="11175" spans="1:5" ht="13">
      <c r="A11175" s="115"/>
      <c r="B11175" s="115"/>
      <c r="C11175" s="115"/>
      <c r="D11175" s="115"/>
      <c r="E11175" s="115"/>
    </row>
    <row r="11176" spans="1:5" ht="13">
      <c r="A11176" s="115"/>
      <c r="B11176" s="115"/>
      <c r="C11176" s="115"/>
      <c r="D11176" s="115"/>
      <c r="E11176" s="115"/>
    </row>
    <row r="11177" spans="1:5" ht="13">
      <c r="A11177" s="115"/>
      <c r="B11177" s="115"/>
      <c r="C11177" s="115"/>
      <c r="D11177" s="115"/>
      <c r="E11177" s="115"/>
    </row>
    <row r="11178" spans="1:5" ht="13">
      <c r="A11178" s="115"/>
      <c r="B11178" s="115"/>
      <c r="C11178" s="115"/>
      <c r="D11178" s="115"/>
      <c r="E11178" s="115"/>
    </row>
    <row r="11179" spans="1:5" ht="13">
      <c r="A11179" s="115"/>
      <c r="B11179" s="115"/>
      <c r="C11179" s="115"/>
      <c r="D11179" s="115"/>
      <c r="E11179" s="115"/>
    </row>
    <row r="11180" spans="1:5" ht="13">
      <c r="A11180" s="115"/>
      <c r="B11180" s="115"/>
      <c r="C11180" s="115"/>
      <c r="D11180" s="115"/>
      <c r="E11180" s="115"/>
    </row>
    <row r="11181" spans="1:5" ht="13">
      <c r="A11181" s="115"/>
      <c r="B11181" s="115"/>
      <c r="C11181" s="115"/>
      <c r="D11181" s="115"/>
      <c r="E11181" s="115"/>
    </row>
    <row r="11182" spans="1:5" ht="13">
      <c r="A11182" s="115"/>
      <c r="B11182" s="115"/>
      <c r="C11182" s="115"/>
      <c r="D11182" s="115"/>
      <c r="E11182" s="115"/>
    </row>
    <row r="11183" spans="1:5" ht="13">
      <c r="A11183" s="115"/>
      <c r="B11183" s="115"/>
      <c r="C11183" s="115"/>
      <c r="D11183" s="115"/>
      <c r="E11183" s="115"/>
    </row>
    <row r="11184" spans="1:5" ht="13">
      <c r="A11184" s="115"/>
      <c r="B11184" s="115"/>
      <c r="C11184" s="115"/>
      <c r="D11184" s="115"/>
      <c r="E11184" s="115"/>
    </row>
    <row r="11185" spans="1:5" ht="13">
      <c r="A11185" s="115"/>
      <c r="B11185" s="115"/>
      <c r="C11185" s="115"/>
      <c r="D11185" s="115"/>
      <c r="E11185" s="115"/>
    </row>
    <row r="11186" spans="1:5" ht="13">
      <c r="A11186" s="115"/>
      <c r="B11186" s="115"/>
      <c r="C11186" s="115"/>
      <c r="D11186" s="115"/>
      <c r="E11186" s="115"/>
    </row>
    <row r="11187" spans="1:5" ht="13">
      <c r="A11187" s="115"/>
      <c r="B11187" s="115"/>
      <c r="C11187" s="115"/>
      <c r="D11187" s="115"/>
      <c r="E11187" s="115"/>
    </row>
    <row r="11188" spans="1:5" ht="13">
      <c r="A11188" s="115"/>
      <c r="B11188" s="115"/>
      <c r="C11188" s="115"/>
      <c r="D11188" s="115"/>
      <c r="E11188" s="115"/>
    </row>
    <row r="11189" spans="1:5" ht="13">
      <c r="A11189" s="115"/>
      <c r="B11189" s="115"/>
      <c r="C11189" s="115"/>
      <c r="D11189" s="115"/>
      <c r="E11189" s="115"/>
    </row>
    <row r="11190" spans="1:5" ht="13">
      <c r="A11190" s="115"/>
      <c r="B11190" s="115"/>
      <c r="C11190" s="115"/>
      <c r="D11190" s="115"/>
      <c r="E11190" s="115"/>
    </row>
    <row r="11191" spans="1:5" ht="13">
      <c r="A11191" s="115"/>
      <c r="B11191" s="115"/>
      <c r="C11191" s="115"/>
      <c r="D11191" s="115"/>
      <c r="E11191" s="115"/>
    </row>
    <row r="11192" spans="1:5" ht="13">
      <c r="A11192" s="115"/>
      <c r="B11192" s="115"/>
      <c r="C11192" s="115"/>
      <c r="D11192" s="115"/>
      <c r="E11192" s="115"/>
    </row>
    <row r="11193" spans="1:5" ht="13">
      <c r="A11193" s="115"/>
      <c r="B11193" s="115"/>
      <c r="C11193" s="115"/>
      <c r="D11193" s="115"/>
      <c r="E11193" s="115"/>
    </row>
    <row r="11194" spans="1:5" ht="13">
      <c r="A11194" s="115"/>
      <c r="B11194" s="115"/>
      <c r="C11194" s="115"/>
      <c r="D11194" s="115"/>
      <c r="E11194" s="115"/>
    </row>
    <row r="11195" spans="1:5" ht="13">
      <c r="A11195" s="115"/>
      <c r="B11195" s="115"/>
      <c r="C11195" s="115"/>
      <c r="D11195" s="115"/>
      <c r="E11195" s="115"/>
    </row>
    <row r="11196" spans="1:5" ht="13">
      <c r="A11196" s="115"/>
      <c r="B11196" s="115"/>
      <c r="C11196" s="115"/>
      <c r="D11196" s="115"/>
      <c r="E11196" s="115"/>
    </row>
    <row r="11197" spans="1:5" ht="13">
      <c r="A11197" s="115"/>
      <c r="B11197" s="115"/>
      <c r="C11197" s="115"/>
      <c r="D11197" s="115"/>
      <c r="E11197" s="115"/>
    </row>
    <row r="11198" spans="1:5" ht="13">
      <c r="A11198" s="115"/>
      <c r="B11198" s="115"/>
      <c r="C11198" s="115"/>
      <c r="D11198" s="115"/>
      <c r="E11198" s="115"/>
    </row>
    <row r="11199" spans="1:5" ht="13">
      <c r="A11199" s="115"/>
      <c r="B11199" s="115"/>
      <c r="C11199" s="115"/>
      <c r="D11199" s="115"/>
      <c r="E11199" s="115"/>
    </row>
    <row r="11200" spans="1:5" ht="13">
      <c r="A11200" s="115"/>
      <c r="B11200" s="115"/>
      <c r="C11200" s="115"/>
      <c r="D11200" s="115"/>
      <c r="E11200" s="115"/>
    </row>
    <row r="11201" spans="1:5" ht="13">
      <c r="A11201" s="115"/>
      <c r="B11201" s="115"/>
      <c r="C11201" s="115"/>
      <c r="D11201" s="115"/>
      <c r="E11201" s="115"/>
    </row>
    <row r="11202" spans="1:5" ht="13">
      <c r="A11202" s="115"/>
      <c r="B11202" s="115"/>
      <c r="C11202" s="115"/>
      <c r="D11202" s="115"/>
      <c r="E11202" s="115"/>
    </row>
    <row r="11203" spans="1:5" ht="13">
      <c r="A11203" s="115"/>
      <c r="B11203" s="115"/>
      <c r="C11203" s="115"/>
      <c r="D11203" s="115"/>
      <c r="E11203" s="115"/>
    </row>
    <row r="11204" spans="1:5" ht="13">
      <c r="A11204" s="115"/>
      <c r="B11204" s="115"/>
      <c r="C11204" s="115"/>
      <c r="D11204" s="115"/>
      <c r="E11204" s="115"/>
    </row>
    <row r="11205" spans="1:5" ht="13">
      <c r="A11205" s="115"/>
      <c r="B11205" s="115"/>
      <c r="C11205" s="115"/>
      <c r="D11205" s="115"/>
      <c r="E11205" s="115"/>
    </row>
    <row r="11206" spans="1:5" ht="13">
      <c r="A11206" s="115"/>
      <c r="B11206" s="115"/>
      <c r="C11206" s="115"/>
      <c r="D11206" s="115"/>
      <c r="E11206" s="115"/>
    </row>
    <row r="11207" spans="1:5" ht="13">
      <c r="A11207" s="115"/>
      <c r="B11207" s="115"/>
      <c r="C11207" s="115"/>
      <c r="D11207" s="115"/>
      <c r="E11207" s="115"/>
    </row>
    <row r="11208" spans="1:5" ht="13">
      <c r="A11208" s="115"/>
      <c r="B11208" s="115"/>
      <c r="C11208" s="115"/>
      <c r="D11208" s="115"/>
      <c r="E11208" s="115"/>
    </row>
    <row r="11209" spans="1:5" ht="13">
      <c r="A11209" s="115"/>
      <c r="B11209" s="115"/>
      <c r="C11209" s="115"/>
      <c r="D11209" s="115"/>
      <c r="E11209" s="115"/>
    </row>
    <row r="11210" spans="1:5" ht="13">
      <c r="A11210" s="115"/>
      <c r="B11210" s="115"/>
      <c r="C11210" s="115"/>
      <c r="D11210" s="115"/>
      <c r="E11210" s="115"/>
    </row>
    <row r="11211" spans="1:5" ht="13">
      <c r="A11211" s="115"/>
      <c r="B11211" s="115"/>
      <c r="C11211" s="115"/>
      <c r="D11211" s="115"/>
      <c r="E11211" s="115"/>
    </row>
    <row r="11212" spans="1:5" ht="13">
      <c r="A11212" s="115"/>
      <c r="B11212" s="115"/>
      <c r="C11212" s="115"/>
      <c r="D11212" s="115"/>
      <c r="E11212" s="115"/>
    </row>
    <row r="11213" spans="1:5" ht="13">
      <c r="A11213" s="115"/>
      <c r="B11213" s="115"/>
      <c r="C11213" s="115"/>
      <c r="D11213" s="115"/>
      <c r="E11213" s="115"/>
    </row>
    <row r="11214" spans="1:5" ht="13">
      <c r="A11214" s="115"/>
      <c r="B11214" s="115"/>
      <c r="C11214" s="115"/>
      <c r="D11214" s="115"/>
      <c r="E11214" s="115"/>
    </row>
    <row r="11215" spans="1:5" ht="13">
      <c r="A11215" s="115"/>
      <c r="B11215" s="115"/>
      <c r="C11215" s="115"/>
      <c r="D11215" s="115"/>
      <c r="E11215" s="115"/>
    </row>
    <row r="11216" spans="1:5" ht="13">
      <c r="A11216" s="115"/>
      <c r="B11216" s="115"/>
      <c r="C11216" s="115"/>
      <c r="D11216" s="115"/>
      <c r="E11216" s="115"/>
    </row>
    <row r="11217" spans="1:5" ht="13">
      <c r="A11217" s="115"/>
      <c r="B11217" s="115"/>
      <c r="C11217" s="115"/>
      <c r="D11217" s="115"/>
      <c r="E11217" s="115"/>
    </row>
    <row r="11218" spans="1:5" ht="13">
      <c r="A11218" s="115"/>
      <c r="B11218" s="115"/>
      <c r="C11218" s="115"/>
      <c r="D11218" s="115"/>
      <c r="E11218" s="115"/>
    </row>
    <row r="11219" spans="1:5" ht="13">
      <c r="A11219" s="115"/>
      <c r="B11219" s="115"/>
      <c r="C11219" s="115"/>
      <c r="D11219" s="115"/>
      <c r="E11219" s="115"/>
    </row>
    <row r="11220" spans="1:5" ht="13">
      <c r="A11220" s="115"/>
      <c r="B11220" s="115"/>
      <c r="C11220" s="115"/>
      <c r="D11220" s="115"/>
      <c r="E11220" s="115"/>
    </row>
    <row r="11221" spans="1:5" ht="13">
      <c r="A11221" s="115"/>
      <c r="B11221" s="115"/>
      <c r="C11221" s="115"/>
      <c r="D11221" s="115"/>
      <c r="E11221" s="115"/>
    </row>
    <row r="11222" spans="1:5" ht="13">
      <c r="A11222" s="115"/>
      <c r="B11222" s="115"/>
      <c r="C11222" s="115"/>
      <c r="D11222" s="115"/>
      <c r="E11222" s="115"/>
    </row>
    <row r="11223" spans="1:5" ht="13">
      <c r="A11223" s="115"/>
      <c r="B11223" s="115"/>
      <c r="C11223" s="115"/>
      <c r="D11223" s="115"/>
      <c r="E11223" s="115"/>
    </row>
    <row r="11224" spans="1:5" ht="13">
      <c r="A11224" s="115"/>
      <c r="B11224" s="115"/>
      <c r="C11224" s="115"/>
      <c r="D11224" s="115"/>
      <c r="E11224" s="115"/>
    </row>
    <row r="11225" spans="1:5" ht="13">
      <c r="A11225" s="115"/>
      <c r="B11225" s="115"/>
      <c r="C11225" s="115"/>
      <c r="D11225" s="115"/>
      <c r="E11225" s="115"/>
    </row>
    <row r="11226" spans="1:5" ht="13">
      <c r="A11226" s="115"/>
      <c r="B11226" s="115"/>
      <c r="C11226" s="115"/>
      <c r="D11226" s="115"/>
      <c r="E11226" s="115"/>
    </row>
    <row r="11227" spans="1:5" ht="13">
      <c r="A11227" s="115"/>
      <c r="B11227" s="115"/>
      <c r="C11227" s="115"/>
      <c r="D11227" s="115"/>
      <c r="E11227" s="115"/>
    </row>
    <row r="11228" spans="1:5" ht="13">
      <c r="A11228" s="115"/>
      <c r="B11228" s="115"/>
      <c r="C11228" s="115"/>
      <c r="D11228" s="115"/>
      <c r="E11228" s="115"/>
    </row>
    <row r="11229" spans="1:5" ht="13">
      <c r="A11229" s="115"/>
      <c r="B11229" s="115"/>
      <c r="C11229" s="115"/>
      <c r="D11229" s="115"/>
      <c r="E11229" s="115"/>
    </row>
    <row r="11230" spans="1:5" ht="13">
      <c r="A11230" s="115"/>
      <c r="B11230" s="115"/>
      <c r="C11230" s="115"/>
      <c r="D11230" s="115"/>
      <c r="E11230" s="115"/>
    </row>
    <row r="11231" spans="1:5" ht="13">
      <c r="A11231" s="115"/>
      <c r="B11231" s="115"/>
      <c r="C11231" s="115"/>
      <c r="D11231" s="115"/>
      <c r="E11231" s="115"/>
    </row>
    <row r="11232" spans="1:5" ht="13">
      <c r="A11232" s="115"/>
      <c r="B11232" s="115"/>
      <c r="C11232" s="115"/>
      <c r="D11232" s="115"/>
      <c r="E11232" s="115"/>
    </row>
    <row r="11233" spans="1:5" ht="13">
      <c r="A11233" s="115"/>
      <c r="B11233" s="115"/>
      <c r="C11233" s="115"/>
      <c r="D11233" s="115"/>
      <c r="E11233" s="115"/>
    </row>
    <row r="11234" spans="1:5" ht="13">
      <c r="A11234" s="115"/>
      <c r="B11234" s="115"/>
      <c r="C11234" s="115"/>
      <c r="D11234" s="115"/>
      <c r="E11234" s="115"/>
    </row>
    <row r="11235" spans="1:5" ht="13">
      <c r="A11235" s="115"/>
      <c r="B11235" s="115"/>
      <c r="C11235" s="115"/>
      <c r="D11235" s="115"/>
      <c r="E11235" s="115"/>
    </row>
    <row r="11236" spans="1:5" ht="13">
      <c r="A11236" s="115"/>
      <c r="B11236" s="115"/>
      <c r="C11236" s="115"/>
      <c r="D11236" s="115"/>
      <c r="E11236" s="115"/>
    </row>
    <row r="11237" spans="1:5" ht="13">
      <c r="A11237" s="115"/>
      <c r="B11237" s="115"/>
      <c r="C11237" s="115"/>
      <c r="D11237" s="115"/>
      <c r="E11237" s="115"/>
    </row>
    <row r="11238" spans="1:5" ht="13">
      <c r="A11238" s="115"/>
      <c r="B11238" s="115"/>
      <c r="C11238" s="115"/>
      <c r="D11238" s="115"/>
      <c r="E11238" s="115"/>
    </row>
    <row r="11239" spans="1:5" ht="13">
      <c r="A11239" s="115"/>
      <c r="B11239" s="115"/>
      <c r="C11239" s="115"/>
      <c r="D11239" s="115"/>
      <c r="E11239" s="115"/>
    </row>
    <row r="11240" spans="1:5" ht="13">
      <c r="A11240" s="115"/>
      <c r="B11240" s="115"/>
      <c r="C11240" s="115"/>
      <c r="D11240" s="115"/>
      <c r="E11240" s="115"/>
    </row>
    <row r="11241" spans="1:5" ht="13">
      <c r="A11241" s="115"/>
      <c r="B11241" s="115"/>
      <c r="C11241" s="115"/>
      <c r="D11241" s="115"/>
      <c r="E11241" s="115"/>
    </row>
    <row r="11242" spans="1:5" ht="13">
      <c r="A11242" s="115"/>
      <c r="B11242" s="115"/>
      <c r="C11242" s="115"/>
      <c r="D11242" s="115"/>
      <c r="E11242" s="115"/>
    </row>
    <row r="11243" spans="1:5" ht="13">
      <c r="A11243" s="115"/>
      <c r="B11243" s="115"/>
      <c r="C11243" s="115"/>
      <c r="D11243" s="115"/>
      <c r="E11243" s="115"/>
    </row>
    <row r="11244" spans="1:5" ht="13">
      <c r="A11244" s="115"/>
      <c r="B11244" s="115"/>
      <c r="C11244" s="115"/>
      <c r="D11244" s="115"/>
      <c r="E11244" s="115"/>
    </row>
    <row r="11245" spans="1:5" ht="13">
      <c r="A11245" s="115"/>
      <c r="B11245" s="115"/>
      <c r="C11245" s="115"/>
      <c r="D11245" s="115"/>
      <c r="E11245" s="115"/>
    </row>
    <row r="11246" spans="1:5" ht="13">
      <c r="A11246" s="115"/>
      <c r="B11246" s="115"/>
      <c r="C11246" s="115"/>
      <c r="D11246" s="115"/>
      <c r="E11246" s="115"/>
    </row>
    <row r="11247" spans="1:5" ht="13">
      <c r="A11247" s="115"/>
      <c r="B11247" s="115"/>
      <c r="C11247" s="115"/>
      <c r="D11247" s="115"/>
      <c r="E11247" s="115"/>
    </row>
    <row r="11248" spans="1:5" ht="13">
      <c r="A11248" s="115"/>
      <c r="B11248" s="115"/>
      <c r="C11248" s="115"/>
      <c r="D11248" s="115"/>
      <c r="E11248" s="115"/>
    </row>
    <row r="11249" spans="1:5" ht="13">
      <c r="A11249" s="115"/>
      <c r="B11249" s="115"/>
      <c r="C11249" s="115"/>
      <c r="D11249" s="115"/>
      <c r="E11249" s="115"/>
    </row>
    <row r="11250" spans="1:5" ht="13">
      <c r="A11250" s="115"/>
      <c r="B11250" s="115"/>
      <c r="C11250" s="115"/>
      <c r="D11250" s="115"/>
      <c r="E11250" s="115"/>
    </row>
    <row r="11251" spans="1:5" ht="13">
      <c r="A11251" s="115"/>
      <c r="B11251" s="115"/>
      <c r="C11251" s="115"/>
      <c r="D11251" s="115"/>
      <c r="E11251" s="115"/>
    </row>
    <row r="11252" spans="1:5" ht="13">
      <c r="A11252" s="115"/>
      <c r="B11252" s="115"/>
      <c r="C11252" s="115"/>
      <c r="D11252" s="115"/>
      <c r="E11252" s="115"/>
    </row>
    <row r="11253" spans="1:5" ht="13">
      <c r="A11253" s="115"/>
      <c r="B11253" s="115"/>
      <c r="C11253" s="115"/>
      <c r="D11253" s="115"/>
      <c r="E11253" s="115"/>
    </row>
    <row r="11254" spans="1:5" ht="13">
      <c r="A11254" s="115"/>
      <c r="B11254" s="115"/>
      <c r="C11254" s="115"/>
      <c r="D11254" s="115"/>
      <c r="E11254" s="115"/>
    </row>
    <row r="11255" spans="1:5" ht="13">
      <c r="A11255" s="115"/>
      <c r="B11255" s="115"/>
      <c r="C11255" s="115"/>
      <c r="D11255" s="115"/>
      <c r="E11255" s="115"/>
    </row>
    <row r="11256" spans="1:5" ht="13">
      <c r="A11256" s="115"/>
      <c r="B11256" s="115"/>
      <c r="C11256" s="115"/>
      <c r="D11256" s="115"/>
      <c r="E11256" s="115"/>
    </row>
    <row r="11257" spans="1:5" ht="13">
      <c r="A11257" s="115"/>
      <c r="B11257" s="115"/>
      <c r="C11257" s="115"/>
      <c r="D11257" s="115"/>
      <c r="E11257" s="115"/>
    </row>
    <row r="11258" spans="1:5" ht="13">
      <c r="A11258" s="115"/>
      <c r="B11258" s="115"/>
      <c r="C11258" s="115"/>
      <c r="D11258" s="115"/>
      <c r="E11258" s="115"/>
    </row>
    <row r="11259" spans="1:5" ht="13">
      <c r="A11259" s="115"/>
      <c r="B11259" s="115"/>
      <c r="C11259" s="115"/>
      <c r="D11259" s="115"/>
      <c r="E11259" s="115"/>
    </row>
    <row r="11260" spans="1:5" ht="13">
      <c r="A11260" s="115"/>
      <c r="B11260" s="115"/>
      <c r="C11260" s="115"/>
      <c r="D11260" s="115"/>
      <c r="E11260" s="115"/>
    </row>
    <row r="11261" spans="1:5" ht="13">
      <c r="A11261" s="115"/>
      <c r="B11261" s="115"/>
      <c r="C11261" s="115"/>
      <c r="D11261" s="115"/>
      <c r="E11261" s="115"/>
    </row>
    <row r="11262" spans="1:5" ht="13">
      <c r="A11262" s="115"/>
      <c r="B11262" s="115"/>
      <c r="C11262" s="115"/>
      <c r="D11262" s="115"/>
      <c r="E11262" s="115"/>
    </row>
    <row r="11263" spans="1:5" ht="13">
      <c r="A11263" s="115"/>
      <c r="B11263" s="115"/>
      <c r="C11263" s="115"/>
      <c r="D11263" s="115"/>
      <c r="E11263" s="115"/>
    </row>
    <row r="11264" spans="1:5" ht="13">
      <c r="A11264" s="115"/>
      <c r="B11264" s="115"/>
      <c r="C11264" s="115"/>
      <c r="D11264" s="115"/>
      <c r="E11264" s="115"/>
    </row>
    <row r="11265" spans="1:5" ht="13">
      <c r="A11265" s="115"/>
      <c r="B11265" s="115"/>
      <c r="C11265" s="115"/>
      <c r="D11265" s="115"/>
      <c r="E11265" s="115"/>
    </row>
    <row r="11266" spans="1:5" ht="13">
      <c r="A11266" s="115"/>
      <c r="B11266" s="115"/>
      <c r="C11266" s="115"/>
      <c r="D11266" s="115"/>
      <c r="E11266" s="115"/>
    </row>
    <row r="11267" spans="1:5" ht="13">
      <c r="A11267" s="115"/>
      <c r="B11267" s="115"/>
      <c r="C11267" s="115"/>
      <c r="D11267" s="115"/>
      <c r="E11267" s="115"/>
    </row>
    <row r="11268" spans="1:5" ht="13">
      <c r="A11268" s="115"/>
      <c r="B11268" s="115"/>
      <c r="C11268" s="115"/>
      <c r="D11268" s="115"/>
      <c r="E11268" s="115"/>
    </row>
    <row r="11269" spans="1:5" ht="13">
      <c r="A11269" s="115"/>
      <c r="B11269" s="115"/>
      <c r="C11269" s="115"/>
      <c r="D11269" s="115"/>
      <c r="E11269" s="115"/>
    </row>
    <row r="11270" spans="1:5" ht="13">
      <c r="A11270" s="115"/>
      <c r="B11270" s="115"/>
      <c r="C11270" s="115"/>
      <c r="D11270" s="115"/>
      <c r="E11270" s="115"/>
    </row>
    <row r="11271" spans="1:5" ht="13">
      <c r="A11271" s="115"/>
      <c r="B11271" s="115"/>
      <c r="C11271" s="115"/>
      <c r="D11271" s="115"/>
      <c r="E11271" s="115"/>
    </row>
    <row r="11272" spans="1:5" ht="13">
      <c r="A11272" s="115"/>
      <c r="B11272" s="115"/>
      <c r="C11272" s="115"/>
      <c r="D11272" s="115"/>
      <c r="E11272" s="115"/>
    </row>
    <row r="11273" spans="1:5" ht="13">
      <c r="A11273" s="115"/>
      <c r="B11273" s="115"/>
      <c r="C11273" s="115"/>
      <c r="D11273" s="115"/>
      <c r="E11273" s="115"/>
    </row>
    <row r="11274" spans="1:5" ht="13">
      <c r="A11274" s="115"/>
      <c r="B11274" s="115"/>
      <c r="C11274" s="115"/>
      <c r="D11274" s="115"/>
      <c r="E11274" s="115"/>
    </row>
    <row r="11275" spans="1:5" ht="13">
      <c r="A11275" s="115"/>
      <c r="B11275" s="115"/>
      <c r="C11275" s="115"/>
      <c r="D11275" s="115"/>
      <c r="E11275" s="115"/>
    </row>
    <row r="11276" spans="1:5" ht="13">
      <c r="A11276" s="115"/>
      <c r="B11276" s="115"/>
      <c r="C11276" s="115"/>
      <c r="D11276" s="115"/>
      <c r="E11276" s="115"/>
    </row>
    <row r="11277" spans="1:5" ht="13">
      <c r="A11277" s="115"/>
      <c r="B11277" s="115"/>
      <c r="C11277" s="115"/>
      <c r="D11277" s="115"/>
      <c r="E11277" s="115"/>
    </row>
    <row r="11278" spans="1:5" ht="13">
      <c r="A11278" s="115"/>
      <c r="B11278" s="115"/>
      <c r="C11278" s="115"/>
      <c r="D11278" s="115"/>
      <c r="E11278" s="115"/>
    </row>
    <row r="11279" spans="1:5" ht="13">
      <c r="A11279" s="115"/>
      <c r="B11279" s="115"/>
      <c r="C11279" s="115"/>
      <c r="D11279" s="115"/>
      <c r="E11279" s="115"/>
    </row>
    <row r="11280" spans="1:5" ht="13">
      <c r="A11280" s="115"/>
      <c r="B11280" s="115"/>
      <c r="C11280" s="115"/>
      <c r="D11280" s="115"/>
      <c r="E11280" s="115"/>
    </row>
    <row r="11281" spans="1:5" ht="13">
      <c r="A11281" s="115"/>
      <c r="B11281" s="115"/>
      <c r="C11281" s="115"/>
      <c r="D11281" s="115"/>
      <c r="E11281" s="115"/>
    </row>
    <row r="11282" spans="1:5" ht="13">
      <c r="A11282" s="115"/>
      <c r="B11282" s="115"/>
      <c r="C11282" s="115"/>
      <c r="D11282" s="115"/>
      <c r="E11282" s="115"/>
    </row>
    <row r="11283" spans="1:5" ht="13">
      <c r="A11283" s="115"/>
      <c r="B11283" s="115"/>
      <c r="C11283" s="115"/>
      <c r="D11283" s="115"/>
      <c r="E11283" s="115"/>
    </row>
    <row r="11284" spans="1:5" ht="13">
      <c r="A11284" s="115"/>
      <c r="B11284" s="115"/>
      <c r="C11284" s="115"/>
      <c r="D11284" s="115"/>
      <c r="E11284" s="115"/>
    </row>
    <row r="11285" spans="1:5" ht="13">
      <c r="A11285" s="115"/>
      <c r="B11285" s="115"/>
      <c r="C11285" s="115"/>
      <c r="D11285" s="115"/>
      <c r="E11285" s="115"/>
    </row>
    <row r="11286" spans="1:5" ht="13">
      <c r="A11286" s="115"/>
      <c r="B11286" s="115"/>
      <c r="C11286" s="115"/>
      <c r="D11286" s="115"/>
      <c r="E11286" s="115"/>
    </row>
    <row r="11287" spans="1:5" ht="13">
      <c r="A11287" s="115"/>
      <c r="B11287" s="115"/>
      <c r="C11287" s="115"/>
      <c r="D11287" s="115"/>
      <c r="E11287" s="115"/>
    </row>
    <row r="11288" spans="1:5" ht="13">
      <c r="A11288" s="115"/>
      <c r="B11288" s="115"/>
      <c r="C11288" s="115"/>
      <c r="D11288" s="115"/>
      <c r="E11288" s="115"/>
    </row>
    <row r="11289" spans="1:5" ht="13">
      <c r="A11289" s="115"/>
      <c r="B11289" s="115"/>
      <c r="C11289" s="115"/>
      <c r="D11289" s="115"/>
      <c r="E11289" s="115"/>
    </row>
    <row r="11290" spans="1:5" ht="13">
      <c r="A11290" s="115"/>
      <c r="B11290" s="115"/>
      <c r="C11290" s="115"/>
      <c r="D11290" s="115"/>
      <c r="E11290" s="115"/>
    </row>
    <row r="11291" spans="1:5" ht="13">
      <c r="A11291" s="115"/>
      <c r="B11291" s="115"/>
      <c r="C11291" s="115"/>
      <c r="D11291" s="115"/>
      <c r="E11291" s="115"/>
    </row>
    <row r="11292" spans="1:5" ht="13">
      <c r="A11292" s="115"/>
      <c r="B11292" s="115"/>
      <c r="C11292" s="115"/>
      <c r="D11292" s="115"/>
      <c r="E11292" s="115"/>
    </row>
    <row r="11293" spans="1:5" ht="13">
      <c r="A11293" s="115"/>
      <c r="B11293" s="115"/>
      <c r="C11293" s="115"/>
      <c r="D11293" s="115"/>
      <c r="E11293" s="115"/>
    </row>
    <row r="11294" spans="1:5" ht="13">
      <c r="A11294" s="115"/>
      <c r="B11294" s="115"/>
      <c r="C11294" s="115"/>
      <c r="D11294" s="115"/>
      <c r="E11294" s="115"/>
    </row>
    <row r="11295" spans="1:5" ht="13">
      <c r="A11295" s="115"/>
      <c r="B11295" s="115"/>
      <c r="C11295" s="115"/>
      <c r="D11295" s="115"/>
      <c r="E11295" s="115"/>
    </row>
    <row r="11296" spans="1:5" ht="13">
      <c r="A11296" s="115"/>
      <c r="B11296" s="115"/>
      <c r="C11296" s="115"/>
      <c r="D11296" s="115"/>
      <c r="E11296" s="115"/>
    </row>
    <row r="11297" spans="1:5" ht="13">
      <c r="A11297" s="115"/>
      <c r="B11297" s="115"/>
      <c r="C11297" s="115"/>
      <c r="D11297" s="115"/>
      <c r="E11297" s="115"/>
    </row>
    <row r="11298" spans="1:5" ht="13">
      <c r="A11298" s="115"/>
      <c r="B11298" s="115"/>
      <c r="C11298" s="115"/>
      <c r="D11298" s="115"/>
      <c r="E11298" s="115"/>
    </row>
    <row r="11299" spans="1:5" ht="13">
      <c r="A11299" s="115"/>
      <c r="B11299" s="115"/>
      <c r="C11299" s="115"/>
      <c r="D11299" s="115"/>
      <c r="E11299" s="115"/>
    </row>
    <row r="11300" spans="1:5" ht="13">
      <c r="A11300" s="115"/>
      <c r="B11300" s="115"/>
      <c r="C11300" s="115"/>
      <c r="D11300" s="115"/>
      <c r="E11300" s="115"/>
    </row>
    <row r="11301" spans="1:5" ht="13">
      <c r="A11301" s="115"/>
      <c r="B11301" s="115"/>
      <c r="C11301" s="115"/>
      <c r="D11301" s="115"/>
      <c r="E11301" s="115"/>
    </row>
    <row r="11302" spans="1:5" ht="13">
      <c r="A11302" s="115"/>
      <c r="B11302" s="115"/>
      <c r="C11302" s="115"/>
      <c r="D11302" s="115"/>
      <c r="E11302" s="115"/>
    </row>
    <row r="11303" spans="1:5" ht="13">
      <c r="A11303" s="115"/>
      <c r="B11303" s="115"/>
      <c r="C11303" s="115"/>
      <c r="D11303" s="115"/>
      <c r="E11303" s="115"/>
    </row>
    <row r="11304" spans="1:5" ht="13">
      <c r="A11304" s="115"/>
      <c r="B11304" s="115"/>
      <c r="C11304" s="115"/>
      <c r="D11304" s="115"/>
      <c r="E11304" s="115"/>
    </row>
    <row r="11305" spans="1:5" ht="13">
      <c r="A11305" s="115"/>
      <c r="B11305" s="115"/>
      <c r="C11305" s="115"/>
      <c r="D11305" s="115"/>
      <c r="E11305" s="115"/>
    </row>
    <row r="11306" spans="1:5" ht="13">
      <c r="A11306" s="115"/>
      <c r="B11306" s="115"/>
      <c r="C11306" s="115"/>
      <c r="D11306" s="115"/>
      <c r="E11306" s="115"/>
    </row>
    <row r="11307" spans="1:5" ht="13">
      <c r="A11307" s="115"/>
      <c r="B11307" s="115"/>
      <c r="C11307" s="115"/>
      <c r="D11307" s="115"/>
      <c r="E11307" s="115"/>
    </row>
    <row r="11308" spans="1:5" ht="13">
      <c r="A11308" s="115"/>
      <c r="B11308" s="115"/>
      <c r="C11308" s="115"/>
      <c r="D11308" s="115"/>
      <c r="E11308" s="115"/>
    </row>
    <row r="11309" spans="1:5" ht="13">
      <c r="A11309" s="115"/>
      <c r="B11309" s="115"/>
      <c r="C11309" s="115"/>
      <c r="D11309" s="115"/>
      <c r="E11309" s="115"/>
    </row>
    <row r="11310" spans="1:5" ht="13">
      <c r="A11310" s="115"/>
      <c r="B11310" s="115"/>
      <c r="C11310" s="115"/>
      <c r="D11310" s="115"/>
      <c r="E11310" s="115"/>
    </row>
    <row r="11311" spans="1:5" ht="13">
      <c r="A11311" s="115"/>
      <c r="B11311" s="115"/>
      <c r="C11311" s="115"/>
      <c r="D11311" s="115"/>
      <c r="E11311" s="115"/>
    </row>
    <row r="11312" spans="1:5" ht="13">
      <c r="A11312" s="115"/>
      <c r="B11312" s="115"/>
      <c r="C11312" s="115"/>
      <c r="D11312" s="115"/>
      <c r="E11312" s="115"/>
    </row>
    <row r="11313" spans="1:5" ht="13">
      <c r="A11313" s="115"/>
      <c r="B11313" s="115"/>
      <c r="C11313" s="115"/>
      <c r="D11313" s="115"/>
      <c r="E11313" s="115"/>
    </row>
    <row r="11314" spans="1:5" ht="13">
      <c r="A11314" s="115"/>
      <c r="B11314" s="115"/>
      <c r="C11314" s="115"/>
      <c r="D11314" s="115"/>
      <c r="E11314" s="115"/>
    </row>
    <row r="11315" spans="1:5" ht="13">
      <c r="A11315" s="115"/>
      <c r="B11315" s="115"/>
      <c r="C11315" s="115"/>
      <c r="D11315" s="115"/>
      <c r="E11315" s="115"/>
    </row>
    <row r="11316" spans="1:5" ht="13">
      <c r="A11316" s="115"/>
      <c r="B11316" s="115"/>
      <c r="C11316" s="115"/>
      <c r="D11316" s="115"/>
      <c r="E11316" s="115"/>
    </row>
    <row r="11317" spans="1:5" ht="13">
      <c r="A11317" s="115"/>
      <c r="B11317" s="115"/>
      <c r="C11317" s="115"/>
      <c r="D11317" s="115"/>
      <c r="E11317" s="115"/>
    </row>
    <row r="11318" spans="1:5" ht="13">
      <c r="A11318" s="115"/>
      <c r="B11318" s="115"/>
      <c r="C11318" s="115"/>
      <c r="D11318" s="115"/>
      <c r="E11318" s="115"/>
    </row>
    <row r="11319" spans="1:5" ht="13">
      <c r="A11319" s="115"/>
      <c r="B11319" s="115"/>
      <c r="C11319" s="115"/>
      <c r="D11319" s="115"/>
      <c r="E11319" s="115"/>
    </row>
    <row r="11320" spans="1:5" ht="13">
      <c r="A11320" s="115"/>
      <c r="B11320" s="115"/>
      <c r="C11320" s="115"/>
      <c r="D11320" s="115"/>
      <c r="E11320" s="115"/>
    </row>
    <row r="11321" spans="1:5" ht="13">
      <c r="A11321" s="115"/>
      <c r="B11321" s="115"/>
      <c r="C11321" s="115"/>
      <c r="D11321" s="115"/>
      <c r="E11321" s="115"/>
    </row>
    <row r="11322" spans="1:5" ht="13">
      <c r="A11322" s="115"/>
      <c r="B11322" s="115"/>
      <c r="C11322" s="115"/>
      <c r="D11322" s="115"/>
      <c r="E11322" s="115"/>
    </row>
    <row r="11323" spans="1:5" ht="13">
      <c r="A11323" s="115"/>
      <c r="B11323" s="115"/>
      <c r="C11323" s="115"/>
      <c r="D11323" s="115"/>
      <c r="E11323" s="115"/>
    </row>
    <row r="11324" spans="1:5" ht="13">
      <c r="A11324" s="115"/>
      <c r="B11324" s="115"/>
      <c r="C11324" s="115"/>
      <c r="D11324" s="115"/>
      <c r="E11324" s="115"/>
    </row>
    <row r="11325" spans="1:5" ht="13">
      <c r="A11325" s="115"/>
      <c r="B11325" s="115"/>
      <c r="C11325" s="115"/>
      <c r="D11325" s="115"/>
      <c r="E11325" s="115"/>
    </row>
    <row r="11326" spans="1:5" ht="13">
      <c r="A11326" s="115"/>
      <c r="B11326" s="115"/>
      <c r="C11326" s="115"/>
      <c r="D11326" s="115"/>
      <c r="E11326" s="115"/>
    </row>
    <row r="11327" spans="1:5" ht="13">
      <c r="A11327" s="115"/>
      <c r="B11327" s="115"/>
      <c r="C11327" s="115"/>
      <c r="D11327" s="115"/>
      <c r="E11327" s="115"/>
    </row>
    <row r="11328" spans="1:5" ht="13">
      <c r="A11328" s="115"/>
      <c r="B11328" s="115"/>
      <c r="C11328" s="115"/>
      <c r="D11328" s="115"/>
      <c r="E11328" s="115"/>
    </row>
    <row r="11329" spans="1:5" ht="13">
      <c r="A11329" s="115"/>
      <c r="B11329" s="115"/>
      <c r="C11329" s="115"/>
      <c r="D11329" s="115"/>
      <c r="E11329" s="115"/>
    </row>
    <row r="11330" spans="1:5" ht="13">
      <c r="A11330" s="115"/>
      <c r="B11330" s="115"/>
      <c r="C11330" s="115"/>
      <c r="D11330" s="115"/>
      <c r="E11330" s="115"/>
    </row>
    <row r="11331" spans="1:5" ht="13">
      <c r="A11331" s="115"/>
      <c r="B11331" s="115"/>
      <c r="C11331" s="115"/>
      <c r="D11331" s="115"/>
      <c r="E11331" s="115"/>
    </row>
    <row r="11332" spans="1:5" ht="13">
      <c r="A11332" s="115"/>
      <c r="B11332" s="115"/>
      <c r="C11332" s="115"/>
      <c r="D11332" s="115"/>
      <c r="E11332" s="115"/>
    </row>
    <row r="11333" spans="1:5" ht="13">
      <c r="A11333" s="115"/>
      <c r="B11333" s="115"/>
      <c r="C11333" s="115"/>
      <c r="D11333" s="115"/>
      <c r="E11333" s="115"/>
    </row>
    <row r="11334" spans="1:5" ht="13">
      <c r="A11334" s="115"/>
      <c r="B11334" s="115"/>
      <c r="C11334" s="115"/>
      <c r="D11334" s="115"/>
      <c r="E11334" s="115"/>
    </row>
    <row r="11335" spans="1:5" ht="13">
      <c r="A11335" s="115"/>
      <c r="B11335" s="115"/>
      <c r="C11335" s="115"/>
      <c r="D11335" s="115"/>
      <c r="E11335" s="115"/>
    </row>
    <row r="11336" spans="1:5" ht="13">
      <c r="A11336" s="115"/>
      <c r="B11336" s="115"/>
      <c r="C11336" s="115"/>
      <c r="D11336" s="115"/>
      <c r="E11336" s="115"/>
    </row>
    <row r="11337" spans="1:5" ht="13">
      <c r="A11337" s="115"/>
      <c r="B11337" s="115"/>
      <c r="C11337" s="115"/>
      <c r="D11337" s="115"/>
      <c r="E11337" s="115"/>
    </row>
    <row r="11338" spans="1:5" ht="13">
      <c r="A11338" s="115"/>
      <c r="B11338" s="115"/>
      <c r="C11338" s="115"/>
      <c r="D11338" s="115"/>
      <c r="E11338" s="115"/>
    </row>
    <row r="11339" spans="1:5" ht="13">
      <c r="A11339" s="115"/>
      <c r="B11339" s="115"/>
      <c r="C11339" s="115"/>
      <c r="D11339" s="115"/>
      <c r="E11339" s="115"/>
    </row>
    <row r="11340" spans="1:5" ht="13">
      <c r="A11340" s="115"/>
      <c r="B11340" s="115"/>
      <c r="C11340" s="115"/>
      <c r="D11340" s="115"/>
      <c r="E11340" s="115"/>
    </row>
    <row r="11341" spans="1:5" ht="13">
      <c r="A11341" s="115"/>
      <c r="B11341" s="115"/>
      <c r="C11341" s="115"/>
      <c r="D11341" s="115"/>
      <c r="E11341" s="115"/>
    </row>
    <row r="11342" spans="1:5" ht="13">
      <c r="A11342" s="115"/>
      <c r="B11342" s="115"/>
      <c r="C11342" s="115"/>
      <c r="D11342" s="115"/>
      <c r="E11342" s="115"/>
    </row>
    <row r="11343" spans="1:5" ht="13">
      <c r="A11343" s="115"/>
      <c r="B11343" s="115"/>
      <c r="C11343" s="115"/>
      <c r="D11343" s="115"/>
      <c r="E11343" s="115"/>
    </row>
    <row r="11344" spans="1:5" ht="13">
      <c r="A11344" s="115"/>
      <c r="B11344" s="115"/>
      <c r="C11344" s="115"/>
      <c r="D11344" s="115"/>
      <c r="E11344" s="115"/>
    </row>
    <row r="11345" spans="1:5" ht="13">
      <c r="A11345" s="115"/>
      <c r="B11345" s="115"/>
      <c r="C11345" s="115"/>
      <c r="D11345" s="115"/>
      <c r="E11345" s="115"/>
    </row>
    <row r="11346" spans="1:5" ht="13">
      <c r="A11346" s="115"/>
      <c r="B11346" s="115"/>
      <c r="C11346" s="115"/>
      <c r="D11346" s="115"/>
      <c r="E11346" s="115"/>
    </row>
    <row r="11347" spans="1:5" ht="13">
      <c r="A11347" s="115"/>
      <c r="B11347" s="115"/>
      <c r="C11347" s="115"/>
      <c r="D11347" s="115"/>
      <c r="E11347" s="115"/>
    </row>
    <row r="11348" spans="1:5" ht="13">
      <c r="A11348" s="115"/>
      <c r="B11348" s="115"/>
      <c r="C11348" s="115"/>
      <c r="D11348" s="115"/>
      <c r="E11348" s="115"/>
    </row>
    <row r="11349" spans="1:5" ht="13">
      <c r="A11349" s="115"/>
      <c r="B11349" s="115"/>
      <c r="C11349" s="115"/>
      <c r="D11349" s="115"/>
      <c r="E11349" s="115"/>
    </row>
    <row r="11350" spans="1:5" ht="13">
      <c r="A11350" s="115"/>
      <c r="B11350" s="115"/>
      <c r="C11350" s="115"/>
      <c r="D11350" s="115"/>
      <c r="E11350" s="115"/>
    </row>
    <row r="11351" spans="1:5" ht="13">
      <c r="A11351" s="115"/>
      <c r="B11351" s="115"/>
      <c r="C11351" s="115"/>
      <c r="D11351" s="115"/>
      <c r="E11351" s="115"/>
    </row>
    <row r="11352" spans="1:5" ht="13">
      <c r="A11352" s="115"/>
      <c r="B11352" s="115"/>
      <c r="C11352" s="115"/>
      <c r="D11352" s="115"/>
      <c r="E11352" s="115"/>
    </row>
    <row r="11353" spans="1:5" ht="13">
      <c r="A11353" s="115"/>
      <c r="B11353" s="115"/>
      <c r="C11353" s="115"/>
      <c r="D11353" s="115"/>
      <c r="E11353" s="115"/>
    </row>
    <row r="11354" spans="1:5" ht="13">
      <c r="A11354" s="115"/>
      <c r="B11354" s="115"/>
      <c r="C11354" s="115"/>
      <c r="D11354" s="115"/>
      <c r="E11354" s="115"/>
    </row>
    <row r="11355" spans="1:5" ht="13">
      <c r="A11355" s="115"/>
      <c r="B11355" s="115"/>
      <c r="C11355" s="115"/>
      <c r="D11355" s="115"/>
      <c r="E11355" s="115"/>
    </row>
    <row r="11356" spans="1:5" ht="13">
      <c r="A11356" s="115"/>
      <c r="B11356" s="115"/>
      <c r="C11356" s="115"/>
      <c r="D11356" s="115"/>
      <c r="E11356" s="115"/>
    </row>
    <row r="11357" spans="1:5" ht="13">
      <c r="A11357" s="115"/>
      <c r="B11357" s="115"/>
      <c r="C11357" s="115"/>
      <c r="D11357" s="115"/>
      <c r="E11357" s="115"/>
    </row>
    <row r="11358" spans="1:5" ht="13">
      <c r="A11358" s="115"/>
      <c r="B11358" s="115"/>
      <c r="C11358" s="115"/>
      <c r="D11358" s="115"/>
      <c r="E11358" s="115"/>
    </row>
    <row r="11359" spans="1:5" ht="13">
      <c r="A11359" s="115"/>
      <c r="B11359" s="115"/>
      <c r="C11359" s="115"/>
      <c r="D11359" s="115"/>
      <c r="E11359" s="115"/>
    </row>
    <row r="11360" spans="1:5" ht="13">
      <c r="A11360" s="115"/>
      <c r="B11360" s="115"/>
      <c r="C11360" s="115"/>
      <c r="D11360" s="115"/>
      <c r="E11360" s="115"/>
    </row>
    <row r="11361" spans="1:5" ht="13">
      <c r="A11361" s="115"/>
      <c r="B11361" s="115"/>
      <c r="C11361" s="115"/>
      <c r="D11361" s="115"/>
      <c r="E11361" s="115"/>
    </row>
    <row r="11362" spans="1:5" ht="13">
      <c r="A11362" s="115"/>
      <c r="B11362" s="115"/>
      <c r="C11362" s="115"/>
      <c r="D11362" s="115"/>
      <c r="E11362" s="115"/>
    </row>
    <row r="11363" spans="1:5" ht="13">
      <c r="A11363" s="115"/>
      <c r="B11363" s="115"/>
      <c r="C11363" s="115"/>
      <c r="D11363" s="115"/>
      <c r="E11363" s="115"/>
    </row>
    <row r="11364" spans="1:5" ht="13">
      <c r="A11364" s="115"/>
      <c r="B11364" s="115"/>
      <c r="C11364" s="115"/>
      <c r="D11364" s="115"/>
      <c r="E11364" s="115"/>
    </row>
    <row r="11365" spans="1:5" ht="13">
      <c r="A11365" s="115"/>
      <c r="B11365" s="115"/>
      <c r="C11365" s="115"/>
      <c r="D11365" s="115"/>
      <c r="E11365" s="115"/>
    </row>
    <row r="11366" spans="1:5" ht="13">
      <c r="A11366" s="115"/>
      <c r="B11366" s="115"/>
      <c r="C11366" s="115"/>
      <c r="D11366" s="115"/>
      <c r="E11366" s="115"/>
    </row>
    <row r="11367" spans="1:5" ht="13">
      <c r="A11367" s="115"/>
      <c r="B11367" s="115"/>
      <c r="C11367" s="115"/>
      <c r="D11367" s="115"/>
      <c r="E11367" s="115"/>
    </row>
    <row r="11368" spans="1:5" ht="13">
      <c r="A11368" s="115"/>
      <c r="B11368" s="115"/>
      <c r="C11368" s="115"/>
      <c r="D11368" s="115"/>
      <c r="E11368" s="115"/>
    </row>
    <row r="11369" spans="1:5" ht="13">
      <c r="A11369" s="115"/>
      <c r="B11369" s="115"/>
      <c r="C11369" s="115"/>
      <c r="D11369" s="115"/>
      <c r="E11369" s="115"/>
    </row>
    <row r="11370" spans="1:5" ht="13">
      <c r="A11370" s="115"/>
      <c r="B11370" s="115"/>
      <c r="C11370" s="115"/>
      <c r="D11370" s="115"/>
      <c r="E11370" s="115"/>
    </row>
    <row r="11371" spans="1:5" ht="13">
      <c r="A11371" s="115"/>
      <c r="B11371" s="115"/>
      <c r="C11371" s="115"/>
      <c r="D11371" s="115"/>
      <c r="E11371" s="115"/>
    </row>
    <row r="11372" spans="1:5" ht="13">
      <c r="A11372" s="115"/>
      <c r="B11372" s="115"/>
      <c r="C11372" s="115"/>
      <c r="D11372" s="115"/>
      <c r="E11372" s="115"/>
    </row>
    <row r="11373" spans="1:5" ht="13">
      <c r="A11373" s="115"/>
      <c r="B11373" s="115"/>
      <c r="C11373" s="115"/>
      <c r="D11373" s="115"/>
      <c r="E11373" s="115"/>
    </row>
    <row r="11374" spans="1:5" ht="13">
      <c r="A11374" s="115"/>
      <c r="B11374" s="115"/>
      <c r="C11374" s="115"/>
      <c r="D11374" s="115"/>
      <c r="E11374" s="115"/>
    </row>
    <row r="11375" spans="1:5" ht="13">
      <c r="A11375" s="115"/>
      <c r="B11375" s="115"/>
      <c r="C11375" s="115"/>
      <c r="D11375" s="115"/>
      <c r="E11375" s="115"/>
    </row>
    <row r="11376" spans="1:5" ht="13">
      <c r="A11376" s="115"/>
      <c r="B11376" s="115"/>
      <c r="C11376" s="115"/>
      <c r="D11376" s="115"/>
      <c r="E11376" s="115"/>
    </row>
    <row r="11377" spans="1:5" ht="13">
      <c r="A11377" s="115"/>
      <c r="B11377" s="115"/>
      <c r="C11377" s="115"/>
      <c r="D11377" s="115"/>
      <c r="E11377" s="115"/>
    </row>
    <row r="11378" spans="1:5" ht="13">
      <c r="A11378" s="115"/>
      <c r="B11378" s="115"/>
      <c r="C11378" s="115"/>
      <c r="D11378" s="115"/>
      <c r="E11378" s="115"/>
    </row>
    <row r="11379" spans="1:5" ht="13">
      <c r="A11379" s="115"/>
      <c r="B11379" s="115"/>
      <c r="C11379" s="115"/>
      <c r="D11379" s="115"/>
      <c r="E11379" s="115"/>
    </row>
    <row r="11380" spans="1:5" ht="13">
      <c r="A11380" s="115"/>
      <c r="B11380" s="115"/>
      <c r="C11380" s="115"/>
      <c r="D11380" s="115"/>
      <c r="E11380" s="115"/>
    </row>
    <row r="11381" spans="1:5" ht="13">
      <c r="A11381" s="115"/>
      <c r="B11381" s="115"/>
      <c r="C11381" s="115"/>
      <c r="D11381" s="115"/>
      <c r="E11381" s="115"/>
    </row>
    <row r="11382" spans="1:5" ht="13">
      <c r="A11382" s="115"/>
      <c r="B11382" s="115"/>
      <c r="C11382" s="115"/>
      <c r="D11382" s="115"/>
      <c r="E11382" s="115"/>
    </row>
    <row r="11383" spans="1:5" ht="13">
      <c r="A11383" s="115"/>
      <c r="B11383" s="115"/>
      <c r="C11383" s="115"/>
      <c r="D11383" s="115"/>
      <c r="E11383" s="115"/>
    </row>
    <row r="11384" spans="1:5" ht="13">
      <c r="A11384" s="115"/>
      <c r="B11384" s="115"/>
      <c r="C11384" s="115"/>
      <c r="D11384" s="115"/>
      <c r="E11384" s="115"/>
    </row>
    <row r="11385" spans="1:5" ht="13">
      <c r="A11385" s="115"/>
      <c r="B11385" s="115"/>
      <c r="C11385" s="115"/>
      <c r="D11385" s="115"/>
      <c r="E11385" s="115"/>
    </row>
    <row r="11386" spans="1:5" ht="13">
      <c r="A11386" s="115"/>
      <c r="B11386" s="115"/>
      <c r="C11386" s="115"/>
      <c r="D11386" s="115"/>
      <c r="E11386" s="115"/>
    </row>
    <row r="11387" spans="1:5" ht="13">
      <c r="A11387" s="115"/>
      <c r="B11387" s="115"/>
      <c r="C11387" s="115"/>
      <c r="D11387" s="115"/>
      <c r="E11387" s="115"/>
    </row>
    <row r="11388" spans="1:5" ht="13">
      <c r="A11388" s="115"/>
      <c r="B11388" s="115"/>
      <c r="C11388" s="115"/>
      <c r="D11388" s="115"/>
      <c r="E11388" s="115"/>
    </row>
    <row r="11389" spans="1:5" ht="13">
      <c r="A11389" s="115"/>
      <c r="B11389" s="115"/>
      <c r="C11389" s="115"/>
      <c r="D11389" s="115"/>
      <c r="E11389" s="115"/>
    </row>
    <row r="11390" spans="1:5" ht="13">
      <c r="A11390" s="115"/>
      <c r="B11390" s="115"/>
      <c r="C11390" s="115"/>
      <c r="D11390" s="115"/>
      <c r="E11390" s="115"/>
    </row>
    <row r="11391" spans="1:5" ht="13">
      <c r="A11391" s="115"/>
      <c r="B11391" s="115"/>
      <c r="C11391" s="115"/>
      <c r="D11391" s="115"/>
      <c r="E11391" s="115"/>
    </row>
    <row r="11392" spans="1:5" ht="13">
      <c r="A11392" s="115"/>
      <c r="B11392" s="115"/>
      <c r="C11392" s="115"/>
      <c r="D11392" s="115"/>
      <c r="E11392" s="115"/>
    </row>
    <row r="11393" spans="1:5" ht="13">
      <c r="A11393" s="115"/>
      <c r="B11393" s="115"/>
      <c r="C11393" s="115"/>
      <c r="D11393" s="115"/>
      <c r="E11393" s="115"/>
    </row>
    <row r="11394" spans="1:5" ht="13">
      <c r="A11394" s="115"/>
      <c r="B11394" s="115"/>
      <c r="C11394" s="115"/>
      <c r="D11394" s="115"/>
      <c r="E11394" s="115"/>
    </row>
    <row r="11395" spans="1:5" ht="13">
      <c r="A11395" s="115"/>
      <c r="B11395" s="115"/>
      <c r="C11395" s="115"/>
      <c r="D11395" s="115"/>
      <c r="E11395" s="115"/>
    </row>
    <row r="11396" spans="1:5" ht="13">
      <c r="A11396" s="115"/>
      <c r="B11396" s="115"/>
      <c r="C11396" s="115"/>
      <c r="D11396" s="115"/>
      <c r="E11396" s="115"/>
    </row>
    <row r="11397" spans="1:5" ht="13">
      <c r="A11397" s="115"/>
      <c r="B11397" s="115"/>
      <c r="C11397" s="115"/>
      <c r="D11397" s="115"/>
      <c r="E11397" s="115"/>
    </row>
    <row r="11398" spans="1:5" ht="13">
      <c r="A11398" s="115"/>
      <c r="B11398" s="115"/>
      <c r="C11398" s="115"/>
      <c r="D11398" s="115"/>
      <c r="E11398" s="115"/>
    </row>
    <row r="11399" spans="1:5" ht="13">
      <c r="A11399" s="115"/>
      <c r="B11399" s="115"/>
      <c r="C11399" s="115"/>
      <c r="D11399" s="115"/>
      <c r="E11399" s="115"/>
    </row>
    <row r="11400" spans="1:5" ht="13">
      <c r="A11400" s="115"/>
      <c r="B11400" s="115"/>
      <c r="C11400" s="115"/>
      <c r="D11400" s="115"/>
      <c r="E11400" s="115"/>
    </row>
    <row r="11401" spans="1:5" ht="13">
      <c r="A11401" s="115"/>
      <c r="B11401" s="115"/>
      <c r="C11401" s="115"/>
      <c r="D11401" s="115"/>
      <c r="E11401" s="115"/>
    </row>
    <row r="11402" spans="1:5" ht="13">
      <c r="A11402" s="115"/>
      <c r="B11402" s="115"/>
      <c r="C11402" s="115"/>
      <c r="D11402" s="115"/>
      <c r="E11402" s="115"/>
    </row>
    <row r="11403" spans="1:5" ht="13">
      <c r="A11403" s="115"/>
      <c r="B11403" s="115"/>
      <c r="C11403" s="115"/>
      <c r="D11403" s="115"/>
      <c r="E11403" s="115"/>
    </row>
    <row r="11404" spans="1:5" ht="13">
      <c r="A11404" s="115"/>
      <c r="B11404" s="115"/>
      <c r="C11404" s="115"/>
      <c r="D11404" s="115"/>
      <c r="E11404" s="115"/>
    </row>
    <row r="11405" spans="1:5" ht="13">
      <c r="A11405" s="115"/>
      <c r="B11405" s="115"/>
      <c r="C11405" s="115"/>
      <c r="D11405" s="115"/>
      <c r="E11405" s="115"/>
    </row>
    <row r="11406" spans="1:5" ht="13">
      <c r="A11406" s="115"/>
      <c r="B11406" s="115"/>
      <c r="C11406" s="115"/>
      <c r="D11406" s="115"/>
      <c r="E11406" s="115"/>
    </row>
    <row r="11407" spans="1:5" ht="13">
      <c r="A11407" s="115"/>
      <c r="B11407" s="115"/>
      <c r="C11407" s="115"/>
      <c r="D11407" s="115"/>
      <c r="E11407" s="115"/>
    </row>
    <row r="11408" spans="1:5" ht="13">
      <c r="A11408" s="115"/>
      <c r="B11408" s="115"/>
      <c r="C11408" s="115"/>
      <c r="D11408" s="115"/>
      <c r="E11408" s="115"/>
    </row>
    <row r="11409" spans="1:5" ht="13">
      <c r="A11409" s="115"/>
      <c r="B11409" s="115"/>
      <c r="C11409" s="115"/>
      <c r="D11409" s="115"/>
      <c r="E11409" s="115"/>
    </row>
    <row r="11410" spans="1:5" ht="13">
      <c r="A11410" s="115"/>
      <c r="B11410" s="115"/>
      <c r="C11410" s="115"/>
      <c r="D11410" s="115"/>
      <c r="E11410" s="115"/>
    </row>
    <row r="11411" spans="1:5" ht="13">
      <c r="A11411" s="115"/>
      <c r="B11411" s="115"/>
      <c r="C11411" s="115"/>
      <c r="D11411" s="115"/>
      <c r="E11411" s="115"/>
    </row>
    <row r="11412" spans="1:5" ht="13">
      <c r="A11412" s="115"/>
      <c r="B11412" s="115"/>
      <c r="C11412" s="115"/>
      <c r="D11412" s="115"/>
      <c r="E11412" s="115"/>
    </row>
    <row r="11413" spans="1:5" ht="13">
      <c r="A11413" s="115"/>
      <c r="B11413" s="115"/>
      <c r="C11413" s="115"/>
      <c r="D11413" s="115"/>
      <c r="E11413" s="115"/>
    </row>
    <row r="11414" spans="1:5" ht="13">
      <c r="A11414" s="115"/>
      <c r="B11414" s="115"/>
      <c r="C11414" s="115"/>
      <c r="D11414" s="115"/>
      <c r="E11414" s="115"/>
    </row>
    <row r="11415" spans="1:5" ht="13">
      <c r="A11415" s="115"/>
      <c r="B11415" s="115"/>
      <c r="C11415" s="115"/>
      <c r="D11415" s="115"/>
      <c r="E11415" s="115"/>
    </row>
    <row r="11416" spans="1:5" ht="13">
      <c r="A11416" s="115"/>
      <c r="B11416" s="115"/>
      <c r="C11416" s="115"/>
      <c r="D11416" s="115"/>
      <c r="E11416" s="115"/>
    </row>
    <row r="11417" spans="1:5" ht="13">
      <c r="A11417" s="115"/>
      <c r="B11417" s="115"/>
      <c r="C11417" s="115"/>
      <c r="D11417" s="115"/>
      <c r="E11417" s="115"/>
    </row>
    <row r="11418" spans="1:5" ht="13">
      <c r="A11418" s="115"/>
      <c r="B11418" s="115"/>
      <c r="C11418" s="115"/>
      <c r="D11418" s="115"/>
      <c r="E11418" s="115"/>
    </row>
    <row r="11419" spans="1:5" ht="13">
      <c r="A11419" s="115"/>
      <c r="B11419" s="115"/>
      <c r="C11419" s="115"/>
      <c r="D11419" s="115"/>
      <c r="E11419" s="115"/>
    </row>
    <row r="11420" spans="1:5" ht="13">
      <c r="A11420" s="115"/>
      <c r="B11420" s="115"/>
      <c r="C11420" s="115"/>
      <c r="D11420" s="115"/>
      <c r="E11420" s="115"/>
    </row>
    <row r="11421" spans="1:5" ht="13">
      <c r="A11421" s="115"/>
      <c r="B11421" s="115"/>
      <c r="C11421" s="115"/>
      <c r="D11421" s="115"/>
      <c r="E11421" s="115"/>
    </row>
    <row r="11422" spans="1:5" ht="13">
      <c r="A11422" s="115"/>
      <c r="B11422" s="115"/>
      <c r="C11422" s="115"/>
      <c r="D11422" s="115"/>
      <c r="E11422" s="115"/>
    </row>
    <row r="11423" spans="1:5" ht="13">
      <c r="A11423" s="115"/>
      <c r="B11423" s="115"/>
      <c r="C11423" s="115"/>
      <c r="D11423" s="115"/>
      <c r="E11423" s="115"/>
    </row>
    <row r="11424" spans="1:5" ht="13">
      <c r="A11424" s="115"/>
      <c r="B11424" s="115"/>
      <c r="C11424" s="115"/>
      <c r="D11424" s="115"/>
      <c r="E11424" s="115"/>
    </row>
    <row r="11425" spans="1:5" ht="13">
      <c r="A11425" s="115"/>
      <c r="B11425" s="115"/>
      <c r="C11425" s="115"/>
      <c r="D11425" s="115"/>
      <c r="E11425" s="115"/>
    </row>
    <row r="11426" spans="1:5" ht="13">
      <c r="A11426" s="115"/>
      <c r="B11426" s="115"/>
      <c r="C11426" s="115"/>
      <c r="D11426" s="115"/>
      <c r="E11426" s="115"/>
    </row>
    <row r="11427" spans="1:5" ht="13">
      <c r="A11427" s="115"/>
      <c r="B11427" s="115"/>
      <c r="C11427" s="115"/>
      <c r="D11427" s="115"/>
      <c r="E11427" s="115"/>
    </row>
    <row r="11428" spans="1:5" ht="13">
      <c r="A11428" s="115"/>
      <c r="B11428" s="115"/>
      <c r="C11428" s="115"/>
      <c r="D11428" s="115"/>
      <c r="E11428" s="115"/>
    </row>
    <row r="11429" spans="1:5" ht="13">
      <c r="A11429" s="115"/>
      <c r="B11429" s="115"/>
      <c r="C11429" s="115"/>
      <c r="D11429" s="115"/>
      <c r="E11429" s="115"/>
    </row>
    <row r="11430" spans="1:5" ht="13">
      <c r="A11430" s="115"/>
      <c r="B11430" s="115"/>
      <c r="C11430" s="115"/>
      <c r="D11430" s="115"/>
      <c r="E11430" s="115"/>
    </row>
    <row r="11431" spans="1:5" ht="13">
      <c r="A11431" s="115"/>
      <c r="B11431" s="115"/>
      <c r="C11431" s="115"/>
      <c r="D11431" s="115"/>
      <c r="E11431" s="115"/>
    </row>
    <row r="11432" spans="1:5" ht="13">
      <c r="A11432" s="115"/>
      <c r="B11432" s="115"/>
      <c r="C11432" s="115"/>
      <c r="D11432" s="115"/>
      <c r="E11432" s="115"/>
    </row>
    <row r="11433" spans="1:5" ht="13">
      <c r="A11433" s="115"/>
      <c r="B11433" s="115"/>
      <c r="C11433" s="115"/>
      <c r="D11433" s="115"/>
      <c r="E11433" s="115"/>
    </row>
    <row r="11434" spans="1:5" ht="13">
      <c r="A11434" s="115"/>
      <c r="B11434" s="115"/>
      <c r="C11434" s="115"/>
      <c r="D11434" s="115"/>
      <c r="E11434" s="115"/>
    </row>
    <row r="11435" spans="1:5" ht="13">
      <c r="A11435" s="115"/>
      <c r="B11435" s="115"/>
      <c r="C11435" s="115"/>
      <c r="D11435" s="115"/>
      <c r="E11435" s="115"/>
    </row>
    <row r="11436" spans="1:5" ht="13">
      <c r="A11436" s="115"/>
      <c r="B11436" s="115"/>
      <c r="C11436" s="115"/>
      <c r="D11436" s="115"/>
      <c r="E11436" s="115"/>
    </row>
    <row r="11437" spans="1:5" ht="13">
      <c r="A11437" s="115"/>
      <c r="B11437" s="115"/>
      <c r="C11437" s="115"/>
      <c r="D11437" s="115"/>
      <c r="E11437" s="115"/>
    </row>
    <row r="11438" spans="1:5" ht="13">
      <c r="A11438" s="115"/>
      <c r="B11438" s="115"/>
      <c r="C11438" s="115"/>
      <c r="D11438" s="115"/>
      <c r="E11438" s="115"/>
    </row>
    <row r="11439" spans="1:5" ht="13">
      <c r="A11439" s="115"/>
      <c r="B11439" s="115"/>
      <c r="C11439" s="115"/>
      <c r="D11439" s="115"/>
      <c r="E11439" s="115"/>
    </row>
    <row r="11440" spans="1:5" ht="13">
      <c r="A11440" s="115"/>
      <c r="B11440" s="115"/>
      <c r="C11440" s="115"/>
      <c r="D11440" s="115"/>
      <c r="E11440" s="115"/>
    </row>
    <row r="11441" spans="1:5" ht="13">
      <c r="A11441" s="115"/>
      <c r="B11441" s="115"/>
      <c r="C11441" s="115"/>
      <c r="D11441" s="115"/>
      <c r="E11441" s="115"/>
    </row>
    <row r="11442" spans="1:5" ht="13">
      <c r="A11442" s="115"/>
      <c r="B11442" s="115"/>
      <c r="C11442" s="115"/>
      <c r="D11442" s="115"/>
      <c r="E11442" s="115"/>
    </row>
    <row r="11443" spans="1:5" ht="13">
      <c r="A11443" s="115"/>
      <c r="B11443" s="115"/>
      <c r="C11443" s="115"/>
      <c r="D11443" s="115"/>
      <c r="E11443" s="115"/>
    </row>
    <row r="11444" spans="1:5" ht="13">
      <c r="A11444" s="115"/>
      <c r="B11444" s="115"/>
      <c r="C11444" s="115"/>
      <c r="D11444" s="115"/>
      <c r="E11444" s="115"/>
    </row>
    <row r="11445" spans="1:5" ht="13">
      <c r="A11445" s="115"/>
      <c r="B11445" s="115"/>
      <c r="C11445" s="115"/>
      <c r="D11445" s="115"/>
      <c r="E11445" s="115"/>
    </row>
    <row r="11446" spans="1:5" ht="13">
      <c r="A11446" s="115"/>
      <c r="B11446" s="115"/>
      <c r="C11446" s="115"/>
      <c r="D11446" s="115"/>
      <c r="E11446" s="115"/>
    </row>
    <row r="11447" spans="1:5" ht="13">
      <c r="A11447" s="115"/>
      <c r="B11447" s="115"/>
      <c r="C11447" s="115"/>
      <c r="D11447" s="115"/>
      <c r="E11447" s="115"/>
    </row>
    <row r="11448" spans="1:5" ht="13">
      <c r="A11448" s="115"/>
      <c r="B11448" s="115"/>
      <c r="C11448" s="115"/>
      <c r="D11448" s="115"/>
      <c r="E11448" s="115"/>
    </row>
    <row r="11449" spans="1:5" ht="13">
      <c r="A11449" s="115"/>
      <c r="B11449" s="115"/>
      <c r="C11449" s="115"/>
      <c r="D11449" s="115"/>
      <c r="E11449" s="115"/>
    </row>
    <row r="11450" spans="1:5" ht="13">
      <c r="A11450" s="115"/>
      <c r="B11450" s="115"/>
      <c r="C11450" s="115"/>
      <c r="D11450" s="115"/>
      <c r="E11450" s="115"/>
    </row>
    <row r="11451" spans="1:5" ht="13">
      <c r="A11451" s="115"/>
      <c r="B11451" s="115"/>
      <c r="C11451" s="115"/>
      <c r="D11451" s="115"/>
      <c r="E11451" s="115"/>
    </row>
    <row r="11452" spans="1:5" ht="13">
      <c r="A11452" s="115"/>
      <c r="B11452" s="115"/>
      <c r="C11452" s="115"/>
      <c r="D11452" s="115"/>
      <c r="E11452" s="115"/>
    </row>
    <row r="11453" spans="1:5" ht="13">
      <c r="A11453" s="115"/>
      <c r="B11453" s="115"/>
      <c r="C11453" s="115"/>
      <c r="D11453" s="115"/>
      <c r="E11453" s="115"/>
    </row>
    <row r="11454" spans="1:5" ht="13">
      <c r="A11454" s="115"/>
      <c r="B11454" s="115"/>
      <c r="C11454" s="115"/>
      <c r="D11454" s="115"/>
      <c r="E11454" s="115"/>
    </row>
    <row r="11455" spans="1:5" ht="13">
      <c r="A11455" s="115"/>
      <c r="B11455" s="115"/>
      <c r="C11455" s="115"/>
      <c r="D11455" s="115"/>
      <c r="E11455" s="115"/>
    </row>
    <row r="11456" spans="1:5" ht="13">
      <c r="A11456" s="115"/>
      <c r="B11456" s="115"/>
      <c r="C11456" s="115"/>
      <c r="D11456" s="115"/>
      <c r="E11456" s="115"/>
    </row>
    <row r="11457" spans="1:5" ht="13">
      <c r="A11457" s="115"/>
      <c r="B11457" s="115"/>
      <c r="C11457" s="115"/>
      <c r="D11457" s="115"/>
      <c r="E11457" s="115"/>
    </row>
    <row r="11458" spans="1:5" ht="13">
      <c r="A11458" s="115"/>
      <c r="B11458" s="115"/>
      <c r="C11458" s="115"/>
      <c r="D11458" s="115"/>
      <c r="E11458" s="115"/>
    </row>
    <row r="11459" spans="1:5" ht="13">
      <c r="A11459" s="115"/>
      <c r="B11459" s="115"/>
      <c r="C11459" s="115"/>
      <c r="D11459" s="115"/>
      <c r="E11459" s="115"/>
    </row>
    <row r="11460" spans="1:5" ht="13">
      <c r="A11460" s="115"/>
      <c r="B11460" s="115"/>
      <c r="C11460" s="115"/>
      <c r="D11460" s="115"/>
      <c r="E11460" s="115"/>
    </row>
    <row r="11461" spans="1:5" ht="13">
      <c r="A11461" s="115"/>
      <c r="B11461" s="115"/>
      <c r="C11461" s="115"/>
      <c r="D11461" s="115"/>
      <c r="E11461" s="115"/>
    </row>
    <row r="11462" spans="1:5" ht="13">
      <c r="A11462" s="115"/>
      <c r="B11462" s="115"/>
      <c r="C11462" s="115"/>
      <c r="D11462" s="115"/>
      <c r="E11462" s="115"/>
    </row>
    <row r="11463" spans="1:5" ht="13">
      <c r="A11463" s="115"/>
      <c r="B11463" s="115"/>
      <c r="C11463" s="115"/>
      <c r="D11463" s="115"/>
      <c r="E11463" s="115"/>
    </row>
    <row r="11464" spans="1:5" ht="13">
      <c r="A11464" s="115"/>
      <c r="B11464" s="115"/>
      <c r="C11464" s="115"/>
      <c r="D11464" s="115"/>
      <c r="E11464" s="115"/>
    </row>
    <row r="11465" spans="1:5" ht="13">
      <c r="A11465" s="115"/>
      <c r="B11465" s="115"/>
      <c r="C11465" s="115"/>
      <c r="D11465" s="115"/>
      <c r="E11465" s="115"/>
    </row>
    <row r="11466" spans="1:5" ht="13">
      <c r="A11466" s="115"/>
      <c r="B11466" s="115"/>
      <c r="C11466" s="115"/>
      <c r="D11466" s="115"/>
      <c r="E11466" s="115"/>
    </row>
    <row r="11467" spans="1:5" ht="13">
      <c r="A11467" s="115"/>
      <c r="B11467" s="115"/>
      <c r="C11467" s="115"/>
      <c r="D11467" s="115"/>
      <c r="E11467" s="115"/>
    </row>
    <row r="11468" spans="1:5" ht="13">
      <c r="A11468" s="115"/>
      <c r="B11468" s="115"/>
      <c r="C11468" s="115"/>
      <c r="D11468" s="115"/>
      <c r="E11468" s="115"/>
    </row>
    <row r="11469" spans="1:5" ht="13">
      <c r="A11469" s="115"/>
      <c r="B11469" s="115"/>
      <c r="C11469" s="115"/>
      <c r="D11469" s="115"/>
      <c r="E11469" s="115"/>
    </row>
    <row r="11470" spans="1:5" ht="13">
      <c r="A11470" s="115"/>
      <c r="B11470" s="115"/>
      <c r="C11470" s="115"/>
      <c r="D11470" s="115"/>
      <c r="E11470" s="115"/>
    </row>
    <row r="11471" spans="1:5" ht="13">
      <c r="A11471" s="115"/>
      <c r="B11471" s="115"/>
      <c r="C11471" s="115"/>
      <c r="D11471" s="115"/>
      <c r="E11471" s="115"/>
    </row>
    <row r="11472" spans="1:5" ht="13">
      <c r="A11472" s="115"/>
      <c r="B11472" s="115"/>
      <c r="C11472" s="115"/>
      <c r="D11472" s="115"/>
      <c r="E11472" s="115"/>
    </row>
    <row r="11473" spans="1:5" ht="13">
      <c r="A11473" s="115"/>
      <c r="B11473" s="115"/>
      <c r="C11473" s="115"/>
      <c r="D11473" s="115"/>
      <c r="E11473" s="115"/>
    </row>
    <row r="11474" spans="1:5" ht="13">
      <c r="A11474" s="115"/>
      <c r="B11474" s="115"/>
      <c r="C11474" s="115"/>
      <c r="D11474" s="115"/>
      <c r="E11474" s="115"/>
    </row>
    <row r="11475" spans="1:5" ht="13">
      <c r="A11475" s="115"/>
      <c r="B11475" s="115"/>
      <c r="C11475" s="115"/>
      <c r="D11475" s="115"/>
      <c r="E11475" s="115"/>
    </row>
    <row r="11476" spans="1:5" ht="13">
      <c r="A11476" s="115"/>
      <c r="B11476" s="115"/>
      <c r="C11476" s="115"/>
      <c r="D11476" s="115"/>
      <c r="E11476" s="115"/>
    </row>
    <row r="11477" spans="1:5" ht="13">
      <c r="A11477" s="115"/>
      <c r="B11477" s="115"/>
      <c r="C11477" s="115"/>
      <c r="D11477" s="115"/>
      <c r="E11477" s="115"/>
    </row>
    <row r="11478" spans="1:5" ht="13">
      <c r="A11478" s="115"/>
      <c r="B11478" s="115"/>
      <c r="C11478" s="115"/>
      <c r="D11478" s="115"/>
      <c r="E11478" s="115"/>
    </row>
    <row r="11479" spans="1:5" ht="13">
      <c r="A11479" s="115"/>
      <c r="B11479" s="115"/>
      <c r="C11479" s="115"/>
      <c r="D11479" s="115"/>
      <c r="E11479" s="115"/>
    </row>
    <row r="11480" spans="1:5" ht="13">
      <c r="A11480" s="115"/>
      <c r="B11480" s="115"/>
      <c r="C11480" s="115"/>
      <c r="D11480" s="115"/>
      <c r="E11480" s="115"/>
    </row>
    <row r="11481" spans="1:5" ht="13">
      <c r="A11481" s="115"/>
      <c r="B11481" s="115"/>
      <c r="C11481" s="115"/>
      <c r="D11481" s="115"/>
      <c r="E11481" s="115"/>
    </row>
    <row r="11482" spans="1:5" ht="13">
      <c r="A11482" s="115"/>
      <c r="B11482" s="115"/>
      <c r="C11482" s="115"/>
      <c r="D11482" s="115"/>
      <c r="E11482" s="115"/>
    </row>
    <row r="11483" spans="1:5" ht="13">
      <c r="A11483" s="115"/>
      <c r="B11483" s="115"/>
      <c r="C11483" s="115"/>
      <c r="D11483" s="115"/>
      <c r="E11483" s="115"/>
    </row>
    <row r="11484" spans="1:5" ht="13">
      <c r="A11484" s="115"/>
      <c r="B11484" s="115"/>
      <c r="C11484" s="115"/>
      <c r="D11484" s="115"/>
      <c r="E11484" s="115"/>
    </row>
    <row r="11485" spans="1:5" ht="13">
      <c r="A11485" s="115"/>
      <c r="B11485" s="115"/>
      <c r="C11485" s="115"/>
      <c r="D11485" s="115"/>
      <c r="E11485" s="115"/>
    </row>
    <row r="11486" spans="1:5" ht="13">
      <c r="A11486" s="115"/>
      <c r="B11486" s="115"/>
      <c r="C11486" s="115"/>
      <c r="D11486" s="115"/>
      <c r="E11486" s="115"/>
    </row>
    <row r="11487" spans="1:5" ht="13">
      <c r="A11487" s="115"/>
      <c r="B11487" s="115"/>
      <c r="C11487" s="115"/>
      <c r="D11487" s="115"/>
      <c r="E11487" s="115"/>
    </row>
    <row r="11488" spans="1:5" ht="13">
      <c r="A11488" s="115"/>
      <c r="B11488" s="115"/>
      <c r="C11488" s="115"/>
      <c r="D11488" s="115"/>
      <c r="E11488" s="115"/>
    </row>
    <row r="11489" spans="1:5" ht="13">
      <c r="A11489" s="115"/>
      <c r="B11489" s="115"/>
      <c r="C11489" s="115"/>
      <c r="D11489" s="115"/>
      <c r="E11489" s="115"/>
    </row>
    <row r="11490" spans="1:5" ht="13">
      <c r="A11490" s="115"/>
      <c r="B11490" s="115"/>
      <c r="C11490" s="115"/>
      <c r="D11490" s="115"/>
      <c r="E11490" s="115"/>
    </row>
    <row r="11491" spans="1:5" ht="13">
      <c r="A11491" s="115"/>
      <c r="B11491" s="115"/>
      <c r="C11491" s="115"/>
      <c r="D11491" s="115"/>
      <c r="E11491" s="115"/>
    </row>
    <row r="11492" spans="1:5" ht="13">
      <c r="A11492" s="115"/>
      <c r="B11492" s="115"/>
      <c r="C11492" s="115"/>
      <c r="D11492" s="115"/>
      <c r="E11492" s="115"/>
    </row>
    <row r="11493" spans="1:5" ht="13">
      <c r="A11493" s="115"/>
      <c r="B11493" s="115"/>
      <c r="C11493" s="115"/>
      <c r="D11493" s="115"/>
      <c r="E11493" s="115"/>
    </row>
    <row r="11494" spans="1:5" ht="13">
      <c r="A11494" s="115"/>
      <c r="B11494" s="115"/>
      <c r="C11494" s="115"/>
      <c r="D11494" s="115"/>
      <c r="E11494" s="115"/>
    </row>
    <row r="11495" spans="1:5" ht="13">
      <c r="A11495" s="115"/>
      <c r="B11495" s="115"/>
      <c r="C11495" s="115"/>
      <c r="D11495" s="115"/>
      <c r="E11495" s="115"/>
    </row>
    <row r="11496" spans="1:5" ht="13">
      <c r="A11496" s="115"/>
      <c r="B11496" s="115"/>
      <c r="C11496" s="115"/>
      <c r="D11496" s="115"/>
      <c r="E11496" s="115"/>
    </row>
    <row r="11497" spans="1:5" ht="13">
      <c r="A11497" s="115"/>
      <c r="B11497" s="115"/>
      <c r="C11497" s="115"/>
      <c r="D11497" s="115"/>
      <c r="E11497" s="115"/>
    </row>
    <row r="11498" spans="1:5" ht="13">
      <c r="A11498" s="115"/>
      <c r="B11498" s="115"/>
      <c r="C11498" s="115"/>
      <c r="D11498" s="115"/>
      <c r="E11498" s="115"/>
    </row>
    <row r="11499" spans="1:5" ht="13">
      <c r="A11499" s="115"/>
      <c r="B11499" s="115"/>
      <c r="C11499" s="115"/>
      <c r="D11499" s="115"/>
      <c r="E11499" s="115"/>
    </row>
    <row r="11500" spans="1:5" ht="13">
      <c r="A11500" s="115"/>
      <c r="B11500" s="115"/>
      <c r="C11500" s="115"/>
      <c r="D11500" s="115"/>
      <c r="E11500" s="115"/>
    </row>
    <row r="11501" spans="1:5" ht="13">
      <c r="A11501" s="115"/>
      <c r="B11501" s="115"/>
      <c r="C11501" s="115"/>
      <c r="D11501" s="115"/>
      <c r="E11501" s="115"/>
    </row>
    <row r="11502" spans="1:5" ht="13">
      <c r="A11502" s="115"/>
      <c r="B11502" s="115"/>
      <c r="C11502" s="115"/>
      <c r="D11502" s="115"/>
      <c r="E11502" s="115"/>
    </row>
    <row r="11503" spans="1:5" ht="13">
      <c r="A11503" s="115"/>
      <c r="B11503" s="115"/>
      <c r="C11503" s="115"/>
      <c r="D11503" s="115"/>
      <c r="E11503" s="115"/>
    </row>
    <row r="11504" spans="1:5" ht="13">
      <c r="A11504" s="115"/>
      <c r="B11504" s="115"/>
      <c r="C11504" s="115"/>
      <c r="D11504" s="115"/>
      <c r="E11504" s="115"/>
    </row>
    <row r="11505" spans="1:5" ht="13">
      <c r="A11505" s="115"/>
      <c r="B11505" s="115"/>
      <c r="C11505" s="115"/>
      <c r="D11505" s="115"/>
      <c r="E11505" s="115"/>
    </row>
    <row r="11506" spans="1:5" ht="13">
      <c r="A11506" s="115"/>
      <c r="B11506" s="115"/>
      <c r="C11506" s="115"/>
      <c r="D11506" s="115"/>
      <c r="E11506" s="115"/>
    </row>
    <row r="11507" spans="1:5" ht="13">
      <c r="A11507" s="115"/>
      <c r="B11507" s="115"/>
      <c r="C11507" s="115"/>
      <c r="D11507" s="115"/>
      <c r="E11507" s="115"/>
    </row>
    <row r="11508" spans="1:5" ht="13">
      <c r="A11508" s="115"/>
      <c r="B11508" s="115"/>
      <c r="C11508" s="115"/>
      <c r="D11508" s="115"/>
      <c r="E11508" s="115"/>
    </row>
    <row r="11509" spans="1:5" ht="13">
      <c r="A11509" s="115"/>
      <c r="B11509" s="115"/>
      <c r="C11509" s="115"/>
      <c r="D11509" s="115"/>
      <c r="E11509" s="115"/>
    </row>
    <row r="11510" spans="1:5" ht="13">
      <c r="A11510" s="115"/>
      <c r="B11510" s="115"/>
      <c r="C11510" s="115"/>
      <c r="D11510" s="115"/>
      <c r="E11510" s="115"/>
    </row>
    <row r="11511" spans="1:5" ht="13">
      <c r="A11511" s="115"/>
      <c r="B11511" s="115"/>
      <c r="C11511" s="115"/>
      <c r="D11511" s="115"/>
      <c r="E11511" s="115"/>
    </row>
    <row r="11512" spans="1:5" ht="13">
      <c r="A11512" s="115"/>
      <c r="B11512" s="115"/>
      <c r="C11512" s="115"/>
      <c r="D11512" s="115"/>
      <c r="E11512" s="115"/>
    </row>
    <row r="11513" spans="1:5" ht="13">
      <c r="A11513" s="115"/>
      <c r="B11513" s="115"/>
      <c r="C11513" s="115"/>
      <c r="D11513" s="115"/>
      <c r="E11513" s="115"/>
    </row>
    <row r="11514" spans="1:5" ht="13">
      <c r="A11514" s="115"/>
      <c r="B11514" s="115"/>
      <c r="C11514" s="115"/>
      <c r="D11514" s="115"/>
      <c r="E11514" s="115"/>
    </row>
    <row r="11515" spans="1:5" ht="13">
      <c r="A11515" s="115"/>
      <c r="B11515" s="115"/>
      <c r="C11515" s="115"/>
      <c r="D11515" s="115"/>
      <c r="E11515" s="115"/>
    </row>
    <row r="11516" spans="1:5" ht="13">
      <c r="A11516" s="115"/>
      <c r="B11516" s="115"/>
      <c r="C11516" s="115"/>
      <c r="D11516" s="115"/>
      <c r="E11516" s="115"/>
    </row>
    <row r="11517" spans="1:5" ht="13">
      <c r="A11517" s="115"/>
      <c r="B11517" s="115"/>
      <c r="C11517" s="115"/>
      <c r="D11517" s="115"/>
      <c r="E11517" s="115"/>
    </row>
    <row r="11518" spans="1:5" ht="13">
      <c r="A11518" s="115"/>
      <c r="B11518" s="115"/>
      <c r="C11518" s="115"/>
      <c r="D11518" s="115"/>
      <c r="E11518" s="115"/>
    </row>
    <row r="11519" spans="1:5" ht="13">
      <c r="A11519" s="115"/>
      <c r="B11519" s="115"/>
      <c r="C11519" s="115"/>
      <c r="D11519" s="115"/>
      <c r="E11519" s="115"/>
    </row>
    <row r="11520" spans="1:5" ht="13">
      <c r="A11520" s="115"/>
      <c r="B11520" s="115"/>
      <c r="C11520" s="115"/>
      <c r="D11520" s="115"/>
      <c r="E11520" s="115"/>
    </row>
    <row r="11521" spans="1:5" ht="13">
      <c r="A11521" s="115"/>
      <c r="B11521" s="115"/>
      <c r="C11521" s="115"/>
      <c r="D11521" s="115"/>
      <c r="E11521" s="115"/>
    </row>
    <row r="11522" spans="1:5" ht="13">
      <c r="A11522" s="115"/>
      <c r="B11522" s="115"/>
      <c r="C11522" s="115"/>
      <c r="D11522" s="115"/>
      <c r="E11522" s="115"/>
    </row>
    <row r="11523" spans="1:5" ht="13">
      <c r="A11523" s="115"/>
      <c r="B11523" s="115"/>
      <c r="C11523" s="115"/>
      <c r="D11523" s="115"/>
      <c r="E11523" s="115"/>
    </row>
    <row r="11524" spans="1:5" ht="13">
      <c r="A11524" s="115"/>
      <c r="B11524" s="115"/>
      <c r="C11524" s="115"/>
      <c r="D11524" s="115"/>
      <c r="E11524" s="115"/>
    </row>
    <row r="11525" spans="1:5" ht="13">
      <c r="A11525" s="115"/>
      <c r="B11525" s="115"/>
      <c r="C11525" s="115"/>
      <c r="D11525" s="115"/>
      <c r="E11525" s="115"/>
    </row>
    <row r="11526" spans="1:5" ht="13">
      <c r="A11526" s="115"/>
      <c r="B11526" s="115"/>
      <c r="C11526" s="115"/>
      <c r="D11526" s="115"/>
      <c r="E11526" s="115"/>
    </row>
    <row r="11527" spans="1:5" ht="13">
      <c r="A11527" s="115"/>
      <c r="B11527" s="115"/>
      <c r="C11527" s="115"/>
      <c r="D11527" s="115"/>
      <c r="E11527" s="115"/>
    </row>
    <row r="11528" spans="1:5" ht="13">
      <c r="A11528" s="115"/>
      <c r="B11528" s="115"/>
      <c r="C11528" s="115"/>
      <c r="D11528" s="115"/>
      <c r="E11528" s="115"/>
    </row>
    <row r="11529" spans="1:5" ht="13">
      <c r="A11529" s="115"/>
      <c r="B11529" s="115"/>
      <c r="C11529" s="115"/>
      <c r="D11529" s="115"/>
      <c r="E11529" s="115"/>
    </row>
    <row r="11530" spans="1:5" ht="13">
      <c r="A11530" s="115"/>
      <c r="B11530" s="115"/>
      <c r="C11530" s="115"/>
      <c r="D11530" s="115"/>
      <c r="E11530" s="115"/>
    </row>
    <row r="11531" spans="1:5" ht="13">
      <c r="A11531" s="115"/>
      <c r="B11531" s="115"/>
      <c r="C11531" s="115"/>
      <c r="D11531" s="115"/>
      <c r="E11531" s="115"/>
    </row>
    <row r="11532" spans="1:5" ht="13">
      <c r="A11532" s="115"/>
      <c r="B11532" s="115"/>
      <c r="C11532" s="115"/>
      <c r="D11532" s="115"/>
      <c r="E11532" s="115"/>
    </row>
    <row r="11533" spans="1:5" ht="13">
      <c r="A11533" s="115"/>
      <c r="B11533" s="115"/>
      <c r="C11533" s="115"/>
      <c r="D11533" s="115"/>
      <c r="E11533" s="115"/>
    </row>
    <row r="11534" spans="1:5" ht="13">
      <c r="A11534" s="115"/>
      <c r="B11534" s="115"/>
      <c r="C11534" s="115"/>
      <c r="D11534" s="115"/>
      <c r="E11534" s="115"/>
    </row>
    <row r="11535" spans="1:5" ht="13">
      <c r="A11535" s="115"/>
      <c r="B11535" s="115"/>
      <c r="C11535" s="115"/>
      <c r="D11535" s="115"/>
      <c r="E11535" s="115"/>
    </row>
    <row r="11536" spans="1:5" ht="13">
      <c r="A11536" s="115"/>
      <c r="B11536" s="115"/>
      <c r="C11536" s="115"/>
      <c r="D11536" s="115"/>
      <c r="E11536" s="115"/>
    </row>
    <row r="11537" spans="1:5" ht="13">
      <c r="A11537" s="115"/>
      <c r="B11537" s="115"/>
      <c r="C11537" s="115"/>
      <c r="D11537" s="115"/>
      <c r="E11537" s="115"/>
    </row>
    <row r="11538" spans="1:5" ht="13">
      <c r="A11538" s="115"/>
      <c r="B11538" s="115"/>
      <c r="C11538" s="115"/>
      <c r="D11538" s="115"/>
      <c r="E11538" s="115"/>
    </row>
    <row r="11539" spans="1:5" ht="13">
      <c r="A11539" s="115"/>
      <c r="B11539" s="115"/>
      <c r="C11539" s="115"/>
      <c r="D11539" s="115"/>
      <c r="E11539" s="115"/>
    </row>
    <row r="11540" spans="1:5" ht="13">
      <c r="A11540" s="115"/>
      <c r="B11540" s="115"/>
      <c r="C11540" s="115"/>
      <c r="D11540" s="115"/>
      <c r="E11540" s="115"/>
    </row>
    <row r="11541" spans="1:5" ht="13">
      <c r="A11541" s="115"/>
      <c r="B11541" s="115"/>
      <c r="C11541" s="115"/>
      <c r="D11541" s="115"/>
      <c r="E11541" s="115"/>
    </row>
    <row r="11542" spans="1:5" ht="13">
      <c r="A11542" s="115"/>
      <c r="B11542" s="115"/>
      <c r="C11542" s="115"/>
      <c r="D11542" s="115"/>
      <c r="E11542" s="115"/>
    </row>
    <row r="11543" spans="1:5" ht="13">
      <c r="A11543" s="115"/>
      <c r="B11543" s="115"/>
      <c r="C11543" s="115"/>
      <c r="D11543" s="115"/>
      <c r="E11543" s="115"/>
    </row>
    <row r="11544" spans="1:5" ht="13">
      <c r="A11544" s="115"/>
      <c r="B11544" s="115"/>
      <c r="C11544" s="115"/>
      <c r="D11544" s="115"/>
      <c r="E11544" s="115"/>
    </row>
    <row r="11545" spans="1:5" ht="13">
      <c r="A11545" s="115"/>
      <c r="B11545" s="115"/>
      <c r="C11545" s="115"/>
      <c r="D11545" s="115"/>
      <c r="E11545" s="115"/>
    </row>
    <row r="11546" spans="1:5" ht="13">
      <c r="A11546" s="115"/>
      <c r="B11546" s="115"/>
      <c r="C11546" s="115"/>
      <c r="D11546" s="115"/>
      <c r="E11546" s="115"/>
    </row>
    <row r="11547" spans="1:5" ht="13">
      <c r="A11547" s="115"/>
      <c r="B11547" s="115"/>
      <c r="C11547" s="115"/>
      <c r="D11547" s="115"/>
      <c r="E11547" s="115"/>
    </row>
    <row r="11548" spans="1:5" ht="13">
      <c r="A11548" s="115"/>
      <c r="B11548" s="115"/>
      <c r="C11548" s="115"/>
      <c r="D11548" s="115"/>
      <c r="E11548" s="115"/>
    </row>
    <row r="11549" spans="1:5" ht="13">
      <c r="A11549" s="115"/>
      <c r="B11549" s="115"/>
      <c r="C11549" s="115"/>
      <c r="D11549" s="115"/>
      <c r="E11549" s="115"/>
    </row>
    <row r="11550" spans="1:5" ht="13">
      <c r="A11550" s="115"/>
      <c r="B11550" s="115"/>
      <c r="C11550" s="115"/>
      <c r="D11550" s="115"/>
      <c r="E11550" s="115"/>
    </row>
    <row r="11551" spans="1:5" ht="13">
      <c r="A11551" s="115"/>
      <c r="B11551" s="115"/>
      <c r="C11551" s="115"/>
      <c r="D11551" s="115"/>
      <c r="E11551" s="115"/>
    </row>
    <row r="11552" spans="1:5" ht="13">
      <c r="A11552" s="115"/>
      <c r="B11552" s="115"/>
      <c r="C11552" s="115"/>
      <c r="D11552" s="115"/>
      <c r="E11552" s="115"/>
    </row>
    <row r="11553" spans="1:5" ht="13">
      <c r="A11553" s="115"/>
      <c r="B11553" s="115"/>
      <c r="C11553" s="115"/>
      <c r="D11553" s="115"/>
      <c r="E11553" s="115"/>
    </row>
    <row r="11554" spans="1:5" ht="13">
      <c r="A11554" s="115"/>
      <c r="B11554" s="115"/>
      <c r="C11554" s="115"/>
      <c r="D11554" s="115"/>
      <c r="E11554" s="115"/>
    </row>
    <row r="11555" spans="1:5" ht="13">
      <c r="A11555" s="115"/>
      <c r="B11555" s="115"/>
      <c r="C11555" s="115"/>
      <c r="D11555" s="115"/>
      <c r="E11555" s="115"/>
    </row>
    <row r="11556" spans="1:5" ht="13">
      <c r="A11556" s="115"/>
      <c r="B11556" s="115"/>
      <c r="C11556" s="115"/>
      <c r="D11556" s="115"/>
      <c r="E11556" s="115"/>
    </row>
    <row r="11557" spans="1:5" ht="13">
      <c r="A11557" s="115"/>
      <c r="B11557" s="115"/>
      <c r="C11557" s="115"/>
      <c r="D11557" s="115"/>
      <c r="E11557" s="115"/>
    </row>
    <row r="11558" spans="1:5" ht="13">
      <c r="A11558" s="115"/>
      <c r="B11558" s="115"/>
      <c r="C11558" s="115"/>
      <c r="D11558" s="115"/>
      <c r="E11558" s="115"/>
    </row>
    <row r="11559" spans="1:5" ht="13">
      <c r="A11559" s="115"/>
      <c r="B11559" s="115"/>
      <c r="C11559" s="115"/>
      <c r="D11559" s="115"/>
      <c r="E11559" s="115"/>
    </row>
    <row r="11560" spans="1:5" ht="13">
      <c r="A11560" s="115"/>
      <c r="B11560" s="115"/>
      <c r="C11560" s="115"/>
      <c r="D11560" s="115"/>
      <c r="E11560" s="115"/>
    </row>
    <row r="11561" spans="1:5" ht="13">
      <c r="A11561" s="115"/>
      <c r="B11561" s="115"/>
      <c r="C11561" s="115"/>
      <c r="D11561" s="115"/>
      <c r="E11561" s="115"/>
    </row>
    <row r="11562" spans="1:5" ht="13">
      <c r="A11562" s="115"/>
      <c r="B11562" s="115"/>
      <c r="C11562" s="115"/>
      <c r="D11562" s="115"/>
      <c r="E11562" s="115"/>
    </row>
    <row r="11563" spans="1:5" ht="13">
      <c r="A11563" s="115"/>
      <c r="B11563" s="115"/>
      <c r="C11563" s="115"/>
      <c r="D11563" s="115"/>
      <c r="E11563" s="115"/>
    </row>
    <row r="11564" spans="1:5" ht="13">
      <c r="A11564" s="115"/>
      <c r="B11564" s="115"/>
      <c r="C11564" s="115"/>
      <c r="D11564" s="115"/>
      <c r="E11564" s="115"/>
    </row>
    <row r="11565" spans="1:5" ht="13">
      <c r="A11565" s="115"/>
      <c r="B11565" s="115"/>
      <c r="C11565" s="115"/>
      <c r="D11565" s="115"/>
      <c r="E11565" s="115"/>
    </row>
    <row r="11566" spans="1:5" ht="13">
      <c r="A11566" s="115"/>
      <c r="B11566" s="115"/>
      <c r="C11566" s="115"/>
      <c r="D11566" s="115"/>
      <c r="E11566" s="115"/>
    </row>
    <row r="11567" spans="1:5" ht="13">
      <c r="A11567" s="115"/>
      <c r="B11567" s="115"/>
      <c r="C11567" s="115"/>
      <c r="D11567" s="115"/>
      <c r="E11567" s="115"/>
    </row>
    <row r="11568" spans="1:5" ht="13">
      <c r="A11568" s="115"/>
      <c r="B11568" s="115"/>
      <c r="C11568" s="115"/>
      <c r="D11568" s="115"/>
      <c r="E11568" s="115"/>
    </row>
    <row r="11569" spans="1:5" ht="13">
      <c r="A11569" s="115"/>
      <c r="B11569" s="115"/>
      <c r="C11569" s="115"/>
      <c r="D11569" s="115"/>
      <c r="E11569" s="115"/>
    </row>
    <row r="11570" spans="1:5" ht="13">
      <c r="A11570" s="115"/>
      <c r="B11570" s="115"/>
      <c r="C11570" s="115"/>
      <c r="D11570" s="115"/>
      <c r="E11570" s="115"/>
    </row>
    <row r="11571" spans="1:5" ht="13">
      <c r="A11571" s="115"/>
      <c r="B11571" s="115"/>
      <c r="C11571" s="115"/>
      <c r="D11571" s="115"/>
      <c r="E11571" s="115"/>
    </row>
    <row r="11572" spans="1:5" ht="13">
      <c r="A11572" s="115"/>
      <c r="B11572" s="115"/>
      <c r="C11572" s="115"/>
      <c r="D11572" s="115"/>
      <c r="E11572" s="115"/>
    </row>
    <row r="11573" spans="1:5" ht="13">
      <c r="A11573" s="115"/>
      <c r="B11573" s="115"/>
      <c r="C11573" s="115"/>
      <c r="D11573" s="115"/>
      <c r="E11573" s="115"/>
    </row>
    <row r="11574" spans="1:5" ht="13">
      <c r="A11574" s="115"/>
      <c r="B11574" s="115"/>
      <c r="C11574" s="115"/>
      <c r="D11574" s="115"/>
      <c r="E11574" s="115"/>
    </row>
    <row r="11575" spans="1:5" ht="13">
      <c r="A11575" s="115"/>
      <c r="B11575" s="115"/>
      <c r="C11575" s="115"/>
      <c r="D11575" s="115"/>
      <c r="E11575" s="115"/>
    </row>
    <row r="11576" spans="1:5" ht="13">
      <c r="A11576" s="115"/>
      <c r="B11576" s="115"/>
      <c r="C11576" s="115"/>
      <c r="D11576" s="115"/>
      <c r="E11576" s="115"/>
    </row>
    <row r="11577" spans="1:5" ht="13">
      <c r="A11577" s="115"/>
      <c r="B11577" s="115"/>
      <c r="C11577" s="115"/>
      <c r="D11577" s="115"/>
      <c r="E11577" s="115"/>
    </row>
    <row r="11578" spans="1:5" ht="13">
      <c r="A11578" s="115"/>
      <c r="B11578" s="115"/>
      <c r="C11578" s="115"/>
      <c r="D11578" s="115"/>
      <c r="E11578" s="115"/>
    </row>
    <row r="11579" spans="1:5" ht="13">
      <c r="A11579" s="115"/>
      <c r="B11579" s="115"/>
      <c r="C11579" s="115"/>
      <c r="D11579" s="115"/>
      <c r="E11579" s="115"/>
    </row>
    <row r="11580" spans="1:5" ht="13">
      <c r="A11580" s="115"/>
      <c r="B11580" s="115"/>
      <c r="C11580" s="115"/>
      <c r="D11580" s="115"/>
      <c r="E11580" s="115"/>
    </row>
    <row r="11581" spans="1:5" ht="13">
      <c r="A11581" s="115"/>
      <c r="B11581" s="115"/>
      <c r="C11581" s="115"/>
      <c r="D11581" s="115"/>
      <c r="E11581" s="115"/>
    </row>
    <row r="11582" spans="1:5" ht="13">
      <c r="A11582" s="115"/>
      <c r="B11582" s="115"/>
      <c r="C11582" s="115"/>
      <c r="D11582" s="115"/>
      <c r="E11582" s="115"/>
    </row>
    <row r="11583" spans="1:5" ht="13">
      <c r="A11583" s="115"/>
      <c r="B11583" s="115"/>
      <c r="C11583" s="115"/>
      <c r="D11583" s="115"/>
      <c r="E11583" s="115"/>
    </row>
    <row r="11584" spans="1:5" ht="13">
      <c r="A11584" s="115"/>
      <c r="B11584" s="115"/>
      <c r="C11584" s="115"/>
      <c r="D11584" s="115"/>
      <c r="E11584" s="115"/>
    </row>
    <row r="11585" spans="1:5" ht="13">
      <c r="A11585" s="115"/>
      <c r="B11585" s="115"/>
      <c r="C11585" s="115"/>
      <c r="D11585" s="115"/>
      <c r="E11585" s="115"/>
    </row>
    <row r="11586" spans="1:5" ht="13">
      <c r="A11586" s="115"/>
      <c r="B11586" s="115"/>
      <c r="C11586" s="115"/>
      <c r="D11586" s="115"/>
      <c r="E11586" s="115"/>
    </row>
    <row r="11587" spans="1:5" ht="13">
      <c r="A11587" s="115"/>
      <c r="B11587" s="115"/>
      <c r="C11587" s="115"/>
      <c r="D11587" s="115"/>
      <c r="E11587" s="115"/>
    </row>
    <row r="11588" spans="1:5" ht="13">
      <c r="A11588" s="115"/>
      <c r="B11588" s="115"/>
      <c r="C11588" s="115"/>
      <c r="D11588" s="115"/>
      <c r="E11588" s="115"/>
    </row>
    <row r="11589" spans="1:5" ht="13">
      <c r="A11589" s="115"/>
      <c r="B11589" s="115"/>
      <c r="C11589" s="115"/>
      <c r="D11589" s="115"/>
      <c r="E11589" s="115"/>
    </row>
    <row r="11590" spans="1:5" ht="13">
      <c r="A11590" s="115"/>
      <c r="B11590" s="115"/>
      <c r="C11590" s="115"/>
      <c r="D11590" s="115"/>
      <c r="E11590" s="115"/>
    </row>
    <row r="11591" spans="1:5" ht="13">
      <c r="A11591" s="115"/>
      <c r="B11591" s="115"/>
      <c r="C11591" s="115"/>
      <c r="D11591" s="115"/>
      <c r="E11591" s="115"/>
    </row>
    <row r="11592" spans="1:5" ht="13">
      <c r="A11592" s="115"/>
      <c r="B11592" s="115"/>
      <c r="C11592" s="115"/>
      <c r="D11592" s="115"/>
      <c r="E11592" s="115"/>
    </row>
    <row r="11593" spans="1:5" ht="13">
      <c r="A11593" s="115"/>
      <c r="B11593" s="115"/>
      <c r="C11593" s="115"/>
      <c r="D11593" s="115"/>
      <c r="E11593" s="115"/>
    </row>
    <row r="11594" spans="1:5" ht="13">
      <c r="A11594" s="115"/>
      <c r="B11594" s="115"/>
      <c r="C11594" s="115"/>
      <c r="D11594" s="115"/>
      <c r="E11594" s="115"/>
    </row>
    <row r="11595" spans="1:5" ht="13">
      <c r="A11595" s="115"/>
      <c r="B11595" s="115"/>
      <c r="C11595" s="115"/>
      <c r="D11595" s="115"/>
      <c r="E11595" s="115"/>
    </row>
    <row r="11596" spans="1:5" ht="13">
      <c r="A11596" s="115"/>
      <c r="B11596" s="115"/>
      <c r="C11596" s="115"/>
      <c r="D11596" s="115"/>
      <c r="E11596" s="115"/>
    </row>
    <row r="11597" spans="1:5" ht="13">
      <c r="A11597" s="115"/>
      <c r="B11597" s="115"/>
      <c r="C11597" s="115"/>
      <c r="D11597" s="115"/>
      <c r="E11597" s="115"/>
    </row>
    <row r="11598" spans="1:5" ht="13">
      <c r="A11598" s="115"/>
      <c r="B11598" s="115"/>
      <c r="C11598" s="115"/>
      <c r="D11598" s="115"/>
      <c r="E11598" s="115"/>
    </row>
    <row r="11599" spans="1:5" ht="13">
      <c r="A11599" s="115"/>
      <c r="B11599" s="115"/>
      <c r="C11599" s="115"/>
      <c r="D11599" s="115"/>
      <c r="E11599" s="115"/>
    </row>
    <row r="11600" spans="1:5" ht="13">
      <c r="A11600" s="115"/>
      <c r="B11600" s="115"/>
      <c r="C11600" s="115"/>
      <c r="D11600" s="115"/>
      <c r="E11600" s="115"/>
    </row>
    <row r="11601" spans="1:5" ht="13">
      <c r="A11601" s="115"/>
      <c r="B11601" s="115"/>
      <c r="C11601" s="115"/>
      <c r="D11601" s="115"/>
      <c r="E11601" s="115"/>
    </row>
    <row r="11602" spans="1:5" ht="13">
      <c r="A11602" s="115"/>
      <c r="B11602" s="115"/>
      <c r="C11602" s="115"/>
      <c r="D11602" s="115"/>
      <c r="E11602" s="115"/>
    </row>
    <row r="11603" spans="1:5" ht="13">
      <c r="A11603" s="115"/>
      <c r="B11603" s="115"/>
      <c r="C11603" s="115"/>
      <c r="D11603" s="115"/>
      <c r="E11603" s="115"/>
    </row>
    <row r="11604" spans="1:5" ht="13">
      <c r="A11604" s="115"/>
      <c r="B11604" s="115"/>
      <c r="C11604" s="115"/>
      <c r="D11604" s="115"/>
      <c r="E11604" s="115"/>
    </row>
    <row r="11605" spans="1:5" ht="13">
      <c r="A11605" s="115"/>
      <c r="B11605" s="115"/>
      <c r="C11605" s="115"/>
      <c r="D11605" s="115"/>
      <c r="E11605" s="115"/>
    </row>
    <row r="11606" spans="1:5" ht="13">
      <c r="A11606" s="115"/>
      <c r="B11606" s="115"/>
      <c r="C11606" s="115"/>
      <c r="D11606" s="115"/>
      <c r="E11606" s="115"/>
    </row>
    <row r="11607" spans="1:5" ht="13">
      <c r="A11607" s="115"/>
      <c r="B11607" s="115"/>
      <c r="C11607" s="115"/>
      <c r="D11607" s="115"/>
      <c r="E11607" s="115"/>
    </row>
    <row r="11608" spans="1:5" ht="13">
      <c r="A11608" s="115"/>
      <c r="B11608" s="115"/>
      <c r="C11608" s="115"/>
      <c r="D11608" s="115"/>
      <c r="E11608" s="115"/>
    </row>
    <row r="11609" spans="1:5" ht="13">
      <c r="A11609" s="115"/>
      <c r="B11609" s="115"/>
      <c r="C11609" s="115"/>
      <c r="D11609" s="115"/>
      <c r="E11609" s="115"/>
    </row>
    <row r="11610" spans="1:5" ht="13">
      <c r="A11610" s="115"/>
      <c r="B11610" s="115"/>
      <c r="C11610" s="115"/>
      <c r="D11610" s="115"/>
      <c r="E11610" s="115"/>
    </row>
    <row r="11611" spans="1:5" ht="13">
      <c r="A11611" s="115"/>
      <c r="B11611" s="115"/>
      <c r="C11611" s="115"/>
      <c r="D11611" s="115"/>
      <c r="E11611" s="115"/>
    </row>
    <row r="11612" spans="1:5" ht="13">
      <c r="A11612" s="115"/>
      <c r="B11612" s="115"/>
      <c r="C11612" s="115"/>
      <c r="D11612" s="115"/>
      <c r="E11612" s="115"/>
    </row>
    <row r="11613" spans="1:5" ht="13">
      <c r="A11613" s="115"/>
      <c r="B11613" s="115"/>
      <c r="C11613" s="115"/>
      <c r="D11613" s="115"/>
      <c r="E11613" s="115"/>
    </row>
    <row r="11614" spans="1:5" ht="13">
      <c r="A11614" s="115"/>
      <c r="B11614" s="115"/>
      <c r="C11614" s="115"/>
      <c r="D11614" s="115"/>
      <c r="E11614" s="115"/>
    </row>
    <row r="11615" spans="1:5" ht="13">
      <c r="A11615" s="115"/>
      <c r="B11615" s="115"/>
      <c r="C11615" s="115"/>
      <c r="D11615" s="115"/>
      <c r="E11615" s="115"/>
    </row>
    <row r="11616" spans="1:5" ht="13">
      <c r="A11616" s="115"/>
      <c r="B11616" s="115"/>
      <c r="C11616" s="115"/>
      <c r="D11616" s="115"/>
      <c r="E11616" s="115"/>
    </row>
    <row r="11617" spans="1:5" ht="13">
      <c r="A11617" s="115"/>
      <c r="B11617" s="115"/>
      <c r="C11617" s="115"/>
      <c r="D11617" s="115"/>
      <c r="E11617" s="115"/>
    </row>
    <row r="11618" spans="1:5" ht="13">
      <c r="A11618" s="115"/>
      <c r="B11618" s="115"/>
      <c r="C11618" s="115"/>
      <c r="D11618" s="115"/>
      <c r="E11618" s="115"/>
    </row>
    <row r="11619" spans="1:5" ht="13">
      <c r="A11619" s="115"/>
      <c r="B11619" s="115"/>
      <c r="C11619" s="115"/>
      <c r="D11619" s="115"/>
      <c r="E11619" s="115"/>
    </row>
    <row r="11620" spans="1:5" ht="13">
      <c r="A11620" s="115"/>
      <c r="B11620" s="115"/>
      <c r="C11620" s="115"/>
      <c r="D11620" s="115"/>
      <c r="E11620" s="115"/>
    </row>
    <row r="11621" spans="1:5" ht="13">
      <c r="A11621" s="115"/>
      <c r="B11621" s="115"/>
      <c r="C11621" s="115"/>
      <c r="D11621" s="115"/>
      <c r="E11621" s="115"/>
    </row>
    <row r="11622" spans="1:5" ht="13">
      <c r="A11622" s="115"/>
      <c r="B11622" s="115"/>
      <c r="C11622" s="115"/>
      <c r="D11622" s="115"/>
      <c r="E11622" s="115"/>
    </row>
    <row r="11623" spans="1:5" ht="13">
      <c r="A11623" s="115"/>
      <c r="B11623" s="115"/>
      <c r="C11623" s="115"/>
      <c r="D11623" s="115"/>
      <c r="E11623" s="115"/>
    </row>
    <row r="11624" spans="1:5" ht="13">
      <c r="A11624" s="115"/>
      <c r="B11624" s="115"/>
      <c r="C11624" s="115"/>
      <c r="D11624" s="115"/>
      <c r="E11624" s="115"/>
    </row>
    <row r="11625" spans="1:5" ht="13">
      <c r="A11625" s="115"/>
      <c r="B11625" s="115"/>
      <c r="C11625" s="115"/>
      <c r="D11625" s="115"/>
      <c r="E11625" s="115"/>
    </row>
    <row r="11626" spans="1:5" ht="13">
      <c r="A11626" s="115"/>
      <c r="B11626" s="115"/>
      <c r="C11626" s="115"/>
      <c r="D11626" s="115"/>
      <c r="E11626" s="115"/>
    </row>
    <row r="11627" spans="1:5" ht="13">
      <c r="A11627" s="115"/>
      <c r="B11627" s="115"/>
      <c r="C11627" s="115"/>
      <c r="D11627" s="115"/>
      <c r="E11627" s="115"/>
    </row>
    <row r="11628" spans="1:5" ht="13">
      <c r="A11628" s="115"/>
      <c r="B11628" s="115"/>
      <c r="C11628" s="115"/>
      <c r="D11628" s="115"/>
      <c r="E11628" s="115"/>
    </row>
    <row r="11629" spans="1:5" ht="13">
      <c r="A11629" s="115"/>
      <c r="B11629" s="115"/>
      <c r="C11629" s="115"/>
      <c r="D11629" s="115"/>
      <c r="E11629" s="115"/>
    </row>
    <row r="11630" spans="1:5" ht="13">
      <c r="A11630" s="115"/>
      <c r="B11630" s="115"/>
      <c r="C11630" s="115"/>
      <c r="D11630" s="115"/>
      <c r="E11630" s="115"/>
    </row>
    <row r="11631" spans="1:5" ht="13">
      <c r="A11631" s="115"/>
      <c r="B11631" s="115"/>
      <c r="C11631" s="115"/>
      <c r="D11631" s="115"/>
      <c r="E11631" s="115"/>
    </row>
    <row r="11632" spans="1:5" ht="13">
      <c r="A11632" s="115"/>
      <c r="B11632" s="115"/>
      <c r="C11632" s="115"/>
      <c r="D11632" s="115"/>
      <c r="E11632" s="115"/>
    </row>
    <row r="11633" spans="1:5" ht="13">
      <c r="A11633" s="115"/>
      <c r="B11633" s="115"/>
      <c r="C11633" s="115"/>
      <c r="D11633" s="115"/>
      <c r="E11633" s="115"/>
    </row>
    <row r="11634" spans="1:5" ht="13">
      <c r="A11634" s="115"/>
      <c r="B11634" s="115"/>
      <c r="C11634" s="115"/>
      <c r="D11634" s="115"/>
      <c r="E11634" s="115"/>
    </row>
    <row r="11635" spans="1:5" ht="13">
      <c r="A11635" s="115"/>
      <c r="B11635" s="115"/>
      <c r="C11635" s="115"/>
      <c r="D11635" s="115"/>
      <c r="E11635" s="115"/>
    </row>
    <row r="11636" spans="1:5" ht="13">
      <c r="A11636" s="115"/>
      <c r="B11636" s="115"/>
      <c r="C11636" s="115"/>
      <c r="D11636" s="115"/>
      <c r="E11636" s="115"/>
    </row>
    <row r="11637" spans="1:5" ht="13">
      <c r="A11637" s="115"/>
      <c r="B11637" s="115"/>
      <c r="C11637" s="115"/>
      <c r="D11637" s="115"/>
      <c r="E11637" s="115"/>
    </row>
    <row r="11638" spans="1:5" ht="13">
      <c r="A11638" s="115"/>
      <c r="B11638" s="115"/>
      <c r="C11638" s="115"/>
      <c r="D11638" s="115"/>
      <c r="E11638" s="115"/>
    </row>
    <row r="11639" spans="1:5" ht="13">
      <c r="A11639" s="115"/>
      <c r="B11639" s="115"/>
      <c r="C11639" s="115"/>
      <c r="D11639" s="115"/>
      <c r="E11639" s="115"/>
    </row>
    <row r="11640" spans="1:5" ht="13">
      <c r="A11640" s="115"/>
      <c r="B11640" s="115"/>
      <c r="C11640" s="115"/>
      <c r="D11640" s="115"/>
      <c r="E11640" s="115"/>
    </row>
    <row r="11641" spans="1:5" ht="13">
      <c r="A11641" s="115"/>
      <c r="B11641" s="115"/>
      <c r="C11641" s="115"/>
      <c r="D11641" s="115"/>
      <c r="E11641" s="115"/>
    </row>
    <row r="11642" spans="1:5" ht="13">
      <c r="A11642" s="115"/>
      <c r="B11642" s="115"/>
      <c r="C11642" s="115"/>
      <c r="D11642" s="115"/>
      <c r="E11642" s="115"/>
    </row>
    <row r="11643" spans="1:5" ht="13">
      <c r="A11643" s="115"/>
      <c r="B11643" s="115"/>
      <c r="C11643" s="115"/>
      <c r="D11643" s="115"/>
      <c r="E11643" s="115"/>
    </row>
    <row r="11644" spans="1:5" ht="13">
      <c r="A11644" s="115"/>
      <c r="B11644" s="115"/>
      <c r="C11644" s="115"/>
      <c r="D11644" s="115"/>
      <c r="E11644" s="115"/>
    </row>
    <row r="11645" spans="1:5" ht="13">
      <c r="A11645" s="115"/>
      <c r="B11645" s="115"/>
      <c r="C11645" s="115"/>
      <c r="D11645" s="115"/>
      <c r="E11645" s="115"/>
    </row>
    <row r="11646" spans="1:5" ht="13">
      <c r="A11646" s="115"/>
      <c r="B11646" s="115"/>
      <c r="C11646" s="115"/>
      <c r="D11646" s="115"/>
      <c r="E11646" s="115"/>
    </row>
    <row r="11647" spans="1:5" ht="13">
      <c r="A11647" s="115"/>
      <c r="B11647" s="115"/>
      <c r="C11647" s="115"/>
      <c r="D11647" s="115"/>
      <c r="E11647" s="115"/>
    </row>
    <row r="11648" spans="1:5" ht="13">
      <c r="A11648" s="115"/>
      <c r="B11648" s="115"/>
      <c r="C11648" s="115"/>
      <c r="D11648" s="115"/>
      <c r="E11648" s="115"/>
    </row>
    <row r="11649" spans="1:5" ht="13">
      <c r="A11649" s="115"/>
      <c r="B11649" s="115"/>
      <c r="C11649" s="115"/>
      <c r="D11649" s="115"/>
      <c r="E11649" s="115"/>
    </row>
    <row r="11650" spans="1:5" ht="13">
      <c r="A11650" s="115"/>
      <c r="B11650" s="115"/>
      <c r="C11650" s="115"/>
      <c r="D11650" s="115"/>
      <c r="E11650" s="115"/>
    </row>
    <row r="11651" spans="1:5" ht="13">
      <c r="A11651" s="115"/>
      <c r="B11651" s="115"/>
      <c r="C11651" s="115"/>
      <c r="D11651" s="115"/>
      <c r="E11651" s="115"/>
    </row>
    <row r="11652" spans="1:5" ht="13">
      <c r="A11652" s="115"/>
      <c r="B11652" s="115"/>
      <c r="C11652" s="115"/>
      <c r="D11652" s="115"/>
      <c r="E11652" s="115"/>
    </row>
    <row r="11653" spans="1:5" ht="13">
      <c r="A11653" s="115"/>
      <c r="B11653" s="115"/>
      <c r="C11653" s="115"/>
      <c r="D11653" s="115"/>
      <c r="E11653" s="115"/>
    </row>
    <row r="11654" spans="1:5" ht="13">
      <c r="A11654" s="115"/>
      <c r="B11654" s="115"/>
      <c r="C11654" s="115"/>
      <c r="D11654" s="115"/>
      <c r="E11654" s="115"/>
    </row>
    <row r="11655" spans="1:5" ht="13">
      <c r="A11655" s="115"/>
      <c r="B11655" s="115"/>
      <c r="C11655" s="115"/>
      <c r="D11655" s="115"/>
      <c r="E11655" s="115"/>
    </row>
    <row r="11656" spans="1:5" ht="13">
      <c r="A11656" s="115"/>
      <c r="B11656" s="115"/>
      <c r="C11656" s="115"/>
      <c r="D11656" s="115"/>
      <c r="E11656" s="115"/>
    </row>
    <row r="11657" spans="1:5" ht="13">
      <c r="A11657" s="115"/>
      <c r="B11657" s="115"/>
      <c r="C11657" s="115"/>
      <c r="D11657" s="115"/>
      <c r="E11657" s="115"/>
    </row>
    <row r="11658" spans="1:5" ht="13">
      <c r="A11658" s="115"/>
      <c r="B11658" s="115"/>
      <c r="C11658" s="115"/>
      <c r="D11658" s="115"/>
      <c r="E11658" s="115"/>
    </row>
    <row r="11659" spans="1:5" ht="13">
      <c r="A11659" s="115"/>
      <c r="B11659" s="115"/>
      <c r="C11659" s="115"/>
      <c r="D11659" s="115"/>
      <c r="E11659" s="115"/>
    </row>
    <row r="11660" spans="1:5" ht="13">
      <c r="A11660" s="115"/>
      <c r="B11660" s="115"/>
      <c r="C11660" s="115"/>
      <c r="D11660" s="115"/>
      <c r="E11660" s="115"/>
    </row>
    <row r="11661" spans="1:5" ht="13">
      <c r="A11661" s="115"/>
      <c r="B11661" s="115"/>
      <c r="C11661" s="115"/>
      <c r="D11661" s="115"/>
      <c r="E11661" s="115"/>
    </row>
    <row r="11662" spans="1:5" ht="13">
      <c r="A11662" s="115"/>
      <c r="B11662" s="115"/>
      <c r="C11662" s="115"/>
      <c r="D11662" s="115"/>
      <c r="E11662" s="115"/>
    </row>
    <row r="11663" spans="1:5" ht="13">
      <c r="A11663" s="115"/>
      <c r="B11663" s="115"/>
      <c r="C11663" s="115"/>
      <c r="D11663" s="115"/>
      <c r="E11663" s="115"/>
    </row>
    <row r="11664" spans="1:5" ht="13">
      <c r="A11664" s="115"/>
      <c r="B11664" s="115"/>
      <c r="C11664" s="115"/>
      <c r="D11664" s="115"/>
      <c r="E11664" s="115"/>
    </row>
    <row r="11665" spans="1:5" ht="13">
      <c r="A11665" s="115"/>
      <c r="B11665" s="115"/>
      <c r="C11665" s="115"/>
      <c r="D11665" s="115"/>
      <c r="E11665" s="115"/>
    </row>
    <row r="11666" spans="1:5" ht="13">
      <c r="A11666" s="115"/>
      <c r="B11666" s="115"/>
      <c r="C11666" s="115"/>
      <c r="D11666" s="115"/>
      <c r="E11666" s="115"/>
    </row>
    <row r="11667" spans="1:5" ht="13">
      <c r="A11667" s="115"/>
      <c r="B11667" s="115"/>
      <c r="C11667" s="115"/>
      <c r="D11667" s="115"/>
      <c r="E11667" s="115"/>
    </row>
    <row r="11668" spans="1:5" ht="13">
      <c r="A11668" s="115"/>
      <c r="B11668" s="115"/>
      <c r="C11668" s="115"/>
      <c r="D11668" s="115"/>
      <c r="E11668" s="115"/>
    </row>
    <row r="11669" spans="1:5" ht="13">
      <c r="A11669" s="115"/>
      <c r="B11669" s="115"/>
      <c r="C11669" s="115"/>
      <c r="D11669" s="115"/>
      <c r="E11669" s="115"/>
    </row>
    <row r="11670" spans="1:5" ht="13">
      <c r="A11670" s="115"/>
      <c r="B11670" s="115"/>
      <c r="C11670" s="115"/>
      <c r="D11670" s="115"/>
      <c r="E11670" s="115"/>
    </row>
    <row r="11671" spans="1:5" ht="13">
      <c r="A11671" s="115"/>
      <c r="B11671" s="115"/>
      <c r="C11671" s="115"/>
      <c r="D11671" s="115"/>
      <c r="E11671" s="115"/>
    </row>
    <row r="11672" spans="1:5" ht="13">
      <c r="A11672" s="115"/>
      <c r="B11672" s="115"/>
      <c r="C11672" s="115"/>
      <c r="D11672" s="115"/>
      <c r="E11672" s="115"/>
    </row>
    <row r="11673" spans="1:5" ht="13">
      <c r="A11673" s="115"/>
      <c r="B11673" s="115"/>
      <c r="C11673" s="115"/>
      <c r="D11673" s="115"/>
      <c r="E11673" s="115"/>
    </row>
    <row r="11674" spans="1:5" ht="13">
      <c r="A11674" s="115"/>
      <c r="B11674" s="115"/>
      <c r="C11674" s="115"/>
      <c r="D11674" s="115"/>
      <c r="E11674" s="115"/>
    </row>
    <row r="11675" spans="1:5" ht="13">
      <c r="A11675" s="115"/>
      <c r="B11675" s="115"/>
      <c r="C11675" s="115"/>
      <c r="D11675" s="115"/>
      <c r="E11675" s="115"/>
    </row>
    <row r="11676" spans="1:5" ht="13">
      <c r="A11676" s="115"/>
      <c r="B11676" s="115"/>
      <c r="C11676" s="115"/>
      <c r="D11676" s="115"/>
      <c r="E11676" s="115"/>
    </row>
    <row r="11677" spans="1:5" ht="13">
      <c r="A11677" s="115"/>
      <c r="B11677" s="115"/>
      <c r="C11677" s="115"/>
      <c r="D11677" s="115"/>
      <c r="E11677" s="115"/>
    </row>
    <row r="11678" spans="1:5" ht="13">
      <c r="A11678" s="115"/>
      <c r="B11678" s="115"/>
      <c r="C11678" s="115"/>
      <c r="D11678" s="115"/>
      <c r="E11678" s="115"/>
    </row>
    <row r="11679" spans="1:5" ht="13">
      <c r="A11679" s="115"/>
      <c r="B11679" s="115"/>
      <c r="C11679" s="115"/>
      <c r="D11679" s="115"/>
      <c r="E11679" s="115"/>
    </row>
    <row r="11680" spans="1:5" ht="13">
      <c r="A11680" s="115"/>
      <c r="B11680" s="115"/>
      <c r="C11680" s="115"/>
      <c r="D11680" s="115"/>
      <c r="E11680" s="115"/>
    </row>
    <row r="11681" spans="1:5" ht="13">
      <c r="A11681" s="115"/>
      <c r="B11681" s="115"/>
      <c r="C11681" s="115"/>
      <c r="D11681" s="115"/>
      <c r="E11681" s="115"/>
    </row>
    <row r="11682" spans="1:5" ht="13">
      <c r="A11682" s="115"/>
      <c r="B11682" s="115"/>
      <c r="C11682" s="115"/>
      <c r="D11682" s="115"/>
      <c r="E11682" s="115"/>
    </row>
    <row r="11683" spans="1:5" ht="13">
      <c r="A11683" s="115"/>
      <c r="B11683" s="115"/>
      <c r="C11683" s="115"/>
      <c r="D11683" s="115"/>
      <c r="E11683" s="115"/>
    </row>
    <row r="11684" spans="1:5" ht="13">
      <c r="A11684" s="115"/>
      <c r="B11684" s="115"/>
      <c r="C11684" s="115"/>
      <c r="D11684" s="115"/>
      <c r="E11684" s="115"/>
    </row>
    <row r="11685" spans="1:5" ht="13">
      <c r="A11685" s="115"/>
      <c r="B11685" s="115"/>
      <c r="C11685" s="115"/>
      <c r="D11685" s="115"/>
      <c r="E11685" s="115"/>
    </row>
    <row r="11686" spans="1:5" ht="13">
      <c r="A11686" s="115"/>
      <c r="B11686" s="115"/>
      <c r="C11686" s="115"/>
      <c r="D11686" s="115"/>
      <c r="E11686" s="115"/>
    </row>
    <row r="11687" spans="1:5" ht="13">
      <c r="A11687" s="115"/>
      <c r="B11687" s="115"/>
      <c r="C11687" s="115"/>
      <c r="D11687" s="115"/>
      <c r="E11687" s="115"/>
    </row>
    <row r="11688" spans="1:5" ht="13">
      <c r="A11688" s="115"/>
      <c r="B11688" s="115"/>
      <c r="C11688" s="115"/>
      <c r="D11688" s="115"/>
      <c r="E11688" s="115"/>
    </row>
    <row r="11689" spans="1:5" ht="13">
      <c r="A11689" s="115"/>
      <c r="B11689" s="115"/>
      <c r="C11689" s="115"/>
      <c r="D11689" s="115"/>
      <c r="E11689" s="115"/>
    </row>
    <row r="11690" spans="1:5" ht="13">
      <c r="A11690" s="115"/>
      <c r="B11690" s="115"/>
      <c r="C11690" s="115"/>
      <c r="D11690" s="115"/>
      <c r="E11690" s="115"/>
    </row>
    <row r="11691" spans="1:5" ht="13">
      <c r="A11691" s="115"/>
      <c r="B11691" s="115"/>
      <c r="C11691" s="115"/>
      <c r="D11691" s="115"/>
      <c r="E11691" s="115"/>
    </row>
    <row r="11692" spans="1:5" ht="13">
      <c r="A11692" s="115"/>
      <c r="B11692" s="115"/>
      <c r="C11692" s="115"/>
      <c r="D11692" s="115"/>
      <c r="E11692" s="115"/>
    </row>
    <row r="11693" spans="1:5" ht="13">
      <c r="A11693" s="115"/>
      <c r="B11693" s="115"/>
      <c r="C11693" s="115"/>
      <c r="D11693" s="115"/>
      <c r="E11693" s="115"/>
    </row>
    <row r="11694" spans="1:5" ht="13">
      <c r="A11694" s="115"/>
      <c r="B11694" s="115"/>
      <c r="C11694" s="115"/>
      <c r="D11694" s="115"/>
      <c r="E11694" s="115"/>
    </row>
    <row r="11695" spans="1:5" ht="13">
      <c r="A11695" s="115"/>
      <c r="B11695" s="115"/>
      <c r="C11695" s="115"/>
      <c r="D11695" s="115"/>
      <c r="E11695" s="115"/>
    </row>
    <row r="11696" spans="1:5" ht="13">
      <c r="A11696" s="115"/>
      <c r="B11696" s="115"/>
      <c r="C11696" s="115"/>
      <c r="D11696" s="115"/>
      <c r="E11696" s="115"/>
    </row>
    <row r="11697" spans="1:5" ht="13">
      <c r="A11697" s="115"/>
      <c r="B11697" s="115"/>
      <c r="C11697" s="115"/>
      <c r="D11697" s="115"/>
      <c r="E11697" s="115"/>
    </row>
    <row r="11698" spans="1:5" ht="13">
      <c r="A11698" s="115"/>
      <c r="B11698" s="115"/>
      <c r="C11698" s="115"/>
      <c r="D11698" s="115"/>
      <c r="E11698" s="115"/>
    </row>
    <row r="11699" spans="1:5" ht="13">
      <c r="A11699" s="115"/>
      <c r="B11699" s="115"/>
      <c r="C11699" s="115"/>
      <c r="D11699" s="115"/>
      <c r="E11699" s="115"/>
    </row>
    <row r="11700" spans="1:5" ht="13">
      <c r="A11700" s="115"/>
      <c r="B11700" s="115"/>
      <c r="C11700" s="115"/>
      <c r="D11700" s="115"/>
      <c r="E11700" s="115"/>
    </row>
    <row r="11701" spans="1:5" ht="13">
      <c r="A11701" s="115"/>
      <c r="B11701" s="115"/>
      <c r="C11701" s="115"/>
      <c r="D11701" s="115"/>
      <c r="E11701" s="115"/>
    </row>
    <row r="11702" spans="1:5" ht="13">
      <c r="A11702" s="115"/>
      <c r="B11702" s="115"/>
      <c r="C11702" s="115"/>
      <c r="D11702" s="115"/>
      <c r="E11702" s="115"/>
    </row>
    <row r="11703" spans="1:5" ht="13">
      <c r="A11703" s="115"/>
      <c r="B11703" s="115"/>
      <c r="C11703" s="115"/>
      <c r="D11703" s="115"/>
      <c r="E11703" s="115"/>
    </row>
    <row r="11704" spans="1:5" ht="13">
      <c r="A11704" s="115"/>
      <c r="B11704" s="115"/>
      <c r="C11704" s="115"/>
      <c r="D11704" s="115"/>
      <c r="E11704" s="115"/>
    </row>
    <row r="11705" spans="1:5" ht="13">
      <c r="A11705" s="115"/>
      <c r="B11705" s="115"/>
      <c r="C11705" s="115"/>
      <c r="D11705" s="115"/>
      <c r="E11705" s="115"/>
    </row>
    <row r="11706" spans="1:5" ht="13">
      <c r="A11706" s="115"/>
      <c r="B11706" s="115"/>
      <c r="C11706" s="115"/>
      <c r="D11706" s="115"/>
      <c r="E11706" s="115"/>
    </row>
    <row r="11707" spans="1:5" ht="13">
      <c r="A11707" s="115"/>
      <c r="B11707" s="115"/>
      <c r="C11707" s="115"/>
      <c r="D11707" s="115"/>
      <c r="E11707" s="115"/>
    </row>
    <row r="11708" spans="1:5" ht="13">
      <c r="A11708" s="115"/>
      <c r="B11708" s="115"/>
      <c r="C11708" s="115"/>
      <c r="D11708" s="115"/>
      <c r="E11708" s="115"/>
    </row>
    <row r="11709" spans="1:5" ht="13">
      <c r="A11709" s="115"/>
      <c r="B11709" s="115"/>
      <c r="C11709" s="115"/>
      <c r="D11709" s="115"/>
      <c r="E11709" s="115"/>
    </row>
    <row r="11710" spans="1:5" ht="13">
      <c r="A11710" s="115"/>
      <c r="B11710" s="115"/>
      <c r="C11710" s="115"/>
      <c r="D11710" s="115"/>
      <c r="E11710" s="115"/>
    </row>
    <row r="11711" spans="1:5" ht="13">
      <c r="A11711" s="115"/>
      <c r="B11711" s="115"/>
      <c r="C11711" s="115"/>
      <c r="D11711" s="115"/>
      <c r="E11711" s="115"/>
    </row>
    <row r="11712" spans="1:5" ht="13">
      <c r="A11712" s="115"/>
      <c r="B11712" s="115"/>
      <c r="C11712" s="115"/>
      <c r="D11712" s="115"/>
      <c r="E11712" s="115"/>
    </row>
    <row r="11713" spans="1:5" ht="13">
      <c r="A11713" s="115"/>
      <c r="B11713" s="115"/>
      <c r="C11713" s="115"/>
      <c r="D11713" s="115"/>
      <c r="E11713" s="115"/>
    </row>
    <row r="11714" spans="1:5" ht="13">
      <c r="A11714" s="115"/>
      <c r="B11714" s="115"/>
      <c r="C11714" s="115"/>
      <c r="D11714" s="115"/>
      <c r="E11714" s="115"/>
    </row>
    <row r="11715" spans="1:5" ht="13">
      <c r="A11715" s="115"/>
      <c r="B11715" s="115"/>
      <c r="C11715" s="115"/>
      <c r="D11715" s="115"/>
      <c r="E11715" s="115"/>
    </row>
    <row r="11716" spans="1:5" ht="13">
      <c r="A11716" s="115"/>
      <c r="B11716" s="115"/>
      <c r="C11716" s="115"/>
      <c r="D11716" s="115"/>
      <c r="E11716" s="115"/>
    </row>
    <row r="11717" spans="1:5" ht="13">
      <c r="A11717" s="115"/>
      <c r="B11717" s="115"/>
      <c r="C11717" s="115"/>
      <c r="D11717" s="115"/>
      <c r="E11717" s="115"/>
    </row>
    <row r="11718" spans="1:5" ht="13">
      <c r="A11718" s="115"/>
      <c r="B11718" s="115"/>
      <c r="C11718" s="115"/>
      <c r="D11718" s="115"/>
      <c r="E11718" s="115"/>
    </row>
    <row r="11719" spans="1:5" ht="13">
      <c r="A11719" s="115"/>
      <c r="B11719" s="115"/>
      <c r="C11719" s="115"/>
      <c r="D11719" s="115"/>
      <c r="E11719" s="115"/>
    </row>
    <row r="11720" spans="1:5" ht="13">
      <c r="A11720" s="115"/>
      <c r="B11720" s="115"/>
      <c r="C11720" s="115"/>
      <c r="D11720" s="115"/>
      <c r="E11720" s="115"/>
    </row>
    <row r="11721" spans="1:5" ht="13">
      <c r="A11721" s="115"/>
      <c r="B11721" s="115"/>
      <c r="C11721" s="115"/>
      <c r="D11721" s="115"/>
      <c r="E11721" s="115"/>
    </row>
    <row r="11722" spans="1:5" ht="13">
      <c r="A11722" s="115"/>
      <c r="B11722" s="115"/>
      <c r="C11722" s="115"/>
      <c r="D11722" s="115"/>
      <c r="E11722" s="115"/>
    </row>
    <row r="11723" spans="1:5" ht="13">
      <c r="A11723" s="115"/>
      <c r="B11723" s="115"/>
      <c r="C11723" s="115"/>
      <c r="D11723" s="115"/>
      <c r="E11723" s="115"/>
    </row>
    <row r="11724" spans="1:5" ht="13">
      <c r="A11724" s="115"/>
      <c r="B11724" s="115"/>
      <c r="C11724" s="115"/>
      <c r="D11724" s="115"/>
      <c r="E11724" s="115"/>
    </row>
    <row r="11725" spans="1:5" ht="13">
      <c r="A11725" s="115"/>
      <c r="B11725" s="115"/>
      <c r="C11725" s="115"/>
      <c r="D11725" s="115"/>
      <c r="E11725" s="115"/>
    </row>
    <row r="11726" spans="1:5" ht="13">
      <c r="A11726" s="115"/>
      <c r="B11726" s="115"/>
      <c r="C11726" s="115"/>
      <c r="D11726" s="115"/>
      <c r="E11726" s="115"/>
    </row>
    <row r="11727" spans="1:5" ht="13">
      <c r="A11727" s="115"/>
      <c r="B11727" s="115"/>
      <c r="C11727" s="115"/>
      <c r="D11727" s="115"/>
      <c r="E11727" s="115"/>
    </row>
    <row r="11728" spans="1:5" ht="13">
      <c r="A11728" s="115"/>
      <c r="B11728" s="115"/>
      <c r="C11728" s="115"/>
      <c r="D11728" s="115"/>
      <c r="E11728" s="115"/>
    </row>
    <row r="11729" spans="1:5" ht="13">
      <c r="A11729" s="115"/>
      <c r="B11729" s="115"/>
      <c r="C11729" s="115"/>
      <c r="D11729" s="115"/>
      <c r="E11729" s="115"/>
    </row>
    <row r="11730" spans="1:5" ht="13">
      <c r="A11730" s="115"/>
      <c r="B11730" s="115"/>
      <c r="C11730" s="115"/>
      <c r="D11730" s="115"/>
      <c r="E11730" s="115"/>
    </row>
    <row r="11731" spans="1:5" ht="13">
      <c r="A11731" s="115"/>
      <c r="B11731" s="115"/>
      <c r="C11731" s="115"/>
      <c r="D11731" s="115"/>
      <c r="E11731" s="115"/>
    </row>
    <row r="11732" spans="1:5" ht="13">
      <c r="A11732" s="115"/>
      <c r="B11732" s="115"/>
      <c r="C11732" s="115"/>
      <c r="D11732" s="115"/>
      <c r="E11732" s="115"/>
    </row>
    <row r="11733" spans="1:5" ht="13">
      <c r="A11733" s="115"/>
      <c r="B11733" s="115"/>
      <c r="C11733" s="115"/>
      <c r="D11733" s="115"/>
      <c r="E11733" s="115"/>
    </row>
    <row r="11734" spans="1:5" ht="13">
      <c r="A11734" s="115"/>
      <c r="B11734" s="115"/>
      <c r="C11734" s="115"/>
      <c r="D11734" s="115"/>
      <c r="E11734" s="115"/>
    </row>
    <row r="11735" spans="1:5" ht="13">
      <c r="A11735" s="115"/>
      <c r="B11735" s="115"/>
      <c r="C11735" s="115"/>
      <c r="D11735" s="115"/>
      <c r="E11735" s="115"/>
    </row>
    <row r="11736" spans="1:5" ht="13">
      <c r="A11736" s="115"/>
      <c r="B11736" s="115"/>
      <c r="C11736" s="115"/>
      <c r="D11736" s="115"/>
      <c r="E11736" s="115"/>
    </row>
    <row r="11737" spans="1:5" ht="13">
      <c r="A11737" s="115"/>
      <c r="B11737" s="115"/>
      <c r="C11737" s="115"/>
      <c r="D11737" s="115"/>
      <c r="E11737" s="115"/>
    </row>
    <row r="11738" spans="1:5" ht="13">
      <c r="A11738" s="115"/>
      <c r="B11738" s="115"/>
      <c r="C11738" s="115"/>
      <c r="D11738" s="115"/>
      <c r="E11738" s="115"/>
    </row>
    <row r="11739" spans="1:5" ht="13">
      <c r="A11739" s="115"/>
      <c r="B11739" s="115"/>
      <c r="C11739" s="115"/>
      <c r="D11739" s="115"/>
      <c r="E11739" s="115"/>
    </row>
    <row r="11740" spans="1:5" ht="13">
      <c r="A11740" s="115"/>
      <c r="B11740" s="115"/>
      <c r="C11740" s="115"/>
      <c r="D11740" s="115"/>
      <c r="E11740" s="115"/>
    </row>
    <row r="11741" spans="1:5" ht="13">
      <c r="A11741" s="115"/>
      <c r="B11741" s="115"/>
      <c r="C11741" s="115"/>
      <c r="D11741" s="115"/>
      <c r="E11741" s="115"/>
    </row>
    <row r="11742" spans="1:5" ht="13">
      <c r="A11742" s="115"/>
      <c r="B11742" s="115"/>
      <c r="C11742" s="115"/>
      <c r="D11742" s="115"/>
      <c r="E11742" s="115"/>
    </row>
    <row r="11743" spans="1:5" ht="13">
      <c r="A11743" s="115"/>
      <c r="B11743" s="115"/>
      <c r="C11743" s="115"/>
      <c r="D11743" s="115"/>
      <c r="E11743" s="115"/>
    </row>
    <row r="11744" spans="1:5" ht="13">
      <c r="A11744" s="115"/>
      <c r="B11744" s="115"/>
      <c r="C11744" s="115"/>
      <c r="D11744" s="115"/>
      <c r="E11744" s="115"/>
    </row>
    <row r="11745" spans="1:5" ht="13">
      <c r="A11745" s="115"/>
      <c r="B11745" s="115"/>
      <c r="C11745" s="115"/>
      <c r="D11745" s="115"/>
      <c r="E11745" s="115"/>
    </row>
    <row r="11746" spans="1:5" ht="13">
      <c r="A11746" s="115"/>
      <c r="B11746" s="115"/>
      <c r="C11746" s="115"/>
      <c r="D11746" s="115"/>
      <c r="E11746" s="115"/>
    </row>
    <row r="11747" spans="1:5" ht="13">
      <c r="A11747" s="115"/>
      <c r="B11747" s="115"/>
      <c r="C11747" s="115"/>
      <c r="D11747" s="115"/>
      <c r="E11747" s="115"/>
    </row>
    <row r="11748" spans="1:5" ht="13">
      <c r="A11748" s="115"/>
      <c r="B11748" s="115"/>
      <c r="C11748" s="115"/>
      <c r="D11748" s="115"/>
      <c r="E11748" s="115"/>
    </row>
    <row r="11749" spans="1:5" ht="13">
      <c r="A11749" s="115"/>
      <c r="B11749" s="115"/>
      <c r="C11749" s="115"/>
      <c r="D11749" s="115"/>
      <c r="E11749" s="115"/>
    </row>
    <row r="11750" spans="1:5" ht="13">
      <c r="A11750" s="115"/>
      <c r="B11750" s="115"/>
      <c r="C11750" s="115"/>
      <c r="D11750" s="115"/>
      <c r="E11750" s="115"/>
    </row>
    <row r="11751" spans="1:5" ht="13">
      <c r="A11751" s="115"/>
      <c r="B11751" s="115"/>
      <c r="C11751" s="115"/>
      <c r="D11751" s="115"/>
      <c r="E11751" s="115"/>
    </row>
    <row r="11752" spans="1:5" ht="13">
      <c r="A11752" s="115"/>
      <c r="B11752" s="115"/>
      <c r="C11752" s="115"/>
      <c r="D11752" s="115"/>
      <c r="E11752" s="115"/>
    </row>
    <row r="11753" spans="1:5" ht="13">
      <c r="A11753" s="115"/>
      <c r="B11753" s="115"/>
      <c r="C11753" s="115"/>
      <c r="D11753" s="115"/>
      <c r="E11753" s="115"/>
    </row>
    <row r="11754" spans="1:5" ht="13">
      <c r="A11754" s="115"/>
      <c r="B11754" s="115"/>
      <c r="C11754" s="115"/>
      <c r="D11754" s="115"/>
      <c r="E11754" s="115"/>
    </row>
    <row r="11755" spans="1:5" ht="13">
      <c r="A11755" s="115"/>
      <c r="B11755" s="115"/>
      <c r="C11755" s="115"/>
      <c r="D11755" s="115"/>
      <c r="E11755" s="115"/>
    </row>
    <row r="11756" spans="1:5" ht="13">
      <c r="A11756" s="115"/>
      <c r="B11756" s="115"/>
      <c r="C11756" s="115"/>
      <c r="D11756" s="115"/>
      <c r="E11756" s="115"/>
    </row>
    <row r="11757" spans="1:5" ht="13">
      <c r="A11757" s="115"/>
      <c r="B11757" s="115"/>
      <c r="C11757" s="115"/>
      <c r="D11757" s="115"/>
      <c r="E11757" s="115"/>
    </row>
    <row r="11758" spans="1:5" ht="13">
      <c r="A11758" s="115"/>
      <c r="B11758" s="115"/>
      <c r="C11758" s="115"/>
      <c r="D11758" s="115"/>
      <c r="E11758" s="115"/>
    </row>
    <row r="11759" spans="1:5" ht="13">
      <c r="A11759" s="115"/>
      <c r="B11759" s="115"/>
      <c r="C11759" s="115"/>
      <c r="D11759" s="115"/>
      <c r="E11759" s="115"/>
    </row>
    <row r="11760" spans="1:5" ht="13">
      <c r="A11760" s="115"/>
      <c r="B11760" s="115"/>
      <c r="C11760" s="115"/>
      <c r="D11760" s="115"/>
      <c r="E11760" s="115"/>
    </row>
    <row r="11761" spans="1:5" ht="13">
      <c r="A11761" s="115"/>
      <c r="B11761" s="115"/>
      <c r="C11761" s="115"/>
      <c r="D11761" s="115"/>
      <c r="E11761" s="115"/>
    </row>
    <row r="11762" spans="1:5" ht="13">
      <c r="A11762" s="115"/>
      <c r="B11762" s="115"/>
      <c r="C11762" s="115"/>
      <c r="D11762" s="115"/>
      <c r="E11762" s="115"/>
    </row>
    <row r="11763" spans="1:5" ht="13">
      <c r="A11763" s="115"/>
      <c r="B11763" s="115"/>
      <c r="C11763" s="115"/>
      <c r="D11763" s="115"/>
      <c r="E11763" s="115"/>
    </row>
    <row r="11764" spans="1:5" ht="13">
      <c r="A11764" s="115"/>
      <c r="B11764" s="115"/>
      <c r="C11764" s="115"/>
      <c r="D11764" s="115"/>
      <c r="E11764" s="115"/>
    </row>
    <row r="11765" spans="1:5" ht="13">
      <c r="A11765" s="115"/>
      <c r="B11765" s="115"/>
      <c r="C11765" s="115"/>
      <c r="D11765" s="115"/>
      <c r="E11765" s="115"/>
    </row>
    <row r="11766" spans="1:5" ht="13">
      <c r="A11766" s="115"/>
      <c r="B11766" s="115"/>
      <c r="C11766" s="115"/>
      <c r="D11766" s="115"/>
      <c r="E11766" s="115"/>
    </row>
    <row r="11767" spans="1:5" ht="13">
      <c r="A11767" s="115"/>
      <c r="B11767" s="115"/>
      <c r="C11767" s="115"/>
      <c r="D11767" s="115"/>
      <c r="E11767" s="115"/>
    </row>
    <row r="11768" spans="1:5" ht="13">
      <c r="A11768" s="115"/>
      <c r="B11768" s="115"/>
      <c r="C11768" s="115"/>
      <c r="D11768" s="115"/>
      <c r="E11768" s="115"/>
    </row>
    <row r="11769" spans="1:5" ht="13">
      <c r="A11769" s="115"/>
      <c r="B11769" s="115"/>
      <c r="C11769" s="115"/>
      <c r="D11769" s="115"/>
      <c r="E11769" s="115"/>
    </row>
    <row r="11770" spans="1:5" ht="13">
      <c r="A11770" s="115"/>
      <c r="B11770" s="115"/>
      <c r="C11770" s="115"/>
      <c r="D11770" s="115"/>
      <c r="E11770" s="115"/>
    </row>
    <row r="11771" spans="1:5" ht="13">
      <c r="A11771" s="115"/>
      <c r="B11771" s="115"/>
      <c r="C11771" s="115"/>
      <c r="D11771" s="115"/>
      <c r="E11771" s="115"/>
    </row>
    <row r="11772" spans="1:5" ht="13">
      <c r="A11772" s="115"/>
      <c r="B11772" s="115"/>
      <c r="C11772" s="115"/>
      <c r="D11772" s="115"/>
      <c r="E11772" s="115"/>
    </row>
    <row r="11773" spans="1:5" ht="13">
      <c r="A11773" s="115"/>
      <c r="B11773" s="115"/>
      <c r="C11773" s="115"/>
      <c r="D11773" s="115"/>
      <c r="E11773" s="115"/>
    </row>
    <row r="11774" spans="1:5" ht="13">
      <c r="A11774" s="115"/>
      <c r="B11774" s="115"/>
      <c r="C11774" s="115"/>
      <c r="D11774" s="115"/>
      <c r="E11774" s="115"/>
    </row>
    <row r="11775" spans="1:5" ht="13">
      <c r="A11775" s="115"/>
      <c r="B11775" s="115"/>
      <c r="C11775" s="115"/>
      <c r="D11775" s="115"/>
      <c r="E11775" s="115"/>
    </row>
    <row r="11776" spans="1:5" ht="13">
      <c r="A11776" s="115"/>
      <c r="B11776" s="115"/>
      <c r="C11776" s="115"/>
      <c r="D11776" s="115"/>
      <c r="E11776" s="115"/>
    </row>
    <row r="11777" spans="1:5" ht="13">
      <c r="A11777" s="115"/>
      <c r="B11777" s="115"/>
      <c r="C11777" s="115"/>
      <c r="D11777" s="115"/>
      <c r="E11777" s="115"/>
    </row>
    <row r="11778" spans="1:5" ht="13">
      <c r="A11778" s="115"/>
      <c r="B11778" s="115"/>
      <c r="C11778" s="115"/>
      <c r="D11778" s="115"/>
      <c r="E11778" s="115"/>
    </row>
    <row r="11779" spans="1:5" ht="13">
      <c r="A11779" s="115"/>
      <c r="B11779" s="115"/>
      <c r="C11779" s="115"/>
      <c r="D11779" s="115"/>
      <c r="E11779" s="115"/>
    </row>
    <row r="11780" spans="1:5" ht="13">
      <c r="A11780" s="115"/>
      <c r="B11780" s="115"/>
      <c r="C11780" s="115"/>
      <c r="D11780" s="115"/>
      <c r="E11780" s="115"/>
    </row>
    <row r="11781" spans="1:5" ht="13">
      <c r="A11781" s="115"/>
      <c r="B11781" s="115"/>
      <c r="C11781" s="115"/>
      <c r="D11781" s="115"/>
      <c r="E11781" s="115"/>
    </row>
    <row r="11782" spans="1:5" ht="13">
      <c r="A11782" s="115"/>
      <c r="B11782" s="115"/>
      <c r="C11782" s="115"/>
      <c r="D11782" s="115"/>
      <c r="E11782" s="115"/>
    </row>
    <row r="11783" spans="1:5" ht="13">
      <c r="A11783" s="115"/>
      <c r="B11783" s="115"/>
      <c r="C11783" s="115"/>
      <c r="D11783" s="115"/>
      <c r="E11783" s="115"/>
    </row>
    <row r="11784" spans="1:5" ht="13">
      <c r="A11784" s="115"/>
      <c r="B11784" s="115"/>
      <c r="C11784" s="115"/>
      <c r="D11784" s="115"/>
      <c r="E11784" s="115"/>
    </row>
    <row r="11785" spans="1:5" ht="13">
      <c r="A11785" s="115"/>
      <c r="B11785" s="115"/>
      <c r="C11785" s="115"/>
      <c r="D11785" s="115"/>
      <c r="E11785" s="115"/>
    </row>
    <row r="11786" spans="1:5" ht="13">
      <c r="A11786" s="115"/>
      <c r="B11786" s="115"/>
      <c r="C11786" s="115"/>
      <c r="D11786" s="115"/>
      <c r="E11786" s="115"/>
    </row>
    <row r="11787" spans="1:5" ht="13">
      <c r="A11787" s="115"/>
      <c r="B11787" s="115"/>
      <c r="C11787" s="115"/>
      <c r="D11787" s="115"/>
      <c r="E11787" s="115"/>
    </row>
    <row r="11788" spans="1:5" ht="13">
      <c r="A11788" s="115"/>
      <c r="B11788" s="115"/>
      <c r="C11788" s="115"/>
      <c r="D11788" s="115"/>
      <c r="E11788" s="115"/>
    </row>
    <row r="11789" spans="1:5" ht="13">
      <c r="A11789" s="115"/>
      <c r="B11789" s="115"/>
      <c r="C11789" s="115"/>
      <c r="D11789" s="115"/>
      <c r="E11789" s="115"/>
    </row>
    <row r="11790" spans="1:5" ht="13">
      <c r="A11790" s="115"/>
      <c r="B11790" s="115"/>
      <c r="C11790" s="115"/>
      <c r="D11790" s="115"/>
      <c r="E11790" s="115"/>
    </row>
    <row r="11791" spans="1:5" ht="13">
      <c r="A11791" s="115"/>
      <c r="B11791" s="115"/>
      <c r="C11791" s="115"/>
      <c r="D11791" s="115"/>
      <c r="E11791" s="115"/>
    </row>
    <row r="11792" spans="1:5" ht="13">
      <c r="A11792" s="115"/>
      <c r="B11792" s="115"/>
      <c r="C11792" s="115"/>
      <c r="D11792" s="115"/>
      <c r="E11792" s="115"/>
    </row>
    <row r="11793" spans="1:5" ht="13">
      <c r="A11793" s="115"/>
      <c r="B11793" s="115"/>
      <c r="C11793" s="115"/>
      <c r="D11793" s="115"/>
      <c r="E11793" s="115"/>
    </row>
    <row r="11794" spans="1:5" ht="13">
      <c r="A11794" s="115"/>
      <c r="B11794" s="115"/>
      <c r="C11794" s="115"/>
      <c r="D11794" s="115"/>
      <c r="E11794" s="115"/>
    </row>
    <row r="11795" spans="1:5" ht="13">
      <c r="A11795" s="115"/>
      <c r="B11795" s="115"/>
      <c r="C11795" s="115"/>
      <c r="D11795" s="115"/>
      <c r="E11795" s="115"/>
    </row>
    <row r="11796" spans="1:5" ht="13">
      <c r="A11796" s="115"/>
      <c r="B11796" s="115"/>
      <c r="C11796" s="115"/>
      <c r="D11796" s="115"/>
      <c r="E11796" s="115"/>
    </row>
    <row r="11797" spans="1:5" ht="13">
      <c r="A11797" s="115"/>
      <c r="B11797" s="115"/>
      <c r="C11797" s="115"/>
      <c r="D11797" s="115"/>
      <c r="E11797" s="115"/>
    </row>
    <row r="11798" spans="1:5" ht="13">
      <c r="A11798" s="115"/>
      <c r="B11798" s="115"/>
      <c r="C11798" s="115"/>
      <c r="D11798" s="115"/>
      <c r="E11798" s="115"/>
    </row>
    <row r="11799" spans="1:5" ht="13">
      <c r="A11799" s="115"/>
      <c r="B11799" s="115"/>
      <c r="C11799" s="115"/>
      <c r="D11799" s="115"/>
      <c r="E11799" s="115"/>
    </row>
    <row r="11800" spans="1:5" ht="13">
      <c r="A11800" s="115"/>
      <c r="B11800" s="115"/>
      <c r="C11800" s="115"/>
      <c r="D11800" s="115"/>
      <c r="E11800" s="115"/>
    </row>
    <row r="11801" spans="1:5" ht="13">
      <c r="A11801" s="115"/>
      <c r="B11801" s="115"/>
      <c r="C11801" s="115"/>
      <c r="D11801" s="115"/>
      <c r="E11801" s="115"/>
    </row>
    <row r="11802" spans="1:5" ht="13">
      <c r="A11802" s="115"/>
      <c r="B11802" s="115"/>
      <c r="C11802" s="115"/>
      <c r="D11802" s="115"/>
      <c r="E11802" s="115"/>
    </row>
    <row r="11803" spans="1:5" ht="13">
      <c r="A11803" s="115"/>
      <c r="B11803" s="115"/>
      <c r="C11803" s="115"/>
      <c r="D11803" s="115"/>
      <c r="E11803" s="115"/>
    </row>
    <row r="11804" spans="1:5" ht="13">
      <c r="A11804" s="115"/>
      <c r="B11804" s="115"/>
      <c r="C11804" s="115"/>
      <c r="D11804" s="115"/>
      <c r="E11804" s="115"/>
    </row>
    <row r="11805" spans="1:5" ht="13">
      <c r="A11805" s="115"/>
      <c r="B11805" s="115"/>
      <c r="C11805" s="115"/>
      <c r="D11805" s="115"/>
      <c r="E11805" s="115"/>
    </row>
    <row r="11806" spans="1:5" ht="13">
      <c r="A11806" s="115"/>
      <c r="B11806" s="115"/>
      <c r="C11806" s="115"/>
      <c r="D11806" s="115"/>
      <c r="E11806" s="115"/>
    </row>
    <row r="11807" spans="1:5" ht="13">
      <c r="A11807" s="115"/>
      <c r="B11807" s="115"/>
      <c r="C11807" s="115"/>
      <c r="D11807" s="115"/>
      <c r="E11807" s="115"/>
    </row>
    <row r="11808" spans="1:5" ht="13">
      <c r="A11808" s="115"/>
      <c r="B11808" s="115"/>
      <c r="C11808" s="115"/>
      <c r="D11808" s="115"/>
      <c r="E11808" s="115"/>
    </row>
    <row r="11809" spans="1:5" ht="13">
      <c r="A11809" s="115"/>
      <c r="B11809" s="115"/>
      <c r="C11809" s="115"/>
      <c r="D11809" s="115"/>
      <c r="E11809" s="115"/>
    </row>
    <row r="11810" spans="1:5" ht="13">
      <c r="A11810" s="115"/>
      <c r="B11810" s="115"/>
      <c r="C11810" s="115"/>
      <c r="D11810" s="115"/>
      <c r="E11810" s="115"/>
    </row>
    <row r="11811" spans="1:5" ht="13">
      <c r="A11811" s="115"/>
      <c r="B11811" s="115"/>
      <c r="C11811" s="115"/>
      <c r="D11811" s="115"/>
      <c r="E11811" s="115"/>
    </row>
    <row r="11812" spans="1:5" ht="13">
      <c r="A11812" s="115"/>
      <c r="B11812" s="115"/>
      <c r="C11812" s="115"/>
      <c r="D11812" s="115"/>
      <c r="E11812" s="115"/>
    </row>
    <row r="11813" spans="1:5" ht="13">
      <c r="A11813" s="115"/>
      <c r="B11813" s="115"/>
      <c r="C11813" s="115"/>
      <c r="D11813" s="115"/>
      <c r="E11813" s="115"/>
    </row>
    <row r="11814" spans="1:5" ht="13">
      <c r="A11814" s="115"/>
      <c r="B11814" s="115"/>
      <c r="C11814" s="115"/>
      <c r="D11814" s="115"/>
      <c r="E11814" s="115"/>
    </row>
    <row r="11815" spans="1:5" ht="13">
      <c r="A11815" s="115"/>
      <c r="B11815" s="115"/>
      <c r="C11815" s="115"/>
      <c r="D11815" s="115"/>
      <c r="E11815" s="115"/>
    </row>
    <row r="11816" spans="1:5" ht="13">
      <c r="A11816" s="115"/>
      <c r="B11816" s="115"/>
      <c r="C11816" s="115"/>
      <c r="D11816" s="115"/>
      <c r="E11816" s="115"/>
    </row>
    <row r="11817" spans="1:5" ht="13">
      <c r="A11817" s="115"/>
      <c r="B11817" s="115"/>
      <c r="C11817" s="115"/>
      <c r="D11817" s="115"/>
      <c r="E11817" s="115"/>
    </row>
    <row r="11818" spans="1:5" ht="13">
      <c r="A11818" s="115"/>
      <c r="B11818" s="115"/>
      <c r="C11818" s="115"/>
      <c r="D11818" s="115"/>
      <c r="E11818" s="115"/>
    </row>
    <row r="11819" spans="1:5" ht="13">
      <c r="A11819" s="115"/>
      <c r="B11819" s="115"/>
      <c r="C11819" s="115"/>
      <c r="D11819" s="115"/>
      <c r="E11819" s="115"/>
    </row>
    <row r="11820" spans="1:5" ht="13">
      <c r="A11820" s="115"/>
      <c r="B11820" s="115"/>
      <c r="C11820" s="115"/>
      <c r="D11820" s="115"/>
      <c r="E11820" s="115"/>
    </row>
    <row r="11821" spans="1:5" ht="13">
      <c r="A11821" s="115"/>
      <c r="B11821" s="115"/>
      <c r="C11821" s="115"/>
      <c r="D11821" s="115"/>
      <c r="E11821" s="115"/>
    </row>
    <row r="11822" spans="1:5" ht="13">
      <c r="A11822" s="115"/>
      <c r="B11822" s="115"/>
      <c r="C11822" s="115"/>
      <c r="D11822" s="115"/>
      <c r="E11822" s="115"/>
    </row>
    <row r="11823" spans="1:5" ht="13">
      <c r="A11823" s="115"/>
      <c r="B11823" s="115"/>
      <c r="C11823" s="115"/>
      <c r="D11823" s="115"/>
      <c r="E11823" s="115"/>
    </row>
    <row r="11824" spans="1:5" ht="13">
      <c r="A11824" s="115"/>
      <c r="B11824" s="115"/>
      <c r="C11824" s="115"/>
      <c r="D11824" s="115"/>
      <c r="E11824" s="115"/>
    </row>
    <row r="11825" spans="1:5" ht="13">
      <c r="A11825" s="115"/>
      <c r="B11825" s="115"/>
      <c r="C11825" s="115"/>
      <c r="D11825" s="115"/>
      <c r="E11825" s="115"/>
    </row>
    <row r="11826" spans="1:5" ht="13">
      <c r="A11826" s="115"/>
      <c r="B11826" s="115"/>
      <c r="C11826" s="115"/>
      <c r="D11826" s="115"/>
      <c r="E11826" s="115"/>
    </row>
    <row r="11827" spans="1:5" ht="13">
      <c r="A11827" s="115"/>
      <c r="B11827" s="115"/>
      <c r="C11827" s="115"/>
      <c r="D11827" s="115"/>
      <c r="E11827" s="115"/>
    </row>
    <row r="11828" spans="1:5" ht="13">
      <c r="A11828" s="115"/>
      <c r="B11828" s="115"/>
      <c r="C11828" s="115"/>
      <c r="D11828" s="115"/>
      <c r="E11828" s="115"/>
    </row>
    <row r="11829" spans="1:5" ht="13">
      <c r="A11829" s="115"/>
      <c r="B11829" s="115"/>
      <c r="C11829" s="115"/>
      <c r="D11829" s="115"/>
      <c r="E11829" s="115"/>
    </row>
    <row r="11830" spans="1:5" ht="13">
      <c r="A11830" s="115"/>
      <c r="B11830" s="115"/>
      <c r="C11830" s="115"/>
      <c r="D11830" s="115"/>
      <c r="E11830" s="115"/>
    </row>
    <row r="11831" spans="1:5" ht="13">
      <c r="A11831" s="115"/>
      <c r="B11831" s="115"/>
      <c r="C11831" s="115"/>
      <c r="D11831" s="115"/>
      <c r="E11831" s="115"/>
    </row>
    <row r="11832" spans="1:5" ht="13">
      <c r="A11832" s="115"/>
      <c r="B11832" s="115"/>
      <c r="C11832" s="115"/>
      <c r="D11832" s="115"/>
      <c r="E11832" s="115"/>
    </row>
    <row r="11833" spans="1:5" ht="13">
      <c r="A11833" s="115"/>
      <c r="B11833" s="115"/>
      <c r="C11833" s="115"/>
      <c r="D11833" s="115"/>
      <c r="E11833" s="115"/>
    </row>
    <row r="11834" spans="1:5" ht="13">
      <c r="A11834" s="115"/>
      <c r="B11834" s="115"/>
      <c r="C11834" s="115"/>
      <c r="D11834" s="115"/>
      <c r="E11834" s="115"/>
    </row>
    <row r="11835" spans="1:5" ht="13">
      <c r="A11835" s="115"/>
      <c r="B11835" s="115"/>
      <c r="C11835" s="115"/>
      <c r="D11835" s="115"/>
      <c r="E11835" s="115"/>
    </row>
    <row r="11836" spans="1:5" ht="13">
      <c r="A11836" s="115"/>
      <c r="B11836" s="115"/>
      <c r="C11836" s="115"/>
      <c r="D11836" s="115"/>
      <c r="E11836" s="115"/>
    </row>
    <row r="11837" spans="1:5" ht="13">
      <c r="A11837" s="115"/>
      <c r="B11837" s="115"/>
      <c r="C11837" s="115"/>
      <c r="D11837" s="115"/>
      <c r="E11837" s="115"/>
    </row>
    <row r="11838" spans="1:5" ht="13">
      <c r="A11838" s="115"/>
      <c r="B11838" s="115"/>
      <c r="C11838" s="115"/>
      <c r="D11838" s="115"/>
      <c r="E11838" s="115"/>
    </row>
    <row r="11839" spans="1:5" ht="13">
      <c r="A11839" s="115"/>
      <c r="B11839" s="115"/>
      <c r="C11839" s="115"/>
      <c r="D11839" s="115"/>
      <c r="E11839" s="115"/>
    </row>
    <row r="11840" spans="1:5" ht="13">
      <c r="A11840" s="115"/>
      <c r="B11840" s="115"/>
      <c r="C11840" s="115"/>
      <c r="D11840" s="115"/>
      <c r="E11840" s="115"/>
    </row>
    <row r="11841" spans="1:5" ht="13">
      <c r="A11841" s="115"/>
      <c r="B11841" s="115"/>
      <c r="C11841" s="115"/>
      <c r="D11841" s="115"/>
      <c r="E11841" s="115"/>
    </row>
    <row r="11842" spans="1:5" ht="13">
      <c r="A11842" s="115"/>
      <c r="B11842" s="115"/>
      <c r="C11842" s="115"/>
      <c r="D11842" s="115"/>
      <c r="E11842" s="115"/>
    </row>
    <row r="11843" spans="1:5" ht="13">
      <c r="A11843" s="115"/>
      <c r="B11843" s="115"/>
      <c r="C11843" s="115"/>
      <c r="D11843" s="115"/>
      <c r="E11843" s="115"/>
    </row>
    <row r="11844" spans="1:5" ht="13">
      <c r="A11844" s="115"/>
      <c r="B11844" s="115"/>
      <c r="C11844" s="115"/>
      <c r="D11844" s="115"/>
      <c r="E11844" s="115"/>
    </row>
    <row r="11845" spans="1:5" ht="13">
      <c r="A11845" s="115"/>
      <c r="B11845" s="115"/>
      <c r="C11845" s="115"/>
      <c r="D11845" s="115"/>
      <c r="E11845" s="115"/>
    </row>
    <row r="11846" spans="1:5" ht="13">
      <c r="A11846" s="115"/>
      <c r="B11846" s="115"/>
      <c r="C11846" s="115"/>
      <c r="D11846" s="115"/>
      <c r="E11846" s="115"/>
    </row>
    <row r="11847" spans="1:5" ht="13">
      <c r="A11847" s="115"/>
      <c r="B11847" s="115"/>
      <c r="C11847" s="115"/>
      <c r="D11847" s="115"/>
      <c r="E11847" s="115"/>
    </row>
    <row r="11848" spans="1:5" ht="13">
      <c r="A11848" s="115"/>
      <c r="B11848" s="115"/>
      <c r="C11848" s="115"/>
      <c r="D11848" s="115"/>
      <c r="E11848" s="115"/>
    </row>
    <row r="11849" spans="1:5" ht="13">
      <c r="A11849" s="115"/>
      <c r="B11849" s="115"/>
      <c r="C11849" s="115"/>
      <c r="D11849" s="115"/>
      <c r="E11849" s="115"/>
    </row>
    <row r="11850" spans="1:5" ht="13">
      <c r="A11850" s="115"/>
      <c r="B11850" s="115"/>
      <c r="C11850" s="115"/>
      <c r="D11850" s="115"/>
      <c r="E11850" s="115"/>
    </row>
    <row r="11851" spans="1:5" ht="13">
      <c r="A11851" s="115"/>
      <c r="B11851" s="115"/>
      <c r="C11851" s="115"/>
      <c r="D11851" s="115"/>
      <c r="E11851" s="115"/>
    </row>
    <row r="11852" spans="1:5" ht="13">
      <c r="A11852" s="115"/>
      <c r="B11852" s="115"/>
      <c r="C11852" s="115"/>
      <c r="D11852" s="115"/>
      <c r="E11852" s="115"/>
    </row>
    <row r="11853" spans="1:5" ht="13">
      <c r="A11853" s="115"/>
      <c r="B11853" s="115"/>
      <c r="C11853" s="115"/>
      <c r="D11853" s="115"/>
      <c r="E11853" s="115"/>
    </row>
    <row r="11854" spans="1:5" ht="13">
      <c r="A11854" s="115"/>
      <c r="B11854" s="115"/>
      <c r="C11854" s="115"/>
      <c r="D11854" s="115"/>
      <c r="E11854" s="115"/>
    </row>
    <row r="11855" spans="1:5" ht="13">
      <c r="A11855" s="115"/>
      <c r="B11855" s="115"/>
      <c r="C11855" s="115"/>
      <c r="D11855" s="115"/>
      <c r="E11855" s="115"/>
    </row>
    <row r="11856" spans="1:5" ht="13">
      <c r="A11856" s="115"/>
      <c r="B11856" s="115"/>
      <c r="C11856" s="115"/>
      <c r="D11856" s="115"/>
      <c r="E11856" s="115"/>
    </row>
    <row r="11857" spans="1:5" ht="13">
      <c r="A11857" s="115"/>
      <c r="B11857" s="115"/>
      <c r="C11857" s="115"/>
      <c r="D11857" s="115"/>
      <c r="E11857" s="115"/>
    </row>
    <row r="11858" spans="1:5" ht="13">
      <c r="A11858" s="115"/>
      <c r="B11858" s="115"/>
      <c r="C11858" s="115"/>
      <c r="D11858" s="115"/>
      <c r="E11858" s="115"/>
    </row>
    <row r="11859" spans="1:5" ht="13">
      <c r="A11859" s="115"/>
      <c r="B11859" s="115"/>
      <c r="C11859" s="115"/>
      <c r="D11859" s="115"/>
      <c r="E11859" s="115"/>
    </row>
    <row r="11860" spans="1:5" ht="13">
      <c r="A11860" s="115"/>
      <c r="B11860" s="115"/>
      <c r="C11860" s="115"/>
      <c r="D11860" s="115"/>
      <c r="E11860" s="115"/>
    </row>
    <row r="11861" spans="1:5" ht="13">
      <c r="A11861" s="115"/>
      <c r="B11861" s="115"/>
      <c r="C11861" s="115"/>
      <c r="D11861" s="115"/>
      <c r="E11861" s="115"/>
    </row>
    <row r="11862" spans="1:5" ht="13">
      <c r="A11862" s="115"/>
      <c r="B11862" s="115"/>
      <c r="C11862" s="115"/>
      <c r="D11862" s="115"/>
      <c r="E11862" s="115"/>
    </row>
    <row r="11863" spans="1:5" ht="13">
      <c r="A11863" s="115"/>
      <c r="B11863" s="115"/>
      <c r="C11863" s="115"/>
      <c r="D11863" s="115"/>
      <c r="E11863" s="115"/>
    </row>
    <row r="11864" spans="1:5" ht="13">
      <c r="A11864" s="115"/>
      <c r="B11864" s="115"/>
      <c r="C11864" s="115"/>
      <c r="D11864" s="115"/>
      <c r="E11864" s="115"/>
    </row>
    <row r="11865" spans="1:5" ht="13">
      <c r="A11865" s="115"/>
      <c r="B11865" s="115"/>
      <c r="C11865" s="115"/>
      <c r="D11865" s="115"/>
      <c r="E11865" s="115"/>
    </row>
    <row r="11866" spans="1:5" ht="13">
      <c r="A11866" s="115"/>
      <c r="B11866" s="115"/>
      <c r="C11866" s="115"/>
      <c r="D11866" s="115"/>
      <c r="E11866" s="115"/>
    </row>
    <row r="11867" spans="1:5" ht="13">
      <c r="A11867" s="115"/>
      <c r="B11867" s="115"/>
      <c r="C11867" s="115"/>
      <c r="D11867" s="115"/>
      <c r="E11867" s="115"/>
    </row>
    <row r="11868" spans="1:5" ht="13">
      <c r="A11868" s="115"/>
      <c r="B11868" s="115"/>
      <c r="C11868" s="115"/>
      <c r="D11868" s="115"/>
      <c r="E11868" s="115"/>
    </row>
    <row r="11869" spans="1:5" ht="13">
      <c r="A11869" s="115"/>
      <c r="B11869" s="115"/>
      <c r="C11869" s="115"/>
      <c r="D11869" s="115"/>
      <c r="E11869" s="115"/>
    </row>
    <row r="11870" spans="1:5" ht="13">
      <c r="A11870" s="115"/>
      <c r="B11870" s="115"/>
      <c r="C11870" s="115"/>
      <c r="D11870" s="115"/>
      <c r="E11870" s="115"/>
    </row>
    <row r="11871" spans="1:5" ht="13">
      <c r="A11871" s="115"/>
      <c r="B11871" s="115"/>
      <c r="C11871" s="115"/>
      <c r="D11871" s="115"/>
      <c r="E11871" s="115"/>
    </row>
    <row r="11872" spans="1:5" ht="13">
      <c r="A11872" s="115"/>
      <c r="B11872" s="115"/>
      <c r="C11872" s="115"/>
      <c r="D11872" s="115"/>
      <c r="E11872" s="115"/>
    </row>
    <row r="11873" spans="1:5" ht="13">
      <c r="A11873" s="115"/>
      <c r="B11873" s="115"/>
      <c r="C11873" s="115"/>
      <c r="D11873" s="115"/>
      <c r="E11873" s="115"/>
    </row>
    <row r="11874" spans="1:5" ht="13">
      <c r="A11874" s="115"/>
      <c r="B11874" s="115"/>
      <c r="C11874" s="115"/>
      <c r="D11874" s="115"/>
      <c r="E11874" s="115"/>
    </row>
    <row r="11875" spans="1:5" ht="13">
      <c r="A11875" s="115"/>
      <c r="B11875" s="115"/>
      <c r="C11875" s="115"/>
      <c r="D11875" s="115"/>
      <c r="E11875" s="115"/>
    </row>
    <row r="11876" spans="1:5" ht="13">
      <c r="A11876" s="115"/>
      <c r="B11876" s="115"/>
      <c r="C11876" s="115"/>
      <c r="D11876" s="115"/>
      <c r="E11876" s="115"/>
    </row>
    <row r="11877" spans="1:5" ht="13">
      <c r="A11877" s="115"/>
      <c r="B11877" s="115"/>
      <c r="C11877" s="115"/>
      <c r="D11877" s="115"/>
      <c r="E11877" s="115"/>
    </row>
    <row r="11878" spans="1:5" ht="13">
      <c r="A11878" s="115"/>
      <c r="B11878" s="115"/>
      <c r="C11878" s="115"/>
      <c r="D11878" s="115"/>
      <c r="E11878" s="115"/>
    </row>
    <row r="11879" spans="1:5" ht="13">
      <c r="A11879" s="115"/>
      <c r="B11879" s="115"/>
      <c r="C11879" s="115"/>
      <c r="D11879" s="115"/>
      <c r="E11879" s="115"/>
    </row>
    <row r="11880" spans="1:5" ht="13">
      <c r="A11880" s="115"/>
      <c r="B11880" s="115"/>
      <c r="C11880" s="115"/>
      <c r="D11880" s="115"/>
      <c r="E11880" s="115"/>
    </row>
    <row r="11881" spans="1:5" ht="13">
      <c r="A11881" s="115"/>
      <c r="B11881" s="115"/>
      <c r="C11881" s="115"/>
      <c r="D11881" s="115"/>
      <c r="E11881" s="115"/>
    </row>
    <row r="11882" spans="1:5" ht="13">
      <c r="A11882" s="115"/>
      <c r="B11882" s="115"/>
      <c r="C11882" s="115"/>
      <c r="D11882" s="115"/>
      <c r="E11882" s="115"/>
    </row>
    <row r="11883" spans="1:5" ht="13">
      <c r="A11883" s="115"/>
      <c r="B11883" s="115"/>
      <c r="C11883" s="115"/>
      <c r="D11883" s="115"/>
      <c r="E11883" s="115"/>
    </row>
    <row r="11884" spans="1:5" ht="13">
      <c r="A11884" s="115"/>
      <c r="B11884" s="115"/>
      <c r="C11884" s="115"/>
      <c r="D11884" s="115"/>
      <c r="E11884" s="115"/>
    </row>
    <row r="11885" spans="1:5" ht="13">
      <c r="A11885" s="115"/>
      <c r="B11885" s="115"/>
      <c r="C11885" s="115"/>
      <c r="D11885" s="115"/>
      <c r="E11885" s="115"/>
    </row>
    <row r="11886" spans="1:5" ht="13">
      <c r="A11886" s="115"/>
      <c r="B11886" s="115"/>
      <c r="C11886" s="115"/>
      <c r="D11886" s="115"/>
      <c r="E11886" s="115"/>
    </row>
    <row r="11887" spans="1:5" ht="13">
      <c r="A11887" s="115"/>
      <c r="B11887" s="115"/>
      <c r="C11887" s="115"/>
      <c r="D11887" s="115"/>
      <c r="E11887" s="115"/>
    </row>
    <row r="11888" spans="1:5" ht="13">
      <c r="A11888" s="115"/>
      <c r="B11888" s="115"/>
      <c r="C11888" s="115"/>
      <c r="D11888" s="115"/>
      <c r="E11888" s="115"/>
    </row>
    <row r="11889" spans="1:5" ht="13">
      <c r="A11889" s="115"/>
      <c r="B11889" s="115"/>
      <c r="C11889" s="115"/>
      <c r="D11889" s="115"/>
      <c r="E11889" s="115"/>
    </row>
    <row r="11890" spans="1:5" ht="13">
      <c r="A11890" s="115"/>
      <c r="B11890" s="115"/>
      <c r="C11890" s="115"/>
      <c r="D11890" s="115"/>
      <c r="E11890" s="115"/>
    </row>
    <row r="11891" spans="1:5" ht="13">
      <c r="A11891" s="115"/>
      <c r="B11891" s="115"/>
      <c r="C11891" s="115"/>
      <c r="D11891" s="115"/>
      <c r="E11891" s="115"/>
    </row>
    <row r="11892" spans="1:5" ht="13">
      <c r="A11892" s="115"/>
      <c r="B11892" s="115"/>
      <c r="C11892" s="115"/>
      <c r="D11892" s="115"/>
      <c r="E11892" s="115"/>
    </row>
    <row r="11893" spans="1:5" ht="13">
      <c r="A11893" s="115"/>
      <c r="B11893" s="115"/>
      <c r="C11893" s="115"/>
      <c r="D11893" s="115"/>
      <c r="E11893" s="115"/>
    </row>
    <row r="11894" spans="1:5" ht="13">
      <c r="A11894" s="115"/>
      <c r="B11894" s="115"/>
      <c r="C11894" s="115"/>
      <c r="D11894" s="115"/>
      <c r="E11894" s="115"/>
    </row>
    <row r="11895" spans="1:5" ht="13">
      <c r="A11895" s="115"/>
      <c r="B11895" s="115"/>
      <c r="C11895" s="115"/>
      <c r="D11895" s="115"/>
      <c r="E11895" s="115"/>
    </row>
    <row r="11896" spans="1:5" ht="13">
      <c r="A11896" s="115"/>
      <c r="B11896" s="115"/>
      <c r="C11896" s="115"/>
      <c r="D11896" s="115"/>
      <c r="E11896" s="115"/>
    </row>
    <row r="11897" spans="1:5" ht="13">
      <c r="A11897" s="115"/>
      <c r="B11897" s="115"/>
      <c r="C11897" s="115"/>
      <c r="D11897" s="115"/>
      <c r="E11897" s="115"/>
    </row>
    <row r="11898" spans="1:5" ht="13">
      <c r="A11898" s="115"/>
      <c r="B11898" s="115"/>
      <c r="C11898" s="115"/>
      <c r="D11898" s="115"/>
      <c r="E11898" s="115"/>
    </row>
    <row r="11899" spans="1:5" ht="13">
      <c r="A11899" s="115"/>
      <c r="B11899" s="115"/>
      <c r="C11899" s="115"/>
      <c r="D11899" s="115"/>
      <c r="E11899" s="115"/>
    </row>
    <row r="11900" spans="1:5" ht="13">
      <c r="A11900" s="115"/>
      <c r="B11900" s="115"/>
      <c r="C11900" s="115"/>
      <c r="D11900" s="115"/>
      <c r="E11900" s="115"/>
    </row>
    <row r="11901" spans="1:5" ht="13">
      <c r="A11901" s="115"/>
      <c r="B11901" s="115"/>
      <c r="C11901" s="115"/>
      <c r="D11901" s="115"/>
      <c r="E11901" s="115"/>
    </row>
    <row r="11902" spans="1:5" ht="13">
      <c r="A11902" s="115"/>
      <c r="B11902" s="115"/>
      <c r="C11902" s="115"/>
      <c r="D11902" s="115"/>
      <c r="E11902" s="115"/>
    </row>
    <row r="11903" spans="1:5" ht="13">
      <c r="A11903" s="115"/>
      <c r="B11903" s="115"/>
      <c r="C11903" s="115"/>
      <c r="D11903" s="115"/>
      <c r="E11903" s="115"/>
    </row>
    <row r="11904" spans="1:5" ht="13">
      <c r="A11904" s="115"/>
      <c r="B11904" s="115"/>
      <c r="C11904" s="115"/>
      <c r="D11904" s="115"/>
      <c r="E11904" s="115"/>
    </row>
    <row r="11905" spans="1:5" ht="13">
      <c r="A11905" s="115"/>
      <c r="B11905" s="115"/>
      <c r="C11905" s="115"/>
      <c r="D11905" s="115"/>
      <c r="E11905" s="115"/>
    </row>
    <row r="11906" spans="1:5" ht="13">
      <c r="A11906" s="115"/>
      <c r="B11906" s="115"/>
      <c r="C11906" s="115"/>
      <c r="D11906" s="115"/>
      <c r="E11906" s="115"/>
    </row>
    <row r="11907" spans="1:5" ht="13">
      <c r="A11907" s="115"/>
      <c r="B11907" s="115"/>
      <c r="C11907" s="115"/>
      <c r="D11907" s="115"/>
      <c r="E11907" s="115"/>
    </row>
    <row r="11908" spans="1:5" ht="13">
      <c r="A11908" s="115"/>
      <c r="B11908" s="115"/>
      <c r="C11908" s="115"/>
      <c r="D11908" s="115"/>
      <c r="E11908" s="115"/>
    </row>
    <row r="11909" spans="1:5" ht="13">
      <c r="A11909" s="115"/>
      <c r="B11909" s="115"/>
      <c r="C11909" s="115"/>
      <c r="D11909" s="115"/>
      <c r="E11909" s="115"/>
    </row>
    <row r="11910" spans="1:5" ht="13">
      <c r="A11910" s="115"/>
      <c r="B11910" s="115"/>
      <c r="C11910" s="115"/>
      <c r="D11910" s="115"/>
      <c r="E11910" s="115"/>
    </row>
    <row r="11911" spans="1:5" ht="13">
      <c r="A11911" s="115"/>
      <c r="B11911" s="115"/>
      <c r="C11911" s="115"/>
      <c r="D11911" s="115"/>
      <c r="E11911" s="115"/>
    </row>
    <row r="11912" spans="1:5" ht="13">
      <c r="A11912" s="115"/>
      <c r="B11912" s="115"/>
      <c r="C11912" s="115"/>
      <c r="D11912" s="115"/>
      <c r="E11912" s="115"/>
    </row>
    <row r="11913" spans="1:5" ht="13">
      <c r="A11913" s="115"/>
      <c r="B11913" s="115"/>
      <c r="C11913" s="115"/>
      <c r="D11913" s="115"/>
      <c r="E11913" s="115"/>
    </row>
    <row r="11914" spans="1:5" ht="13">
      <c r="A11914" s="115"/>
      <c r="B11914" s="115"/>
      <c r="C11914" s="115"/>
      <c r="D11914" s="115"/>
      <c r="E11914" s="115"/>
    </row>
    <row r="11915" spans="1:5" ht="13">
      <c r="A11915" s="115"/>
      <c r="B11915" s="115"/>
      <c r="C11915" s="115"/>
      <c r="D11915" s="115"/>
      <c r="E11915" s="115"/>
    </row>
    <row r="11916" spans="1:5" ht="13">
      <c r="A11916" s="115"/>
      <c r="B11916" s="115"/>
      <c r="C11916" s="115"/>
      <c r="D11916" s="115"/>
      <c r="E11916" s="115"/>
    </row>
    <row r="11917" spans="1:5" ht="13">
      <c r="A11917" s="115"/>
      <c r="B11917" s="115"/>
      <c r="C11917" s="115"/>
      <c r="D11917" s="115"/>
      <c r="E11917" s="115"/>
    </row>
    <row r="11918" spans="1:5" ht="13">
      <c r="A11918" s="115"/>
      <c r="B11918" s="115"/>
      <c r="C11918" s="115"/>
      <c r="D11918" s="115"/>
      <c r="E11918" s="115"/>
    </row>
    <row r="11919" spans="1:5" ht="13">
      <c r="A11919" s="115"/>
      <c r="B11919" s="115"/>
      <c r="C11919" s="115"/>
      <c r="D11919" s="115"/>
      <c r="E11919" s="115"/>
    </row>
    <row r="11920" spans="1:5" ht="13">
      <c r="A11920" s="115"/>
      <c r="B11920" s="115"/>
      <c r="C11920" s="115"/>
      <c r="D11920" s="115"/>
      <c r="E11920" s="115"/>
    </row>
    <row r="11921" spans="1:5" ht="13">
      <c r="A11921" s="115"/>
      <c r="B11921" s="115"/>
      <c r="C11921" s="115"/>
      <c r="D11921" s="115"/>
      <c r="E11921" s="115"/>
    </row>
    <row r="11922" spans="1:5" ht="13">
      <c r="A11922" s="115"/>
      <c r="B11922" s="115"/>
      <c r="C11922" s="115"/>
      <c r="D11922" s="115"/>
      <c r="E11922" s="115"/>
    </row>
    <row r="11923" spans="1:5" ht="13">
      <c r="A11923" s="115"/>
      <c r="B11923" s="115"/>
      <c r="C11923" s="115"/>
      <c r="D11923" s="115"/>
      <c r="E11923" s="115"/>
    </row>
    <row r="11924" spans="1:5" ht="13">
      <c r="A11924" s="115"/>
      <c r="B11924" s="115"/>
      <c r="C11924" s="115"/>
      <c r="D11924" s="115"/>
      <c r="E11924" s="115"/>
    </row>
    <row r="11925" spans="1:5" ht="13">
      <c r="A11925" s="115"/>
      <c r="B11925" s="115"/>
      <c r="C11925" s="115"/>
      <c r="D11925" s="115"/>
      <c r="E11925" s="115"/>
    </row>
    <row r="11926" spans="1:5" ht="13">
      <c r="A11926" s="115"/>
      <c r="B11926" s="115"/>
      <c r="C11926" s="115"/>
      <c r="D11926" s="115"/>
      <c r="E11926" s="115"/>
    </row>
    <row r="11927" spans="1:5" ht="13">
      <c r="A11927" s="115"/>
      <c r="B11927" s="115"/>
      <c r="C11927" s="115"/>
      <c r="D11927" s="115"/>
      <c r="E11927" s="115"/>
    </row>
    <row r="11928" spans="1:5" ht="13">
      <c r="A11928" s="115"/>
      <c r="B11928" s="115"/>
      <c r="C11928" s="115"/>
      <c r="D11928" s="115"/>
      <c r="E11928" s="115"/>
    </row>
    <row r="11929" spans="1:5" ht="13">
      <c r="A11929" s="115"/>
      <c r="B11929" s="115"/>
      <c r="C11929" s="115"/>
      <c r="D11929" s="115"/>
      <c r="E11929" s="115"/>
    </row>
    <row r="11930" spans="1:5" ht="13">
      <c r="A11930" s="115"/>
      <c r="B11930" s="115"/>
      <c r="C11930" s="115"/>
      <c r="D11930" s="115"/>
      <c r="E11930" s="115"/>
    </row>
    <row r="11931" spans="1:5" ht="13">
      <c r="A11931" s="115"/>
      <c r="B11931" s="115"/>
      <c r="C11931" s="115"/>
      <c r="D11931" s="115"/>
      <c r="E11931" s="115"/>
    </row>
    <row r="11932" spans="1:5" ht="13">
      <c r="A11932" s="115"/>
      <c r="B11932" s="115"/>
      <c r="C11932" s="115"/>
      <c r="D11932" s="115"/>
      <c r="E11932" s="115"/>
    </row>
    <row r="11933" spans="1:5" ht="13">
      <c r="A11933" s="115"/>
      <c r="B11933" s="115"/>
      <c r="C11933" s="115"/>
      <c r="D11933" s="115"/>
      <c r="E11933" s="115"/>
    </row>
    <row r="11934" spans="1:5" ht="13">
      <c r="A11934" s="115"/>
      <c r="B11934" s="115"/>
      <c r="C11934" s="115"/>
      <c r="D11934" s="115"/>
      <c r="E11934" s="115"/>
    </row>
    <row r="11935" spans="1:5" ht="13">
      <c r="A11935" s="115"/>
      <c r="B11935" s="115"/>
      <c r="C11935" s="115"/>
      <c r="D11935" s="115"/>
      <c r="E11935" s="115"/>
    </row>
    <row r="11936" spans="1:5" ht="13">
      <c r="A11936" s="115"/>
      <c r="B11936" s="115"/>
      <c r="C11936" s="115"/>
      <c r="D11936" s="115"/>
      <c r="E11936" s="115"/>
    </row>
    <row r="11937" spans="1:5" ht="13">
      <c r="A11937" s="115"/>
      <c r="B11937" s="115"/>
      <c r="C11937" s="115"/>
      <c r="D11937" s="115"/>
      <c r="E11937" s="115"/>
    </row>
    <row r="11938" spans="1:5" ht="13">
      <c r="A11938" s="115"/>
      <c r="B11938" s="115"/>
      <c r="C11938" s="115"/>
      <c r="D11938" s="115"/>
      <c r="E11938" s="115"/>
    </row>
    <row r="11939" spans="1:5" ht="13">
      <c r="A11939" s="115"/>
      <c r="B11939" s="115"/>
      <c r="C11939" s="115"/>
      <c r="D11939" s="115"/>
      <c r="E11939" s="115"/>
    </row>
    <row r="11940" spans="1:5" ht="13">
      <c r="A11940" s="115"/>
      <c r="B11940" s="115"/>
      <c r="C11940" s="115"/>
      <c r="D11940" s="115"/>
      <c r="E11940" s="115"/>
    </row>
    <row r="11941" spans="1:5" ht="13">
      <c r="A11941" s="115"/>
      <c r="B11941" s="115"/>
      <c r="C11941" s="115"/>
      <c r="D11941" s="115"/>
      <c r="E11941" s="115"/>
    </row>
    <row r="11942" spans="1:5" ht="13">
      <c r="A11942" s="115"/>
      <c r="B11942" s="115"/>
      <c r="C11942" s="115"/>
      <c r="D11942" s="115"/>
      <c r="E11942" s="115"/>
    </row>
    <row r="11943" spans="1:5" ht="13">
      <c r="A11943" s="115"/>
      <c r="B11943" s="115"/>
      <c r="C11943" s="115"/>
      <c r="D11943" s="115"/>
      <c r="E11943" s="115"/>
    </row>
    <row r="11944" spans="1:5" ht="13">
      <c r="A11944" s="115"/>
      <c r="B11944" s="115"/>
      <c r="C11944" s="115"/>
      <c r="D11944" s="115"/>
      <c r="E11944" s="115"/>
    </row>
    <row r="11945" spans="1:5" ht="13">
      <c r="A11945" s="115"/>
      <c r="B11945" s="115"/>
      <c r="C11945" s="115"/>
      <c r="D11945" s="115"/>
      <c r="E11945" s="115"/>
    </row>
    <row r="11946" spans="1:5" ht="13">
      <c r="A11946" s="115"/>
      <c r="B11946" s="115"/>
      <c r="C11946" s="115"/>
      <c r="D11946" s="115"/>
      <c r="E11946" s="115"/>
    </row>
    <row r="11947" spans="1:5" ht="13">
      <c r="A11947" s="115"/>
      <c r="B11947" s="115"/>
      <c r="C11947" s="115"/>
      <c r="D11947" s="115"/>
      <c r="E11947" s="115"/>
    </row>
    <row r="11948" spans="1:5" ht="13">
      <c r="A11948" s="115"/>
      <c r="B11948" s="115"/>
      <c r="C11948" s="115"/>
      <c r="D11948" s="115"/>
      <c r="E11948" s="115"/>
    </row>
    <row r="11949" spans="1:5" ht="13">
      <c r="A11949" s="115"/>
      <c r="B11949" s="115"/>
      <c r="C11949" s="115"/>
      <c r="D11949" s="115"/>
      <c r="E11949" s="115"/>
    </row>
    <row r="11950" spans="1:5" ht="13">
      <c r="A11950" s="115"/>
      <c r="B11950" s="115"/>
      <c r="C11950" s="115"/>
      <c r="D11950" s="115"/>
      <c r="E11950" s="115"/>
    </row>
    <row r="11951" spans="1:5" ht="13">
      <c r="A11951" s="115"/>
      <c r="B11951" s="115"/>
      <c r="C11951" s="115"/>
      <c r="D11951" s="115"/>
      <c r="E11951" s="115"/>
    </row>
    <row r="11952" spans="1:5" ht="13">
      <c r="A11952" s="115"/>
      <c r="B11952" s="115"/>
      <c r="C11952" s="115"/>
      <c r="D11952" s="115"/>
      <c r="E11952" s="115"/>
    </row>
    <row r="11953" spans="1:5" ht="13">
      <c r="A11953" s="115"/>
      <c r="B11953" s="115"/>
      <c r="C11953" s="115"/>
      <c r="D11953" s="115"/>
      <c r="E11953" s="115"/>
    </row>
    <row r="11954" spans="1:5" ht="13">
      <c r="A11954" s="115"/>
      <c r="B11954" s="115"/>
      <c r="C11954" s="115"/>
      <c r="D11954" s="115"/>
      <c r="E11954" s="115"/>
    </row>
    <row r="11955" spans="1:5" ht="13">
      <c r="A11955" s="115"/>
      <c r="B11955" s="115"/>
      <c r="C11955" s="115"/>
      <c r="D11955" s="115"/>
      <c r="E11955" s="115"/>
    </row>
    <row r="11956" spans="1:5" ht="13">
      <c r="A11956" s="115"/>
      <c r="B11956" s="115"/>
      <c r="C11956" s="115"/>
      <c r="D11956" s="115"/>
      <c r="E11956" s="115"/>
    </row>
    <row r="11957" spans="1:5" ht="13">
      <c r="A11957" s="115"/>
      <c r="B11957" s="115"/>
      <c r="C11957" s="115"/>
      <c r="D11957" s="115"/>
      <c r="E11957" s="115"/>
    </row>
    <row r="11958" spans="1:5" ht="13">
      <c r="A11958" s="115"/>
      <c r="B11958" s="115"/>
      <c r="C11958" s="115"/>
      <c r="D11958" s="115"/>
      <c r="E11958" s="115"/>
    </row>
    <row r="11959" spans="1:5" ht="13">
      <c r="A11959" s="115"/>
      <c r="B11959" s="115"/>
      <c r="C11959" s="115"/>
      <c r="D11959" s="115"/>
      <c r="E11959" s="115"/>
    </row>
    <row r="11960" spans="1:5" ht="13">
      <c r="A11960" s="115"/>
      <c r="B11960" s="115"/>
      <c r="C11960" s="115"/>
      <c r="D11960" s="115"/>
      <c r="E11960" s="115"/>
    </row>
    <row r="11961" spans="1:5" ht="13">
      <c r="A11961" s="115"/>
      <c r="B11961" s="115"/>
      <c r="C11961" s="115"/>
      <c r="D11961" s="115"/>
      <c r="E11961" s="115"/>
    </row>
    <row r="11962" spans="1:5" ht="13">
      <c r="A11962" s="115"/>
      <c r="B11962" s="115"/>
      <c r="C11962" s="115"/>
      <c r="D11962" s="115"/>
      <c r="E11962" s="115"/>
    </row>
    <row r="11963" spans="1:5" ht="13">
      <c r="A11963" s="115"/>
      <c r="B11963" s="115"/>
      <c r="C11963" s="115"/>
      <c r="D11963" s="115"/>
      <c r="E11963" s="115"/>
    </row>
    <row r="11964" spans="1:5" ht="13">
      <c r="A11964" s="115"/>
      <c r="B11964" s="115"/>
      <c r="C11964" s="115"/>
      <c r="D11964" s="115"/>
      <c r="E11964" s="115"/>
    </row>
    <row r="11965" spans="1:5" ht="13">
      <c r="A11965" s="115"/>
      <c r="B11965" s="115"/>
      <c r="C11965" s="115"/>
      <c r="D11965" s="115"/>
      <c r="E11965" s="115"/>
    </row>
    <row r="11966" spans="1:5" ht="13">
      <c r="A11966" s="115"/>
      <c r="B11966" s="115"/>
      <c r="C11966" s="115"/>
      <c r="D11966" s="115"/>
      <c r="E11966" s="115"/>
    </row>
    <row r="11967" spans="1:5" ht="13">
      <c r="A11967" s="115"/>
      <c r="B11967" s="115"/>
      <c r="C11967" s="115"/>
      <c r="D11967" s="115"/>
      <c r="E11967" s="115"/>
    </row>
    <row r="11968" spans="1:5" ht="13">
      <c r="A11968" s="115"/>
      <c r="B11968" s="115"/>
      <c r="C11968" s="115"/>
      <c r="D11968" s="115"/>
      <c r="E11968" s="115"/>
    </row>
    <row r="11969" spans="1:5" ht="13">
      <c r="A11969" s="115"/>
      <c r="B11969" s="115"/>
      <c r="C11969" s="115"/>
      <c r="D11969" s="115"/>
      <c r="E11969" s="115"/>
    </row>
    <row r="11970" spans="1:5" ht="13">
      <c r="A11970" s="115"/>
      <c r="B11970" s="115"/>
      <c r="C11970" s="115"/>
      <c r="D11970" s="115"/>
      <c r="E11970" s="115"/>
    </row>
    <row r="11971" spans="1:5" ht="13">
      <c r="A11971" s="115"/>
      <c r="B11971" s="115"/>
      <c r="C11971" s="115"/>
      <c r="D11971" s="115"/>
      <c r="E11971" s="115"/>
    </row>
    <row r="11972" spans="1:5" ht="13">
      <c r="A11972" s="115"/>
      <c r="B11972" s="115"/>
      <c r="C11972" s="115"/>
      <c r="D11972" s="115"/>
      <c r="E11972" s="115"/>
    </row>
    <row r="11973" spans="1:5" ht="13">
      <c r="A11973" s="115"/>
      <c r="B11973" s="115"/>
      <c r="C11973" s="115"/>
      <c r="D11973" s="115"/>
      <c r="E11973" s="115"/>
    </row>
    <row r="11974" spans="1:5" ht="13">
      <c r="A11974" s="115"/>
      <c r="B11974" s="115"/>
      <c r="C11974" s="115"/>
      <c r="D11974" s="115"/>
      <c r="E11974" s="115"/>
    </row>
    <row r="11975" spans="1:5" ht="13">
      <c r="A11975" s="115"/>
      <c r="B11975" s="115"/>
      <c r="C11975" s="115"/>
      <c r="D11975" s="115"/>
      <c r="E11975" s="115"/>
    </row>
    <row r="11976" spans="1:5" ht="13">
      <c r="A11976" s="115"/>
      <c r="B11976" s="115"/>
      <c r="C11976" s="115"/>
      <c r="D11976" s="115"/>
      <c r="E11976" s="115"/>
    </row>
    <row r="11977" spans="1:5" ht="13">
      <c r="A11977" s="115"/>
      <c r="B11977" s="115"/>
      <c r="C11977" s="115"/>
      <c r="D11977" s="115"/>
      <c r="E11977" s="115"/>
    </row>
    <row r="11978" spans="1:5" ht="13">
      <c r="A11978" s="115"/>
      <c r="B11978" s="115"/>
      <c r="C11978" s="115"/>
      <c r="D11978" s="115"/>
      <c r="E11978" s="115"/>
    </row>
    <row r="11979" spans="1:5" ht="13">
      <c r="A11979" s="115"/>
      <c r="B11979" s="115"/>
      <c r="C11979" s="115"/>
      <c r="D11979" s="115"/>
      <c r="E11979" s="115"/>
    </row>
    <row r="11980" spans="1:5" ht="13">
      <c r="A11980" s="115"/>
      <c r="B11980" s="115"/>
      <c r="C11980" s="115"/>
      <c r="D11980" s="115"/>
      <c r="E11980" s="115"/>
    </row>
    <row r="11981" spans="1:5" ht="13">
      <c r="A11981" s="115"/>
      <c r="B11981" s="115"/>
      <c r="C11981" s="115"/>
      <c r="D11981" s="115"/>
      <c r="E11981" s="115"/>
    </row>
    <row r="11982" spans="1:5" ht="13">
      <c r="A11982" s="115"/>
      <c r="B11982" s="115"/>
      <c r="C11982" s="115"/>
      <c r="D11982" s="115"/>
      <c r="E11982" s="115"/>
    </row>
    <row r="11983" spans="1:5" ht="13">
      <c r="A11983" s="115"/>
      <c r="B11983" s="115"/>
      <c r="C11983" s="115"/>
      <c r="D11983" s="115"/>
      <c r="E11983" s="115"/>
    </row>
    <row r="11984" spans="1:5" ht="13">
      <c r="A11984" s="115"/>
      <c r="B11984" s="115"/>
      <c r="C11984" s="115"/>
      <c r="D11984" s="115"/>
      <c r="E11984" s="115"/>
    </row>
    <row r="11985" spans="1:5" ht="13">
      <c r="A11985" s="115"/>
      <c r="B11985" s="115"/>
      <c r="C11985" s="115"/>
      <c r="D11985" s="115"/>
      <c r="E11985" s="115"/>
    </row>
    <row r="11986" spans="1:5" ht="13">
      <c r="A11986" s="115"/>
      <c r="B11986" s="115"/>
      <c r="C11986" s="115"/>
      <c r="D11986" s="115"/>
      <c r="E11986" s="115"/>
    </row>
    <row r="11987" spans="1:5" ht="13">
      <c r="A11987" s="115"/>
      <c r="B11987" s="115"/>
      <c r="C11987" s="115"/>
      <c r="D11987" s="115"/>
      <c r="E11987" s="115"/>
    </row>
    <row r="11988" spans="1:5" ht="13">
      <c r="A11988" s="115"/>
      <c r="B11988" s="115"/>
      <c r="C11988" s="115"/>
      <c r="D11988" s="115"/>
      <c r="E11988" s="115"/>
    </row>
    <row r="11989" spans="1:5" ht="13">
      <c r="A11989" s="115"/>
      <c r="B11989" s="115"/>
      <c r="C11989" s="115"/>
      <c r="D11989" s="115"/>
      <c r="E11989" s="115"/>
    </row>
    <row r="11990" spans="1:5" ht="13">
      <c r="A11990" s="115"/>
      <c r="B11990" s="115"/>
      <c r="C11990" s="115"/>
      <c r="D11990" s="115"/>
      <c r="E11990" s="115"/>
    </row>
    <row r="11991" spans="1:5" ht="13">
      <c r="A11991" s="115"/>
      <c r="B11991" s="115"/>
      <c r="C11991" s="115"/>
      <c r="D11991" s="115"/>
      <c r="E11991" s="115"/>
    </row>
    <row r="11992" spans="1:5" ht="13">
      <c r="A11992" s="115"/>
      <c r="B11992" s="115"/>
      <c r="C11992" s="115"/>
      <c r="D11992" s="115"/>
      <c r="E11992" s="115"/>
    </row>
    <row r="11993" spans="1:5" ht="13">
      <c r="A11993" s="115"/>
      <c r="B11993" s="115"/>
      <c r="C11993" s="115"/>
      <c r="D11993" s="115"/>
      <c r="E11993" s="115"/>
    </row>
    <row r="11994" spans="1:5" ht="13">
      <c r="A11994" s="115"/>
      <c r="B11994" s="115"/>
      <c r="C11994" s="115"/>
      <c r="D11994" s="115"/>
      <c r="E11994" s="115"/>
    </row>
    <row r="11995" spans="1:5" ht="13">
      <c r="A11995" s="115"/>
      <c r="B11995" s="115"/>
      <c r="C11995" s="115"/>
      <c r="D11995" s="115"/>
      <c r="E11995" s="115"/>
    </row>
    <row r="11996" spans="1:5" ht="13">
      <c r="A11996" s="115"/>
      <c r="B11996" s="115"/>
      <c r="C11996" s="115"/>
      <c r="D11996" s="115"/>
      <c r="E11996" s="115"/>
    </row>
    <row r="11997" spans="1:5" ht="13">
      <c r="A11997" s="115"/>
      <c r="B11997" s="115"/>
      <c r="C11997" s="115"/>
      <c r="D11997" s="115"/>
      <c r="E11997" s="115"/>
    </row>
    <row r="11998" spans="1:5" ht="13">
      <c r="A11998" s="115"/>
      <c r="B11998" s="115"/>
      <c r="C11998" s="115"/>
      <c r="D11998" s="115"/>
      <c r="E11998" s="115"/>
    </row>
    <row r="11999" spans="1:5" ht="13">
      <c r="A11999" s="115"/>
      <c r="B11999" s="115"/>
      <c r="C11999" s="115"/>
      <c r="D11999" s="115"/>
      <c r="E11999" s="115"/>
    </row>
    <row r="12000" spans="1:5" ht="13">
      <c r="A12000" s="115"/>
      <c r="B12000" s="115"/>
      <c r="C12000" s="115"/>
      <c r="D12000" s="115"/>
      <c r="E12000" s="115"/>
    </row>
    <row r="12001" spans="1:5" ht="13">
      <c r="A12001" s="115"/>
      <c r="B12001" s="115"/>
      <c r="C12001" s="115"/>
      <c r="D12001" s="115"/>
      <c r="E12001" s="115"/>
    </row>
    <row r="12002" spans="1:5" ht="13">
      <c r="A12002" s="115"/>
      <c r="B12002" s="115"/>
      <c r="C12002" s="115"/>
      <c r="D12002" s="115"/>
      <c r="E12002" s="115"/>
    </row>
    <row r="12003" spans="1:5" ht="13">
      <c r="A12003" s="115"/>
      <c r="B12003" s="115"/>
      <c r="C12003" s="115"/>
      <c r="D12003" s="115"/>
      <c r="E12003" s="115"/>
    </row>
    <row r="12004" spans="1:5" ht="13">
      <c r="A12004" s="115"/>
      <c r="B12004" s="115"/>
      <c r="C12004" s="115"/>
      <c r="D12004" s="115"/>
      <c r="E12004" s="115"/>
    </row>
    <row r="12005" spans="1:5" ht="13">
      <c r="A12005" s="115"/>
      <c r="B12005" s="115"/>
      <c r="C12005" s="115"/>
      <c r="D12005" s="115"/>
      <c r="E12005" s="115"/>
    </row>
    <row r="12006" spans="1:5" ht="13">
      <c r="A12006" s="115"/>
      <c r="B12006" s="115"/>
      <c r="C12006" s="115"/>
      <c r="D12006" s="115"/>
      <c r="E12006" s="115"/>
    </row>
    <row r="12007" spans="1:5" ht="13">
      <c r="A12007" s="115"/>
      <c r="B12007" s="115"/>
      <c r="C12007" s="115"/>
      <c r="D12007" s="115"/>
      <c r="E12007" s="115"/>
    </row>
    <row r="12008" spans="1:5" ht="13">
      <c r="A12008" s="115"/>
      <c r="B12008" s="115"/>
      <c r="C12008" s="115"/>
      <c r="D12008" s="115"/>
      <c r="E12008" s="115"/>
    </row>
    <row r="12009" spans="1:5" ht="13">
      <c r="A12009" s="115"/>
      <c r="B12009" s="115"/>
      <c r="C12009" s="115"/>
      <c r="D12009" s="115"/>
      <c r="E12009" s="115"/>
    </row>
    <row r="12010" spans="1:5" ht="13">
      <c r="A12010" s="115"/>
      <c r="B12010" s="115"/>
      <c r="C12010" s="115"/>
      <c r="D12010" s="115"/>
      <c r="E12010" s="115"/>
    </row>
    <row r="12011" spans="1:5" ht="13">
      <c r="A12011" s="115"/>
      <c r="B12011" s="115"/>
      <c r="C12011" s="115"/>
      <c r="D12011" s="115"/>
      <c r="E12011" s="115"/>
    </row>
    <row r="12012" spans="1:5" ht="13">
      <c r="A12012" s="115"/>
      <c r="B12012" s="115"/>
      <c r="C12012" s="115"/>
      <c r="D12012" s="115"/>
      <c r="E12012" s="115"/>
    </row>
    <row r="12013" spans="1:5" ht="13">
      <c r="A12013" s="115"/>
      <c r="B12013" s="115"/>
      <c r="C12013" s="115"/>
      <c r="D12013" s="115"/>
      <c r="E12013" s="115"/>
    </row>
    <row r="12014" spans="1:5" ht="13">
      <c r="A12014" s="115"/>
      <c r="B12014" s="115"/>
      <c r="C12014" s="115"/>
      <c r="D12014" s="115"/>
      <c r="E12014" s="115"/>
    </row>
    <row r="12015" spans="1:5" ht="13">
      <c r="A12015" s="115"/>
      <c r="B12015" s="115"/>
      <c r="C12015" s="115"/>
      <c r="D12015" s="115"/>
      <c r="E12015" s="115"/>
    </row>
    <row r="12016" spans="1:5" ht="13">
      <c r="A12016" s="115"/>
      <c r="B12016" s="115"/>
      <c r="C12016" s="115"/>
      <c r="D12016" s="115"/>
      <c r="E12016" s="115"/>
    </row>
    <row r="12017" spans="1:5" ht="13">
      <c r="A12017" s="115"/>
      <c r="B12017" s="115"/>
      <c r="C12017" s="115"/>
      <c r="D12017" s="115"/>
      <c r="E12017" s="115"/>
    </row>
    <row r="12018" spans="1:5" ht="13">
      <c r="A12018" s="115"/>
      <c r="B12018" s="115"/>
      <c r="C12018" s="115"/>
      <c r="D12018" s="115"/>
      <c r="E12018" s="115"/>
    </row>
    <row r="12019" spans="1:5" ht="13">
      <c r="A12019" s="115"/>
      <c r="B12019" s="115"/>
      <c r="C12019" s="115"/>
      <c r="D12019" s="115"/>
      <c r="E12019" s="115"/>
    </row>
    <row r="12020" spans="1:5" ht="13">
      <c r="A12020" s="115"/>
      <c r="B12020" s="115"/>
      <c r="C12020" s="115"/>
      <c r="D12020" s="115"/>
      <c r="E12020" s="115"/>
    </row>
    <row r="12021" spans="1:5" ht="13">
      <c r="A12021" s="115"/>
      <c r="B12021" s="115"/>
      <c r="C12021" s="115"/>
      <c r="D12021" s="115"/>
      <c r="E12021" s="115"/>
    </row>
    <row r="12022" spans="1:5" ht="13">
      <c r="A12022" s="115"/>
      <c r="B12022" s="115"/>
      <c r="C12022" s="115"/>
      <c r="D12022" s="115"/>
      <c r="E12022" s="115"/>
    </row>
    <row r="12023" spans="1:5" ht="13">
      <c r="A12023" s="115"/>
      <c r="B12023" s="115"/>
      <c r="C12023" s="115"/>
      <c r="D12023" s="115"/>
      <c r="E12023" s="115"/>
    </row>
    <row r="12024" spans="1:5" ht="13">
      <c r="A12024" s="115"/>
      <c r="B12024" s="115"/>
      <c r="C12024" s="115"/>
      <c r="D12024" s="115"/>
      <c r="E12024" s="115"/>
    </row>
    <row r="12025" spans="1:5" ht="13">
      <c r="A12025" s="115"/>
      <c r="B12025" s="115"/>
      <c r="C12025" s="115"/>
      <c r="D12025" s="115"/>
      <c r="E12025" s="115"/>
    </row>
    <row r="12026" spans="1:5" ht="13">
      <c r="A12026" s="115"/>
      <c r="B12026" s="115"/>
      <c r="C12026" s="115"/>
      <c r="D12026" s="115"/>
      <c r="E12026" s="115"/>
    </row>
    <row r="12027" spans="1:5" ht="13">
      <c r="A12027" s="115"/>
      <c r="B12027" s="115"/>
      <c r="C12027" s="115"/>
      <c r="D12027" s="115"/>
      <c r="E12027" s="115"/>
    </row>
    <row r="12028" spans="1:5" ht="13">
      <c r="A12028" s="115"/>
      <c r="B12028" s="115"/>
      <c r="C12028" s="115"/>
      <c r="D12028" s="115"/>
      <c r="E12028" s="115"/>
    </row>
    <row r="12029" spans="1:5" ht="13">
      <c r="A12029" s="115"/>
      <c r="B12029" s="115"/>
      <c r="C12029" s="115"/>
      <c r="D12029" s="115"/>
      <c r="E12029" s="115"/>
    </row>
    <row r="12030" spans="1:5" ht="13">
      <c r="A12030" s="115"/>
      <c r="B12030" s="115"/>
      <c r="C12030" s="115"/>
      <c r="D12030" s="115"/>
      <c r="E12030" s="115"/>
    </row>
    <row r="12031" spans="1:5" ht="13">
      <c r="A12031" s="115"/>
      <c r="B12031" s="115"/>
      <c r="C12031" s="115"/>
      <c r="D12031" s="115"/>
      <c r="E12031" s="115"/>
    </row>
    <row r="12032" spans="1:5" ht="13">
      <c r="A12032" s="115"/>
      <c r="B12032" s="115"/>
      <c r="C12032" s="115"/>
      <c r="D12032" s="115"/>
      <c r="E12032" s="115"/>
    </row>
    <row r="12033" spans="1:5" ht="13">
      <c r="A12033" s="115"/>
      <c r="B12033" s="115"/>
      <c r="C12033" s="115"/>
      <c r="D12033" s="115"/>
      <c r="E12033" s="115"/>
    </row>
    <row r="12034" spans="1:5" ht="13">
      <c r="A12034" s="115"/>
      <c r="B12034" s="115"/>
      <c r="C12034" s="115"/>
      <c r="D12034" s="115"/>
      <c r="E12034" s="115"/>
    </row>
    <row r="12035" spans="1:5" ht="13">
      <c r="A12035" s="115"/>
      <c r="B12035" s="115"/>
      <c r="C12035" s="115"/>
      <c r="D12035" s="115"/>
      <c r="E12035" s="115"/>
    </row>
    <row r="12036" spans="1:5" ht="13">
      <c r="A12036" s="115"/>
      <c r="B12036" s="115"/>
      <c r="C12036" s="115"/>
      <c r="D12036" s="115"/>
      <c r="E12036" s="115"/>
    </row>
    <row r="12037" spans="1:5" ht="13">
      <c r="A12037" s="115"/>
      <c r="B12037" s="115"/>
      <c r="C12037" s="115"/>
      <c r="D12037" s="115"/>
      <c r="E12037" s="115"/>
    </row>
    <row r="12038" spans="1:5" ht="13">
      <c r="A12038" s="115"/>
      <c r="B12038" s="115"/>
      <c r="C12038" s="115"/>
      <c r="D12038" s="115"/>
      <c r="E12038" s="115"/>
    </row>
    <row r="12039" spans="1:5" ht="13">
      <c r="A12039" s="115"/>
      <c r="B12039" s="115"/>
      <c r="C12039" s="115"/>
      <c r="D12039" s="115"/>
      <c r="E12039" s="115"/>
    </row>
    <row r="12040" spans="1:5" ht="13">
      <c r="A12040" s="115"/>
      <c r="B12040" s="115"/>
      <c r="C12040" s="115"/>
      <c r="D12040" s="115"/>
      <c r="E12040" s="115"/>
    </row>
    <row r="12041" spans="1:5" ht="13">
      <c r="A12041" s="115"/>
      <c r="B12041" s="115"/>
      <c r="C12041" s="115"/>
      <c r="D12041" s="115"/>
      <c r="E12041" s="115"/>
    </row>
    <row r="12042" spans="1:5" ht="13">
      <c r="A12042" s="115"/>
      <c r="B12042" s="115"/>
      <c r="C12042" s="115"/>
      <c r="D12042" s="115"/>
      <c r="E12042" s="115"/>
    </row>
    <row r="12043" spans="1:5" ht="13">
      <c r="A12043" s="115"/>
      <c r="B12043" s="115"/>
      <c r="C12043" s="115"/>
      <c r="D12043" s="115"/>
      <c r="E12043" s="115"/>
    </row>
    <row r="12044" spans="1:5" ht="13">
      <c r="A12044" s="115"/>
      <c r="B12044" s="115"/>
      <c r="C12044" s="115"/>
      <c r="D12044" s="115"/>
      <c r="E12044" s="115"/>
    </row>
    <row r="12045" spans="1:5" ht="13">
      <c r="A12045" s="115"/>
      <c r="B12045" s="115"/>
      <c r="C12045" s="115"/>
      <c r="D12045" s="115"/>
      <c r="E12045" s="115"/>
    </row>
    <row r="12046" spans="1:5" ht="13">
      <c r="A12046" s="115"/>
      <c r="B12046" s="115"/>
      <c r="C12046" s="115"/>
      <c r="D12046" s="115"/>
      <c r="E12046" s="115"/>
    </row>
    <row r="12047" spans="1:5" ht="13">
      <c r="A12047" s="115"/>
      <c r="B12047" s="115"/>
      <c r="C12047" s="115"/>
      <c r="D12047" s="115"/>
      <c r="E12047" s="115"/>
    </row>
    <row r="12048" spans="1:5" ht="13">
      <c r="A12048" s="115"/>
      <c r="B12048" s="115"/>
      <c r="C12048" s="115"/>
      <c r="D12048" s="115"/>
      <c r="E12048" s="115"/>
    </row>
    <row r="12049" spans="1:5" ht="13">
      <c r="A12049" s="115"/>
      <c r="B12049" s="115"/>
      <c r="C12049" s="115"/>
      <c r="D12049" s="115"/>
      <c r="E12049" s="115"/>
    </row>
    <row r="12050" spans="1:5" ht="13">
      <c r="A12050" s="115"/>
      <c r="B12050" s="115"/>
      <c r="C12050" s="115"/>
      <c r="D12050" s="115"/>
      <c r="E12050" s="115"/>
    </row>
    <row r="12051" spans="1:5" ht="13">
      <c r="A12051" s="115"/>
      <c r="B12051" s="115"/>
      <c r="C12051" s="115"/>
      <c r="D12051" s="115"/>
      <c r="E12051" s="115"/>
    </row>
    <row r="12052" spans="1:5" ht="13">
      <c r="A12052" s="115"/>
      <c r="B12052" s="115"/>
      <c r="C12052" s="115"/>
      <c r="D12052" s="115"/>
      <c r="E12052" s="115"/>
    </row>
    <row r="12053" spans="1:5" ht="13">
      <c r="A12053" s="115"/>
      <c r="B12053" s="115"/>
      <c r="C12053" s="115"/>
      <c r="D12053" s="115"/>
      <c r="E12053" s="115"/>
    </row>
    <row r="12054" spans="1:5" ht="13">
      <c r="A12054" s="115"/>
      <c r="B12054" s="115"/>
      <c r="C12054" s="115"/>
      <c r="D12054" s="115"/>
      <c r="E12054" s="115"/>
    </row>
    <row r="12055" spans="1:5" ht="13">
      <c r="A12055" s="115"/>
      <c r="B12055" s="115"/>
      <c r="C12055" s="115"/>
      <c r="D12055" s="115"/>
      <c r="E12055" s="115"/>
    </row>
    <row r="12056" spans="1:5" ht="13">
      <c r="A12056" s="115"/>
      <c r="B12056" s="115"/>
      <c r="C12056" s="115"/>
      <c r="D12056" s="115"/>
      <c r="E12056" s="115"/>
    </row>
    <row r="12057" spans="1:5" ht="13">
      <c r="A12057" s="115"/>
      <c r="B12057" s="115"/>
      <c r="C12057" s="115"/>
      <c r="D12057" s="115"/>
      <c r="E12057" s="115"/>
    </row>
    <row r="12058" spans="1:5" ht="13">
      <c r="A12058" s="115"/>
      <c r="B12058" s="115"/>
      <c r="C12058" s="115"/>
      <c r="D12058" s="115"/>
      <c r="E12058" s="115"/>
    </row>
    <row r="12059" spans="1:5" ht="13">
      <c r="A12059" s="115"/>
      <c r="B12059" s="115"/>
      <c r="C12059" s="115"/>
      <c r="D12059" s="115"/>
      <c r="E12059" s="115"/>
    </row>
    <row r="12060" spans="1:5" ht="13">
      <c r="A12060" s="115"/>
      <c r="B12060" s="115"/>
      <c r="C12060" s="115"/>
      <c r="D12060" s="115"/>
      <c r="E12060" s="115"/>
    </row>
    <row r="12061" spans="1:5" ht="13">
      <c r="A12061" s="115"/>
      <c r="B12061" s="115"/>
      <c r="C12061" s="115"/>
      <c r="D12061" s="115"/>
      <c r="E12061" s="115"/>
    </row>
    <row r="12062" spans="1:5" ht="13">
      <c r="A12062" s="115"/>
      <c r="B12062" s="115"/>
      <c r="C12062" s="115"/>
      <c r="D12062" s="115"/>
      <c r="E12062" s="115"/>
    </row>
    <row r="12063" spans="1:5" ht="13">
      <c r="A12063" s="115"/>
      <c r="B12063" s="115"/>
      <c r="C12063" s="115"/>
      <c r="D12063" s="115"/>
      <c r="E12063" s="115"/>
    </row>
    <row r="12064" spans="1:5" ht="13">
      <c r="A12064" s="115"/>
      <c r="B12064" s="115"/>
      <c r="C12064" s="115"/>
      <c r="D12064" s="115"/>
      <c r="E12064" s="115"/>
    </row>
    <row r="12065" spans="1:5" ht="13">
      <c r="A12065" s="115"/>
      <c r="B12065" s="115"/>
      <c r="C12065" s="115"/>
      <c r="D12065" s="115"/>
      <c r="E12065" s="115"/>
    </row>
    <row r="12066" spans="1:5" ht="13">
      <c r="A12066" s="115"/>
      <c r="B12066" s="115"/>
      <c r="C12066" s="115"/>
      <c r="D12066" s="115"/>
      <c r="E12066" s="115"/>
    </row>
    <row r="12067" spans="1:5" ht="13">
      <c r="A12067" s="115"/>
      <c r="B12067" s="115"/>
      <c r="C12067" s="115"/>
      <c r="D12067" s="115"/>
      <c r="E12067" s="115"/>
    </row>
    <row r="12068" spans="1:5" ht="13">
      <c r="A12068" s="115"/>
      <c r="B12068" s="115"/>
      <c r="C12068" s="115"/>
      <c r="D12068" s="115"/>
      <c r="E12068" s="115"/>
    </row>
    <row r="12069" spans="1:5" ht="13">
      <c r="A12069" s="115"/>
      <c r="B12069" s="115"/>
      <c r="C12069" s="115"/>
      <c r="D12069" s="115"/>
      <c r="E12069" s="115"/>
    </row>
    <row r="12070" spans="1:5" ht="13">
      <c r="A12070" s="115"/>
      <c r="B12070" s="115"/>
      <c r="C12070" s="115"/>
      <c r="D12070" s="115"/>
      <c r="E12070" s="115"/>
    </row>
    <row r="12071" spans="1:5" ht="13">
      <c r="A12071" s="115"/>
      <c r="B12071" s="115"/>
      <c r="C12071" s="115"/>
      <c r="D12071" s="115"/>
      <c r="E12071" s="115"/>
    </row>
    <row r="12072" spans="1:5" ht="13">
      <c r="A12072" s="115"/>
      <c r="B12072" s="115"/>
      <c r="C12072" s="115"/>
      <c r="D12072" s="115"/>
      <c r="E12072" s="115"/>
    </row>
    <row r="12073" spans="1:5" ht="13">
      <c r="A12073" s="115"/>
      <c r="B12073" s="115"/>
      <c r="C12073" s="115"/>
      <c r="D12073" s="115"/>
      <c r="E12073" s="115"/>
    </row>
    <row r="12074" spans="1:5" ht="13">
      <c r="A12074" s="115"/>
      <c r="B12074" s="115"/>
      <c r="C12074" s="115"/>
      <c r="D12074" s="115"/>
      <c r="E12074" s="115"/>
    </row>
    <row r="12075" spans="1:5" ht="13">
      <c r="A12075" s="115"/>
      <c r="B12075" s="115"/>
      <c r="C12075" s="115"/>
      <c r="D12075" s="115"/>
      <c r="E12075" s="115"/>
    </row>
    <row r="12076" spans="1:5" ht="13">
      <c r="A12076" s="115"/>
      <c r="B12076" s="115"/>
      <c r="C12076" s="115"/>
      <c r="D12076" s="115"/>
      <c r="E12076" s="115"/>
    </row>
    <row r="12077" spans="1:5" ht="13">
      <c r="A12077" s="115"/>
      <c r="B12077" s="115"/>
      <c r="C12077" s="115"/>
      <c r="D12077" s="115"/>
      <c r="E12077" s="115"/>
    </row>
    <row r="12078" spans="1:5" ht="13">
      <c r="A12078" s="115"/>
      <c r="B12078" s="115"/>
      <c r="C12078" s="115"/>
      <c r="D12078" s="115"/>
      <c r="E12078" s="115"/>
    </row>
    <row r="12079" spans="1:5" ht="13">
      <c r="A12079" s="115"/>
      <c r="B12079" s="115"/>
      <c r="C12079" s="115"/>
      <c r="D12079" s="115"/>
      <c r="E12079" s="115"/>
    </row>
    <row r="12080" spans="1:5" ht="13">
      <c r="A12080" s="115"/>
      <c r="B12080" s="115"/>
      <c r="C12080" s="115"/>
      <c r="D12080" s="115"/>
      <c r="E12080" s="115"/>
    </row>
    <row r="12081" spans="1:5" ht="13">
      <c r="A12081" s="115"/>
      <c r="B12081" s="115"/>
      <c r="C12081" s="115"/>
      <c r="D12081" s="115"/>
      <c r="E12081" s="115"/>
    </row>
    <row r="12082" spans="1:5" ht="13">
      <c r="A12082" s="115"/>
      <c r="B12082" s="115"/>
      <c r="C12082" s="115"/>
      <c r="D12082" s="115"/>
      <c r="E12082" s="115"/>
    </row>
    <row r="12083" spans="1:5" ht="13">
      <c r="A12083" s="115"/>
      <c r="B12083" s="115"/>
      <c r="C12083" s="115"/>
      <c r="D12083" s="115"/>
      <c r="E12083" s="115"/>
    </row>
    <row r="12084" spans="1:5" ht="13">
      <c r="A12084" s="115"/>
      <c r="B12084" s="115"/>
      <c r="C12084" s="115"/>
      <c r="D12084" s="115"/>
      <c r="E12084" s="115"/>
    </row>
    <row r="12085" spans="1:5" ht="13">
      <c r="A12085" s="115"/>
      <c r="B12085" s="115"/>
      <c r="C12085" s="115"/>
      <c r="D12085" s="115"/>
      <c r="E12085" s="115"/>
    </row>
    <row r="12086" spans="1:5" ht="13">
      <c r="A12086" s="115"/>
      <c r="B12086" s="115"/>
      <c r="C12086" s="115"/>
      <c r="D12086" s="115"/>
      <c r="E12086" s="115"/>
    </row>
    <row r="12087" spans="1:5" ht="13">
      <c r="A12087" s="115"/>
      <c r="B12087" s="115"/>
      <c r="C12087" s="115"/>
      <c r="D12087" s="115"/>
      <c r="E12087" s="115"/>
    </row>
    <row r="12088" spans="1:5" ht="13">
      <c r="A12088" s="115"/>
      <c r="B12088" s="115"/>
      <c r="C12088" s="115"/>
      <c r="D12088" s="115"/>
      <c r="E12088" s="115"/>
    </row>
    <row r="12089" spans="1:5" ht="13">
      <c r="A12089" s="115"/>
      <c r="B12089" s="115"/>
      <c r="C12089" s="115"/>
      <c r="D12089" s="115"/>
      <c r="E12089" s="115"/>
    </row>
    <row r="12090" spans="1:5" ht="13">
      <c r="A12090" s="115"/>
      <c r="B12090" s="115"/>
      <c r="C12090" s="115"/>
      <c r="D12090" s="115"/>
      <c r="E12090" s="115"/>
    </row>
    <row r="12091" spans="1:5" ht="13">
      <c r="A12091" s="115"/>
      <c r="B12091" s="115"/>
      <c r="C12091" s="115"/>
      <c r="D12091" s="115"/>
      <c r="E12091" s="115"/>
    </row>
    <row r="12092" spans="1:5" ht="13">
      <c r="A12092" s="115"/>
      <c r="B12092" s="115"/>
      <c r="C12092" s="115"/>
      <c r="D12092" s="115"/>
      <c r="E12092" s="115"/>
    </row>
    <row r="12093" spans="1:5" ht="13">
      <c r="A12093" s="115"/>
      <c r="B12093" s="115"/>
      <c r="C12093" s="115"/>
      <c r="D12093" s="115"/>
      <c r="E12093" s="115"/>
    </row>
    <row r="12094" spans="1:5" ht="13">
      <c r="A12094" s="115"/>
      <c r="B12094" s="115"/>
      <c r="C12094" s="115"/>
      <c r="D12094" s="115"/>
      <c r="E12094" s="115"/>
    </row>
    <row r="12095" spans="1:5" ht="13">
      <c r="A12095" s="115"/>
      <c r="B12095" s="115"/>
      <c r="C12095" s="115"/>
      <c r="D12095" s="115"/>
      <c r="E12095" s="115"/>
    </row>
    <row r="12096" spans="1:5" ht="13">
      <c r="A12096" s="115"/>
      <c r="B12096" s="115"/>
      <c r="C12096" s="115"/>
      <c r="D12096" s="115"/>
      <c r="E12096" s="115"/>
    </row>
    <row r="12097" spans="1:5" ht="13">
      <c r="A12097" s="115"/>
      <c r="B12097" s="115"/>
      <c r="C12097" s="115"/>
      <c r="D12097" s="115"/>
      <c r="E12097" s="115"/>
    </row>
    <row r="12098" spans="1:5" ht="13">
      <c r="A12098" s="115"/>
      <c r="B12098" s="115"/>
      <c r="C12098" s="115"/>
      <c r="D12098" s="115"/>
      <c r="E12098" s="115"/>
    </row>
    <row r="12099" spans="1:5" ht="13">
      <c r="A12099" s="115"/>
      <c r="B12099" s="115"/>
      <c r="C12099" s="115"/>
      <c r="D12099" s="115"/>
      <c r="E12099" s="115"/>
    </row>
    <row r="12100" spans="1:5" ht="13">
      <c r="A12100" s="115"/>
      <c r="B12100" s="115"/>
      <c r="C12100" s="115"/>
      <c r="D12100" s="115"/>
      <c r="E12100" s="115"/>
    </row>
    <row r="12101" spans="1:5" ht="13">
      <c r="A12101" s="115"/>
      <c r="B12101" s="115"/>
      <c r="C12101" s="115"/>
      <c r="D12101" s="115"/>
      <c r="E12101" s="115"/>
    </row>
    <row r="12102" spans="1:5" ht="13">
      <c r="A12102" s="115"/>
      <c r="B12102" s="115"/>
      <c r="C12102" s="115"/>
      <c r="D12102" s="115"/>
      <c r="E12102" s="115"/>
    </row>
    <row r="12103" spans="1:5" ht="13">
      <c r="A12103" s="115"/>
      <c r="B12103" s="115"/>
      <c r="C12103" s="115"/>
      <c r="D12103" s="115"/>
      <c r="E12103" s="115"/>
    </row>
    <row r="12104" spans="1:5" ht="13">
      <c r="A12104" s="115"/>
      <c r="B12104" s="115"/>
      <c r="C12104" s="115"/>
      <c r="D12104" s="115"/>
      <c r="E12104" s="115"/>
    </row>
    <row r="12105" spans="1:5" ht="13">
      <c r="A12105" s="115"/>
      <c r="B12105" s="115"/>
      <c r="C12105" s="115"/>
      <c r="D12105" s="115"/>
      <c r="E12105" s="115"/>
    </row>
    <row r="12106" spans="1:5" ht="13">
      <c r="A12106" s="115"/>
      <c r="B12106" s="115"/>
      <c r="C12106" s="115"/>
      <c r="D12106" s="115"/>
      <c r="E12106" s="115"/>
    </row>
    <row r="12107" spans="1:5" ht="13">
      <c r="A12107" s="115"/>
      <c r="B12107" s="115"/>
      <c r="C12107" s="115"/>
      <c r="D12107" s="115"/>
      <c r="E12107" s="115"/>
    </row>
    <row r="12108" spans="1:5" ht="13">
      <c r="A12108" s="115"/>
      <c r="B12108" s="115"/>
      <c r="C12108" s="115"/>
      <c r="D12108" s="115"/>
      <c r="E12108" s="115"/>
    </row>
    <row r="12109" spans="1:5" ht="13">
      <c r="A12109" s="115"/>
      <c r="B12109" s="115"/>
      <c r="C12109" s="115"/>
      <c r="D12109" s="115"/>
      <c r="E12109" s="115"/>
    </row>
    <row r="12110" spans="1:5" ht="13">
      <c r="A12110" s="115"/>
      <c r="B12110" s="115"/>
      <c r="C12110" s="115"/>
      <c r="D12110" s="115"/>
      <c r="E12110" s="115"/>
    </row>
    <row r="12111" spans="1:5" ht="13">
      <c r="A12111" s="115"/>
      <c r="B12111" s="115"/>
      <c r="C12111" s="115"/>
      <c r="D12111" s="115"/>
      <c r="E12111" s="115"/>
    </row>
    <row r="12112" spans="1:5" ht="13">
      <c r="A12112" s="115"/>
      <c r="B12112" s="115"/>
      <c r="C12112" s="115"/>
      <c r="D12112" s="115"/>
      <c r="E12112" s="115"/>
    </row>
    <row r="12113" spans="1:5" ht="13">
      <c r="A12113" s="115"/>
      <c r="B12113" s="115"/>
      <c r="C12113" s="115"/>
      <c r="D12113" s="115"/>
      <c r="E12113" s="115"/>
    </row>
    <row r="12114" spans="1:5" ht="13">
      <c r="A12114" s="115"/>
      <c r="B12114" s="115"/>
      <c r="C12114" s="115"/>
      <c r="D12114" s="115"/>
      <c r="E12114" s="115"/>
    </row>
    <row r="12115" spans="1:5" ht="13">
      <c r="A12115" s="115"/>
      <c r="B12115" s="115"/>
      <c r="C12115" s="115"/>
      <c r="D12115" s="115"/>
      <c r="E12115" s="115"/>
    </row>
    <row r="12116" spans="1:5" ht="13">
      <c r="A12116" s="115"/>
      <c r="B12116" s="115"/>
      <c r="C12116" s="115"/>
      <c r="D12116" s="115"/>
      <c r="E12116" s="115"/>
    </row>
    <row r="12117" spans="1:5" ht="13">
      <c r="A12117" s="115"/>
      <c r="B12117" s="115"/>
      <c r="C12117" s="115"/>
      <c r="D12117" s="115"/>
      <c r="E12117" s="115"/>
    </row>
    <row r="12118" spans="1:5" ht="13">
      <c r="A12118" s="115"/>
      <c r="B12118" s="115"/>
      <c r="C12118" s="115"/>
      <c r="D12118" s="115"/>
      <c r="E12118" s="115"/>
    </row>
    <row r="12119" spans="1:5" ht="13">
      <c r="A12119" s="115"/>
      <c r="B12119" s="115"/>
      <c r="C12119" s="115"/>
      <c r="D12119" s="115"/>
      <c r="E12119" s="115"/>
    </row>
    <row r="12120" spans="1:5" ht="13">
      <c r="A12120" s="115"/>
      <c r="B12120" s="115"/>
      <c r="C12120" s="115"/>
      <c r="D12120" s="115"/>
      <c r="E12120" s="115"/>
    </row>
    <row r="12121" spans="1:5" ht="13">
      <c r="A12121" s="115"/>
      <c r="B12121" s="115"/>
      <c r="C12121" s="115"/>
      <c r="D12121" s="115"/>
      <c r="E12121" s="115"/>
    </row>
    <row r="12122" spans="1:5" ht="13">
      <c r="A12122" s="115"/>
      <c r="B12122" s="115"/>
      <c r="C12122" s="115"/>
      <c r="D12122" s="115"/>
      <c r="E12122" s="115"/>
    </row>
    <row r="12123" spans="1:5" ht="13">
      <c r="A12123" s="115"/>
      <c r="B12123" s="115"/>
      <c r="C12123" s="115"/>
      <c r="D12123" s="115"/>
      <c r="E12123" s="115"/>
    </row>
    <row r="12124" spans="1:5" ht="13">
      <c r="A12124" s="115"/>
      <c r="B12124" s="115"/>
      <c r="C12124" s="115"/>
      <c r="D12124" s="115"/>
      <c r="E12124" s="115"/>
    </row>
    <row r="12125" spans="1:5" ht="13">
      <c r="A12125" s="115"/>
      <c r="B12125" s="115"/>
      <c r="C12125" s="115"/>
      <c r="D12125" s="115"/>
      <c r="E12125" s="115"/>
    </row>
    <row r="12126" spans="1:5" ht="13">
      <c r="A12126" s="115"/>
      <c r="B12126" s="115"/>
      <c r="C12126" s="115"/>
      <c r="D12126" s="115"/>
      <c r="E12126" s="115"/>
    </row>
    <row r="12127" spans="1:5" ht="13">
      <c r="A12127" s="115"/>
      <c r="B12127" s="115"/>
      <c r="C12127" s="115"/>
      <c r="D12127" s="115"/>
      <c r="E12127" s="115"/>
    </row>
    <row r="12128" spans="1:5" ht="13">
      <c r="A12128" s="115"/>
      <c r="B12128" s="115"/>
      <c r="C12128" s="115"/>
      <c r="D12128" s="115"/>
      <c r="E12128" s="115"/>
    </row>
    <row r="12129" spans="1:5" ht="13">
      <c r="A12129" s="115"/>
      <c r="B12129" s="115"/>
      <c r="C12129" s="115"/>
      <c r="D12129" s="115"/>
      <c r="E12129" s="115"/>
    </row>
    <row r="12130" spans="1:5" ht="13">
      <c r="A12130" s="115"/>
      <c r="B12130" s="115"/>
      <c r="C12130" s="115"/>
      <c r="D12130" s="115"/>
      <c r="E12130" s="115"/>
    </row>
    <row r="12131" spans="1:5" ht="13">
      <c r="A12131" s="115"/>
      <c r="B12131" s="115"/>
      <c r="C12131" s="115"/>
      <c r="D12131" s="115"/>
      <c r="E12131" s="115"/>
    </row>
    <row r="12132" spans="1:5" ht="13">
      <c r="A12132" s="115"/>
      <c r="B12132" s="115"/>
      <c r="C12132" s="115"/>
      <c r="D12132" s="115"/>
      <c r="E12132" s="115"/>
    </row>
    <row r="12133" spans="1:5" ht="13">
      <c r="A12133" s="115"/>
      <c r="B12133" s="115"/>
      <c r="C12133" s="115"/>
      <c r="D12133" s="115"/>
      <c r="E12133" s="115"/>
    </row>
    <row r="12134" spans="1:5" ht="13">
      <c r="A12134" s="115"/>
      <c r="B12134" s="115"/>
      <c r="C12134" s="115"/>
      <c r="D12134" s="115"/>
      <c r="E12134" s="115"/>
    </row>
    <row r="12135" spans="1:5" ht="13">
      <c r="A12135" s="115"/>
      <c r="B12135" s="115"/>
      <c r="C12135" s="115"/>
      <c r="D12135" s="115"/>
      <c r="E12135" s="115"/>
    </row>
    <row r="12136" spans="1:5" ht="13">
      <c r="A12136" s="115"/>
      <c r="B12136" s="115"/>
      <c r="C12136" s="115"/>
      <c r="D12136" s="115"/>
      <c r="E12136" s="115"/>
    </row>
    <row r="12137" spans="1:5" ht="13">
      <c r="A12137" s="115"/>
      <c r="B12137" s="115"/>
      <c r="C12137" s="115"/>
      <c r="D12137" s="115"/>
      <c r="E12137" s="115"/>
    </row>
    <row r="12138" spans="1:5" ht="13">
      <c r="A12138" s="115"/>
      <c r="B12138" s="115"/>
      <c r="C12138" s="115"/>
      <c r="D12138" s="115"/>
      <c r="E12138" s="115"/>
    </row>
    <row r="12139" spans="1:5" ht="13">
      <c r="A12139" s="115"/>
      <c r="B12139" s="115"/>
      <c r="C12139" s="115"/>
      <c r="D12139" s="115"/>
      <c r="E12139" s="115"/>
    </row>
    <row r="12140" spans="1:5" ht="13">
      <c r="A12140" s="115"/>
      <c r="B12140" s="115"/>
      <c r="C12140" s="115"/>
      <c r="D12140" s="115"/>
      <c r="E12140" s="115"/>
    </row>
    <row r="12141" spans="1:5" ht="13">
      <c r="A12141" s="115"/>
      <c r="B12141" s="115"/>
      <c r="C12141" s="115"/>
      <c r="D12141" s="115"/>
      <c r="E12141" s="115"/>
    </row>
    <row r="12142" spans="1:5" ht="13">
      <c r="A12142" s="115"/>
      <c r="B12142" s="115"/>
      <c r="C12142" s="115"/>
      <c r="D12142" s="115"/>
      <c r="E12142" s="115"/>
    </row>
    <row r="12143" spans="1:5" ht="13">
      <c r="A12143" s="115"/>
      <c r="B12143" s="115"/>
      <c r="C12143" s="115"/>
      <c r="D12143" s="115"/>
      <c r="E12143" s="115"/>
    </row>
    <row r="12144" spans="1:5" ht="13">
      <c r="A12144" s="115"/>
      <c r="B12144" s="115"/>
      <c r="C12144" s="115"/>
      <c r="D12144" s="115"/>
      <c r="E12144" s="115"/>
    </row>
    <row r="12145" spans="1:5" ht="13">
      <c r="A12145" s="115"/>
      <c r="B12145" s="115"/>
      <c r="C12145" s="115"/>
      <c r="D12145" s="115"/>
      <c r="E12145" s="115"/>
    </row>
    <row r="12146" spans="1:5" ht="13">
      <c r="A12146" s="115"/>
      <c r="B12146" s="115"/>
      <c r="C12146" s="115"/>
      <c r="D12146" s="115"/>
      <c r="E12146" s="115"/>
    </row>
    <row r="12147" spans="1:5" ht="13">
      <c r="A12147" s="115"/>
      <c r="B12147" s="115"/>
      <c r="C12147" s="115"/>
      <c r="D12147" s="115"/>
      <c r="E12147" s="115"/>
    </row>
    <row r="12148" spans="1:5" ht="13">
      <c r="A12148" s="115"/>
      <c r="B12148" s="115"/>
      <c r="C12148" s="115"/>
      <c r="D12148" s="115"/>
      <c r="E12148" s="115"/>
    </row>
    <row r="12149" spans="1:5" ht="13">
      <c r="A12149" s="115"/>
      <c r="B12149" s="115"/>
      <c r="C12149" s="115"/>
      <c r="D12149" s="115"/>
      <c r="E12149" s="115"/>
    </row>
    <row r="12150" spans="1:5" ht="13">
      <c r="A12150" s="115"/>
      <c r="B12150" s="115"/>
      <c r="C12150" s="115"/>
      <c r="D12150" s="115"/>
      <c r="E12150" s="115"/>
    </row>
    <row r="12151" spans="1:5" ht="13">
      <c r="A12151" s="115"/>
      <c r="B12151" s="115"/>
      <c r="C12151" s="115"/>
      <c r="D12151" s="115"/>
      <c r="E12151" s="115"/>
    </row>
    <row r="12152" spans="1:5" ht="13">
      <c r="A12152" s="115"/>
      <c r="B12152" s="115"/>
      <c r="C12152" s="115"/>
      <c r="D12152" s="115"/>
      <c r="E12152" s="115"/>
    </row>
    <row r="12153" spans="1:5" ht="13">
      <c r="A12153" s="115"/>
      <c r="B12153" s="115"/>
      <c r="C12153" s="115"/>
      <c r="D12153" s="115"/>
      <c r="E12153" s="115"/>
    </row>
    <row r="12154" spans="1:5" ht="13">
      <c r="A12154" s="115"/>
      <c r="B12154" s="115"/>
      <c r="C12154" s="115"/>
      <c r="D12154" s="115"/>
      <c r="E12154" s="115"/>
    </row>
    <row r="12155" spans="1:5" ht="13">
      <c r="A12155" s="115"/>
      <c r="B12155" s="115"/>
      <c r="C12155" s="115"/>
      <c r="D12155" s="115"/>
      <c r="E12155" s="115"/>
    </row>
    <row r="12156" spans="1:5" ht="13">
      <c r="A12156" s="115"/>
      <c r="B12156" s="115"/>
      <c r="C12156" s="115"/>
      <c r="D12156" s="115"/>
      <c r="E12156" s="115"/>
    </row>
    <row r="12157" spans="1:5" ht="13">
      <c r="A12157" s="115"/>
      <c r="B12157" s="115"/>
      <c r="C12157" s="115"/>
      <c r="D12157" s="115"/>
      <c r="E12157" s="115"/>
    </row>
    <row r="12158" spans="1:5" ht="13">
      <c r="A12158" s="115"/>
      <c r="B12158" s="115"/>
      <c r="C12158" s="115"/>
      <c r="D12158" s="115"/>
      <c r="E12158" s="115"/>
    </row>
    <row r="12159" spans="1:5" ht="13">
      <c r="A12159" s="115"/>
      <c r="B12159" s="115"/>
      <c r="C12159" s="115"/>
      <c r="D12159" s="115"/>
      <c r="E12159" s="115"/>
    </row>
    <row r="12160" spans="1:5" ht="13">
      <c r="A12160" s="115"/>
      <c r="B12160" s="115"/>
      <c r="C12160" s="115"/>
      <c r="D12160" s="115"/>
      <c r="E12160" s="115"/>
    </row>
    <row r="12161" spans="1:5" ht="13">
      <c r="A12161" s="115"/>
      <c r="B12161" s="115"/>
      <c r="C12161" s="115"/>
      <c r="D12161" s="115"/>
      <c r="E12161" s="115"/>
    </row>
    <row r="12162" spans="1:5" ht="13">
      <c r="A12162" s="115"/>
      <c r="B12162" s="115"/>
      <c r="C12162" s="115"/>
      <c r="D12162" s="115"/>
      <c r="E12162" s="115"/>
    </row>
    <row r="12163" spans="1:5" ht="13">
      <c r="A12163" s="115"/>
      <c r="B12163" s="115"/>
      <c r="C12163" s="115"/>
      <c r="D12163" s="115"/>
      <c r="E12163" s="115"/>
    </row>
    <row r="12164" spans="1:5" ht="13">
      <c r="A12164" s="115"/>
      <c r="B12164" s="115"/>
      <c r="C12164" s="115"/>
      <c r="D12164" s="115"/>
      <c r="E12164" s="115"/>
    </row>
    <row r="12165" spans="1:5" ht="13">
      <c r="A12165" s="115"/>
      <c r="B12165" s="115"/>
      <c r="C12165" s="115"/>
      <c r="D12165" s="115"/>
      <c r="E12165" s="115"/>
    </row>
    <row r="12166" spans="1:5" ht="13">
      <c r="A12166" s="115"/>
      <c r="B12166" s="115"/>
      <c r="C12166" s="115"/>
      <c r="D12166" s="115"/>
      <c r="E12166" s="115"/>
    </row>
    <row r="12167" spans="1:5" ht="13">
      <c r="A12167" s="115"/>
      <c r="B12167" s="115"/>
      <c r="C12167" s="115"/>
      <c r="D12167" s="115"/>
      <c r="E12167" s="115"/>
    </row>
    <row r="12168" spans="1:5" ht="13">
      <c r="A12168" s="115"/>
      <c r="B12168" s="115"/>
      <c r="C12168" s="115"/>
      <c r="D12168" s="115"/>
      <c r="E12168" s="115"/>
    </row>
    <row r="12169" spans="1:5" ht="13">
      <c r="A12169" s="115"/>
      <c r="B12169" s="115"/>
      <c r="C12169" s="115"/>
      <c r="D12169" s="115"/>
      <c r="E12169" s="115"/>
    </row>
    <row r="12170" spans="1:5" ht="13">
      <c r="A12170" s="115"/>
      <c r="B12170" s="115"/>
      <c r="C12170" s="115"/>
      <c r="D12170" s="115"/>
      <c r="E12170" s="115"/>
    </row>
    <row r="12171" spans="1:5" ht="13">
      <c r="A12171" s="115"/>
      <c r="B12171" s="115"/>
      <c r="C12171" s="115"/>
      <c r="D12171" s="115"/>
      <c r="E12171" s="115"/>
    </row>
    <row r="12172" spans="1:5" ht="13">
      <c r="A12172" s="115"/>
      <c r="B12172" s="115"/>
      <c r="C12172" s="115"/>
      <c r="D12172" s="115"/>
      <c r="E12172" s="115"/>
    </row>
    <row r="12173" spans="1:5" ht="13">
      <c r="A12173" s="115"/>
      <c r="B12173" s="115"/>
      <c r="C12173" s="115"/>
      <c r="D12173" s="115"/>
      <c r="E12173" s="115"/>
    </row>
    <row r="12174" spans="1:5" ht="13">
      <c r="A12174" s="115"/>
      <c r="B12174" s="115"/>
      <c r="C12174" s="115"/>
      <c r="D12174" s="115"/>
      <c r="E12174" s="115"/>
    </row>
    <row r="12175" spans="1:5" ht="13">
      <c r="A12175" s="115"/>
      <c r="B12175" s="115"/>
      <c r="C12175" s="115"/>
      <c r="D12175" s="115"/>
      <c r="E12175" s="115"/>
    </row>
    <row r="12176" spans="1:5" ht="13">
      <c r="A12176" s="115"/>
      <c r="B12176" s="115"/>
      <c r="C12176" s="115"/>
      <c r="D12176" s="115"/>
      <c r="E12176" s="115"/>
    </row>
    <row r="12177" spans="1:5" ht="13">
      <c r="A12177" s="115"/>
      <c r="B12177" s="115"/>
      <c r="C12177" s="115"/>
      <c r="D12177" s="115"/>
      <c r="E12177" s="115"/>
    </row>
    <row r="12178" spans="1:5" ht="13">
      <c r="A12178" s="115"/>
      <c r="B12178" s="115"/>
      <c r="C12178" s="115"/>
      <c r="D12178" s="115"/>
      <c r="E12178" s="115"/>
    </row>
    <row r="12179" spans="1:5" ht="13">
      <c r="A12179" s="115"/>
      <c r="B12179" s="115"/>
      <c r="C12179" s="115"/>
      <c r="D12179" s="115"/>
      <c r="E12179" s="115"/>
    </row>
    <row r="12180" spans="1:5" ht="13">
      <c r="A12180" s="115"/>
      <c r="B12180" s="115"/>
      <c r="C12180" s="115"/>
      <c r="D12180" s="115"/>
      <c r="E12180" s="115"/>
    </row>
    <row r="12181" spans="1:5" ht="13">
      <c r="A12181" s="115"/>
      <c r="B12181" s="115"/>
      <c r="C12181" s="115"/>
      <c r="D12181" s="115"/>
      <c r="E12181" s="115"/>
    </row>
    <row r="12182" spans="1:5" ht="13">
      <c r="A12182" s="115"/>
      <c r="B12182" s="115"/>
      <c r="C12182" s="115"/>
      <c r="D12182" s="115"/>
      <c r="E12182" s="115"/>
    </row>
    <row r="12183" spans="1:5" ht="13">
      <c r="A12183" s="115"/>
      <c r="B12183" s="115"/>
      <c r="C12183" s="115"/>
      <c r="D12183" s="115"/>
      <c r="E12183" s="115"/>
    </row>
    <row r="12184" spans="1:5" ht="13">
      <c r="A12184" s="115"/>
      <c r="B12184" s="115"/>
      <c r="C12184" s="115"/>
      <c r="D12184" s="115"/>
      <c r="E12184" s="115"/>
    </row>
    <row r="12185" spans="1:5" ht="13">
      <c r="A12185" s="115"/>
      <c r="B12185" s="115"/>
      <c r="C12185" s="115"/>
      <c r="D12185" s="115"/>
      <c r="E12185" s="115"/>
    </row>
    <row r="12186" spans="1:5" ht="13">
      <c r="A12186" s="115"/>
      <c r="B12186" s="115"/>
      <c r="C12186" s="115"/>
      <c r="D12186" s="115"/>
      <c r="E12186" s="115"/>
    </row>
    <row r="12187" spans="1:5" ht="13">
      <c r="A12187" s="115"/>
      <c r="B12187" s="115"/>
      <c r="C12187" s="115"/>
      <c r="D12187" s="115"/>
      <c r="E12187" s="115"/>
    </row>
    <row r="12188" spans="1:5" ht="13">
      <c r="A12188" s="115"/>
      <c r="B12188" s="115"/>
      <c r="C12188" s="115"/>
      <c r="D12188" s="115"/>
      <c r="E12188" s="115"/>
    </row>
    <row r="12189" spans="1:5" ht="13">
      <c r="A12189" s="115"/>
      <c r="B12189" s="115"/>
      <c r="C12189" s="115"/>
      <c r="D12189" s="115"/>
      <c r="E12189" s="115"/>
    </row>
    <row r="12190" spans="1:5" ht="13">
      <c r="A12190" s="115"/>
      <c r="B12190" s="115"/>
      <c r="C12190" s="115"/>
      <c r="D12190" s="115"/>
      <c r="E12190" s="115"/>
    </row>
    <row r="12191" spans="1:5" ht="13">
      <c r="A12191" s="115"/>
      <c r="B12191" s="115"/>
      <c r="C12191" s="115"/>
      <c r="D12191" s="115"/>
      <c r="E12191" s="115"/>
    </row>
    <row r="12192" spans="1:5" ht="13">
      <c r="A12192" s="115"/>
      <c r="B12192" s="115"/>
      <c r="C12192" s="115"/>
      <c r="D12192" s="115"/>
      <c r="E12192" s="115"/>
    </row>
    <row r="12193" spans="1:5" ht="13">
      <c r="A12193" s="115"/>
      <c r="B12193" s="115"/>
      <c r="C12193" s="115"/>
      <c r="D12193" s="115"/>
      <c r="E12193" s="115"/>
    </row>
    <row r="12194" spans="1:5" ht="13">
      <c r="A12194" s="115"/>
      <c r="B12194" s="115"/>
      <c r="C12194" s="115"/>
      <c r="D12194" s="115"/>
      <c r="E12194" s="115"/>
    </row>
    <row r="12195" spans="1:5" ht="13">
      <c r="A12195" s="115"/>
      <c r="B12195" s="115"/>
      <c r="C12195" s="115"/>
      <c r="D12195" s="115"/>
      <c r="E12195" s="115"/>
    </row>
    <row r="12196" spans="1:5" ht="13">
      <c r="A12196" s="115"/>
      <c r="B12196" s="115"/>
      <c r="C12196" s="115"/>
      <c r="D12196" s="115"/>
      <c r="E12196" s="115"/>
    </row>
    <row r="12197" spans="1:5" ht="13">
      <c r="A12197" s="115"/>
      <c r="B12197" s="115"/>
      <c r="C12197" s="115"/>
      <c r="D12197" s="115"/>
      <c r="E12197" s="115"/>
    </row>
    <row r="12198" spans="1:5" ht="13">
      <c r="A12198" s="115"/>
      <c r="B12198" s="115"/>
      <c r="C12198" s="115"/>
      <c r="D12198" s="115"/>
      <c r="E12198" s="115"/>
    </row>
    <row r="12199" spans="1:5" ht="13">
      <c r="A12199" s="115"/>
      <c r="B12199" s="115"/>
      <c r="C12199" s="115"/>
      <c r="D12199" s="115"/>
      <c r="E12199" s="115"/>
    </row>
    <row r="12200" spans="1:5" ht="13">
      <c r="A12200" s="115"/>
      <c r="B12200" s="115"/>
      <c r="C12200" s="115"/>
      <c r="D12200" s="115"/>
      <c r="E12200" s="115"/>
    </row>
    <row r="12201" spans="1:5" ht="13">
      <c r="A12201" s="115"/>
      <c r="B12201" s="115"/>
      <c r="C12201" s="115"/>
      <c r="D12201" s="115"/>
      <c r="E12201" s="115"/>
    </row>
    <row r="12202" spans="1:5" ht="13">
      <c r="A12202" s="115"/>
      <c r="B12202" s="115"/>
      <c r="C12202" s="115"/>
      <c r="D12202" s="115"/>
      <c r="E12202" s="115"/>
    </row>
    <row r="12203" spans="1:5" ht="13">
      <c r="A12203" s="115"/>
      <c r="B12203" s="115"/>
      <c r="C12203" s="115"/>
      <c r="D12203" s="115"/>
      <c r="E12203" s="115"/>
    </row>
    <row r="12204" spans="1:5" ht="13">
      <c r="A12204" s="115"/>
      <c r="B12204" s="115"/>
      <c r="C12204" s="115"/>
      <c r="D12204" s="115"/>
      <c r="E12204" s="115"/>
    </row>
    <row r="12205" spans="1:5" ht="13">
      <c r="A12205" s="115"/>
      <c r="B12205" s="115"/>
      <c r="C12205" s="115"/>
      <c r="D12205" s="115"/>
      <c r="E12205" s="115"/>
    </row>
    <row r="12206" spans="1:5" ht="13">
      <c r="A12206" s="115"/>
      <c r="B12206" s="115"/>
      <c r="C12206" s="115"/>
      <c r="D12206" s="115"/>
      <c r="E12206" s="115"/>
    </row>
    <row r="12207" spans="1:5" ht="13">
      <c r="A12207" s="115"/>
      <c r="B12207" s="115"/>
      <c r="C12207" s="115"/>
      <c r="D12207" s="115"/>
      <c r="E12207" s="115"/>
    </row>
    <row r="12208" spans="1:5" ht="13">
      <c r="A12208" s="115"/>
      <c r="B12208" s="115"/>
      <c r="C12208" s="115"/>
      <c r="D12208" s="115"/>
      <c r="E12208" s="115"/>
    </row>
    <row r="12209" spans="1:5" ht="13">
      <c r="A12209" s="115"/>
      <c r="B12209" s="115"/>
      <c r="C12209" s="115"/>
      <c r="D12209" s="115"/>
      <c r="E12209" s="115"/>
    </row>
    <row r="12210" spans="1:5" ht="13">
      <c r="A12210" s="115"/>
      <c r="B12210" s="115"/>
      <c r="C12210" s="115"/>
      <c r="D12210" s="115"/>
      <c r="E12210" s="115"/>
    </row>
    <row r="12211" spans="1:5" ht="13">
      <c r="A12211" s="115"/>
      <c r="B12211" s="115"/>
      <c r="C12211" s="115"/>
      <c r="D12211" s="115"/>
      <c r="E12211" s="115"/>
    </row>
    <row r="12212" spans="1:5" ht="13">
      <c r="A12212" s="115"/>
      <c r="B12212" s="115"/>
      <c r="C12212" s="115"/>
      <c r="D12212" s="115"/>
      <c r="E12212" s="115"/>
    </row>
    <row r="12213" spans="1:5" ht="13">
      <c r="A12213" s="115"/>
      <c r="B12213" s="115"/>
      <c r="C12213" s="115"/>
      <c r="D12213" s="115"/>
      <c r="E12213" s="115"/>
    </row>
    <row r="12214" spans="1:5" ht="13">
      <c r="A12214" s="115"/>
      <c r="B12214" s="115"/>
      <c r="C12214" s="115"/>
      <c r="D12214" s="115"/>
      <c r="E12214" s="115"/>
    </row>
    <row r="12215" spans="1:5" ht="13">
      <c r="A12215" s="115"/>
      <c r="B12215" s="115"/>
      <c r="C12215" s="115"/>
      <c r="D12215" s="115"/>
      <c r="E12215" s="115"/>
    </row>
    <row r="12216" spans="1:5" ht="13">
      <c r="A12216" s="115"/>
      <c r="B12216" s="115"/>
      <c r="C12216" s="115"/>
      <c r="D12216" s="115"/>
      <c r="E12216" s="115"/>
    </row>
    <row r="12217" spans="1:5" ht="13">
      <c r="A12217" s="115"/>
      <c r="B12217" s="115"/>
      <c r="C12217" s="115"/>
      <c r="D12217" s="115"/>
      <c r="E12217" s="115"/>
    </row>
    <row r="12218" spans="1:5" ht="13">
      <c r="A12218" s="115"/>
      <c r="B12218" s="115"/>
      <c r="C12218" s="115"/>
      <c r="D12218" s="115"/>
      <c r="E12218" s="115"/>
    </row>
    <row r="12219" spans="1:5" ht="13">
      <c r="A12219" s="115"/>
      <c r="B12219" s="115"/>
      <c r="C12219" s="115"/>
      <c r="D12219" s="115"/>
      <c r="E12219" s="115"/>
    </row>
    <row r="12220" spans="1:5" ht="13">
      <c r="A12220" s="115"/>
      <c r="B12220" s="115"/>
      <c r="C12220" s="115"/>
      <c r="D12220" s="115"/>
      <c r="E12220" s="115"/>
    </row>
    <row r="12221" spans="1:5" ht="13">
      <c r="A12221" s="115"/>
      <c r="B12221" s="115"/>
      <c r="C12221" s="115"/>
      <c r="D12221" s="115"/>
      <c r="E12221" s="115"/>
    </row>
    <row r="12222" spans="1:5" ht="13">
      <c r="A12222" s="115"/>
      <c r="B12222" s="115"/>
      <c r="C12222" s="115"/>
      <c r="D12222" s="115"/>
      <c r="E12222" s="115"/>
    </row>
    <row r="12223" spans="1:5" ht="13">
      <c r="A12223" s="115"/>
      <c r="B12223" s="115"/>
      <c r="C12223" s="115"/>
      <c r="D12223" s="115"/>
      <c r="E12223" s="115"/>
    </row>
    <row r="12224" spans="1:5" ht="13">
      <c r="A12224" s="115"/>
      <c r="B12224" s="115"/>
      <c r="C12224" s="115"/>
      <c r="D12224" s="115"/>
      <c r="E12224" s="115"/>
    </row>
    <row r="12225" spans="1:5" ht="13">
      <c r="A12225" s="115"/>
      <c r="B12225" s="115"/>
      <c r="C12225" s="115"/>
      <c r="D12225" s="115"/>
      <c r="E12225" s="115"/>
    </row>
    <row r="12226" spans="1:5" ht="13">
      <c r="A12226" s="115"/>
      <c r="B12226" s="115"/>
      <c r="C12226" s="115"/>
      <c r="D12226" s="115"/>
      <c r="E12226" s="115"/>
    </row>
    <row r="12227" spans="1:5" ht="13">
      <c r="A12227" s="115"/>
      <c r="B12227" s="115"/>
      <c r="C12227" s="115"/>
      <c r="D12227" s="115"/>
      <c r="E12227" s="115"/>
    </row>
    <row r="12228" spans="1:5" ht="13">
      <c r="A12228" s="115"/>
      <c r="B12228" s="115"/>
      <c r="C12228" s="115"/>
      <c r="D12228" s="115"/>
      <c r="E12228" s="115"/>
    </row>
    <row r="12229" spans="1:5" ht="13">
      <c r="A12229" s="115"/>
      <c r="B12229" s="115"/>
      <c r="C12229" s="115"/>
      <c r="D12229" s="115"/>
      <c r="E12229" s="115"/>
    </row>
    <row r="12230" spans="1:5" ht="13">
      <c r="A12230" s="115"/>
      <c r="B12230" s="115"/>
      <c r="C12230" s="115"/>
      <c r="D12230" s="115"/>
      <c r="E12230" s="115"/>
    </row>
    <row r="12231" spans="1:5" ht="13">
      <c r="A12231" s="115"/>
      <c r="B12231" s="115"/>
      <c r="C12231" s="115"/>
      <c r="D12231" s="115"/>
      <c r="E12231" s="115"/>
    </row>
    <row r="12232" spans="1:5" ht="13">
      <c r="A12232" s="115"/>
      <c r="B12232" s="115"/>
      <c r="C12232" s="115"/>
      <c r="D12232" s="115"/>
      <c r="E12232" s="115"/>
    </row>
    <row r="12233" spans="1:5" ht="13">
      <c r="A12233" s="115"/>
      <c r="B12233" s="115"/>
      <c r="C12233" s="115"/>
      <c r="D12233" s="115"/>
      <c r="E12233" s="115"/>
    </row>
    <row r="12234" spans="1:5" ht="13">
      <c r="A12234" s="115"/>
      <c r="B12234" s="115"/>
      <c r="C12234" s="115"/>
      <c r="D12234" s="115"/>
      <c r="E12234" s="115"/>
    </row>
    <row r="12235" spans="1:5" ht="13">
      <c r="A12235" s="115"/>
      <c r="B12235" s="115"/>
      <c r="C12235" s="115"/>
      <c r="D12235" s="115"/>
      <c r="E12235" s="115"/>
    </row>
    <row r="12236" spans="1:5" ht="13">
      <c r="A12236" s="115"/>
      <c r="B12236" s="115"/>
      <c r="C12236" s="115"/>
      <c r="D12236" s="115"/>
      <c r="E12236" s="115"/>
    </row>
    <row r="12237" spans="1:5" ht="13">
      <c r="A12237" s="115"/>
      <c r="B12237" s="115"/>
      <c r="C12237" s="115"/>
      <c r="D12237" s="115"/>
      <c r="E12237" s="115"/>
    </row>
    <row r="12238" spans="1:5" ht="13">
      <c r="A12238" s="115"/>
      <c r="B12238" s="115"/>
      <c r="C12238" s="115"/>
      <c r="D12238" s="115"/>
      <c r="E12238" s="115"/>
    </row>
    <row r="12239" spans="1:5" ht="13">
      <c r="A12239" s="115"/>
      <c r="B12239" s="115"/>
      <c r="C12239" s="115"/>
      <c r="D12239" s="115"/>
      <c r="E12239" s="115"/>
    </row>
    <row r="12240" spans="1:5" ht="13">
      <c r="A12240" s="115"/>
      <c r="B12240" s="115"/>
      <c r="C12240" s="115"/>
      <c r="D12240" s="115"/>
      <c r="E12240" s="115"/>
    </row>
    <row r="12241" spans="1:5" ht="13">
      <c r="A12241" s="115"/>
      <c r="B12241" s="115"/>
      <c r="C12241" s="115"/>
      <c r="D12241" s="115"/>
      <c r="E12241" s="115"/>
    </row>
    <row r="12242" spans="1:5" ht="13">
      <c r="A12242" s="115"/>
      <c r="B12242" s="115"/>
      <c r="C12242" s="115"/>
      <c r="D12242" s="115"/>
      <c r="E12242" s="115"/>
    </row>
    <row r="12243" spans="1:5" ht="13">
      <c r="A12243" s="115"/>
      <c r="B12243" s="115"/>
      <c r="C12243" s="115"/>
      <c r="D12243" s="115"/>
      <c r="E12243" s="115"/>
    </row>
    <row r="12244" spans="1:5" ht="13">
      <c r="A12244" s="115"/>
      <c r="B12244" s="115"/>
      <c r="C12244" s="115"/>
      <c r="D12244" s="115"/>
      <c r="E12244" s="115"/>
    </row>
    <row r="12245" spans="1:5" ht="13">
      <c r="A12245" s="115"/>
      <c r="B12245" s="115"/>
      <c r="C12245" s="115"/>
      <c r="D12245" s="115"/>
      <c r="E12245" s="115"/>
    </row>
    <row r="12246" spans="1:5" ht="13">
      <c r="A12246" s="115"/>
      <c r="B12246" s="115"/>
      <c r="C12246" s="115"/>
      <c r="D12246" s="115"/>
      <c r="E12246" s="115"/>
    </row>
    <row r="12247" spans="1:5" ht="13">
      <c r="A12247" s="115"/>
      <c r="B12247" s="115"/>
      <c r="C12247" s="115"/>
      <c r="D12247" s="115"/>
      <c r="E12247" s="115"/>
    </row>
    <row r="12248" spans="1:5" ht="13">
      <c r="A12248" s="115"/>
      <c r="B12248" s="115"/>
      <c r="C12248" s="115"/>
      <c r="D12248" s="115"/>
      <c r="E12248" s="115"/>
    </row>
    <row r="12249" spans="1:5" ht="13">
      <c r="A12249" s="115"/>
      <c r="B12249" s="115"/>
      <c r="C12249" s="115"/>
      <c r="D12249" s="115"/>
      <c r="E12249" s="115"/>
    </row>
    <row r="12250" spans="1:5" ht="13">
      <c r="A12250" s="115"/>
      <c r="B12250" s="115"/>
      <c r="C12250" s="115"/>
      <c r="D12250" s="115"/>
      <c r="E12250" s="115"/>
    </row>
    <row r="12251" spans="1:5" ht="13">
      <c r="A12251" s="115"/>
      <c r="B12251" s="115"/>
      <c r="C12251" s="115"/>
      <c r="D12251" s="115"/>
      <c r="E12251" s="115"/>
    </row>
    <row r="12252" spans="1:5" ht="13">
      <c r="A12252" s="115"/>
      <c r="B12252" s="115"/>
      <c r="C12252" s="115"/>
      <c r="D12252" s="115"/>
      <c r="E12252" s="115"/>
    </row>
    <row r="12253" spans="1:5" ht="13">
      <c r="A12253" s="115"/>
      <c r="B12253" s="115"/>
      <c r="C12253" s="115"/>
      <c r="D12253" s="115"/>
      <c r="E12253" s="115"/>
    </row>
    <row r="12254" spans="1:5" ht="13">
      <c r="A12254" s="115"/>
      <c r="B12254" s="115"/>
      <c r="C12254" s="115"/>
      <c r="D12254" s="115"/>
      <c r="E12254" s="115"/>
    </row>
    <row r="12255" spans="1:5" ht="13">
      <c r="A12255" s="115"/>
      <c r="B12255" s="115"/>
      <c r="C12255" s="115"/>
      <c r="D12255" s="115"/>
      <c r="E12255" s="115"/>
    </row>
    <row r="12256" spans="1:5" ht="13">
      <c r="A12256" s="115"/>
      <c r="B12256" s="115"/>
      <c r="C12256" s="115"/>
      <c r="D12256" s="115"/>
      <c r="E12256" s="115"/>
    </row>
    <row r="12257" spans="1:5" ht="13">
      <c r="A12257" s="115"/>
      <c r="B12257" s="115"/>
      <c r="C12257" s="115"/>
      <c r="D12257" s="115"/>
      <c r="E12257" s="115"/>
    </row>
    <row r="12258" spans="1:5" ht="13">
      <c r="A12258" s="115"/>
      <c r="B12258" s="115"/>
      <c r="C12258" s="115"/>
      <c r="D12258" s="115"/>
      <c r="E12258" s="115"/>
    </row>
    <row r="12259" spans="1:5" ht="13">
      <c r="A12259" s="115"/>
      <c r="B12259" s="115"/>
      <c r="C12259" s="115"/>
      <c r="D12259" s="115"/>
      <c r="E12259" s="115"/>
    </row>
    <row r="12260" spans="1:5" ht="13">
      <c r="A12260" s="115"/>
      <c r="B12260" s="115"/>
      <c r="C12260" s="115"/>
      <c r="D12260" s="115"/>
      <c r="E12260" s="115"/>
    </row>
    <row r="12261" spans="1:5" ht="13">
      <c r="A12261" s="115"/>
      <c r="B12261" s="115"/>
      <c r="C12261" s="115"/>
      <c r="D12261" s="115"/>
      <c r="E12261" s="115"/>
    </row>
    <row r="12262" spans="1:5" ht="13">
      <c r="A12262" s="115"/>
      <c r="B12262" s="115"/>
      <c r="C12262" s="115"/>
      <c r="D12262" s="115"/>
      <c r="E12262" s="115"/>
    </row>
    <row r="12263" spans="1:5" ht="13">
      <c r="A12263" s="115"/>
      <c r="B12263" s="115"/>
      <c r="C12263" s="115"/>
      <c r="D12263" s="115"/>
      <c r="E12263" s="115"/>
    </row>
    <row r="12264" spans="1:5" ht="13">
      <c r="A12264" s="115"/>
      <c r="B12264" s="115"/>
      <c r="C12264" s="115"/>
      <c r="D12264" s="115"/>
      <c r="E12264" s="115"/>
    </row>
    <row r="12265" spans="1:5" ht="13">
      <c r="A12265" s="115"/>
      <c r="B12265" s="115"/>
      <c r="C12265" s="115"/>
      <c r="D12265" s="115"/>
      <c r="E12265" s="115"/>
    </row>
    <row r="12266" spans="1:5" ht="13">
      <c r="A12266" s="115"/>
      <c r="B12266" s="115"/>
      <c r="C12266" s="115"/>
      <c r="D12266" s="115"/>
      <c r="E12266" s="115"/>
    </row>
    <row r="12267" spans="1:5" ht="13">
      <c r="A12267" s="115"/>
      <c r="B12267" s="115"/>
      <c r="C12267" s="115"/>
      <c r="D12267" s="115"/>
      <c r="E12267" s="115"/>
    </row>
    <row r="12268" spans="1:5" ht="13">
      <c r="A12268" s="115"/>
      <c r="B12268" s="115"/>
      <c r="C12268" s="115"/>
      <c r="D12268" s="115"/>
      <c r="E12268" s="115"/>
    </row>
    <row r="12269" spans="1:5" ht="13">
      <c r="A12269" s="115"/>
      <c r="B12269" s="115"/>
      <c r="C12269" s="115"/>
      <c r="D12269" s="115"/>
      <c r="E12269" s="115"/>
    </row>
    <row r="12270" spans="1:5" ht="13">
      <c r="A12270" s="115"/>
      <c r="B12270" s="115"/>
      <c r="C12270" s="115"/>
      <c r="D12270" s="115"/>
      <c r="E12270" s="115"/>
    </row>
    <row r="12271" spans="1:5" ht="13">
      <c r="A12271" s="115"/>
      <c r="B12271" s="115"/>
      <c r="C12271" s="115"/>
      <c r="D12271" s="115"/>
      <c r="E12271" s="115"/>
    </row>
    <row r="12272" spans="1:5" ht="13">
      <c r="A12272" s="115"/>
      <c r="B12272" s="115"/>
      <c r="C12272" s="115"/>
      <c r="D12272" s="115"/>
      <c r="E12272" s="115"/>
    </row>
    <row r="12273" spans="1:5" ht="13">
      <c r="A12273" s="115"/>
      <c r="B12273" s="115"/>
      <c r="C12273" s="115"/>
      <c r="D12273" s="115"/>
      <c r="E12273" s="115"/>
    </row>
    <row r="12274" spans="1:5" ht="13">
      <c r="A12274" s="115"/>
      <c r="B12274" s="115"/>
      <c r="C12274" s="115"/>
      <c r="D12274" s="115"/>
      <c r="E12274" s="115"/>
    </row>
    <row r="12275" spans="1:5" ht="13">
      <c r="A12275" s="115"/>
      <c r="B12275" s="115"/>
      <c r="C12275" s="115"/>
      <c r="D12275" s="115"/>
      <c r="E12275" s="115"/>
    </row>
    <row r="12276" spans="1:5" ht="13">
      <c r="A12276" s="115"/>
      <c r="B12276" s="115"/>
      <c r="C12276" s="115"/>
      <c r="D12276" s="115"/>
      <c r="E12276" s="115"/>
    </row>
    <row r="12277" spans="1:5" ht="13">
      <c r="A12277" s="115"/>
      <c r="B12277" s="115"/>
      <c r="C12277" s="115"/>
      <c r="D12277" s="115"/>
      <c r="E12277" s="115"/>
    </row>
    <row r="12278" spans="1:5" ht="13">
      <c r="A12278" s="115"/>
      <c r="B12278" s="115"/>
      <c r="C12278" s="115"/>
      <c r="D12278" s="115"/>
      <c r="E12278" s="115"/>
    </row>
    <row r="12279" spans="1:5" ht="13">
      <c r="A12279" s="115"/>
      <c r="B12279" s="115"/>
      <c r="C12279" s="115"/>
      <c r="D12279" s="115"/>
      <c r="E12279" s="115"/>
    </row>
    <row r="12280" spans="1:5" ht="13">
      <c r="A12280" s="115"/>
      <c r="B12280" s="115"/>
      <c r="C12280" s="115"/>
      <c r="D12280" s="115"/>
      <c r="E12280" s="115"/>
    </row>
    <row r="12281" spans="1:5" ht="13">
      <c r="A12281" s="115"/>
      <c r="B12281" s="115"/>
      <c r="C12281" s="115"/>
      <c r="D12281" s="115"/>
      <c r="E12281" s="115"/>
    </row>
    <row r="12282" spans="1:5" ht="13">
      <c r="A12282" s="115"/>
      <c r="B12282" s="115"/>
      <c r="C12282" s="115"/>
      <c r="D12282" s="115"/>
      <c r="E12282" s="115"/>
    </row>
    <row r="12283" spans="1:5" ht="13">
      <c r="A12283" s="115"/>
      <c r="B12283" s="115"/>
      <c r="C12283" s="115"/>
      <c r="D12283" s="115"/>
      <c r="E12283" s="115"/>
    </row>
    <row r="12284" spans="1:5" ht="13">
      <c r="A12284" s="115"/>
      <c r="B12284" s="115"/>
      <c r="C12284" s="115"/>
      <c r="D12284" s="115"/>
      <c r="E12284" s="115"/>
    </row>
    <row r="12285" spans="1:5" ht="13">
      <c r="A12285" s="115"/>
      <c r="B12285" s="115"/>
      <c r="C12285" s="115"/>
      <c r="D12285" s="115"/>
      <c r="E12285" s="115"/>
    </row>
    <row r="12286" spans="1:5" ht="13">
      <c r="A12286" s="115"/>
      <c r="B12286" s="115"/>
      <c r="C12286" s="115"/>
      <c r="D12286" s="115"/>
      <c r="E12286" s="115"/>
    </row>
    <row r="12287" spans="1:5" ht="13">
      <c r="A12287" s="115"/>
      <c r="B12287" s="115"/>
      <c r="C12287" s="115"/>
      <c r="D12287" s="115"/>
      <c r="E12287" s="115"/>
    </row>
    <row r="12288" spans="1:5" ht="13">
      <c r="A12288" s="115"/>
      <c r="B12288" s="115"/>
      <c r="C12288" s="115"/>
      <c r="D12288" s="115"/>
      <c r="E12288" s="115"/>
    </row>
    <row r="12289" spans="1:5" ht="13">
      <c r="A12289" s="115"/>
      <c r="B12289" s="115"/>
      <c r="C12289" s="115"/>
      <c r="D12289" s="115"/>
      <c r="E12289" s="115"/>
    </row>
    <row r="12290" spans="1:5" ht="13">
      <c r="A12290" s="115"/>
      <c r="B12290" s="115"/>
      <c r="C12290" s="115"/>
      <c r="D12290" s="115"/>
      <c r="E12290" s="115"/>
    </row>
    <row r="12291" spans="1:5" ht="13">
      <c r="A12291" s="115"/>
      <c r="B12291" s="115"/>
      <c r="C12291" s="115"/>
      <c r="D12291" s="115"/>
      <c r="E12291" s="115"/>
    </row>
    <row r="12292" spans="1:5" ht="13">
      <c r="A12292" s="115"/>
      <c r="B12292" s="115"/>
      <c r="C12292" s="115"/>
      <c r="D12292" s="115"/>
      <c r="E12292" s="115"/>
    </row>
    <row r="12293" spans="1:5" ht="13">
      <c r="A12293" s="115"/>
      <c r="B12293" s="115"/>
      <c r="C12293" s="115"/>
      <c r="D12293" s="115"/>
      <c r="E12293" s="115"/>
    </row>
    <row r="12294" spans="1:5" ht="13">
      <c r="A12294" s="115"/>
      <c r="B12294" s="115"/>
      <c r="C12294" s="115"/>
      <c r="D12294" s="115"/>
      <c r="E12294" s="115"/>
    </row>
    <row r="12295" spans="1:5" ht="13">
      <c r="A12295" s="115"/>
      <c r="B12295" s="115"/>
      <c r="C12295" s="115"/>
      <c r="D12295" s="115"/>
      <c r="E12295" s="115"/>
    </row>
    <row r="12296" spans="1:5" ht="13">
      <c r="A12296" s="115"/>
      <c r="B12296" s="115"/>
      <c r="C12296" s="115"/>
      <c r="D12296" s="115"/>
      <c r="E12296" s="115"/>
    </row>
    <row r="12297" spans="1:5" ht="13">
      <c r="A12297" s="115"/>
      <c r="B12297" s="115"/>
      <c r="C12297" s="115"/>
      <c r="D12297" s="115"/>
      <c r="E12297" s="115"/>
    </row>
    <row r="12298" spans="1:5" ht="13">
      <c r="A12298" s="115"/>
      <c r="B12298" s="115"/>
      <c r="C12298" s="115"/>
      <c r="D12298" s="115"/>
      <c r="E12298" s="115"/>
    </row>
    <row r="12299" spans="1:5" ht="13">
      <c r="A12299" s="115"/>
      <c r="B12299" s="115"/>
      <c r="C12299" s="115"/>
      <c r="D12299" s="115"/>
      <c r="E12299" s="115"/>
    </row>
    <row r="12300" spans="1:5" ht="13">
      <c r="A12300" s="115"/>
      <c r="B12300" s="115"/>
      <c r="C12300" s="115"/>
      <c r="D12300" s="115"/>
      <c r="E12300" s="115"/>
    </row>
    <row r="12301" spans="1:5" ht="13">
      <c r="A12301" s="115"/>
      <c r="B12301" s="115"/>
      <c r="C12301" s="115"/>
      <c r="D12301" s="115"/>
      <c r="E12301" s="115"/>
    </row>
    <row r="12302" spans="1:5" ht="13">
      <c r="A12302" s="115"/>
      <c r="B12302" s="115"/>
      <c r="C12302" s="115"/>
      <c r="D12302" s="115"/>
      <c r="E12302" s="115"/>
    </row>
    <row r="12303" spans="1:5" ht="13">
      <c r="A12303" s="115"/>
      <c r="B12303" s="115"/>
      <c r="C12303" s="115"/>
      <c r="D12303" s="115"/>
      <c r="E12303" s="115"/>
    </row>
    <row r="12304" spans="1:5" ht="13">
      <c r="A12304" s="115"/>
      <c r="B12304" s="115"/>
      <c r="C12304" s="115"/>
      <c r="D12304" s="115"/>
      <c r="E12304" s="115"/>
    </row>
    <row r="12305" spans="1:5" ht="13">
      <c r="A12305" s="115"/>
      <c r="B12305" s="115"/>
      <c r="C12305" s="115"/>
      <c r="D12305" s="115"/>
      <c r="E12305" s="115"/>
    </row>
    <row r="12306" spans="1:5" ht="13">
      <c r="A12306" s="115"/>
      <c r="B12306" s="115"/>
      <c r="C12306" s="115"/>
      <c r="D12306" s="115"/>
      <c r="E12306" s="115"/>
    </row>
    <row r="12307" spans="1:5" ht="13">
      <c r="A12307" s="115"/>
      <c r="B12307" s="115"/>
      <c r="C12307" s="115"/>
      <c r="D12307" s="115"/>
      <c r="E12307" s="115"/>
    </row>
    <row r="12308" spans="1:5" ht="13">
      <c r="A12308" s="115"/>
      <c r="B12308" s="115"/>
      <c r="C12308" s="115"/>
      <c r="D12308" s="115"/>
      <c r="E12308" s="115"/>
    </row>
    <row r="12309" spans="1:5" ht="13">
      <c r="A12309" s="115"/>
      <c r="B12309" s="115"/>
      <c r="C12309" s="115"/>
      <c r="D12309" s="115"/>
      <c r="E12309" s="115"/>
    </row>
    <row r="12310" spans="1:5" ht="13">
      <c r="A12310" s="115"/>
      <c r="B12310" s="115"/>
      <c r="C12310" s="115"/>
      <c r="D12310" s="115"/>
      <c r="E12310" s="115"/>
    </row>
    <row r="12311" spans="1:5" ht="13">
      <c r="A12311" s="115"/>
      <c r="B12311" s="115"/>
      <c r="C12311" s="115"/>
      <c r="D12311" s="115"/>
      <c r="E12311" s="115"/>
    </row>
    <row r="12312" spans="1:5" ht="13">
      <c r="A12312" s="115"/>
      <c r="B12312" s="115"/>
      <c r="C12312" s="115"/>
      <c r="D12312" s="115"/>
      <c r="E12312" s="115"/>
    </row>
    <row r="12313" spans="1:5" ht="13">
      <c r="A12313" s="115"/>
      <c r="B12313" s="115"/>
      <c r="C12313" s="115"/>
      <c r="D12313" s="115"/>
      <c r="E12313" s="115"/>
    </row>
    <row r="12314" spans="1:5" ht="13">
      <c r="A12314" s="115"/>
      <c r="B12314" s="115"/>
      <c r="C12314" s="115"/>
      <c r="D12314" s="115"/>
      <c r="E12314" s="115"/>
    </row>
    <row r="12315" spans="1:5" ht="13">
      <c r="A12315" s="115"/>
      <c r="B12315" s="115"/>
      <c r="C12315" s="115"/>
      <c r="D12315" s="115"/>
      <c r="E12315" s="115"/>
    </row>
    <row r="12316" spans="1:5" ht="13">
      <c r="A12316" s="115"/>
      <c r="B12316" s="115"/>
      <c r="C12316" s="115"/>
      <c r="D12316" s="115"/>
      <c r="E12316" s="115"/>
    </row>
    <row r="12317" spans="1:5" ht="13">
      <c r="A12317" s="115"/>
      <c r="B12317" s="115"/>
      <c r="C12317" s="115"/>
      <c r="D12317" s="115"/>
      <c r="E12317" s="115"/>
    </row>
    <row r="12318" spans="1:5" ht="13">
      <c r="A12318" s="115"/>
      <c r="B12318" s="115"/>
      <c r="C12318" s="115"/>
      <c r="D12318" s="115"/>
      <c r="E12318" s="115"/>
    </row>
    <row r="12319" spans="1:5" ht="13">
      <c r="A12319" s="115"/>
      <c r="B12319" s="115"/>
      <c r="C12319" s="115"/>
      <c r="D12319" s="115"/>
      <c r="E12319" s="115"/>
    </row>
    <row r="12320" spans="1:5" ht="13">
      <c r="A12320" s="115"/>
      <c r="B12320" s="115"/>
      <c r="C12320" s="115"/>
      <c r="D12320" s="115"/>
      <c r="E12320" s="115"/>
    </row>
    <row r="12321" spans="1:5" ht="13">
      <c r="A12321" s="115"/>
      <c r="B12321" s="115"/>
      <c r="C12321" s="115"/>
      <c r="D12321" s="115"/>
      <c r="E12321" s="115"/>
    </row>
    <row r="12322" spans="1:5" ht="13">
      <c r="A12322" s="115"/>
      <c r="B12322" s="115"/>
      <c r="C12322" s="115"/>
      <c r="D12322" s="115"/>
      <c r="E12322" s="115"/>
    </row>
    <row r="12323" spans="1:5" ht="13">
      <c r="A12323" s="115"/>
      <c r="B12323" s="115"/>
      <c r="C12323" s="115"/>
      <c r="D12323" s="115"/>
      <c r="E12323" s="115"/>
    </row>
    <row r="12324" spans="1:5" ht="13">
      <c r="A12324" s="115"/>
      <c r="B12324" s="115"/>
      <c r="C12324" s="115"/>
      <c r="D12324" s="115"/>
      <c r="E12324" s="115"/>
    </row>
    <row r="12325" spans="1:5" ht="13">
      <c r="A12325" s="115"/>
      <c r="B12325" s="115"/>
      <c r="C12325" s="115"/>
      <c r="D12325" s="115"/>
      <c r="E12325" s="115"/>
    </row>
    <row r="12326" spans="1:5" ht="13">
      <c r="A12326" s="115"/>
      <c r="B12326" s="115"/>
      <c r="C12326" s="115"/>
      <c r="D12326" s="115"/>
      <c r="E12326" s="115"/>
    </row>
    <row r="12327" spans="1:5" ht="13">
      <c r="A12327" s="115"/>
      <c r="B12327" s="115"/>
      <c r="C12327" s="115"/>
      <c r="D12327" s="115"/>
      <c r="E12327" s="115"/>
    </row>
    <row r="12328" spans="1:5" ht="13">
      <c r="A12328" s="115"/>
      <c r="B12328" s="115"/>
      <c r="C12328" s="115"/>
      <c r="D12328" s="115"/>
      <c r="E12328" s="115"/>
    </row>
    <row r="12329" spans="1:5" ht="13">
      <c r="A12329" s="115"/>
      <c r="B12329" s="115"/>
      <c r="C12329" s="115"/>
      <c r="D12329" s="115"/>
      <c r="E12329" s="115"/>
    </row>
    <row r="12330" spans="1:5" ht="13">
      <c r="A12330" s="115"/>
      <c r="B12330" s="115"/>
      <c r="C12330" s="115"/>
      <c r="D12330" s="115"/>
      <c r="E12330" s="115"/>
    </row>
    <row r="12331" spans="1:5" ht="13">
      <c r="A12331" s="115"/>
      <c r="B12331" s="115"/>
      <c r="C12331" s="115"/>
      <c r="D12331" s="115"/>
      <c r="E12331" s="115"/>
    </row>
    <row r="12332" spans="1:5" ht="13">
      <c r="A12332" s="115"/>
      <c r="B12332" s="115"/>
      <c r="C12332" s="115"/>
      <c r="D12332" s="115"/>
      <c r="E12332" s="115"/>
    </row>
    <row r="12333" spans="1:5" ht="13">
      <c r="A12333" s="115"/>
      <c r="B12333" s="115"/>
      <c r="C12333" s="115"/>
      <c r="D12333" s="115"/>
      <c r="E12333" s="115"/>
    </row>
    <row r="12334" spans="1:5" ht="13">
      <c r="A12334" s="115"/>
      <c r="B12334" s="115"/>
      <c r="C12334" s="115"/>
      <c r="D12334" s="115"/>
      <c r="E12334" s="115"/>
    </row>
    <row r="12335" spans="1:5" ht="13">
      <c r="A12335" s="115"/>
      <c r="B12335" s="115"/>
      <c r="C12335" s="115"/>
      <c r="D12335" s="115"/>
      <c r="E12335" s="115"/>
    </row>
    <row r="12336" spans="1:5" ht="13">
      <c r="A12336" s="115"/>
      <c r="B12336" s="115"/>
      <c r="C12336" s="115"/>
      <c r="D12336" s="115"/>
      <c r="E12336" s="115"/>
    </row>
    <row r="12337" spans="1:5" ht="13">
      <c r="A12337" s="115"/>
      <c r="B12337" s="115"/>
      <c r="C12337" s="115"/>
      <c r="D12337" s="115"/>
      <c r="E12337" s="115"/>
    </row>
    <row r="12338" spans="1:5" ht="13">
      <c r="A12338" s="115"/>
      <c r="B12338" s="115"/>
      <c r="C12338" s="115"/>
      <c r="D12338" s="115"/>
      <c r="E12338" s="115"/>
    </row>
    <row r="12339" spans="1:5" ht="13">
      <c r="A12339" s="115"/>
      <c r="B12339" s="115"/>
      <c r="C12339" s="115"/>
      <c r="D12339" s="115"/>
      <c r="E12339" s="115"/>
    </row>
    <row r="12340" spans="1:5" ht="13">
      <c r="A12340" s="115"/>
      <c r="B12340" s="115"/>
      <c r="C12340" s="115"/>
      <c r="D12340" s="115"/>
      <c r="E12340" s="115"/>
    </row>
    <row r="12341" spans="1:5" ht="13">
      <c r="A12341" s="115"/>
      <c r="B12341" s="115"/>
      <c r="C12341" s="115"/>
      <c r="D12341" s="115"/>
      <c r="E12341" s="115"/>
    </row>
    <row r="12342" spans="1:5" ht="13">
      <c r="A12342" s="115"/>
      <c r="B12342" s="115"/>
      <c r="C12342" s="115"/>
      <c r="D12342" s="115"/>
      <c r="E12342" s="115"/>
    </row>
    <row r="12343" spans="1:5" ht="13">
      <c r="A12343" s="115"/>
      <c r="B12343" s="115"/>
      <c r="C12343" s="115"/>
      <c r="D12343" s="115"/>
      <c r="E12343" s="115"/>
    </row>
    <row r="12344" spans="1:5" ht="13">
      <c r="A12344" s="115"/>
      <c r="B12344" s="115"/>
      <c r="C12344" s="115"/>
      <c r="D12344" s="115"/>
      <c r="E12344" s="115"/>
    </row>
    <row r="12345" spans="1:5" ht="13">
      <c r="A12345" s="115"/>
      <c r="B12345" s="115"/>
      <c r="C12345" s="115"/>
      <c r="D12345" s="115"/>
      <c r="E12345" s="115"/>
    </row>
    <row r="12346" spans="1:5" ht="13">
      <c r="A12346" s="115"/>
      <c r="B12346" s="115"/>
      <c r="C12346" s="115"/>
      <c r="D12346" s="115"/>
      <c r="E12346" s="115"/>
    </row>
    <row r="12347" spans="1:5" ht="13">
      <c r="A12347" s="115"/>
      <c r="B12347" s="115"/>
      <c r="C12347" s="115"/>
      <c r="D12347" s="115"/>
      <c r="E12347" s="115"/>
    </row>
    <row r="12348" spans="1:5" ht="13">
      <c r="A12348" s="115"/>
      <c r="B12348" s="115"/>
      <c r="C12348" s="115"/>
      <c r="D12348" s="115"/>
      <c r="E12348" s="115"/>
    </row>
    <row r="12349" spans="1:5" ht="13">
      <c r="A12349" s="115"/>
      <c r="B12349" s="115"/>
      <c r="C12349" s="115"/>
      <c r="D12349" s="115"/>
      <c r="E12349" s="115"/>
    </row>
    <row r="12350" spans="1:5" ht="13">
      <c r="A12350" s="115"/>
      <c r="B12350" s="115"/>
      <c r="C12350" s="115"/>
      <c r="D12350" s="115"/>
      <c r="E12350" s="115"/>
    </row>
    <row r="12351" spans="1:5" ht="13">
      <c r="A12351" s="115"/>
      <c r="B12351" s="115"/>
      <c r="C12351" s="115"/>
      <c r="D12351" s="115"/>
      <c r="E12351" s="115"/>
    </row>
    <row r="12352" spans="1:5" ht="13">
      <c r="A12352" s="115"/>
      <c r="B12352" s="115"/>
      <c r="C12352" s="115"/>
      <c r="D12352" s="115"/>
      <c r="E12352" s="115"/>
    </row>
    <row r="12353" spans="1:5" ht="13">
      <c r="A12353" s="115"/>
      <c r="B12353" s="115"/>
      <c r="C12353" s="115"/>
      <c r="D12353" s="115"/>
      <c r="E12353" s="115"/>
    </row>
    <row r="12354" spans="1:5" ht="13">
      <c r="A12354" s="115"/>
      <c r="B12354" s="115"/>
      <c r="C12354" s="115"/>
      <c r="D12354" s="115"/>
      <c r="E12354" s="115"/>
    </row>
    <row r="12355" spans="1:5" ht="13">
      <c r="A12355" s="115"/>
      <c r="B12355" s="115"/>
      <c r="C12355" s="115"/>
      <c r="D12355" s="115"/>
      <c r="E12355" s="115"/>
    </row>
    <row r="12356" spans="1:5" ht="13">
      <c r="A12356" s="115"/>
      <c r="B12356" s="115"/>
      <c r="C12356" s="115"/>
      <c r="D12356" s="115"/>
      <c r="E12356" s="115"/>
    </row>
    <row r="12357" spans="1:5" ht="13">
      <c r="A12357" s="115"/>
      <c r="B12357" s="115"/>
      <c r="C12357" s="115"/>
      <c r="D12357" s="115"/>
      <c r="E12357" s="115"/>
    </row>
    <row r="12358" spans="1:5" ht="13">
      <c r="A12358" s="115"/>
      <c r="B12358" s="115"/>
      <c r="C12358" s="115"/>
      <c r="D12358" s="115"/>
      <c r="E12358" s="115"/>
    </row>
    <row r="12359" spans="1:5" ht="13">
      <c r="A12359" s="115"/>
      <c r="B12359" s="115"/>
      <c r="C12359" s="115"/>
      <c r="D12359" s="115"/>
      <c r="E12359" s="115"/>
    </row>
    <row r="12360" spans="1:5" ht="13">
      <c r="A12360" s="115"/>
      <c r="B12360" s="115"/>
      <c r="C12360" s="115"/>
      <c r="D12360" s="115"/>
      <c r="E12360" s="115"/>
    </row>
    <row r="12361" spans="1:5" ht="13">
      <c r="A12361" s="115"/>
      <c r="B12361" s="115"/>
      <c r="C12361" s="115"/>
      <c r="D12361" s="115"/>
      <c r="E12361" s="115"/>
    </row>
    <row r="12362" spans="1:5" ht="13">
      <c r="A12362" s="115"/>
      <c r="B12362" s="115"/>
      <c r="C12362" s="115"/>
      <c r="D12362" s="115"/>
      <c r="E12362" s="115"/>
    </row>
    <row r="12363" spans="1:5" ht="13">
      <c r="A12363" s="115"/>
      <c r="B12363" s="115"/>
      <c r="C12363" s="115"/>
      <c r="D12363" s="115"/>
      <c r="E12363" s="115"/>
    </row>
    <row r="12364" spans="1:5" ht="13">
      <c r="A12364" s="115"/>
      <c r="B12364" s="115"/>
      <c r="C12364" s="115"/>
      <c r="D12364" s="115"/>
      <c r="E12364" s="115"/>
    </row>
    <row r="12365" spans="1:5" ht="13">
      <c r="A12365" s="115"/>
      <c r="B12365" s="115"/>
      <c r="C12365" s="115"/>
      <c r="D12365" s="115"/>
      <c r="E12365" s="115"/>
    </row>
    <row r="12366" spans="1:5" ht="13">
      <c r="A12366" s="115"/>
      <c r="B12366" s="115"/>
      <c r="C12366" s="115"/>
      <c r="D12366" s="115"/>
      <c r="E12366" s="115"/>
    </row>
    <row r="12367" spans="1:5" ht="13">
      <c r="A12367" s="115"/>
      <c r="B12367" s="115"/>
      <c r="C12367" s="115"/>
      <c r="D12367" s="115"/>
      <c r="E12367" s="115"/>
    </row>
    <row r="12368" spans="1:5" ht="13">
      <c r="A12368" s="115"/>
      <c r="B12368" s="115"/>
      <c r="C12368" s="115"/>
      <c r="D12368" s="115"/>
      <c r="E12368" s="115"/>
    </row>
    <row r="12369" spans="1:5" ht="13">
      <c r="A12369" s="115"/>
      <c r="B12369" s="115"/>
      <c r="C12369" s="115"/>
      <c r="D12369" s="115"/>
      <c r="E12369" s="115"/>
    </row>
    <row r="12370" spans="1:5" ht="13">
      <c r="A12370" s="115"/>
      <c r="B12370" s="115"/>
      <c r="C12370" s="115"/>
      <c r="D12370" s="115"/>
      <c r="E12370" s="115"/>
    </row>
    <row r="12371" spans="1:5" ht="13">
      <c r="A12371" s="115"/>
      <c r="B12371" s="115"/>
      <c r="C12371" s="115"/>
      <c r="D12371" s="115"/>
      <c r="E12371" s="115"/>
    </row>
    <row r="12372" spans="1:5" ht="13">
      <c r="A12372" s="115"/>
      <c r="B12372" s="115"/>
      <c r="C12372" s="115"/>
      <c r="D12372" s="115"/>
      <c r="E12372" s="115"/>
    </row>
    <row r="12373" spans="1:5" ht="13">
      <c r="A12373" s="115"/>
      <c r="B12373" s="115"/>
      <c r="C12373" s="115"/>
      <c r="D12373" s="115"/>
      <c r="E12373" s="115"/>
    </row>
    <row r="12374" spans="1:5" ht="13">
      <c r="A12374" s="115"/>
      <c r="B12374" s="115"/>
      <c r="C12374" s="115"/>
      <c r="D12374" s="115"/>
      <c r="E12374" s="115"/>
    </row>
    <row r="12375" spans="1:5" ht="13">
      <c r="A12375" s="115"/>
      <c r="B12375" s="115"/>
      <c r="C12375" s="115"/>
      <c r="D12375" s="115"/>
      <c r="E12375" s="115"/>
    </row>
    <row r="12376" spans="1:5" ht="13">
      <c r="A12376" s="115"/>
      <c r="B12376" s="115"/>
      <c r="C12376" s="115"/>
      <c r="D12376" s="115"/>
      <c r="E12376" s="115"/>
    </row>
    <row r="12377" spans="1:5" ht="13">
      <c r="A12377" s="115"/>
      <c r="B12377" s="115"/>
      <c r="C12377" s="115"/>
      <c r="D12377" s="115"/>
      <c r="E12377" s="115"/>
    </row>
    <row r="12378" spans="1:5" ht="13">
      <c r="A12378" s="115"/>
      <c r="B12378" s="115"/>
      <c r="C12378" s="115"/>
      <c r="D12378" s="115"/>
      <c r="E12378" s="115"/>
    </row>
    <row r="12379" spans="1:5" ht="13">
      <c r="A12379" s="115"/>
      <c r="B12379" s="115"/>
      <c r="C12379" s="115"/>
      <c r="D12379" s="115"/>
      <c r="E12379" s="115"/>
    </row>
    <row r="12380" spans="1:5" ht="13">
      <c r="A12380" s="115"/>
      <c r="B12380" s="115"/>
      <c r="C12380" s="115"/>
      <c r="D12380" s="115"/>
      <c r="E12380" s="115"/>
    </row>
    <row r="12381" spans="1:5" ht="13">
      <c r="A12381" s="115"/>
      <c r="B12381" s="115"/>
      <c r="C12381" s="115"/>
      <c r="D12381" s="115"/>
      <c r="E12381" s="115"/>
    </row>
    <row r="12382" spans="1:5" ht="13">
      <c r="A12382" s="115"/>
      <c r="B12382" s="115"/>
      <c r="C12382" s="115"/>
      <c r="D12382" s="115"/>
      <c r="E12382" s="115"/>
    </row>
    <row r="12383" spans="1:5" ht="13">
      <c r="A12383" s="115"/>
      <c r="B12383" s="115"/>
      <c r="C12383" s="115"/>
      <c r="D12383" s="115"/>
      <c r="E12383" s="115"/>
    </row>
    <row r="12384" spans="1:5" ht="13">
      <c r="A12384" s="115"/>
      <c r="B12384" s="115"/>
      <c r="C12384" s="115"/>
      <c r="D12384" s="115"/>
      <c r="E12384" s="115"/>
    </row>
    <row r="12385" spans="1:5" ht="13">
      <c r="A12385" s="115"/>
      <c r="B12385" s="115"/>
      <c r="C12385" s="115"/>
      <c r="D12385" s="115"/>
      <c r="E12385" s="115"/>
    </row>
    <row r="12386" spans="1:5" ht="13">
      <c r="A12386" s="115"/>
      <c r="B12386" s="115"/>
      <c r="C12386" s="115"/>
      <c r="D12386" s="115"/>
      <c r="E12386" s="115"/>
    </row>
    <row r="12387" spans="1:5" ht="13">
      <c r="A12387" s="115"/>
      <c r="B12387" s="115"/>
      <c r="C12387" s="115"/>
      <c r="D12387" s="115"/>
      <c r="E12387" s="115"/>
    </row>
    <row r="12388" spans="1:5" ht="13">
      <c r="A12388" s="115"/>
      <c r="B12388" s="115"/>
      <c r="C12388" s="115"/>
      <c r="D12388" s="115"/>
      <c r="E12388" s="115"/>
    </row>
    <row r="12389" spans="1:5" ht="13">
      <c r="A12389" s="115"/>
      <c r="B12389" s="115"/>
      <c r="C12389" s="115"/>
      <c r="D12389" s="115"/>
      <c r="E12389" s="115"/>
    </row>
    <row r="12390" spans="1:5" ht="13">
      <c r="A12390" s="115"/>
      <c r="B12390" s="115"/>
      <c r="C12390" s="115"/>
      <c r="D12390" s="115"/>
      <c r="E12390" s="115"/>
    </row>
    <row r="12391" spans="1:5" ht="13">
      <c r="A12391" s="115"/>
      <c r="B12391" s="115"/>
      <c r="C12391" s="115"/>
      <c r="D12391" s="115"/>
      <c r="E12391" s="115"/>
    </row>
    <row r="12392" spans="1:5" ht="13">
      <c r="A12392" s="115"/>
      <c r="B12392" s="115"/>
      <c r="C12392" s="115"/>
      <c r="D12392" s="115"/>
      <c r="E12392" s="115"/>
    </row>
    <row r="12393" spans="1:5" ht="13">
      <c r="A12393" s="115"/>
      <c r="B12393" s="115"/>
      <c r="C12393" s="115"/>
      <c r="D12393" s="115"/>
      <c r="E12393" s="115"/>
    </row>
    <row r="12394" spans="1:5" ht="13">
      <c r="A12394" s="115"/>
      <c r="B12394" s="115"/>
      <c r="C12394" s="115"/>
      <c r="D12394" s="115"/>
      <c r="E12394" s="115"/>
    </row>
    <row r="12395" spans="1:5" ht="13">
      <c r="A12395" s="115"/>
      <c r="B12395" s="115"/>
      <c r="C12395" s="115"/>
      <c r="D12395" s="115"/>
      <c r="E12395" s="115"/>
    </row>
    <row r="12396" spans="1:5" ht="13">
      <c r="A12396" s="115"/>
      <c r="B12396" s="115"/>
      <c r="C12396" s="115"/>
      <c r="D12396" s="115"/>
      <c r="E12396" s="115"/>
    </row>
    <row r="12397" spans="1:5" ht="13">
      <c r="A12397" s="115"/>
      <c r="B12397" s="115"/>
      <c r="C12397" s="115"/>
      <c r="D12397" s="115"/>
      <c r="E12397" s="115"/>
    </row>
    <row r="12398" spans="1:5" ht="13">
      <c r="A12398" s="115"/>
      <c r="B12398" s="115"/>
      <c r="C12398" s="115"/>
      <c r="D12398" s="115"/>
      <c r="E12398" s="115"/>
    </row>
    <row r="12399" spans="1:5" ht="13">
      <c r="A12399" s="115"/>
      <c r="B12399" s="115"/>
      <c r="C12399" s="115"/>
      <c r="D12399" s="115"/>
      <c r="E12399" s="115"/>
    </row>
    <row r="12400" spans="1:5" ht="13">
      <c r="A12400" s="115"/>
      <c r="B12400" s="115"/>
      <c r="C12400" s="115"/>
      <c r="D12400" s="115"/>
      <c r="E12400" s="115"/>
    </row>
    <row r="12401" spans="1:5" ht="13">
      <c r="A12401" s="115"/>
      <c r="B12401" s="115"/>
      <c r="C12401" s="115"/>
      <c r="D12401" s="115"/>
      <c r="E12401" s="115"/>
    </row>
    <row r="12402" spans="1:5" ht="13">
      <c r="A12402" s="115"/>
      <c r="B12402" s="115"/>
      <c r="C12402" s="115"/>
      <c r="D12402" s="115"/>
      <c r="E12402" s="115"/>
    </row>
    <row r="12403" spans="1:5" ht="13">
      <c r="A12403" s="115"/>
      <c r="B12403" s="115"/>
      <c r="C12403" s="115"/>
      <c r="D12403" s="115"/>
      <c r="E12403" s="115"/>
    </row>
    <row r="12404" spans="1:5" ht="13">
      <c r="A12404" s="115"/>
      <c r="B12404" s="115"/>
      <c r="C12404" s="115"/>
      <c r="D12404" s="115"/>
      <c r="E12404" s="115"/>
    </row>
    <row r="12405" spans="1:5" ht="13">
      <c r="A12405" s="115"/>
      <c r="B12405" s="115"/>
      <c r="C12405" s="115"/>
      <c r="D12405" s="115"/>
      <c r="E12405" s="115"/>
    </row>
    <row r="12406" spans="1:5" ht="13">
      <c r="A12406" s="115"/>
      <c r="B12406" s="115"/>
      <c r="C12406" s="115"/>
      <c r="D12406" s="115"/>
      <c r="E12406" s="115"/>
    </row>
    <row r="12407" spans="1:5" ht="13">
      <c r="A12407" s="115"/>
      <c r="B12407" s="115"/>
      <c r="C12407" s="115"/>
      <c r="D12407" s="115"/>
      <c r="E12407" s="115"/>
    </row>
    <row r="12408" spans="1:5" ht="13">
      <c r="A12408" s="115"/>
      <c r="B12408" s="115"/>
      <c r="C12408" s="115"/>
      <c r="D12408" s="115"/>
      <c r="E12408" s="115"/>
    </row>
    <row r="12409" spans="1:5" ht="13">
      <c r="A12409" s="115"/>
      <c r="B12409" s="115"/>
      <c r="C12409" s="115"/>
      <c r="D12409" s="115"/>
      <c r="E12409" s="115"/>
    </row>
    <row r="12410" spans="1:5" ht="13">
      <c r="A12410" s="115"/>
      <c r="B12410" s="115"/>
      <c r="C12410" s="115"/>
      <c r="D12410" s="115"/>
      <c r="E12410" s="115"/>
    </row>
    <row r="12411" spans="1:5" ht="13">
      <c r="A12411" s="115"/>
      <c r="B12411" s="115"/>
      <c r="C12411" s="115"/>
      <c r="D12411" s="115"/>
      <c r="E12411" s="115"/>
    </row>
    <row r="12412" spans="1:5" ht="13">
      <c r="A12412" s="115"/>
      <c r="B12412" s="115"/>
      <c r="C12412" s="115"/>
      <c r="D12412" s="115"/>
      <c r="E12412" s="115"/>
    </row>
    <row r="12413" spans="1:5" ht="13">
      <c r="A12413" s="115"/>
      <c r="B12413" s="115"/>
      <c r="C12413" s="115"/>
      <c r="D12413" s="115"/>
      <c r="E12413" s="115"/>
    </row>
    <row r="12414" spans="1:5" ht="13">
      <c r="A12414" s="115"/>
      <c r="B12414" s="115"/>
      <c r="C12414" s="115"/>
      <c r="D12414" s="115"/>
      <c r="E12414" s="115"/>
    </row>
    <row r="12415" spans="1:5" ht="13">
      <c r="A12415" s="115"/>
      <c r="B12415" s="115"/>
      <c r="C12415" s="115"/>
      <c r="D12415" s="115"/>
      <c r="E12415" s="115"/>
    </row>
    <row r="12416" spans="1:5" ht="13">
      <c r="A12416" s="115"/>
      <c r="B12416" s="115"/>
      <c r="C12416" s="115"/>
      <c r="D12416" s="115"/>
      <c r="E12416" s="115"/>
    </row>
    <row r="12417" spans="1:5" ht="13">
      <c r="A12417" s="115"/>
      <c r="B12417" s="115"/>
      <c r="C12417" s="115"/>
      <c r="D12417" s="115"/>
      <c r="E12417" s="115"/>
    </row>
    <row r="12418" spans="1:5" ht="13">
      <c r="A12418" s="115"/>
      <c r="B12418" s="115"/>
      <c r="C12418" s="115"/>
      <c r="D12418" s="115"/>
      <c r="E12418" s="115"/>
    </row>
    <row r="12419" spans="1:5" ht="13">
      <c r="A12419" s="115"/>
      <c r="B12419" s="115"/>
      <c r="C12419" s="115"/>
      <c r="D12419" s="115"/>
      <c r="E12419" s="115"/>
    </row>
    <row r="12420" spans="1:5" ht="13">
      <c r="A12420" s="115"/>
      <c r="B12420" s="115"/>
      <c r="C12420" s="115"/>
      <c r="D12420" s="115"/>
      <c r="E12420" s="115"/>
    </row>
    <row r="12421" spans="1:5" ht="13">
      <c r="A12421" s="115"/>
      <c r="B12421" s="115"/>
      <c r="C12421" s="115"/>
      <c r="D12421" s="115"/>
      <c r="E12421" s="115"/>
    </row>
    <row r="12422" spans="1:5" ht="13">
      <c r="A12422" s="115"/>
      <c r="B12422" s="115"/>
      <c r="C12422" s="115"/>
      <c r="D12422" s="115"/>
      <c r="E12422" s="115"/>
    </row>
    <row r="12423" spans="1:5" ht="13">
      <c r="A12423" s="115"/>
      <c r="B12423" s="115"/>
      <c r="C12423" s="115"/>
      <c r="D12423" s="115"/>
      <c r="E12423" s="115"/>
    </row>
    <row r="12424" spans="1:5" ht="13">
      <c r="A12424" s="115"/>
      <c r="B12424" s="115"/>
      <c r="C12424" s="115"/>
      <c r="D12424" s="115"/>
      <c r="E12424" s="115"/>
    </row>
    <row r="12425" spans="1:5" ht="13">
      <c r="A12425" s="115"/>
      <c r="B12425" s="115"/>
      <c r="C12425" s="115"/>
      <c r="D12425" s="115"/>
      <c r="E12425" s="115"/>
    </row>
    <row r="12426" spans="1:5" ht="13">
      <c r="A12426" s="115"/>
      <c r="B12426" s="115"/>
      <c r="C12426" s="115"/>
      <c r="D12426" s="115"/>
      <c r="E12426" s="115"/>
    </row>
    <row r="12427" spans="1:5" ht="13">
      <c r="A12427" s="115"/>
      <c r="B12427" s="115"/>
      <c r="C12427" s="115"/>
      <c r="D12427" s="115"/>
      <c r="E12427" s="115"/>
    </row>
    <row r="12428" spans="1:5" ht="13">
      <c r="A12428" s="115"/>
      <c r="B12428" s="115"/>
      <c r="C12428" s="115"/>
      <c r="D12428" s="115"/>
      <c r="E12428" s="115"/>
    </row>
    <row r="12429" spans="1:5" ht="13">
      <c r="A12429" s="115"/>
      <c r="B12429" s="115"/>
      <c r="C12429" s="115"/>
      <c r="D12429" s="115"/>
      <c r="E12429" s="115"/>
    </row>
    <row r="12430" spans="1:5" ht="13">
      <c r="A12430" s="115"/>
      <c r="B12430" s="115"/>
      <c r="C12430" s="115"/>
      <c r="D12430" s="115"/>
      <c r="E12430" s="115"/>
    </row>
    <row r="12431" spans="1:5" ht="13">
      <c r="A12431" s="115"/>
      <c r="B12431" s="115"/>
      <c r="C12431" s="115"/>
      <c r="D12431" s="115"/>
      <c r="E12431" s="115"/>
    </row>
    <row r="12432" spans="1:5" ht="13">
      <c r="A12432" s="115"/>
      <c r="B12432" s="115"/>
      <c r="C12432" s="115"/>
      <c r="D12432" s="115"/>
      <c r="E12432" s="115"/>
    </row>
    <row r="12433" spans="1:5" ht="13">
      <c r="A12433" s="115"/>
      <c r="B12433" s="115"/>
      <c r="C12433" s="115"/>
      <c r="D12433" s="115"/>
      <c r="E12433" s="115"/>
    </row>
    <row r="12434" spans="1:5" ht="13">
      <c r="A12434" s="115"/>
      <c r="B12434" s="115"/>
      <c r="C12434" s="115"/>
      <c r="D12434" s="115"/>
      <c r="E12434" s="115"/>
    </row>
    <row r="12435" spans="1:5" ht="13">
      <c r="A12435" s="115"/>
      <c r="B12435" s="115"/>
      <c r="C12435" s="115"/>
      <c r="D12435" s="115"/>
      <c r="E12435" s="115"/>
    </row>
    <row r="12436" spans="1:5" ht="13">
      <c r="A12436" s="115"/>
      <c r="B12436" s="115"/>
      <c r="C12436" s="115"/>
      <c r="D12436" s="115"/>
      <c r="E12436" s="115"/>
    </row>
    <row r="12437" spans="1:5" ht="13">
      <c r="A12437" s="115"/>
      <c r="B12437" s="115"/>
      <c r="C12437" s="115"/>
      <c r="D12437" s="115"/>
      <c r="E12437" s="115"/>
    </row>
    <row r="12438" spans="1:5" ht="13">
      <c r="A12438" s="115"/>
      <c r="B12438" s="115"/>
      <c r="C12438" s="115"/>
      <c r="D12438" s="115"/>
      <c r="E12438" s="115"/>
    </row>
    <row r="12439" spans="1:5" ht="13">
      <c r="A12439" s="115"/>
      <c r="B12439" s="115"/>
      <c r="C12439" s="115"/>
      <c r="D12439" s="115"/>
      <c r="E12439" s="115"/>
    </row>
    <row r="12440" spans="1:5" ht="13">
      <c r="A12440" s="115"/>
      <c r="B12440" s="115"/>
      <c r="C12440" s="115"/>
      <c r="D12440" s="115"/>
      <c r="E12440" s="115"/>
    </row>
    <row r="12441" spans="1:5" ht="13">
      <c r="A12441" s="115"/>
      <c r="B12441" s="115"/>
      <c r="C12441" s="115"/>
      <c r="D12441" s="115"/>
      <c r="E12441" s="115"/>
    </row>
    <row r="12442" spans="1:5" ht="13">
      <c r="A12442" s="115"/>
      <c r="B12442" s="115"/>
      <c r="C12442" s="115"/>
      <c r="D12442" s="115"/>
      <c r="E12442" s="115"/>
    </row>
    <row r="12443" spans="1:5" ht="13">
      <c r="A12443" s="115"/>
      <c r="B12443" s="115"/>
      <c r="C12443" s="115"/>
      <c r="D12443" s="115"/>
      <c r="E12443" s="115"/>
    </row>
    <row r="12444" spans="1:5" ht="13">
      <c r="A12444" s="115"/>
      <c r="B12444" s="115"/>
      <c r="C12444" s="115"/>
      <c r="D12444" s="115"/>
      <c r="E12444" s="115"/>
    </row>
    <row r="12445" spans="1:5" ht="13">
      <c r="A12445" s="115"/>
      <c r="B12445" s="115"/>
      <c r="C12445" s="115"/>
      <c r="D12445" s="115"/>
      <c r="E12445" s="115"/>
    </row>
    <row r="12446" spans="1:5" ht="13">
      <c r="A12446" s="115"/>
      <c r="B12446" s="115"/>
      <c r="C12446" s="115"/>
      <c r="D12446" s="115"/>
      <c r="E12446" s="115"/>
    </row>
    <row r="12447" spans="1:5" ht="13">
      <c r="A12447" s="115"/>
      <c r="B12447" s="115"/>
      <c r="C12447" s="115"/>
      <c r="D12447" s="115"/>
      <c r="E12447" s="115"/>
    </row>
    <row r="12448" spans="1:5" ht="13">
      <c r="A12448" s="115"/>
      <c r="B12448" s="115"/>
      <c r="C12448" s="115"/>
      <c r="D12448" s="115"/>
      <c r="E12448" s="115"/>
    </row>
    <row r="12449" spans="1:5" ht="13">
      <c r="A12449" s="115"/>
      <c r="B12449" s="115"/>
      <c r="C12449" s="115"/>
      <c r="D12449" s="115"/>
      <c r="E12449" s="115"/>
    </row>
    <row r="12450" spans="1:5" ht="13">
      <c r="A12450" s="115"/>
      <c r="B12450" s="115"/>
      <c r="C12450" s="115"/>
      <c r="D12450" s="115"/>
      <c r="E12450" s="115"/>
    </row>
    <row r="12451" spans="1:5" ht="13">
      <c r="A12451" s="115"/>
      <c r="B12451" s="115"/>
      <c r="C12451" s="115"/>
      <c r="D12451" s="115"/>
      <c r="E12451" s="115"/>
    </row>
    <row r="12452" spans="1:5" ht="13">
      <c r="A12452" s="115"/>
      <c r="B12452" s="115"/>
      <c r="C12452" s="115"/>
      <c r="D12452" s="115"/>
      <c r="E12452" s="115"/>
    </row>
    <row r="12453" spans="1:5" ht="13">
      <c r="A12453" s="115"/>
      <c r="B12453" s="115"/>
      <c r="C12453" s="115"/>
      <c r="D12453" s="115"/>
      <c r="E12453" s="115"/>
    </row>
    <row r="12454" spans="1:5" ht="13">
      <c r="A12454" s="115"/>
      <c r="B12454" s="115"/>
      <c r="C12454" s="115"/>
      <c r="D12454" s="115"/>
      <c r="E12454" s="115"/>
    </row>
    <row r="12455" spans="1:5" ht="13">
      <c r="A12455" s="115"/>
      <c r="B12455" s="115"/>
      <c r="C12455" s="115"/>
      <c r="D12455" s="115"/>
      <c r="E12455" s="115"/>
    </row>
    <row r="12456" spans="1:5" ht="13">
      <c r="A12456" s="115"/>
      <c r="B12456" s="115"/>
      <c r="C12456" s="115"/>
      <c r="D12456" s="115"/>
      <c r="E12456" s="115"/>
    </row>
    <row r="12457" spans="1:5" ht="13">
      <c r="A12457" s="115"/>
      <c r="B12457" s="115"/>
      <c r="C12457" s="115"/>
      <c r="D12457" s="115"/>
      <c r="E12457" s="115"/>
    </row>
    <row r="12458" spans="1:5" ht="13">
      <c r="A12458" s="115"/>
      <c r="B12458" s="115"/>
      <c r="C12458" s="115"/>
      <c r="D12458" s="115"/>
      <c r="E12458" s="115"/>
    </row>
    <row r="12459" spans="1:5" ht="13">
      <c r="A12459" s="115"/>
      <c r="B12459" s="115"/>
      <c r="C12459" s="115"/>
      <c r="D12459" s="115"/>
      <c r="E12459" s="115"/>
    </row>
    <row r="12460" spans="1:5" ht="13">
      <c r="A12460" s="115"/>
      <c r="B12460" s="115"/>
      <c r="C12460" s="115"/>
      <c r="D12460" s="115"/>
      <c r="E12460" s="115"/>
    </row>
    <row r="12461" spans="1:5" ht="13">
      <c r="A12461" s="115"/>
      <c r="B12461" s="115"/>
      <c r="C12461" s="115"/>
      <c r="D12461" s="115"/>
      <c r="E12461" s="115"/>
    </row>
    <row r="12462" spans="1:5" ht="13">
      <c r="A12462" s="115"/>
      <c r="B12462" s="115"/>
      <c r="C12462" s="115"/>
      <c r="D12462" s="115"/>
      <c r="E12462" s="115"/>
    </row>
    <row r="12463" spans="1:5" ht="13">
      <c r="A12463" s="115"/>
      <c r="B12463" s="115"/>
      <c r="C12463" s="115"/>
      <c r="D12463" s="115"/>
      <c r="E12463" s="115"/>
    </row>
    <row r="12464" spans="1:5" ht="13">
      <c r="A12464" s="115"/>
      <c r="B12464" s="115"/>
      <c r="C12464" s="115"/>
      <c r="D12464" s="115"/>
      <c r="E12464" s="115"/>
    </row>
    <row r="12465" spans="1:5" ht="13">
      <c r="A12465" s="115"/>
      <c r="B12465" s="115"/>
      <c r="C12465" s="115"/>
      <c r="D12465" s="115"/>
      <c r="E12465" s="115"/>
    </row>
    <row r="12466" spans="1:5" ht="13">
      <c r="A12466" s="115"/>
      <c r="B12466" s="115"/>
      <c r="C12466" s="115"/>
      <c r="D12466" s="115"/>
      <c r="E12466" s="115"/>
    </row>
    <row r="12467" spans="1:5" ht="13">
      <c r="A12467" s="115"/>
      <c r="B12467" s="115"/>
      <c r="C12467" s="115"/>
      <c r="D12467" s="115"/>
      <c r="E12467" s="115"/>
    </row>
    <row r="12468" spans="1:5" ht="13">
      <c r="A12468" s="115"/>
      <c r="B12468" s="115"/>
      <c r="C12468" s="115"/>
      <c r="D12468" s="115"/>
      <c r="E12468" s="115"/>
    </row>
    <row r="12469" spans="1:5" ht="13">
      <c r="A12469" s="115"/>
      <c r="B12469" s="115"/>
      <c r="C12469" s="115"/>
      <c r="D12469" s="115"/>
      <c r="E12469" s="115"/>
    </row>
    <row r="12470" spans="1:5" ht="13">
      <c r="A12470" s="115"/>
      <c r="B12470" s="115"/>
      <c r="C12470" s="115"/>
      <c r="D12470" s="115"/>
      <c r="E12470" s="115"/>
    </row>
    <row r="12471" spans="1:5" ht="13">
      <c r="A12471" s="115"/>
      <c r="B12471" s="115"/>
      <c r="C12471" s="115"/>
      <c r="D12471" s="115"/>
      <c r="E12471" s="115"/>
    </row>
    <row r="12472" spans="1:5" ht="13">
      <c r="A12472" s="115"/>
      <c r="B12472" s="115"/>
      <c r="C12472" s="115"/>
      <c r="D12472" s="115"/>
      <c r="E12472" s="115"/>
    </row>
    <row r="12473" spans="1:5" ht="13">
      <c r="A12473" s="115"/>
      <c r="B12473" s="115"/>
      <c r="C12473" s="115"/>
      <c r="D12473" s="115"/>
      <c r="E12473" s="115"/>
    </row>
    <row r="12474" spans="1:5" ht="13">
      <c r="A12474" s="115"/>
      <c r="B12474" s="115"/>
      <c r="C12474" s="115"/>
      <c r="D12474" s="115"/>
      <c r="E12474" s="115"/>
    </row>
    <row r="12475" spans="1:5" ht="13">
      <c r="A12475" s="115"/>
      <c r="B12475" s="115"/>
      <c r="C12475" s="115"/>
      <c r="D12475" s="115"/>
      <c r="E12475" s="115"/>
    </row>
    <row r="12476" spans="1:5" ht="13">
      <c r="A12476" s="115"/>
      <c r="B12476" s="115"/>
      <c r="C12476" s="115"/>
      <c r="D12476" s="115"/>
      <c r="E12476" s="115"/>
    </row>
    <row r="12477" spans="1:5" ht="13">
      <c r="A12477" s="115"/>
      <c r="B12477" s="115"/>
      <c r="C12477" s="115"/>
      <c r="D12477" s="115"/>
      <c r="E12477" s="115"/>
    </row>
    <row r="12478" spans="1:5" ht="13">
      <c r="A12478" s="115"/>
      <c r="B12478" s="115"/>
      <c r="C12478" s="115"/>
      <c r="D12478" s="115"/>
      <c r="E12478" s="115"/>
    </row>
    <row r="12479" spans="1:5" ht="13">
      <c r="A12479" s="115"/>
      <c r="B12479" s="115"/>
      <c r="C12479" s="115"/>
      <c r="D12479" s="115"/>
      <c r="E12479" s="115"/>
    </row>
    <row r="12480" spans="1:5" ht="13">
      <c r="A12480" s="115"/>
      <c r="B12480" s="115"/>
      <c r="C12480" s="115"/>
      <c r="D12480" s="115"/>
      <c r="E12480" s="115"/>
    </row>
    <row r="12481" spans="1:5" ht="13">
      <c r="A12481" s="115"/>
      <c r="B12481" s="115"/>
      <c r="C12481" s="115"/>
      <c r="D12481" s="115"/>
      <c r="E12481" s="115"/>
    </row>
    <row r="12482" spans="1:5" ht="13">
      <c r="A12482" s="115"/>
      <c r="B12482" s="115"/>
      <c r="C12482" s="115"/>
      <c r="D12482" s="115"/>
      <c r="E12482" s="115"/>
    </row>
    <row r="12483" spans="1:5" ht="13">
      <c r="A12483" s="115"/>
      <c r="B12483" s="115"/>
      <c r="C12483" s="115"/>
      <c r="D12483" s="115"/>
      <c r="E12483" s="115"/>
    </row>
    <row r="12484" spans="1:5" ht="13">
      <c r="A12484" s="115"/>
      <c r="B12484" s="115"/>
      <c r="C12484" s="115"/>
      <c r="D12484" s="115"/>
      <c r="E12484" s="115"/>
    </row>
    <row r="12485" spans="1:5" ht="13">
      <c r="A12485" s="115"/>
      <c r="B12485" s="115"/>
      <c r="C12485" s="115"/>
      <c r="D12485" s="115"/>
      <c r="E12485" s="115"/>
    </row>
    <row r="12486" spans="1:5" ht="13">
      <c r="A12486" s="115"/>
      <c r="B12486" s="115"/>
      <c r="C12486" s="115"/>
      <c r="D12486" s="115"/>
      <c r="E12486" s="115"/>
    </row>
    <row r="12487" spans="1:5" ht="13">
      <c r="A12487" s="115"/>
      <c r="B12487" s="115"/>
      <c r="C12487" s="115"/>
      <c r="D12487" s="115"/>
      <c r="E12487" s="115"/>
    </row>
    <row r="12488" spans="1:5" ht="13">
      <c r="A12488" s="115"/>
      <c r="B12488" s="115"/>
      <c r="C12488" s="115"/>
      <c r="D12488" s="115"/>
      <c r="E12488" s="115"/>
    </row>
    <row r="12489" spans="1:5" ht="13">
      <c r="A12489" s="115"/>
      <c r="B12489" s="115"/>
      <c r="C12489" s="115"/>
      <c r="D12489" s="115"/>
      <c r="E12489" s="115"/>
    </row>
    <row r="12490" spans="1:5" ht="13">
      <c r="A12490" s="115"/>
      <c r="B12490" s="115"/>
      <c r="C12490" s="115"/>
      <c r="D12490" s="115"/>
      <c r="E12490" s="115"/>
    </row>
    <row r="12491" spans="1:5" ht="13">
      <c r="A12491" s="115"/>
      <c r="B12491" s="115"/>
      <c r="C12491" s="115"/>
      <c r="D12491" s="115"/>
      <c r="E12491" s="115"/>
    </row>
    <row r="12492" spans="1:5" ht="13">
      <c r="A12492" s="115"/>
      <c r="B12492" s="115"/>
      <c r="C12492" s="115"/>
      <c r="D12492" s="115"/>
      <c r="E12492" s="115"/>
    </row>
    <row r="12493" spans="1:5" ht="13">
      <c r="A12493" s="115"/>
      <c r="B12493" s="115"/>
      <c r="C12493" s="115"/>
      <c r="D12493" s="115"/>
      <c r="E12493" s="115"/>
    </row>
    <row r="12494" spans="1:5" ht="13">
      <c r="A12494" s="115"/>
      <c r="B12494" s="115"/>
      <c r="C12494" s="115"/>
      <c r="D12494" s="115"/>
      <c r="E12494" s="115"/>
    </row>
    <row r="12495" spans="1:5" ht="13">
      <c r="A12495" s="115"/>
      <c r="B12495" s="115"/>
      <c r="C12495" s="115"/>
      <c r="D12495" s="115"/>
      <c r="E12495" s="115"/>
    </row>
    <row r="12496" spans="1:5" ht="13">
      <c r="A12496" s="115"/>
      <c r="B12496" s="115"/>
      <c r="C12496" s="115"/>
      <c r="D12496" s="115"/>
      <c r="E12496" s="115"/>
    </row>
    <row r="12497" spans="1:5" ht="13">
      <c r="A12497" s="115"/>
      <c r="B12497" s="115"/>
      <c r="C12497" s="115"/>
      <c r="D12497" s="115"/>
      <c r="E12497" s="115"/>
    </row>
    <row r="12498" spans="1:5" ht="13">
      <c r="A12498" s="115"/>
      <c r="B12498" s="115"/>
      <c r="C12498" s="115"/>
      <c r="D12498" s="115"/>
      <c r="E12498" s="115"/>
    </row>
    <row r="12499" spans="1:5" ht="13">
      <c r="A12499" s="115"/>
      <c r="B12499" s="115"/>
      <c r="C12499" s="115"/>
      <c r="D12499" s="115"/>
      <c r="E12499" s="115"/>
    </row>
    <row r="12500" spans="1:5" ht="13">
      <c r="A12500" s="115"/>
      <c r="B12500" s="115"/>
      <c r="C12500" s="115"/>
      <c r="D12500" s="115"/>
      <c r="E12500" s="115"/>
    </row>
    <row r="12501" spans="1:5" ht="13">
      <c r="A12501" s="115"/>
      <c r="B12501" s="115"/>
      <c r="C12501" s="115"/>
      <c r="D12501" s="115"/>
      <c r="E12501" s="115"/>
    </row>
    <row r="12502" spans="1:5" ht="13">
      <c r="A12502" s="115"/>
      <c r="B12502" s="115"/>
      <c r="C12502" s="115"/>
      <c r="D12502" s="115"/>
      <c r="E12502" s="115"/>
    </row>
    <row r="12503" spans="1:5" ht="13">
      <c r="A12503" s="115"/>
      <c r="B12503" s="115"/>
      <c r="C12503" s="115"/>
      <c r="D12503" s="115"/>
      <c r="E12503" s="115"/>
    </row>
    <row r="12504" spans="1:5" ht="13">
      <c r="A12504" s="115"/>
      <c r="B12504" s="115"/>
      <c r="C12504" s="115"/>
      <c r="D12504" s="115"/>
      <c r="E12504" s="115"/>
    </row>
    <row r="12505" spans="1:5" ht="13">
      <c r="A12505" s="115"/>
      <c r="B12505" s="115"/>
      <c r="C12505" s="115"/>
      <c r="D12505" s="115"/>
      <c r="E12505" s="115"/>
    </row>
    <row r="12506" spans="1:5" ht="13">
      <c r="A12506" s="115"/>
      <c r="B12506" s="115"/>
      <c r="C12506" s="115"/>
      <c r="D12506" s="115"/>
      <c r="E12506" s="115"/>
    </row>
    <row r="12507" spans="1:5" ht="13">
      <c r="A12507" s="115"/>
      <c r="B12507" s="115"/>
      <c r="C12507" s="115"/>
      <c r="D12507" s="115"/>
      <c r="E12507" s="115"/>
    </row>
    <row r="12508" spans="1:5" ht="13">
      <c r="A12508" s="115"/>
      <c r="B12508" s="115"/>
      <c r="C12508" s="115"/>
      <c r="D12508" s="115"/>
      <c r="E12508" s="115"/>
    </row>
    <row r="12509" spans="1:5" ht="13">
      <c r="A12509" s="115"/>
      <c r="B12509" s="115"/>
      <c r="C12509" s="115"/>
      <c r="D12509" s="115"/>
      <c r="E12509" s="115"/>
    </row>
    <row r="12510" spans="1:5" ht="13">
      <c r="A12510" s="115"/>
      <c r="B12510" s="115"/>
      <c r="C12510" s="115"/>
      <c r="D12510" s="115"/>
      <c r="E12510" s="115"/>
    </row>
    <row r="12511" spans="1:5" ht="13">
      <c r="A12511" s="115"/>
      <c r="B12511" s="115"/>
      <c r="C12511" s="115"/>
      <c r="D12511" s="115"/>
      <c r="E12511" s="115"/>
    </row>
    <row r="12512" spans="1:5" ht="13">
      <c r="A12512" s="115"/>
      <c r="B12512" s="115"/>
      <c r="C12512" s="115"/>
      <c r="D12512" s="115"/>
      <c r="E12512" s="115"/>
    </row>
    <row r="12513" spans="1:5" ht="13">
      <c r="A12513" s="115"/>
      <c r="B12513" s="115"/>
      <c r="C12513" s="115"/>
      <c r="D12513" s="115"/>
      <c r="E12513" s="115"/>
    </row>
    <row r="12514" spans="1:5" ht="13">
      <c r="A12514" s="115"/>
      <c r="B12514" s="115"/>
      <c r="C12514" s="115"/>
      <c r="D12514" s="115"/>
      <c r="E12514" s="115"/>
    </row>
    <row r="12515" spans="1:5" ht="13">
      <c r="A12515" s="115"/>
      <c r="B12515" s="115"/>
      <c r="C12515" s="115"/>
      <c r="D12515" s="115"/>
      <c r="E12515" s="115"/>
    </row>
    <row r="12516" spans="1:5" ht="13">
      <c r="A12516" s="115"/>
      <c r="B12516" s="115"/>
      <c r="C12516" s="115"/>
      <c r="D12516" s="115"/>
      <c r="E12516" s="115"/>
    </row>
    <row r="12517" spans="1:5" ht="13">
      <c r="A12517" s="115"/>
      <c r="B12517" s="115"/>
      <c r="C12517" s="115"/>
      <c r="D12517" s="115"/>
      <c r="E12517" s="115"/>
    </row>
    <row r="12518" spans="1:5" ht="13">
      <c r="A12518" s="115"/>
      <c r="B12518" s="115"/>
      <c r="C12518" s="115"/>
      <c r="D12518" s="115"/>
      <c r="E12518" s="115"/>
    </row>
    <row r="12519" spans="1:5" ht="13">
      <c r="A12519" s="115"/>
      <c r="B12519" s="115"/>
      <c r="C12519" s="115"/>
      <c r="D12519" s="115"/>
      <c r="E12519" s="115"/>
    </row>
    <row r="12520" spans="1:5" ht="13">
      <c r="A12520" s="115"/>
      <c r="B12520" s="115"/>
      <c r="C12520" s="115"/>
      <c r="D12520" s="115"/>
      <c r="E12520" s="115"/>
    </row>
    <row r="12521" spans="1:5" ht="13">
      <c r="A12521" s="115"/>
      <c r="B12521" s="115"/>
      <c r="C12521" s="115"/>
      <c r="D12521" s="115"/>
      <c r="E12521" s="115"/>
    </row>
    <row r="12522" spans="1:5" ht="13">
      <c r="A12522" s="115"/>
      <c r="B12522" s="115"/>
      <c r="C12522" s="115"/>
      <c r="D12522" s="115"/>
      <c r="E12522" s="115"/>
    </row>
    <row r="12523" spans="1:5" ht="13">
      <c r="A12523" s="115"/>
      <c r="B12523" s="115"/>
      <c r="C12523" s="115"/>
      <c r="D12523" s="115"/>
      <c r="E12523" s="115"/>
    </row>
    <row r="12524" spans="1:5" ht="13">
      <c r="A12524" s="115"/>
      <c r="B12524" s="115"/>
      <c r="C12524" s="115"/>
      <c r="D12524" s="115"/>
      <c r="E12524" s="115"/>
    </row>
    <row r="12525" spans="1:5" ht="13">
      <c r="A12525" s="115"/>
      <c r="B12525" s="115"/>
      <c r="C12525" s="115"/>
      <c r="D12525" s="115"/>
      <c r="E12525" s="115"/>
    </row>
    <row r="12526" spans="1:5" ht="13">
      <c r="A12526" s="115"/>
      <c r="B12526" s="115"/>
      <c r="C12526" s="115"/>
      <c r="D12526" s="115"/>
      <c r="E12526" s="115"/>
    </row>
    <row r="12527" spans="1:5" ht="13">
      <c r="A12527" s="115"/>
      <c r="B12527" s="115"/>
      <c r="C12527" s="115"/>
      <c r="D12527" s="115"/>
      <c r="E12527" s="115"/>
    </row>
    <row r="12528" spans="1:5" ht="13">
      <c r="A12528" s="115"/>
      <c r="B12528" s="115"/>
      <c r="C12528" s="115"/>
      <c r="D12528" s="115"/>
      <c r="E12528" s="115"/>
    </row>
    <row r="12529" spans="1:5" ht="13">
      <c r="A12529" s="115"/>
      <c r="B12529" s="115"/>
      <c r="C12529" s="115"/>
      <c r="D12529" s="115"/>
      <c r="E12529" s="115"/>
    </row>
    <row r="12530" spans="1:5" ht="13">
      <c r="A12530" s="115"/>
      <c r="B12530" s="115"/>
      <c r="C12530" s="115"/>
      <c r="D12530" s="115"/>
      <c r="E12530" s="115"/>
    </row>
    <row r="12531" spans="1:5" ht="13">
      <c r="A12531" s="115"/>
      <c r="B12531" s="115"/>
      <c r="C12531" s="115"/>
      <c r="D12531" s="115"/>
      <c r="E12531" s="115"/>
    </row>
    <row r="12532" spans="1:5" ht="13">
      <c r="A12532" s="115"/>
      <c r="B12532" s="115"/>
      <c r="C12532" s="115"/>
      <c r="D12532" s="115"/>
      <c r="E12532" s="115"/>
    </row>
    <row r="12533" spans="1:5" ht="13">
      <c r="A12533" s="115"/>
      <c r="B12533" s="115"/>
      <c r="C12533" s="115"/>
      <c r="D12533" s="115"/>
      <c r="E12533" s="115"/>
    </row>
    <row r="12534" spans="1:5" ht="13">
      <c r="A12534" s="115"/>
      <c r="B12534" s="115"/>
      <c r="C12534" s="115"/>
      <c r="D12534" s="115"/>
      <c r="E12534" s="115"/>
    </row>
    <row r="12535" spans="1:5" ht="13">
      <c r="A12535" s="115"/>
      <c r="B12535" s="115"/>
      <c r="C12535" s="115"/>
      <c r="D12535" s="115"/>
      <c r="E12535" s="115"/>
    </row>
    <row r="12536" spans="1:5" ht="13">
      <c r="A12536" s="115"/>
      <c r="B12536" s="115"/>
      <c r="C12536" s="115"/>
      <c r="D12536" s="115"/>
      <c r="E12536" s="115"/>
    </row>
    <row r="12537" spans="1:5" ht="13">
      <c r="A12537" s="115"/>
      <c r="B12537" s="115"/>
      <c r="C12537" s="115"/>
      <c r="D12537" s="115"/>
      <c r="E12537" s="115"/>
    </row>
    <row r="12538" spans="1:5" ht="13">
      <c r="A12538" s="115"/>
      <c r="B12538" s="115"/>
      <c r="C12538" s="115"/>
      <c r="D12538" s="115"/>
      <c r="E12538" s="115"/>
    </row>
    <row r="12539" spans="1:5" ht="13">
      <c r="A12539" s="115"/>
      <c r="B12539" s="115"/>
      <c r="C12539" s="115"/>
      <c r="D12539" s="115"/>
      <c r="E12539" s="115"/>
    </row>
    <row r="12540" spans="1:5" ht="13">
      <c r="A12540" s="115"/>
      <c r="B12540" s="115"/>
      <c r="C12540" s="115"/>
      <c r="D12540" s="115"/>
      <c r="E12540" s="115"/>
    </row>
    <row r="12541" spans="1:5" ht="13">
      <c r="A12541" s="115"/>
      <c r="B12541" s="115"/>
      <c r="C12541" s="115"/>
      <c r="D12541" s="115"/>
      <c r="E12541" s="115"/>
    </row>
    <row r="12542" spans="1:5" ht="13">
      <c r="A12542" s="115"/>
      <c r="B12542" s="115"/>
      <c r="C12542" s="115"/>
      <c r="D12542" s="115"/>
      <c r="E12542" s="115"/>
    </row>
    <row r="12543" spans="1:5" ht="13">
      <c r="A12543" s="115"/>
      <c r="B12543" s="115"/>
      <c r="C12543" s="115"/>
      <c r="D12543" s="115"/>
      <c r="E12543" s="115"/>
    </row>
    <row r="12544" spans="1:5" ht="13">
      <c r="A12544" s="115"/>
      <c r="B12544" s="115"/>
      <c r="C12544" s="115"/>
      <c r="D12544" s="115"/>
      <c r="E12544" s="115"/>
    </row>
    <row r="12545" spans="1:5" ht="13">
      <c r="A12545" s="115"/>
      <c r="B12545" s="115"/>
      <c r="C12545" s="115"/>
      <c r="D12545" s="115"/>
      <c r="E12545" s="115"/>
    </row>
    <row r="12546" spans="1:5" ht="13">
      <c r="A12546" s="115"/>
      <c r="B12546" s="115"/>
      <c r="C12546" s="115"/>
      <c r="D12546" s="115"/>
      <c r="E12546" s="115"/>
    </row>
    <row r="12547" spans="1:5" ht="13">
      <c r="A12547" s="115"/>
      <c r="B12547" s="115"/>
      <c r="C12547" s="115"/>
      <c r="D12547" s="115"/>
      <c r="E12547" s="115"/>
    </row>
    <row r="12548" spans="1:5" ht="13">
      <c r="A12548" s="115"/>
      <c r="B12548" s="115"/>
      <c r="C12548" s="115"/>
      <c r="D12548" s="115"/>
      <c r="E12548" s="115"/>
    </row>
    <row r="12549" spans="1:5" ht="13">
      <c r="A12549" s="115"/>
      <c r="B12549" s="115"/>
      <c r="C12549" s="115"/>
      <c r="D12549" s="115"/>
      <c r="E12549" s="115"/>
    </row>
    <row r="12550" spans="1:5" ht="13">
      <c r="A12550" s="115"/>
      <c r="B12550" s="115"/>
      <c r="C12550" s="115"/>
      <c r="D12550" s="115"/>
      <c r="E12550" s="115"/>
    </row>
    <row r="12551" spans="1:5" ht="13">
      <c r="A12551" s="115"/>
      <c r="B12551" s="115"/>
      <c r="C12551" s="115"/>
      <c r="D12551" s="115"/>
      <c r="E12551" s="115"/>
    </row>
    <row r="12552" spans="1:5" ht="13">
      <c r="A12552" s="115"/>
      <c r="B12552" s="115"/>
      <c r="C12552" s="115"/>
      <c r="D12552" s="115"/>
      <c r="E12552" s="115"/>
    </row>
    <row r="12553" spans="1:5" ht="13">
      <c r="A12553" s="115"/>
      <c r="B12553" s="115"/>
      <c r="C12553" s="115"/>
      <c r="D12553" s="115"/>
      <c r="E12553" s="115"/>
    </row>
    <row r="12554" spans="1:5" ht="13">
      <c r="A12554" s="115"/>
      <c r="B12554" s="115"/>
      <c r="C12554" s="115"/>
      <c r="D12554" s="115"/>
      <c r="E12554" s="115"/>
    </row>
    <row r="12555" spans="1:5" ht="13">
      <c r="A12555" s="115"/>
      <c r="B12555" s="115"/>
      <c r="C12555" s="115"/>
      <c r="D12555" s="115"/>
      <c r="E12555" s="115"/>
    </row>
    <row r="12556" spans="1:5" ht="13">
      <c r="A12556" s="115"/>
      <c r="B12556" s="115"/>
      <c r="C12556" s="115"/>
      <c r="D12556" s="115"/>
      <c r="E12556" s="115"/>
    </row>
    <row r="12557" spans="1:5" ht="13">
      <c r="A12557" s="115"/>
      <c r="B12557" s="115"/>
      <c r="C12557" s="115"/>
      <c r="D12557" s="115"/>
      <c r="E12557" s="115"/>
    </row>
    <row r="12558" spans="1:5" ht="13">
      <c r="A12558" s="115"/>
      <c r="B12558" s="115"/>
      <c r="C12558" s="115"/>
      <c r="D12558" s="115"/>
      <c r="E12558" s="115"/>
    </row>
    <row r="12559" spans="1:5" ht="13">
      <c r="A12559" s="115"/>
      <c r="B12559" s="115"/>
      <c r="C12559" s="115"/>
      <c r="D12559" s="115"/>
      <c r="E12559" s="115"/>
    </row>
    <row r="12560" spans="1:5" ht="13">
      <c r="A12560" s="115"/>
      <c r="B12560" s="115"/>
      <c r="C12560" s="115"/>
      <c r="D12560" s="115"/>
      <c r="E12560" s="115"/>
    </row>
    <row r="12561" spans="1:5" ht="13">
      <c r="A12561" s="115"/>
      <c r="B12561" s="115"/>
      <c r="C12561" s="115"/>
      <c r="D12561" s="115"/>
      <c r="E12561" s="115"/>
    </row>
    <row r="12562" spans="1:5" ht="13">
      <c r="A12562" s="115"/>
      <c r="B12562" s="115"/>
      <c r="C12562" s="115"/>
      <c r="D12562" s="115"/>
      <c r="E12562" s="115"/>
    </row>
    <row r="12563" spans="1:5" ht="13">
      <c r="A12563" s="115"/>
      <c r="B12563" s="115"/>
      <c r="C12563" s="115"/>
      <c r="D12563" s="115"/>
      <c r="E12563" s="115"/>
    </row>
    <row r="12564" spans="1:5" ht="13">
      <c r="A12564" s="115"/>
      <c r="B12564" s="115"/>
      <c r="C12564" s="115"/>
      <c r="D12564" s="115"/>
      <c r="E12564" s="115"/>
    </row>
    <row r="12565" spans="1:5" ht="13">
      <c r="A12565" s="115"/>
      <c r="B12565" s="115"/>
      <c r="C12565" s="115"/>
      <c r="D12565" s="115"/>
      <c r="E12565" s="115"/>
    </row>
    <row r="12566" spans="1:5" ht="13">
      <c r="A12566" s="115"/>
      <c r="B12566" s="115"/>
      <c r="C12566" s="115"/>
      <c r="D12566" s="115"/>
      <c r="E12566" s="115"/>
    </row>
    <row r="12567" spans="1:5" ht="13">
      <c r="A12567" s="115"/>
      <c r="B12567" s="115"/>
      <c r="C12567" s="115"/>
      <c r="D12567" s="115"/>
      <c r="E12567" s="115"/>
    </row>
    <row r="12568" spans="1:5" ht="13">
      <c r="A12568" s="115"/>
      <c r="B12568" s="115"/>
      <c r="C12568" s="115"/>
      <c r="D12568" s="115"/>
      <c r="E12568" s="115"/>
    </row>
    <row r="12569" spans="1:5" ht="13">
      <c r="A12569" s="115"/>
      <c r="B12569" s="115"/>
      <c r="C12569" s="115"/>
      <c r="D12569" s="115"/>
      <c r="E12569" s="115"/>
    </row>
    <row r="12570" spans="1:5" ht="13">
      <c r="A12570" s="115"/>
      <c r="B12570" s="115"/>
      <c r="C12570" s="115"/>
      <c r="D12570" s="115"/>
      <c r="E12570" s="115"/>
    </row>
    <row r="12571" spans="1:5" ht="13">
      <c r="A12571" s="115"/>
      <c r="B12571" s="115"/>
      <c r="C12571" s="115"/>
      <c r="D12571" s="115"/>
      <c r="E12571" s="115"/>
    </row>
    <row r="12572" spans="1:5" ht="13">
      <c r="A12572" s="115"/>
      <c r="B12572" s="115"/>
      <c r="C12572" s="115"/>
      <c r="D12572" s="115"/>
      <c r="E12572" s="115"/>
    </row>
    <row r="12573" spans="1:5" ht="13">
      <c r="A12573" s="115"/>
      <c r="B12573" s="115"/>
      <c r="C12573" s="115"/>
      <c r="D12573" s="115"/>
      <c r="E12573" s="115"/>
    </row>
    <row r="12574" spans="1:5" ht="13">
      <c r="A12574" s="115"/>
      <c r="B12574" s="115"/>
      <c r="C12574" s="115"/>
      <c r="D12574" s="115"/>
      <c r="E12574" s="115"/>
    </row>
    <row r="12575" spans="1:5" ht="13">
      <c r="A12575" s="115"/>
      <c r="B12575" s="115"/>
      <c r="C12575" s="115"/>
      <c r="D12575" s="115"/>
      <c r="E12575" s="115"/>
    </row>
    <row r="12576" spans="1:5" ht="13">
      <c r="A12576" s="115"/>
      <c r="B12576" s="115"/>
      <c r="C12576" s="115"/>
      <c r="D12576" s="115"/>
      <c r="E12576" s="115"/>
    </row>
    <row r="12577" spans="1:5" ht="13">
      <c r="A12577" s="115"/>
      <c r="B12577" s="115"/>
      <c r="C12577" s="115"/>
      <c r="D12577" s="115"/>
      <c r="E12577" s="115"/>
    </row>
    <row r="12578" spans="1:5" ht="13">
      <c r="A12578" s="115"/>
      <c r="B12578" s="115"/>
      <c r="C12578" s="115"/>
      <c r="D12578" s="115"/>
      <c r="E12578" s="115"/>
    </row>
    <row r="12579" spans="1:5" ht="13">
      <c r="A12579" s="115"/>
      <c r="B12579" s="115"/>
      <c r="C12579" s="115"/>
      <c r="D12579" s="115"/>
      <c r="E12579" s="115"/>
    </row>
    <row r="12580" spans="1:5" ht="13">
      <c r="A12580" s="115"/>
      <c r="B12580" s="115"/>
      <c r="C12580" s="115"/>
      <c r="D12580" s="115"/>
      <c r="E12580" s="115"/>
    </row>
    <row r="12581" spans="1:5" ht="13">
      <c r="A12581" s="115"/>
      <c r="B12581" s="115"/>
      <c r="C12581" s="115"/>
      <c r="D12581" s="115"/>
      <c r="E12581" s="115"/>
    </row>
    <row r="12582" spans="1:5" ht="13">
      <c r="A12582" s="115"/>
      <c r="B12582" s="115"/>
      <c r="C12582" s="115"/>
      <c r="D12582" s="115"/>
      <c r="E12582" s="115"/>
    </row>
    <row r="12583" spans="1:5" ht="13">
      <c r="A12583" s="115"/>
      <c r="B12583" s="115"/>
      <c r="C12583" s="115"/>
      <c r="D12583" s="115"/>
      <c r="E12583" s="115"/>
    </row>
    <row r="12584" spans="1:5" ht="13">
      <c r="A12584" s="115"/>
      <c r="B12584" s="115"/>
      <c r="C12584" s="115"/>
      <c r="D12584" s="115"/>
      <c r="E12584" s="115"/>
    </row>
    <row r="12585" spans="1:5" ht="13">
      <c r="A12585" s="115"/>
      <c r="B12585" s="115"/>
      <c r="C12585" s="115"/>
      <c r="D12585" s="115"/>
      <c r="E12585" s="115"/>
    </row>
    <row r="12586" spans="1:5" ht="13">
      <c r="A12586" s="115"/>
      <c r="B12586" s="115"/>
      <c r="C12586" s="115"/>
      <c r="D12586" s="115"/>
      <c r="E12586" s="115"/>
    </row>
    <row r="12587" spans="1:5" ht="13">
      <c r="A12587" s="115"/>
      <c r="B12587" s="115"/>
      <c r="C12587" s="115"/>
      <c r="D12587" s="115"/>
      <c r="E12587" s="115"/>
    </row>
    <row r="12588" spans="1:5" ht="13">
      <c r="A12588" s="115"/>
      <c r="B12588" s="115"/>
      <c r="C12588" s="115"/>
      <c r="D12588" s="115"/>
      <c r="E12588" s="115"/>
    </row>
    <row r="12589" spans="1:5" ht="13">
      <c r="A12589" s="115"/>
      <c r="B12589" s="115"/>
      <c r="C12589" s="115"/>
      <c r="D12589" s="115"/>
      <c r="E12589" s="115"/>
    </row>
    <row r="12590" spans="1:5" ht="13">
      <c r="A12590" s="115"/>
      <c r="B12590" s="115"/>
      <c r="C12590" s="115"/>
      <c r="D12590" s="115"/>
      <c r="E12590" s="115"/>
    </row>
    <row r="12591" spans="1:5" ht="13">
      <c r="A12591" s="115"/>
      <c r="B12591" s="115"/>
      <c r="C12591" s="115"/>
      <c r="D12591" s="115"/>
      <c r="E12591" s="115"/>
    </row>
    <row r="12592" spans="1:5" ht="13">
      <c r="A12592" s="115"/>
      <c r="B12592" s="115"/>
      <c r="C12592" s="115"/>
      <c r="D12592" s="115"/>
      <c r="E12592" s="115"/>
    </row>
    <row r="12593" spans="1:5" ht="13">
      <c r="A12593" s="115"/>
      <c r="B12593" s="115"/>
      <c r="C12593" s="115"/>
      <c r="D12593" s="115"/>
      <c r="E12593" s="115"/>
    </row>
    <row r="12594" spans="1:5" ht="13">
      <c r="A12594" s="115"/>
      <c r="B12594" s="115"/>
      <c r="C12594" s="115"/>
      <c r="D12594" s="115"/>
      <c r="E12594" s="115"/>
    </row>
    <row r="12595" spans="1:5" ht="13">
      <c r="A12595" s="115"/>
      <c r="B12595" s="115"/>
      <c r="C12595" s="115"/>
      <c r="D12595" s="115"/>
      <c r="E12595" s="115"/>
    </row>
    <row r="12596" spans="1:5" ht="13">
      <c r="A12596" s="115"/>
      <c r="B12596" s="115"/>
      <c r="C12596" s="115"/>
      <c r="D12596" s="115"/>
      <c r="E12596" s="115"/>
    </row>
    <row r="12597" spans="1:5" ht="13">
      <c r="A12597" s="115"/>
      <c r="B12597" s="115"/>
      <c r="C12597" s="115"/>
      <c r="D12597" s="115"/>
      <c r="E12597" s="115"/>
    </row>
    <row r="12598" spans="1:5" ht="13">
      <c r="A12598" s="115"/>
      <c r="B12598" s="115"/>
      <c r="C12598" s="115"/>
      <c r="D12598" s="115"/>
      <c r="E12598" s="115"/>
    </row>
    <row r="12599" spans="1:5" ht="13">
      <c r="A12599" s="115"/>
      <c r="B12599" s="115"/>
      <c r="C12599" s="115"/>
      <c r="D12599" s="115"/>
      <c r="E12599" s="115"/>
    </row>
    <row r="12600" spans="1:5" ht="13">
      <c r="A12600" s="115"/>
      <c r="B12600" s="115"/>
      <c r="C12600" s="115"/>
      <c r="D12600" s="115"/>
      <c r="E12600" s="115"/>
    </row>
    <row r="12601" spans="1:5" ht="13">
      <c r="A12601" s="115"/>
      <c r="B12601" s="115"/>
      <c r="C12601" s="115"/>
      <c r="D12601" s="115"/>
      <c r="E12601" s="115"/>
    </row>
    <row r="12602" spans="1:5" ht="13">
      <c r="A12602" s="115"/>
      <c r="B12602" s="115"/>
      <c r="C12602" s="115"/>
      <c r="D12602" s="115"/>
      <c r="E12602" s="115"/>
    </row>
    <row r="12603" spans="1:5" ht="13">
      <c r="A12603" s="115"/>
      <c r="B12603" s="115"/>
      <c r="C12603" s="115"/>
      <c r="D12603" s="115"/>
      <c r="E12603" s="115"/>
    </row>
    <row r="12604" spans="1:5" ht="13">
      <c r="A12604" s="115"/>
      <c r="B12604" s="115"/>
      <c r="C12604" s="115"/>
      <c r="D12604" s="115"/>
      <c r="E12604" s="115"/>
    </row>
    <row r="12605" spans="1:5" ht="13">
      <c r="A12605" s="115"/>
      <c r="B12605" s="115"/>
      <c r="C12605" s="115"/>
      <c r="D12605" s="115"/>
      <c r="E12605" s="115"/>
    </row>
    <row r="12606" spans="1:5" ht="13">
      <c r="A12606" s="115"/>
      <c r="B12606" s="115"/>
      <c r="C12606" s="115"/>
      <c r="D12606" s="115"/>
      <c r="E12606" s="115"/>
    </row>
    <row r="12607" spans="1:5" ht="13">
      <c r="A12607" s="115"/>
      <c r="B12607" s="115"/>
      <c r="C12607" s="115"/>
      <c r="D12607" s="115"/>
      <c r="E12607" s="115"/>
    </row>
    <row r="12608" spans="1:5" ht="13">
      <c r="A12608" s="115"/>
      <c r="B12608" s="115"/>
      <c r="C12608" s="115"/>
      <c r="D12608" s="115"/>
      <c r="E12608" s="115"/>
    </row>
    <row r="12609" spans="1:5" ht="13">
      <c r="A12609" s="115"/>
      <c r="B12609" s="115"/>
      <c r="C12609" s="115"/>
      <c r="D12609" s="115"/>
      <c r="E12609" s="115"/>
    </row>
    <row r="12610" spans="1:5" ht="13">
      <c r="A12610" s="115"/>
      <c r="B12610" s="115"/>
      <c r="C12610" s="115"/>
      <c r="D12610" s="115"/>
      <c r="E12610" s="115"/>
    </row>
    <row r="12611" spans="1:5" ht="13">
      <c r="A12611" s="115"/>
      <c r="B12611" s="115"/>
      <c r="C12611" s="115"/>
      <c r="D12611" s="115"/>
      <c r="E12611" s="115"/>
    </row>
    <row r="12612" spans="1:5" ht="13">
      <c r="A12612" s="115"/>
      <c r="B12612" s="115"/>
      <c r="C12612" s="115"/>
      <c r="D12612" s="115"/>
      <c r="E12612" s="115"/>
    </row>
    <row r="12613" spans="1:5" ht="13">
      <c r="A12613" s="115"/>
      <c r="B12613" s="115"/>
      <c r="C12613" s="115"/>
      <c r="D12613" s="115"/>
      <c r="E12613" s="115"/>
    </row>
    <row r="12614" spans="1:5" ht="13">
      <c r="A12614" s="115"/>
      <c r="B12614" s="115"/>
      <c r="C12614" s="115"/>
      <c r="D12614" s="115"/>
      <c r="E12614" s="115"/>
    </row>
    <row r="12615" spans="1:5" ht="13">
      <c r="A12615" s="115"/>
      <c r="B12615" s="115"/>
      <c r="C12615" s="115"/>
      <c r="D12615" s="115"/>
      <c r="E12615" s="115"/>
    </row>
    <row r="12616" spans="1:5" ht="13">
      <c r="A12616" s="115"/>
      <c r="B12616" s="115"/>
      <c r="C12616" s="115"/>
      <c r="D12616" s="115"/>
      <c r="E12616" s="115"/>
    </row>
    <row r="12617" spans="1:5" ht="13">
      <c r="A12617" s="115"/>
      <c r="B12617" s="115"/>
      <c r="C12617" s="115"/>
      <c r="D12617" s="115"/>
      <c r="E12617" s="115"/>
    </row>
    <row r="12618" spans="1:5" ht="13">
      <c r="A12618" s="115"/>
      <c r="B12618" s="115"/>
      <c r="C12618" s="115"/>
      <c r="D12618" s="115"/>
      <c r="E12618" s="115"/>
    </row>
    <row r="12619" spans="1:5" ht="13">
      <c r="A12619" s="115"/>
      <c r="B12619" s="115"/>
      <c r="C12619" s="115"/>
      <c r="D12619" s="115"/>
      <c r="E12619" s="115"/>
    </row>
    <row r="12620" spans="1:5" ht="13">
      <c r="A12620" s="115"/>
      <c r="B12620" s="115"/>
      <c r="C12620" s="115"/>
      <c r="D12620" s="115"/>
      <c r="E12620" s="115"/>
    </row>
    <row r="12621" spans="1:5" ht="13">
      <c r="A12621" s="115"/>
      <c r="B12621" s="115"/>
      <c r="C12621" s="115"/>
      <c r="D12621" s="115"/>
      <c r="E12621" s="115"/>
    </row>
    <row r="12622" spans="1:5" ht="13">
      <c r="A12622" s="115"/>
      <c r="B12622" s="115"/>
      <c r="C12622" s="115"/>
      <c r="D12622" s="115"/>
      <c r="E12622" s="115"/>
    </row>
    <row r="12623" spans="1:5" ht="13">
      <c r="A12623" s="115"/>
      <c r="B12623" s="115"/>
      <c r="C12623" s="115"/>
      <c r="D12623" s="115"/>
      <c r="E12623" s="115"/>
    </row>
    <row r="12624" spans="1:5" ht="13">
      <c r="A12624" s="115"/>
      <c r="B12624" s="115"/>
      <c r="C12624" s="115"/>
      <c r="D12624" s="115"/>
      <c r="E12624" s="115"/>
    </row>
    <row r="12625" spans="1:5" ht="13">
      <c r="A12625" s="115"/>
      <c r="B12625" s="115"/>
      <c r="C12625" s="115"/>
      <c r="D12625" s="115"/>
      <c r="E12625" s="115"/>
    </row>
    <row r="12626" spans="1:5" ht="13">
      <c r="A12626" s="115"/>
      <c r="B12626" s="115"/>
      <c r="C12626" s="115"/>
      <c r="D12626" s="115"/>
      <c r="E12626" s="115"/>
    </row>
    <row r="12627" spans="1:5" ht="13">
      <c r="A12627" s="115"/>
      <c r="B12627" s="115"/>
      <c r="C12627" s="115"/>
      <c r="D12627" s="115"/>
      <c r="E12627" s="115"/>
    </row>
    <row r="12628" spans="1:5" ht="13">
      <c r="A12628" s="115"/>
      <c r="B12628" s="115"/>
      <c r="C12628" s="115"/>
      <c r="D12628" s="115"/>
      <c r="E12628" s="115"/>
    </row>
    <row r="12629" spans="1:5" ht="13">
      <c r="A12629" s="115"/>
      <c r="B12629" s="115"/>
      <c r="C12629" s="115"/>
      <c r="D12629" s="115"/>
      <c r="E12629" s="115"/>
    </row>
    <row r="12630" spans="1:5" ht="13">
      <c r="A12630" s="115"/>
      <c r="B12630" s="115"/>
      <c r="C12630" s="115"/>
      <c r="D12630" s="115"/>
      <c r="E12630" s="115"/>
    </row>
    <row r="12631" spans="1:5" ht="13">
      <c r="A12631" s="115"/>
      <c r="B12631" s="115"/>
      <c r="C12631" s="115"/>
      <c r="D12631" s="115"/>
      <c r="E12631" s="115"/>
    </row>
    <row r="12632" spans="1:5" ht="13">
      <c r="A12632" s="115"/>
      <c r="B12632" s="115"/>
      <c r="C12632" s="115"/>
      <c r="D12632" s="115"/>
      <c r="E12632" s="115"/>
    </row>
    <row r="12633" spans="1:5" ht="13">
      <c r="A12633" s="115"/>
      <c r="B12633" s="115"/>
      <c r="C12633" s="115"/>
      <c r="D12633" s="115"/>
      <c r="E12633" s="115"/>
    </row>
    <row r="12634" spans="1:5" ht="13">
      <c r="A12634" s="115"/>
      <c r="B12634" s="115"/>
      <c r="C12634" s="115"/>
      <c r="D12634" s="115"/>
      <c r="E12634" s="115"/>
    </row>
    <row r="12635" spans="1:5" ht="13">
      <c r="A12635" s="115"/>
      <c r="B12635" s="115"/>
      <c r="C12635" s="115"/>
      <c r="D12635" s="115"/>
      <c r="E12635" s="115"/>
    </row>
    <row r="12636" spans="1:5" ht="13">
      <c r="A12636" s="115"/>
      <c r="B12636" s="115"/>
      <c r="C12636" s="115"/>
      <c r="D12636" s="115"/>
      <c r="E12636" s="115"/>
    </row>
    <row r="12637" spans="1:5" ht="13">
      <c r="A12637" s="115"/>
      <c r="B12637" s="115"/>
      <c r="C12637" s="115"/>
      <c r="D12637" s="115"/>
      <c r="E12637" s="115"/>
    </row>
    <row r="12638" spans="1:5" ht="13">
      <c r="A12638" s="115"/>
      <c r="B12638" s="115"/>
      <c r="C12638" s="115"/>
      <c r="D12638" s="115"/>
      <c r="E12638" s="115"/>
    </row>
    <row r="12639" spans="1:5" ht="13">
      <c r="A12639" s="115"/>
      <c r="B12639" s="115"/>
      <c r="C12639" s="115"/>
      <c r="D12639" s="115"/>
      <c r="E12639" s="115"/>
    </row>
    <row r="12640" spans="1:5" ht="13">
      <c r="A12640" s="115"/>
      <c r="B12640" s="115"/>
      <c r="C12640" s="115"/>
      <c r="D12640" s="115"/>
      <c r="E12640" s="115"/>
    </row>
    <row r="12641" spans="1:5" ht="13">
      <c r="A12641" s="115"/>
      <c r="B12641" s="115"/>
      <c r="C12641" s="115"/>
      <c r="D12641" s="115"/>
      <c r="E12641" s="115"/>
    </row>
    <row r="12642" spans="1:5" ht="13">
      <c r="A12642" s="115"/>
      <c r="B12642" s="115"/>
      <c r="C12642" s="115"/>
      <c r="D12642" s="115"/>
      <c r="E12642" s="115"/>
    </row>
    <row r="12643" spans="1:5" ht="13">
      <c r="A12643" s="115"/>
      <c r="B12643" s="115"/>
      <c r="C12643" s="115"/>
      <c r="D12643" s="115"/>
      <c r="E12643" s="115"/>
    </row>
    <row r="12644" spans="1:5" ht="13">
      <c r="A12644" s="115"/>
      <c r="B12644" s="115"/>
      <c r="C12644" s="115"/>
      <c r="D12644" s="115"/>
      <c r="E12644" s="115"/>
    </row>
    <row r="12645" spans="1:5" ht="13">
      <c r="A12645" s="115"/>
      <c r="B12645" s="115"/>
      <c r="C12645" s="115"/>
      <c r="D12645" s="115"/>
      <c r="E12645" s="115"/>
    </row>
    <row r="12646" spans="1:5" ht="13">
      <c r="A12646" s="115"/>
      <c r="B12646" s="115"/>
      <c r="C12646" s="115"/>
      <c r="D12646" s="115"/>
      <c r="E12646" s="115"/>
    </row>
    <row r="12647" spans="1:5" ht="13">
      <c r="A12647" s="115"/>
      <c r="B12647" s="115"/>
      <c r="C12647" s="115"/>
      <c r="D12647" s="115"/>
      <c r="E12647" s="115"/>
    </row>
    <row r="12648" spans="1:5" ht="13">
      <c r="A12648" s="115"/>
      <c r="B12648" s="115"/>
      <c r="C12648" s="115"/>
      <c r="D12648" s="115"/>
      <c r="E12648" s="115"/>
    </row>
    <row r="12649" spans="1:5" ht="13">
      <c r="A12649" s="115"/>
      <c r="B12649" s="115"/>
      <c r="C12649" s="115"/>
      <c r="D12649" s="115"/>
      <c r="E12649" s="115"/>
    </row>
    <row r="12650" spans="1:5" ht="13">
      <c r="A12650" s="115"/>
      <c r="B12650" s="115"/>
      <c r="C12650" s="115"/>
      <c r="D12650" s="115"/>
      <c r="E12650" s="115"/>
    </row>
    <row r="12651" spans="1:5" ht="13">
      <c r="A12651" s="115"/>
      <c r="B12651" s="115"/>
      <c r="C12651" s="115"/>
      <c r="D12651" s="115"/>
      <c r="E12651" s="115"/>
    </row>
    <row r="12652" spans="1:5" ht="13">
      <c r="A12652" s="115"/>
      <c r="B12652" s="115"/>
      <c r="C12652" s="115"/>
      <c r="D12652" s="115"/>
      <c r="E12652" s="115"/>
    </row>
    <row r="12653" spans="1:5" ht="13">
      <c r="A12653" s="115"/>
      <c r="B12653" s="115"/>
      <c r="C12653" s="115"/>
      <c r="D12653" s="115"/>
      <c r="E12653" s="115"/>
    </row>
    <row r="12654" spans="1:5" ht="13">
      <c r="A12654" s="115"/>
      <c r="B12654" s="115"/>
      <c r="C12654" s="115"/>
      <c r="D12654" s="115"/>
      <c r="E12654" s="115"/>
    </row>
    <row r="12655" spans="1:5" ht="13">
      <c r="A12655" s="115"/>
      <c r="B12655" s="115"/>
      <c r="C12655" s="115"/>
      <c r="D12655" s="115"/>
      <c r="E12655" s="115"/>
    </row>
    <row r="12656" spans="1:5" ht="13">
      <c r="A12656" s="115"/>
      <c r="B12656" s="115"/>
      <c r="C12656" s="115"/>
      <c r="D12656" s="115"/>
      <c r="E12656" s="115"/>
    </row>
    <row r="12657" spans="1:5" ht="13">
      <c r="A12657" s="115"/>
      <c r="B12657" s="115"/>
      <c r="C12657" s="115"/>
      <c r="D12657" s="115"/>
      <c r="E12657" s="115"/>
    </row>
    <row r="12658" spans="1:5" ht="13">
      <c r="A12658" s="115"/>
      <c r="B12658" s="115"/>
      <c r="C12658" s="115"/>
      <c r="D12658" s="115"/>
      <c r="E12658" s="115"/>
    </row>
    <row r="12659" spans="1:5" ht="13">
      <c r="A12659" s="115"/>
      <c r="B12659" s="115"/>
      <c r="C12659" s="115"/>
      <c r="D12659" s="115"/>
      <c r="E12659" s="115"/>
    </row>
    <row r="12660" spans="1:5" ht="13">
      <c r="A12660" s="115"/>
      <c r="B12660" s="115"/>
      <c r="C12660" s="115"/>
      <c r="D12660" s="115"/>
      <c r="E12660" s="115"/>
    </row>
    <row r="12661" spans="1:5" ht="13">
      <c r="A12661" s="115"/>
      <c r="B12661" s="115"/>
      <c r="C12661" s="115"/>
      <c r="D12661" s="115"/>
      <c r="E12661" s="115"/>
    </row>
    <row r="12662" spans="1:5" ht="13">
      <c r="A12662" s="115"/>
      <c r="B12662" s="115"/>
      <c r="C12662" s="115"/>
      <c r="D12662" s="115"/>
      <c r="E12662" s="115"/>
    </row>
    <row r="12663" spans="1:5" ht="13">
      <c r="A12663" s="115"/>
      <c r="B12663" s="115"/>
      <c r="C12663" s="115"/>
      <c r="D12663" s="115"/>
      <c r="E12663" s="115"/>
    </row>
    <row r="12664" spans="1:5" ht="13">
      <c r="A12664" s="115"/>
      <c r="B12664" s="115"/>
      <c r="C12664" s="115"/>
      <c r="D12664" s="115"/>
      <c r="E12664" s="115"/>
    </row>
    <row r="12665" spans="1:5" ht="13">
      <c r="A12665" s="115"/>
      <c r="B12665" s="115"/>
      <c r="C12665" s="115"/>
      <c r="D12665" s="115"/>
      <c r="E12665" s="115"/>
    </row>
    <row r="12666" spans="1:5" ht="13">
      <c r="A12666" s="115"/>
      <c r="B12666" s="115"/>
      <c r="C12666" s="115"/>
      <c r="D12666" s="115"/>
      <c r="E12666" s="115"/>
    </row>
    <row r="12667" spans="1:5" ht="13">
      <c r="A12667" s="115"/>
      <c r="B12667" s="115"/>
      <c r="C12667" s="115"/>
      <c r="D12667" s="115"/>
      <c r="E12667" s="115"/>
    </row>
    <row r="12668" spans="1:5" ht="13">
      <c r="A12668" s="115"/>
      <c r="B12668" s="115"/>
      <c r="C12668" s="115"/>
      <c r="D12668" s="115"/>
      <c r="E12668" s="115"/>
    </row>
    <row r="12669" spans="1:5" ht="13">
      <c r="A12669" s="115"/>
      <c r="B12669" s="115"/>
      <c r="C12669" s="115"/>
      <c r="D12669" s="115"/>
      <c r="E12669" s="115"/>
    </row>
    <row r="12670" spans="1:5" ht="13">
      <c r="A12670" s="115"/>
      <c r="B12670" s="115"/>
      <c r="C12670" s="115"/>
      <c r="D12670" s="115"/>
      <c r="E12670" s="115"/>
    </row>
    <row r="12671" spans="1:5" ht="13">
      <c r="A12671" s="115"/>
      <c r="B12671" s="115"/>
      <c r="C12671" s="115"/>
      <c r="D12671" s="115"/>
      <c r="E12671" s="115"/>
    </row>
    <row r="12672" spans="1:5" ht="13">
      <c r="A12672" s="115"/>
      <c r="B12672" s="115"/>
      <c r="C12672" s="115"/>
      <c r="D12672" s="115"/>
      <c r="E12672" s="115"/>
    </row>
    <row r="12673" spans="1:5" ht="13">
      <c r="A12673" s="115"/>
      <c r="B12673" s="115"/>
      <c r="C12673" s="115"/>
      <c r="D12673" s="115"/>
      <c r="E12673" s="115"/>
    </row>
    <row r="12674" spans="1:5" ht="13">
      <c r="A12674" s="115"/>
      <c r="B12674" s="115"/>
      <c r="C12674" s="115"/>
      <c r="D12674" s="115"/>
      <c r="E12674" s="115"/>
    </row>
    <row r="12675" spans="1:5" ht="13">
      <c r="A12675" s="115"/>
      <c r="B12675" s="115"/>
      <c r="C12675" s="115"/>
      <c r="D12675" s="115"/>
      <c r="E12675" s="115"/>
    </row>
    <row r="12676" spans="1:5" ht="13">
      <c r="A12676" s="115"/>
      <c r="B12676" s="115"/>
      <c r="C12676" s="115"/>
      <c r="D12676" s="115"/>
      <c r="E12676" s="115"/>
    </row>
    <row r="12677" spans="1:5" ht="13">
      <c r="A12677" s="115"/>
      <c r="B12677" s="115"/>
      <c r="C12677" s="115"/>
      <c r="D12677" s="115"/>
      <c r="E12677" s="115"/>
    </row>
    <row r="12678" spans="1:5" ht="13">
      <c r="A12678" s="115"/>
      <c r="B12678" s="115"/>
      <c r="C12678" s="115"/>
      <c r="D12678" s="115"/>
      <c r="E12678" s="115"/>
    </row>
    <row r="12679" spans="1:5" ht="13">
      <c r="A12679" s="115"/>
      <c r="B12679" s="115"/>
      <c r="C12679" s="115"/>
      <c r="D12679" s="115"/>
      <c r="E12679" s="115"/>
    </row>
    <row r="12680" spans="1:5" ht="13">
      <c r="A12680" s="115"/>
      <c r="B12680" s="115"/>
      <c r="C12680" s="115"/>
      <c r="D12680" s="115"/>
      <c r="E12680" s="115"/>
    </row>
    <row r="12681" spans="1:5" ht="13">
      <c r="A12681" s="115"/>
      <c r="B12681" s="115"/>
      <c r="C12681" s="115"/>
      <c r="D12681" s="115"/>
      <c r="E12681" s="115"/>
    </row>
    <row r="12682" spans="1:5" ht="13">
      <c r="A12682" s="115"/>
      <c r="B12682" s="115"/>
      <c r="C12682" s="115"/>
      <c r="D12682" s="115"/>
      <c r="E12682" s="115"/>
    </row>
    <row r="12683" spans="1:5" ht="13">
      <c r="A12683" s="115"/>
      <c r="B12683" s="115"/>
      <c r="C12683" s="115"/>
      <c r="D12683" s="115"/>
      <c r="E12683" s="115"/>
    </row>
    <row r="12684" spans="1:5" ht="13">
      <c r="A12684" s="115"/>
      <c r="B12684" s="115"/>
      <c r="C12684" s="115"/>
      <c r="D12684" s="115"/>
      <c r="E12684" s="115"/>
    </row>
    <row r="12685" spans="1:5" ht="13">
      <c r="A12685" s="115"/>
      <c r="B12685" s="115"/>
      <c r="C12685" s="115"/>
      <c r="D12685" s="115"/>
      <c r="E12685" s="115"/>
    </row>
    <row r="12686" spans="1:5" ht="13">
      <c r="A12686" s="115"/>
      <c r="B12686" s="115"/>
      <c r="C12686" s="115"/>
      <c r="D12686" s="115"/>
      <c r="E12686" s="115"/>
    </row>
    <row r="12687" spans="1:5" ht="13">
      <c r="A12687" s="115"/>
      <c r="B12687" s="115"/>
      <c r="C12687" s="115"/>
      <c r="D12687" s="115"/>
      <c r="E12687" s="115"/>
    </row>
    <row r="12688" spans="1:5" ht="13">
      <c r="A12688" s="115"/>
      <c r="B12688" s="115"/>
      <c r="C12688" s="115"/>
      <c r="D12688" s="115"/>
      <c r="E12688" s="115"/>
    </row>
    <row r="12689" spans="1:5" ht="13">
      <c r="A12689" s="115"/>
      <c r="B12689" s="115"/>
      <c r="C12689" s="115"/>
      <c r="D12689" s="115"/>
      <c r="E12689" s="115"/>
    </row>
    <row r="12690" spans="1:5" ht="13">
      <c r="A12690" s="115"/>
      <c r="B12690" s="115"/>
      <c r="C12690" s="115"/>
      <c r="D12690" s="115"/>
      <c r="E12690" s="115"/>
    </row>
    <row r="12691" spans="1:5" ht="13">
      <c r="A12691" s="115"/>
      <c r="B12691" s="115"/>
      <c r="C12691" s="115"/>
      <c r="D12691" s="115"/>
      <c r="E12691" s="115"/>
    </row>
    <row r="12692" spans="1:5" ht="13">
      <c r="A12692" s="115"/>
      <c r="B12692" s="115"/>
      <c r="C12692" s="115"/>
      <c r="D12692" s="115"/>
      <c r="E12692" s="115"/>
    </row>
    <row r="12693" spans="1:5" ht="13">
      <c r="A12693" s="115"/>
      <c r="B12693" s="115"/>
      <c r="C12693" s="115"/>
      <c r="D12693" s="115"/>
      <c r="E12693" s="115"/>
    </row>
    <row r="12694" spans="1:5" ht="13">
      <c r="A12694" s="115"/>
      <c r="B12694" s="115"/>
      <c r="C12694" s="115"/>
      <c r="D12694" s="115"/>
      <c r="E12694" s="115"/>
    </row>
    <row r="12695" spans="1:5" ht="13">
      <c r="A12695" s="115"/>
      <c r="B12695" s="115"/>
      <c r="C12695" s="115"/>
      <c r="D12695" s="115"/>
      <c r="E12695" s="115"/>
    </row>
    <row r="12696" spans="1:5" ht="13">
      <c r="A12696" s="115"/>
      <c r="B12696" s="115"/>
      <c r="C12696" s="115"/>
      <c r="D12696" s="115"/>
      <c r="E12696" s="115"/>
    </row>
    <row r="12697" spans="1:5" ht="13">
      <c r="A12697" s="115"/>
      <c r="B12697" s="115"/>
      <c r="C12697" s="115"/>
      <c r="D12697" s="115"/>
      <c r="E12697" s="115"/>
    </row>
    <row r="12698" spans="1:5" ht="13">
      <c r="A12698" s="115"/>
      <c r="B12698" s="115"/>
      <c r="C12698" s="115"/>
      <c r="D12698" s="115"/>
      <c r="E12698" s="115"/>
    </row>
    <row r="12699" spans="1:5" ht="13">
      <c r="A12699" s="115"/>
      <c r="B12699" s="115"/>
      <c r="C12699" s="115"/>
      <c r="D12699" s="115"/>
      <c r="E12699" s="115"/>
    </row>
    <row r="12700" spans="1:5" ht="13">
      <c r="A12700" s="115"/>
      <c r="B12700" s="115"/>
      <c r="C12700" s="115"/>
      <c r="D12700" s="115"/>
      <c r="E12700" s="115"/>
    </row>
    <row r="12701" spans="1:5" ht="13">
      <c r="A12701" s="115"/>
      <c r="B12701" s="115"/>
      <c r="C12701" s="115"/>
      <c r="D12701" s="115"/>
      <c r="E12701" s="115"/>
    </row>
    <row r="12702" spans="1:5" ht="13">
      <c r="A12702" s="115"/>
      <c r="B12702" s="115"/>
      <c r="C12702" s="115"/>
      <c r="D12702" s="115"/>
      <c r="E12702" s="115"/>
    </row>
    <row r="12703" spans="1:5" ht="13">
      <c r="A12703" s="115"/>
      <c r="B12703" s="115"/>
      <c r="C12703" s="115"/>
      <c r="D12703" s="115"/>
      <c r="E12703" s="115"/>
    </row>
    <row r="12704" spans="1:5" ht="13">
      <c r="A12704" s="115"/>
      <c r="B12704" s="115"/>
      <c r="C12704" s="115"/>
      <c r="D12704" s="115"/>
      <c r="E12704" s="115"/>
    </row>
    <row r="12705" spans="1:5" ht="13">
      <c r="A12705" s="115"/>
      <c r="B12705" s="115"/>
      <c r="C12705" s="115"/>
      <c r="D12705" s="115"/>
      <c r="E12705" s="115"/>
    </row>
    <row r="12706" spans="1:5" ht="13">
      <c r="A12706" s="115"/>
      <c r="B12706" s="115"/>
      <c r="C12706" s="115"/>
      <c r="D12706" s="115"/>
      <c r="E12706" s="115"/>
    </row>
    <row r="12707" spans="1:5" ht="13">
      <c r="A12707" s="115"/>
      <c r="B12707" s="115"/>
      <c r="C12707" s="115"/>
      <c r="D12707" s="115"/>
      <c r="E12707" s="115"/>
    </row>
    <row r="12708" spans="1:5" ht="13">
      <c r="A12708" s="115"/>
      <c r="B12708" s="115"/>
      <c r="C12708" s="115"/>
      <c r="D12708" s="115"/>
      <c r="E12708" s="115"/>
    </row>
    <row r="12709" spans="1:5" ht="13">
      <c r="A12709" s="115"/>
      <c r="B12709" s="115"/>
      <c r="C12709" s="115"/>
      <c r="D12709" s="115"/>
      <c r="E12709" s="115"/>
    </row>
    <row r="12710" spans="1:5" ht="13">
      <c r="A12710" s="115"/>
      <c r="B12710" s="115"/>
      <c r="C12710" s="115"/>
      <c r="D12710" s="115"/>
      <c r="E12710" s="115"/>
    </row>
    <row r="12711" spans="1:5" ht="13">
      <c r="A12711" s="115"/>
      <c r="B12711" s="115"/>
      <c r="C12711" s="115"/>
      <c r="D12711" s="115"/>
      <c r="E12711" s="115"/>
    </row>
    <row r="12712" spans="1:5" ht="13">
      <c r="A12712" s="115"/>
      <c r="B12712" s="115"/>
      <c r="C12712" s="115"/>
      <c r="D12712" s="115"/>
      <c r="E12712" s="115"/>
    </row>
    <row r="12713" spans="1:5" ht="13">
      <c r="A12713" s="115"/>
      <c r="B12713" s="115"/>
      <c r="C12713" s="115"/>
      <c r="D12713" s="115"/>
      <c r="E12713" s="115"/>
    </row>
    <row r="12714" spans="1:5" ht="13">
      <c r="A12714" s="115"/>
      <c r="B12714" s="115"/>
      <c r="C12714" s="115"/>
      <c r="D12714" s="115"/>
      <c r="E12714" s="115"/>
    </row>
    <row r="12715" spans="1:5" ht="13">
      <c r="A12715" s="115"/>
      <c r="B12715" s="115"/>
      <c r="C12715" s="115"/>
      <c r="D12715" s="115"/>
      <c r="E12715" s="115"/>
    </row>
    <row r="12716" spans="1:5" ht="13">
      <c r="A12716" s="115"/>
      <c r="B12716" s="115"/>
      <c r="C12716" s="115"/>
      <c r="D12716" s="115"/>
      <c r="E12716" s="115"/>
    </row>
    <row r="12717" spans="1:5" ht="13">
      <c r="A12717" s="115"/>
      <c r="B12717" s="115"/>
      <c r="C12717" s="115"/>
      <c r="D12717" s="115"/>
      <c r="E12717" s="115"/>
    </row>
    <row r="12718" spans="1:5" ht="13">
      <c r="A12718" s="115"/>
      <c r="B12718" s="115"/>
      <c r="C12718" s="115"/>
      <c r="D12718" s="115"/>
      <c r="E12718" s="115"/>
    </row>
    <row r="12719" spans="1:5" ht="13">
      <c r="A12719" s="115"/>
      <c r="B12719" s="115"/>
      <c r="C12719" s="115"/>
      <c r="D12719" s="115"/>
      <c r="E12719" s="115"/>
    </row>
    <row r="12720" spans="1:5" ht="13">
      <c r="A12720" s="115"/>
      <c r="B12720" s="115"/>
      <c r="C12720" s="115"/>
      <c r="D12720" s="115"/>
      <c r="E12720" s="115"/>
    </row>
    <row r="12721" spans="1:5" ht="13">
      <c r="A12721" s="115"/>
      <c r="B12721" s="115"/>
      <c r="C12721" s="115"/>
      <c r="D12721" s="115"/>
      <c r="E12721" s="115"/>
    </row>
    <row r="12722" spans="1:5" ht="13">
      <c r="A12722" s="115"/>
      <c r="B12722" s="115"/>
      <c r="C12722" s="115"/>
      <c r="D12722" s="115"/>
      <c r="E12722" s="115"/>
    </row>
    <row r="12723" spans="1:5" ht="13">
      <c r="A12723" s="115"/>
      <c r="B12723" s="115"/>
      <c r="C12723" s="115"/>
      <c r="D12723" s="115"/>
      <c r="E12723" s="115"/>
    </row>
    <row r="12724" spans="1:5" ht="13">
      <c r="A12724" s="115"/>
      <c r="B12724" s="115"/>
      <c r="C12724" s="115"/>
      <c r="D12724" s="115"/>
      <c r="E12724" s="115"/>
    </row>
    <row r="12725" spans="1:5" ht="13">
      <c r="A12725" s="115"/>
      <c r="B12725" s="115"/>
      <c r="C12725" s="115"/>
      <c r="D12725" s="115"/>
      <c r="E12725" s="115"/>
    </row>
    <row r="12726" spans="1:5" ht="13">
      <c r="A12726" s="115"/>
      <c r="B12726" s="115"/>
      <c r="C12726" s="115"/>
      <c r="D12726" s="115"/>
      <c r="E12726" s="115"/>
    </row>
    <row r="12727" spans="1:5" ht="13">
      <c r="A12727" s="115"/>
      <c r="B12727" s="115"/>
      <c r="C12727" s="115"/>
      <c r="D12727" s="115"/>
      <c r="E12727" s="115"/>
    </row>
    <row r="12728" spans="1:5" ht="13">
      <c r="A12728" s="115"/>
      <c r="B12728" s="115"/>
      <c r="C12728" s="115"/>
      <c r="D12728" s="115"/>
      <c r="E12728" s="115"/>
    </row>
    <row r="12729" spans="1:5" ht="13">
      <c r="A12729" s="115"/>
      <c r="B12729" s="115"/>
      <c r="C12729" s="115"/>
      <c r="D12729" s="115"/>
      <c r="E12729" s="115"/>
    </row>
    <row r="12730" spans="1:5" ht="13">
      <c r="A12730" s="115"/>
      <c r="B12730" s="115"/>
      <c r="C12730" s="115"/>
      <c r="D12730" s="115"/>
      <c r="E12730" s="115"/>
    </row>
    <row r="12731" spans="1:5" ht="13">
      <c r="A12731" s="115"/>
      <c r="B12731" s="115"/>
      <c r="C12731" s="115"/>
      <c r="D12731" s="115"/>
      <c r="E12731" s="115"/>
    </row>
    <row r="12732" spans="1:5" ht="13">
      <c r="A12732" s="115"/>
      <c r="B12732" s="115"/>
      <c r="C12732" s="115"/>
      <c r="D12732" s="115"/>
      <c r="E12732" s="115"/>
    </row>
    <row r="12733" spans="1:5" ht="13">
      <c r="A12733" s="115"/>
      <c r="B12733" s="115"/>
      <c r="C12733" s="115"/>
      <c r="D12733" s="115"/>
      <c r="E12733" s="115"/>
    </row>
    <row r="12734" spans="1:5" ht="13">
      <c r="A12734" s="115"/>
      <c r="B12734" s="115"/>
      <c r="C12734" s="115"/>
      <c r="D12734" s="115"/>
      <c r="E12734" s="115"/>
    </row>
    <row r="12735" spans="1:5" ht="13">
      <c r="A12735" s="115"/>
      <c r="B12735" s="115"/>
      <c r="C12735" s="115"/>
      <c r="D12735" s="115"/>
      <c r="E12735" s="115"/>
    </row>
    <row r="12736" spans="1:5" ht="13">
      <c r="A12736" s="115"/>
      <c r="B12736" s="115"/>
      <c r="C12736" s="115"/>
      <c r="D12736" s="115"/>
      <c r="E12736" s="115"/>
    </row>
    <row r="12737" spans="1:5" ht="13">
      <c r="A12737" s="115"/>
      <c r="B12737" s="115"/>
      <c r="C12737" s="115"/>
      <c r="D12737" s="115"/>
      <c r="E12737" s="115"/>
    </row>
    <row r="12738" spans="1:5" ht="13">
      <c r="A12738" s="115"/>
      <c r="B12738" s="115"/>
      <c r="C12738" s="115"/>
      <c r="D12738" s="115"/>
      <c r="E12738" s="115"/>
    </row>
    <row r="12739" spans="1:5" ht="13">
      <c r="A12739" s="115"/>
      <c r="B12739" s="115"/>
      <c r="C12739" s="115"/>
      <c r="D12739" s="115"/>
      <c r="E12739" s="115"/>
    </row>
    <row r="12740" spans="1:5" ht="13">
      <c r="A12740" s="115"/>
      <c r="B12740" s="115"/>
      <c r="C12740" s="115"/>
      <c r="D12740" s="115"/>
      <c r="E12740" s="115"/>
    </row>
    <row r="12741" spans="1:5" ht="13">
      <c r="A12741" s="115"/>
      <c r="B12741" s="115"/>
      <c r="C12741" s="115"/>
      <c r="D12741" s="115"/>
      <c r="E12741" s="115"/>
    </row>
    <row r="12742" spans="1:5" ht="13">
      <c r="A12742" s="115"/>
      <c r="B12742" s="115"/>
      <c r="C12742" s="115"/>
      <c r="D12742" s="115"/>
      <c r="E12742" s="115"/>
    </row>
    <row r="12743" spans="1:5" ht="13">
      <c r="A12743" s="115"/>
      <c r="B12743" s="115"/>
      <c r="C12743" s="115"/>
      <c r="D12743" s="115"/>
      <c r="E12743" s="115"/>
    </row>
    <row r="12744" spans="1:5" ht="13">
      <c r="A12744" s="115"/>
      <c r="B12744" s="115"/>
      <c r="C12744" s="115"/>
      <c r="D12744" s="115"/>
      <c r="E12744" s="115"/>
    </row>
    <row r="12745" spans="1:5" ht="13">
      <c r="A12745" s="115"/>
      <c r="B12745" s="115"/>
      <c r="C12745" s="115"/>
      <c r="D12745" s="115"/>
      <c r="E12745" s="115"/>
    </row>
    <row r="12746" spans="1:5" ht="13">
      <c r="A12746" s="115"/>
      <c r="B12746" s="115"/>
      <c r="C12746" s="115"/>
      <c r="D12746" s="115"/>
      <c r="E12746" s="115"/>
    </row>
    <row r="12747" spans="1:5" ht="13">
      <c r="A12747" s="115"/>
      <c r="B12747" s="115"/>
      <c r="C12747" s="115"/>
      <c r="D12747" s="115"/>
      <c r="E12747" s="115"/>
    </row>
    <row r="12748" spans="1:5" ht="13">
      <c r="A12748" s="115"/>
      <c r="B12748" s="115"/>
      <c r="C12748" s="115"/>
      <c r="D12748" s="115"/>
      <c r="E12748" s="115"/>
    </row>
    <row r="12749" spans="1:5" ht="13">
      <c r="A12749" s="115"/>
      <c r="B12749" s="115"/>
      <c r="C12749" s="115"/>
      <c r="D12749" s="115"/>
      <c r="E12749" s="115"/>
    </row>
    <row r="12750" spans="1:5" ht="13">
      <c r="A12750" s="115"/>
      <c r="B12750" s="115"/>
      <c r="C12750" s="115"/>
      <c r="D12750" s="115"/>
      <c r="E12750" s="115"/>
    </row>
    <row r="12751" spans="1:5" ht="13">
      <c r="A12751" s="115"/>
      <c r="B12751" s="115"/>
      <c r="C12751" s="115"/>
      <c r="D12751" s="115"/>
      <c r="E12751" s="115"/>
    </row>
    <row r="12752" spans="1:5" ht="13">
      <c r="A12752" s="115"/>
      <c r="B12752" s="115"/>
      <c r="C12752" s="115"/>
      <c r="D12752" s="115"/>
      <c r="E12752" s="115"/>
    </row>
    <row r="12753" spans="1:5" ht="13">
      <c r="A12753" s="115"/>
      <c r="B12753" s="115"/>
      <c r="C12753" s="115"/>
      <c r="D12753" s="115"/>
      <c r="E12753" s="115"/>
    </row>
    <row r="12754" spans="1:5" ht="13">
      <c r="A12754" s="115"/>
      <c r="B12754" s="115"/>
      <c r="C12754" s="115"/>
      <c r="D12754" s="115"/>
      <c r="E12754" s="115"/>
    </row>
    <row r="12755" spans="1:5" ht="13">
      <c r="A12755" s="115"/>
      <c r="B12755" s="115"/>
      <c r="C12755" s="115"/>
      <c r="D12755" s="115"/>
      <c r="E12755" s="115"/>
    </row>
    <row r="12756" spans="1:5" ht="13">
      <c r="A12756" s="115"/>
      <c r="B12756" s="115"/>
      <c r="C12756" s="115"/>
      <c r="D12756" s="115"/>
      <c r="E12756" s="115"/>
    </row>
    <row r="12757" spans="1:5" ht="13">
      <c r="A12757" s="115"/>
      <c r="B12757" s="115"/>
      <c r="C12757" s="115"/>
      <c r="D12757" s="115"/>
      <c r="E12757" s="115"/>
    </row>
    <row r="12758" spans="1:5" ht="13">
      <c r="A12758" s="115"/>
      <c r="B12758" s="115"/>
      <c r="C12758" s="115"/>
      <c r="D12758" s="115"/>
      <c r="E12758" s="115"/>
    </row>
    <row r="12759" spans="1:5" ht="13">
      <c r="A12759" s="115"/>
      <c r="B12759" s="115"/>
      <c r="C12759" s="115"/>
      <c r="D12759" s="115"/>
      <c r="E12759" s="115"/>
    </row>
    <row r="12760" spans="1:5" ht="13">
      <c r="A12760" s="115"/>
      <c r="B12760" s="115"/>
      <c r="C12760" s="115"/>
      <c r="D12760" s="115"/>
      <c r="E12760" s="115"/>
    </row>
    <row r="12761" spans="1:5" ht="13">
      <c r="A12761" s="115"/>
      <c r="B12761" s="115"/>
      <c r="C12761" s="115"/>
      <c r="D12761" s="115"/>
      <c r="E12761" s="115"/>
    </row>
    <row r="12762" spans="1:5" ht="13">
      <c r="A12762" s="115"/>
      <c r="B12762" s="115"/>
      <c r="C12762" s="115"/>
      <c r="D12762" s="115"/>
      <c r="E12762" s="115"/>
    </row>
    <row r="12763" spans="1:5" ht="13">
      <c r="A12763" s="115"/>
      <c r="B12763" s="115"/>
      <c r="C12763" s="115"/>
      <c r="D12763" s="115"/>
      <c r="E12763" s="115"/>
    </row>
    <row r="12764" spans="1:5" ht="13">
      <c r="A12764" s="115"/>
      <c r="B12764" s="115"/>
      <c r="C12764" s="115"/>
      <c r="D12764" s="115"/>
      <c r="E12764" s="115"/>
    </row>
    <row r="12765" spans="1:5" ht="13">
      <c r="A12765" s="115"/>
      <c r="B12765" s="115"/>
      <c r="C12765" s="115"/>
      <c r="D12765" s="115"/>
      <c r="E12765" s="115"/>
    </row>
    <row r="12766" spans="1:5" ht="13">
      <c r="A12766" s="115"/>
      <c r="B12766" s="115"/>
      <c r="C12766" s="115"/>
      <c r="D12766" s="115"/>
      <c r="E12766" s="115"/>
    </row>
    <row r="12767" spans="1:5" ht="13">
      <c r="A12767" s="115"/>
      <c r="B12767" s="115"/>
      <c r="C12767" s="115"/>
      <c r="D12767" s="115"/>
      <c r="E12767" s="115"/>
    </row>
    <row r="12768" spans="1:5" ht="13">
      <c r="A12768" s="115"/>
      <c r="B12768" s="115"/>
      <c r="C12768" s="115"/>
      <c r="D12768" s="115"/>
      <c r="E12768" s="115"/>
    </row>
    <row r="12769" spans="1:5" ht="13">
      <c r="A12769" s="115"/>
      <c r="B12769" s="115"/>
      <c r="C12769" s="115"/>
      <c r="D12769" s="115"/>
      <c r="E12769" s="115"/>
    </row>
    <row r="12770" spans="1:5" ht="13">
      <c r="A12770" s="115"/>
      <c r="B12770" s="115"/>
      <c r="C12770" s="115"/>
      <c r="D12770" s="115"/>
      <c r="E12770" s="115"/>
    </row>
    <row r="12771" spans="1:5" ht="13">
      <c r="A12771" s="115"/>
      <c r="B12771" s="115"/>
      <c r="C12771" s="115"/>
      <c r="D12771" s="115"/>
      <c r="E12771" s="115"/>
    </row>
    <row r="12772" spans="1:5" ht="13">
      <c r="A12772" s="115"/>
      <c r="B12772" s="115"/>
      <c r="C12772" s="115"/>
      <c r="D12772" s="115"/>
      <c r="E12772" s="115"/>
    </row>
    <row r="12773" spans="1:5" ht="13">
      <c r="A12773" s="115"/>
      <c r="B12773" s="115"/>
      <c r="C12773" s="115"/>
      <c r="D12773" s="115"/>
      <c r="E12773" s="115"/>
    </row>
    <row r="12774" spans="1:5" ht="13">
      <c r="A12774" s="115"/>
      <c r="B12774" s="115"/>
      <c r="C12774" s="115"/>
      <c r="D12774" s="115"/>
      <c r="E12774" s="115"/>
    </row>
    <row r="12775" spans="1:5" ht="13">
      <c r="A12775" s="115"/>
      <c r="B12775" s="115"/>
      <c r="C12775" s="115"/>
      <c r="D12775" s="115"/>
      <c r="E12775" s="115"/>
    </row>
    <row r="12776" spans="1:5" ht="13">
      <c r="A12776" s="115"/>
      <c r="B12776" s="115"/>
      <c r="C12776" s="115"/>
      <c r="D12776" s="115"/>
      <c r="E12776" s="115"/>
    </row>
    <row r="12777" spans="1:5" ht="13">
      <c r="A12777" s="115"/>
      <c r="B12777" s="115"/>
      <c r="C12777" s="115"/>
      <c r="D12777" s="115"/>
      <c r="E12777" s="115"/>
    </row>
    <row r="12778" spans="1:5" ht="13">
      <c r="A12778" s="115"/>
      <c r="B12778" s="115"/>
      <c r="C12778" s="115"/>
      <c r="D12778" s="115"/>
      <c r="E12778" s="115"/>
    </row>
    <row r="12779" spans="1:5" ht="13">
      <c r="A12779" s="115"/>
      <c r="B12779" s="115"/>
      <c r="C12779" s="115"/>
      <c r="D12779" s="115"/>
      <c r="E12779" s="115"/>
    </row>
    <row r="12780" spans="1:5" ht="13">
      <c r="A12780" s="115"/>
      <c r="B12780" s="115"/>
      <c r="C12780" s="115"/>
      <c r="D12780" s="115"/>
      <c r="E12780" s="115"/>
    </row>
    <row r="12781" spans="1:5" ht="13">
      <c r="A12781" s="115"/>
      <c r="B12781" s="115"/>
      <c r="C12781" s="115"/>
      <c r="D12781" s="115"/>
      <c r="E12781" s="115"/>
    </row>
    <row r="12782" spans="1:5" ht="13">
      <c r="A12782" s="115"/>
      <c r="B12782" s="115"/>
      <c r="C12782" s="115"/>
      <c r="D12782" s="115"/>
      <c r="E12782" s="115"/>
    </row>
    <row r="12783" spans="1:5" ht="13">
      <c r="A12783" s="115"/>
      <c r="B12783" s="115"/>
      <c r="C12783" s="115"/>
      <c r="D12783" s="115"/>
      <c r="E12783" s="115"/>
    </row>
    <row r="12784" spans="1:5" ht="13">
      <c r="A12784" s="115"/>
      <c r="B12784" s="115"/>
      <c r="C12784" s="115"/>
      <c r="D12784" s="115"/>
      <c r="E12784" s="115"/>
    </row>
    <row r="12785" spans="1:5" ht="13">
      <c r="A12785" s="115"/>
      <c r="B12785" s="115"/>
      <c r="C12785" s="115"/>
      <c r="D12785" s="115"/>
      <c r="E12785" s="115"/>
    </row>
    <row r="12786" spans="1:5" ht="13">
      <c r="A12786" s="115"/>
      <c r="B12786" s="115"/>
      <c r="C12786" s="115"/>
      <c r="D12786" s="115"/>
      <c r="E12786" s="115"/>
    </row>
    <row r="12787" spans="1:5" ht="13">
      <c r="A12787" s="115"/>
      <c r="B12787" s="115"/>
      <c r="C12787" s="115"/>
      <c r="D12787" s="115"/>
      <c r="E12787" s="115"/>
    </row>
    <row r="12788" spans="1:5" ht="13">
      <c r="A12788" s="115"/>
      <c r="B12788" s="115"/>
      <c r="C12788" s="115"/>
      <c r="D12788" s="115"/>
      <c r="E12788" s="115"/>
    </row>
    <row r="12789" spans="1:5" ht="13">
      <c r="A12789" s="115"/>
      <c r="B12789" s="115"/>
      <c r="C12789" s="115"/>
      <c r="D12789" s="115"/>
      <c r="E12789" s="115"/>
    </row>
    <row r="12790" spans="1:5" ht="13">
      <c r="A12790" s="115"/>
      <c r="B12790" s="115"/>
      <c r="C12790" s="115"/>
      <c r="D12790" s="115"/>
      <c r="E12790" s="115"/>
    </row>
    <row r="12791" spans="1:5" ht="13">
      <c r="A12791" s="115"/>
      <c r="B12791" s="115"/>
      <c r="C12791" s="115"/>
      <c r="D12791" s="115"/>
      <c r="E12791" s="115"/>
    </row>
    <row r="12792" spans="1:5" ht="13">
      <c r="A12792" s="115"/>
      <c r="B12792" s="115"/>
      <c r="C12792" s="115"/>
      <c r="D12792" s="115"/>
      <c r="E12792" s="115"/>
    </row>
    <row r="12793" spans="1:5" ht="13">
      <c r="A12793" s="115"/>
      <c r="B12793" s="115"/>
      <c r="C12793" s="115"/>
      <c r="D12793" s="115"/>
      <c r="E12793" s="115"/>
    </row>
    <row r="12794" spans="1:5" ht="13">
      <c r="A12794" s="115"/>
      <c r="B12794" s="115"/>
      <c r="C12794" s="115"/>
      <c r="D12794" s="115"/>
      <c r="E12794" s="115"/>
    </row>
    <row r="12795" spans="1:5" ht="13">
      <c r="A12795" s="115"/>
      <c r="B12795" s="115"/>
      <c r="C12795" s="115"/>
      <c r="D12795" s="115"/>
      <c r="E12795" s="115"/>
    </row>
    <row r="12796" spans="1:5" ht="13">
      <c r="A12796" s="115"/>
      <c r="B12796" s="115"/>
      <c r="C12796" s="115"/>
      <c r="D12796" s="115"/>
      <c r="E12796" s="115"/>
    </row>
    <row r="12797" spans="1:5" ht="13">
      <c r="A12797" s="115"/>
      <c r="B12797" s="115"/>
      <c r="C12797" s="115"/>
      <c r="D12797" s="115"/>
      <c r="E12797" s="115"/>
    </row>
    <row r="12798" spans="1:5" ht="13">
      <c r="A12798" s="115"/>
      <c r="B12798" s="115"/>
      <c r="C12798" s="115"/>
      <c r="D12798" s="115"/>
      <c r="E12798" s="115"/>
    </row>
    <row r="12799" spans="1:5" ht="13">
      <c r="A12799" s="115"/>
      <c r="B12799" s="115"/>
      <c r="C12799" s="115"/>
      <c r="D12799" s="115"/>
      <c r="E12799" s="115"/>
    </row>
    <row r="12800" spans="1:5" ht="13">
      <c r="A12800" s="115"/>
      <c r="B12800" s="115"/>
      <c r="C12800" s="115"/>
      <c r="D12800" s="115"/>
      <c r="E12800" s="115"/>
    </row>
    <row r="12801" spans="1:5" ht="13">
      <c r="A12801" s="115"/>
      <c r="B12801" s="115"/>
      <c r="C12801" s="115"/>
      <c r="D12801" s="115"/>
      <c r="E12801" s="115"/>
    </row>
    <row r="12802" spans="1:5" ht="13">
      <c r="A12802" s="115"/>
      <c r="B12802" s="115"/>
      <c r="C12802" s="115"/>
      <c r="D12802" s="115"/>
      <c r="E12802" s="115"/>
    </row>
    <row r="12803" spans="1:5" ht="13">
      <c r="A12803" s="115"/>
      <c r="B12803" s="115"/>
      <c r="C12803" s="115"/>
      <c r="D12803" s="115"/>
      <c r="E12803" s="115"/>
    </row>
    <row r="12804" spans="1:5" ht="13">
      <c r="A12804" s="115"/>
      <c r="B12804" s="115"/>
      <c r="C12804" s="115"/>
      <c r="D12804" s="115"/>
      <c r="E12804" s="115"/>
    </row>
    <row r="12805" spans="1:5" ht="13">
      <c r="A12805" s="115"/>
      <c r="B12805" s="115"/>
      <c r="C12805" s="115"/>
      <c r="D12805" s="115"/>
      <c r="E12805" s="115"/>
    </row>
    <row r="12806" spans="1:5" ht="13">
      <c r="A12806" s="115"/>
      <c r="B12806" s="115"/>
      <c r="C12806" s="115"/>
      <c r="D12806" s="115"/>
      <c r="E12806" s="115"/>
    </row>
    <row r="12807" spans="1:5" ht="13">
      <c r="A12807" s="115"/>
      <c r="B12807" s="115"/>
      <c r="C12807" s="115"/>
      <c r="D12807" s="115"/>
      <c r="E12807" s="115"/>
    </row>
    <row r="12808" spans="1:5" ht="13">
      <c r="A12808" s="115"/>
      <c r="B12808" s="115"/>
      <c r="C12808" s="115"/>
      <c r="D12808" s="115"/>
      <c r="E12808" s="115"/>
    </row>
    <row r="12809" spans="1:5" ht="13">
      <c r="A12809" s="115"/>
      <c r="B12809" s="115"/>
      <c r="C12809" s="115"/>
      <c r="D12809" s="115"/>
      <c r="E12809" s="115"/>
    </row>
    <row r="12810" spans="1:5" ht="13">
      <c r="A12810" s="115"/>
      <c r="B12810" s="115"/>
      <c r="C12810" s="115"/>
      <c r="D12810" s="115"/>
      <c r="E12810" s="115"/>
    </row>
    <row r="12811" spans="1:5" ht="13">
      <c r="A12811" s="115"/>
      <c r="B12811" s="115"/>
      <c r="C12811" s="115"/>
      <c r="D12811" s="115"/>
      <c r="E12811" s="115"/>
    </row>
    <row r="12812" spans="1:5" ht="13">
      <c r="A12812" s="115"/>
      <c r="B12812" s="115"/>
      <c r="C12812" s="115"/>
      <c r="D12812" s="115"/>
      <c r="E12812" s="115"/>
    </row>
    <row r="12813" spans="1:5" ht="13">
      <c r="A12813" s="115"/>
      <c r="B12813" s="115"/>
      <c r="C12813" s="115"/>
      <c r="D12813" s="115"/>
      <c r="E12813" s="115"/>
    </row>
    <row r="12814" spans="1:5" ht="13">
      <c r="A12814" s="115"/>
      <c r="B12814" s="115"/>
      <c r="C12814" s="115"/>
      <c r="D12814" s="115"/>
      <c r="E12814" s="115"/>
    </row>
    <row r="12815" spans="1:5" ht="13">
      <c r="A12815" s="115"/>
      <c r="B12815" s="115"/>
      <c r="C12815" s="115"/>
      <c r="D12815" s="115"/>
      <c r="E12815" s="115"/>
    </row>
    <row r="12816" spans="1:5" ht="13">
      <c r="A12816" s="115"/>
      <c r="B12816" s="115"/>
      <c r="C12816" s="115"/>
      <c r="D12816" s="115"/>
      <c r="E12816" s="115"/>
    </row>
    <row r="12817" spans="1:5" ht="13">
      <c r="A12817" s="115"/>
      <c r="B12817" s="115"/>
      <c r="C12817" s="115"/>
      <c r="D12817" s="115"/>
      <c r="E12817" s="115"/>
    </row>
    <row r="12818" spans="1:5" ht="13">
      <c r="A12818" s="115"/>
      <c r="B12818" s="115"/>
      <c r="C12818" s="115"/>
      <c r="D12818" s="115"/>
      <c r="E12818" s="115"/>
    </row>
    <row r="12819" spans="1:5" ht="13">
      <c r="A12819" s="115"/>
      <c r="B12819" s="115"/>
      <c r="C12819" s="115"/>
      <c r="D12819" s="115"/>
      <c r="E12819" s="115"/>
    </row>
    <row r="12820" spans="1:5" ht="13">
      <c r="A12820" s="115"/>
      <c r="B12820" s="115"/>
      <c r="C12820" s="115"/>
      <c r="D12820" s="115"/>
      <c r="E12820" s="115"/>
    </row>
    <row r="12821" spans="1:5" ht="13">
      <c r="A12821" s="115"/>
      <c r="B12821" s="115"/>
      <c r="C12821" s="115"/>
      <c r="D12821" s="115"/>
      <c r="E12821" s="115"/>
    </row>
    <row r="12822" spans="1:5" ht="13">
      <c r="A12822" s="115"/>
      <c r="B12822" s="115"/>
      <c r="C12822" s="115"/>
      <c r="D12822" s="115"/>
      <c r="E12822" s="115"/>
    </row>
    <row r="12823" spans="1:5" ht="13">
      <c r="A12823" s="115"/>
      <c r="B12823" s="115"/>
      <c r="C12823" s="115"/>
      <c r="D12823" s="115"/>
      <c r="E12823" s="115"/>
    </row>
    <row r="12824" spans="1:5" ht="13">
      <c r="A12824" s="115"/>
      <c r="B12824" s="115"/>
      <c r="C12824" s="115"/>
      <c r="D12824" s="115"/>
      <c r="E12824" s="115"/>
    </row>
    <row r="12825" spans="1:5" ht="13">
      <c r="A12825" s="115"/>
      <c r="B12825" s="115"/>
      <c r="C12825" s="115"/>
      <c r="D12825" s="115"/>
      <c r="E12825" s="115"/>
    </row>
    <row r="12826" spans="1:5" ht="13">
      <c r="A12826" s="115"/>
      <c r="B12826" s="115"/>
      <c r="C12826" s="115"/>
      <c r="D12826" s="115"/>
      <c r="E12826" s="115"/>
    </row>
    <row r="12827" spans="1:5" ht="13">
      <c r="A12827" s="115"/>
      <c r="B12827" s="115"/>
      <c r="C12827" s="115"/>
      <c r="D12827" s="115"/>
      <c r="E12827" s="115"/>
    </row>
    <row r="12828" spans="1:5" ht="13">
      <c r="A12828" s="115"/>
      <c r="B12828" s="115"/>
      <c r="C12828" s="115"/>
      <c r="D12828" s="115"/>
      <c r="E12828" s="115"/>
    </row>
    <row r="12829" spans="1:5" ht="13">
      <c r="A12829" s="115"/>
      <c r="B12829" s="115"/>
      <c r="C12829" s="115"/>
      <c r="D12829" s="115"/>
      <c r="E12829" s="115"/>
    </row>
    <row r="12830" spans="1:5" ht="13">
      <c r="A12830" s="115"/>
      <c r="B12830" s="115"/>
      <c r="C12830" s="115"/>
      <c r="D12830" s="115"/>
      <c r="E12830" s="115"/>
    </row>
    <row r="12831" spans="1:5" ht="13">
      <c r="A12831" s="115"/>
      <c r="B12831" s="115"/>
      <c r="C12831" s="115"/>
      <c r="D12831" s="115"/>
      <c r="E12831" s="115"/>
    </row>
    <row r="12832" spans="1:5" ht="13">
      <c r="A12832" s="115"/>
      <c r="B12832" s="115"/>
      <c r="C12832" s="115"/>
      <c r="D12832" s="115"/>
      <c r="E12832" s="115"/>
    </row>
    <row r="12833" spans="1:5" ht="13">
      <c r="A12833" s="115"/>
      <c r="B12833" s="115"/>
      <c r="C12833" s="115"/>
      <c r="D12833" s="115"/>
      <c r="E12833" s="115"/>
    </row>
    <row r="12834" spans="1:5" ht="13">
      <c r="A12834" s="115"/>
      <c r="B12834" s="115"/>
      <c r="C12834" s="115"/>
      <c r="D12834" s="115"/>
      <c r="E12834" s="115"/>
    </row>
    <row r="12835" spans="1:5" ht="13">
      <c r="A12835" s="115"/>
      <c r="B12835" s="115"/>
      <c r="C12835" s="115"/>
      <c r="D12835" s="115"/>
      <c r="E12835" s="115"/>
    </row>
    <row r="12836" spans="1:5" ht="13">
      <c r="A12836" s="115"/>
      <c r="B12836" s="115"/>
      <c r="C12836" s="115"/>
      <c r="D12836" s="115"/>
      <c r="E12836" s="115"/>
    </row>
    <row r="12837" spans="1:5" ht="13">
      <c r="A12837" s="115"/>
      <c r="B12837" s="115"/>
      <c r="C12837" s="115"/>
      <c r="D12837" s="115"/>
      <c r="E12837" s="115"/>
    </row>
    <row r="12838" spans="1:5" ht="13">
      <c r="A12838" s="115"/>
      <c r="B12838" s="115"/>
      <c r="C12838" s="115"/>
      <c r="D12838" s="115"/>
      <c r="E12838" s="115"/>
    </row>
    <row r="12839" spans="1:5" ht="13">
      <c r="A12839" s="115"/>
      <c r="B12839" s="115"/>
      <c r="C12839" s="115"/>
      <c r="D12839" s="115"/>
      <c r="E12839" s="115"/>
    </row>
    <row r="12840" spans="1:5" ht="13">
      <c r="A12840" s="115"/>
      <c r="B12840" s="115"/>
      <c r="C12840" s="115"/>
      <c r="D12840" s="115"/>
      <c r="E12840" s="115"/>
    </row>
    <row r="12841" spans="1:5" ht="13">
      <c r="A12841" s="115"/>
      <c r="B12841" s="115"/>
      <c r="C12841" s="115"/>
      <c r="D12841" s="115"/>
      <c r="E12841" s="115"/>
    </row>
    <row r="12842" spans="1:5" ht="13">
      <c r="A12842" s="115"/>
      <c r="B12842" s="115"/>
      <c r="C12842" s="115"/>
      <c r="D12842" s="115"/>
      <c r="E12842" s="115"/>
    </row>
    <row r="12843" spans="1:5" ht="13">
      <c r="A12843" s="115"/>
      <c r="B12843" s="115"/>
      <c r="C12843" s="115"/>
      <c r="D12843" s="115"/>
      <c r="E12843" s="115"/>
    </row>
    <row r="12844" spans="1:5" ht="13">
      <c r="A12844" s="115"/>
      <c r="B12844" s="115"/>
      <c r="C12844" s="115"/>
      <c r="D12844" s="115"/>
      <c r="E12844" s="115"/>
    </row>
    <row r="12845" spans="1:5" ht="13">
      <c r="A12845" s="115"/>
      <c r="B12845" s="115"/>
      <c r="C12845" s="115"/>
      <c r="D12845" s="115"/>
      <c r="E12845" s="115"/>
    </row>
    <row r="12846" spans="1:5" ht="13">
      <c r="A12846" s="115"/>
      <c r="B12846" s="115"/>
      <c r="C12846" s="115"/>
      <c r="D12846" s="115"/>
      <c r="E12846" s="115"/>
    </row>
    <row r="12847" spans="1:5" ht="13">
      <c r="A12847" s="115"/>
      <c r="B12847" s="115"/>
      <c r="C12847" s="115"/>
      <c r="D12847" s="115"/>
      <c r="E12847" s="115"/>
    </row>
    <row r="12848" spans="1:5" ht="13">
      <c r="A12848" s="115"/>
      <c r="B12848" s="115"/>
      <c r="C12848" s="115"/>
      <c r="D12848" s="115"/>
      <c r="E12848" s="115"/>
    </row>
    <row r="12849" spans="1:5" ht="13">
      <c r="A12849" s="115"/>
      <c r="B12849" s="115"/>
      <c r="C12849" s="115"/>
      <c r="D12849" s="115"/>
      <c r="E12849" s="115"/>
    </row>
    <row r="12850" spans="1:5" ht="13">
      <c r="A12850" s="115"/>
      <c r="B12850" s="115"/>
      <c r="C12850" s="115"/>
      <c r="D12850" s="115"/>
      <c r="E12850" s="115"/>
    </row>
    <row r="12851" spans="1:5" ht="13">
      <c r="A12851" s="115"/>
      <c r="B12851" s="115"/>
      <c r="C12851" s="115"/>
      <c r="D12851" s="115"/>
      <c r="E12851" s="115"/>
    </row>
    <row r="12852" spans="1:5" ht="13">
      <c r="A12852" s="115"/>
      <c r="B12852" s="115"/>
      <c r="C12852" s="115"/>
      <c r="D12852" s="115"/>
      <c r="E12852" s="115"/>
    </row>
    <row r="12853" spans="1:5" ht="13">
      <c r="A12853" s="115"/>
      <c r="B12853" s="115"/>
      <c r="C12853" s="115"/>
      <c r="D12853" s="115"/>
      <c r="E12853" s="115"/>
    </row>
    <row r="12854" spans="1:5" ht="13">
      <c r="A12854" s="115"/>
      <c r="B12854" s="115"/>
      <c r="C12854" s="115"/>
      <c r="D12854" s="115"/>
      <c r="E12854" s="115"/>
    </row>
    <row r="12855" spans="1:5" ht="13">
      <c r="A12855" s="115"/>
      <c r="B12855" s="115"/>
      <c r="C12855" s="115"/>
      <c r="D12855" s="115"/>
      <c r="E12855" s="115"/>
    </row>
    <row r="12856" spans="1:5" ht="13">
      <c r="A12856" s="115"/>
      <c r="B12856" s="115"/>
      <c r="C12856" s="115"/>
      <c r="D12856" s="115"/>
      <c r="E12856" s="115"/>
    </row>
    <row r="12857" spans="1:5" ht="13">
      <c r="A12857" s="115"/>
      <c r="B12857" s="115"/>
      <c r="C12857" s="115"/>
      <c r="D12857" s="115"/>
      <c r="E12857" s="115"/>
    </row>
    <row r="12858" spans="1:5" ht="13">
      <c r="A12858" s="115"/>
      <c r="B12858" s="115"/>
      <c r="C12858" s="115"/>
      <c r="D12858" s="115"/>
      <c r="E12858" s="115"/>
    </row>
    <row r="12859" spans="1:5" ht="13">
      <c r="A12859" s="115"/>
      <c r="B12859" s="115"/>
      <c r="C12859" s="115"/>
      <c r="D12859" s="115"/>
      <c r="E12859" s="115"/>
    </row>
    <row r="12860" spans="1:5" ht="13">
      <c r="A12860" s="115"/>
      <c r="B12860" s="115"/>
      <c r="C12860" s="115"/>
      <c r="D12860" s="115"/>
      <c r="E12860" s="115"/>
    </row>
    <row r="12861" spans="1:5" ht="13">
      <c r="A12861" s="115"/>
      <c r="B12861" s="115"/>
      <c r="C12861" s="115"/>
      <c r="D12861" s="115"/>
      <c r="E12861" s="115"/>
    </row>
    <row r="12862" spans="1:5" ht="13">
      <c r="A12862" s="115"/>
      <c r="B12862" s="115"/>
      <c r="C12862" s="115"/>
      <c r="D12862" s="115"/>
      <c r="E12862" s="115"/>
    </row>
    <row r="12863" spans="1:5" ht="13">
      <c r="A12863" s="115"/>
      <c r="B12863" s="115"/>
      <c r="C12863" s="115"/>
      <c r="D12863" s="115"/>
      <c r="E12863" s="115"/>
    </row>
    <row r="12864" spans="1:5" ht="13">
      <c r="A12864" s="115"/>
      <c r="B12864" s="115"/>
      <c r="C12864" s="115"/>
      <c r="D12864" s="115"/>
      <c r="E12864" s="115"/>
    </row>
    <row r="12865" spans="1:5" ht="13">
      <c r="A12865" s="115"/>
      <c r="B12865" s="115"/>
      <c r="C12865" s="115"/>
      <c r="D12865" s="115"/>
      <c r="E12865" s="115"/>
    </row>
    <row r="12866" spans="1:5" ht="13">
      <c r="A12866" s="115"/>
      <c r="B12866" s="115"/>
      <c r="C12866" s="115"/>
      <c r="D12866" s="115"/>
      <c r="E12866" s="115"/>
    </row>
    <row r="12867" spans="1:5" ht="13">
      <c r="A12867" s="115"/>
      <c r="B12867" s="115"/>
      <c r="C12867" s="115"/>
      <c r="D12867" s="115"/>
      <c r="E12867" s="115"/>
    </row>
    <row r="12868" spans="1:5" ht="13">
      <c r="A12868" s="115"/>
      <c r="B12868" s="115"/>
      <c r="C12868" s="115"/>
      <c r="D12868" s="115"/>
      <c r="E12868" s="115"/>
    </row>
    <row r="12869" spans="1:5" ht="13">
      <c r="A12869" s="115"/>
      <c r="B12869" s="115"/>
      <c r="C12869" s="115"/>
      <c r="D12869" s="115"/>
      <c r="E12869" s="115"/>
    </row>
    <row r="12870" spans="1:5" ht="13">
      <c r="A12870" s="115"/>
      <c r="B12870" s="115"/>
      <c r="C12870" s="115"/>
      <c r="D12870" s="115"/>
      <c r="E12870" s="115"/>
    </row>
    <row r="12871" spans="1:5" ht="13">
      <c r="A12871" s="115"/>
      <c r="B12871" s="115"/>
      <c r="C12871" s="115"/>
      <c r="D12871" s="115"/>
      <c r="E12871" s="115"/>
    </row>
    <row r="12872" spans="1:5" ht="13">
      <c r="A12872" s="115"/>
      <c r="B12872" s="115"/>
      <c r="C12872" s="115"/>
      <c r="D12872" s="115"/>
      <c r="E12872" s="115"/>
    </row>
    <row r="12873" spans="1:5" ht="13">
      <c r="A12873" s="115"/>
      <c r="B12873" s="115"/>
      <c r="C12873" s="115"/>
      <c r="D12873" s="115"/>
      <c r="E12873" s="115"/>
    </row>
    <row r="12874" spans="1:5" ht="13">
      <c r="A12874" s="115"/>
      <c r="B12874" s="115"/>
      <c r="C12874" s="115"/>
      <c r="D12874" s="115"/>
      <c r="E12874" s="115"/>
    </row>
    <row r="12875" spans="1:5" ht="13">
      <c r="A12875" s="115"/>
      <c r="B12875" s="115"/>
      <c r="C12875" s="115"/>
      <c r="D12875" s="115"/>
      <c r="E12875" s="115"/>
    </row>
    <row r="12876" spans="1:5" ht="13">
      <c r="A12876" s="115"/>
      <c r="B12876" s="115"/>
      <c r="C12876" s="115"/>
      <c r="D12876" s="115"/>
      <c r="E12876" s="115"/>
    </row>
    <row r="12877" spans="1:5" ht="13">
      <c r="A12877" s="115"/>
      <c r="B12877" s="115"/>
      <c r="C12877" s="115"/>
      <c r="D12877" s="115"/>
      <c r="E12877" s="115"/>
    </row>
    <row r="12878" spans="1:5" ht="13">
      <c r="A12878" s="115"/>
      <c r="B12878" s="115"/>
      <c r="C12878" s="115"/>
      <c r="D12878" s="115"/>
      <c r="E12878" s="115"/>
    </row>
    <row r="12879" spans="1:5" ht="13">
      <c r="A12879" s="115"/>
      <c r="B12879" s="115"/>
      <c r="C12879" s="115"/>
      <c r="D12879" s="115"/>
      <c r="E12879" s="115"/>
    </row>
    <row r="12880" spans="1:5" ht="13">
      <c r="A12880" s="115"/>
      <c r="B12880" s="115"/>
      <c r="C12880" s="115"/>
      <c r="D12880" s="115"/>
      <c r="E12880" s="115"/>
    </row>
    <row r="12881" spans="1:5" ht="13">
      <c r="A12881" s="115"/>
      <c r="B12881" s="115"/>
      <c r="C12881" s="115"/>
      <c r="D12881" s="115"/>
      <c r="E12881" s="115"/>
    </row>
    <row r="12882" spans="1:5" ht="13">
      <c r="A12882" s="115"/>
      <c r="B12882" s="115"/>
      <c r="C12882" s="115"/>
      <c r="D12882" s="115"/>
      <c r="E12882" s="115"/>
    </row>
    <row r="12883" spans="1:5" ht="13">
      <c r="A12883" s="115"/>
      <c r="B12883" s="115"/>
      <c r="C12883" s="115"/>
      <c r="D12883" s="115"/>
      <c r="E12883" s="115"/>
    </row>
    <row r="12884" spans="1:5" ht="13">
      <c r="A12884" s="115"/>
      <c r="B12884" s="115"/>
      <c r="C12884" s="115"/>
      <c r="D12884" s="115"/>
      <c r="E12884" s="115"/>
    </row>
    <row r="12885" spans="1:5" ht="13">
      <c r="A12885" s="115"/>
      <c r="B12885" s="115"/>
      <c r="C12885" s="115"/>
      <c r="D12885" s="115"/>
      <c r="E12885" s="115"/>
    </row>
    <row r="12886" spans="1:5" ht="13">
      <c r="A12886" s="115"/>
      <c r="B12886" s="115"/>
      <c r="C12886" s="115"/>
      <c r="D12886" s="115"/>
      <c r="E12886" s="115"/>
    </row>
    <row r="12887" spans="1:5" ht="13">
      <c r="A12887" s="115"/>
      <c r="B12887" s="115"/>
      <c r="C12887" s="115"/>
      <c r="D12887" s="115"/>
      <c r="E12887" s="115"/>
    </row>
    <row r="12888" spans="1:5" ht="13">
      <c r="A12888" s="115"/>
      <c r="B12888" s="115"/>
      <c r="C12888" s="115"/>
      <c r="D12888" s="115"/>
      <c r="E12888" s="115"/>
    </row>
    <row r="12889" spans="1:5" ht="13">
      <c r="A12889" s="115"/>
      <c r="B12889" s="115"/>
      <c r="C12889" s="115"/>
      <c r="D12889" s="115"/>
      <c r="E12889" s="115"/>
    </row>
    <row r="12890" spans="1:5" ht="13">
      <c r="A12890" s="115"/>
      <c r="B12890" s="115"/>
      <c r="C12890" s="115"/>
      <c r="D12890" s="115"/>
      <c r="E12890" s="115"/>
    </row>
    <row r="12891" spans="1:5" ht="13">
      <c r="A12891" s="115"/>
      <c r="B12891" s="115"/>
      <c r="C12891" s="115"/>
      <c r="D12891" s="115"/>
      <c r="E12891" s="115"/>
    </row>
    <row r="12892" spans="1:5" ht="13">
      <c r="A12892" s="115"/>
      <c r="B12892" s="115"/>
      <c r="C12892" s="115"/>
      <c r="D12892" s="115"/>
      <c r="E12892" s="115"/>
    </row>
    <row r="12893" spans="1:5" ht="13">
      <c r="A12893" s="115"/>
      <c r="B12893" s="115"/>
      <c r="C12893" s="115"/>
      <c r="D12893" s="115"/>
      <c r="E12893" s="115"/>
    </row>
    <row r="12894" spans="1:5" ht="13">
      <c r="A12894" s="115"/>
      <c r="B12894" s="115"/>
      <c r="C12894" s="115"/>
      <c r="D12894" s="115"/>
      <c r="E12894" s="115"/>
    </row>
    <row r="12895" spans="1:5" ht="13">
      <c r="A12895" s="115"/>
      <c r="B12895" s="115"/>
      <c r="C12895" s="115"/>
      <c r="D12895" s="115"/>
      <c r="E12895" s="115"/>
    </row>
    <row r="12896" spans="1:5" ht="13">
      <c r="A12896" s="115"/>
      <c r="B12896" s="115"/>
      <c r="C12896" s="115"/>
      <c r="D12896" s="115"/>
      <c r="E12896" s="115"/>
    </row>
    <row r="12897" spans="1:5" ht="13">
      <c r="A12897" s="115"/>
      <c r="B12897" s="115"/>
      <c r="C12897" s="115"/>
      <c r="D12897" s="115"/>
      <c r="E12897" s="115"/>
    </row>
    <row r="12898" spans="1:5" ht="13">
      <c r="A12898" s="115"/>
      <c r="B12898" s="115"/>
      <c r="C12898" s="115"/>
      <c r="D12898" s="115"/>
      <c r="E12898" s="115"/>
    </row>
    <row r="12899" spans="1:5" ht="13">
      <c r="A12899" s="115"/>
      <c r="B12899" s="115"/>
      <c r="C12899" s="115"/>
      <c r="D12899" s="115"/>
      <c r="E12899" s="115"/>
    </row>
    <row r="12900" spans="1:5" ht="13">
      <c r="A12900" s="115"/>
      <c r="B12900" s="115"/>
      <c r="C12900" s="115"/>
      <c r="D12900" s="115"/>
      <c r="E12900" s="115"/>
    </row>
    <row r="12901" spans="1:5" ht="13">
      <c r="A12901" s="115"/>
      <c r="B12901" s="115"/>
      <c r="C12901" s="115"/>
      <c r="D12901" s="115"/>
      <c r="E12901" s="115"/>
    </row>
    <row r="12902" spans="1:5" ht="13">
      <c r="A12902" s="115"/>
      <c r="B12902" s="115"/>
      <c r="C12902" s="115"/>
      <c r="D12902" s="115"/>
      <c r="E12902" s="115"/>
    </row>
    <row r="12903" spans="1:5" ht="13">
      <c r="A12903" s="115"/>
      <c r="B12903" s="115"/>
      <c r="C12903" s="115"/>
      <c r="D12903" s="115"/>
      <c r="E12903" s="115"/>
    </row>
    <row r="12904" spans="1:5" ht="13">
      <c r="A12904" s="115"/>
      <c r="B12904" s="115"/>
      <c r="C12904" s="115"/>
      <c r="D12904" s="115"/>
      <c r="E12904" s="115"/>
    </row>
    <row r="12905" spans="1:5" ht="13">
      <c r="A12905" s="115"/>
      <c r="B12905" s="115"/>
      <c r="C12905" s="115"/>
      <c r="D12905" s="115"/>
      <c r="E12905" s="115"/>
    </row>
    <row r="12906" spans="1:5" ht="13">
      <c r="A12906" s="115"/>
      <c r="B12906" s="115"/>
      <c r="C12906" s="115"/>
      <c r="D12906" s="115"/>
      <c r="E12906" s="115"/>
    </row>
    <row r="12907" spans="1:5" ht="13">
      <c r="A12907" s="115"/>
      <c r="B12907" s="115"/>
      <c r="C12907" s="115"/>
      <c r="D12907" s="115"/>
      <c r="E12907" s="115"/>
    </row>
    <row r="12908" spans="1:5" ht="13">
      <c r="A12908" s="115"/>
      <c r="B12908" s="115"/>
      <c r="C12908" s="115"/>
      <c r="D12908" s="115"/>
      <c r="E12908" s="115"/>
    </row>
    <row r="12909" spans="1:5" ht="13">
      <c r="A12909" s="115"/>
      <c r="B12909" s="115"/>
      <c r="C12909" s="115"/>
      <c r="D12909" s="115"/>
      <c r="E12909" s="115"/>
    </row>
    <row r="12910" spans="1:5" ht="13">
      <c r="A12910" s="115"/>
      <c r="B12910" s="115"/>
      <c r="C12910" s="115"/>
      <c r="D12910" s="115"/>
      <c r="E12910" s="115"/>
    </row>
    <row r="12911" spans="1:5" ht="13">
      <c r="A12911" s="115"/>
      <c r="B12911" s="115"/>
      <c r="C12911" s="115"/>
      <c r="D12911" s="115"/>
      <c r="E12911" s="115"/>
    </row>
    <row r="12912" spans="1:5" ht="13">
      <c r="A12912" s="115"/>
      <c r="B12912" s="115"/>
      <c r="C12912" s="115"/>
      <c r="D12912" s="115"/>
      <c r="E12912" s="115"/>
    </row>
    <row r="12913" spans="1:5" ht="13">
      <c r="A12913" s="115"/>
      <c r="B12913" s="115"/>
      <c r="C12913" s="115"/>
      <c r="D12913" s="115"/>
      <c r="E12913" s="115"/>
    </row>
    <row r="12914" spans="1:5" ht="13">
      <c r="A12914" s="115"/>
      <c r="B12914" s="115"/>
      <c r="C12914" s="115"/>
      <c r="D12914" s="115"/>
      <c r="E12914" s="115"/>
    </row>
    <row r="12915" spans="1:5" ht="13">
      <c r="A12915" s="115"/>
      <c r="B12915" s="115"/>
      <c r="C12915" s="115"/>
      <c r="D12915" s="115"/>
      <c r="E12915" s="115"/>
    </row>
    <row r="12916" spans="1:5" ht="13">
      <c r="A12916" s="115"/>
      <c r="B12916" s="115"/>
      <c r="C12916" s="115"/>
      <c r="D12916" s="115"/>
      <c r="E12916" s="115"/>
    </row>
    <row r="12917" spans="1:5" ht="13">
      <c r="A12917" s="115"/>
      <c r="B12917" s="115"/>
      <c r="C12917" s="115"/>
      <c r="D12917" s="115"/>
      <c r="E12917" s="115"/>
    </row>
    <row r="12918" spans="1:5" ht="13">
      <c r="A12918" s="115"/>
      <c r="B12918" s="115"/>
      <c r="C12918" s="115"/>
      <c r="D12918" s="115"/>
      <c r="E12918" s="115"/>
    </row>
    <row r="12919" spans="1:5" ht="13">
      <c r="A12919" s="115"/>
      <c r="B12919" s="115"/>
      <c r="C12919" s="115"/>
      <c r="D12919" s="115"/>
      <c r="E12919" s="115"/>
    </row>
    <row r="12920" spans="1:5" ht="13">
      <c r="A12920" s="115"/>
      <c r="B12920" s="115"/>
      <c r="C12920" s="115"/>
      <c r="D12920" s="115"/>
      <c r="E12920" s="115"/>
    </row>
    <row r="12921" spans="1:5" ht="13">
      <c r="A12921" s="115"/>
      <c r="B12921" s="115"/>
      <c r="C12921" s="115"/>
      <c r="D12921" s="115"/>
      <c r="E12921" s="115"/>
    </row>
    <row r="12922" spans="1:5" ht="13">
      <c r="A12922" s="115"/>
      <c r="B12922" s="115"/>
      <c r="C12922" s="115"/>
      <c r="D12922" s="115"/>
      <c r="E12922" s="115"/>
    </row>
    <row r="12923" spans="1:5" ht="13">
      <c r="A12923" s="115"/>
      <c r="B12923" s="115"/>
      <c r="C12923" s="115"/>
      <c r="D12923" s="115"/>
      <c r="E12923" s="115"/>
    </row>
    <row r="12924" spans="1:5" ht="13">
      <c r="A12924" s="115"/>
      <c r="B12924" s="115"/>
      <c r="C12924" s="115"/>
      <c r="D12924" s="115"/>
      <c r="E12924" s="115"/>
    </row>
    <row r="12925" spans="1:5" ht="13">
      <c r="A12925" s="115"/>
      <c r="B12925" s="115"/>
      <c r="C12925" s="115"/>
      <c r="D12925" s="115"/>
      <c r="E12925" s="115"/>
    </row>
    <row r="12926" spans="1:5" ht="13">
      <c r="A12926" s="115"/>
      <c r="B12926" s="115"/>
      <c r="C12926" s="115"/>
      <c r="D12926" s="115"/>
      <c r="E12926" s="115"/>
    </row>
    <row r="12927" spans="1:5" ht="13">
      <c r="A12927" s="115"/>
      <c r="B12927" s="115"/>
      <c r="C12927" s="115"/>
      <c r="D12927" s="115"/>
      <c r="E12927" s="115"/>
    </row>
    <row r="12928" spans="1:5" ht="13">
      <c r="A12928" s="115"/>
      <c r="B12928" s="115"/>
      <c r="C12928" s="115"/>
      <c r="D12928" s="115"/>
      <c r="E12928" s="115"/>
    </row>
    <row r="12929" spans="1:5" ht="13">
      <c r="A12929" s="115"/>
      <c r="B12929" s="115"/>
      <c r="C12929" s="115"/>
      <c r="D12929" s="115"/>
      <c r="E12929" s="115"/>
    </row>
    <row r="12930" spans="1:5" ht="13">
      <c r="A12930" s="115"/>
      <c r="B12930" s="115"/>
      <c r="C12930" s="115"/>
      <c r="D12930" s="115"/>
      <c r="E12930" s="115"/>
    </row>
    <row r="12931" spans="1:5" ht="13">
      <c r="A12931" s="115"/>
      <c r="B12931" s="115"/>
      <c r="C12931" s="115"/>
      <c r="D12931" s="115"/>
      <c r="E12931" s="115"/>
    </row>
    <row r="12932" spans="1:5" ht="13">
      <c r="A12932" s="115"/>
      <c r="B12932" s="115"/>
      <c r="C12932" s="115"/>
      <c r="D12932" s="115"/>
      <c r="E12932" s="115"/>
    </row>
    <row r="12933" spans="1:5" ht="13">
      <c r="A12933" s="115"/>
      <c r="B12933" s="115"/>
      <c r="C12933" s="115"/>
      <c r="D12933" s="115"/>
      <c r="E12933" s="115"/>
    </row>
    <row r="12934" spans="1:5" ht="13">
      <c r="A12934" s="115"/>
      <c r="B12934" s="115"/>
      <c r="C12934" s="115"/>
      <c r="D12934" s="115"/>
      <c r="E12934" s="115"/>
    </row>
    <row r="12935" spans="1:5" ht="13">
      <c r="A12935" s="115"/>
      <c r="B12935" s="115"/>
      <c r="C12935" s="115"/>
      <c r="D12935" s="115"/>
      <c r="E12935" s="115"/>
    </row>
    <row r="12936" spans="1:5" ht="13">
      <c r="A12936" s="115"/>
      <c r="B12936" s="115"/>
      <c r="C12936" s="115"/>
      <c r="D12936" s="115"/>
      <c r="E12936" s="115"/>
    </row>
    <row r="12937" spans="1:5" ht="13">
      <c r="A12937" s="115"/>
      <c r="B12937" s="115"/>
      <c r="C12937" s="115"/>
      <c r="D12937" s="115"/>
      <c r="E12937" s="115"/>
    </row>
    <row r="12938" spans="1:5" ht="13">
      <c r="A12938" s="115"/>
      <c r="B12938" s="115"/>
      <c r="C12938" s="115"/>
      <c r="D12938" s="115"/>
      <c r="E12938" s="115"/>
    </row>
    <row r="12939" spans="1:5" ht="13">
      <c r="A12939" s="115"/>
      <c r="B12939" s="115"/>
      <c r="C12939" s="115"/>
      <c r="D12939" s="115"/>
      <c r="E12939" s="115"/>
    </row>
    <row r="12940" spans="1:5" ht="13">
      <c r="A12940" s="115"/>
      <c r="B12940" s="115"/>
      <c r="C12940" s="115"/>
      <c r="D12940" s="115"/>
      <c r="E12940" s="115"/>
    </row>
    <row r="12941" spans="1:5" ht="13">
      <c r="A12941" s="115"/>
      <c r="B12941" s="115"/>
      <c r="C12941" s="115"/>
      <c r="D12941" s="115"/>
      <c r="E12941" s="115"/>
    </row>
    <row r="12942" spans="1:5" ht="13">
      <c r="A12942" s="115"/>
      <c r="B12942" s="115"/>
      <c r="C12942" s="115"/>
      <c r="D12942" s="115"/>
      <c r="E12942" s="115"/>
    </row>
    <row r="12943" spans="1:5" ht="13">
      <c r="A12943" s="115"/>
      <c r="B12943" s="115"/>
      <c r="C12943" s="115"/>
      <c r="D12943" s="115"/>
      <c r="E12943" s="115"/>
    </row>
    <row r="12944" spans="1:5" ht="13">
      <c r="A12944" s="115"/>
      <c r="B12944" s="115"/>
      <c r="C12944" s="115"/>
      <c r="D12944" s="115"/>
      <c r="E12944" s="115"/>
    </row>
    <row r="12945" spans="1:5" ht="13">
      <c r="A12945" s="115"/>
      <c r="B12945" s="115"/>
      <c r="C12945" s="115"/>
      <c r="D12945" s="115"/>
      <c r="E12945" s="115"/>
    </row>
    <row r="12946" spans="1:5" ht="13">
      <c r="A12946" s="115"/>
      <c r="B12946" s="115"/>
      <c r="C12946" s="115"/>
      <c r="D12946" s="115"/>
      <c r="E12946" s="115"/>
    </row>
    <row r="12947" spans="1:5" ht="13">
      <c r="A12947" s="115"/>
      <c r="B12947" s="115"/>
      <c r="C12947" s="115"/>
      <c r="D12947" s="115"/>
      <c r="E12947" s="115"/>
    </row>
    <row r="12948" spans="1:5" ht="13">
      <c r="A12948" s="115"/>
      <c r="B12948" s="115"/>
      <c r="C12948" s="115"/>
      <c r="D12948" s="115"/>
      <c r="E12948" s="115"/>
    </row>
    <row r="12949" spans="1:5" ht="13">
      <c r="A12949" s="115"/>
      <c r="B12949" s="115"/>
      <c r="C12949" s="115"/>
      <c r="D12949" s="115"/>
      <c r="E12949" s="115"/>
    </row>
    <row r="12950" spans="1:5" ht="13">
      <c r="A12950" s="115"/>
      <c r="B12950" s="115"/>
      <c r="C12950" s="115"/>
      <c r="D12950" s="115"/>
      <c r="E12950" s="115"/>
    </row>
    <row r="12951" spans="1:5" ht="13">
      <c r="A12951" s="115"/>
      <c r="B12951" s="115"/>
      <c r="C12951" s="115"/>
      <c r="D12951" s="115"/>
      <c r="E12951" s="115"/>
    </row>
    <row r="12952" spans="1:5" ht="13">
      <c r="A12952" s="115"/>
      <c r="B12952" s="115"/>
      <c r="C12952" s="115"/>
      <c r="D12952" s="115"/>
      <c r="E12952" s="115"/>
    </row>
    <row r="12953" spans="1:5" ht="13">
      <c r="A12953" s="115"/>
      <c r="B12953" s="115"/>
      <c r="C12953" s="115"/>
      <c r="D12953" s="115"/>
      <c r="E12953" s="115"/>
    </row>
    <row r="12954" spans="1:5" ht="13">
      <c r="A12954" s="115"/>
      <c r="B12954" s="115"/>
      <c r="C12954" s="115"/>
      <c r="D12954" s="115"/>
      <c r="E12954" s="115"/>
    </row>
    <row r="12955" spans="1:5" ht="13">
      <c r="A12955" s="115"/>
      <c r="B12955" s="115"/>
      <c r="C12955" s="115"/>
      <c r="D12955" s="115"/>
      <c r="E12955" s="115"/>
    </row>
    <row r="12956" spans="1:5" ht="13">
      <c r="A12956" s="115"/>
      <c r="B12956" s="115"/>
      <c r="C12956" s="115"/>
      <c r="D12956" s="115"/>
      <c r="E12956" s="115"/>
    </row>
    <row r="12957" spans="1:5" ht="13">
      <c r="A12957" s="115"/>
      <c r="B12957" s="115"/>
      <c r="C12957" s="115"/>
      <c r="D12957" s="115"/>
      <c r="E12957" s="115"/>
    </row>
    <row r="12958" spans="1:5" ht="13">
      <c r="A12958" s="115"/>
      <c r="B12958" s="115"/>
      <c r="C12958" s="115"/>
      <c r="D12958" s="115"/>
      <c r="E12958" s="115"/>
    </row>
    <row r="12959" spans="1:5" ht="13">
      <c r="A12959" s="115"/>
      <c r="B12959" s="115"/>
      <c r="C12959" s="115"/>
      <c r="D12959" s="115"/>
      <c r="E12959" s="115"/>
    </row>
    <row r="12960" spans="1:5" ht="13">
      <c r="A12960" s="115"/>
      <c r="B12960" s="115"/>
      <c r="C12960" s="115"/>
      <c r="D12960" s="115"/>
      <c r="E12960" s="115"/>
    </row>
    <row r="12961" spans="1:5" ht="13">
      <c r="A12961" s="115"/>
      <c r="B12961" s="115"/>
      <c r="C12961" s="115"/>
      <c r="D12961" s="115"/>
      <c r="E12961" s="115"/>
    </row>
    <row r="12962" spans="1:5" ht="13">
      <c r="A12962" s="115"/>
      <c r="B12962" s="115"/>
      <c r="C12962" s="115"/>
      <c r="D12962" s="115"/>
      <c r="E12962" s="115"/>
    </row>
    <row r="12963" spans="1:5" ht="13">
      <c r="A12963" s="115"/>
      <c r="B12963" s="115"/>
      <c r="C12963" s="115"/>
      <c r="D12963" s="115"/>
      <c r="E12963" s="115"/>
    </row>
    <row r="12964" spans="1:5" ht="13">
      <c r="A12964" s="115"/>
      <c r="B12964" s="115"/>
      <c r="C12964" s="115"/>
      <c r="D12964" s="115"/>
      <c r="E12964" s="115"/>
    </row>
    <row r="12965" spans="1:5" ht="13">
      <c r="A12965" s="115"/>
      <c r="B12965" s="115"/>
      <c r="C12965" s="115"/>
      <c r="D12965" s="115"/>
      <c r="E12965" s="115"/>
    </row>
    <row r="12966" spans="1:5" ht="13">
      <c r="A12966" s="115"/>
      <c r="B12966" s="115"/>
      <c r="C12966" s="115"/>
      <c r="D12966" s="115"/>
      <c r="E12966" s="115"/>
    </row>
    <row r="12967" spans="1:5" ht="13">
      <c r="A12967" s="115"/>
      <c r="B12967" s="115"/>
      <c r="C12967" s="115"/>
      <c r="D12967" s="115"/>
      <c r="E12967" s="115"/>
    </row>
    <row r="12968" spans="1:5" ht="13">
      <c r="A12968" s="115"/>
      <c r="B12968" s="115"/>
      <c r="C12968" s="115"/>
      <c r="D12968" s="115"/>
      <c r="E12968" s="115"/>
    </row>
    <row r="12969" spans="1:5" ht="13">
      <c r="A12969" s="115"/>
      <c r="B12969" s="115"/>
      <c r="C12969" s="115"/>
      <c r="D12969" s="115"/>
      <c r="E12969" s="115"/>
    </row>
    <row r="12970" spans="1:5" ht="13">
      <c r="A12970" s="115"/>
      <c r="B12970" s="115"/>
      <c r="C12970" s="115"/>
      <c r="D12970" s="115"/>
      <c r="E12970" s="115"/>
    </row>
    <row r="12971" spans="1:5" ht="13">
      <c r="A12971" s="115"/>
      <c r="B12971" s="115"/>
      <c r="C12971" s="115"/>
      <c r="D12971" s="115"/>
      <c r="E12971" s="115"/>
    </row>
    <row r="12972" spans="1:5" ht="13">
      <c r="A12972" s="115"/>
      <c r="B12972" s="115"/>
      <c r="C12972" s="115"/>
      <c r="D12972" s="115"/>
      <c r="E12972" s="115"/>
    </row>
    <row r="12973" spans="1:5" ht="13">
      <c r="A12973" s="115"/>
      <c r="B12973" s="115"/>
      <c r="C12973" s="115"/>
      <c r="D12973" s="115"/>
      <c r="E12973" s="115"/>
    </row>
    <row r="12974" spans="1:5" ht="13">
      <c r="A12974" s="115"/>
      <c r="B12974" s="115"/>
      <c r="C12974" s="115"/>
      <c r="D12974" s="115"/>
      <c r="E12974" s="115"/>
    </row>
    <row r="12975" spans="1:5" ht="13">
      <c r="A12975" s="115"/>
      <c r="B12975" s="115"/>
      <c r="C12975" s="115"/>
      <c r="D12975" s="115"/>
      <c r="E12975" s="115"/>
    </row>
    <row r="12976" spans="1:5" ht="13">
      <c r="A12976" s="115"/>
      <c r="B12976" s="115"/>
      <c r="C12976" s="115"/>
      <c r="D12976" s="115"/>
      <c r="E12976" s="115"/>
    </row>
    <row r="12977" spans="1:5" ht="13">
      <c r="A12977" s="115"/>
      <c r="B12977" s="115"/>
      <c r="C12977" s="115"/>
      <c r="D12977" s="115"/>
      <c r="E12977" s="115"/>
    </row>
    <row r="12978" spans="1:5" ht="13">
      <c r="A12978" s="115"/>
      <c r="B12978" s="115"/>
      <c r="C12978" s="115"/>
      <c r="D12978" s="115"/>
      <c r="E12978" s="115"/>
    </row>
    <row r="12979" spans="1:5" ht="13">
      <c r="A12979" s="115"/>
      <c r="B12979" s="115"/>
      <c r="C12979" s="115"/>
      <c r="D12979" s="115"/>
      <c r="E12979" s="115"/>
    </row>
    <row r="12980" spans="1:5" ht="13">
      <c r="A12980" s="115"/>
      <c r="B12980" s="115"/>
      <c r="C12980" s="115"/>
      <c r="D12980" s="115"/>
      <c r="E12980" s="115"/>
    </row>
    <row r="12981" spans="1:5" ht="13">
      <c r="A12981" s="115"/>
      <c r="B12981" s="115"/>
      <c r="C12981" s="115"/>
      <c r="D12981" s="115"/>
      <c r="E12981" s="115"/>
    </row>
    <row r="12982" spans="1:5" ht="13">
      <c r="A12982" s="115"/>
      <c r="B12982" s="115"/>
      <c r="C12982" s="115"/>
      <c r="D12982" s="115"/>
      <c r="E12982" s="115"/>
    </row>
    <row r="12983" spans="1:5" ht="13">
      <c r="A12983" s="115"/>
      <c r="B12983" s="115"/>
      <c r="C12983" s="115"/>
      <c r="D12983" s="115"/>
      <c r="E12983" s="115"/>
    </row>
    <row r="12984" spans="1:5" ht="13">
      <c r="A12984" s="115"/>
      <c r="B12984" s="115"/>
      <c r="C12984" s="115"/>
      <c r="D12984" s="115"/>
      <c r="E12984" s="115"/>
    </row>
    <row r="12985" spans="1:5" ht="13">
      <c r="A12985" s="115"/>
      <c r="B12985" s="115"/>
      <c r="C12985" s="115"/>
      <c r="D12985" s="115"/>
      <c r="E12985" s="115"/>
    </row>
    <row r="12986" spans="1:5" ht="13">
      <c r="A12986" s="115"/>
      <c r="B12986" s="115"/>
      <c r="C12986" s="115"/>
      <c r="D12986" s="115"/>
      <c r="E12986" s="115"/>
    </row>
    <row r="12987" spans="1:5" ht="13">
      <c r="A12987" s="115"/>
      <c r="B12987" s="115"/>
      <c r="C12987" s="115"/>
      <c r="D12987" s="115"/>
      <c r="E12987" s="115"/>
    </row>
    <row r="12988" spans="1:5" ht="13">
      <c r="A12988" s="115"/>
      <c r="B12988" s="115"/>
      <c r="C12988" s="115"/>
      <c r="D12988" s="115"/>
      <c r="E12988" s="115"/>
    </row>
    <row r="12989" spans="1:5" ht="13">
      <c r="A12989" s="115"/>
      <c r="B12989" s="115"/>
      <c r="C12989" s="115"/>
      <c r="D12989" s="115"/>
      <c r="E12989" s="115"/>
    </row>
    <row r="12990" spans="1:5" ht="13">
      <c r="A12990" s="115"/>
      <c r="B12990" s="115"/>
      <c r="C12990" s="115"/>
      <c r="D12990" s="115"/>
      <c r="E12990" s="115"/>
    </row>
    <row r="12991" spans="1:5" ht="13">
      <c r="A12991" s="115"/>
      <c r="B12991" s="115"/>
      <c r="C12991" s="115"/>
      <c r="D12991" s="115"/>
      <c r="E12991" s="115"/>
    </row>
    <row r="12992" spans="1:5" ht="13">
      <c r="A12992" s="115"/>
      <c r="B12992" s="115"/>
      <c r="C12992" s="115"/>
      <c r="D12992" s="115"/>
      <c r="E12992" s="115"/>
    </row>
    <row r="12993" spans="1:5" ht="13">
      <c r="A12993" s="115"/>
      <c r="B12993" s="115"/>
      <c r="C12993" s="115"/>
      <c r="D12993" s="115"/>
      <c r="E12993" s="115"/>
    </row>
    <row r="12994" spans="1:5" ht="13">
      <c r="A12994" s="115"/>
      <c r="B12994" s="115"/>
      <c r="C12994" s="115"/>
      <c r="D12994" s="115"/>
      <c r="E12994" s="115"/>
    </row>
    <row r="12995" spans="1:5" ht="13">
      <c r="A12995" s="115"/>
      <c r="B12995" s="115"/>
      <c r="C12995" s="115"/>
      <c r="D12995" s="115"/>
      <c r="E12995" s="115"/>
    </row>
    <row r="12996" spans="1:5" ht="13">
      <c r="A12996" s="115"/>
      <c r="B12996" s="115"/>
      <c r="C12996" s="115"/>
      <c r="D12996" s="115"/>
      <c r="E12996" s="115"/>
    </row>
    <row r="12997" spans="1:5" ht="13">
      <c r="A12997" s="115"/>
      <c r="B12997" s="115"/>
      <c r="C12997" s="115"/>
      <c r="D12997" s="115"/>
      <c r="E12997" s="115"/>
    </row>
    <row r="12998" spans="1:5" ht="13">
      <c r="A12998" s="115"/>
      <c r="B12998" s="115"/>
      <c r="C12998" s="115"/>
      <c r="D12998" s="115"/>
      <c r="E12998" s="115"/>
    </row>
    <row r="12999" spans="1:5" ht="13">
      <c r="A12999" s="115"/>
      <c r="B12999" s="115"/>
      <c r="C12999" s="115"/>
      <c r="D12999" s="115"/>
      <c r="E12999" s="115"/>
    </row>
    <row r="13000" spans="1:5" ht="13">
      <c r="A13000" s="115"/>
      <c r="B13000" s="115"/>
      <c r="C13000" s="115"/>
      <c r="D13000" s="115"/>
      <c r="E13000" s="115"/>
    </row>
    <row r="13001" spans="1:5" ht="13">
      <c r="A13001" s="115"/>
      <c r="B13001" s="115"/>
      <c r="C13001" s="115"/>
      <c r="D13001" s="115"/>
      <c r="E13001" s="115"/>
    </row>
    <row r="13002" spans="1:5" ht="13">
      <c r="A13002" s="115"/>
      <c r="B13002" s="115"/>
      <c r="C13002" s="115"/>
      <c r="D13002" s="115"/>
      <c r="E13002" s="115"/>
    </row>
    <row r="13003" spans="1:5" ht="13">
      <c r="A13003" s="115"/>
      <c r="B13003" s="115"/>
      <c r="C13003" s="115"/>
      <c r="D13003" s="115"/>
      <c r="E13003" s="115"/>
    </row>
    <row r="13004" spans="1:5" ht="13">
      <c r="A13004" s="115"/>
      <c r="B13004" s="115"/>
      <c r="C13004" s="115"/>
      <c r="D13004" s="115"/>
      <c r="E13004" s="115"/>
    </row>
    <row r="13005" spans="1:5" ht="13">
      <c r="A13005" s="115"/>
      <c r="B13005" s="115"/>
      <c r="C13005" s="115"/>
      <c r="D13005" s="115"/>
      <c r="E13005" s="115"/>
    </row>
    <row r="13006" spans="1:5" ht="13">
      <c r="A13006" s="115"/>
      <c r="B13006" s="115"/>
      <c r="C13006" s="115"/>
      <c r="D13006" s="115"/>
      <c r="E13006" s="115"/>
    </row>
    <row r="13007" spans="1:5" ht="13">
      <c r="A13007" s="115"/>
      <c r="B13007" s="115"/>
      <c r="C13007" s="115"/>
      <c r="D13007" s="115"/>
      <c r="E13007" s="115"/>
    </row>
    <row r="13008" spans="1:5" ht="13">
      <c r="A13008" s="115"/>
      <c r="B13008" s="115"/>
      <c r="C13008" s="115"/>
      <c r="D13008" s="115"/>
      <c r="E13008" s="115"/>
    </row>
    <row r="13009" spans="1:5" ht="13">
      <c r="A13009" s="115"/>
      <c r="B13009" s="115"/>
      <c r="C13009" s="115"/>
      <c r="D13009" s="115"/>
      <c r="E13009" s="115"/>
    </row>
    <row r="13010" spans="1:5" ht="13">
      <c r="A13010" s="115"/>
      <c r="B13010" s="115"/>
      <c r="C13010" s="115"/>
      <c r="D13010" s="115"/>
      <c r="E13010" s="115"/>
    </row>
    <row r="13011" spans="1:5" ht="13">
      <c r="A13011" s="115"/>
      <c r="B13011" s="115"/>
      <c r="C13011" s="115"/>
      <c r="D13011" s="115"/>
      <c r="E13011" s="115"/>
    </row>
    <row r="13012" spans="1:5" ht="13">
      <c r="A13012" s="115"/>
      <c r="B13012" s="115"/>
      <c r="C13012" s="115"/>
      <c r="D13012" s="115"/>
      <c r="E13012" s="115"/>
    </row>
    <row r="13013" spans="1:5" ht="13">
      <c r="A13013" s="115"/>
      <c r="B13013" s="115"/>
      <c r="C13013" s="115"/>
      <c r="D13013" s="115"/>
      <c r="E13013" s="115"/>
    </row>
    <row r="13014" spans="1:5" ht="13">
      <c r="A13014" s="115"/>
      <c r="B13014" s="115"/>
      <c r="C13014" s="115"/>
      <c r="D13014" s="115"/>
      <c r="E13014" s="115"/>
    </row>
    <row r="13015" spans="1:5" ht="13">
      <c r="A13015" s="115"/>
      <c r="B13015" s="115"/>
      <c r="C13015" s="115"/>
      <c r="D13015" s="115"/>
      <c r="E13015" s="115"/>
    </row>
    <row r="13016" spans="1:5" ht="13">
      <c r="A13016" s="115"/>
      <c r="B13016" s="115"/>
      <c r="C13016" s="115"/>
      <c r="D13016" s="115"/>
      <c r="E13016" s="115"/>
    </row>
    <row r="13017" spans="1:5" ht="13">
      <c r="A13017" s="115"/>
      <c r="B13017" s="115"/>
      <c r="C13017" s="115"/>
      <c r="D13017" s="115"/>
      <c r="E13017" s="115"/>
    </row>
    <row r="13018" spans="1:5" ht="13">
      <c r="A13018" s="115"/>
      <c r="B13018" s="115"/>
      <c r="C13018" s="115"/>
      <c r="D13018" s="115"/>
      <c r="E13018" s="115"/>
    </row>
    <row r="13019" spans="1:5" ht="13">
      <c r="A13019" s="115"/>
      <c r="B13019" s="115"/>
      <c r="C13019" s="115"/>
      <c r="D13019" s="115"/>
      <c r="E13019" s="115"/>
    </row>
    <row r="13020" spans="1:5" ht="13">
      <c r="A13020" s="115"/>
      <c r="B13020" s="115"/>
      <c r="C13020" s="115"/>
      <c r="D13020" s="115"/>
      <c r="E13020" s="115"/>
    </row>
    <row r="13021" spans="1:5" ht="13">
      <c r="A13021" s="115"/>
      <c r="B13021" s="115"/>
      <c r="C13021" s="115"/>
      <c r="D13021" s="115"/>
      <c r="E13021" s="115"/>
    </row>
    <row r="13022" spans="1:5" ht="13">
      <c r="A13022" s="115"/>
      <c r="B13022" s="115"/>
      <c r="C13022" s="115"/>
      <c r="D13022" s="115"/>
      <c r="E13022" s="115"/>
    </row>
    <row r="13023" spans="1:5" ht="13">
      <c r="A13023" s="115"/>
      <c r="B13023" s="115"/>
      <c r="C13023" s="115"/>
      <c r="D13023" s="115"/>
      <c r="E13023" s="115"/>
    </row>
    <row r="13024" spans="1:5" ht="13">
      <c r="A13024" s="115"/>
      <c r="B13024" s="115"/>
      <c r="C13024" s="115"/>
      <c r="D13024" s="115"/>
      <c r="E13024" s="115"/>
    </row>
    <row r="13025" spans="1:5" ht="13">
      <c r="A13025" s="115"/>
      <c r="B13025" s="115"/>
      <c r="C13025" s="115"/>
      <c r="D13025" s="115"/>
      <c r="E13025" s="115"/>
    </row>
    <row r="13026" spans="1:5" ht="13">
      <c r="A13026" s="115"/>
      <c r="B13026" s="115"/>
      <c r="C13026" s="115"/>
      <c r="D13026" s="115"/>
      <c r="E13026" s="115"/>
    </row>
    <row r="13027" spans="1:5" ht="13">
      <c r="A13027" s="115"/>
      <c r="B13027" s="115"/>
      <c r="C13027" s="115"/>
      <c r="D13027" s="115"/>
      <c r="E13027" s="115"/>
    </row>
    <row r="13028" spans="1:5" ht="13">
      <c r="A13028" s="115"/>
      <c r="B13028" s="115"/>
      <c r="C13028" s="115"/>
      <c r="D13028" s="115"/>
      <c r="E13028" s="115"/>
    </row>
    <row r="13029" spans="1:5" ht="13">
      <c r="A13029" s="115"/>
      <c r="B13029" s="115"/>
      <c r="C13029" s="115"/>
      <c r="D13029" s="115"/>
      <c r="E13029" s="115"/>
    </row>
    <row r="13030" spans="1:5" ht="13">
      <c r="A13030" s="115"/>
      <c r="B13030" s="115"/>
      <c r="C13030" s="115"/>
      <c r="D13030" s="115"/>
      <c r="E13030" s="115"/>
    </row>
    <row r="13031" spans="1:5" ht="13">
      <c r="A13031" s="115"/>
      <c r="B13031" s="115"/>
      <c r="C13031" s="115"/>
      <c r="D13031" s="115"/>
      <c r="E13031" s="115"/>
    </row>
    <row r="13032" spans="1:5" ht="13">
      <c r="A13032" s="115"/>
      <c r="B13032" s="115"/>
      <c r="C13032" s="115"/>
      <c r="D13032" s="115"/>
      <c r="E13032" s="115"/>
    </row>
    <row r="13033" spans="1:5" ht="13">
      <c r="A13033" s="115"/>
      <c r="B13033" s="115"/>
      <c r="C13033" s="115"/>
      <c r="D13033" s="115"/>
      <c r="E13033" s="115"/>
    </row>
    <row r="13034" spans="1:5" ht="13">
      <c r="A13034" s="115"/>
      <c r="B13034" s="115"/>
      <c r="C13034" s="115"/>
      <c r="D13034" s="115"/>
      <c r="E13034" s="115"/>
    </row>
    <row r="13035" spans="1:5" ht="13">
      <c r="A13035" s="115"/>
      <c r="B13035" s="115"/>
      <c r="C13035" s="115"/>
      <c r="D13035" s="115"/>
      <c r="E13035" s="115"/>
    </row>
    <row r="13036" spans="1:5" ht="13">
      <c r="A13036" s="115"/>
      <c r="B13036" s="115"/>
      <c r="C13036" s="115"/>
      <c r="D13036" s="115"/>
      <c r="E13036" s="115"/>
    </row>
    <row r="13037" spans="1:5" ht="13">
      <c r="A13037" s="115"/>
      <c r="B13037" s="115"/>
      <c r="C13037" s="115"/>
      <c r="D13037" s="115"/>
      <c r="E13037" s="115"/>
    </row>
    <row r="13038" spans="1:5" ht="13">
      <c r="A13038" s="115"/>
      <c r="B13038" s="115"/>
      <c r="C13038" s="115"/>
      <c r="D13038" s="115"/>
      <c r="E13038" s="115"/>
    </row>
    <row r="13039" spans="1:5" ht="13">
      <c r="A13039" s="115"/>
      <c r="B13039" s="115"/>
      <c r="C13039" s="115"/>
      <c r="D13039" s="115"/>
      <c r="E13039" s="115"/>
    </row>
    <row r="13040" spans="1:5" ht="13">
      <c r="A13040" s="115"/>
      <c r="B13040" s="115"/>
      <c r="C13040" s="115"/>
      <c r="D13040" s="115"/>
      <c r="E13040" s="115"/>
    </row>
    <row r="13041" spans="1:5" ht="13">
      <c r="A13041" s="115"/>
      <c r="B13041" s="115"/>
      <c r="C13041" s="115"/>
      <c r="D13041" s="115"/>
      <c r="E13041" s="115"/>
    </row>
    <row r="13042" spans="1:5" ht="13">
      <c r="A13042" s="115"/>
      <c r="B13042" s="115"/>
      <c r="C13042" s="115"/>
      <c r="D13042" s="115"/>
      <c r="E13042" s="115"/>
    </row>
    <row r="13043" spans="1:5" ht="13">
      <c r="A13043" s="115"/>
      <c r="B13043" s="115"/>
      <c r="C13043" s="115"/>
      <c r="D13043" s="115"/>
      <c r="E13043" s="115"/>
    </row>
    <row r="13044" spans="1:5" ht="13">
      <c r="A13044" s="115"/>
      <c r="B13044" s="115"/>
      <c r="C13044" s="115"/>
      <c r="D13044" s="115"/>
      <c r="E13044" s="115"/>
    </row>
    <row r="13045" spans="1:5" ht="13">
      <c r="A13045" s="115"/>
      <c r="B13045" s="115"/>
      <c r="C13045" s="115"/>
      <c r="D13045" s="115"/>
      <c r="E13045" s="115"/>
    </row>
    <row r="13046" spans="1:5" ht="13">
      <c r="A13046" s="115"/>
      <c r="B13046" s="115"/>
      <c r="C13046" s="115"/>
      <c r="D13046" s="115"/>
      <c r="E13046" s="115"/>
    </row>
    <row r="13047" spans="1:5" ht="13">
      <c r="A13047" s="115"/>
      <c r="B13047" s="115"/>
      <c r="C13047" s="115"/>
      <c r="D13047" s="115"/>
      <c r="E13047" s="115"/>
    </row>
    <row r="13048" spans="1:5" ht="13">
      <c r="A13048" s="115"/>
      <c r="B13048" s="115"/>
      <c r="C13048" s="115"/>
      <c r="D13048" s="115"/>
      <c r="E13048" s="115"/>
    </row>
    <row r="13049" spans="1:5" ht="13">
      <c r="A13049" s="115"/>
      <c r="B13049" s="115"/>
      <c r="C13049" s="115"/>
      <c r="D13049" s="115"/>
      <c r="E13049" s="115"/>
    </row>
    <row r="13050" spans="1:5" ht="13">
      <c r="A13050" s="115"/>
      <c r="B13050" s="115"/>
      <c r="C13050" s="115"/>
      <c r="D13050" s="115"/>
      <c r="E13050" s="115"/>
    </row>
    <row r="13051" spans="1:5" ht="13">
      <c r="A13051" s="115"/>
      <c r="B13051" s="115"/>
      <c r="C13051" s="115"/>
      <c r="D13051" s="115"/>
      <c r="E13051" s="115"/>
    </row>
    <row r="13052" spans="1:5" ht="13">
      <c r="A13052" s="115"/>
      <c r="B13052" s="115"/>
      <c r="C13052" s="115"/>
      <c r="D13052" s="115"/>
      <c r="E13052" s="115"/>
    </row>
    <row r="13053" spans="1:5" ht="13">
      <c r="A13053" s="115"/>
      <c r="B13053" s="115"/>
      <c r="C13053" s="115"/>
      <c r="D13053" s="115"/>
      <c r="E13053" s="115"/>
    </row>
    <row r="13054" spans="1:5" ht="13">
      <c r="A13054" s="115"/>
      <c r="B13054" s="115"/>
      <c r="C13054" s="115"/>
      <c r="D13054" s="115"/>
      <c r="E13054" s="115"/>
    </row>
    <row r="13055" spans="1:5" ht="13">
      <c r="A13055" s="115"/>
      <c r="B13055" s="115"/>
      <c r="C13055" s="115"/>
      <c r="D13055" s="115"/>
      <c r="E13055" s="115"/>
    </row>
    <row r="13056" spans="1:5" ht="13">
      <c r="A13056" s="115"/>
      <c r="B13056" s="115"/>
      <c r="C13056" s="115"/>
      <c r="D13056" s="115"/>
      <c r="E13056" s="115"/>
    </row>
    <row r="13057" spans="1:5" ht="13">
      <c r="A13057" s="115"/>
      <c r="B13057" s="115"/>
      <c r="C13057" s="115"/>
      <c r="D13057" s="115"/>
      <c r="E13057" s="115"/>
    </row>
    <row r="13058" spans="1:5" ht="13">
      <c r="A13058" s="115"/>
      <c r="B13058" s="115"/>
      <c r="C13058" s="115"/>
      <c r="D13058" s="115"/>
      <c r="E13058" s="115"/>
    </row>
    <row r="13059" spans="1:5" ht="13">
      <c r="A13059" s="115"/>
      <c r="B13059" s="115"/>
      <c r="C13059" s="115"/>
      <c r="D13059" s="115"/>
      <c r="E13059" s="115"/>
    </row>
    <row r="13060" spans="1:5" ht="13">
      <c r="A13060" s="115"/>
      <c r="B13060" s="115"/>
      <c r="C13060" s="115"/>
      <c r="D13060" s="115"/>
      <c r="E13060" s="115"/>
    </row>
    <row r="13061" spans="1:5" ht="13">
      <c r="A13061" s="115"/>
      <c r="B13061" s="115"/>
      <c r="C13061" s="115"/>
      <c r="D13061" s="115"/>
      <c r="E13061" s="115"/>
    </row>
    <row r="13062" spans="1:5" ht="13">
      <c r="A13062" s="115"/>
      <c r="B13062" s="115"/>
      <c r="C13062" s="115"/>
      <c r="D13062" s="115"/>
      <c r="E13062" s="115"/>
    </row>
    <row r="13063" spans="1:5" ht="13">
      <c r="A13063" s="115"/>
      <c r="B13063" s="115"/>
      <c r="C13063" s="115"/>
      <c r="D13063" s="115"/>
      <c r="E13063" s="115"/>
    </row>
    <row r="13064" spans="1:5" ht="13">
      <c r="A13064" s="115"/>
      <c r="B13064" s="115"/>
      <c r="C13064" s="115"/>
      <c r="D13064" s="115"/>
      <c r="E13064" s="115"/>
    </row>
    <row r="13065" spans="1:5" ht="13">
      <c r="A13065" s="115"/>
      <c r="B13065" s="115"/>
      <c r="C13065" s="115"/>
      <c r="D13065" s="115"/>
      <c r="E13065" s="115"/>
    </row>
    <row r="13066" spans="1:5" ht="13">
      <c r="A13066" s="115"/>
      <c r="B13066" s="115"/>
      <c r="C13066" s="115"/>
      <c r="D13066" s="115"/>
      <c r="E13066" s="115"/>
    </row>
    <row r="13067" spans="1:5" ht="13">
      <c r="A13067" s="115"/>
      <c r="B13067" s="115"/>
      <c r="C13067" s="115"/>
      <c r="D13067" s="115"/>
      <c r="E13067" s="115"/>
    </row>
    <row r="13068" spans="1:5" ht="13">
      <c r="A13068" s="115"/>
      <c r="B13068" s="115"/>
      <c r="C13068" s="115"/>
      <c r="D13068" s="115"/>
      <c r="E13068" s="115"/>
    </row>
    <row r="13069" spans="1:5" ht="13">
      <c r="A13069" s="115"/>
      <c r="B13069" s="115"/>
      <c r="C13069" s="115"/>
      <c r="D13069" s="115"/>
      <c r="E13069" s="115"/>
    </row>
    <row r="13070" spans="1:5" ht="13">
      <c r="A13070" s="115"/>
      <c r="B13070" s="115"/>
      <c r="C13070" s="115"/>
      <c r="D13070" s="115"/>
      <c r="E13070" s="115"/>
    </row>
    <row r="13071" spans="1:5" ht="13">
      <c r="A13071" s="115"/>
      <c r="B13071" s="115"/>
      <c r="C13071" s="115"/>
      <c r="D13071" s="115"/>
      <c r="E13071" s="115"/>
    </row>
    <row r="13072" spans="1:5" ht="13">
      <c r="A13072" s="115"/>
      <c r="B13072" s="115"/>
      <c r="C13072" s="115"/>
      <c r="D13072" s="115"/>
      <c r="E13072" s="115"/>
    </row>
    <row r="13073" spans="1:5" ht="13">
      <c r="A13073" s="115"/>
      <c r="B13073" s="115"/>
      <c r="C13073" s="115"/>
      <c r="D13073" s="115"/>
      <c r="E13073" s="115"/>
    </row>
    <row r="13074" spans="1:5" ht="13">
      <c r="A13074" s="115"/>
      <c r="B13074" s="115"/>
      <c r="C13074" s="115"/>
      <c r="D13074" s="115"/>
      <c r="E13074" s="115"/>
    </row>
    <row r="13075" spans="1:5" ht="13">
      <c r="A13075" s="115"/>
      <c r="B13075" s="115"/>
      <c r="C13075" s="115"/>
      <c r="D13075" s="115"/>
      <c r="E13075" s="115"/>
    </row>
    <row r="13076" spans="1:5" ht="13">
      <c r="A13076" s="115"/>
      <c r="B13076" s="115"/>
      <c r="C13076" s="115"/>
      <c r="D13076" s="115"/>
      <c r="E13076" s="115"/>
    </row>
    <row r="13077" spans="1:5" ht="13">
      <c r="A13077" s="115"/>
      <c r="B13077" s="115"/>
      <c r="C13077" s="115"/>
      <c r="D13077" s="115"/>
      <c r="E13077" s="115"/>
    </row>
    <row r="13078" spans="1:5" ht="13">
      <c r="A13078" s="115"/>
      <c r="B13078" s="115"/>
      <c r="C13078" s="115"/>
      <c r="D13078" s="115"/>
      <c r="E13078" s="115"/>
    </row>
    <row r="13079" spans="1:5" ht="13">
      <c r="A13079" s="115"/>
      <c r="B13079" s="115"/>
      <c r="C13079" s="115"/>
      <c r="D13079" s="115"/>
      <c r="E13079" s="115"/>
    </row>
    <row r="13080" spans="1:5" ht="13">
      <c r="A13080" s="115"/>
      <c r="B13080" s="115"/>
      <c r="C13080" s="115"/>
      <c r="D13080" s="115"/>
      <c r="E13080" s="115"/>
    </row>
    <row r="13081" spans="1:5" ht="13">
      <c r="A13081" s="115"/>
      <c r="B13081" s="115"/>
      <c r="C13081" s="115"/>
      <c r="D13081" s="115"/>
      <c r="E13081" s="115"/>
    </row>
    <row r="13082" spans="1:5" ht="13">
      <c r="A13082" s="115"/>
      <c r="B13082" s="115"/>
      <c r="C13082" s="115"/>
      <c r="D13082" s="115"/>
      <c r="E13082" s="115"/>
    </row>
    <row r="13083" spans="1:5" ht="13">
      <c r="A13083" s="115"/>
      <c r="B13083" s="115"/>
      <c r="C13083" s="115"/>
      <c r="D13083" s="115"/>
      <c r="E13083" s="115"/>
    </row>
    <row r="13084" spans="1:5" ht="13">
      <c r="A13084" s="115"/>
      <c r="B13084" s="115"/>
      <c r="C13084" s="115"/>
      <c r="D13084" s="115"/>
      <c r="E13084" s="115"/>
    </row>
    <row r="13085" spans="1:5" ht="13">
      <c r="A13085" s="115"/>
      <c r="B13085" s="115"/>
      <c r="C13085" s="115"/>
      <c r="D13085" s="115"/>
      <c r="E13085" s="115"/>
    </row>
    <row r="13086" spans="1:5" ht="13">
      <c r="A13086" s="115"/>
      <c r="B13086" s="115"/>
      <c r="C13086" s="115"/>
      <c r="D13086" s="115"/>
      <c r="E13086" s="115"/>
    </row>
    <row r="13087" spans="1:5" ht="13">
      <c r="A13087" s="115"/>
      <c r="B13087" s="115"/>
      <c r="C13087" s="115"/>
      <c r="D13087" s="115"/>
      <c r="E13087" s="115"/>
    </row>
    <row r="13088" spans="1:5" ht="13">
      <c r="A13088" s="115"/>
      <c r="B13088" s="115"/>
      <c r="C13088" s="115"/>
      <c r="D13088" s="115"/>
      <c r="E13088" s="115"/>
    </row>
    <row r="13089" spans="1:5" ht="13">
      <c r="A13089" s="115"/>
      <c r="B13089" s="115"/>
      <c r="C13089" s="115"/>
      <c r="D13089" s="115"/>
      <c r="E13089" s="115"/>
    </row>
    <row r="13090" spans="1:5" ht="13">
      <c r="A13090" s="115"/>
      <c r="B13090" s="115"/>
      <c r="C13090" s="115"/>
      <c r="D13090" s="115"/>
      <c r="E13090" s="115"/>
    </row>
    <row r="13091" spans="1:5" ht="13">
      <c r="A13091" s="115"/>
      <c r="B13091" s="115"/>
      <c r="C13091" s="115"/>
      <c r="D13091" s="115"/>
      <c r="E13091" s="115"/>
    </row>
    <row r="13092" spans="1:5" ht="13">
      <c r="A13092" s="115"/>
      <c r="B13092" s="115"/>
      <c r="C13092" s="115"/>
      <c r="D13092" s="115"/>
      <c r="E13092" s="115"/>
    </row>
    <row r="13093" spans="1:5" ht="13">
      <c r="A13093" s="115"/>
      <c r="B13093" s="115"/>
      <c r="C13093" s="115"/>
      <c r="D13093" s="115"/>
      <c r="E13093" s="115"/>
    </row>
    <row r="13094" spans="1:5" ht="13">
      <c r="A13094" s="115"/>
      <c r="B13094" s="115"/>
      <c r="C13094" s="115"/>
      <c r="D13094" s="115"/>
      <c r="E13094" s="115"/>
    </row>
    <row r="13095" spans="1:5" ht="13">
      <c r="A13095" s="115"/>
      <c r="B13095" s="115"/>
      <c r="C13095" s="115"/>
      <c r="D13095" s="115"/>
      <c r="E13095" s="115"/>
    </row>
    <row r="13096" spans="1:5" ht="13">
      <c r="A13096" s="115"/>
      <c r="B13096" s="115"/>
      <c r="C13096" s="115"/>
      <c r="D13096" s="115"/>
      <c r="E13096" s="115"/>
    </row>
    <row r="13097" spans="1:5" ht="13">
      <c r="A13097" s="115"/>
      <c r="B13097" s="115"/>
      <c r="C13097" s="115"/>
      <c r="D13097" s="115"/>
      <c r="E13097" s="115"/>
    </row>
    <row r="13098" spans="1:5" ht="13">
      <c r="A13098" s="115"/>
      <c r="B13098" s="115"/>
      <c r="C13098" s="115"/>
      <c r="D13098" s="115"/>
      <c r="E13098" s="115"/>
    </row>
    <row r="13099" spans="1:5" ht="13">
      <c r="A13099" s="115"/>
      <c r="B13099" s="115"/>
      <c r="C13099" s="115"/>
      <c r="D13099" s="115"/>
      <c r="E13099" s="115"/>
    </row>
    <row r="13100" spans="1:5" ht="13">
      <c r="A13100" s="115"/>
      <c r="B13100" s="115"/>
      <c r="C13100" s="115"/>
      <c r="D13100" s="115"/>
      <c r="E13100" s="115"/>
    </row>
    <row r="13101" spans="1:5" ht="13">
      <c r="A13101" s="115"/>
      <c r="B13101" s="115"/>
      <c r="C13101" s="115"/>
      <c r="D13101" s="115"/>
      <c r="E13101" s="115"/>
    </row>
    <row r="13102" spans="1:5" ht="13">
      <c r="A13102" s="115"/>
      <c r="B13102" s="115"/>
      <c r="C13102" s="115"/>
      <c r="D13102" s="115"/>
      <c r="E13102" s="115"/>
    </row>
    <row r="13103" spans="1:5" ht="13">
      <c r="A13103" s="115"/>
      <c r="B13103" s="115"/>
      <c r="C13103" s="115"/>
      <c r="D13103" s="115"/>
      <c r="E13103" s="115"/>
    </row>
    <row r="13104" spans="1:5" ht="13">
      <c r="A13104" s="115"/>
      <c r="B13104" s="115"/>
      <c r="C13104" s="115"/>
      <c r="D13104" s="115"/>
      <c r="E13104" s="115"/>
    </row>
    <row r="13105" spans="1:5" ht="13">
      <c r="A13105" s="115"/>
      <c r="B13105" s="115"/>
      <c r="C13105" s="115"/>
      <c r="D13105" s="115"/>
      <c r="E13105" s="115"/>
    </row>
    <row r="13106" spans="1:5" ht="13">
      <c r="A13106" s="115"/>
      <c r="B13106" s="115"/>
      <c r="C13106" s="115"/>
      <c r="D13106" s="115"/>
      <c r="E13106" s="115"/>
    </row>
    <row r="13107" spans="1:5" ht="13">
      <c r="A13107" s="115"/>
      <c r="B13107" s="115"/>
      <c r="C13107" s="115"/>
      <c r="D13107" s="115"/>
      <c r="E13107" s="115"/>
    </row>
    <row r="13108" spans="1:5" ht="13">
      <c r="A13108" s="115"/>
      <c r="B13108" s="115"/>
      <c r="C13108" s="115"/>
      <c r="D13108" s="115"/>
      <c r="E13108" s="115"/>
    </row>
    <row r="13109" spans="1:5" ht="13">
      <c r="A13109" s="115"/>
      <c r="B13109" s="115"/>
      <c r="C13109" s="115"/>
      <c r="D13109" s="115"/>
      <c r="E13109" s="115"/>
    </row>
    <row r="13110" spans="1:5" ht="13">
      <c r="A13110" s="115"/>
      <c r="B13110" s="115"/>
      <c r="C13110" s="115"/>
      <c r="D13110" s="115"/>
      <c r="E13110" s="115"/>
    </row>
    <row r="13111" spans="1:5" ht="13">
      <c r="A13111" s="115"/>
      <c r="B13111" s="115"/>
      <c r="C13111" s="115"/>
      <c r="D13111" s="115"/>
      <c r="E13111" s="115"/>
    </row>
    <row r="13112" spans="1:5" ht="13">
      <c r="A13112" s="115"/>
      <c r="B13112" s="115"/>
      <c r="C13112" s="115"/>
      <c r="D13112" s="115"/>
      <c r="E13112" s="115"/>
    </row>
    <row r="13113" spans="1:5" ht="13">
      <c r="A13113" s="115"/>
      <c r="B13113" s="115"/>
      <c r="C13113" s="115"/>
      <c r="D13113" s="115"/>
      <c r="E13113" s="115"/>
    </row>
    <row r="13114" spans="1:5" ht="13">
      <c r="A13114" s="115"/>
      <c r="B13114" s="115"/>
      <c r="C13114" s="115"/>
      <c r="D13114" s="115"/>
      <c r="E13114" s="115"/>
    </row>
    <row r="13115" spans="1:5" ht="13">
      <c r="A13115" s="115"/>
      <c r="B13115" s="115"/>
      <c r="C13115" s="115"/>
      <c r="D13115" s="115"/>
      <c r="E13115" s="115"/>
    </row>
    <row r="13116" spans="1:5" ht="13">
      <c r="A13116" s="115"/>
      <c r="B13116" s="115"/>
      <c r="C13116" s="115"/>
      <c r="D13116" s="115"/>
      <c r="E13116" s="115"/>
    </row>
    <row r="13117" spans="1:5" ht="13">
      <c r="A13117" s="115"/>
      <c r="B13117" s="115"/>
      <c r="C13117" s="115"/>
      <c r="D13117" s="115"/>
      <c r="E13117" s="115"/>
    </row>
    <row r="13118" spans="1:5" ht="13">
      <c r="A13118" s="115"/>
      <c r="B13118" s="115"/>
      <c r="C13118" s="115"/>
      <c r="D13118" s="115"/>
      <c r="E13118" s="115"/>
    </row>
    <row r="13119" spans="1:5" ht="13">
      <c r="A13119" s="115"/>
      <c r="B13119" s="115"/>
      <c r="C13119" s="115"/>
      <c r="D13119" s="115"/>
      <c r="E13119" s="115"/>
    </row>
    <row r="13120" spans="1:5" ht="13">
      <c r="A13120" s="115"/>
      <c r="B13120" s="115"/>
      <c r="C13120" s="115"/>
      <c r="D13120" s="115"/>
      <c r="E13120" s="115"/>
    </row>
    <row r="13121" spans="1:5" ht="13">
      <c r="A13121" s="115"/>
      <c r="B13121" s="115"/>
      <c r="C13121" s="115"/>
      <c r="D13121" s="115"/>
      <c r="E13121" s="115"/>
    </row>
    <row r="13122" spans="1:5" ht="13">
      <c r="A13122" s="115"/>
      <c r="B13122" s="115"/>
      <c r="C13122" s="115"/>
      <c r="D13122" s="115"/>
      <c r="E13122" s="115"/>
    </row>
    <row r="13123" spans="1:5" ht="13">
      <c r="A13123" s="115"/>
      <c r="B13123" s="115"/>
      <c r="C13123" s="115"/>
      <c r="D13123" s="115"/>
      <c r="E13123" s="115"/>
    </row>
    <row r="13124" spans="1:5" ht="13">
      <c r="A13124" s="115"/>
      <c r="B13124" s="115"/>
      <c r="C13124" s="115"/>
      <c r="D13124" s="115"/>
      <c r="E13124" s="115"/>
    </row>
    <row r="13125" spans="1:5" ht="13">
      <c r="A13125" s="115"/>
      <c r="B13125" s="115"/>
      <c r="C13125" s="115"/>
      <c r="D13125" s="115"/>
      <c r="E13125" s="115"/>
    </row>
    <row r="13126" spans="1:5" ht="13">
      <c r="A13126" s="115"/>
      <c r="B13126" s="115"/>
      <c r="C13126" s="115"/>
      <c r="D13126" s="115"/>
      <c r="E13126" s="115"/>
    </row>
    <row r="13127" spans="1:5" ht="13">
      <c r="A13127" s="115"/>
      <c r="B13127" s="115"/>
      <c r="C13127" s="115"/>
      <c r="D13127" s="115"/>
      <c r="E13127" s="115"/>
    </row>
    <row r="13128" spans="1:5" ht="13">
      <c r="A13128" s="115"/>
      <c r="B13128" s="115"/>
      <c r="C13128" s="115"/>
      <c r="D13128" s="115"/>
      <c r="E13128" s="115"/>
    </row>
    <row r="13129" spans="1:5" ht="13">
      <c r="A13129" s="115"/>
      <c r="B13129" s="115"/>
      <c r="C13129" s="115"/>
      <c r="D13129" s="115"/>
      <c r="E13129" s="115"/>
    </row>
    <row r="13130" spans="1:5" ht="13">
      <c r="A13130" s="115"/>
      <c r="B13130" s="115"/>
      <c r="C13130" s="115"/>
      <c r="D13130" s="115"/>
      <c r="E13130" s="115"/>
    </row>
    <row r="13131" spans="1:5" ht="13">
      <c r="A13131" s="115"/>
      <c r="B13131" s="115"/>
      <c r="C13131" s="115"/>
      <c r="D13131" s="115"/>
      <c r="E13131" s="115"/>
    </row>
    <row r="13132" spans="1:5" ht="13">
      <c r="A13132" s="115"/>
      <c r="B13132" s="115"/>
      <c r="C13132" s="115"/>
      <c r="D13132" s="115"/>
      <c r="E13132" s="115"/>
    </row>
    <row r="13133" spans="1:5" ht="13">
      <c r="A13133" s="115"/>
      <c r="B13133" s="115"/>
      <c r="C13133" s="115"/>
      <c r="D13133" s="115"/>
      <c r="E13133" s="115"/>
    </row>
    <row r="13134" spans="1:5" ht="13">
      <c r="A13134" s="115"/>
      <c r="B13134" s="115"/>
      <c r="C13134" s="115"/>
      <c r="D13134" s="115"/>
      <c r="E13134" s="115"/>
    </row>
    <row r="13135" spans="1:5" ht="13">
      <c r="A13135" s="115"/>
      <c r="B13135" s="115"/>
      <c r="C13135" s="115"/>
      <c r="D13135" s="115"/>
      <c r="E13135" s="115"/>
    </row>
    <row r="13136" spans="1:5" ht="13">
      <c r="A13136" s="115"/>
      <c r="B13136" s="115"/>
      <c r="C13136" s="115"/>
      <c r="D13136" s="115"/>
      <c r="E13136" s="115"/>
    </row>
    <row r="13137" spans="1:5" ht="13">
      <c r="A13137" s="115"/>
      <c r="B13137" s="115"/>
      <c r="C13137" s="115"/>
      <c r="D13137" s="115"/>
      <c r="E13137" s="115"/>
    </row>
    <row r="13138" spans="1:5" ht="13">
      <c r="A13138" s="115"/>
      <c r="B13138" s="115"/>
      <c r="C13138" s="115"/>
      <c r="D13138" s="115"/>
      <c r="E13138" s="115"/>
    </row>
    <row r="13139" spans="1:5" ht="13">
      <c r="A13139" s="115"/>
      <c r="B13139" s="115"/>
      <c r="C13139" s="115"/>
      <c r="D13139" s="115"/>
      <c r="E13139" s="115"/>
    </row>
    <row r="13140" spans="1:5" ht="13">
      <c r="A13140" s="115"/>
      <c r="B13140" s="115"/>
      <c r="C13140" s="115"/>
      <c r="D13140" s="115"/>
      <c r="E13140" s="115"/>
    </row>
    <row r="13141" spans="1:5" ht="13">
      <c r="A13141" s="115"/>
      <c r="B13141" s="115"/>
      <c r="C13141" s="115"/>
      <c r="D13141" s="115"/>
      <c r="E13141" s="115"/>
    </row>
    <row r="13142" spans="1:5" ht="13">
      <c r="A13142" s="115"/>
      <c r="B13142" s="115"/>
      <c r="C13142" s="115"/>
      <c r="D13142" s="115"/>
      <c r="E13142" s="115"/>
    </row>
    <row r="13143" spans="1:5" ht="13">
      <c r="A13143" s="115"/>
      <c r="B13143" s="115"/>
      <c r="C13143" s="115"/>
      <c r="D13143" s="115"/>
      <c r="E13143" s="115"/>
    </row>
    <row r="13144" spans="1:5" ht="13">
      <c r="A13144" s="115"/>
      <c r="B13144" s="115"/>
      <c r="C13144" s="115"/>
      <c r="D13144" s="115"/>
      <c r="E13144" s="115"/>
    </row>
    <row r="13145" spans="1:5" ht="13">
      <c r="A13145" s="115"/>
      <c r="B13145" s="115"/>
      <c r="C13145" s="115"/>
      <c r="D13145" s="115"/>
      <c r="E13145" s="115"/>
    </row>
    <row r="13146" spans="1:5" ht="13">
      <c r="A13146" s="115"/>
      <c r="B13146" s="115"/>
      <c r="C13146" s="115"/>
      <c r="D13146" s="115"/>
      <c r="E13146" s="115"/>
    </row>
    <row r="13147" spans="1:5" ht="13">
      <c r="A13147" s="115"/>
      <c r="B13147" s="115"/>
      <c r="C13147" s="115"/>
      <c r="D13147" s="115"/>
      <c r="E13147" s="115"/>
    </row>
    <row r="13148" spans="1:5" ht="13">
      <c r="A13148" s="115"/>
      <c r="B13148" s="115"/>
      <c r="C13148" s="115"/>
      <c r="D13148" s="115"/>
      <c r="E13148" s="115"/>
    </row>
    <row r="13149" spans="1:5" ht="13">
      <c r="A13149" s="115"/>
      <c r="B13149" s="115"/>
      <c r="C13149" s="115"/>
      <c r="D13149" s="115"/>
      <c r="E13149" s="115"/>
    </row>
    <row r="13150" spans="1:5" ht="13">
      <c r="A13150" s="115"/>
      <c r="B13150" s="115"/>
      <c r="C13150" s="115"/>
      <c r="D13150" s="115"/>
      <c r="E13150" s="115"/>
    </row>
    <row r="13151" spans="1:5" ht="13">
      <c r="A13151" s="115"/>
      <c r="B13151" s="115"/>
      <c r="C13151" s="115"/>
      <c r="D13151" s="115"/>
      <c r="E13151" s="115"/>
    </row>
    <row r="13152" spans="1:5" ht="13">
      <c r="A13152" s="115"/>
      <c r="B13152" s="115"/>
      <c r="C13152" s="115"/>
      <c r="D13152" s="115"/>
      <c r="E13152" s="115"/>
    </row>
    <row r="13153" spans="1:5" ht="13">
      <c r="A13153" s="115"/>
      <c r="B13153" s="115"/>
      <c r="C13153" s="115"/>
      <c r="D13153" s="115"/>
      <c r="E13153" s="115"/>
    </row>
    <row r="13154" spans="1:5" ht="13">
      <c r="A13154" s="115"/>
      <c r="B13154" s="115"/>
      <c r="C13154" s="115"/>
      <c r="D13154" s="115"/>
      <c r="E13154" s="115"/>
    </row>
    <row r="13155" spans="1:5" ht="13">
      <c r="A13155" s="115"/>
      <c r="B13155" s="115"/>
      <c r="C13155" s="115"/>
      <c r="D13155" s="115"/>
      <c r="E13155" s="115"/>
    </row>
    <row r="13156" spans="1:5" ht="13">
      <c r="A13156" s="115"/>
      <c r="B13156" s="115"/>
      <c r="C13156" s="115"/>
      <c r="D13156" s="115"/>
      <c r="E13156" s="115"/>
    </row>
    <row r="13157" spans="1:5" ht="13">
      <c r="A13157" s="115"/>
      <c r="B13157" s="115"/>
      <c r="C13157" s="115"/>
      <c r="D13157" s="115"/>
      <c r="E13157" s="115"/>
    </row>
    <row r="13158" spans="1:5" ht="13">
      <c r="A13158" s="115"/>
      <c r="B13158" s="115"/>
      <c r="C13158" s="115"/>
      <c r="D13158" s="115"/>
      <c r="E13158" s="115"/>
    </row>
    <row r="13159" spans="1:5" ht="13">
      <c r="A13159" s="115"/>
      <c r="B13159" s="115"/>
      <c r="C13159" s="115"/>
      <c r="D13159" s="115"/>
      <c r="E13159" s="115"/>
    </row>
    <row r="13160" spans="1:5" ht="13">
      <c r="A13160" s="115"/>
      <c r="B13160" s="115"/>
      <c r="C13160" s="115"/>
      <c r="D13160" s="115"/>
      <c r="E13160" s="115"/>
    </row>
    <row r="13161" spans="1:5" ht="13">
      <c r="A13161" s="115"/>
      <c r="B13161" s="115"/>
      <c r="C13161" s="115"/>
      <c r="D13161" s="115"/>
      <c r="E13161" s="115"/>
    </row>
    <row r="13162" spans="1:5" ht="13">
      <c r="A13162" s="115"/>
      <c r="B13162" s="115"/>
      <c r="C13162" s="115"/>
      <c r="D13162" s="115"/>
      <c r="E13162" s="115"/>
    </row>
    <row r="13163" spans="1:5" ht="13">
      <c r="A13163" s="115"/>
      <c r="B13163" s="115"/>
      <c r="C13163" s="115"/>
      <c r="D13163" s="115"/>
      <c r="E13163" s="115"/>
    </row>
    <row r="13164" spans="1:5" ht="13">
      <c r="A13164" s="115"/>
      <c r="B13164" s="115"/>
      <c r="C13164" s="115"/>
      <c r="D13164" s="115"/>
      <c r="E13164" s="115"/>
    </row>
    <row r="13165" spans="1:5" ht="13">
      <c r="A13165" s="115"/>
      <c r="B13165" s="115"/>
      <c r="C13165" s="115"/>
      <c r="D13165" s="115"/>
      <c r="E13165" s="115"/>
    </row>
    <row r="13166" spans="1:5" ht="13">
      <c r="A13166" s="115"/>
      <c r="B13166" s="115"/>
      <c r="C13166" s="115"/>
      <c r="D13166" s="115"/>
      <c r="E13166" s="115"/>
    </row>
    <row r="13167" spans="1:5" ht="13">
      <c r="A13167" s="115"/>
      <c r="B13167" s="115"/>
      <c r="C13167" s="115"/>
      <c r="D13167" s="115"/>
      <c r="E13167" s="115"/>
    </row>
    <row r="13168" spans="1:5" ht="13">
      <c r="A13168" s="115"/>
      <c r="B13168" s="115"/>
      <c r="C13168" s="115"/>
      <c r="D13168" s="115"/>
      <c r="E13168" s="115"/>
    </row>
    <row r="13169" spans="1:5" ht="13">
      <c r="A13169" s="115"/>
      <c r="B13169" s="115"/>
      <c r="C13169" s="115"/>
      <c r="D13169" s="115"/>
      <c r="E13169" s="115"/>
    </row>
    <row r="13170" spans="1:5" ht="13">
      <c r="A13170" s="115"/>
      <c r="B13170" s="115"/>
      <c r="C13170" s="115"/>
      <c r="D13170" s="115"/>
      <c r="E13170" s="115"/>
    </row>
    <row r="13171" spans="1:5" ht="13">
      <c r="A13171" s="115"/>
      <c r="B13171" s="115"/>
      <c r="C13171" s="115"/>
      <c r="D13171" s="115"/>
      <c r="E13171" s="115"/>
    </row>
    <row r="13172" spans="1:5" ht="13">
      <c r="A13172" s="115"/>
      <c r="B13172" s="115"/>
      <c r="C13172" s="115"/>
      <c r="D13172" s="115"/>
      <c r="E13172" s="115"/>
    </row>
    <row r="13173" spans="1:5" ht="13">
      <c r="A13173" s="115"/>
      <c r="B13173" s="115"/>
      <c r="C13173" s="115"/>
      <c r="D13173" s="115"/>
      <c r="E13173" s="115"/>
    </row>
    <row r="13174" spans="1:5" ht="13">
      <c r="A13174" s="115"/>
      <c r="B13174" s="115"/>
      <c r="C13174" s="115"/>
      <c r="D13174" s="115"/>
      <c r="E13174" s="115"/>
    </row>
    <row r="13175" spans="1:5" ht="13">
      <c r="A13175" s="115"/>
      <c r="B13175" s="115"/>
      <c r="C13175" s="115"/>
      <c r="D13175" s="115"/>
      <c r="E13175" s="115"/>
    </row>
    <row r="13176" spans="1:5" ht="13">
      <c r="A13176" s="115"/>
      <c r="B13176" s="115"/>
      <c r="C13176" s="115"/>
      <c r="D13176" s="115"/>
      <c r="E13176" s="115"/>
    </row>
    <row r="13177" spans="1:5" ht="13">
      <c r="A13177" s="115"/>
      <c r="B13177" s="115"/>
      <c r="C13177" s="115"/>
      <c r="D13177" s="115"/>
      <c r="E13177" s="115"/>
    </row>
    <row r="13178" spans="1:5" ht="13">
      <c r="A13178" s="115"/>
      <c r="B13178" s="115"/>
      <c r="C13178" s="115"/>
      <c r="D13178" s="115"/>
      <c r="E13178" s="115"/>
    </row>
    <row r="13179" spans="1:5" ht="13">
      <c r="A13179" s="115"/>
      <c r="B13179" s="115"/>
      <c r="C13179" s="115"/>
      <c r="D13179" s="115"/>
      <c r="E13179" s="115"/>
    </row>
    <row r="13180" spans="1:5" ht="13">
      <c r="A13180" s="115"/>
      <c r="B13180" s="115"/>
      <c r="C13180" s="115"/>
      <c r="D13180" s="115"/>
      <c r="E13180" s="115"/>
    </row>
    <row r="13181" spans="1:5" ht="13">
      <c r="A13181" s="115"/>
      <c r="B13181" s="115"/>
      <c r="C13181" s="115"/>
      <c r="D13181" s="115"/>
      <c r="E13181" s="115"/>
    </row>
    <row r="13182" spans="1:5" ht="13">
      <c r="A13182" s="115"/>
      <c r="B13182" s="115"/>
      <c r="C13182" s="115"/>
      <c r="D13182" s="115"/>
      <c r="E13182" s="115"/>
    </row>
    <row r="13183" spans="1:5" ht="13">
      <c r="A13183" s="115"/>
      <c r="B13183" s="115"/>
      <c r="C13183" s="115"/>
      <c r="D13183" s="115"/>
      <c r="E13183" s="115"/>
    </row>
    <row r="13184" spans="1:5" ht="13">
      <c r="A13184" s="115"/>
      <c r="B13184" s="115"/>
      <c r="C13184" s="115"/>
      <c r="D13184" s="115"/>
      <c r="E13184" s="115"/>
    </row>
    <row r="13185" spans="1:5" ht="13">
      <c r="A13185" s="115"/>
      <c r="B13185" s="115"/>
      <c r="C13185" s="115"/>
      <c r="D13185" s="115"/>
      <c r="E13185" s="115"/>
    </row>
    <row r="13186" spans="1:5" ht="13">
      <c r="A13186" s="115"/>
      <c r="B13186" s="115"/>
      <c r="C13186" s="115"/>
      <c r="D13186" s="115"/>
      <c r="E13186" s="115"/>
    </row>
    <row r="13187" spans="1:5" ht="13">
      <c r="A13187" s="115"/>
      <c r="B13187" s="115"/>
      <c r="C13187" s="115"/>
      <c r="D13187" s="115"/>
      <c r="E13187" s="115"/>
    </row>
    <row r="13188" spans="1:5" ht="13">
      <c r="A13188" s="115"/>
      <c r="B13188" s="115"/>
      <c r="C13188" s="115"/>
      <c r="D13188" s="115"/>
      <c r="E13188" s="115"/>
    </row>
    <row r="13189" spans="1:5" ht="13">
      <c r="A13189" s="115"/>
      <c r="B13189" s="115"/>
      <c r="C13189" s="115"/>
      <c r="D13189" s="115"/>
      <c r="E13189" s="115"/>
    </row>
    <row r="13190" spans="1:5" ht="13">
      <c r="A13190" s="115"/>
      <c r="B13190" s="115"/>
      <c r="C13190" s="115"/>
      <c r="D13190" s="115"/>
      <c r="E13190" s="115"/>
    </row>
    <row r="13191" spans="1:5" ht="13">
      <c r="A13191" s="115"/>
      <c r="B13191" s="115"/>
      <c r="C13191" s="115"/>
      <c r="D13191" s="115"/>
      <c r="E13191" s="115"/>
    </row>
    <row r="13192" spans="1:5" ht="13">
      <c r="A13192" s="115"/>
      <c r="B13192" s="115"/>
      <c r="C13192" s="115"/>
      <c r="D13192" s="115"/>
      <c r="E13192" s="115"/>
    </row>
    <row r="13193" spans="1:5" ht="13">
      <c r="A13193" s="115"/>
      <c r="B13193" s="115"/>
      <c r="C13193" s="115"/>
      <c r="D13193" s="115"/>
      <c r="E13193" s="115"/>
    </row>
    <row r="13194" spans="1:5" ht="13">
      <c r="A13194" s="115"/>
      <c r="B13194" s="115"/>
      <c r="C13194" s="115"/>
      <c r="D13194" s="115"/>
      <c r="E13194" s="115"/>
    </row>
    <row r="13195" spans="1:5" ht="13">
      <c r="A13195" s="115"/>
      <c r="B13195" s="115"/>
      <c r="C13195" s="115"/>
      <c r="D13195" s="115"/>
      <c r="E13195" s="115"/>
    </row>
    <row r="13196" spans="1:5" ht="13">
      <c r="A13196" s="115"/>
      <c r="B13196" s="115"/>
      <c r="C13196" s="115"/>
      <c r="D13196" s="115"/>
      <c r="E13196" s="115"/>
    </row>
    <row r="13197" spans="1:5" ht="13">
      <c r="A13197" s="115"/>
      <c r="B13197" s="115"/>
      <c r="C13197" s="115"/>
      <c r="D13197" s="115"/>
      <c r="E13197" s="115"/>
    </row>
    <row r="13198" spans="1:5" ht="13">
      <c r="A13198" s="115"/>
      <c r="B13198" s="115"/>
      <c r="C13198" s="115"/>
      <c r="D13198" s="115"/>
      <c r="E13198" s="115"/>
    </row>
    <row r="13199" spans="1:5" ht="13">
      <c r="A13199" s="115"/>
      <c r="B13199" s="115"/>
      <c r="C13199" s="115"/>
      <c r="D13199" s="115"/>
      <c r="E13199" s="115"/>
    </row>
    <row r="13200" spans="1:5" ht="13">
      <c r="A13200" s="115"/>
      <c r="B13200" s="115"/>
      <c r="C13200" s="115"/>
      <c r="D13200" s="115"/>
      <c r="E13200" s="115"/>
    </row>
    <row r="13201" spans="1:5" ht="13">
      <c r="A13201" s="115"/>
      <c r="B13201" s="115"/>
      <c r="C13201" s="115"/>
      <c r="D13201" s="115"/>
      <c r="E13201" s="115"/>
    </row>
    <row r="13202" spans="1:5" ht="13">
      <c r="A13202" s="115"/>
      <c r="B13202" s="115"/>
      <c r="C13202" s="115"/>
      <c r="D13202" s="115"/>
      <c r="E13202" s="115"/>
    </row>
    <row r="13203" spans="1:5" ht="13">
      <c r="A13203" s="115"/>
      <c r="B13203" s="115"/>
      <c r="C13203" s="115"/>
      <c r="D13203" s="115"/>
      <c r="E13203" s="115"/>
    </row>
    <row r="13204" spans="1:5" ht="13">
      <c r="A13204" s="115"/>
      <c r="B13204" s="115"/>
      <c r="C13204" s="115"/>
      <c r="D13204" s="115"/>
      <c r="E13204" s="115"/>
    </row>
    <row r="13205" spans="1:5" ht="13">
      <c r="A13205" s="115"/>
      <c r="B13205" s="115"/>
      <c r="C13205" s="115"/>
      <c r="D13205" s="115"/>
      <c r="E13205" s="115"/>
    </row>
    <row r="13206" spans="1:5" ht="13">
      <c r="A13206" s="115"/>
      <c r="B13206" s="115"/>
      <c r="C13206" s="115"/>
      <c r="D13206" s="115"/>
      <c r="E13206" s="115"/>
    </row>
    <row r="13207" spans="1:5" ht="13">
      <c r="A13207" s="115"/>
      <c r="B13207" s="115"/>
      <c r="C13207" s="115"/>
      <c r="D13207" s="115"/>
      <c r="E13207" s="115"/>
    </row>
    <row r="13208" spans="1:5" ht="13">
      <c r="A13208" s="115"/>
      <c r="B13208" s="115"/>
      <c r="C13208" s="115"/>
      <c r="D13208" s="115"/>
      <c r="E13208" s="115"/>
    </row>
    <row r="13209" spans="1:5" ht="13">
      <c r="A13209" s="115"/>
      <c r="B13209" s="115"/>
      <c r="C13209" s="115"/>
      <c r="D13209" s="115"/>
      <c r="E13209" s="115"/>
    </row>
    <row r="13210" spans="1:5" ht="13">
      <c r="A13210" s="115"/>
      <c r="B13210" s="115"/>
      <c r="C13210" s="115"/>
      <c r="D13210" s="115"/>
      <c r="E13210" s="115"/>
    </row>
    <row r="13211" spans="1:5" ht="13">
      <c r="A13211" s="115"/>
      <c r="B13211" s="115"/>
      <c r="C13211" s="115"/>
      <c r="D13211" s="115"/>
      <c r="E13211" s="115"/>
    </row>
    <row r="13212" spans="1:5" ht="13">
      <c r="A13212" s="115"/>
      <c r="B13212" s="115"/>
      <c r="C13212" s="115"/>
      <c r="D13212" s="115"/>
      <c r="E13212" s="115"/>
    </row>
    <row r="13213" spans="1:5" ht="13">
      <c r="A13213" s="115"/>
      <c r="B13213" s="115"/>
      <c r="C13213" s="115"/>
      <c r="D13213" s="115"/>
      <c r="E13213" s="115"/>
    </row>
    <row r="13214" spans="1:5" ht="13">
      <c r="A13214" s="115"/>
      <c r="B13214" s="115"/>
      <c r="C13214" s="115"/>
      <c r="D13214" s="115"/>
      <c r="E13214" s="115"/>
    </row>
    <row r="13215" spans="1:5" ht="13">
      <c r="A13215" s="115"/>
      <c r="B13215" s="115"/>
      <c r="C13215" s="115"/>
      <c r="D13215" s="115"/>
      <c r="E13215" s="115"/>
    </row>
    <row r="13216" spans="1:5" ht="13">
      <c r="A13216" s="115"/>
      <c r="B13216" s="115"/>
      <c r="C13216" s="115"/>
      <c r="D13216" s="115"/>
      <c r="E13216" s="115"/>
    </row>
    <row r="13217" spans="1:5" ht="13">
      <c r="A13217" s="115"/>
      <c r="B13217" s="115"/>
      <c r="C13217" s="115"/>
      <c r="D13217" s="115"/>
      <c r="E13217" s="115"/>
    </row>
    <row r="13218" spans="1:5" ht="13">
      <c r="A13218" s="115"/>
      <c r="B13218" s="115"/>
      <c r="C13218" s="115"/>
      <c r="D13218" s="115"/>
      <c r="E13218" s="115"/>
    </row>
    <row r="13219" spans="1:5" ht="13">
      <c r="A13219" s="115"/>
      <c r="B13219" s="115"/>
      <c r="C13219" s="115"/>
      <c r="D13219" s="115"/>
      <c r="E13219" s="115"/>
    </row>
    <row r="13220" spans="1:5" ht="13">
      <c r="A13220" s="115"/>
      <c r="B13220" s="115"/>
      <c r="C13220" s="115"/>
      <c r="D13220" s="115"/>
      <c r="E13220" s="115"/>
    </row>
    <row r="13221" spans="1:5" ht="13">
      <c r="A13221" s="115"/>
      <c r="B13221" s="115"/>
      <c r="C13221" s="115"/>
      <c r="D13221" s="115"/>
      <c r="E13221" s="115"/>
    </row>
    <row r="13222" spans="1:5" ht="13">
      <c r="A13222" s="115"/>
      <c r="B13222" s="115"/>
      <c r="C13222" s="115"/>
      <c r="D13222" s="115"/>
      <c r="E13222" s="115"/>
    </row>
    <row r="13223" spans="1:5" ht="13">
      <c r="A13223" s="115"/>
      <c r="B13223" s="115"/>
      <c r="C13223" s="115"/>
      <c r="D13223" s="115"/>
      <c r="E13223" s="115"/>
    </row>
    <row r="13224" spans="1:5" ht="13">
      <c r="A13224" s="115"/>
      <c r="B13224" s="115"/>
      <c r="C13224" s="115"/>
      <c r="D13224" s="115"/>
      <c r="E13224" s="115"/>
    </row>
    <row r="13225" spans="1:5" ht="13">
      <c r="A13225" s="115"/>
      <c r="B13225" s="115"/>
      <c r="C13225" s="115"/>
      <c r="D13225" s="115"/>
      <c r="E13225" s="115"/>
    </row>
    <row r="13226" spans="1:5" ht="13">
      <c r="A13226" s="115"/>
      <c r="B13226" s="115"/>
      <c r="C13226" s="115"/>
      <c r="D13226" s="115"/>
      <c r="E13226" s="115"/>
    </row>
    <row r="13227" spans="1:5" ht="13">
      <c r="A13227" s="115"/>
      <c r="B13227" s="115"/>
      <c r="C13227" s="115"/>
      <c r="D13227" s="115"/>
      <c r="E13227" s="115"/>
    </row>
    <row r="13228" spans="1:5" ht="13">
      <c r="A13228" s="115"/>
      <c r="B13228" s="115"/>
      <c r="C13228" s="115"/>
      <c r="D13228" s="115"/>
      <c r="E13228" s="115"/>
    </row>
    <row r="13229" spans="1:5" ht="13">
      <c r="A13229" s="115"/>
      <c r="B13229" s="115"/>
      <c r="C13229" s="115"/>
      <c r="D13229" s="115"/>
      <c r="E13229" s="115"/>
    </row>
    <row r="13230" spans="1:5" ht="13">
      <c r="A13230" s="115"/>
      <c r="B13230" s="115"/>
      <c r="C13230" s="115"/>
      <c r="D13230" s="115"/>
      <c r="E13230" s="115"/>
    </row>
    <row r="13231" spans="1:5" ht="13">
      <c r="A13231" s="115"/>
      <c r="B13231" s="115"/>
      <c r="C13231" s="115"/>
      <c r="D13231" s="115"/>
      <c r="E13231" s="115"/>
    </row>
    <row r="13232" spans="1:5" ht="13">
      <c r="A13232" s="115"/>
      <c r="B13232" s="115"/>
      <c r="C13232" s="115"/>
      <c r="D13232" s="115"/>
      <c r="E13232" s="115"/>
    </row>
    <row r="13233" spans="1:5" ht="13">
      <c r="A13233" s="115"/>
      <c r="B13233" s="115"/>
      <c r="C13233" s="115"/>
      <c r="D13233" s="115"/>
      <c r="E13233" s="115"/>
    </row>
    <row r="13234" spans="1:5" ht="13">
      <c r="A13234" s="115"/>
      <c r="B13234" s="115"/>
      <c r="C13234" s="115"/>
      <c r="D13234" s="115"/>
      <c r="E13234" s="115"/>
    </row>
    <row r="13235" spans="1:5" ht="13">
      <c r="A13235" s="115"/>
      <c r="B13235" s="115"/>
      <c r="C13235" s="115"/>
      <c r="D13235" s="115"/>
      <c r="E13235" s="115"/>
    </row>
    <row r="13236" spans="1:5" ht="13">
      <c r="A13236" s="115"/>
      <c r="B13236" s="115"/>
      <c r="C13236" s="115"/>
      <c r="D13236" s="115"/>
      <c r="E13236" s="115"/>
    </row>
    <row r="13237" spans="1:5" ht="13">
      <c r="A13237" s="115"/>
      <c r="B13237" s="115"/>
      <c r="C13237" s="115"/>
      <c r="D13237" s="115"/>
      <c r="E13237" s="115"/>
    </row>
    <row r="13238" spans="1:5" ht="13">
      <c r="A13238" s="115"/>
      <c r="B13238" s="115"/>
      <c r="C13238" s="115"/>
      <c r="D13238" s="115"/>
      <c r="E13238" s="115"/>
    </row>
    <row r="13239" spans="1:5" ht="13">
      <c r="A13239" s="115"/>
      <c r="B13239" s="115"/>
      <c r="C13239" s="115"/>
      <c r="D13239" s="115"/>
      <c r="E13239" s="115"/>
    </row>
    <row r="13240" spans="1:5" ht="13">
      <c r="A13240" s="115"/>
      <c r="B13240" s="115"/>
      <c r="C13240" s="115"/>
      <c r="D13240" s="115"/>
      <c r="E13240" s="115"/>
    </row>
    <row r="13241" spans="1:5" ht="13">
      <c r="A13241" s="115"/>
      <c r="B13241" s="115"/>
      <c r="C13241" s="115"/>
      <c r="D13241" s="115"/>
      <c r="E13241" s="115"/>
    </row>
    <row r="13242" spans="1:5" ht="13">
      <c r="A13242" s="115"/>
      <c r="B13242" s="115"/>
      <c r="C13242" s="115"/>
      <c r="D13242" s="115"/>
      <c r="E13242" s="115"/>
    </row>
    <row r="13243" spans="1:5" ht="13">
      <c r="A13243" s="115"/>
      <c r="B13243" s="115"/>
      <c r="C13243" s="115"/>
      <c r="D13243" s="115"/>
      <c r="E13243" s="115"/>
    </row>
    <row r="13244" spans="1:5" ht="13">
      <c r="A13244" s="115"/>
      <c r="B13244" s="115"/>
      <c r="C13244" s="115"/>
      <c r="D13244" s="115"/>
      <c r="E13244" s="115"/>
    </row>
    <row r="13245" spans="1:5" ht="13">
      <c r="A13245" s="115"/>
      <c r="B13245" s="115"/>
      <c r="C13245" s="115"/>
      <c r="D13245" s="115"/>
      <c r="E13245" s="115"/>
    </row>
    <row r="13246" spans="1:5" ht="13">
      <c r="A13246" s="115"/>
      <c r="B13246" s="115"/>
      <c r="C13246" s="115"/>
      <c r="D13246" s="115"/>
      <c r="E13246" s="115"/>
    </row>
    <row r="13247" spans="1:5" ht="13">
      <c r="A13247" s="115"/>
      <c r="B13247" s="115"/>
      <c r="C13247" s="115"/>
      <c r="D13247" s="115"/>
      <c r="E13247" s="115"/>
    </row>
    <row r="13248" spans="1:5" ht="13">
      <c r="A13248" s="115"/>
      <c r="B13248" s="115"/>
      <c r="C13248" s="115"/>
      <c r="D13248" s="115"/>
      <c r="E13248" s="115"/>
    </row>
    <row r="13249" spans="1:5" ht="13">
      <c r="A13249" s="115"/>
      <c r="B13249" s="115"/>
      <c r="C13249" s="115"/>
      <c r="D13249" s="115"/>
      <c r="E13249" s="115"/>
    </row>
    <row r="13250" spans="1:5" ht="13">
      <c r="A13250" s="115"/>
      <c r="B13250" s="115"/>
      <c r="C13250" s="115"/>
      <c r="D13250" s="115"/>
      <c r="E13250" s="115"/>
    </row>
    <row r="13251" spans="1:5" ht="13">
      <c r="A13251" s="115"/>
      <c r="B13251" s="115"/>
      <c r="C13251" s="115"/>
      <c r="D13251" s="115"/>
      <c r="E13251" s="115"/>
    </row>
    <row r="13252" spans="1:5" ht="13">
      <c r="A13252" s="115"/>
      <c r="B13252" s="115"/>
      <c r="C13252" s="115"/>
      <c r="D13252" s="115"/>
      <c r="E13252" s="115"/>
    </row>
    <row r="13253" spans="1:5" ht="13">
      <c r="A13253" s="115"/>
      <c r="B13253" s="115"/>
      <c r="C13253" s="115"/>
      <c r="D13253" s="115"/>
      <c r="E13253" s="115"/>
    </row>
    <row r="13254" spans="1:5" ht="13">
      <c r="A13254" s="115"/>
      <c r="B13254" s="115"/>
      <c r="C13254" s="115"/>
      <c r="D13254" s="115"/>
      <c r="E13254" s="115"/>
    </row>
    <row r="13255" spans="1:5" ht="13">
      <c r="A13255" s="115"/>
      <c r="B13255" s="115"/>
      <c r="C13255" s="115"/>
      <c r="D13255" s="115"/>
      <c r="E13255" s="115"/>
    </row>
    <row r="13256" spans="1:5" ht="13">
      <c r="A13256" s="115"/>
      <c r="B13256" s="115"/>
      <c r="C13256" s="115"/>
      <c r="D13256" s="115"/>
      <c r="E13256" s="115"/>
    </row>
    <row r="13257" spans="1:5" ht="13">
      <c r="A13257" s="115"/>
      <c r="B13257" s="115"/>
      <c r="C13257" s="115"/>
      <c r="D13257" s="115"/>
      <c r="E13257" s="115"/>
    </row>
    <row r="13258" spans="1:5" ht="13">
      <c r="A13258" s="115"/>
      <c r="B13258" s="115"/>
      <c r="C13258" s="115"/>
      <c r="D13258" s="115"/>
      <c r="E13258" s="115"/>
    </row>
    <row r="13259" spans="1:5" ht="13">
      <c r="A13259" s="115"/>
      <c r="B13259" s="115"/>
      <c r="C13259" s="115"/>
      <c r="D13259" s="115"/>
      <c r="E13259" s="115"/>
    </row>
    <row r="13260" spans="1:5" ht="13">
      <c r="A13260" s="115"/>
      <c r="B13260" s="115"/>
      <c r="C13260" s="115"/>
      <c r="D13260" s="115"/>
      <c r="E13260" s="115"/>
    </row>
    <row r="13261" spans="1:5" ht="13">
      <c r="A13261" s="115"/>
      <c r="B13261" s="115"/>
      <c r="C13261" s="115"/>
      <c r="D13261" s="115"/>
      <c r="E13261" s="115"/>
    </row>
    <row r="13262" spans="1:5" ht="13">
      <c r="A13262" s="115"/>
      <c r="B13262" s="115"/>
      <c r="C13262" s="115"/>
      <c r="D13262" s="115"/>
      <c r="E13262" s="115"/>
    </row>
    <row r="13263" spans="1:5" ht="13">
      <c r="A13263" s="115"/>
      <c r="B13263" s="115"/>
      <c r="C13263" s="115"/>
      <c r="D13263" s="115"/>
      <c r="E13263" s="115"/>
    </row>
    <row r="13264" spans="1:5" ht="13">
      <c r="A13264" s="115"/>
      <c r="B13264" s="115"/>
      <c r="C13264" s="115"/>
      <c r="D13264" s="115"/>
      <c r="E13264" s="115"/>
    </row>
    <row r="13265" spans="1:5" ht="13">
      <c r="A13265" s="115"/>
      <c r="B13265" s="115"/>
      <c r="C13265" s="115"/>
      <c r="D13265" s="115"/>
      <c r="E13265" s="115"/>
    </row>
    <row r="13266" spans="1:5" ht="13">
      <c r="A13266" s="115"/>
      <c r="B13266" s="115"/>
      <c r="C13266" s="115"/>
      <c r="D13266" s="115"/>
      <c r="E13266" s="115"/>
    </row>
    <row r="13267" spans="1:5" ht="13">
      <c r="A13267" s="115"/>
      <c r="B13267" s="115"/>
      <c r="C13267" s="115"/>
      <c r="D13267" s="115"/>
      <c r="E13267" s="115"/>
    </row>
    <row r="13268" spans="1:5" ht="13">
      <c r="A13268" s="115"/>
      <c r="B13268" s="115"/>
      <c r="C13268" s="115"/>
      <c r="D13268" s="115"/>
      <c r="E13268" s="115"/>
    </row>
    <row r="13269" spans="1:5" ht="13">
      <c r="A13269" s="115"/>
      <c r="B13269" s="115"/>
      <c r="C13269" s="115"/>
      <c r="D13269" s="115"/>
      <c r="E13269" s="115"/>
    </row>
    <row r="13270" spans="1:5" ht="13">
      <c r="A13270" s="115"/>
      <c r="B13270" s="115"/>
      <c r="C13270" s="115"/>
      <c r="D13270" s="115"/>
      <c r="E13270" s="115"/>
    </row>
    <row r="13271" spans="1:5" ht="13">
      <c r="A13271" s="115"/>
      <c r="B13271" s="115"/>
      <c r="C13271" s="115"/>
      <c r="D13271" s="115"/>
      <c r="E13271" s="115"/>
    </row>
    <row r="13272" spans="1:5" ht="13">
      <c r="A13272" s="115"/>
      <c r="B13272" s="115"/>
      <c r="C13272" s="115"/>
      <c r="D13272" s="115"/>
      <c r="E13272" s="115"/>
    </row>
    <row r="13273" spans="1:5" ht="13">
      <c r="A13273" s="115"/>
      <c r="B13273" s="115"/>
      <c r="C13273" s="115"/>
      <c r="D13273" s="115"/>
      <c r="E13273" s="115"/>
    </row>
    <row r="13274" spans="1:5" ht="13">
      <c r="A13274" s="115"/>
      <c r="B13274" s="115"/>
      <c r="C13274" s="115"/>
      <c r="D13274" s="115"/>
      <c r="E13274" s="115"/>
    </row>
    <row r="13275" spans="1:5" ht="13">
      <c r="A13275" s="115"/>
      <c r="B13275" s="115"/>
      <c r="C13275" s="115"/>
      <c r="D13275" s="115"/>
      <c r="E13275" s="115"/>
    </row>
    <row r="13276" spans="1:5" ht="13">
      <c r="A13276" s="115"/>
      <c r="B13276" s="115"/>
      <c r="C13276" s="115"/>
      <c r="D13276" s="115"/>
      <c r="E13276" s="115"/>
    </row>
    <row r="13277" spans="1:5" ht="13">
      <c r="A13277" s="115"/>
      <c r="B13277" s="115"/>
      <c r="C13277" s="115"/>
      <c r="D13277" s="115"/>
      <c r="E13277" s="115"/>
    </row>
    <row r="13278" spans="1:5" ht="13">
      <c r="A13278" s="115"/>
      <c r="B13278" s="115"/>
      <c r="C13278" s="115"/>
      <c r="D13278" s="115"/>
      <c r="E13278" s="115"/>
    </row>
    <row r="13279" spans="1:5" ht="13">
      <c r="A13279" s="115"/>
      <c r="B13279" s="115"/>
      <c r="C13279" s="115"/>
      <c r="D13279" s="115"/>
      <c r="E13279" s="115"/>
    </row>
    <row r="13280" spans="1:5" ht="13">
      <c r="A13280" s="115"/>
      <c r="B13280" s="115"/>
      <c r="C13280" s="115"/>
      <c r="D13280" s="115"/>
      <c r="E13280" s="115"/>
    </row>
    <row r="13281" spans="1:5" ht="13">
      <c r="A13281" s="115"/>
      <c r="B13281" s="115"/>
      <c r="C13281" s="115"/>
      <c r="D13281" s="115"/>
      <c r="E13281" s="115"/>
    </row>
    <row r="13282" spans="1:5" ht="13">
      <c r="A13282" s="115"/>
      <c r="B13282" s="115"/>
      <c r="C13282" s="115"/>
      <c r="D13282" s="115"/>
      <c r="E13282" s="115"/>
    </row>
    <row r="13283" spans="1:5" ht="13">
      <c r="A13283" s="115"/>
      <c r="B13283" s="115"/>
      <c r="C13283" s="115"/>
      <c r="D13283" s="115"/>
      <c r="E13283" s="115"/>
    </row>
    <row r="13284" spans="1:5" ht="13">
      <c r="A13284" s="115"/>
      <c r="B13284" s="115"/>
      <c r="C13284" s="115"/>
      <c r="D13284" s="115"/>
      <c r="E13284" s="115"/>
    </row>
    <row r="13285" spans="1:5" ht="13">
      <c r="A13285" s="115"/>
      <c r="B13285" s="115"/>
      <c r="C13285" s="115"/>
      <c r="D13285" s="115"/>
      <c r="E13285" s="115"/>
    </row>
    <row r="13286" spans="1:5" ht="13">
      <c r="A13286" s="115"/>
      <c r="B13286" s="115"/>
      <c r="C13286" s="115"/>
      <c r="D13286" s="115"/>
      <c r="E13286" s="115"/>
    </row>
    <row r="13287" spans="1:5" ht="13">
      <c r="A13287" s="115"/>
      <c r="B13287" s="115"/>
      <c r="C13287" s="115"/>
      <c r="D13287" s="115"/>
      <c r="E13287" s="115"/>
    </row>
    <row r="13288" spans="1:5" ht="13">
      <c r="A13288" s="115"/>
      <c r="B13288" s="115"/>
      <c r="C13288" s="115"/>
      <c r="D13288" s="115"/>
      <c r="E13288" s="115"/>
    </row>
    <row r="13289" spans="1:5" ht="13">
      <c r="A13289" s="115"/>
      <c r="B13289" s="115"/>
      <c r="C13289" s="115"/>
      <c r="D13289" s="115"/>
      <c r="E13289" s="115"/>
    </row>
    <row r="13290" spans="1:5" ht="13">
      <c r="A13290" s="115"/>
      <c r="B13290" s="115"/>
      <c r="C13290" s="115"/>
      <c r="D13290" s="115"/>
      <c r="E13290" s="115"/>
    </row>
    <row r="13291" spans="1:5" ht="13">
      <c r="A13291" s="115"/>
      <c r="B13291" s="115"/>
      <c r="C13291" s="115"/>
      <c r="D13291" s="115"/>
      <c r="E13291" s="115"/>
    </row>
    <row r="13292" spans="1:5" ht="13">
      <c r="A13292" s="115"/>
      <c r="B13292" s="115"/>
      <c r="C13292" s="115"/>
      <c r="D13292" s="115"/>
      <c r="E13292" s="115"/>
    </row>
    <row r="13293" spans="1:5" ht="13">
      <c r="A13293" s="115"/>
      <c r="B13293" s="115"/>
      <c r="C13293" s="115"/>
      <c r="D13293" s="115"/>
      <c r="E13293" s="115"/>
    </row>
    <row r="13294" spans="1:5" ht="13">
      <c r="A13294" s="115"/>
      <c r="B13294" s="115"/>
      <c r="C13294" s="115"/>
      <c r="D13294" s="115"/>
      <c r="E13294" s="115"/>
    </row>
    <row r="13295" spans="1:5" ht="13">
      <c r="A13295" s="115"/>
      <c r="B13295" s="115"/>
      <c r="C13295" s="115"/>
      <c r="D13295" s="115"/>
      <c r="E13295" s="115"/>
    </row>
    <row r="13296" spans="1:5" ht="13">
      <c r="A13296" s="115"/>
      <c r="B13296" s="115"/>
      <c r="C13296" s="115"/>
      <c r="D13296" s="115"/>
      <c r="E13296" s="115"/>
    </row>
    <row r="13297" spans="1:5" ht="13">
      <c r="A13297" s="115"/>
      <c r="B13297" s="115"/>
      <c r="C13297" s="115"/>
      <c r="D13297" s="115"/>
      <c r="E13297" s="115"/>
    </row>
    <row r="13298" spans="1:5" ht="13">
      <c r="A13298" s="115"/>
      <c r="B13298" s="115"/>
      <c r="C13298" s="115"/>
      <c r="D13298" s="115"/>
      <c r="E13298" s="115"/>
    </row>
    <row r="13299" spans="1:5" ht="13">
      <c r="A13299" s="115"/>
      <c r="B13299" s="115"/>
      <c r="C13299" s="115"/>
      <c r="D13299" s="115"/>
      <c r="E13299" s="115"/>
    </row>
    <row r="13300" spans="1:5" ht="13">
      <c r="A13300" s="115"/>
      <c r="B13300" s="115"/>
      <c r="C13300" s="115"/>
      <c r="D13300" s="115"/>
      <c r="E13300" s="115"/>
    </row>
    <row r="13301" spans="1:5" ht="13">
      <c r="A13301" s="115"/>
      <c r="B13301" s="115"/>
      <c r="C13301" s="115"/>
      <c r="D13301" s="115"/>
      <c r="E13301" s="115"/>
    </row>
    <row r="13302" spans="1:5" ht="13">
      <c r="A13302" s="115"/>
      <c r="B13302" s="115"/>
      <c r="C13302" s="115"/>
      <c r="D13302" s="115"/>
      <c r="E13302" s="115"/>
    </row>
    <row r="13303" spans="1:5" ht="13">
      <c r="A13303" s="115"/>
      <c r="B13303" s="115"/>
      <c r="C13303" s="115"/>
      <c r="D13303" s="115"/>
      <c r="E13303" s="115"/>
    </row>
    <row r="13304" spans="1:5" ht="13">
      <c r="A13304" s="115"/>
      <c r="B13304" s="115"/>
      <c r="C13304" s="115"/>
      <c r="D13304" s="115"/>
      <c r="E13304" s="115"/>
    </row>
    <row r="13305" spans="1:5" ht="13">
      <c r="A13305" s="115"/>
      <c r="B13305" s="115"/>
      <c r="C13305" s="115"/>
      <c r="D13305" s="115"/>
      <c r="E13305" s="115"/>
    </row>
    <row r="13306" spans="1:5" ht="13">
      <c r="A13306" s="115"/>
      <c r="B13306" s="115"/>
      <c r="C13306" s="115"/>
      <c r="D13306" s="115"/>
      <c r="E13306" s="115"/>
    </row>
    <row r="13307" spans="1:5" ht="13">
      <c r="A13307" s="115"/>
      <c r="B13307" s="115"/>
      <c r="C13307" s="115"/>
      <c r="D13307" s="115"/>
      <c r="E13307" s="115"/>
    </row>
    <row r="13308" spans="1:5" ht="13">
      <c r="A13308" s="115"/>
      <c r="B13308" s="115"/>
      <c r="C13308" s="115"/>
      <c r="D13308" s="115"/>
      <c r="E13308" s="115"/>
    </row>
    <row r="13309" spans="1:5" ht="13">
      <c r="A13309" s="115"/>
      <c r="B13309" s="115"/>
      <c r="C13309" s="115"/>
      <c r="D13309" s="115"/>
      <c r="E13309" s="115"/>
    </row>
    <row r="13310" spans="1:5" ht="13">
      <c r="A13310" s="115"/>
      <c r="B13310" s="115"/>
      <c r="C13310" s="115"/>
      <c r="D13310" s="115"/>
      <c r="E13310" s="115"/>
    </row>
    <row r="13311" spans="1:5" ht="13">
      <c r="A13311" s="115"/>
      <c r="B13311" s="115"/>
      <c r="C13311" s="115"/>
      <c r="D13311" s="115"/>
      <c r="E13311" s="115"/>
    </row>
    <row r="13312" spans="1:5" ht="13">
      <c r="A13312" s="115"/>
      <c r="B13312" s="115"/>
      <c r="C13312" s="115"/>
      <c r="D13312" s="115"/>
      <c r="E13312" s="115"/>
    </row>
    <row r="13313" spans="1:5" ht="13">
      <c r="A13313" s="115"/>
      <c r="B13313" s="115"/>
      <c r="C13313" s="115"/>
      <c r="D13313" s="115"/>
      <c r="E13313" s="115"/>
    </row>
    <row r="13314" spans="1:5" ht="13">
      <c r="A13314" s="115"/>
      <c r="B13314" s="115"/>
      <c r="C13314" s="115"/>
      <c r="D13314" s="115"/>
      <c r="E13314" s="115"/>
    </row>
    <row r="13315" spans="1:5" ht="13">
      <c r="A13315" s="115"/>
      <c r="B13315" s="115"/>
      <c r="C13315" s="115"/>
      <c r="D13315" s="115"/>
      <c r="E13315" s="115"/>
    </row>
    <row r="13316" spans="1:5" ht="13">
      <c r="A13316" s="115"/>
      <c r="B13316" s="115"/>
      <c r="C13316" s="115"/>
      <c r="D13316" s="115"/>
      <c r="E13316" s="115"/>
    </row>
    <row r="13317" spans="1:5" ht="13">
      <c r="A13317" s="115"/>
      <c r="B13317" s="115"/>
      <c r="C13317" s="115"/>
      <c r="D13317" s="115"/>
      <c r="E13317" s="115"/>
    </row>
    <row r="13318" spans="1:5" ht="13">
      <c r="A13318" s="115"/>
      <c r="B13318" s="115"/>
      <c r="C13318" s="115"/>
      <c r="D13318" s="115"/>
      <c r="E13318" s="115"/>
    </row>
    <row r="13319" spans="1:5" ht="13">
      <c r="A13319" s="115"/>
      <c r="B13319" s="115"/>
      <c r="C13319" s="115"/>
      <c r="D13319" s="115"/>
      <c r="E13319" s="115"/>
    </row>
    <row r="13320" spans="1:5" ht="13">
      <c r="A13320" s="115"/>
      <c r="B13320" s="115"/>
      <c r="C13320" s="115"/>
      <c r="D13320" s="115"/>
      <c r="E13320" s="115"/>
    </row>
    <row r="13321" spans="1:5" ht="13">
      <c r="A13321" s="115"/>
      <c r="B13321" s="115"/>
      <c r="C13321" s="115"/>
      <c r="D13321" s="115"/>
      <c r="E13321" s="115"/>
    </row>
    <row r="13322" spans="1:5" ht="13">
      <c r="A13322" s="115"/>
      <c r="B13322" s="115"/>
      <c r="C13322" s="115"/>
      <c r="D13322" s="115"/>
      <c r="E13322" s="115"/>
    </row>
    <row r="13323" spans="1:5" ht="13">
      <c r="A13323" s="115"/>
      <c r="B13323" s="115"/>
      <c r="C13323" s="115"/>
      <c r="D13323" s="115"/>
      <c r="E13323" s="115"/>
    </row>
    <row r="13324" spans="1:5" ht="13">
      <c r="A13324" s="115"/>
      <c r="B13324" s="115"/>
      <c r="C13324" s="115"/>
      <c r="D13324" s="115"/>
      <c r="E13324" s="115"/>
    </row>
    <row r="13325" spans="1:5" ht="13">
      <c r="A13325" s="115"/>
      <c r="B13325" s="115"/>
      <c r="C13325" s="115"/>
      <c r="D13325" s="115"/>
      <c r="E13325" s="115"/>
    </row>
    <row r="13326" spans="1:5" ht="13">
      <c r="A13326" s="115"/>
      <c r="B13326" s="115"/>
      <c r="C13326" s="115"/>
      <c r="D13326" s="115"/>
      <c r="E13326" s="115"/>
    </row>
    <row r="13327" spans="1:5" ht="13">
      <c r="A13327" s="115"/>
      <c r="B13327" s="115"/>
      <c r="C13327" s="115"/>
      <c r="D13327" s="115"/>
      <c r="E13327" s="115"/>
    </row>
    <row r="13328" spans="1:5" ht="13">
      <c r="A13328" s="115"/>
      <c r="B13328" s="115"/>
      <c r="C13328" s="115"/>
      <c r="D13328" s="115"/>
      <c r="E13328" s="115"/>
    </row>
    <row r="13329" spans="1:5" ht="13">
      <c r="A13329" s="115"/>
      <c r="B13329" s="115"/>
      <c r="C13329" s="115"/>
      <c r="D13329" s="115"/>
      <c r="E13329" s="115"/>
    </row>
    <row r="13330" spans="1:5" ht="13">
      <c r="A13330" s="115"/>
      <c r="B13330" s="115"/>
      <c r="C13330" s="115"/>
      <c r="D13330" s="115"/>
      <c r="E13330" s="115"/>
    </row>
    <row r="13331" spans="1:5" ht="13">
      <c r="A13331" s="115"/>
      <c r="B13331" s="115"/>
      <c r="C13331" s="115"/>
      <c r="D13331" s="115"/>
      <c r="E13331" s="115"/>
    </row>
    <row r="13332" spans="1:5" ht="13">
      <c r="A13332" s="115"/>
      <c r="B13332" s="115"/>
      <c r="C13332" s="115"/>
      <c r="D13332" s="115"/>
      <c r="E13332" s="115"/>
    </row>
    <row r="13333" spans="1:5" ht="13">
      <c r="A13333" s="115"/>
      <c r="B13333" s="115"/>
      <c r="C13333" s="115"/>
      <c r="D13333" s="115"/>
      <c r="E13333" s="115"/>
    </row>
    <row r="13334" spans="1:5" ht="13">
      <c r="A13334" s="115"/>
      <c r="B13334" s="115"/>
      <c r="C13334" s="115"/>
      <c r="D13334" s="115"/>
      <c r="E13334" s="115"/>
    </row>
    <row r="13335" spans="1:5" ht="13">
      <c r="A13335" s="115"/>
      <c r="B13335" s="115"/>
      <c r="C13335" s="115"/>
      <c r="D13335" s="115"/>
      <c r="E13335" s="115"/>
    </row>
    <row r="13336" spans="1:5" ht="13">
      <c r="A13336" s="115"/>
      <c r="B13336" s="115"/>
      <c r="C13336" s="115"/>
      <c r="D13336" s="115"/>
      <c r="E13336" s="115"/>
    </row>
    <row r="13337" spans="1:5" ht="13">
      <c r="A13337" s="115"/>
      <c r="B13337" s="115"/>
      <c r="C13337" s="115"/>
      <c r="D13337" s="115"/>
      <c r="E13337" s="115"/>
    </row>
    <row r="13338" spans="1:5" ht="13">
      <c r="A13338" s="115"/>
      <c r="B13338" s="115"/>
      <c r="C13338" s="115"/>
      <c r="D13338" s="115"/>
      <c r="E13338" s="115"/>
    </row>
    <row r="13339" spans="1:5" ht="13">
      <c r="A13339" s="115"/>
      <c r="B13339" s="115"/>
      <c r="C13339" s="115"/>
      <c r="D13339" s="115"/>
      <c r="E13339" s="115"/>
    </row>
    <row r="13340" spans="1:5" ht="13">
      <c r="A13340" s="115"/>
      <c r="B13340" s="115"/>
      <c r="C13340" s="115"/>
      <c r="D13340" s="115"/>
      <c r="E13340" s="115"/>
    </row>
    <row r="13341" spans="1:5" ht="13">
      <c r="A13341" s="115"/>
      <c r="B13341" s="115"/>
      <c r="C13341" s="115"/>
      <c r="D13341" s="115"/>
      <c r="E13341" s="115"/>
    </row>
    <row r="13342" spans="1:5" ht="13">
      <c r="A13342" s="115"/>
      <c r="B13342" s="115"/>
      <c r="C13342" s="115"/>
      <c r="D13342" s="115"/>
      <c r="E13342" s="115"/>
    </row>
    <row r="13343" spans="1:5" ht="13">
      <c r="A13343" s="115"/>
      <c r="B13343" s="115"/>
      <c r="C13343" s="115"/>
      <c r="D13343" s="115"/>
      <c r="E13343" s="115"/>
    </row>
    <row r="13344" spans="1:5" ht="13">
      <c r="A13344" s="115"/>
      <c r="B13344" s="115"/>
      <c r="C13344" s="115"/>
      <c r="D13344" s="115"/>
      <c r="E13344" s="115"/>
    </row>
    <row r="13345" spans="1:5" ht="13">
      <c r="A13345" s="115"/>
      <c r="B13345" s="115"/>
      <c r="C13345" s="115"/>
      <c r="D13345" s="115"/>
      <c r="E13345" s="115"/>
    </row>
    <row r="13346" spans="1:5" ht="13">
      <c r="A13346" s="115"/>
      <c r="B13346" s="115"/>
      <c r="C13346" s="115"/>
      <c r="D13346" s="115"/>
      <c r="E13346" s="115"/>
    </row>
    <row r="13347" spans="1:5" ht="13">
      <c r="A13347" s="115"/>
      <c r="B13347" s="115"/>
      <c r="C13347" s="115"/>
      <c r="D13347" s="115"/>
      <c r="E13347" s="115"/>
    </row>
    <row r="13348" spans="1:5" ht="13">
      <c r="A13348" s="115"/>
      <c r="B13348" s="115"/>
      <c r="C13348" s="115"/>
      <c r="D13348" s="115"/>
      <c r="E13348" s="115"/>
    </row>
    <row r="13349" spans="1:5" ht="13">
      <c r="A13349" s="115"/>
      <c r="B13349" s="115"/>
      <c r="C13349" s="115"/>
      <c r="D13349" s="115"/>
      <c r="E13349" s="115"/>
    </row>
    <row r="13350" spans="1:5" ht="13">
      <c r="A13350" s="115"/>
      <c r="B13350" s="115"/>
      <c r="C13350" s="115"/>
      <c r="D13350" s="115"/>
      <c r="E13350" s="115"/>
    </row>
    <row r="13351" spans="1:5" ht="13">
      <c r="A13351" s="115"/>
      <c r="B13351" s="115"/>
      <c r="C13351" s="115"/>
      <c r="D13351" s="115"/>
      <c r="E13351" s="115"/>
    </row>
    <row r="13352" spans="1:5" ht="13">
      <c r="A13352" s="115"/>
      <c r="B13352" s="115"/>
      <c r="C13352" s="115"/>
      <c r="D13352" s="115"/>
      <c r="E13352" s="115"/>
    </row>
    <row r="13353" spans="1:5" ht="13">
      <c r="A13353" s="115"/>
      <c r="B13353" s="115"/>
      <c r="C13353" s="115"/>
      <c r="D13353" s="115"/>
      <c r="E13353" s="115"/>
    </row>
    <row r="13354" spans="1:5" ht="13">
      <c r="A13354" s="115"/>
      <c r="B13354" s="115"/>
      <c r="C13354" s="115"/>
      <c r="D13354" s="115"/>
      <c r="E13354" s="115"/>
    </row>
    <row r="13355" spans="1:5" ht="13">
      <c r="A13355" s="115"/>
      <c r="B13355" s="115"/>
      <c r="C13355" s="115"/>
      <c r="D13355" s="115"/>
      <c r="E13355" s="115"/>
    </row>
    <row r="13356" spans="1:5" ht="13">
      <c r="A13356" s="115"/>
      <c r="B13356" s="115"/>
      <c r="C13356" s="115"/>
      <c r="D13356" s="115"/>
      <c r="E13356" s="115"/>
    </row>
    <row r="13357" spans="1:5" ht="13">
      <c r="A13357" s="115"/>
      <c r="B13357" s="115"/>
      <c r="C13357" s="115"/>
      <c r="D13357" s="115"/>
      <c r="E13357" s="115"/>
    </row>
    <row r="13358" spans="1:5" ht="13">
      <c r="A13358" s="115"/>
      <c r="B13358" s="115"/>
      <c r="C13358" s="115"/>
      <c r="D13358" s="115"/>
      <c r="E13358" s="115"/>
    </row>
    <row r="13359" spans="1:5" ht="13">
      <c r="A13359" s="115"/>
      <c r="B13359" s="115"/>
      <c r="C13359" s="115"/>
      <c r="D13359" s="115"/>
      <c r="E13359" s="115"/>
    </row>
    <row r="13360" spans="1:5" ht="13">
      <c r="A13360" s="115"/>
      <c r="B13360" s="115"/>
      <c r="C13360" s="115"/>
      <c r="D13360" s="115"/>
      <c r="E13360" s="115"/>
    </row>
    <row r="13361" spans="1:5" ht="13">
      <c r="A13361" s="115"/>
      <c r="B13361" s="115"/>
      <c r="C13361" s="115"/>
      <c r="D13361" s="115"/>
      <c r="E13361" s="115"/>
    </row>
    <row r="13362" spans="1:5" ht="13">
      <c r="A13362" s="115"/>
      <c r="B13362" s="115"/>
      <c r="C13362" s="115"/>
      <c r="D13362" s="115"/>
      <c r="E13362" s="115"/>
    </row>
    <row r="13363" spans="1:5" ht="13">
      <c r="A13363" s="115"/>
      <c r="B13363" s="115"/>
      <c r="C13363" s="115"/>
      <c r="D13363" s="115"/>
      <c r="E13363" s="115"/>
    </row>
    <row r="13364" spans="1:5" ht="13">
      <c r="A13364" s="115"/>
      <c r="B13364" s="115"/>
      <c r="C13364" s="115"/>
      <c r="D13364" s="115"/>
      <c r="E13364" s="115"/>
    </row>
    <row r="13365" spans="1:5" ht="13">
      <c r="A13365" s="115"/>
      <c r="B13365" s="115"/>
      <c r="C13365" s="115"/>
      <c r="D13365" s="115"/>
      <c r="E13365" s="115"/>
    </row>
    <row r="13366" spans="1:5" ht="13">
      <c r="A13366" s="115"/>
      <c r="B13366" s="115"/>
      <c r="C13366" s="115"/>
      <c r="D13366" s="115"/>
      <c r="E13366" s="115"/>
    </row>
    <row r="13367" spans="1:5" ht="13">
      <c r="A13367" s="115"/>
      <c r="B13367" s="115"/>
      <c r="C13367" s="115"/>
      <c r="D13367" s="115"/>
      <c r="E13367" s="115"/>
    </row>
    <row r="13368" spans="1:5" ht="13">
      <c r="A13368" s="115"/>
      <c r="B13368" s="115"/>
      <c r="C13368" s="115"/>
      <c r="D13368" s="115"/>
      <c r="E13368" s="115"/>
    </row>
    <row r="13369" spans="1:5" ht="13">
      <c r="A13369" s="115"/>
      <c r="B13369" s="115"/>
      <c r="C13369" s="115"/>
      <c r="D13369" s="115"/>
      <c r="E13369" s="115"/>
    </row>
    <row r="13370" spans="1:5" ht="13">
      <c r="A13370" s="115"/>
      <c r="B13370" s="115"/>
      <c r="C13370" s="115"/>
      <c r="D13370" s="115"/>
      <c r="E13370" s="115"/>
    </row>
    <row r="13371" spans="1:5" ht="13">
      <c r="A13371" s="115"/>
      <c r="B13371" s="115"/>
      <c r="C13371" s="115"/>
      <c r="D13371" s="115"/>
      <c r="E13371" s="115"/>
    </row>
    <row r="13372" spans="1:5" ht="13">
      <c r="A13372" s="115"/>
      <c r="B13372" s="115"/>
      <c r="C13372" s="115"/>
      <c r="D13372" s="115"/>
      <c r="E13372" s="115"/>
    </row>
    <row r="13373" spans="1:5" ht="13">
      <c r="A13373" s="115"/>
      <c r="B13373" s="115"/>
      <c r="C13373" s="115"/>
      <c r="D13373" s="115"/>
      <c r="E13373" s="115"/>
    </row>
    <row r="13374" spans="1:5" ht="13">
      <c r="A13374" s="115"/>
      <c r="B13374" s="115"/>
      <c r="C13374" s="115"/>
      <c r="D13374" s="115"/>
      <c r="E13374" s="115"/>
    </row>
    <row r="13375" spans="1:5" ht="13">
      <c r="A13375" s="115"/>
      <c r="B13375" s="115"/>
      <c r="C13375" s="115"/>
      <c r="D13375" s="115"/>
      <c r="E13375" s="115"/>
    </row>
    <row r="13376" spans="1:5" ht="13">
      <c r="A13376" s="115"/>
      <c r="B13376" s="115"/>
      <c r="C13376" s="115"/>
      <c r="D13376" s="115"/>
      <c r="E13376" s="115"/>
    </row>
    <row r="13377" spans="1:5" ht="13">
      <c r="A13377" s="115"/>
      <c r="B13377" s="115"/>
      <c r="C13377" s="115"/>
      <c r="D13377" s="115"/>
      <c r="E13377" s="115"/>
    </row>
    <row r="13378" spans="1:5" ht="13">
      <c r="A13378" s="115"/>
      <c r="B13378" s="115"/>
      <c r="C13378" s="115"/>
      <c r="D13378" s="115"/>
      <c r="E13378" s="115"/>
    </row>
    <row r="13379" spans="1:5" ht="13">
      <c r="A13379" s="115"/>
      <c r="B13379" s="115"/>
      <c r="C13379" s="115"/>
      <c r="D13379" s="115"/>
      <c r="E13379" s="115"/>
    </row>
    <row r="13380" spans="1:5" ht="13">
      <c r="A13380" s="115"/>
      <c r="B13380" s="115"/>
      <c r="C13380" s="115"/>
      <c r="D13380" s="115"/>
      <c r="E13380" s="115"/>
    </row>
    <row r="13381" spans="1:5" ht="13">
      <c r="A13381" s="115"/>
      <c r="B13381" s="115"/>
      <c r="C13381" s="115"/>
      <c r="D13381" s="115"/>
      <c r="E13381" s="115"/>
    </row>
    <row r="13382" spans="1:5" ht="13">
      <c r="A13382" s="115"/>
      <c r="B13382" s="115"/>
      <c r="C13382" s="115"/>
      <c r="D13382" s="115"/>
      <c r="E13382" s="115"/>
    </row>
    <row r="13383" spans="1:5" ht="13">
      <c r="A13383" s="115"/>
      <c r="B13383" s="115"/>
      <c r="C13383" s="115"/>
      <c r="D13383" s="115"/>
      <c r="E13383" s="115"/>
    </row>
    <row r="13384" spans="1:5" ht="13">
      <c r="A13384" s="115"/>
      <c r="B13384" s="115"/>
      <c r="C13384" s="115"/>
      <c r="D13384" s="115"/>
      <c r="E13384" s="115"/>
    </row>
    <row r="13385" spans="1:5" ht="13">
      <c r="A13385" s="115"/>
      <c r="B13385" s="115"/>
      <c r="C13385" s="115"/>
      <c r="D13385" s="115"/>
      <c r="E13385" s="115"/>
    </row>
    <row r="13386" spans="1:5" ht="13">
      <c r="A13386" s="115"/>
      <c r="B13386" s="115"/>
      <c r="C13386" s="115"/>
      <c r="D13386" s="115"/>
      <c r="E13386" s="115"/>
    </row>
    <row r="13387" spans="1:5" ht="13">
      <c r="A13387" s="115"/>
      <c r="B13387" s="115"/>
      <c r="C13387" s="115"/>
      <c r="D13387" s="115"/>
      <c r="E13387" s="115"/>
    </row>
    <row r="13388" spans="1:5" ht="13">
      <c r="A13388" s="115"/>
      <c r="B13388" s="115"/>
      <c r="C13388" s="115"/>
      <c r="D13388" s="115"/>
      <c r="E13388" s="115"/>
    </row>
    <row r="13389" spans="1:5" ht="13">
      <c r="A13389" s="115"/>
      <c r="B13389" s="115"/>
      <c r="C13389" s="115"/>
      <c r="D13389" s="115"/>
      <c r="E13389" s="115"/>
    </row>
    <row r="13390" spans="1:5" ht="13">
      <c r="A13390" s="115"/>
      <c r="B13390" s="115"/>
      <c r="C13390" s="115"/>
      <c r="D13390" s="115"/>
      <c r="E13390" s="115"/>
    </row>
    <row r="13391" spans="1:5" ht="13">
      <c r="A13391" s="115"/>
      <c r="B13391" s="115"/>
      <c r="C13391" s="115"/>
      <c r="D13391" s="115"/>
      <c r="E13391" s="115"/>
    </row>
    <row r="13392" spans="1:5" ht="13">
      <c r="A13392" s="115"/>
      <c r="B13392" s="115"/>
      <c r="C13392" s="115"/>
      <c r="D13392" s="115"/>
      <c r="E13392" s="115"/>
    </row>
    <row r="13393" spans="1:5" ht="13">
      <c r="A13393" s="115"/>
      <c r="B13393" s="115"/>
      <c r="C13393" s="115"/>
      <c r="D13393" s="115"/>
      <c r="E13393" s="115"/>
    </row>
    <row r="13394" spans="1:5" ht="13">
      <c r="A13394" s="115"/>
      <c r="B13394" s="115"/>
      <c r="C13394" s="115"/>
      <c r="D13394" s="115"/>
      <c r="E13394" s="115"/>
    </row>
    <row r="13395" spans="1:5" ht="13">
      <c r="A13395" s="115"/>
      <c r="B13395" s="115"/>
      <c r="C13395" s="115"/>
      <c r="D13395" s="115"/>
      <c r="E13395" s="115"/>
    </row>
    <row r="13396" spans="1:5" ht="13">
      <c r="A13396" s="115"/>
      <c r="B13396" s="115"/>
      <c r="C13396" s="115"/>
      <c r="D13396" s="115"/>
      <c r="E13396" s="115"/>
    </row>
    <row r="13397" spans="1:5" ht="13">
      <c r="A13397" s="115"/>
      <c r="B13397" s="115"/>
      <c r="C13397" s="115"/>
      <c r="D13397" s="115"/>
      <c r="E13397" s="115"/>
    </row>
    <row r="13398" spans="1:5" ht="13">
      <c r="A13398" s="115"/>
      <c r="B13398" s="115"/>
      <c r="C13398" s="115"/>
      <c r="D13398" s="115"/>
      <c r="E13398" s="115"/>
    </row>
    <row r="13399" spans="1:5" ht="13">
      <c r="A13399" s="115"/>
      <c r="B13399" s="115"/>
      <c r="C13399" s="115"/>
      <c r="D13399" s="115"/>
      <c r="E13399" s="115"/>
    </row>
    <row r="13400" spans="1:5" ht="13">
      <c r="A13400" s="115"/>
      <c r="B13400" s="115"/>
      <c r="C13400" s="115"/>
      <c r="D13400" s="115"/>
      <c r="E13400" s="115"/>
    </row>
    <row r="13401" spans="1:5" ht="13">
      <c r="A13401" s="115"/>
      <c r="B13401" s="115"/>
      <c r="C13401" s="115"/>
      <c r="D13401" s="115"/>
      <c r="E13401" s="115"/>
    </row>
    <row r="13402" spans="1:5" ht="13">
      <c r="A13402" s="115"/>
      <c r="B13402" s="115"/>
      <c r="C13402" s="115"/>
      <c r="D13402" s="115"/>
      <c r="E13402" s="115"/>
    </row>
    <row r="13403" spans="1:5" ht="13">
      <c r="A13403" s="115"/>
      <c r="B13403" s="115"/>
      <c r="C13403" s="115"/>
      <c r="D13403" s="115"/>
      <c r="E13403" s="115"/>
    </row>
    <row r="13404" spans="1:5" ht="13">
      <c r="A13404" s="115"/>
      <c r="B13404" s="115"/>
      <c r="C13404" s="115"/>
      <c r="D13404" s="115"/>
      <c r="E13404" s="115"/>
    </row>
    <row r="13405" spans="1:5" ht="13">
      <c r="A13405" s="115"/>
      <c r="B13405" s="115"/>
      <c r="C13405" s="115"/>
      <c r="D13405" s="115"/>
      <c r="E13405" s="115"/>
    </row>
    <row r="13406" spans="1:5" ht="13">
      <c r="A13406" s="115"/>
      <c r="B13406" s="115"/>
      <c r="C13406" s="115"/>
      <c r="D13406" s="115"/>
      <c r="E13406" s="115"/>
    </row>
    <row r="13407" spans="1:5" ht="13">
      <c r="A13407" s="115"/>
      <c r="B13407" s="115"/>
      <c r="C13407" s="115"/>
      <c r="D13407" s="115"/>
      <c r="E13407" s="115"/>
    </row>
    <row r="13408" spans="1:5" ht="13">
      <c r="A13408" s="115"/>
      <c r="B13408" s="115"/>
      <c r="C13408" s="115"/>
      <c r="D13408" s="115"/>
      <c r="E13408" s="115"/>
    </row>
    <row r="13409" spans="1:5" ht="13">
      <c r="A13409" s="115"/>
      <c r="B13409" s="115"/>
      <c r="C13409" s="115"/>
      <c r="D13409" s="115"/>
      <c r="E13409" s="115"/>
    </row>
    <row r="13410" spans="1:5" ht="13">
      <c r="A13410" s="115"/>
      <c r="B13410" s="115"/>
      <c r="C13410" s="115"/>
      <c r="D13410" s="115"/>
      <c r="E13410" s="115"/>
    </row>
    <row r="13411" spans="1:5" ht="13">
      <c r="A13411" s="115"/>
      <c r="B13411" s="115"/>
      <c r="C13411" s="115"/>
      <c r="D13411" s="115"/>
      <c r="E13411" s="115"/>
    </row>
    <row r="13412" spans="1:5" ht="13">
      <c r="A13412" s="115"/>
      <c r="B13412" s="115"/>
      <c r="C13412" s="115"/>
      <c r="D13412" s="115"/>
      <c r="E13412" s="115"/>
    </row>
    <row r="13413" spans="1:5" ht="13">
      <c r="A13413" s="115"/>
      <c r="B13413" s="115"/>
      <c r="C13413" s="115"/>
      <c r="D13413" s="115"/>
      <c r="E13413" s="115"/>
    </row>
    <row r="13414" spans="1:5" ht="13">
      <c r="A13414" s="115"/>
      <c r="B13414" s="115"/>
      <c r="C13414" s="115"/>
      <c r="D13414" s="115"/>
      <c r="E13414" s="115"/>
    </row>
    <row r="13415" spans="1:5" ht="13">
      <c r="A13415" s="115"/>
      <c r="B13415" s="115"/>
      <c r="C13415" s="115"/>
      <c r="D13415" s="115"/>
      <c r="E13415" s="115"/>
    </row>
    <row r="13416" spans="1:5" ht="13">
      <c r="A13416" s="115"/>
      <c r="B13416" s="115"/>
      <c r="C13416" s="115"/>
      <c r="D13416" s="115"/>
      <c r="E13416" s="115"/>
    </row>
    <row r="13417" spans="1:5" ht="13">
      <c r="A13417" s="115"/>
      <c r="B13417" s="115"/>
      <c r="C13417" s="115"/>
      <c r="D13417" s="115"/>
      <c r="E13417" s="115"/>
    </row>
    <row r="13418" spans="1:5" ht="13">
      <c r="A13418" s="115"/>
      <c r="B13418" s="115"/>
      <c r="C13418" s="115"/>
      <c r="D13418" s="115"/>
      <c r="E13418" s="115"/>
    </row>
    <row r="13419" spans="1:5" ht="13">
      <c r="A13419" s="115"/>
      <c r="B13419" s="115"/>
      <c r="C13419" s="115"/>
      <c r="D13419" s="115"/>
      <c r="E13419" s="115"/>
    </row>
    <row r="13420" spans="1:5" ht="13">
      <c r="A13420" s="115"/>
      <c r="B13420" s="115"/>
      <c r="C13420" s="115"/>
      <c r="D13420" s="115"/>
      <c r="E13420" s="115"/>
    </row>
    <row r="13421" spans="1:5" ht="13">
      <c r="A13421" s="115"/>
      <c r="B13421" s="115"/>
      <c r="C13421" s="115"/>
      <c r="D13421" s="115"/>
      <c r="E13421" s="115"/>
    </row>
    <row r="13422" spans="1:5" ht="13">
      <c r="A13422" s="115"/>
      <c r="B13422" s="115"/>
      <c r="C13422" s="115"/>
      <c r="D13422" s="115"/>
      <c r="E13422" s="115"/>
    </row>
    <row r="13423" spans="1:5" ht="13">
      <c r="A13423" s="115"/>
      <c r="B13423" s="115"/>
      <c r="C13423" s="115"/>
      <c r="D13423" s="115"/>
      <c r="E13423" s="115"/>
    </row>
    <row r="13424" spans="1:5" ht="13">
      <c r="A13424" s="115"/>
      <c r="B13424" s="115"/>
      <c r="C13424" s="115"/>
      <c r="D13424" s="115"/>
      <c r="E13424" s="115"/>
    </row>
    <row r="13425" spans="1:5" ht="13">
      <c r="A13425" s="115"/>
      <c r="B13425" s="115"/>
      <c r="C13425" s="115"/>
      <c r="D13425" s="115"/>
      <c r="E13425" s="115"/>
    </row>
    <row r="13426" spans="1:5" ht="13">
      <c r="A13426" s="115"/>
      <c r="B13426" s="115"/>
      <c r="C13426" s="115"/>
      <c r="D13426" s="115"/>
      <c r="E13426" s="115"/>
    </row>
    <row r="13427" spans="1:5" ht="13">
      <c r="A13427" s="115"/>
      <c r="B13427" s="115"/>
      <c r="C13427" s="115"/>
      <c r="D13427" s="115"/>
      <c r="E13427" s="115"/>
    </row>
    <row r="13428" spans="1:5" ht="13">
      <c r="A13428" s="115"/>
      <c r="B13428" s="115"/>
      <c r="C13428" s="115"/>
      <c r="D13428" s="115"/>
      <c r="E13428" s="115"/>
    </row>
    <row r="13429" spans="1:5" ht="13">
      <c r="A13429" s="115"/>
      <c r="B13429" s="115"/>
      <c r="C13429" s="115"/>
      <c r="D13429" s="115"/>
      <c r="E13429" s="115"/>
    </row>
    <row r="13430" spans="1:5" ht="13">
      <c r="A13430" s="115"/>
      <c r="B13430" s="115"/>
      <c r="C13430" s="115"/>
      <c r="D13430" s="115"/>
      <c r="E13430" s="115"/>
    </row>
    <row r="13431" spans="1:5" ht="13">
      <c r="A13431" s="115"/>
      <c r="B13431" s="115"/>
      <c r="C13431" s="115"/>
      <c r="D13431" s="115"/>
      <c r="E13431" s="115"/>
    </row>
    <row r="13432" spans="1:5" ht="13">
      <c r="A13432" s="115"/>
      <c r="B13432" s="115"/>
      <c r="C13432" s="115"/>
      <c r="D13432" s="115"/>
      <c r="E13432" s="115"/>
    </row>
    <row r="13433" spans="1:5" ht="13">
      <c r="A13433" s="115"/>
      <c r="B13433" s="115"/>
      <c r="C13433" s="115"/>
      <c r="D13433" s="115"/>
      <c r="E13433" s="115"/>
    </row>
    <row r="13434" spans="1:5" ht="13">
      <c r="A13434" s="115"/>
      <c r="B13434" s="115"/>
      <c r="C13434" s="115"/>
      <c r="D13434" s="115"/>
      <c r="E13434" s="115"/>
    </row>
    <row r="13435" spans="1:5" ht="13">
      <c r="A13435" s="115"/>
      <c r="B13435" s="115"/>
      <c r="C13435" s="115"/>
      <c r="D13435" s="115"/>
      <c r="E13435" s="115"/>
    </row>
    <row r="13436" spans="1:5" ht="13">
      <c r="A13436" s="115"/>
      <c r="B13436" s="115"/>
      <c r="C13436" s="115"/>
      <c r="D13436" s="115"/>
      <c r="E13436" s="115"/>
    </row>
    <row r="13437" spans="1:5" ht="13">
      <c r="A13437" s="115"/>
      <c r="B13437" s="115"/>
      <c r="C13437" s="115"/>
      <c r="D13437" s="115"/>
      <c r="E13437" s="115"/>
    </row>
    <row r="13438" spans="1:5" ht="13">
      <c r="A13438" s="115"/>
      <c r="B13438" s="115"/>
      <c r="C13438" s="115"/>
      <c r="D13438" s="115"/>
      <c r="E13438" s="115"/>
    </row>
    <row r="13439" spans="1:5" ht="13">
      <c r="A13439" s="115"/>
      <c r="B13439" s="115"/>
      <c r="C13439" s="115"/>
      <c r="D13439" s="115"/>
      <c r="E13439" s="115"/>
    </row>
    <row r="13440" spans="1:5" ht="13">
      <c r="A13440" s="115"/>
      <c r="B13440" s="115"/>
      <c r="C13440" s="115"/>
      <c r="D13440" s="115"/>
      <c r="E13440" s="115"/>
    </row>
    <row r="13441" spans="1:5" ht="13">
      <c r="A13441" s="115"/>
      <c r="B13441" s="115"/>
      <c r="C13441" s="115"/>
      <c r="D13441" s="115"/>
      <c r="E13441" s="115"/>
    </row>
    <row r="13442" spans="1:5" ht="13">
      <c r="A13442" s="115"/>
      <c r="B13442" s="115"/>
      <c r="C13442" s="115"/>
      <c r="D13442" s="115"/>
      <c r="E13442" s="115"/>
    </row>
    <row r="13443" spans="1:5" ht="13">
      <c r="A13443" s="115"/>
      <c r="B13443" s="115"/>
      <c r="C13443" s="115"/>
      <c r="D13443" s="115"/>
      <c r="E13443" s="115"/>
    </row>
    <row r="13444" spans="1:5" ht="13">
      <c r="A13444" s="115"/>
      <c r="B13444" s="115"/>
      <c r="C13444" s="115"/>
      <c r="D13444" s="115"/>
      <c r="E13444" s="115"/>
    </row>
    <row r="13445" spans="1:5" ht="13">
      <c r="A13445" s="115"/>
      <c r="B13445" s="115"/>
      <c r="C13445" s="115"/>
      <c r="D13445" s="115"/>
      <c r="E13445" s="115"/>
    </row>
    <row r="13446" spans="1:5" ht="13">
      <c r="A13446" s="115"/>
      <c r="B13446" s="115"/>
      <c r="C13446" s="115"/>
      <c r="D13446" s="115"/>
      <c r="E13446" s="115"/>
    </row>
    <row r="13447" spans="1:5" ht="13">
      <c r="A13447" s="115"/>
      <c r="B13447" s="115"/>
      <c r="C13447" s="115"/>
      <c r="D13447" s="115"/>
      <c r="E13447" s="115"/>
    </row>
    <row r="13448" spans="1:5" ht="13">
      <c r="A13448" s="115"/>
      <c r="B13448" s="115"/>
      <c r="C13448" s="115"/>
      <c r="D13448" s="115"/>
      <c r="E13448" s="115"/>
    </row>
    <row r="13449" spans="1:5" ht="13">
      <c r="A13449" s="115"/>
      <c r="B13449" s="115"/>
      <c r="C13449" s="115"/>
      <c r="D13449" s="115"/>
      <c r="E13449" s="115"/>
    </row>
    <row r="13450" spans="1:5" ht="13">
      <c r="A13450" s="115"/>
      <c r="B13450" s="115"/>
      <c r="C13450" s="115"/>
      <c r="D13450" s="115"/>
      <c r="E13450" s="115"/>
    </row>
    <row r="13451" spans="1:5" ht="13">
      <c r="A13451" s="115"/>
      <c r="B13451" s="115"/>
      <c r="C13451" s="115"/>
      <c r="D13451" s="115"/>
      <c r="E13451" s="115"/>
    </row>
    <row r="13452" spans="1:5" ht="13">
      <c r="A13452" s="115"/>
      <c r="B13452" s="115"/>
      <c r="C13452" s="115"/>
      <c r="D13452" s="115"/>
      <c r="E13452" s="115"/>
    </row>
    <row r="13453" spans="1:5" ht="13">
      <c r="A13453" s="115"/>
      <c r="B13453" s="115"/>
      <c r="C13453" s="115"/>
      <c r="D13453" s="115"/>
      <c r="E13453" s="115"/>
    </row>
    <row r="13454" spans="1:5" ht="13">
      <c r="A13454" s="115"/>
      <c r="B13454" s="115"/>
      <c r="C13454" s="115"/>
      <c r="D13454" s="115"/>
      <c r="E13454" s="115"/>
    </row>
    <row r="13455" spans="1:5" ht="13">
      <c r="A13455" s="115"/>
      <c r="B13455" s="115"/>
      <c r="C13455" s="115"/>
      <c r="D13455" s="115"/>
      <c r="E13455" s="115"/>
    </row>
    <row r="13456" spans="1:5" ht="13">
      <c r="A13456" s="115"/>
      <c r="B13456" s="115"/>
      <c r="C13456" s="115"/>
      <c r="D13456" s="115"/>
      <c r="E13456" s="115"/>
    </row>
    <row r="13457" spans="1:5" ht="13">
      <c r="A13457" s="115"/>
      <c r="B13457" s="115"/>
      <c r="C13457" s="115"/>
      <c r="D13457" s="115"/>
      <c r="E13457" s="115"/>
    </row>
    <row r="13458" spans="1:5" ht="13">
      <c r="A13458" s="115"/>
      <c r="B13458" s="115"/>
      <c r="C13458" s="115"/>
      <c r="D13458" s="115"/>
      <c r="E13458" s="115"/>
    </row>
    <row r="13459" spans="1:5" ht="13">
      <c r="A13459" s="115"/>
      <c r="B13459" s="115"/>
      <c r="C13459" s="115"/>
      <c r="D13459" s="115"/>
      <c r="E13459" s="115"/>
    </row>
    <row r="13460" spans="1:5" ht="13">
      <c r="A13460" s="115"/>
      <c r="B13460" s="115"/>
      <c r="C13460" s="115"/>
      <c r="D13460" s="115"/>
      <c r="E13460" s="115"/>
    </row>
    <row r="13461" spans="1:5" ht="13">
      <c r="A13461" s="115"/>
      <c r="B13461" s="115"/>
      <c r="C13461" s="115"/>
      <c r="D13461" s="115"/>
      <c r="E13461" s="115"/>
    </row>
    <row r="13462" spans="1:5" ht="13">
      <c r="A13462" s="115"/>
      <c r="B13462" s="115"/>
      <c r="C13462" s="115"/>
      <c r="D13462" s="115"/>
      <c r="E13462" s="115"/>
    </row>
    <row r="13463" spans="1:5" ht="13">
      <c r="A13463" s="115"/>
      <c r="B13463" s="115"/>
      <c r="C13463" s="115"/>
      <c r="D13463" s="115"/>
      <c r="E13463" s="115"/>
    </row>
    <row r="13464" spans="1:5" ht="13">
      <c r="A13464" s="115"/>
      <c r="B13464" s="115"/>
      <c r="C13464" s="115"/>
      <c r="D13464" s="115"/>
      <c r="E13464" s="115"/>
    </row>
    <row r="13465" spans="1:5" ht="13">
      <c r="A13465" s="115"/>
      <c r="B13465" s="115"/>
      <c r="C13465" s="115"/>
      <c r="D13465" s="115"/>
      <c r="E13465" s="115"/>
    </row>
    <row r="13466" spans="1:5" ht="13">
      <c r="A13466" s="115"/>
      <c r="B13466" s="115"/>
      <c r="C13466" s="115"/>
      <c r="D13466" s="115"/>
      <c r="E13466" s="115"/>
    </row>
    <row r="13467" spans="1:5" ht="13">
      <c r="A13467" s="115"/>
      <c r="B13467" s="115"/>
      <c r="C13467" s="115"/>
      <c r="D13467" s="115"/>
      <c r="E13467" s="115"/>
    </row>
    <row r="13468" spans="1:5" ht="13">
      <c r="A13468" s="115"/>
      <c r="B13468" s="115"/>
      <c r="C13468" s="115"/>
      <c r="D13468" s="115"/>
      <c r="E13468" s="115"/>
    </row>
    <row r="13469" spans="1:5" ht="13">
      <c r="A13469" s="115"/>
      <c r="B13469" s="115"/>
      <c r="C13469" s="115"/>
      <c r="D13469" s="115"/>
      <c r="E13469" s="115"/>
    </row>
    <row r="13470" spans="1:5" ht="13">
      <c r="A13470" s="115"/>
      <c r="B13470" s="115"/>
      <c r="C13470" s="115"/>
      <c r="D13470" s="115"/>
      <c r="E13470" s="115"/>
    </row>
    <row r="13471" spans="1:5" ht="13">
      <c r="A13471" s="115"/>
      <c r="B13471" s="115"/>
      <c r="C13471" s="115"/>
      <c r="D13471" s="115"/>
      <c r="E13471" s="115"/>
    </row>
    <row r="13472" spans="1:5" ht="13">
      <c r="A13472" s="115"/>
      <c r="B13472" s="115"/>
      <c r="C13472" s="115"/>
      <c r="D13472" s="115"/>
      <c r="E13472" s="115"/>
    </row>
    <row r="13473" spans="1:5" ht="13">
      <c r="A13473" s="115"/>
      <c r="B13473" s="115"/>
      <c r="C13473" s="115"/>
      <c r="D13473" s="115"/>
      <c r="E13473" s="115"/>
    </row>
    <row r="13474" spans="1:5" ht="13">
      <c r="A13474" s="115"/>
      <c r="B13474" s="115"/>
      <c r="C13474" s="115"/>
      <c r="D13474" s="115"/>
      <c r="E13474" s="115"/>
    </row>
    <row r="13475" spans="1:5" ht="13">
      <c r="A13475" s="115"/>
      <c r="B13475" s="115"/>
      <c r="C13475" s="115"/>
      <c r="D13475" s="115"/>
      <c r="E13475" s="115"/>
    </row>
    <row r="13476" spans="1:5" ht="13">
      <c r="A13476" s="115"/>
      <c r="B13476" s="115"/>
      <c r="C13476" s="115"/>
      <c r="D13476" s="115"/>
      <c r="E13476" s="115"/>
    </row>
    <row r="13477" spans="1:5" ht="13">
      <c r="A13477" s="115"/>
      <c r="B13477" s="115"/>
      <c r="C13477" s="115"/>
      <c r="D13477" s="115"/>
      <c r="E13477" s="115"/>
    </row>
    <row r="13478" spans="1:5" ht="13">
      <c r="A13478" s="115"/>
      <c r="B13478" s="115"/>
      <c r="C13478" s="115"/>
      <c r="D13478" s="115"/>
      <c r="E13478" s="115"/>
    </row>
    <row r="13479" spans="1:5" ht="13">
      <c r="A13479" s="115"/>
      <c r="B13479" s="115"/>
      <c r="C13479" s="115"/>
      <c r="D13479" s="115"/>
      <c r="E13479" s="115"/>
    </row>
    <row r="13480" spans="1:5" ht="13">
      <c r="A13480" s="115"/>
      <c r="B13480" s="115"/>
      <c r="C13480" s="115"/>
      <c r="D13480" s="115"/>
      <c r="E13480" s="115"/>
    </row>
    <row r="13481" spans="1:5" ht="13">
      <c r="A13481" s="115"/>
      <c r="B13481" s="115"/>
      <c r="C13481" s="115"/>
      <c r="D13481" s="115"/>
      <c r="E13481" s="115"/>
    </row>
    <row r="13482" spans="1:5" ht="13">
      <c r="A13482" s="115"/>
      <c r="B13482" s="115"/>
      <c r="C13482" s="115"/>
      <c r="D13482" s="115"/>
      <c r="E13482" s="115"/>
    </row>
    <row r="13483" spans="1:5" ht="13">
      <c r="A13483" s="115"/>
      <c r="B13483" s="115"/>
      <c r="C13483" s="115"/>
      <c r="D13483" s="115"/>
      <c r="E13483" s="115"/>
    </row>
    <row r="13484" spans="1:5" ht="13">
      <c r="A13484" s="115"/>
      <c r="B13484" s="115"/>
      <c r="C13484" s="115"/>
      <c r="D13484" s="115"/>
      <c r="E13484" s="115"/>
    </row>
    <row r="13485" spans="1:5" ht="13">
      <c r="A13485" s="115"/>
      <c r="B13485" s="115"/>
      <c r="C13485" s="115"/>
      <c r="D13485" s="115"/>
      <c r="E13485" s="115"/>
    </row>
    <row r="13486" spans="1:5" ht="13">
      <c r="A13486" s="115"/>
      <c r="B13486" s="115"/>
      <c r="C13486" s="115"/>
      <c r="D13486" s="115"/>
      <c r="E13486" s="115"/>
    </row>
    <row r="13487" spans="1:5" ht="13">
      <c r="A13487" s="115"/>
      <c r="B13487" s="115"/>
      <c r="C13487" s="115"/>
      <c r="D13487" s="115"/>
      <c r="E13487" s="115"/>
    </row>
    <row r="13488" spans="1:5" ht="13">
      <c r="A13488" s="115"/>
      <c r="B13488" s="115"/>
      <c r="C13488" s="115"/>
      <c r="D13488" s="115"/>
      <c r="E13488" s="115"/>
    </row>
    <row r="13489" spans="1:5" ht="13">
      <c r="A13489" s="115"/>
      <c r="B13489" s="115"/>
      <c r="C13489" s="115"/>
      <c r="D13489" s="115"/>
      <c r="E13489" s="115"/>
    </row>
    <row r="13490" spans="1:5" ht="13">
      <c r="A13490" s="115"/>
      <c r="B13490" s="115"/>
      <c r="C13490" s="115"/>
      <c r="D13490" s="115"/>
      <c r="E13490" s="115"/>
    </row>
    <row r="13491" spans="1:5" ht="13">
      <c r="A13491" s="115"/>
      <c r="B13491" s="115"/>
      <c r="C13491" s="115"/>
      <c r="D13491" s="115"/>
      <c r="E13491" s="115"/>
    </row>
    <row r="13492" spans="1:5" ht="13">
      <c r="A13492" s="115"/>
      <c r="B13492" s="115"/>
      <c r="C13492" s="115"/>
      <c r="D13492" s="115"/>
      <c r="E13492" s="115"/>
    </row>
    <row r="13493" spans="1:5" ht="13">
      <c r="A13493" s="115"/>
      <c r="B13493" s="115"/>
      <c r="C13493" s="115"/>
      <c r="D13493" s="115"/>
      <c r="E13493" s="115"/>
    </row>
    <row r="13494" spans="1:5" ht="13">
      <c r="A13494" s="115"/>
      <c r="B13494" s="115"/>
      <c r="C13494" s="115"/>
      <c r="D13494" s="115"/>
      <c r="E13494" s="115"/>
    </row>
    <row r="13495" spans="1:5" ht="13">
      <c r="A13495" s="115"/>
      <c r="B13495" s="115"/>
      <c r="C13495" s="115"/>
      <c r="D13495" s="115"/>
      <c r="E13495" s="115"/>
    </row>
    <row r="13496" spans="1:5" ht="13">
      <c r="A13496" s="115"/>
      <c r="B13496" s="115"/>
      <c r="C13496" s="115"/>
      <c r="D13496" s="115"/>
      <c r="E13496" s="115"/>
    </row>
    <row r="13497" spans="1:5" ht="13">
      <c r="A13497" s="115"/>
      <c r="B13497" s="115"/>
      <c r="C13497" s="115"/>
      <c r="D13497" s="115"/>
      <c r="E13497" s="115"/>
    </row>
    <row r="13498" spans="1:5" ht="13">
      <c r="A13498" s="115"/>
      <c r="B13498" s="115"/>
      <c r="C13498" s="115"/>
      <c r="D13498" s="115"/>
      <c r="E13498" s="115"/>
    </row>
    <row r="13499" spans="1:5" ht="13">
      <c r="A13499" s="115"/>
      <c r="B13499" s="115"/>
      <c r="C13499" s="115"/>
      <c r="D13499" s="115"/>
      <c r="E13499" s="115"/>
    </row>
    <row r="13500" spans="1:5" ht="13">
      <c r="A13500" s="115"/>
      <c r="B13500" s="115"/>
      <c r="C13500" s="115"/>
      <c r="D13500" s="115"/>
      <c r="E13500" s="115"/>
    </row>
    <row r="13501" spans="1:5" ht="13">
      <c r="A13501" s="115"/>
      <c r="B13501" s="115"/>
      <c r="C13501" s="115"/>
      <c r="D13501" s="115"/>
      <c r="E13501" s="115"/>
    </row>
    <row r="13502" spans="1:5" ht="13">
      <c r="A13502" s="115"/>
      <c r="B13502" s="115"/>
      <c r="C13502" s="115"/>
      <c r="D13502" s="115"/>
      <c r="E13502" s="115"/>
    </row>
    <row r="13503" spans="1:5" ht="13">
      <c r="A13503" s="115"/>
      <c r="B13503" s="115"/>
      <c r="C13503" s="115"/>
      <c r="D13503" s="115"/>
      <c r="E13503" s="115"/>
    </row>
    <row r="13504" spans="1:5" ht="13">
      <c r="A13504" s="115"/>
      <c r="B13504" s="115"/>
      <c r="C13504" s="115"/>
      <c r="D13504" s="115"/>
      <c r="E13504" s="115"/>
    </row>
    <row r="13505" spans="1:5" ht="13">
      <c r="A13505" s="115"/>
      <c r="B13505" s="115"/>
      <c r="C13505" s="115"/>
      <c r="D13505" s="115"/>
      <c r="E13505" s="115"/>
    </row>
    <row r="13506" spans="1:5" ht="13">
      <c r="A13506" s="115"/>
      <c r="B13506" s="115"/>
      <c r="C13506" s="115"/>
      <c r="D13506" s="115"/>
      <c r="E13506" s="115"/>
    </row>
    <row r="13507" spans="1:5" ht="13">
      <c r="A13507" s="115"/>
      <c r="B13507" s="115"/>
      <c r="C13507" s="115"/>
      <c r="D13507" s="115"/>
      <c r="E13507" s="115"/>
    </row>
    <row r="13508" spans="1:5" ht="13">
      <c r="A13508" s="115"/>
      <c r="B13508" s="115"/>
      <c r="C13508" s="115"/>
      <c r="D13508" s="115"/>
      <c r="E13508" s="115"/>
    </row>
    <row r="13509" spans="1:5" ht="13">
      <c r="A13509" s="115"/>
      <c r="B13509" s="115"/>
      <c r="C13509" s="115"/>
      <c r="D13509" s="115"/>
      <c r="E13509" s="115"/>
    </row>
    <row r="13510" spans="1:5" ht="13">
      <c r="A13510" s="115"/>
      <c r="B13510" s="115"/>
      <c r="C13510" s="115"/>
      <c r="D13510" s="115"/>
      <c r="E13510" s="115"/>
    </row>
    <row r="13511" spans="1:5" ht="13">
      <c r="A13511" s="115"/>
      <c r="B13511" s="115"/>
      <c r="C13511" s="115"/>
      <c r="D13511" s="115"/>
      <c r="E13511" s="115"/>
    </row>
    <row r="13512" spans="1:5" ht="13">
      <c r="A13512" s="115"/>
      <c r="B13512" s="115"/>
      <c r="C13512" s="115"/>
      <c r="D13512" s="115"/>
      <c r="E13512" s="115"/>
    </row>
    <row r="13513" spans="1:5" ht="13">
      <c r="A13513" s="115"/>
      <c r="B13513" s="115"/>
      <c r="C13513" s="115"/>
      <c r="D13513" s="115"/>
      <c r="E13513" s="115"/>
    </row>
    <row r="13514" spans="1:5" ht="13">
      <c r="A13514" s="115"/>
      <c r="B13514" s="115"/>
      <c r="C13514" s="115"/>
      <c r="D13514" s="115"/>
      <c r="E13514" s="115"/>
    </row>
    <row r="13515" spans="1:5" ht="13">
      <c r="A13515" s="115"/>
      <c r="B13515" s="115"/>
      <c r="C13515" s="115"/>
      <c r="D13515" s="115"/>
      <c r="E13515" s="115"/>
    </row>
    <row r="13516" spans="1:5" ht="13">
      <c r="A13516" s="115"/>
      <c r="B13516" s="115"/>
      <c r="C13516" s="115"/>
      <c r="D13516" s="115"/>
      <c r="E13516" s="115"/>
    </row>
    <row r="13517" spans="1:5" ht="13">
      <c r="A13517" s="115"/>
      <c r="B13517" s="115"/>
      <c r="C13517" s="115"/>
      <c r="D13517" s="115"/>
      <c r="E13517" s="115"/>
    </row>
    <row r="13518" spans="1:5" ht="13">
      <c r="A13518" s="115"/>
      <c r="B13518" s="115"/>
      <c r="C13518" s="115"/>
      <c r="D13518" s="115"/>
      <c r="E13518" s="115"/>
    </row>
    <row r="13519" spans="1:5" ht="13">
      <c r="A13519" s="115"/>
      <c r="B13519" s="115"/>
      <c r="C13519" s="115"/>
      <c r="D13519" s="115"/>
      <c r="E13519" s="115"/>
    </row>
    <row r="13520" spans="1:5" ht="13">
      <c r="A13520" s="115"/>
      <c r="B13520" s="115"/>
      <c r="C13520" s="115"/>
      <c r="D13520" s="115"/>
      <c r="E13520" s="115"/>
    </row>
    <row r="13521" spans="1:5" ht="13">
      <c r="A13521" s="115"/>
      <c r="B13521" s="115"/>
      <c r="C13521" s="115"/>
      <c r="D13521" s="115"/>
      <c r="E13521" s="115"/>
    </row>
    <row r="13522" spans="1:5" ht="13">
      <c r="A13522" s="115"/>
      <c r="B13522" s="115"/>
      <c r="C13522" s="115"/>
      <c r="D13522" s="115"/>
      <c r="E13522" s="115"/>
    </row>
    <row r="13523" spans="1:5" ht="13">
      <c r="A13523" s="115"/>
      <c r="B13523" s="115"/>
      <c r="C13523" s="115"/>
      <c r="D13523" s="115"/>
      <c r="E13523" s="115"/>
    </row>
    <row r="13524" spans="1:5" ht="13">
      <c r="A13524" s="115"/>
      <c r="B13524" s="115"/>
      <c r="C13524" s="115"/>
      <c r="D13524" s="115"/>
      <c r="E13524" s="115"/>
    </row>
    <row r="13525" spans="1:5" ht="13">
      <c r="A13525" s="115"/>
      <c r="B13525" s="115"/>
      <c r="C13525" s="115"/>
      <c r="D13525" s="115"/>
      <c r="E13525" s="115"/>
    </row>
    <row r="13526" spans="1:5" ht="13">
      <c r="A13526" s="115"/>
      <c r="B13526" s="115"/>
      <c r="C13526" s="115"/>
      <c r="D13526" s="115"/>
      <c r="E13526" s="115"/>
    </row>
    <row r="13527" spans="1:5" ht="13">
      <c r="A13527" s="115"/>
      <c r="B13527" s="115"/>
      <c r="C13527" s="115"/>
      <c r="D13527" s="115"/>
      <c r="E13527" s="115"/>
    </row>
    <row r="13528" spans="1:5" ht="13">
      <c r="A13528" s="115"/>
      <c r="B13528" s="115"/>
      <c r="C13528" s="115"/>
      <c r="D13528" s="115"/>
      <c r="E13528" s="115"/>
    </row>
    <row r="13529" spans="1:5" ht="13">
      <c r="A13529" s="115"/>
      <c r="B13529" s="115"/>
      <c r="C13529" s="115"/>
      <c r="D13529" s="115"/>
      <c r="E13529" s="115"/>
    </row>
    <row r="13530" spans="1:5" ht="13">
      <c r="A13530" s="115"/>
      <c r="B13530" s="115"/>
      <c r="C13530" s="115"/>
      <c r="D13530" s="115"/>
      <c r="E13530" s="115"/>
    </row>
    <row r="13531" spans="1:5" ht="13">
      <c r="A13531" s="115"/>
      <c r="B13531" s="115"/>
      <c r="C13531" s="115"/>
      <c r="D13531" s="115"/>
      <c r="E13531" s="115"/>
    </row>
    <row r="13532" spans="1:5" ht="13">
      <c r="A13532" s="115"/>
      <c r="B13532" s="115"/>
      <c r="C13532" s="115"/>
      <c r="D13532" s="115"/>
      <c r="E13532" s="115"/>
    </row>
    <row r="13533" spans="1:5" ht="13">
      <c r="A13533" s="115"/>
      <c r="B13533" s="115"/>
      <c r="C13533" s="115"/>
      <c r="D13533" s="115"/>
      <c r="E13533" s="115"/>
    </row>
    <row r="13534" spans="1:5" ht="13">
      <c r="A13534" s="115"/>
      <c r="B13534" s="115"/>
      <c r="C13534" s="115"/>
      <c r="D13534" s="115"/>
      <c r="E13534" s="115"/>
    </row>
    <row r="13535" spans="1:5" ht="13">
      <c r="A13535" s="115"/>
      <c r="B13535" s="115"/>
      <c r="C13535" s="115"/>
      <c r="D13535" s="115"/>
      <c r="E13535" s="115"/>
    </row>
    <row r="13536" spans="1:5" ht="13">
      <c r="A13536" s="115"/>
      <c r="B13536" s="115"/>
      <c r="C13536" s="115"/>
      <c r="D13536" s="115"/>
      <c r="E13536" s="115"/>
    </row>
    <row r="13537" spans="1:5" ht="13">
      <c r="A13537" s="115"/>
      <c r="B13537" s="115"/>
      <c r="C13537" s="115"/>
      <c r="D13537" s="115"/>
      <c r="E13537" s="115"/>
    </row>
    <row r="13538" spans="1:5" ht="13">
      <c r="A13538" s="115"/>
      <c r="B13538" s="115"/>
      <c r="C13538" s="115"/>
      <c r="D13538" s="115"/>
      <c r="E13538" s="115"/>
    </row>
    <row r="13539" spans="1:5" ht="13">
      <c r="A13539" s="115"/>
      <c r="B13539" s="115"/>
      <c r="C13539" s="115"/>
      <c r="D13539" s="115"/>
      <c r="E13539" s="115"/>
    </row>
    <row r="13540" spans="1:5" ht="13">
      <c r="A13540" s="115"/>
      <c r="B13540" s="115"/>
      <c r="C13540" s="115"/>
      <c r="D13540" s="115"/>
      <c r="E13540" s="115"/>
    </row>
    <row r="13541" spans="1:5" ht="13">
      <c r="A13541" s="115"/>
      <c r="B13541" s="115"/>
      <c r="C13541" s="115"/>
      <c r="D13541" s="115"/>
      <c r="E13541" s="115"/>
    </row>
    <row r="13542" spans="1:5" ht="13">
      <c r="A13542" s="115"/>
      <c r="B13542" s="115"/>
      <c r="C13542" s="115"/>
      <c r="D13542" s="115"/>
      <c r="E13542" s="115"/>
    </row>
    <row r="13543" spans="1:5" ht="13">
      <c r="A13543" s="115"/>
      <c r="B13543" s="115"/>
      <c r="C13543" s="115"/>
      <c r="D13543" s="115"/>
      <c r="E13543" s="115"/>
    </row>
    <row r="13544" spans="1:5" ht="13">
      <c r="A13544" s="115"/>
      <c r="B13544" s="115"/>
      <c r="C13544" s="115"/>
      <c r="D13544" s="115"/>
      <c r="E13544" s="115"/>
    </row>
    <row r="13545" spans="1:5" ht="13">
      <c r="A13545" s="115"/>
      <c r="B13545" s="115"/>
      <c r="C13545" s="115"/>
      <c r="D13545" s="115"/>
      <c r="E13545" s="115"/>
    </row>
    <row r="13546" spans="1:5" ht="13">
      <c r="A13546" s="115"/>
      <c r="B13546" s="115"/>
      <c r="C13546" s="115"/>
      <c r="D13546" s="115"/>
      <c r="E13546" s="115"/>
    </row>
    <row r="13547" spans="1:5" ht="13">
      <c r="A13547" s="115"/>
      <c r="B13547" s="115"/>
      <c r="C13547" s="115"/>
      <c r="D13547" s="115"/>
      <c r="E13547" s="115"/>
    </row>
    <row r="13548" spans="1:5" ht="13">
      <c r="A13548" s="115"/>
      <c r="B13548" s="115"/>
      <c r="C13548" s="115"/>
      <c r="D13548" s="115"/>
      <c r="E13548" s="115"/>
    </row>
    <row r="13549" spans="1:5" ht="13">
      <c r="A13549" s="115"/>
      <c r="B13549" s="115"/>
      <c r="C13549" s="115"/>
      <c r="D13549" s="115"/>
      <c r="E13549" s="115"/>
    </row>
    <row r="13550" spans="1:5" ht="13">
      <c r="A13550" s="115"/>
      <c r="B13550" s="115"/>
      <c r="C13550" s="115"/>
      <c r="D13550" s="115"/>
      <c r="E13550" s="115"/>
    </row>
    <row r="13551" spans="1:5" ht="13">
      <c r="A13551" s="115"/>
      <c r="B13551" s="115"/>
      <c r="C13551" s="115"/>
      <c r="D13551" s="115"/>
      <c r="E13551" s="115"/>
    </row>
    <row r="13552" spans="1:5" ht="13">
      <c r="A13552" s="115"/>
      <c r="B13552" s="115"/>
      <c r="C13552" s="115"/>
      <c r="D13552" s="115"/>
      <c r="E13552" s="115"/>
    </row>
    <row r="13553" spans="1:5" ht="13">
      <c r="A13553" s="115"/>
      <c r="B13553" s="115"/>
      <c r="C13553" s="115"/>
      <c r="D13553" s="115"/>
      <c r="E13553" s="115"/>
    </row>
    <row r="13554" spans="1:5" ht="13">
      <c r="A13554" s="115"/>
      <c r="B13554" s="115"/>
      <c r="C13554" s="115"/>
      <c r="D13554" s="115"/>
      <c r="E13554" s="115"/>
    </row>
    <row r="13555" spans="1:5" ht="13">
      <c r="A13555" s="115"/>
      <c r="B13555" s="115"/>
      <c r="C13555" s="115"/>
      <c r="D13555" s="115"/>
      <c r="E13555" s="115"/>
    </row>
    <row r="13556" spans="1:5" ht="13">
      <c r="A13556" s="115"/>
      <c r="B13556" s="115"/>
      <c r="C13556" s="115"/>
      <c r="D13556" s="115"/>
      <c r="E13556" s="115"/>
    </row>
    <row r="13557" spans="1:5" ht="13">
      <c r="A13557" s="115"/>
      <c r="B13557" s="115"/>
      <c r="C13557" s="115"/>
      <c r="D13557" s="115"/>
      <c r="E13557" s="115"/>
    </row>
    <row r="13558" spans="1:5" ht="13">
      <c r="A13558" s="115"/>
      <c r="B13558" s="115"/>
      <c r="C13558" s="115"/>
      <c r="D13558" s="115"/>
      <c r="E13558" s="115"/>
    </row>
    <row r="13559" spans="1:5" ht="13">
      <c r="A13559" s="115"/>
      <c r="B13559" s="115"/>
      <c r="C13559" s="115"/>
      <c r="D13559" s="115"/>
      <c r="E13559" s="115"/>
    </row>
    <row r="13560" spans="1:5" ht="13">
      <c r="A13560" s="115"/>
      <c r="B13560" s="115"/>
      <c r="C13560" s="115"/>
      <c r="D13560" s="115"/>
      <c r="E13560" s="115"/>
    </row>
    <row r="13561" spans="1:5" ht="13">
      <c r="A13561" s="115"/>
      <c r="B13561" s="115"/>
      <c r="C13561" s="115"/>
      <c r="D13561" s="115"/>
      <c r="E13561" s="115"/>
    </row>
    <row r="13562" spans="1:5" ht="13">
      <c r="A13562" s="115"/>
      <c r="B13562" s="115"/>
      <c r="C13562" s="115"/>
      <c r="D13562" s="115"/>
      <c r="E13562" s="115"/>
    </row>
    <row r="13563" spans="1:5" ht="13">
      <c r="A13563" s="115"/>
      <c r="B13563" s="115"/>
      <c r="C13563" s="115"/>
      <c r="D13563" s="115"/>
      <c r="E13563" s="115"/>
    </row>
    <row r="13564" spans="1:5" ht="13">
      <c r="A13564" s="115"/>
      <c r="B13564" s="115"/>
      <c r="C13564" s="115"/>
      <c r="D13564" s="115"/>
      <c r="E13564" s="115"/>
    </row>
    <row r="13565" spans="1:5" ht="13">
      <c r="A13565" s="115"/>
      <c r="B13565" s="115"/>
      <c r="C13565" s="115"/>
      <c r="D13565" s="115"/>
      <c r="E13565" s="115"/>
    </row>
    <row r="13566" spans="1:5" ht="13">
      <c r="A13566" s="115"/>
      <c r="B13566" s="115"/>
      <c r="C13566" s="115"/>
      <c r="D13566" s="115"/>
      <c r="E13566" s="115"/>
    </row>
    <row r="13567" spans="1:5" ht="13">
      <c r="A13567" s="115"/>
      <c r="B13567" s="115"/>
      <c r="C13567" s="115"/>
      <c r="D13567" s="115"/>
      <c r="E13567" s="115"/>
    </row>
    <row r="13568" spans="1:5" ht="13">
      <c r="A13568" s="115"/>
      <c r="B13568" s="115"/>
      <c r="C13568" s="115"/>
      <c r="D13568" s="115"/>
      <c r="E13568" s="115"/>
    </row>
    <row r="13569" spans="1:5" ht="13">
      <c r="A13569" s="115"/>
      <c r="B13569" s="115"/>
      <c r="C13569" s="115"/>
      <c r="D13569" s="115"/>
      <c r="E13569" s="115"/>
    </row>
    <row r="13570" spans="1:5" ht="13">
      <c r="A13570" s="115"/>
      <c r="B13570" s="115"/>
      <c r="C13570" s="115"/>
      <c r="D13570" s="115"/>
      <c r="E13570" s="115"/>
    </row>
    <row r="13571" spans="1:5" ht="13">
      <c r="A13571" s="115"/>
      <c r="B13571" s="115"/>
      <c r="C13571" s="115"/>
      <c r="D13571" s="115"/>
      <c r="E13571" s="115"/>
    </row>
    <row r="13572" spans="1:5" ht="13">
      <c r="A13572" s="115"/>
      <c r="B13572" s="115"/>
      <c r="C13572" s="115"/>
      <c r="D13572" s="115"/>
      <c r="E13572" s="115"/>
    </row>
    <row r="13573" spans="1:5" ht="13">
      <c r="A13573" s="115"/>
      <c r="B13573" s="115"/>
      <c r="C13573" s="115"/>
      <c r="D13573" s="115"/>
      <c r="E13573" s="115"/>
    </row>
    <row r="13574" spans="1:5" ht="13">
      <c r="A13574" s="115"/>
      <c r="B13574" s="115"/>
      <c r="C13574" s="115"/>
      <c r="D13574" s="115"/>
      <c r="E13574" s="115"/>
    </row>
    <row r="13575" spans="1:5" ht="13">
      <c r="A13575" s="115"/>
      <c r="B13575" s="115"/>
      <c r="C13575" s="115"/>
      <c r="D13575" s="115"/>
      <c r="E13575" s="115"/>
    </row>
    <row r="13576" spans="1:5" ht="13">
      <c r="A13576" s="115"/>
      <c r="B13576" s="115"/>
      <c r="C13576" s="115"/>
      <c r="D13576" s="115"/>
      <c r="E13576" s="115"/>
    </row>
    <row r="13577" spans="1:5" ht="13">
      <c r="A13577" s="115"/>
      <c r="B13577" s="115"/>
      <c r="C13577" s="115"/>
      <c r="D13577" s="115"/>
      <c r="E13577" s="115"/>
    </row>
    <row r="13578" spans="1:5" ht="13">
      <c r="A13578" s="115"/>
      <c r="B13578" s="115"/>
      <c r="C13578" s="115"/>
      <c r="D13578" s="115"/>
      <c r="E13578" s="115"/>
    </row>
    <row r="13579" spans="1:5" ht="13">
      <c r="A13579" s="115"/>
      <c r="B13579" s="115"/>
      <c r="C13579" s="115"/>
      <c r="D13579" s="115"/>
      <c r="E13579" s="115"/>
    </row>
    <row r="13580" spans="1:5" ht="13">
      <c r="A13580" s="115"/>
      <c r="B13580" s="115"/>
      <c r="C13580" s="115"/>
      <c r="D13580" s="115"/>
      <c r="E13580" s="115"/>
    </row>
    <row r="13581" spans="1:5" ht="13">
      <c r="A13581" s="115"/>
      <c r="B13581" s="115"/>
      <c r="C13581" s="115"/>
      <c r="D13581" s="115"/>
      <c r="E13581" s="115"/>
    </row>
    <row r="13582" spans="1:5" ht="13">
      <c r="A13582" s="115"/>
      <c r="B13582" s="115"/>
      <c r="C13582" s="115"/>
      <c r="D13582" s="115"/>
      <c r="E13582" s="115"/>
    </row>
    <row r="13583" spans="1:5" ht="13">
      <c r="A13583" s="115"/>
      <c r="B13583" s="115"/>
      <c r="C13583" s="115"/>
      <c r="D13583" s="115"/>
      <c r="E13583" s="115"/>
    </row>
    <row r="13584" spans="1:5" ht="13">
      <c r="A13584" s="115"/>
      <c r="B13584" s="115"/>
      <c r="C13584" s="115"/>
      <c r="D13584" s="115"/>
      <c r="E13584" s="115"/>
    </row>
    <row r="13585" spans="1:5" ht="13">
      <c r="A13585" s="115"/>
      <c r="B13585" s="115"/>
      <c r="C13585" s="115"/>
      <c r="D13585" s="115"/>
      <c r="E13585" s="115"/>
    </row>
    <row r="13586" spans="1:5" ht="13">
      <c r="A13586" s="115"/>
      <c r="B13586" s="115"/>
      <c r="C13586" s="115"/>
      <c r="D13586" s="115"/>
      <c r="E13586" s="115"/>
    </row>
    <row r="13587" spans="1:5" ht="13">
      <c r="A13587" s="115"/>
      <c r="B13587" s="115"/>
      <c r="C13587" s="115"/>
      <c r="D13587" s="115"/>
      <c r="E13587" s="115"/>
    </row>
    <row r="13588" spans="1:5" ht="13">
      <c r="A13588" s="115"/>
      <c r="B13588" s="115"/>
      <c r="C13588" s="115"/>
      <c r="D13588" s="115"/>
      <c r="E13588" s="115"/>
    </row>
    <row r="13589" spans="1:5" ht="13">
      <c r="A13589" s="115"/>
      <c r="B13589" s="115"/>
      <c r="C13589" s="115"/>
      <c r="D13589" s="115"/>
      <c r="E13589" s="115"/>
    </row>
    <row r="13590" spans="1:5" ht="13">
      <c r="A13590" s="115"/>
      <c r="B13590" s="115"/>
      <c r="C13590" s="115"/>
      <c r="D13590" s="115"/>
      <c r="E13590" s="115"/>
    </row>
    <row r="13591" spans="1:5" ht="13">
      <c r="A13591" s="115"/>
      <c r="B13591" s="115"/>
      <c r="C13591" s="115"/>
      <c r="D13591" s="115"/>
      <c r="E13591" s="115"/>
    </row>
    <row r="13592" spans="1:5" ht="13">
      <c r="A13592" s="115"/>
      <c r="B13592" s="115"/>
      <c r="C13592" s="115"/>
      <c r="D13592" s="115"/>
      <c r="E13592" s="115"/>
    </row>
    <row r="13593" spans="1:5" ht="13">
      <c r="A13593" s="115"/>
      <c r="B13593" s="115"/>
      <c r="C13593" s="115"/>
      <c r="D13593" s="115"/>
      <c r="E13593" s="115"/>
    </row>
    <row r="13594" spans="1:5" ht="13">
      <c r="A13594" s="115"/>
      <c r="B13594" s="115"/>
      <c r="C13594" s="115"/>
      <c r="D13594" s="115"/>
      <c r="E13594" s="115"/>
    </row>
    <row r="13595" spans="1:5" ht="13">
      <c r="A13595" s="115"/>
      <c r="B13595" s="115"/>
      <c r="C13595" s="115"/>
      <c r="D13595" s="115"/>
      <c r="E13595" s="115"/>
    </row>
    <row r="13596" spans="1:5" ht="13">
      <c r="A13596" s="115"/>
      <c r="B13596" s="115"/>
      <c r="C13596" s="115"/>
      <c r="D13596" s="115"/>
      <c r="E13596" s="115"/>
    </row>
    <row r="13597" spans="1:5" ht="13">
      <c r="A13597" s="115"/>
      <c r="B13597" s="115"/>
      <c r="C13597" s="115"/>
      <c r="D13597" s="115"/>
      <c r="E13597" s="115"/>
    </row>
    <row r="13598" spans="1:5" ht="13">
      <c r="A13598" s="115"/>
      <c r="B13598" s="115"/>
      <c r="C13598" s="115"/>
      <c r="D13598" s="115"/>
      <c r="E13598" s="115"/>
    </row>
    <row r="13599" spans="1:5" ht="13">
      <c r="A13599" s="115"/>
      <c r="B13599" s="115"/>
      <c r="C13599" s="115"/>
      <c r="D13599" s="115"/>
      <c r="E13599" s="115"/>
    </row>
    <row r="13600" spans="1:5" ht="13">
      <c r="A13600" s="115"/>
      <c r="B13600" s="115"/>
      <c r="C13600" s="115"/>
      <c r="D13600" s="115"/>
      <c r="E13600" s="115"/>
    </row>
    <row r="13601" spans="1:5" ht="13">
      <c r="A13601" s="115"/>
      <c r="B13601" s="115"/>
      <c r="C13601" s="115"/>
      <c r="D13601" s="115"/>
      <c r="E13601" s="115"/>
    </row>
    <row r="13602" spans="1:5" ht="13">
      <c r="A13602" s="115"/>
      <c r="B13602" s="115"/>
      <c r="C13602" s="115"/>
      <c r="D13602" s="115"/>
      <c r="E13602" s="115"/>
    </row>
    <row r="13603" spans="1:5" ht="13">
      <c r="A13603" s="115"/>
      <c r="B13603" s="115"/>
      <c r="C13603" s="115"/>
      <c r="D13603" s="115"/>
      <c r="E13603" s="115"/>
    </row>
    <row r="13604" spans="1:5" ht="13">
      <c r="A13604" s="115"/>
      <c r="B13604" s="115"/>
      <c r="C13604" s="115"/>
      <c r="D13604" s="115"/>
      <c r="E13604" s="115"/>
    </row>
    <row r="13605" spans="1:5" ht="13">
      <c r="A13605" s="115"/>
      <c r="B13605" s="115"/>
      <c r="C13605" s="115"/>
      <c r="D13605" s="115"/>
      <c r="E13605" s="115"/>
    </row>
    <row r="13606" spans="1:5" ht="13">
      <c r="A13606" s="115"/>
      <c r="B13606" s="115"/>
      <c r="C13606" s="115"/>
      <c r="D13606" s="115"/>
      <c r="E13606" s="115"/>
    </row>
    <row r="13607" spans="1:5" ht="13">
      <c r="A13607" s="115"/>
      <c r="B13607" s="115"/>
      <c r="C13607" s="115"/>
      <c r="D13607" s="115"/>
      <c r="E13607" s="115"/>
    </row>
    <row r="13608" spans="1:5" ht="13">
      <c r="A13608" s="115"/>
      <c r="B13608" s="115"/>
      <c r="C13608" s="115"/>
      <c r="D13608" s="115"/>
      <c r="E13608" s="115"/>
    </row>
    <row r="13609" spans="1:5" ht="13">
      <c r="A13609" s="115"/>
      <c r="B13609" s="115"/>
      <c r="C13609" s="115"/>
      <c r="D13609" s="115"/>
      <c r="E13609" s="115"/>
    </row>
    <row r="13610" spans="1:5" ht="13">
      <c r="A13610" s="115"/>
      <c r="B13610" s="115"/>
      <c r="C13610" s="115"/>
      <c r="D13610" s="115"/>
      <c r="E13610" s="115"/>
    </row>
    <row r="13611" spans="1:5" ht="13">
      <c r="A13611" s="115"/>
      <c r="B13611" s="115"/>
      <c r="C13611" s="115"/>
      <c r="D13611" s="115"/>
      <c r="E13611" s="115"/>
    </row>
    <row r="13612" spans="1:5" ht="13">
      <c r="A13612" s="115"/>
      <c r="B13612" s="115"/>
      <c r="C13612" s="115"/>
      <c r="D13612" s="115"/>
      <c r="E13612" s="115"/>
    </row>
    <row r="13613" spans="1:5" ht="13">
      <c r="A13613" s="115"/>
      <c r="B13613" s="115"/>
      <c r="C13613" s="115"/>
      <c r="D13613" s="115"/>
      <c r="E13613" s="115"/>
    </row>
    <row r="13614" spans="1:5" ht="13">
      <c r="A13614" s="115"/>
      <c r="B13614" s="115"/>
      <c r="C13614" s="115"/>
      <c r="D13614" s="115"/>
      <c r="E13614" s="115"/>
    </row>
    <row r="13615" spans="1:5" ht="13">
      <c r="A13615" s="115"/>
      <c r="B13615" s="115"/>
      <c r="C13615" s="115"/>
      <c r="D13615" s="115"/>
      <c r="E13615" s="115"/>
    </row>
    <row r="13616" spans="1:5" ht="13">
      <c r="A13616" s="115"/>
      <c r="B13616" s="115"/>
      <c r="C13616" s="115"/>
      <c r="D13616" s="115"/>
      <c r="E13616" s="115"/>
    </row>
    <row r="13617" spans="1:5" ht="13">
      <c r="A13617" s="115"/>
      <c r="B13617" s="115"/>
      <c r="C13617" s="115"/>
      <c r="D13617" s="115"/>
      <c r="E13617" s="115"/>
    </row>
    <row r="13618" spans="1:5" ht="13">
      <c r="A13618" s="115"/>
      <c r="B13618" s="115"/>
      <c r="C13618" s="115"/>
      <c r="D13618" s="115"/>
      <c r="E13618" s="115"/>
    </row>
    <row r="13619" spans="1:5" ht="13">
      <c r="A13619" s="115"/>
      <c r="B13619" s="115"/>
      <c r="C13619" s="115"/>
      <c r="D13619" s="115"/>
      <c r="E13619" s="115"/>
    </row>
    <row r="13620" spans="1:5" ht="13">
      <c r="A13620" s="115"/>
      <c r="B13620" s="115"/>
      <c r="C13620" s="115"/>
      <c r="D13620" s="115"/>
      <c r="E13620" s="115"/>
    </row>
    <row r="13621" spans="1:5" ht="13">
      <c r="A13621" s="115"/>
      <c r="B13621" s="115"/>
      <c r="C13621" s="115"/>
      <c r="D13621" s="115"/>
      <c r="E13621" s="115"/>
    </row>
    <row r="13622" spans="1:5" ht="13">
      <c r="A13622" s="115"/>
      <c r="B13622" s="115"/>
      <c r="C13622" s="115"/>
      <c r="D13622" s="115"/>
      <c r="E13622" s="115"/>
    </row>
    <row r="13623" spans="1:5" ht="13">
      <c r="A13623" s="115"/>
      <c r="B13623" s="115"/>
      <c r="C13623" s="115"/>
      <c r="D13623" s="115"/>
      <c r="E13623" s="115"/>
    </row>
    <row r="13624" spans="1:5" ht="13">
      <c r="A13624" s="115"/>
      <c r="B13624" s="115"/>
      <c r="C13624" s="115"/>
      <c r="D13624" s="115"/>
      <c r="E13624" s="115"/>
    </row>
    <row r="13625" spans="1:5" ht="13">
      <c r="A13625" s="115"/>
      <c r="B13625" s="115"/>
      <c r="C13625" s="115"/>
      <c r="D13625" s="115"/>
      <c r="E13625" s="115"/>
    </row>
    <row r="13626" spans="1:5" ht="13">
      <c r="A13626" s="115"/>
      <c r="B13626" s="115"/>
      <c r="C13626" s="115"/>
      <c r="D13626" s="115"/>
      <c r="E13626" s="115"/>
    </row>
    <row r="13627" spans="1:5" ht="13">
      <c r="A13627" s="115"/>
      <c r="B13627" s="115"/>
      <c r="C13627" s="115"/>
      <c r="D13627" s="115"/>
      <c r="E13627" s="115"/>
    </row>
    <row r="13628" spans="1:5" ht="13">
      <c r="A13628" s="115"/>
      <c r="B13628" s="115"/>
      <c r="C13628" s="115"/>
      <c r="D13628" s="115"/>
      <c r="E13628" s="115"/>
    </row>
    <row r="13629" spans="1:5" ht="13">
      <c r="A13629" s="115"/>
      <c r="B13629" s="115"/>
      <c r="C13629" s="115"/>
      <c r="D13629" s="115"/>
      <c r="E13629" s="115"/>
    </row>
    <row r="13630" spans="1:5" ht="13">
      <c r="A13630" s="115"/>
      <c r="B13630" s="115"/>
      <c r="C13630" s="115"/>
      <c r="D13630" s="115"/>
      <c r="E13630" s="115"/>
    </row>
    <row r="13631" spans="1:5" ht="13">
      <c r="A13631" s="115"/>
      <c r="B13631" s="115"/>
      <c r="C13631" s="115"/>
      <c r="D13631" s="115"/>
      <c r="E13631" s="115"/>
    </row>
    <row r="13632" spans="1:5" ht="13">
      <c r="A13632" s="115"/>
      <c r="B13632" s="115"/>
      <c r="C13632" s="115"/>
      <c r="D13632" s="115"/>
      <c r="E13632" s="115"/>
    </row>
    <row r="13633" spans="1:5" ht="13">
      <c r="A13633" s="115"/>
      <c r="B13633" s="115"/>
      <c r="C13633" s="115"/>
      <c r="D13633" s="115"/>
      <c r="E13633" s="115"/>
    </row>
    <row r="13634" spans="1:5" ht="13">
      <c r="A13634" s="115"/>
      <c r="B13634" s="115"/>
      <c r="C13634" s="115"/>
      <c r="D13634" s="115"/>
      <c r="E13634" s="115"/>
    </row>
    <row r="13635" spans="1:5" ht="13">
      <c r="A13635" s="115"/>
      <c r="B13635" s="115"/>
      <c r="C13635" s="115"/>
      <c r="D13635" s="115"/>
      <c r="E13635" s="115"/>
    </row>
    <row r="13636" spans="1:5" ht="13">
      <c r="A13636" s="115"/>
      <c r="B13636" s="115"/>
      <c r="C13636" s="115"/>
      <c r="D13636" s="115"/>
      <c r="E13636" s="115"/>
    </row>
    <row r="13637" spans="1:5" ht="13">
      <c r="A13637" s="115"/>
      <c r="B13637" s="115"/>
      <c r="C13637" s="115"/>
      <c r="D13637" s="115"/>
      <c r="E13637" s="115"/>
    </row>
    <row r="13638" spans="1:5" ht="13">
      <c r="A13638" s="115"/>
      <c r="B13638" s="115"/>
      <c r="C13638" s="115"/>
      <c r="D13638" s="115"/>
      <c r="E13638" s="115"/>
    </row>
    <row r="13639" spans="1:5" ht="13">
      <c r="A13639" s="115"/>
      <c r="B13639" s="115"/>
      <c r="C13639" s="115"/>
      <c r="D13639" s="115"/>
      <c r="E13639" s="115"/>
    </row>
    <row r="13640" spans="1:5" ht="13">
      <c r="A13640" s="115"/>
      <c r="B13640" s="115"/>
      <c r="C13640" s="115"/>
      <c r="D13640" s="115"/>
      <c r="E13640" s="115"/>
    </row>
    <row r="13641" spans="1:5" ht="13">
      <c r="A13641" s="115"/>
      <c r="B13641" s="115"/>
      <c r="C13641" s="115"/>
      <c r="D13641" s="115"/>
      <c r="E13641" s="115"/>
    </row>
    <row r="13642" spans="1:5" ht="13">
      <c r="A13642" s="115"/>
      <c r="B13642" s="115"/>
      <c r="C13642" s="115"/>
      <c r="D13642" s="115"/>
      <c r="E13642" s="115"/>
    </row>
    <row r="13643" spans="1:5" ht="13">
      <c r="A13643" s="115"/>
      <c r="B13643" s="115"/>
      <c r="C13643" s="115"/>
      <c r="D13643" s="115"/>
      <c r="E13643" s="115"/>
    </row>
    <row r="13644" spans="1:5" ht="13">
      <c r="A13644" s="115"/>
      <c r="B13644" s="115"/>
      <c r="C13644" s="115"/>
      <c r="D13644" s="115"/>
      <c r="E13644" s="115"/>
    </row>
    <row r="13645" spans="1:5" ht="13">
      <c r="A13645" s="115"/>
      <c r="B13645" s="115"/>
      <c r="C13645" s="115"/>
      <c r="D13645" s="115"/>
      <c r="E13645" s="115"/>
    </row>
    <row r="13646" spans="1:5" ht="13">
      <c r="A13646" s="115"/>
      <c r="B13646" s="115"/>
      <c r="C13646" s="115"/>
      <c r="D13646" s="115"/>
      <c r="E13646" s="115"/>
    </row>
    <row r="13647" spans="1:5" ht="13">
      <c r="A13647" s="115"/>
      <c r="B13647" s="115"/>
      <c r="C13647" s="115"/>
      <c r="D13647" s="115"/>
      <c r="E13647" s="115"/>
    </row>
    <row r="13648" spans="1:5" ht="13">
      <c r="A13648" s="115"/>
      <c r="B13648" s="115"/>
      <c r="C13648" s="115"/>
      <c r="D13648" s="115"/>
      <c r="E13648" s="115"/>
    </row>
    <row r="13649" spans="1:5" ht="13">
      <c r="A13649" s="115"/>
      <c r="B13649" s="115"/>
      <c r="C13649" s="115"/>
      <c r="D13649" s="115"/>
      <c r="E13649" s="115"/>
    </row>
    <row r="13650" spans="1:5" ht="13">
      <c r="A13650" s="115"/>
      <c r="B13650" s="115"/>
      <c r="C13650" s="115"/>
      <c r="D13650" s="115"/>
      <c r="E13650" s="115"/>
    </row>
    <row r="13651" spans="1:5" ht="13">
      <c r="A13651" s="115"/>
      <c r="B13651" s="115"/>
      <c r="C13651" s="115"/>
      <c r="D13651" s="115"/>
      <c r="E13651" s="115"/>
    </row>
    <row r="13652" spans="1:5" ht="13">
      <c r="A13652" s="115"/>
      <c r="B13652" s="115"/>
      <c r="C13652" s="115"/>
      <c r="D13652" s="115"/>
      <c r="E13652" s="115"/>
    </row>
    <row r="13653" spans="1:5" ht="13">
      <c r="A13653" s="115"/>
      <c r="B13653" s="115"/>
      <c r="C13653" s="115"/>
      <c r="D13653" s="115"/>
      <c r="E13653" s="115"/>
    </row>
    <row r="13654" spans="1:5" ht="13">
      <c r="A13654" s="115"/>
      <c r="B13654" s="115"/>
      <c r="C13654" s="115"/>
      <c r="D13654" s="115"/>
      <c r="E13654" s="115"/>
    </row>
    <row r="13655" spans="1:5" ht="13">
      <c r="A13655" s="115"/>
      <c r="B13655" s="115"/>
      <c r="C13655" s="115"/>
      <c r="D13655" s="115"/>
      <c r="E13655" s="115"/>
    </row>
    <row r="13656" spans="1:5" ht="13">
      <c r="A13656" s="115"/>
      <c r="B13656" s="115"/>
      <c r="C13656" s="115"/>
      <c r="D13656" s="115"/>
      <c r="E13656" s="115"/>
    </row>
    <row r="13657" spans="1:5" ht="13">
      <c r="A13657" s="115"/>
      <c r="B13657" s="115"/>
      <c r="C13657" s="115"/>
      <c r="D13657" s="115"/>
      <c r="E13657" s="115"/>
    </row>
    <row r="13658" spans="1:5" ht="13">
      <c r="A13658" s="115"/>
      <c r="B13658" s="115"/>
      <c r="C13658" s="115"/>
      <c r="D13658" s="115"/>
      <c r="E13658" s="115"/>
    </row>
    <row r="13659" spans="1:5" ht="13">
      <c r="A13659" s="115"/>
      <c r="B13659" s="115"/>
      <c r="C13659" s="115"/>
      <c r="D13659" s="115"/>
      <c r="E13659" s="115"/>
    </row>
    <row r="13660" spans="1:5" ht="13">
      <c r="A13660" s="115"/>
      <c r="B13660" s="115"/>
      <c r="C13660" s="115"/>
      <c r="D13660" s="115"/>
      <c r="E13660" s="115"/>
    </row>
    <row r="13661" spans="1:5" ht="13">
      <c r="A13661" s="115"/>
      <c r="B13661" s="115"/>
      <c r="C13661" s="115"/>
      <c r="D13661" s="115"/>
      <c r="E13661" s="115"/>
    </row>
    <row r="13662" spans="1:5" ht="13">
      <c r="A13662" s="115"/>
      <c r="B13662" s="115"/>
      <c r="C13662" s="115"/>
      <c r="D13662" s="115"/>
      <c r="E13662" s="115"/>
    </row>
    <row r="13663" spans="1:5" ht="13">
      <c r="A13663" s="115"/>
      <c r="B13663" s="115"/>
      <c r="C13663" s="115"/>
      <c r="D13663" s="115"/>
      <c r="E13663" s="115"/>
    </row>
    <row r="13664" spans="1:5" ht="13">
      <c r="A13664" s="115"/>
      <c r="B13664" s="115"/>
      <c r="C13664" s="115"/>
      <c r="D13664" s="115"/>
      <c r="E13664" s="115"/>
    </row>
    <row r="13665" spans="1:5" ht="13">
      <c r="A13665" s="115"/>
      <c r="B13665" s="115"/>
      <c r="C13665" s="115"/>
      <c r="D13665" s="115"/>
      <c r="E13665" s="115"/>
    </row>
    <row r="13666" spans="1:5" ht="13">
      <c r="A13666" s="115"/>
      <c r="B13666" s="115"/>
      <c r="C13666" s="115"/>
      <c r="D13666" s="115"/>
      <c r="E13666" s="115"/>
    </row>
    <row r="13667" spans="1:5" ht="13">
      <c r="A13667" s="115"/>
      <c r="B13667" s="115"/>
      <c r="C13667" s="115"/>
      <c r="D13667" s="115"/>
      <c r="E13667" s="115"/>
    </row>
    <row r="13668" spans="1:5" ht="13">
      <c r="A13668" s="115"/>
      <c r="B13668" s="115"/>
      <c r="C13668" s="115"/>
      <c r="D13668" s="115"/>
      <c r="E13668" s="115"/>
    </row>
    <row r="13669" spans="1:5" ht="13">
      <c r="A13669" s="115"/>
      <c r="B13669" s="115"/>
      <c r="C13669" s="115"/>
      <c r="D13669" s="115"/>
      <c r="E13669" s="115"/>
    </row>
    <row r="13670" spans="1:5" ht="13">
      <c r="A13670" s="115"/>
      <c r="B13670" s="115"/>
      <c r="C13670" s="115"/>
      <c r="D13670" s="115"/>
      <c r="E13670" s="115"/>
    </row>
    <row r="13671" spans="1:5" ht="13">
      <c r="A13671" s="115"/>
      <c r="B13671" s="115"/>
      <c r="C13671" s="115"/>
      <c r="D13671" s="115"/>
      <c r="E13671" s="115"/>
    </row>
    <row r="13672" spans="1:5" ht="13">
      <c r="A13672" s="115"/>
      <c r="B13672" s="115"/>
      <c r="C13672" s="115"/>
      <c r="D13672" s="115"/>
      <c r="E13672" s="115"/>
    </row>
    <row r="13673" spans="1:5" ht="13">
      <c r="A13673" s="115"/>
      <c r="B13673" s="115"/>
      <c r="C13673" s="115"/>
      <c r="D13673" s="115"/>
      <c r="E13673" s="115"/>
    </row>
    <row r="13674" spans="1:5" ht="13">
      <c r="A13674" s="115"/>
      <c r="B13674" s="115"/>
      <c r="C13674" s="115"/>
      <c r="D13674" s="115"/>
      <c r="E13674" s="115"/>
    </row>
    <row r="13675" spans="1:5" ht="13">
      <c r="A13675" s="115"/>
      <c r="B13675" s="115"/>
      <c r="C13675" s="115"/>
      <c r="D13675" s="115"/>
      <c r="E13675" s="115"/>
    </row>
    <row r="13676" spans="1:5" ht="13">
      <c r="A13676" s="115"/>
      <c r="B13676" s="115"/>
      <c r="C13676" s="115"/>
      <c r="D13676" s="115"/>
      <c r="E13676" s="115"/>
    </row>
    <row r="13677" spans="1:5" ht="13">
      <c r="A13677" s="115"/>
      <c r="B13677" s="115"/>
      <c r="C13677" s="115"/>
      <c r="D13677" s="115"/>
      <c r="E13677" s="115"/>
    </row>
    <row r="13678" spans="1:5" ht="13">
      <c r="A13678" s="115"/>
      <c r="B13678" s="115"/>
      <c r="C13678" s="115"/>
      <c r="D13678" s="115"/>
      <c r="E13678" s="115"/>
    </row>
    <row r="13679" spans="1:5" ht="13">
      <c r="A13679" s="115"/>
      <c r="B13679" s="115"/>
      <c r="C13679" s="115"/>
      <c r="D13679" s="115"/>
      <c r="E13679" s="115"/>
    </row>
    <row r="13680" spans="1:5" ht="13">
      <c r="A13680" s="115"/>
      <c r="B13680" s="115"/>
      <c r="C13680" s="115"/>
      <c r="D13680" s="115"/>
      <c r="E13680" s="115"/>
    </row>
    <row r="13681" spans="1:5" ht="13">
      <c r="A13681" s="115"/>
      <c r="B13681" s="115"/>
      <c r="C13681" s="115"/>
      <c r="D13681" s="115"/>
      <c r="E13681" s="115"/>
    </row>
    <row r="13682" spans="1:5" ht="13">
      <c r="A13682" s="115"/>
      <c r="B13682" s="115"/>
      <c r="C13682" s="115"/>
      <c r="D13682" s="115"/>
      <c r="E13682" s="115"/>
    </row>
    <row r="13683" spans="1:5" ht="13">
      <c r="A13683" s="115"/>
      <c r="B13683" s="115"/>
      <c r="C13683" s="115"/>
      <c r="D13683" s="115"/>
      <c r="E13683" s="115"/>
    </row>
    <row r="13684" spans="1:5" ht="13">
      <c r="A13684" s="115"/>
      <c r="B13684" s="115"/>
      <c r="C13684" s="115"/>
      <c r="D13684" s="115"/>
      <c r="E13684" s="115"/>
    </row>
    <row r="13685" spans="1:5" ht="13">
      <c r="A13685" s="115"/>
      <c r="B13685" s="115"/>
      <c r="C13685" s="115"/>
      <c r="D13685" s="115"/>
      <c r="E13685" s="115"/>
    </row>
    <row r="13686" spans="1:5" ht="13">
      <c r="A13686" s="115"/>
      <c r="B13686" s="115"/>
      <c r="C13686" s="115"/>
      <c r="D13686" s="115"/>
      <c r="E13686" s="115"/>
    </row>
    <row r="13687" spans="1:5" ht="13">
      <c r="A13687" s="115"/>
      <c r="B13687" s="115"/>
      <c r="C13687" s="115"/>
      <c r="D13687" s="115"/>
      <c r="E13687" s="115"/>
    </row>
    <row r="13688" spans="1:5" ht="13">
      <c r="A13688" s="115"/>
      <c r="B13688" s="115"/>
      <c r="C13688" s="115"/>
      <c r="D13688" s="115"/>
      <c r="E13688" s="115"/>
    </row>
    <row r="13689" spans="1:5" ht="13">
      <c r="A13689" s="115"/>
      <c r="B13689" s="115"/>
      <c r="C13689" s="115"/>
      <c r="D13689" s="115"/>
      <c r="E13689" s="115"/>
    </row>
    <row r="13690" spans="1:5" ht="13">
      <c r="A13690" s="115"/>
      <c r="B13690" s="115"/>
      <c r="C13690" s="115"/>
      <c r="D13690" s="115"/>
      <c r="E13690" s="115"/>
    </row>
    <row r="13691" spans="1:5" ht="13">
      <c r="A13691" s="115"/>
      <c r="B13691" s="115"/>
      <c r="C13691" s="115"/>
      <c r="D13691" s="115"/>
      <c r="E13691" s="115"/>
    </row>
    <row r="13692" spans="1:5" ht="13">
      <c r="A13692" s="115"/>
      <c r="B13692" s="115"/>
      <c r="C13692" s="115"/>
      <c r="D13692" s="115"/>
      <c r="E13692" s="115"/>
    </row>
    <row r="13693" spans="1:5" ht="13">
      <c r="A13693" s="115"/>
      <c r="B13693" s="115"/>
      <c r="C13693" s="115"/>
      <c r="D13693" s="115"/>
      <c r="E13693" s="115"/>
    </row>
    <row r="13694" spans="1:5" ht="13">
      <c r="A13694" s="115"/>
      <c r="B13694" s="115"/>
      <c r="C13694" s="115"/>
      <c r="D13694" s="115"/>
      <c r="E13694" s="115"/>
    </row>
    <row r="13695" spans="1:5" ht="13">
      <c r="A13695" s="115"/>
      <c r="B13695" s="115"/>
      <c r="C13695" s="115"/>
      <c r="D13695" s="115"/>
      <c r="E13695" s="115"/>
    </row>
    <row r="13696" spans="1:5" ht="13">
      <c r="A13696" s="115"/>
      <c r="B13696" s="115"/>
      <c r="C13696" s="115"/>
      <c r="D13696" s="115"/>
      <c r="E13696" s="115"/>
    </row>
    <row r="13697" spans="1:5" ht="13">
      <c r="A13697" s="115"/>
      <c r="B13697" s="115"/>
      <c r="C13697" s="115"/>
      <c r="D13697" s="115"/>
      <c r="E13697" s="115"/>
    </row>
    <row r="13698" spans="1:5" ht="13">
      <c r="A13698" s="115"/>
      <c r="B13698" s="115"/>
      <c r="C13698" s="115"/>
      <c r="D13698" s="115"/>
      <c r="E13698" s="115"/>
    </row>
    <row r="13699" spans="1:5" ht="13">
      <c r="A13699" s="115"/>
      <c r="B13699" s="115"/>
      <c r="C13699" s="115"/>
      <c r="D13699" s="115"/>
      <c r="E13699" s="115"/>
    </row>
    <row r="13700" spans="1:5" ht="13">
      <c r="A13700" s="115"/>
      <c r="B13700" s="115"/>
      <c r="C13700" s="115"/>
      <c r="D13700" s="115"/>
      <c r="E13700" s="115"/>
    </row>
    <row r="13701" spans="1:5" ht="13">
      <c r="A13701" s="115"/>
      <c r="B13701" s="115"/>
      <c r="C13701" s="115"/>
      <c r="D13701" s="115"/>
      <c r="E13701" s="115"/>
    </row>
    <row r="13702" spans="1:5" ht="13">
      <c r="A13702" s="115"/>
      <c r="B13702" s="115"/>
      <c r="C13702" s="115"/>
      <c r="D13702" s="115"/>
      <c r="E13702" s="115"/>
    </row>
    <row r="13703" spans="1:5" ht="13">
      <c r="A13703" s="115"/>
      <c r="B13703" s="115"/>
      <c r="C13703" s="115"/>
      <c r="D13703" s="115"/>
      <c r="E13703" s="115"/>
    </row>
    <row r="13704" spans="1:5" ht="13">
      <c r="A13704" s="115"/>
      <c r="B13704" s="115"/>
      <c r="C13704" s="115"/>
      <c r="D13704" s="115"/>
      <c r="E13704" s="115"/>
    </row>
    <row r="13705" spans="1:5" ht="13">
      <c r="A13705" s="115"/>
      <c r="B13705" s="115"/>
      <c r="C13705" s="115"/>
      <c r="D13705" s="115"/>
      <c r="E13705" s="115"/>
    </row>
    <row r="13706" spans="1:5" ht="13">
      <c r="A13706" s="115"/>
      <c r="B13706" s="115"/>
      <c r="C13706" s="115"/>
      <c r="D13706" s="115"/>
      <c r="E13706" s="115"/>
    </row>
    <row r="13707" spans="1:5" ht="13">
      <c r="A13707" s="115"/>
      <c r="B13707" s="115"/>
      <c r="C13707" s="115"/>
      <c r="D13707" s="115"/>
      <c r="E13707" s="115"/>
    </row>
    <row r="13708" spans="1:5" ht="13">
      <c r="A13708" s="115"/>
      <c r="B13708" s="115"/>
      <c r="C13708" s="115"/>
      <c r="D13708" s="115"/>
      <c r="E13708" s="115"/>
    </row>
    <row r="13709" spans="1:5" ht="13">
      <c r="A13709" s="115"/>
      <c r="B13709" s="115"/>
      <c r="C13709" s="115"/>
      <c r="D13709" s="115"/>
      <c r="E13709" s="115"/>
    </row>
    <row r="13710" spans="1:5" ht="13">
      <c r="A13710" s="115"/>
      <c r="B13710" s="115"/>
      <c r="C13710" s="115"/>
      <c r="D13710" s="115"/>
      <c r="E13710" s="115"/>
    </row>
    <row r="13711" spans="1:5" ht="13">
      <c r="A13711" s="115"/>
      <c r="B13711" s="115"/>
      <c r="C13711" s="115"/>
      <c r="D13711" s="115"/>
      <c r="E13711" s="115"/>
    </row>
    <row r="13712" spans="1:5" ht="13">
      <c r="A13712" s="115"/>
      <c r="B13712" s="115"/>
      <c r="C13712" s="115"/>
      <c r="D13712" s="115"/>
      <c r="E13712" s="115"/>
    </row>
    <row r="13713" spans="1:5" ht="13">
      <c r="A13713" s="115"/>
      <c r="B13713" s="115"/>
      <c r="C13713" s="115"/>
      <c r="D13713" s="115"/>
      <c r="E13713" s="115"/>
    </row>
    <row r="13714" spans="1:5" ht="13">
      <c r="A13714" s="115"/>
      <c r="B13714" s="115"/>
      <c r="C13714" s="115"/>
      <c r="D13714" s="115"/>
      <c r="E13714" s="115"/>
    </row>
    <row r="13715" spans="1:5" ht="13">
      <c r="A13715" s="115"/>
      <c r="B13715" s="115"/>
      <c r="C13715" s="115"/>
      <c r="D13715" s="115"/>
      <c r="E13715" s="115"/>
    </row>
    <row r="13716" spans="1:5" ht="13">
      <c r="A13716" s="115"/>
      <c r="B13716" s="115"/>
      <c r="C13716" s="115"/>
      <c r="D13716" s="115"/>
      <c r="E13716" s="115"/>
    </row>
    <row r="13717" spans="1:5" ht="13">
      <c r="A13717" s="115"/>
      <c r="B13717" s="115"/>
      <c r="C13717" s="115"/>
      <c r="D13717" s="115"/>
      <c r="E13717" s="115"/>
    </row>
    <row r="13718" spans="1:5" ht="13">
      <c r="A13718" s="115"/>
      <c r="B13718" s="115"/>
      <c r="C13718" s="115"/>
      <c r="D13718" s="115"/>
      <c r="E13718" s="115"/>
    </row>
    <row r="13719" spans="1:5" ht="13">
      <c r="A13719" s="115"/>
      <c r="B13719" s="115"/>
      <c r="C13719" s="115"/>
      <c r="D13719" s="115"/>
      <c r="E13719" s="115"/>
    </row>
    <row r="13720" spans="1:5" ht="13">
      <c r="A13720" s="115"/>
      <c r="B13720" s="115"/>
      <c r="C13720" s="115"/>
      <c r="D13720" s="115"/>
      <c r="E13720" s="115"/>
    </row>
    <row r="13721" spans="1:5" ht="13">
      <c r="A13721" s="115"/>
      <c r="B13721" s="115"/>
      <c r="C13721" s="115"/>
      <c r="D13721" s="115"/>
      <c r="E13721" s="115"/>
    </row>
    <row r="13722" spans="1:5" ht="13">
      <c r="A13722" s="115"/>
      <c r="B13722" s="115"/>
      <c r="C13722" s="115"/>
      <c r="D13722" s="115"/>
      <c r="E13722" s="115"/>
    </row>
    <row r="13723" spans="1:5" ht="13">
      <c r="A13723" s="115"/>
      <c r="B13723" s="115"/>
      <c r="C13723" s="115"/>
      <c r="D13723" s="115"/>
      <c r="E13723" s="115"/>
    </row>
    <row r="13724" spans="1:5" ht="13">
      <c r="A13724" s="115"/>
      <c r="B13724" s="115"/>
      <c r="C13724" s="115"/>
      <c r="D13724" s="115"/>
      <c r="E13724" s="115"/>
    </row>
    <row r="13725" spans="1:5" ht="13">
      <c r="A13725" s="115"/>
      <c r="B13725" s="115"/>
      <c r="C13725" s="115"/>
      <c r="D13725" s="115"/>
      <c r="E13725" s="115"/>
    </row>
    <row r="13726" spans="1:5" ht="13">
      <c r="A13726" s="115"/>
      <c r="B13726" s="115"/>
      <c r="C13726" s="115"/>
      <c r="D13726" s="115"/>
      <c r="E13726" s="115"/>
    </row>
    <row r="13727" spans="1:5" ht="13">
      <c r="A13727" s="115"/>
      <c r="B13727" s="115"/>
      <c r="C13727" s="115"/>
      <c r="D13727" s="115"/>
      <c r="E13727" s="115"/>
    </row>
    <row r="13728" spans="1:5" ht="13">
      <c r="A13728" s="115"/>
      <c r="B13728" s="115"/>
      <c r="C13728" s="115"/>
      <c r="D13728" s="115"/>
      <c r="E13728" s="115"/>
    </row>
    <row r="13729" spans="1:5" ht="13">
      <c r="A13729" s="115"/>
      <c r="B13729" s="115"/>
      <c r="C13729" s="115"/>
      <c r="D13729" s="115"/>
      <c r="E13729" s="115"/>
    </row>
    <row r="13730" spans="1:5" ht="13">
      <c r="A13730" s="115"/>
      <c r="B13730" s="115"/>
      <c r="C13730" s="115"/>
      <c r="D13730" s="115"/>
      <c r="E13730" s="115"/>
    </row>
    <row r="13731" spans="1:5" ht="13">
      <c r="A13731" s="115"/>
      <c r="B13731" s="115"/>
      <c r="C13731" s="115"/>
      <c r="D13731" s="115"/>
      <c r="E13731" s="115"/>
    </row>
    <row r="13732" spans="1:5" ht="13">
      <c r="A13732" s="115"/>
      <c r="B13732" s="115"/>
      <c r="C13732" s="115"/>
      <c r="D13732" s="115"/>
      <c r="E13732" s="115"/>
    </row>
    <row r="13733" spans="1:5" ht="13">
      <c r="A13733" s="115"/>
      <c r="B13733" s="115"/>
      <c r="C13733" s="115"/>
      <c r="D13733" s="115"/>
      <c r="E13733" s="115"/>
    </row>
    <row r="13734" spans="1:5" ht="13">
      <c r="A13734" s="115"/>
      <c r="B13734" s="115"/>
      <c r="C13734" s="115"/>
      <c r="D13734" s="115"/>
      <c r="E13734" s="115"/>
    </row>
    <row r="13735" spans="1:5" ht="13">
      <c r="A13735" s="115"/>
      <c r="B13735" s="115"/>
      <c r="C13735" s="115"/>
      <c r="D13735" s="115"/>
      <c r="E13735" s="115"/>
    </row>
    <row r="13736" spans="1:5" ht="13">
      <c r="A13736" s="115"/>
      <c r="B13736" s="115"/>
      <c r="C13736" s="115"/>
      <c r="D13736" s="115"/>
      <c r="E13736" s="115"/>
    </row>
    <row r="13737" spans="1:5" ht="13">
      <c r="A13737" s="115"/>
      <c r="B13737" s="115"/>
      <c r="C13737" s="115"/>
      <c r="D13737" s="115"/>
      <c r="E13737" s="115"/>
    </row>
    <row r="13738" spans="1:5" ht="13">
      <c r="A13738" s="115"/>
      <c r="B13738" s="115"/>
      <c r="C13738" s="115"/>
      <c r="D13738" s="115"/>
      <c r="E13738" s="115"/>
    </row>
    <row r="13739" spans="1:5" ht="13">
      <c r="A13739" s="115"/>
      <c r="B13739" s="115"/>
      <c r="C13739" s="115"/>
      <c r="D13739" s="115"/>
      <c r="E13739" s="115"/>
    </row>
    <row r="13740" spans="1:5" ht="13">
      <c r="A13740" s="115"/>
      <c r="B13740" s="115"/>
      <c r="C13740" s="115"/>
      <c r="D13740" s="115"/>
      <c r="E13740" s="115"/>
    </row>
    <row r="13741" spans="1:5" ht="13">
      <c r="A13741" s="115"/>
      <c r="B13741" s="115"/>
      <c r="C13741" s="115"/>
      <c r="D13741" s="115"/>
      <c r="E13741" s="115"/>
    </row>
    <row r="13742" spans="1:5" ht="13">
      <c r="A13742" s="115"/>
      <c r="B13742" s="115"/>
      <c r="C13742" s="115"/>
      <c r="D13742" s="115"/>
      <c r="E13742" s="115"/>
    </row>
    <row r="13743" spans="1:5" ht="13">
      <c r="A13743" s="115"/>
      <c r="B13743" s="115"/>
      <c r="C13743" s="115"/>
      <c r="D13743" s="115"/>
      <c r="E13743" s="115"/>
    </row>
    <row r="13744" spans="1:5" ht="13">
      <c r="A13744" s="115"/>
      <c r="B13744" s="115"/>
      <c r="C13744" s="115"/>
      <c r="D13744" s="115"/>
      <c r="E13744" s="115"/>
    </row>
    <row r="13745" spans="1:5" ht="13">
      <c r="A13745" s="115"/>
      <c r="B13745" s="115"/>
      <c r="C13745" s="115"/>
      <c r="D13745" s="115"/>
      <c r="E13745" s="115"/>
    </row>
    <row r="13746" spans="1:5" ht="13">
      <c r="A13746" s="115"/>
      <c r="B13746" s="115"/>
      <c r="C13746" s="115"/>
      <c r="D13746" s="115"/>
      <c r="E13746" s="115"/>
    </row>
    <row r="13747" spans="1:5" ht="13">
      <c r="A13747" s="115"/>
      <c r="B13747" s="115"/>
      <c r="C13747" s="115"/>
      <c r="D13747" s="115"/>
      <c r="E13747" s="115"/>
    </row>
    <row r="13748" spans="1:5" ht="13">
      <c r="A13748" s="115"/>
      <c r="B13748" s="115"/>
      <c r="C13748" s="115"/>
      <c r="D13748" s="115"/>
      <c r="E13748" s="115"/>
    </row>
    <row r="13749" spans="1:5" ht="13">
      <c r="A13749" s="115"/>
      <c r="B13749" s="115"/>
      <c r="C13749" s="115"/>
      <c r="D13749" s="115"/>
      <c r="E13749" s="115"/>
    </row>
    <row r="13750" spans="1:5" ht="13">
      <c r="A13750" s="115"/>
      <c r="B13750" s="115"/>
      <c r="C13750" s="115"/>
      <c r="D13750" s="115"/>
      <c r="E13750" s="115"/>
    </row>
    <row r="13751" spans="1:5" ht="13">
      <c r="A13751" s="115"/>
      <c r="B13751" s="115"/>
      <c r="C13751" s="115"/>
      <c r="D13751" s="115"/>
      <c r="E13751" s="115"/>
    </row>
    <row r="13752" spans="1:5" ht="13">
      <c r="A13752" s="115"/>
      <c r="B13752" s="115"/>
      <c r="C13752" s="115"/>
      <c r="D13752" s="115"/>
      <c r="E13752" s="115"/>
    </row>
    <row r="13753" spans="1:5" ht="13">
      <c r="A13753" s="115"/>
      <c r="B13753" s="115"/>
      <c r="C13753" s="115"/>
      <c r="D13753" s="115"/>
      <c r="E13753" s="115"/>
    </row>
    <row r="13754" spans="1:5" ht="13">
      <c r="A13754" s="115"/>
      <c r="B13754" s="115"/>
      <c r="C13754" s="115"/>
      <c r="D13754" s="115"/>
      <c r="E13754" s="115"/>
    </row>
    <row r="13755" spans="1:5" ht="13">
      <c r="A13755" s="115"/>
      <c r="B13755" s="115"/>
      <c r="C13755" s="115"/>
      <c r="D13755" s="115"/>
      <c r="E13755" s="115"/>
    </row>
    <row r="13756" spans="1:5" ht="13">
      <c r="A13756" s="115"/>
      <c r="B13756" s="115"/>
      <c r="C13756" s="115"/>
      <c r="D13756" s="115"/>
      <c r="E13756" s="115"/>
    </row>
    <row r="13757" spans="1:5" ht="13">
      <c r="A13757" s="115"/>
      <c r="B13757" s="115"/>
      <c r="C13757" s="115"/>
      <c r="D13757" s="115"/>
      <c r="E13757" s="115"/>
    </row>
    <row r="13758" spans="1:5" ht="13">
      <c r="A13758" s="115"/>
      <c r="B13758" s="115"/>
      <c r="C13758" s="115"/>
      <c r="D13758" s="115"/>
      <c r="E13758" s="115"/>
    </row>
    <row r="13759" spans="1:5" ht="13">
      <c r="A13759" s="115"/>
      <c r="B13759" s="115"/>
      <c r="C13759" s="115"/>
      <c r="D13759" s="115"/>
      <c r="E13759" s="115"/>
    </row>
    <row r="13760" spans="1:5" ht="13">
      <c r="A13760" s="115"/>
      <c r="B13760" s="115"/>
      <c r="C13760" s="115"/>
      <c r="D13760" s="115"/>
      <c r="E13760" s="115"/>
    </row>
    <row r="13761" spans="1:5" ht="13">
      <c r="A13761" s="115"/>
      <c r="B13761" s="115"/>
      <c r="C13761" s="115"/>
      <c r="D13761" s="115"/>
      <c r="E13761" s="115"/>
    </row>
    <row r="13762" spans="1:5" ht="13">
      <c r="A13762" s="115"/>
      <c r="B13762" s="115"/>
      <c r="C13762" s="115"/>
      <c r="D13762" s="115"/>
      <c r="E13762" s="115"/>
    </row>
    <row r="13763" spans="1:5" ht="13">
      <c r="A13763" s="115"/>
      <c r="B13763" s="115"/>
      <c r="C13763" s="115"/>
      <c r="D13763" s="115"/>
      <c r="E13763" s="115"/>
    </row>
    <row r="13764" spans="1:5" ht="13">
      <c r="A13764" s="115"/>
      <c r="B13764" s="115"/>
      <c r="C13764" s="115"/>
      <c r="D13764" s="115"/>
      <c r="E13764" s="115"/>
    </row>
    <row r="13765" spans="1:5" ht="13">
      <c r="A13765" s="115"/>
      <c r="B13765" s="115"/>
      <c r="C13765" s="115"/>
      <c r="D13765" s="115"/>
      <c r="E13765" s="115"/>
    </row>
    <row r="13766" spans="1:5" ht="13">
      <c r="A13766" s="115"/>
      <c r="B13766" s="115"/>
      <c r="C13766" s="115"/>
      <c r="D13766" s="115"/>
      <c r="E13766" s="115"/>
    </row>
    <row r="13767" spans="1:5" ht="13">
      <c r="A13767" s="115"/>
      <c r="B13767" s="115"/>
      <c r="C13767" s="115"/>
      <c r="D13767" s="115"/>
      <c r="E13767" s="115"/>
    </row>
    <row r="13768" spans="1:5" ht="13">
      <c r="A13768" s="115"/>
      <c r="B13768" s="115"/>
      <c r="C13768" s="115"/>
      <c r="D13768" s="115"/>
      <c r="E13768" s="115"/>
    </row>
    <row r="13769" spans="1:5" ht="13">
      <c r="A13769" s="115"/>
      <c r="B13769" s="115"/>
      <c r="C13769" s="115"/>
      <c r="D13769" s="115"/>
      <c r="E13769" s="115"/>
    </row>
    <row r="13770" spans="1:5" ht="13">
      <c r="A13770" s="115"/>
      <c r="B13770" s="115"/>
      <c r="C13770" s="115"/>
      <c r="D13770" s="115"/>
      <c r="E13770" s="115"/>
    </row>
    <row r="13771" spans="1:5" ht="13">
      <c r="A13771" s="115"/>
      <c r="B13771" s="115"/>
      <c r="C13771" s="115"/>
      <c r="D13771" s="115"/>
      <c r="E13771" s="115"/>
    </row>
    <row r="13772" spans="1:5" ht="13">
      <c r="A13772" s="115"/>
      <c r="B13772" s="115"/>
      <c r="C13772" s="115"/>
      <c r="D13772" s="115"/>
      <c r="E13772" s="115"/>
    </row>
    <row r="13773" spans="1:5" ht="13">
      <c r="A13773" s="115"/>
      <c r="B13773" s="115"/>
      <c r="C13773" s="115"/>
      <c r="D13773" s="115"/>
      <c r="E13773" s="115"/>
    </row>
    <row r="13774" spans="1:5" ht="13">
      <c r="A13774" s="115"/>
      <c r="B13774" s="115"/>
      <c r="C13774" s="115"/>
      <c r="D13774" s="115"/>
      <c r="E13774" s="115"/>
    </row>
    <row r="13775" spans="1:5" ht="13">
      <c r="A13775" s="115"/>
      <c r="B13775" s="115"/>
      <c r="C13775" s="115"/>
      <c r="D13775" s="115"/>
      <c r="E13775" s="115"/>
    </row>
    <row r="13776" spans="1:5" ht="13">
      <c r="A13776" s="115"/>
      <c r="B13776" s="115"/>
      <c r="C13776" s="115"/>
      <c r="D13776" s="115"/>
      <c r="E13776" s="115"/>
    </row>
    <row r="13777" spans="1:5" ht="13">
      <c r="A13777" s="115"/>
      <c r="B13777" s="115"/>
      <c r="C13777" s="115"/>
      <c r="D13777" s="115"/>
      <c r="E13777" s="115"/>
    </row>
    <row r="13778" spans="1:5" ht="13">
      <c r="A13778" s="115"/>
      <c r="B13778" s="115"/>
      <c r="C13778" s="115"/>
      <c r="D13778" s="115"/>
      <c r="E13778" s="115"/>
    </row>
    <row r="13779" spans="1:5" ht="13">
      <c r="A13779" s="115"/>
      <c r="B13779" s="115"/>
      <c r="C13779" s="115"/>
      <c r="D13779" s="115"/>
      <c r="E13779" s="115"/>
    </row>
    <row r="13780" spans="1:5" ht="13">
      <c r="A13780" s="115"/>
      <c r="B13780" s="115"/>
      <c r="C13780" s="115"/>
      <c r="D13780" s="115"/>
      <c r="E13780" s="115"/>
    </row>
    <row r="13781" spans="1:5" ht="13">
      <c r="A13781" s="115"/>
      <c r="B13781" s="115"/>
      <c r="C13781" s="115"/>
      <c r="D13781" s="115"/>
      <c r="E13781" s="115"/>
    </row>
    <row r="13782" spans="1:5" ht="13">
      <c r="A13782" s="115"/>
      <c r="B13782" s="115"/>
      <c r="C13782" s="115"/>
      <c r="D13782" s="115"/>
      <c r="E13782" s="115"/>
    </row>
    <row r="13783" spans="1:5" ht="13">
      <c r="A13783" s="115"/>
      <c r="B13783" s="115"/>
      <c r="C13783" s="115"/>
      <c r="D13783" s="115"/>
      <c r="E13783" s="115"/>
    </row>
    <row r="13784" spans="1:5" ht="13">
      <c r="A13784" s="115"/>
      <c r="B13784" s="115"/>
      <c r="C13784" s="115"/>
      <c r="D13784" s="115"/>
      <c r="E13784" s="115"/>
    </row>
    <row r="13785" spans="1:5" ht="13">
      <c r="A13785" s="115"/>
      <c r="B13785" s="115"/>
      <c r="C13785" s="115"/>
      <c r="D13785" s="115"/>
      <c r="E13785" s="115"/>
    </row>
    <row r="13786" spans="1:5" ht="13">
      <c r="A13786" s="115"/>
      <c r="B13786" s="115"/>
      <c r="C13786" s="115"/>
      <c r="D13786" s="115"/>
      <c r="E13786" s="115"/>
    </row>
    <row r="13787" spans="1:5" ht="13">
      <c r="A13787" s="115"/>
      <c r="B13787" s="115"/>
      <c r="C13787" s="115"/>
      <c r="D13787" s="115"/>
      <c r="E13787" s="115"/>
    </row>
    <row r="13788" spans="1:5" ht="13">
      <c r="A13788" s="115"/>
      <c r="B13788" s="115"/>
      <c r="C13788" s="115"/>
      <c r="D13788" s="115"/>
      <c r="E13788" s="115"/>
    </row>
    <row r="13789" spans="1:5" ht="13">
      <c r="A13789" s="115"/>
      <c r="B13789" s="115"/>
      <c r="C13789" s="115"/>
      <c r="D13789" s="115"/>
      <c r="E13789" s="115"/>
    </row>
    <row r="13790" spans="1:5" ht="13">
      <c r="A13790" s="115"/>
      <c r="B13790" s="115"/>
      <c r="C13790" s="115"/>
      <c r="D13790" s="115"/>
      <c r="E13790" s="115"/>
    </row>
    <row r="13791" spans="1:5" ht="13">
      <c r="A13791" s="115"/>
      <c r="B13791" s="115"/>
      <c r="C13791" s="115"/>
      <c r="D13791" s="115"/>
      <c r="E13791" s="115"/>
    </row>
    <row r="13792" spans="1:5" ht="13">
      <c r="A13792" s="115"/>
      <c r="B13792" s="115"/>
      <c r="C13792" s="115"/>
      <c r="D13792" s="115"/>
      <c r="E13792" s="115"/>
    </row>
    <row r="13793" spans="1:5" ht="13">
      <c r="A13793" s="115"/>
      <c r="B13793" s="115"/>
      <c r="C13793" s="115"/>
      <c r="D13793" s="115"/>
      <c r="E13793" s="115"/>
    </row>
    <row r="13794" spans="1:5" ht="13">
      <c r="A13794" s="115"/>
      <c r="B13794" s="115"/>
      <c r="C13794" s="115"/>
      <c r="D13794" s="115"/>
      <c r="E13794" s="115"/>
    </row>
    <row r="13795" spans="1:5" ht="13">
      <c r="A13795" s="115"/>
      <c r="B13795" s="115"/>
      <c r="C13795" s="115"/>
      <c r="D13795" s="115"/>
      <c r="E13795" s="115"/>
    </row>
    <row r="13796" spans="1:5" ht="13">
      <c r="A13796" s="115"/>
      <c r="B13796" s="115"/>
      <c r="C13796" s="115"/>
      <c r="D13796" s="115"/>
      <c r="E13796" s="115"/>
    </row>
    <row r="13797" spans="1:5" ht="13">
      <c r="A13797" s="115"/>
      <c r="B13797" s="115"/>
      <c r="C13797" s="115"/>
      <c r="D13797" s="115"/>
      <c r="E13797" s="115"/>
    </row>
    <row r="13798" spans="1:5" ht="13">
      <c r="A13798" s="115"/>
      <c r="B13798" s="115"/>
      <c r="C13798" s="115"/>
      <c r="D13798" s="115"/>
      <c r="E13798" s="115"/>
    </row>
    <row r="13799" spans="1:5" ht="13">
      <c r="A13799" s="115"/>
      <c r="B13799" s="115"/>
      <c r="C13799" s="115"/>
      <c r="D13799" s="115"/>
      <c r="E13799" s="115"/>
    </row>
    <row r="13800" spans="1:5" ht="13">
      <c r="A13800" s="115"/>
      <c r="B13800" s="115"/>
      <c r="C13800" s="115"/>
      <c r="D13800" s="115"/>
      <c r="E13800" s="115"/>
    </row>
    <row r="13801" spans="1:5" ht="13">
      <c r="A13801" s="115"/>
      <c r="B13801" s="115"/>
      <c r="C13801" s="115"/>
      <c r="D13801" s="115"/>
      <c r="E13801" s="115"/>
    </row>
    <row r="13802" spans="1:5" ht="13">
      <c r="A13802" s="115"/>
      <c r="B13802" s="115"/>
      <c r="C13802" s="115"/>
      <c r="D13802" s="115"/>
      <c r="E13802" s="115"/>
    </row>
    <row r="13803" spans="1:5" ht="13">
      <c r="A13803" s="115"/>
      <c r="B13803" s="115"/>
      <c r="C13803" s="115"/>
      <c r="D13803" s="115"/>
      <c r="E13803" s="115"/>
    </row>
    <row r="13804" spans="1:5" ht="13">
      <c r="A13804" s="115"/>
      <c r="B13804" s="115"/>
      <c r="C13804" s="115"/>
      <c r="D13804" s="115"/>
      <c r="E13804" s="115"/>
    </row>
    <row r="13805" spans="1:5" ht="13">
      <c r="A13805" s="115"/>
      <c r="B13805" s="115"/>
      <c r="C13805" s="115"/>
      <c r="D13805" s="115"/>
      <c r="E13805" s="115"/>
    </row>
    <row r="13806" spans="1:5" ht="13">
      <c r="A13806" s="115"/>
      <c r="B13806" s="115"/>
      <c r="C13806" s="115"/>
      <c r="D13806" s="115"/>
      <c r="E13806" s="115"/>
    </row>
    <row r="13807" spans="1:5" ht="13">
      <c r="A13807" s="115"/>
      <c r="B13807" s="115"/>
      <c r="C13807" s="115"/>
      <c r="D13807" s="115"/>
      <c r="E13807" s="115"/>
    </row>
    <row r="13808" spans="1:5" ht="13">
      <c r="A13808" s="115"/>
      <c r="B13808" s="115"/>
      <c r="C13808" s="115"/>
      <c r="D13808" s="115"/>
      <c r="E13808" s="115"/>
    </row>
    <row r="13809" spans="1:5" ht="13">
      <c r="A13809" s="115"/>
      <c r="B13809" s="115"/>
      <c r="C13809" s="115"/>
      <c r="D13809" s="115"/>
      <c r="E13809" s="115"/>
    </row>
    <row r="13810" spans="1:5" ht="13">
      <c r="A13810" s="115"/>
      <c r="B13810" s="115"/>
      <c r="C13810" s="115"/>
      <c r="D13810" s="115"/>
      <c r="E13810" s="115"/>
    </row>
    <row r="13811" spans="1:5" ht="13">
      <c r="A13811" s="115"/>
      <c r="B13811" s="115"/>
      <c r="C13811" s="115"/>
      <c r="D13811" s="115"/>
      <c r="E13811" s="115"/>
    </row>
    <row r="13812" spans="1:5" ht="13">
      <c r="A13812" s="115"/>
      <c r="B13812" s="115"/>
      <c r="C13812" s="115"/>
      <c r="D13812" s="115"/>
      <c r="E13812" s="115"/>
    </row>
    <row r="13813" spans="1:5" ht="13">
      <c r="A13813" s="115"/>
      <c r="B13813" s="115"/>
      <c r="C13813" s="115"/>
      <c r="D13813" s="115"/>
      <c r="E13813" s="115"/>
    </row>
    <row r="13814" spans="1:5" ht="13">
      <c r="A13814" s="115"/>
      <c r="B13814" s="115"/>
      <c r="C13814" s="115"/>
      <c r="D13814" s="115"/>
      <c r="E13814" s="115"/>
    </row>
    <row r="13815" spans="1:5" ht="13">
      <c r="A13815" s="115"/>
      <c r="B13815" s="115"/>
      <c r="C13815" s="115"/>
      <c r="D13815" s="115"/>
      <c r="E13815" s="115"/>
    </row>
    <row r="13816" spans="1:5" ht="13">
      <c r="A13816" s="115"/>
      <c r="B13816" s="115"/>
      <c r="C13816" s="115"/>
      <c r="D13816" s="115"/>
      <c r="E13816" s="115"/>
    </row>
    <row r="13817" spans="1:5" ht="13">
      <c r="A13817" s="115"/>
      <c r="B13817" s="115"/>
      <c r="C13817" s="115"/>
      <c r="D13817" s="115"/>
      <c r="E13817" s="115"/>
    </row>
    <row r="13818" spans="1:5" ht="13">
      <c r="A13818" s="115"/>
      <c r="B13818" s="115"/>
      <c r="C13818" s="115"/>
      <c r="D13818" s="115"/>
      <c r="E13818" s="115"/>
    </row>
    <row r="13819" spans="1:5" ht="13">
      <c r="A13819" s="115"/>
      <c r="B13819" s="115"/>
      <c r="C13819" s="115"/>
      <c r="D13819" s="115"/>
      <c r="E13819" s="115"/>
    </row>
    <row r="13820" spans="1:5" ht="13">
      <c r="A13820" s="115"/>
      <c r="B13820" s="115"/>
      <c r="C13820" s="115"/>
      <c r="D13820" s="115"/>
      <c r="E13820" s="115"/>
    </row>
    <row r="13821" spans="1:5" ht="13">
      <c r="A13821" s="115"/>
      <c r="B13821" s="115"/>
      <c r="C13821" s="115"/>
      <c r="D13821" s="115"/>
      <c r="E13821" s="115"/>
    </row>
    <row r="13822" spans="1:5" ht="13">
      <c r="A13822" s="115"/>
      <c r="B13822" s="115"/>
      <c r="C13822" s="115"/>
      <c r="D13822" s="115"/>
      <c r="E13822" s="115"/>
    </row>
    <row r="13823" spans="1:5" ht="13">
      <c r="A13823" s="115"/>
      <c r="B13823" s="115"/>
      <c r="C13823" s="115"/>
      <c r="D13823" s="115"/>
      <c r="E13823" s="115"/>
    </row>
    <row r="13824" spans="1:5" ht="13">
      <c r="A13824" s="115"/>
      <c r="B13824" s="115"/>
      <c r="C13824" s="115"/>
      <c r="D13824" s="115"/>
      <c r="E13824" s="115"/>
    </row>
    <row r="13825" spans="1:5" ht="13">
      <c r="A13825" s="115"/>
      <c r="B13825" s="115"/>
      <c r="C13825" s="115"/>
      <c r="D13825" s="115"/>
      <c r="E13825" s="115"/>
    </row>
    <row r="13826" spans="1:5" ht="13">
      <c r="A13826" s="115"/>
      <c r="B13826" s="115"/>
      <c r="C13826" s="115"/>
      <c r="D13826" s="115"/>
      <c r="E13826" s="115"/>
    </row>
    <row r="13827" spans="1:5" ht="13">
      <c r="A13827" s="115"/>
      <c r="B13827" s="115"/>
      <c r="C13827" s="115"/>
      <c r="D13827" s="115"/>
      <c r="E13827" s="115"/>
    </row>
    <row r="13828" spans="1:5" ht="13">
      <c r="A13828" s="115"/>
      <c r="B13828" s="115"/>
      <c r="C13828" s="115"/>
      <c r="D13828" s="115"/>
      <c r="E13828" s="115"/>
    </row>
    <row r="13829" spans="1:5" ht="13">
      <c r="A13829" s="115"/>
      <c r="B13829" s="115"/>
      <c r="C13829" s="115"/>
      <c r="D13829" s="115"/>
      <c r="E13829" s="115"/>
    </row>
    <row r="13830" spans="1:5" ht="13">
      <c r="A13830" s="115"/>
      <c r="B13830" s="115"/>
      <c r="C13830" s="115"/>
      <c r="D13830" s="115"/>
      <c r="E13830" s="115"/>
    </row>
    <row r="13831" spans="1:5" ht="13">
      <c r="A13831" s="115"/>
      <c r="B13831" s="115"/>
      <c r="C13831" s="115"/>
      <c r="D13831" s="115"/>
      <c r="E13831" s="115"/>
    </row>
    <row r="13832" spans="1:5" ht="13">
      <c r="A13832" s="115"/>
      <c r="B13832" s="115"/>
      <c r="C13832" s="115"/>
      <c r="D13832" s="115"/>
      <c r="E13832" s="115"/>
    </row>
    <row r="13833" spans="1:5" ht="13">
      <c r="A13833" s="115"/>
      <c r="B13833" s="115"/>
      <c r="C13833" s="115"/>
      <c r="D13833" s="115"/>
      <c r="E13833" s="115"/>
    </row>
    <row r="13834" spans="1:5" ht="13">
      <c r="A13834" s="115"/>
      <c r="B13834" s="115"/>
      <c r="C13834" s="115"/>
      <c r="D13834" s="115"/>
      <c r="E13834" s="115"/>
    </row>
    <row r="13835" spans="1:5" ht="13">
      <c r="A13835" s="115"/>
      <c r="B13835" s="115"/>
      <c r="C13835" s="115"/>
      <c r="D13835" s="115"/>
      <c r="E13835" s="115"/>
    </row>
    <row r="13836" spans="1:5" ht="13">
      <c r="A13836" s="115"/>
      <c r="B13836" s="115"/>
      <c r="C13836" s="115"/>
      <c r="D13836" s="115"/>
      <c r="E13836" s="115"/>
    </row>
    <row r="13837" spans="1:5" ht="13">
      <c r="A13837" s="115"/>
      <c r="B13837" s="115"/>
      <c r="C13837" s="115"/>
      <c r="D13837" s="115"/>
      <c r="E13837" s="115"/>
    </row>
    <row r="13838" spans="1:5" ht="13">
      <c r="A13838" s="115"/>
      <c r="B13838" s="115"/>
      <c r="C13838" s="115"/>
      <c r="D13838" s="115"/>
      <c r="E13838" s="115"/>
    </row>
    <row r="13839" spans="1:5" ht="13">
      <c r="A13839" s="115"/>
      <c r="B13839" s="115"/>
      <c r="C13839" s="115"/>
      <c r="D13839" s="115"/>
      <c r="E13839" s="115"/>
    </row>
    <row r="13840" spans="1:5" ht="13">
      <c r="A13840" s="115"/>
      <c r="B13840" s="115"/>
      <c r="C13840" s="115"/>
      <c r="D13840" s="115"/>
      <c r="E13840" s="115"/>
    </row>
    <row r="13841" spans="1:5" ht="13">
      <c r="A13841" s="115"/>
      <c r="B13841" s="115"/>
      <c r="C13841" s="115"/>
      <c r="D13841" s="115"/>
      <c r="E13841" s="115"/>
    </row>
    <row r="13842" spans="1:5" ht="13">
      <c r="A13842" s="115"/>
      <c r="B13842" s="115"/>
      <c r="C13842" s="115"/>
      <c r="D13842" s="115"/>
      <c r="E13842" s="115"/>
    </row>
    <row r="13843" spans="1:5" ht="13">
      <c r="A13843" s="115"/>
      <c r="B13843" s="115"/>
      <c r="C13843" s="115"/>
      <c r="D13843" s="115"/>
      <c r="E13843" s="115"/>
    </row>
    <row r="13844" spans="1:5" ht="13">
      <c r="A13844" s="115"/>
      <c r="B13844" s="115"/>
      <c r="C13844" s="115"/>
      <c r="D13844" s="115"/>
      <c r="E13844" s="115"/>
    </row>
    <row r="13845" spans="1:5" ht="13">
      <c r="A13845" s="115"/>
      <c r="B13845" s="115"/>
      <c r="C13845" s="115"/>
      <c r="D13845" s="115"/>
      <c r="E13845" s="115"/>
    </row>
    <row r="13846" spans="1:5" ht="13">
      <c r="A13846" s="115"/>
      <c r="B13846" s="115"/>
      <c r="C13846" s="115"/>
      <c r="D13846" s="115"/>
      <c r="E13846" s="115"/>
    </row>
    <row r="13847" spans="1:5" ht="13">
      <c r="A13847" s="115"/>
      <c r="B13847" s="115"/>
      <c r="C13847" s="115"/>
      <c r="D13847" s="115"/>
      <c r="E13847" s="115"/>
    </row>
    <row r="13848" spans="1:5" ht="13">
      <c r="A13848" s="115"/>
      <c r="B13848" s="115"/>
      <c r="C13848" s="115"/>
      <c r="D13848" s="115"/>
      <c r="E13848" s="115"/>
    </row>
    <row r="13849" spans="1:5" ht="13">
      <c r="A13849" s="115"/>
      <c r="B13849" s="115"/>
      <c r="C13849" s="115"/>
      <c r="D13849" s="115"/>
      <c r="E13849" s="115"/>
    </row>
    <row r="13850" spans="1:5" ht="13">
      <c r="A13850" s="115"/>
      <c r="B13850" s="115"/>
      <c r="C13850" s="115"/>
      <c r="D13850" s="115"/>
      <c r="E13850" s="115"/>
    </row>
    <row r="13851" spans="1:5" ht="13">
      <c r="A13851" s="115"/>
      <c r="B13851" s="115"/>
      <c r="C13851" s="115"/>
      <c r="D13851" s="115"/>
      <c r="E13851" s="115"/>
    </row>
    <row r="13852" spans="1:5" ht="13">
      <c r="A13852" s="115"/>
      <c r="B13852" s="115"/>
      <c r="C13852" s="115"/>
      <c r="D13852" s="115"/>
      <c r="E13852" s="115"/>
    </row>
    <row r="13853" spans="1:5" ht="13">
      <c r="A13853" s="115"/>
      <c r="B13853" s="115"/>
      <c r="C13853" s="115"/>
      <c r="D13853" s="115"/>
      <c r="E13853" s="115"/>
    </row>
    <row r="13854" spans="1:5" ht="13">
      <c r="A13854" s="115"/>
      <c r="B13854" s="115"/>
      <c r="C13854" s="115"/>
      <c r="D13854" s="115"/>
      <c r="E13854" s="115"/>
    </row>
    <row r="13855" spans="1:5" ht="13">
      <c r="A13855" s="115"/>
      <c r="B13855" s="115"/>
      <c r="C13855" s="115"/>
      <c r="D13855" s="115"/>
      <c r="E13855" s="115"/>
    </row>
    <row r="13856" spans="1:5" ht="13">
      <c r="A13856" s="115"/>
      <c r="B13856" s="115"/>
      <c r="C13856" s="115"/>
      <c r="D13856" s="115"/>
      <c r="E13856" s="115"/>
    </row>
    <row r="13857" spans="1:5" ht="13">
      <c r="A13857" s="115"/>
      <c r="B13857" s="115"/>
      <c r="C13857" s="115"/>
      <c r="D13857" s="115"/>
      <c r="E13857" s="115"/>
    </row>
    <row r="13858" spans="1:5" ht="13">
      <c r="A13858" s="115"/>
      <c r="B13858" s="115"/>
      <c r="C13858" s="115"/>
      <c r="D13858" s="115"/>
      <c r="E13858" s="115"/>
    </row>
    <row r="13859" spans="1:5" ht="13">
      <c r="A13859" s="115"/>
      <c r="B13859" s="115"/>
      <c r="C13859" s="115"/>
      <c r="D13859" s="115"/>
      <c r="E13859" s="115"/>
    </row>
    <row r="13860" spans="1:5" ht="13">
      <c r="A13860" s="115"/>
      <c r="B13860" s="115"/>
      <c r="C13860" s="115"/>
      <c r="D13860" s="115"/>
      <c r="E13860" s="115"/>
    </row>
    <row r="13861" spans="1:5" ht="13">
      <c r="A13861" s="115"/>
      <c r="B13861" s="115"/>
      <c r="C13861" s="115"/>
      <c r="D13861" s="115"/>
      <c r="E13861" s="115"/>
    </row>
    <row r="13862" spans="1:5" ht="13">
      <c r="A13862" s="115"/>
      <c r="B13862" s="115"/>
      <c r="C13862" s="115"/>
      <c r="D13862" s="115"/>
      <c r="E13862" s="115"/>
    </row>
    <row r="13863" spans="1:5" ht="13">
      <c r="A13863" s="115"/>
      <c r="B13863" s="115"/>
      <c r="C13863" s="115"/>
      <c r="D13863" s="115"/>
      <c r="E13863" s="115"/>
    </row>
    <row r="13864" spans="1:5" ht="13">
      <c r="A13864" s="115"/>
      <c r="B13864" s="115"/>
      <c r="C13864" s="115"/>
      <c r="D13864" s="115"/>
      <c r="E13864" s="115"/>
    </row>
    <row r="13865" spans="1:5" ht="13">
      <c r="A13865" s="115"/>
      <c r="B13865" s="115"/>
      <c r="C13865" s="115"/>
      <c r="D13865" s="115"/>
      <c r="E13865" s="115"/>
    </row>
    <row r="13866" spans="1:5" ht="13">
      <c r="A13866" s="115"/>
      <c r="B13866" s="115"/>
      <c r="C13866" s="115"/>
      <c r="D13866" s="115"/>
      <c r="E13866" s="115"/>
    </row>
    <row r="13867" spans="1:5" ht="13">
      <c r="A13867" s="115"/>
      <c r="B13867" s="115"/>
      <c r="C13867" s="115"/>
      <c r="D13867" s="115"/>
      <c r="E13867" s="115"/>
    </row>
    <row r="13868" spans="1:5" ht="13">
      <c r="A13868" s="115"/>
      <c r="B13868" s="115"/>
      <c r="C13868" s="115"/>
      <c r="D13868" s="115"/>
      <c r="E13868" s="115"/>
    </row>
    <row r="13869" spans="1:5" ht="13">
      <c r="A13869" s="115"/>
      <c r="B13869" s="115"/>
      <c r="C13869" s="115"/>
      <c r="D13869" s="115"/>
      <c r="E13869" s="115"/>
    </row>
    <row r="13870" spans="1:5" ht="13">
      <c r="A13870" s="115"/>
      <c r="B13870" s="115"/>
      <c r="C13870" s="115"/>
      <c r="D13870" s="115"/>
      <c r="E13870" s="115"/>
    </row>
    <row r="13871" spans="1:5" ht="13">
      <c r="A13871" s="115"/>
      <c r="B13871" s="115"/>
      <c r="C13871" s="115"/>
      <c r="D13871" s="115"/>
      <c r="E13871" s="115"/>
    </row>
    <row r="13872" spans="1:5" ht="13">
      <c r="A13872" s="115"/>
      <c r="B13872" s="115"/>
      <c r="C13872" s="115"/>
      <c r="D13872" s="115"/>
      <c r="E13872" s="115"/>
    </row>
    <row r="13873" spans="1:5" ht="13">
      <c r="A13873" s="115"/>
      <c r="B13873" s="115"/>
      <c r="C13873" s="115"/>
      <c r="D13873" s="115"/>
      <c r="E13873" s="115"/>
    </row>
    <row r="13874" spans="1:5" ht="13">
      <c r="A13874" s="115"/>
      <c r="B13874" s="115"/>
      <c r="C13874" s="115"/>
      <c r="D13874" s="115"/>
      <c r="E13874" s="115"/>
    </row>
    <row r="13875" spans="1:5" ht="13">
      <c r="A13875" s="115"/>
      <c r="B13875" s="115"/>
      <c r="C13875" s="115"/>
      <c r="D13875" s="115"/>
      <c r="E13875" s="115"/>
    </row>
    <row r="13876" spans="1:5" ht="13">
      <c r="A13876" s="115"/>
      <c r="B13876" s="115"/>
      <c r="C13876" s="115"/>
      <c r="D13876" s="115"/>
      <c r="E13876" s="115"/>
    </row>
    <row r="13877" spans="1:5" ht="13">
      <c r="A13877" s="115"/>
      <c r="B13877" s="115"/>
      <c r="C13877" s="115"/>
      <c r="D13877" s="115"/>
      <c r="E13877" s="115"/>
    </row>
    <row r="13878" spans="1:5" ht="13">
      <c r="A13878" s="115"/>
      <c r="B13878" s="115"/>
      <c r="C13878" s="115"/>
      <c r="D13878" s="115"/>
      <c r="E13878" s="115"/>
    </row>
    <row r="13879" spans="1:5" ht="13">
      <c r="A13879" s="115"/>
      <c r="B13879" s="115"/>
      <c r="C13879" s="115"/>
      <c r="D13879" s="115"/>
      <c r="E13879" s="115"/>
    </row>
    <row r="13880" spans="1:5" ht="13">
      <c r="A13880" s="115"/>
      <c r="B13880" s="115"/>
      <c r="C13880" s="115"/>
      <c r="D13880" s="115"/>
      <c r="E13880" s="115"/>
    </row>
    <row r="13881" spans="1:5" ht="13">
      <c r="A13881" s="115"/>
      <c r="B13881" s="115"/>
      <c r="C13881" s="115"/>
      <c r="D13881" s="115"/>
      <c r="E13881" s="115"/>
    </row>
    <row r="13882" spans="1:5" ht="13">
      <c r="A13882" s="115"/>
      <c r="B13882" s="115"/>
      <c r="C13882" s="115"/>
      <c r="D13882" s="115"/>
      <c r="E13882" s="115"/>
    </row>
    <row r="13883" spans="1:5" ht="13">
      <c r="A13883" s="115"/>
      <c r="B13883" s="115"/>
      <c r="C13883" s="115"/>
      <c r="D13883" s="115"/>
      <c r="E13883" s="115"/>
    </row>
    <row r="13884" spans="1:5" ht="13">
      <c r="A13884" s="115"/>
      <c r="B13884" s="115"/>
      <c r="C13884" s="115"/>
      <c r="D13884" s="115"/>
      <c r="E13884" s="115"/>
    </row>
    <row r="13885" spans="1:5" ht="13">
      <c r="A13885" s="115"/>
      <c r="B13885" s="115"/>
      <c r="C13885" s="115"/>
      <c r="D13885" s="115"/>
      <c r="E13885" s="115"/>
    </row>
    <row r="13886" spans="1:5" ht="13">
      <c r="A13886" s="115"/>
      <c r="B13886" s="115"/>
      <c r="C13886" s="115"/>
      <c r="D13886" s="115"/>
      <c r="E13886" s="115"/>
    </row>
    <row r="13887" spans="1:5" ht="13">
      <c r="A13887" s="115"/>
      <c r="B13887" s="115"/>
      <c r="C13887" s="115"/>
      <c r="D13887" s="115"/>
      <c r="E13887" s="115"/>
    </row>
    <row r="13888" spans="1:5" ht="13">
      <c r="A13888" s="115"/>
      <c r="B13888" s="115"/>
      <c r="C13888" s="115"/>
      <c r="D13888" s="115"/>
      <c r="E13888" s="115"/>
    </row>
    <row r="13889" spans="1:5" ht="13">
      <c r="A13889" s="115"/>
      <c r="B13889" s="115"/>
      <c r="C13889" s="115"/>
      <c r="D13889" s="115"/>
      <c r="E13889" s="115"/>
    </row>
    <row r="13890" spans="1:5" ht="13">
      <c r="A13890" s="115"/>
      <c r="B13890" s="115"/>
      <c r="C13890" s="115"/>
      <c r="D13890" s="115"/>
      <c r="E13890" s="115"/>
    </row>
    <row r="13891" spans="1:5" ht="13">
      <c r="A13891" s="115"/>
      <c r="B13891" s="115"/>
      <c r="C13891" s="115"/>
      <c r="D13891" s="115"/>
      <c r="E13891" s="115"/>
    </row>
    <row r="13892" spans="1:5" ht="13">
      <c r="A13892" s="115"/>
      <c r="B13892" s="115"/>
      <c r="C13892" s="115"/>
      <c r="D13892" s="115"/>
      <c r="E13892" s="115"/>
    </row>
    <row r="13893" spans="1:5" ht="13">
      <c r="A13893" s="115"/>
      <c r="B13893" s="115"/>
      <c r="C13893" s="115"/>
      <c r="D13893" s="115"/>
      <c r="E13893" s="115"/>
    </row>
    <row r="13894" spans="1:5" ht="13">
      <c r="A13894" s="115"/>
      <c r="B13894" s="115"/>
      <c r="C13894" s="115"/>
      <c r="D13894" s="115"/>
      <c r="E13894" s="115"/>
    </row>
    <row r="13895" spans="1:5" ht="13">
      <c r="A13895" s="115"/>
      <c r="B13895" s="115"/>
      <c r="C13895" s="115"/>
      <c r="D13895" s="115"/>
      <c r="E13895" s="115"/>
    </row>
    <row r="13896" spans="1:5" ht="13">
      <c r="A13896" s="115"/>
      <c r="B13896" s="115"/>
      <c r="C13896" s="115"/>
      <c r="D13896" s="115"/>
      <c r="E13896" s="115"/>
    </row>
    <row r="13897" spans="1:5" ht="13">
      <c r="A13897" s="115"/>
      <c r="B13897" s="115"/>
      <c r="C13897" s="115"/>
      <c r="D13897" s="115"/>
      <c r="E13897" s="115"/>
    </row>
    <row r="13898" spans="1:5" ht="13">
      <c r="A13898" s="115"/>
      <c r="B13898" s="115"/>
      <c r="C13898" s="115"/>
      <c r="D13898" s="115"/>
      <c r="E13898" s="115"/>
    </row>
    <row r="13899" spans="1:5" ht="13">
      <c r="A13899" s="115"/>
      <c r="B13899" s="115"/>
      <c r="C13899" s="115"/>
      <c r="D13899" s="115"/>
      <c r="E13899" s="115"/>
    </row>
    <row r="13900" spans="1:5" ht="13">
      <c r="A13900" s="115"/>
      <c r="B13900" s="115"/>
      <c r="C13900" s="115"/>
      <c r="D13900" s="115"/>
      <c r="E13900" s="115"/>
    </row>
    <row r="13901" spans="1:5" ht="13">
      <c r="A13901" s="115"/>
      <c r="B13901" s="115"/>
      <c r="C13901" s="115"/>
      <c r="D13901" s="115"/>
      <c r="E13901" s="115"/>
    </row>
    <row r="13902" spans="1:5" ht="13">
      <c r="A13902" s="115"/>
      <c r="B13902" s="115"/>
      <c r="C13902" s="115"/>
      <c r="D13902" s="115"/>
      <c r="E13902" s="115"/>
    </row>
    <row r="13903" spans="1:5" ht="13">
      <c r="A13903" s="115"/>
      <c r="B13903" s="115"/>
      <c r="C13903" s="115"/>
      <c r="D13903" s="115"/>
      <c r="E13903" s="115"/>
    </row>
    <row r="13904" spans="1:5" ht="13">
      <c r="A13904" s="115"/>
      <c r="B13904" s="115"/>
      <c r="C13904" s="115"/>
      <c r="D13904" s="115"/>
      <c r="E13904" s="115"/>
    </row>
    <row r="13905" spans="1:5" ht="13">
      <c r="A13905" s="115"/>
      <c r="B13905" s="115"/>
      <c r="C13905" s="115"/>
      <c r="D13905" s="115"/>
      <c r="E13905" s="115"/>
    </row>
    <row r="13906" spans="1:5" ht="13">
      <c r="A13906" s="115"/>
      <c r="B13906" s="115"/>
      <c r="C13906" s="115"/>
      <c r="D13906" s="115"/>
      <c r="E13906" s="115"/>
    </row>
    <row r="13907" spans="1:5" ht="13">
      <c r="A13907" s="115"/>
      <c r="B13907" s="115"/>
      <c r="C13907" s="115"/>
      <c r="D13907" s="115"/>
      <c r="E13907" s="115"/>
    </row>
    <row r="13908" spans="1:5" ht="13">
      <c r="A13908" s="115"/>
      <c r="B13908" s="115"/>
      <c r="C13908" s="115"/>
      <c r="D13908" s="115"/>
      <c r="E13908" s="115"/>
    </row>
    <row r="13909" spans="1:5" ht="13">
      <c r="A13909" s="115"/>
      <c r="B13909" s="115"/>
      <c r="C13909" s="115"/>
      <c r="D13909" s="115"/>
      <c r="E13909" s="115"/>
    </row>
    <row r="13910" spans="1:5" ht="13">
      <c r="A13910" s="115"/>
      <c r="B13910" s="115"/>
      <c r="C13910" s="115"/>
      <c r="D13910" s="115"/>
      <c r="E13910" s="115"/>
    </row>
    <row r="13911" spans="1:5" ht="13">
      <c r="A13911" s="115"/>
      <c r="B13911" s="115"/>
      <c r="C13911" s="115"/>
      <c r="D13911" s="115"/>
      <c r="E13911" s="115"/>
    </row>
    <row r="13912" spans="1:5" ht="13">
      <c r="A13912" s="115"/>
      <c r="B13912" s="115"/>
      <c r="C13912" s="115"/>
      <c r="D13912" s="115"/>
      <c r="E13912" s="115"/>
    </row>
    <row r="13913" spans="1:5" ht="13">
      <c r="A13913" s="115"/>
      <c r="B13913" s="115"/>
      <c r="C13913" s="115"/>
      <c r="D13913" s="115"/>
      <c r="E13913" s="115"/>
    </row>
    <row r="13914" spans="1:5" ht="13">
      <c r="A13914" s="115"/>
      <c r="B13914" s="115"/>
      <c r="C13914" s="115"/>
      <c r="D13914" s="115"/>
      <c r="E13914" s="115"/>
    </row>
    <row r="13915" spans="1:5" ht="13">
      <c r="A13915" s="115"/>
      <c r="B13915" s="115"/>
      <c r="C13915" s="115"/>
      <c r="D13915" s="115"/>
      <c r="E13915" s="115"/>
    </row>
    <row r="13916" spans="1:5" ht="13">
      <c r="A13916" s="115"/>
      <c r="B13916" s="115"/>
      <c r="C13916" s="115"/>
      <c r="D13916" s="115"/>
      <c r="E13916" s="115"/>
    </row>
    <row r="13917" spans="1:5" ht="13">
      <c r="A13917" s="115"/>
      <c r="B13917" s="115"/>
      <c r="C13917" s="115"/>
      <c r="D13917" s="115"/>
      <c r="E13917" s="115"/>
    </row>
    <row r="13918" spans="1:5" ht="13">
      <c r="A13918" s="115"/>
      <c r="B13918" s="115"/>
      <c r="C13918" s="115"/>
      <c r="D13918" s="115"/>
      <c r="E13918" s="115"/>
    </row>
    <row r="13919" spans="1:5" ht="13">
      <c r="A13919" s="115"/>
      <c r="B13919" s="115"/>
      <c r="C13919" s="115"/>
      <c r="D13919" s="115"/>
      <c r="E13919" s="115"/>
    </row>
    <row r="13920" spans="1:5" ht="13">
      <c r="A13920" s="115"/>
      <c r="B13920" s="115"/>
      <c r="C13920" s="115"/>
      <c r="D13920" s="115"/>
      <c r="E13920" s="115"/>
    </row>
    <row r="13921" spans="1:5" ht="13">
      <c r="A13921" s="115"/>
      <c r="B13921" s="115"/>
      <c r="C13921" s="115"/>
      <c r="D13921" s="115"/>
      <c r="E13921" s="115"/>
    </row>
    <row r="13922" spans="1:5" ht="13">
      <c r="A13922" s="115"/>
      <c r="B13922" s="115"/>
      <c r="C13922" s="115"/>
      <c r="D13922" s="115"/>
      <c r="E13922" s="115"/>
    </row>
    <row r="13923" spans="1:5" ht="13">
      <c r="A13923" s="115"/>
      <c r="B13923" s="115"/>
      <c r="C13923" s="115"/>
      <c r="D13923" s="115"/>
      <c r="E13923" s="115"/>
    </row>
    <row r="13924" spans="1:5" ht="13">
      <c r="A13924" s="115"/>
      <c r="B13924" s="115"/>
      <c r="C13924" s="115"/>
      <c r="D13924" s="115"/>
      <c r="E13924" s="115"/>
    </row>
    <row r="13925" spans="1:5" ht="13">
      <c r="A13925" s="115"/>
      <c r="B13925" s="115"/>
      <c r="C13925" s="115"/>
      <c r="D13925" s="115"/>
      <c r="E13925" s="115"/>
    </row>
    <row r="13926" spans="1:5" ht="13">
      <c r="A13926" s="115"/>
      <c r="B13926" s="115"/>
      <c r="C13926" s="115"/>
      <c r="D13926" s="115"/>
      <c r="E13926" s="115"/>
    </row>
    <row r="13927" spans="1:5" ht="13">
      <c r="A13927" s="115"/>
      <c r="B13927" s="115"/>
      <c r="C13927" s="115"/>
      <c r="D13927" s="115"/>
      <c r="E13927" s="115"/>
    </row>
    <row r="13928" spans="1:5" ht="13">
      <c r="A13928" s="115"/>
      <c r="B13928" s="115"/>
      <c r="C13928" s="115"/>
      <c r="D13928" s="115"/>
      <c r="E13928" s="115"/>
    </row>
    <row r="13929" spans="1:5" ht="13">
      <c r="A13929" s="115"/>
      <c r="B13929" s="115"/>
      <c r="C13929" s="115"/>
      <c r="D13929" s="115"/>
      <c r="E13929" s="115"/>
    </row>
    <row r="13930" spans="1:5" ht="13">
      <c r="A13930" s="115"/>
      <c r="B13930" s="115"/>
      <c r="C13930" s="115"/>
      <c r="D13930" s="115"/>
      <c r="E13930" s="115"/>
    </row>
    <row r="13931" spans="1:5" ht="13">
      <c r="A13931" s="115"/>
      <c r="B13931" s="115"/>
      <c r="C13931" s="115"/>
      <c r="D13931" s="115"/>
      <c r="E13931" s="115"/>
    </row>
    <row r="13932" spans="1:5" ht="13">
      <c r="A13932" s="115"/>
      <c r="B13932" s="115"/>
      <c r="C13932" s="115"/>
      <c r="D13932" s="115"/>
      <c r="E13932" s="115"/>
    </row>
    <row r="13933" spans="1:5" ht="13">
      <c r="A13933" s="115"/>
      <c r="B13933" s="115"/>
      <c r="C13933" s="115"/>
      <c r="D13933" s="115"/>
      <c r="E13933" s="115"/>
    </row>
    <row r="13934" spans="1:5" ht="13">
      <c r="A13934" s="115"/>
      <c r="B13934" s="115"/>
      <c r="C13934" s="115"/>
      <c r="D13934" s="115"/>
      <c r="E13934" s="115"/>
    </row>
    <row r="13935" spans="1:5" ht="13">
      <c r="A13935" s="115"/>
      <c r="B13935" s="115"/>
      <c r="C13935" s="115"/>
      <c r="D13935" s="115"/>
      <c r="E13935" s="115"/>
    </row>
    <row r="13936" spans="1:5" ht="13">
      <c r="A13936" s="115"/>
      <c r="B13936" s="115"/>
      <c r="C13936" s="115"/>
      <c r="D13936" s="115"/>
      <c r="E13936" s="115"/>
    </row>
    <row r="13937" spans="1:5" ht="13">
      <c r="A13937" s="115"/>
      <c r="B13937" s="115"/>
      <c r="C13937" s="115"/>
      <c r="D13937" s="115"/>
      <c r="E13937" s="115"/>
    </row>
    <row r="13938" spans="1:5" ht="13">
      <c r="A13938" s="115"/>
      <c r="B13938" s="115"/>
      <c r="C13938" s="115"/>
      <c r="D13938" s="115"/>
      <c r="E13938" s="115"/>
    </row>
    <row r="13939" spans="1:5" ht="13">
      <c r="A13939" s="115"/>
      <c r="B13939" s="115"/>
      <c r="C13939" s="115"/>
      <c r="D13939" s="115"/>
      <c r="E13939" s="115"/>
    </row>
    <row r="13940" spans="1:5" ht="13">
      <c r="A13940" s="115"/>
      <c r="B13940" s="115"/>
      <c r="C13940" s="115"/>
      <c r="D13940" s="115"/>
      <c r="E13940" s="115"/>
    </row>
    <row r="13941" spans="1:5" ht="13">
      <c r="A13941" s="115"/>
      <c r="B13941" s="115"/>
      <c r="C13941" s="115"/>
      <c r="D13941" s="115"/>
      <c r="E13941" s="115"/>
    </row>
    <row r="13942" spans="1:5" ht="13">
      <c r="A13942" s="115"/>
      <c r="B13942" s="115"/>
      <c r="C13942" s="115"/>
      <c r="D13942" s="115"/>
      <c r="E13942" s="115"/>
    </row>
    <row r="13943" spans="1:5" ht="13">
      <c r="A13943" s="115"/>
      <c r="B13943" s="115"/>
      <c r="C13943" s="115"/>
      <c r="D13943" s="115"/>
      <c r="E13943" s="115"/>
    </row>
    <row r="13944" spans="1:5" ht="13">
      <c r="A13944" s="115"/>
      <c r="B13944" s="115"/>
      <c r="C13944" s="115"/>
      <c r="D13944" s="115"/>
      <c r="E13944" s="115"/>
    </row>
    <row r="13945" spans="1:5" ht="13">
      <c r="A13945" s="115"/>
      <c r="B13945" s="115"/>
      <c r="C13945" s="115"/>
      <c r="D13945" s="115"/>
      <c r="E13945" s="115"/>
    </row>
    <row r="13946" spans="1:5" ht="13">
      <c r="A13946" s="115"/>
      <c r="B13946" s="115"/>
      <c r="C13946" s="115"/>
      <c r="D13946" s="115"/>
      <c r="E13946" s="115"/>
    </row>
    <row r="13947" spans="1:5" ht="13">
      <c r="A13947" s="115"/>
      <c r="B13947" s="115"/>
      <c r="C13947" s="115"/>
      <c r="D13947" s="115"/>
      <c r="E13947" s="115"/>
    </row>
    <row r="13948" spans="1:5" ht="13">
      <c r="A13948" s="115"/>
      <c r="B13948" s="115"/>
      <c r="C13948" s="115"/>
      <c r="D13948" s="115"/>
      <c r="E13948" s="115"/>
    </row>
    <row r="13949" spans="1:5" ht="13">
      <c r="A13949" s="115"/>
      <c r="B13949" s="115"/>
      <c r="C13949" s="115"/>
      <c r="D13949" s="115"/>
      <c r="E13949" s="115"/>
    </row>
    <row r="13950" spans="1:5" ht="13">
      <c r="A13950" s="115"/>
      <c r="B13950" s="115"/>
      <c r="C13950" s="115"/>
      <c r="D13950" s="115"/>
      <c r="E13950" s="115"/>
    </row>
    <row r="13951" spans="1:5" ht="13">
      <c r="A13951" s="115"/>
      <c r="B13951" s="115"/>
      <c r="C13951" s="115"/>
      <c r="D13951" s="115"/>
      <c r="E13951" s="115"/>
    </row>
    <row r="13952" spans="1:5" ht="13">
      <c r="A13952" s="115"/>
      <c r="B13952" s="115"/>
      <c r="C13952" s="115"/>
      <c r="D13952" s="115"/>
      <c r="E13952" s="115"/>
    </row>
    <row r="13953" spans="1:5" ht="13">
      <c r="A13953" s="115"/>
      <c r="B13953" s="115"/>
      <c r="C13953" s="115"/>
      <c r="D13953" s="115"/>
      <c r="E13953" s="115"/>
    </row>
    <row r="13954" spans="1:5" ht="13">
      <c r="A13954" s="115"/>
      <c r="B13954" s="115"/>
      <c r="C13954" s="115"/>
      <c r="D13954" s="115"/>
      <c r="E13954" s="115"/>
    </row>
    <row r="13955" spans="1:5" ht="13">
      <c r="A13955" s="115"/>
      <c r="B13955" s="115"/>
      <c r="C13955" s="115"/>
      <c r="D13955" s="115"/>
      <c r="E13955" s="115"/>
    </row>
    <row r="13956" spans="1:5" ht="13">
      <c r="A13956" s="115"/>
      <c r="B13956" s="115"/>
      <c r="C13956" s="115"/>
      <c r="D13956" s="115"/>
      <c r="E13956" s="115"/>
    </row>
    <row r="13957" spans="1:5" ht="13">
      <c r="A13957" s="115"/>
      <c r="B13957" s="115"/>
      <c r="C13957" s="115"/>
      <c r="D13957" s="115"/>
      <c r="E13957" s="115"/>
    </row>
    <row r="13958" spans="1:5" ht="13">
      <c r="A13958" s="115"/>
      <c r="B13958" s="115"/>
      <c r="C13958" s="115"/>
      <c r="D13958" s="115"/>
      <c r="E13958" s="115"/>
    </row>
    <row r="13959" spans="1:5" ht="13">
      <c r="A13959" s="115"/>
      <c r="B13959" s="115"/>
      <c r="C13959" s="115"/>
      <c r="D13959" s="115"/>
      <c r="E13959" s="115"/>
    </row>
    <row r="13960" spans="1:5" ht="13">
      <c r="A13960" s="115"/>
      <c r="B13960" s="115"/>
      <c r="C13960" s="115"/>
      <c r="D13960" s="115"/>
      <c r="E13960" s="115"/>
    </row>
    <row r="13961" spans="1:5" ht="13">
      <c r="A13961" s="115"/>
      <c r="B13961" s="115"/>
      <c r="C13961" s="115"/>
      <c r="D13961" s="115"/>
      <c r="E13961" s="115"/>
    </row>
    <row r="13962" spans="1:5" ht="13">
      <c r="A13962" s="115"/>
      <c r="B13962" s="115"/>
      <c r="C13962" s="115"/>
      <c r="D13962" s="115"/>
      <c r="E13962" s="115"/>
    </row>
    <row r="13963" spans="1:5" ht="13">
      <c r="A13963" s="115"/>
      <c r="B13963" s="115"/>
      <c r="C13963" s="115"/>
      <c r="D13963" s="115"/>
      <c r="E13963" s="115"/>
    </row>
    <row r="13964" spans="1:5" ht="13">
      <c r="A13964" s="115"/>
      <c r="B13964" s="115"/>
      <c r="C13964" s="115"/>
      <c r="D13964" s="115"/>
      <c r="E13964" s="115"/>
    </row>
    <row r="13965" spans="1:5" ht="13">
      <c r="A13965" s="115"/>
      <c r="B13965" s="115"/>
      <c r="C13965" s="115"/>
      <c r="D13965" s="115"/>
      <c r="E13965" s="115"/>
    </row>
    <row r="13966" spans="1:5" ht="13">
      <c r="A13966" s="115"/>
      <c r="B13966" s="115"/>
      <c r="C13966" s="115"/>
      <c r="D13966" s="115"/>
      <c r="E13966" s="115"/>
    </row>
    <row r="13967" spans="1:5" ht="13">
      <c r="A13967" s="115"/>
      <c r="B13967" s="115"/>
      <c r="C13967" s="115"/>
      <c r="D13967" s="115"/>
      <c r="E13967" s="115"/>
    </row>
    <row r="13968" spans="1:5" ht="13">
      <c r="A13968" s="115"/>
      <c r="B13968" s="115"/>
      <c r="C13968" s="115"/>
      <c r="D13968" s="115"/>
      <c r="E13968" s="115"/>
    </row>
    <row r="13969" spans="1:5" ht="13">
      <c r="A13969" s="115"/>
      <c r="B13969" s="115"/>
      <c r="C13969" s="115"/>
      <c r="D13969" s="115"/>
      <c r="E13969" s="115"/>
    </row>
    <row r="13970" spans="1:5" ht="13">
      <c r="A13970" s="115"/>
      <c r="B13970" s="115"/>
      <c r="C13970" s="115"/>
      <c r="D13970" s="115"/>
      <c r="E13970" s="115"/>
    </row>
    <row r="13971" spans="1:5" ht="13">
      <c r="A13971" s="115"/>
      <c r="B13971" s="115"/>
      <c r="C13971" s="115"/>
      <c r="D13971" s="115"/>
      <c r="E13971" s="115"/>
    </row>
    <row r="13972" spans="1:5" ht="13">
      <c r="A13972" s="115"/>
      <c r="B13972" s="115"/>
      <c r="C13972" s="115"/>
      <c r="D13972" s="115"/>
      <c r="E13972" s="115"/>
    </row>
    <row r="13973" spans="1:5" ht="13">
      <c r="A13973" s="115"/>
      <c r="B13973" s="115"/>
      <c r="C13973" s="115"/>
      <c r="D13973" s="115"/>
      <c r="E13973" s="115"/>
    </row>
    <row r="13974" spans="1:5" ht="13">
      <c r="A13974" s="115"/>
      <c r="B13974" s="115"/>
      <c r="C13974" s="115"/>
      <c r="D13974" s="115"/>
      <c r="E13974" s="115"/>
    </row>
    <row r="13975" spans="1:5" ht="13">
      <c r="A13975" s="115"/>
      <c r="B13975" s="115"/>
      <c r="C13975" s="115"/>
      <c r="D13975" s="115"/>
      <c r="E13975" s="115"/>
    </row>
    <row r="13976" spans="1:5" ht="13">
      <c r="A13976" s="115"/>
      <c r="B13976" s="115"/>
      <c r="C13976" s="115"/>
      <c r="D13976" s="115"/>
      <c r="E13976" s="115"/>
    </row>
    <row r="13977" spans="1:5" ht="13">
      <c r="A13977" s="115"/>
      <c r="B13977" s="115"/>
      <c r="C13977" s="115"/>
      <c r="D13977" s="115"/>
      <c r="E13977" s="115"/>
    </row>
    <row r="13978" spans="1:5" ht="13">
      <c r="A13978" s="115"/>
      <c r="B13978" s="115"/>
      <c r="C13978" s="115"/>
      <c r="D13978" s="115"/>
      <c r="E13978" s="115"/>
    </row>
    <row r="13979" spans="1:5" ht="13">
      <c r="A13979" s="115"/>
      <c r="B13979" s="115"/>
      <c r="C13979" s="115"/>
      <c r="D13979" s="115"/>
      <c r="E13979" s="115"/>
    </row>
    <row r="13980" spans="1:5" ht="13">
      <c r="A13980" s="115"/>
      <c r="B13980" s="115"/>
      <c r="C13980" s="115"/>
      <c r="D13980" s="115"/>
      <c r="E13980" s="115"/>
    </row>
    <row r="13981" spans="1:5" ht="13">
      <c r="A13981" s="115"/>
      <c r="B13981" s="115"/>
      <c r="C13981" s="115"/>
      <c r="D13981" s="115"/>
      <c r="E13981" s="115"/>
    </row>
    <row r="13982" spans="1:5" ht="13">
      <c r="A13982" s="115"/>
      <c r="B13982" s="115"/>
      <c r="C13982" s="115"/>
      <c r="D13982" s="115"/>
      <c r="E13982" s="115"/>
    </row>
    <row r="13983" spans="1:5" ht="13">
      <c r="A13983" s="115"/>
      <c r="B13983" s="115"/>
      <c r="C13983" s="115"/>
      <c r="D13983" s="115"/>
      <c r="E13983" s="115"/>
    </row>
    <row r="13984" spans="1:5" ht="13">
      <c r="A13984" s="115"/>
      <c r="B13984" s="115"/>
      <c r="C13984" s="115"/>
      <c r="D13984" s="115"/>
      <c r="E13984" s="115"/>
    </row>
    <row r="13985" spans="1:5" ht="13">
      <c r="A13985" s="115"/>
      <c r="B13985" s="115"/>
      <c r="C13985" s="115"/>
      <c r="D13985" s="115"/>
      <c r="E13985" s="115"/>
    </row>
    <row r="13986" spans="1:5" ht="13">
      <c r="A13986" s="115"/>
      <c r="B13986" s="115"/>
      <c r="C13986" s="115"/>
      <c r="D13986" s="115"/>
      <c r="E13986" s="115"/>
    </row>
    <row r="13987" spans="1:5" ht="13">
      <c r="A13987" s="115"/>
      <c r="B13987" s="115"/>
      <c r="C13987" s="115"/>
      <c r="D13987" s="115"/>
      <c r="E13987" s="115"/>
    </row>
    <row r="13988" spans="1:5" ht="13">
      <c r="A13988" s="115"/>
      <c r="B13988" s="115"/>
      <c r="C13988" s="115"/>
      <c r="D13988" s="115"/>
      <c r="E13988" s="115"/>
    </row>
    <row r="13989" spans="1:5" ht="13">
      <c r="A13989" s="115"/>
      <c r="B13989" s="115"/>
      <c r="C13989" s="115"/>
      <c r="D13989" s="115"/>
      <c r="E13989" s="115"/>
    </row>
    <row r="13990" spans="1:5" ht="13">
      <c r="A13990" s="115"/>
      <c r="B13990" s="115"/>
      <c r="C13990" s="115"/>
      <c r="D13990" s="115"/>
      <c r="E13990" s="115"/>
    </row>
    <row r="13991" spans="1:5" ht="13">
      <c r="A13991" s="115"/>
      <c r="B13991" s="115"/>
      <c r="C13991" s="115"/>
      <c r="D13991" s="115"/>
      <c r="E13991" s="115"/>
    </row>
    <row r="13992" spans="1:5" ht="13">
      <c r="A13992" s="115"/>
      <c r="B13992" s="115"/>
      <c r="C13992" s="115"/>
      <c r="D13992" s="115"/>
      <c r="E13992" s="115"/>
    </row>
    <row r="13993" spans="1:5" ht="13">
      <c r="A13993" s="115"/>
      <c r="B13993" s="115"/>
      <c r="C13993" s="115"/>
      <c r="D13993" s="115"/>
      <c r="E13993" s="115"/>
    </row>
    <row r="13994" spans="1:5" ht="13">
      <c r="A13994" s="115"/>
      <c r="B13994" s="115"/>
      <c r="C13994" s="115"/>
      <c r="D13994" s="115"/>
      <c r="E13994" s="115"/>
    </row>
    <row r="13995" spans="1:5" ht="13">
      <c r="A13995" s="115"/>
      <c r="B13995" s="115"/>
      <c r="C13995" s="115"/>
      <c r="D13995" s="115"/>
      <c r="E13995" s="115"/>
    </row>
    <row r="13996" spans="1:5" ht="13">
      <c r="A13996" s="115"/>
      <c r="B13996" s="115"/>
      <c r="C13996" s="115"/>
      <c r="D13996" s="115"/>
      <c r="E13996" s="115"/>
    </row>
    <row r="13997" spans="1:5" ht="13">
      <c r="A13997" s="115"/>
      <c r="B13997" s="115"/>
      <c r="C13997" s="115"/>
      <c r="D13997" s="115"/>
      <c r="E13997" s="115"/>
    </row>
    <row r="13998" spans="1:5" ht="13">
      <c r="A13998" s="115"/>
      <c r="B13998" s="115"/>
      <c r="C13998" s="115"/>
      <c r="D13998" s="115"/>
      <c r="E13998" s="115"/>
    </row>
    <row r="13999" spans="1:5" ht="13">
      <c r="A13999" s="115"/>
      <c r="B13999" s="115"/>
      <c r="C13999" s="115"/>
      <c r="D13999" s="115"/>
      <c r="E13999" s="115"/>
    </row>
    <row r="14000" spans="1:5" ht="13">
      <c r="A14000" s="115"/>
      <c r="B14000" s="115"/>
      <c r="C14000" s="115"/>
      <c r="D14000" s="115"/>
      <c r="E14000" s="115"/>
    </row>
    <row r="14001" spans="1:5" ht="13">
      <c r="A14001" s="115"/>
      <c r="B14001" s="115"/>
      <c r="C14001" s="115"/>
      <c r="D14001" s="115"/>
      <c r="E14001" s="115"/>
    </row>
    <row r="14002" spans="1:5" ht="13">
      <c r="A14002" s="115"/>
      <c r="B14002" s="115"/>
      <c r="C14002" s="115"/>
      <c r="D14002" s="115"/>
      <c r="E14002" s="115"/>
    </row>
    <row r="14003" spans="1:5" ht="13">
      <c r="A14003" s="115"/>
      <c r="B14003" s="115"/>
      <c r="C14003" s="115"/>
      <c r="D14003" s="115"/>
      <c r="E14003" s="115"/>
    </row>
    <row r="14004" spans="1:5" ht="13">
      <c r="A14004" s="115"/>
      <c r="B14004" s="115"/>
      <c r="C14004" s="115"/>
      <c r="D14004" s="115"/>
      <c r="E14004" s="115"/>
    </row>
    <row r="14005" spans="1:5" ht="13">
      <c r="A14005" s="115"/>
      <c r="B14005" s="115"/>
      <c r="C14005" s="115"/>
      <c r="D14005" s="115"/>
      <c r="E14005" s="115"/>
    </row>
    <row r="14006" spans="1:5" ht="13">
      <c r="A14006" s="115"/>
      <c r="B14006" s="115"/>
      <c r="C14006" s="115"/>
      <c r="D14006" s="115"/>
      <c r="E14006" s="115"/>
    </row>
    <row r="14007" spans="1:5" ht="13">
      <c r="A14007" s="115"/>
      <c r="B14007" s="115"/>
      <c r="C14007" s="115"/>
      <c r="D14007" s="115"/>
      <c r="E14007" s="115"/>
    </row>
    <row r="14008" spans="1:5" ht="13">
      <c r="A14008" s="115"/>
      <c r="B14008" s="115"/>
      <c r="C14008" s="115"/>
      <c r="D14008" s="115"/>
      <c r="E14008" s="115"/>
    </row>
    <row r="14009" spans="1:5" ht="13">
      <c r="A14009" s="115"/>
      <c r="B14009" s="115"/>
      <c r="C14009" s="115"/>
      <c r="D14009" s="115"/>
      <c r="E14009" s="115"/>
    </row>
    <row r="14010" spans="1:5" ht="13">
      <c r="A14010" s="115"/>
      <c r="B14010" s="115"/>
      <c r="C14010" s="115"/>
      <c r="D14010" s="115"/>
      <c r="E14010" s="115"/>
    </row>
    <row r="14011" spans="1:5" ht="13">
      <c r="A14011" s="115"/>
      <c r="B14011" s="115"/>
      <c r="C14011" s="115"/>
      <c r="D14011" s="115"/>
      <c r="E14011" s="115"/>
    </row>
    <row r="14012" spans="1:5" ht="13">
      <c r="A14012" s="115"/>
      <c r="B14012" s="115"/>
      <c r="C14012" s="115"/>
      <c r="D14012" s="115"/>
      <c r="E14012" s="115"/>
    </row>
    <row r="14013" spans="1:5" ht="13">
      <c r="A14013" s="115"/>
      <c r="B14013" s="115"/>
      <c r="C14013" s="115"/>
      <c r="D14013" s="115"/>
      <c r="E14013" s="115"/>
    </row>
    <row r="14014" spans="1:5" ht="13">
      <c r="A14014" s="115"/>
      <c r="B14014" s="115"/>
      <c r="C14014" s="115"/>
      <c r="D14014" s="115"/>
      <c r="E14014" s="115"/>
    </row>
    <row r="14015" spans="1:5" ht="13">
      <c r="A14015" s="115"/>
      <c r="B14015" s="115"/>
      <c r="C14015" s="115"/>
      <c r="D14015" s="115"/>
      <c r="E14015" s="115"/>
    </row>
    <row r="14016" spans="1:5" ht="13">
      <c r="A14016" s="115"/>
      <c r="B14016" s="115"/>
      <c r="C14016" s="115"/>
      <c r="D14016" s="115"/>
      <c r="E14016" s="115"/>
    </row>
    <row r="14017" spans="1:5" ht="13">
      <c r="A14017" s="115"/>
      <c r="B14017" s="115"/>
      <c r="C14017" s="115"/>
      <c r="D14017" s="115"/>
      <c r="E14017" s="115"/>
    </row>
    <row r="14018" spans="1:5" ht="13">
      <c r="A14018" s="115"/>
      <c r="B14018" s="115"/>
      <c r="C14018" s="115"/>
      <c r="D14018" s="115"/>
      <c r="E14018" s="115"/>
    </row>
    <row r="14019" spans="1:5" ht="13">
      <c r="A14019" s="115"/>
      <c r="B14019" s="115"/>
      <c r="C14019" s="115"/>
      <c r="D14019" s="115"/>
      <c r="E14019" s="115"/>
    </row>
    <row r="14020" spans="1:5" ht="13">
      <c r="A14020" s="115"/>
      <c r="B14020" s="115"/>
      <c r="C14020" s="115"/>
      <c r="D14020" s="115"/>
      <c r="E14020" s="115"/>
    </row>
    <row r="14021" spans="1:5" ht="13">
      <c r="A14021" s="115"/>
      <c r="B14021" s="115"/>
      <c r="C14021" s="115"/>
      <c r="D14021" s="115"/>
      <c r="E14021" s="115"/>
    </row>
    <row r="14022" spans="1:5" ht="13">
      <c r="A14022" s="115"/>
      <c r="B14022" s="115"/>
      <c r="C14022" s="115"/>
      <c r="D14022" s="115"/>
      <c r="E14022" s="115"/>
    </row>
    <row r="14023" spans="1:5" ht="13">
      <c r="A14023" s="115"/>
      <c r="B14023" s="115"/>
      <c r="C14023" s="115"/>
      <c r="D14023" s="115"/>
      <c r="E14023" s="115"/>
    </row>
    <row r="14024" spans="1:5" ht="13">
      <c r="A14024" s="115"/>
      <c r="B14024" s="115"/>
      <c r="C14024" s="115"/>
      <c r="D14024" s="115"/>
      <c r="E14024" s="115"/>
    </row>
    <row r="14025" spans="1:5" ht="13">
      <c r="A14025" s="115"/>
      <c r="B14025" s="115"/>
      <c r="C14025" s="115"/>
      <c r="D14025" s="115"/>
      <c r="E14025" s="115"/>
    </row>
    <row r="14026" spans="1:5" ht="13">
      <c r="A14026" s="115"/>
      <c r="B14026" s="115"/>
      <c r="C14026" s="115"/>
      <c r="D14026" s="115"/>
      <c r="E14026" s="115"/>
    </row>
    <row r="14027" spans="1:5" ht="13">
      <c r="A14027" s="115"/>
      <c r="B14027" s="115"/>
      <c r="C14027" s="115"/>
      <c r="D14027" s="115"/>
      <c r="E14027" s="115"/>
    </row>
    <row r="14028" spans="1:5" ht="13">
      <c r="A14028" s="115"/>
      <c r="B14028" s="115"/>
      <c r="C14028" s="115"/>
      <c r="D14028" s="115"/>
      <c r="E14028" s="115"/>
    </row>
    <row r="14029" spans="1:5" ht="13">
      <c r="A14029" s="115"/>
      <c r="B14029" s="115"/>
      <c r="C14029" s="115"/>
      <c r="D14029" s="115"/>
      <c r="E14029" s="115"/>
    </row>
    <row r="14030" spans="1:5" ht="13">
      <c r="A14030" s="115"/>
      <c r="B14030" s="115"/>
      <c r="C14030" s="115"/>
      <c r="D14030" s="115"/>
      <c r="E14030" s="115"/>
    </row>
    <row r="14031" spans="1:5" ht="13">
      <c r="A14031" s="115"/>
      <c r="B14031" s="115"/>
      <c r="C14031" s="115"/>
      <c r="D14031" s="115"/>
      <c r="E14031" s="115"/>
    </row>
    <row r="14032" spans="1:5" ht="13">
      <c r="A14032" s="115"/>
      <c r="B14032" s="115"/>
      <c r="C14032" s="115"/>
      <c r="D14032" s="115"/>
      <c r="E14032" s="115"/>
    </row>
    <row r="14033" spans="1:5" ht="13">
      <c r="A14033" s="115"/>
      <c r="B14033" s="115"/>
      <c r="C14033" s="115"/>
      <c r="D14033" s="115"/>
      <c r="E14033" s="115"/>
    </row>
    <row r="14034" spans="1:5" ht="13">
      <c r="A14034" s="115"/>
      <c r="B14034" s="115"/>
      <c r="C14034" s="115"/>
      <c r="D14034" s="115"/>
      <c r="E14034" s="115"/>
    </row>
    <row r="14035" spans="1:5" ht="13">
      <c r="A14035" s="115"/>
      <c r="B14035" s="115"/>
      <c r="C14035" s="115"/>
      <c r="D14035" s="115"/>
      <c r="E14035" s="115"/>
    </row>
    <row r="14036" spans="1:5" ht="13">
      <c r="A14036" s="115"/>
      <c r="B14036" s="115"/>
      <c r="C14036" s="115"/>
      <c r="D14036" s="115"/>
      <c r="E14036" s="115"/>
    </row>
    <row r="14037" spans="1:5" ht="13">
      <c r="A14037" s="115"/>
      <c r="B14037" s="115"/>
      <c r="C14037" s="115"/>
      <c r="D14037" s="115"/>
      <c r="E14037" s="115"/>
    </row>
    <row r="14038" spans="1:5" ht="13">
      <c r="A14038" s="115"/>
      <c r="B14038" s="115"/>
      <c r="C14038" s="115"/>
      <c r="D14038" s="115"/>
      <c r="E14038" s="115"/>
    </row>
    <row r="14039" spans="1:5" ht="13">
      <c r="A14039" s="115"/>
      <c r="B14039" s="115"/>
      <c r="C14039" s="115"/>
      <c r="D14039" s="115"/>
      <c r="E14039" s="115"/>
    </row>
    <row r="14040" spans="1:5" ht="13">
      <c r="A14040" s="115"/>
      <c r="B14040" s="115"/>
      <c r="C14040" s="115"/>
      <c r="D14040" s="115"/>
      <c r="E14040" s="115"/>
    </row>
    <row r="14041" spans="1:5" ht="13">
      <c r="A14041" s="115"/>
      <c r="B14041" s="115"/>
      <c r="C14041" s="115"/>
      <c r="D14041" s="115"/>
      <c r="E14041" s="115"/>
    </row>
    <row r="14042" spans="1:5" ht="13">
      <c r="A14042" s="115"/>
      <c r="B14042" s="115"/>
      <c r="C14042" s="115"/>
      <c r="D14042" s="115"/>
      <c r="E14042" s="115"/>
    </row>
    <row r="14043" spans="1:5" ht="13">
      <c r="A14043" s="115"/>
      <c r="B14043" s="115"/>
      <c r="C14043" s="115"/>
      <c r="D14043" s="115"/>
      <c r="E14043" s="115"/>
    </row>
    <row r="14044" spans="1:5" ht="13">
      <c r="A14044" s="115"/>
      <c r="B14044" s="115"/>
      <c r="C14044" s="115"/>
      <c r="D14044" s="115"/>
      <c r="E14044" s="115"/>
    </row>
    <row r="14045" spans="1:5" ht="13">
      <c r="A14045" s="115"/>
      <c r="B14045" s="115"/>
      <c r="C14045" s="115"/>
      <c r="D14045" s="115"/>
      <c r="E14045" s="115"/>
    </row>
    <row r="14046" spans="1:5" ht="13">
      <c r="A14046" s="115"/>
      <c r="B14046" s="115"/>
      <c r="C14046" s="115"/>
      <c r="D14046" s="115"/>
      <c r="E14046" s="115"/>
    </row>
    <row r="14047" spans="1:5" ht="13">
      <c r="A14047" s="115"/>
      <c r="B14047" s="115"/>
      <c r="C14047" s="115"/>
      <c r="D14047" s="115"/>
      <c r="E14047" s="115"/>
    </row>
    <row r="14048" spans="1:5" ht="13">
      <c r="A14048" s="115"/>
      <c r="B14048" s="115"/>
      <c r="C14048" s="115"/>
      <c r="D14048" s="115"/>
      <c r="E14048" s="115"/>
    </row>
    <row r="14049" spans="1:5" ht="13">
      <c r="A14049" s="115"/>
      <c r="B14049" s="115"/>
      <c r="C14049" s="115"/>
      <c r="D14049" s="115"/>
      <c r="E14049" s="115"/>
    </row>
    <row r="14050" spans="1:5" ht="13">
      <c r="A14050" s="115"/>
      <c r="B14050" s="115"/>
      <c r="C14050" s="115"/>
      <c r="D14050" s="115"/>
      <c r="E14050" s="115"/>
    </row>
    <row r="14051" spans="1:5" ht="13">
      <c r="A14051" s="115"/>
      <c r="B14051" s="115"/>
      <c r="C14051" s="115"/>
      <c r="D14051" s="115"/>
      <c r="E14051" s="115"/>
    </row>
    <row r="14052" spans="1:5" ht="13">
      <c r="A14052" s="115"/>
      <c r="B14052" s="115"/>
      <c r="C14052" s="115"/>
      <c r="D14052" s="115"/>
      <c r="E14052" s="115"/>
    </row>
    <row r="14053" spans="1:5" ht="13">
      <c r="A14053" s="115"/>
      <c r="B14053" s="115"/>
      <c r="C14053" s="115"/>
      <c r="D14053" s="115"/>
      <c r="E14053" s="115"/>
    </row>
    <row r="14054" spans="1:5" ht="13">
      <c r="A14054" s="115"/>
      <c r="B14054" s="115"/>
      <c r="C14054" s="115"/>
      <c r="D14054" s="115"/>
      <c r="E14054" s="115"/>
    </row>
    <row r="14055" spans="1:5" ht="13">
      <c r="A14055" s="115"/>
      <c r="B14055" s="115"/>
      <c r="C14055" s="115"/>
      <c r="D14055" s="115"/>
      <c r="E14055" s="115"/>
    </row>
    <row r="14056" spans="1:5" ht="13">
      <c r="A14056" s="115"/>
      <c r="B14056" s="115"/>
      <c r="C14056" s="115"/>
      <c r="D14056" s="115"/>
      <c r="E14056" s="115"/>
    </row>
    <row r="14057" spans="1:5" ht="13">
      <c r="A14057" s="115"/>
      <c r="B14057" s="115"/>
      <c r="C14057" s="115"/>
      <c r="D14057" s="115"/>
      <c r="E14057" s="115"/>
    </row>
    <row r="14058" spans="1:5" ht="13">
      <c r="A14058" s="115"/>
      <c r="B14058" s="115"/>
      <c r="C14058" s="115"/>
      <c r="D14058" s="115"/>
      <c r="E14058" s="115"/>
    </row>
    <row r="14059" spans="1:5" ht="13">
      <c r="A14059" s="115"/>
      <c r="B14059" s="115"/>
      <c r="C14059" s="115"/>
      <c r="D14059" s="115"/>
      <c r="E14059" s="115"/>
    </row>
    <row r="14060" spans="1:5" ht="13">
      <c r="A14060" s="115"/>
      <c r="B14060" s="115"/>
      <c r="C14060" s="115"/>
      <c r="D14060" s="115"/>
      <c r="E14060" s="115"/>
    </row>
    <row r="14061" spans="1:5" ht="13">
      <c r="A14061" s="115"/>
      <c r="B14061" s="115"/>
      <c r="C14061" s="115"/>
      <c r="D14061" s="115"/>
      <c r="E14061" s="115"/>
    </row>
    <row r="14062" spans="1:5" ht="13">
      <c r="A14062" s="115"/>
      <c r="B14062" s="115"/>
      <c r="C14062" s="115"/>
      <c r="D14062" s="115"/>
      <c r="E14062" s="115"/>
    </row>
    <row r="14063" spans="1:5" ht="13">
      <c r="A14063" s="115"/>
      <c r="B14063" s="115"/>
      <c r="C14063" s="115"/>
      <c r="D14063" s="115"/>
      <c r="E14063" s="115"/>
    </row>
    <row r="14064" spans="1:5" ht="13">
      <c r="A14064" s="115"/>
      <c r="B14064" s="115"/>
      <c r="C14064" s="115"/>
      <c r="D14064" s="115"/>
      <c r="E14064" s="115"/>
    </row>
    <row r="14065" spans="1:5" ht="13">
      <c r="A14065" s="115"/>
      <c r="B14065" s="115"/>
      <c r="C14065" s="115"/>
      <c r="D14065" s="115"/>
      <c r="E14065" s="115"/>
    </row>
    <row r="14066" spans="1:5" ht="13">
      <c r="A14066" s="115"/>
      <c r="B14066" s="115"/>
      <c r="C14066" s="115"/>
      <c r="D14066" s="115"/>
      <c r="E14066" s="115"/>
    </row>
    <row r="14067" spans="1:5" ht="13">
      <c r="A14067" s="115"/>
      <c r="B14067" s="115"/>
      <c r="C14067" s="115"/>
      <c r="D14067" s="115"/>
      <c r="E14067" s="115"/>
    </row>
    <row r="14068" spans="1:5" ht="13">
      <c r="A14068" s="115"/>
      <c r="B14068" s="115"/>
      <c r="C14068" s="115"/>
      <c r="D14068" s="115"/>
      <c r="E14068" s="115"/>
    </row>
    <row r="14069" spans="1:5" ht="13">
      <c r="A14069" s="115"/>
      <c r="B14069" s="115"/>
      <c r="C14069" s="115"/>
      <c r="D14069" s="115"/>
      <c r="E14069" s="115"/>
    </row>
    <row r="14070" spans="1:5" ht="13">
      <c r="A14070" s="115"/>
      <c r="B14070" s="115"/>
      <c r="C14070" s="115"/>
      <c r="D14070" s="115"/>
      <c r="E14070" s="115"/>
    </row>
    <row r="14071" spans="1:5" ht="13">
      <c r="A14071" s="115"/>
      <c r="B14071" s="115"/>
      <c r="C14071" s="115"/>
      <c r="D14071" s="115"/>
      <c r="E14071" s="115"/>
    </row>
    <row r="14072" spans="1:5" ht="13">
      <c r="A14072" s="115"/>
      <c r="B14072" s="115"/>
      <c r="C14072" s="115"/>
      <c r="D14072" s="115"/>
      <c r="E14072" s="115"/>
    </row>
    <row r="14073" spans="1:5" ht="13">
      <c r="A14073" s="115"/>
      <c r="B14073" s="115"/>
      <c r="C14073" s="115"/>
      <c r="D14073" s="115"/>
      <c r="E14073" s="115"/>
    </row>
    <row r="14074" spans="1:5" ht="13">
      <c r="A14074" s="115"/>
      <c r="B14074" s="115"/>
      <c r="C14074" s="115"/>
      <c r="D14074" s="115"/>
      <c r="E14074" s="115"/>
    </row>
    <row r="14075" spans="1:5" ht="13">
      <c r="A14075" s="115"/>
      <c r="B14075" s="115"/>
      <c r="C14075" s="115"/>
      <c r="D14075" s="115"/>
      <c r="E14075" s="115"/>
    </row>
    <row r="14076" spans="1:5" ht="13">
      <c r="A14076" s="115"/>
      <c r="B14076" s="115"/>
      <c r="C14076" s="115"/>
      <c r="D14076" s="115"/>
      <c r="E14076" s="115"/>
    </row>
    <row r="14077" spans="1:5" ht="13">
      <c r="A14077" s="115"/>
      <c r="B14077" s="115"/>
      <c r="C14077" s="115"/>
      <c r="D14077" s="115"/>
      <c r="E14077" s="115"/>
    </row>
    <row r="14078" spans="1:5" ht="13">
      <c r="A14078" s="115"/>
      <c r="B14078" s="115"/>
      <c r="C14078" s="115"/>
      <c r="D14078" s="115"/>
      <c r="E14078" s="115"/>
    </row>
    <row r="14079" spans="1:5" ht="13">
      <c r="A14079" s="115"/>
      <c r="B14079" s="115"/>
      <c r="C14079" s="115"/>
      <c r="D14079" s="115"/>
      <c r="E14079" s="115"/>
    </row>
    <row r="14080" spans="1:5" ht="13">
      <c r="A14080" s="115"/>
      <c r="B14080" s="115"/>
      <c r="C14080" s="115"/>
      <c r="D14080" s="115"/>
      <c r="E14080" s="115"/>
    </row>
    <row r="14081" spans="1:5" ht="13">
      <c r="A14081" s="115"/>
      <c r="B14081" s="115"/>
      <c r="C14081" s="115"/>
      <c r="D14081" s="115"/>
      <c r="E14081" s="115"/>
    </row>
    <row r="14082" spans="1:5" ht="13">
      <c r="A14082" s="115"/>
      <c r="B14082" s="115"/>
      <c r="C14082" s="115"/>
      <c r="D14082" s="115"/>
      <c r="E14082" s="115"/>
    </row>
    <row r="14083" spans="1:5" ht="13">
      <c r="A14083" s="115"/>
      <c r="B14083" s="115"/>
      <c r="C14083" s="115"/>
      <c r="D14083" s="115"/>
      <c r="E14083" s="115"/>
    </row>
    <row r="14084" spans="1:5" ht="13">
      <c r="A14084" s="115"/>
      <c r="B14084" s="115"/>
      <c r="C14084" s="115"/>
      <c r="D14084" s="115"/>
      <c r="E14084" s="115"/>
    </row>
    <row r="14085" spans="1:5" ht="13">
      <c r="A14085" s="115"/>
      <c r="B14085" s="115"/>
      <c r="C14085" s="115"/>
      <c r="D14085" s="115"/>
      <c r="E14085" s="115"/>
    </row>
    <row r="14086" spans="1:5" ht="13">
      <c r="A14086" s="115"/>
      <c r="B14086" s="115"/>
      <c r="C14086" s="115"/>
      <c r="D14086" s="115"/>
      <c r="E14086" s="115"/>
    </row>
    <row r="14087" spans="1:5" ht="13">
      <c r="A14087" s="115"/>
      <c r="B14087" s="115"/>
      <c r="C14087" s="115"/>
      <c r="D14087" s="115"/>
      <c r="E14087" s="115"/>
    </row>
    <row r="14088" spans="1:5" ht="13">
      <c r="A14088" s="115"/>
      <c r="B14088" s="115"/>
      <c r="C14088" s="115"/>
      <c r="D14088" s="115"/>
      <c r="E14088" s="115"/>
    </row>
    <row r="14089" spans="1:5" ht="13">
      <c r="A14089" s="115"/>
      <c r="B14089" s="115"/>
      <c r="C14089" s="115"/>
      <c r="D14089" s="115"/>
      <c r="E14089" s="115"/>
    </row>
    <row r="14090" spans="1:5" ht="13">
      <c r="A14090" s="115"/>
      <c r="B14090" s="115"/>
      <c r="C14090" s="115"/>
      <c r="D14090" s="115"/>
      <c r="E14090" s="115"/>
    </row>
    <row r="14091" spans="1:5" ht="13">
      <c r="A14091" s="115"/>
      <c r="B14091" s="115"/>
      <c r="C14091" s="115"/>
      <c r="D14091" s="115"/>
      <c r="E14091" s="115"/>
    </row>
    <row r="14092" spans="1:5" ht="13">
      <c r="A14092" s="115"/>
      <c r="B14092" s="115"/>
      <c r="C14092" s="115"/>
      <c r="D14092" s="115"/>
      <c r="E14092" s="115"/>
    </row>
    <row r="14093" spans="1:5" ht="13">
      <c r="A14093" s="115"/>
      <c r="B14093" s="115"/>
      <c r="C14093" s="115"/>
      <c r="D14093" s="115"/>
      <c r="E14093" s="115"/>
    </row>
    <row r="14094" spans="1:5" ht="13">
      <c r="A14094" s="115"/>
      <c r="B14094" s="115"/>
      <c r="C14094" s="115"/>
      <c r="D14094" s="115"/>
      <c r="E14094" s="115"/>
    </row>
    <row r="14095" spans="1:5" ht="13">
      <c r="A14095" s="115"/>
      <c r="B14095" s="115"/>
      <c r="C14095" s="115"/>
      <c r="D14095" s="115"/>
      <c r="E14095" s="115"/>
    </row>
    <row r="14096" spans="1:5" ht="13">
      <c r="A14096" s="115"/>
      <c r="B14096" s="115"/>
      <c r="C14096" s="115"/>
      <c r="D14096" s="115"/>
      <c r="E14096" s="115"/>
    </row>
    <row r="14097" spans="1:5" ht="13">
      <c r="A14097" s="115"/>
      <c r="B14097" s="115"/>
      <c r="C14097" s="115"/>
      <c r="D14097" s="115"/>
      <c r="E14097" s="115"/>
    </row>
    <row r="14098" spans="1:5" ht="13">
      <c r="A14098" s="115"/>
      <c r="B14098" s="115"/>
      <c r="C14098" s="115"/>
      <c r="D14098" s="115"/>
      <c r="E14098" s="115"/>
    </row>
    <row r="14099" spans="1:5" ht="13">
      <c r="A14099" s="115"/>
      <c r="B14099" s="115"/>
      <c r="C14099" s="115"/>
      <c r="D14099" s="115"/>
      <c r="E14099" s="115"/>
    </row>
    <row r="14100" spans="1:5" ht="13">
      <c r="A14100" s="115"/>
      <c r="B14100" s="115"/>
      <c r="C14100" s="115"/>
      <c r="D14100" s="115"/>
      <c r="E14100" s="115"/>
    </row>
    <row r="14101" spans="1:5" ht="13">
      <c r="A14101" s="115"/>
      <c r="B14101" s="115"/>
      <c r="C14101" s="115"/>
      <c r="D14101" s="115"/>
      <c r="E14101" s="115"/>
    </row>
    <row r="14102" spans="1:5" ht="13">
      <c r="A14102" s="115"/>
      <c r="B14102" s="115"/>
      <c r="C14102" s="115"/>
      <c r="D14102" s="115"/>
      <c r="E14102" s="115"/>
    </row>
    <row r="14103" spans="1:5" ht="13">
      <c r="A14103" s="115"/>
      <c r="B14103" s="115"/>
      <c r="C14103" s="115"/>
      <c r="D14103" s="115"/>
      <c r="E14103" s="115"/>
    </row>
    <row r="14104" spans="1:5" ht="13">
      <c r="A14104" s="115"/>
      <c r="B14104" s="115"/>
      <c r="C14104" s="115"/>
      <c r="D14104" s="115"/>
      <c r="E14104" s="115"/>
    </row>
    <row r="14105" spans="1:5" ht="13">
      <c r="A14105" s="115"/>
      <c r="B14105" s="115"/>
      <c r="C14105" s="115"/>
      <c r="D14105" s="115"/>
      <c r="E14105" s="115"/>
    </row>
    <row r="14106" spans="1:5" ht="13">
      <c r="A14106" s="115"/>
      <c r="B14106" s="115"/>
      <c r="C14106" s="115"/>
      <c r="D14106" s="115"/>
      <c r="E14106" s="115"/>
    </row>
    <row r="14107" spans="1:5" ht="13">
      <c r="A14107" s="115"/>
      <c r="B14107" s="115"/>
      <c r="C14107" s="115"/>
      <c r="D14107" s="115"/>
      <c r="E14107" s="115"/>
    </row>
    <row r="14108" spans="1:5" ht="13">
      <c r="A14108" s="115"/>
      <c r="B14108" s="115"/>
      <c r="C14108" s="115"/>
      <c r="D14108" s="115"/>
      <c r="E14108" s="115"/>
    </row>
    <row r="14109" spans="1:5" ht="13">
      <c r="A14109" s="115"/>
      <c r="B14109" s="115"/>
      <c r="C14109" s="115"/>
      <c r="D14109" s="115"/>
      <c r="E14109" s="115"/>
    </row>
    <row r="14110" spans="1:5" ht="13">
      <c r="A14110" s="115"/>
      <c r="B14110" s="115"/>
      <c r="C14110" s="115"/>
      <c r="D14110" s="115"/>
      <c r="E14110" s="115"/>
    </row>
    <row r="14111" spans="1:5" ht="13">
      <c r="A14111" s="115"/>
      <c r="B14111" s="115"/>
      <c r="C14111" s="115"/>
      <c r="D14111" s="115"/>
      <c r="E14111" s="115"/>
    </row>
    <row r="14112" spans="1:5" ht="13">
      <c r="A14112" s="115"/>
      <c r="B14112" s="115"/>
      <c r="C14112" s="115"/>
      <c r="D14112" s="115"/>
      <c r="E14112" s="115"/>
    </row>
    <row r="14113" spans="1:5" ht="13">
      <c r="A14113" s="115"/>
      <c r="B14113" s="115"/>
      <c r="C14113" s="115"/>
      <c r="D14113" s="115"/>
      <c r="E14113" s="115"/>
    </row>
    <row r="14114" spans="1:5" ht="13">
      <c r="A14114" s="115"/>
      <c r="B14114" s="115"/>
      <c r="C14114" s="115"/>
      <c r="D14114" s="115"/>
      <c r="E14114" s="115"/>
    </row>
    <row r="14115" spans="1:5" ht="13">
      <c r="A14115" s="115"/>
      <c r="B14115" s="115"/>
      <c r="C14115" s="115"/>
      <c r="D14115" s="115"/>
      <c r="E14115" s="115"/>
    </row>
    <row r="14116" spans="1:5" ht="13">
      <c r="A14116" s="115"/>
      <c r="B14116" s="115"/>
      <c r="C14116" s="115"/>
      <c r="D14116" s="115"/>
      <c r="E14116" s="115"/>
    </row>
    <row r="14117" spans="1:5" ht="13">
      <c r="A14117" s="115"/>
      <c r="B14117" s="115"/>
      <c r="C14117" s="115"/>
      <c r="D14117" s="115"/>
      <c r="E14117" s="115"/>
    </row>
    <row r="14118" spans="1:5" ht="13">
      <c r="A14118" s="115"/>
      <c r="B14118" s="115"/>
      <c r="C14118" s="115"/>
      <c r="D14118" s="115"/>
      <c r="E14118" s="115"/>
    </row>
    <row r="14119" spans="1:5" ht="13">
      <c r="A14119" s="115"/>
      <c r="B14119" s="115"/>
      <c r="C14119" s="115"/>
      <c r="D14119" s="115"/>
      <c r="E14119" s="115"/>
    </row>
    <row r="14120" spans="1:5" ht="13">
      <c r="A14120" s="115"/>
      <c r="B14120" s="115"/>
      <c r="C14120" s="115"/>
      <c r="D14120" s="115"/>
      <c r="E14120" s="115"/>
    </row>
    <row r="14121" spans="1:5" ht="13">
      <c r="A14121" s="115"/>
      <c r="B14121" s="115"/>
      <c r="C14121" s="115"/>
      <c r="D14121" s="115"/>
      <c r="E14121" s="115"/>
    </row>
    <row r="14122" spans="1:5" ht="13">
      <c r="A14122" s="115"/>
      <c r="B14122" s="115"/>
      <c r="C14122" s="115"/>
      <c r="D14122" s="115"/>
      <c r="E14122" s="115"/>
    </row>
    <row r="14123" spans="1:5" ht="13">
      <c r="A14123" s="115"/>
      <c r="B14123" s="115"/>
      <c r="C14123" s="115"/>
      <c r="D14123" s="115"/>
      <c r="E14123" s="115"/>
    </row>
    <row r="14124" spans="1:5" ht="13">
      <c r="A14124" s="115"/>
      <c r="B14124" s="115"/>
      <c r="C14124" s="115"/>
      <c r="D14124" s="115"/>
      <c r="E14124" s="115"/>
    </row>
    <row r="14125" spans="1:5" ht="13">
      <c r="A14125" s="115"/>
      <c r="B14125" s="115"/>
      <c r="C14125" s="115"/>
      <c r="D14125" s="115"/>
      <c r="E14125" s="115"/>
    </row>
    <row r="14126" spans="1:5" ht="13">
      <c r="A14126" s="115"/>
      <c r="B14126" s="115"/>
      <c r="C14126" s="115"/>
      <c r="D14126" s="115"/>
      <c r="E14126" s="115"/>
    </row>
    <row r="14127" spans="1:5" ht="13">
      <c r="A14127" s="115"/>
      <c r="B14127" s="115"/>
      <c r="C14127" s="115"/>
      <c r="D14127" s="115"/>
      <c r="E14127" s="115"/>
    </row>
    <row r="14128" spans="1:5" ht="13">
      <c r="A14128" s="115"/>
      <c r="B14128" s="115"/>
      <c r="C14128" s="115"/>
      <c r="D14128" s="115"/>
      <c r="E14128" s="115"/>
    </row>
    <row r="14129" spans="1:5" ht="13">
      <c r="A14129" s="115"/>
      <c r="B14129" s="115"/>
      <c r="C14129" s="115"/>
      <c r="D14129" s="115"/>
      <c r="E14129" s="115"/>
    </row>
    <row r="14130" spans="1:5" ht="13">
      <c r="A14130" s="115"/>
      <c r="B14130" s="115"/>
      <c r="C14130" s="115"/>
      <c r="D14130" s="115"/>
      <c r="E14130" s="115"/>
    </row>
    <row r="14131" spans="1:5" ht="13">
      <c r="A14131" s="115"/>
      <c r="B14131" s="115"/>
      <c r="C14131" s="115"/>
      <c r="D14131" s="115"/>
      <c r="E14131" s="115"/>
    </row>
    <row r="14132" spans="1:5" ht="13">
      <c r="A14132" s="115"/>
      <c r="B14132" s="115"/>
      <c r="C14132" s="115"/>
      <c r="D14132" s="115"/>
      <c r="E14132" s="115"/>
    </row>
    <row r="14133" spans="1:5" ht="13">
      <c r="A14133" s="115"/>
      <c r="B14133" s="115"/>
      <c r="C14133" s="115"/>
      <c r="D14133" s="115"/>
      <c r="E14133" s="115"/>
    </row>
    <row r="14134" spans="1:5" ht="13">
      <c r="A14134" s="115"/>
      <c r="B14134" s="115"/>
      <c r="C14134" s="115"/>
      <c r="D14134" s="115"/>
      <c r="E14134" s="115"/>
    </row>
    <row r="14135" spans="1:5" ht="13">
      <c r="A14135" s="115"/>
      <c r="B14135" s="115"/>
      <c r="C14135" s="115"/>
      <c r="D14135" s="115"/>
      <c r="E14135" s="115"/>
    </row>
    <row r="14136" spans="1:5" ht="13">
      <c r="A14136" s="115"/>
      <c r="B14136" s="115"/>
      <c r="C14136" s="115"/>
      <c r="D14136" s="115"/>
      <c r="E14136" s="115"/>
    </row>
    <row r="14137" spans="1:5" ht="13">
      <c r="A14137" s="115"/>
      <c r="B14137" s="115"/>
      <c r="C14137" s="115"/>
      <c r="D14137" s="115"/>
      <c r="E14137" s="115"/>
    </row>
    <row r="14138" spans="1:5" ht="13">
      <c r="A14138" s="115"/>
      <c r="B14138" s="115"/>
      <c r="C14138" s="115"/>
      <c r="D14138" s="115"/>
      <c r="E14138" s="115"/>
    </row>
    <row r="14139" spans="1:5" ht="13">
      <c r="A14139" s="115"/>
      <c r="B14139" s="115"/>
      <c r="C14139" s="115"/>
      <c r="D14139" s="115"/>
      <c r="E14139" s="115"/>
    </row>
    <row r="14140" spans="1:5" ht="13">
      <c r="A14140" s="115"/>
      <c r="B14140" s="115"/>
      <c r="C14140" s="115"/>
      <c r="D14140" s="115"/>
      <c r="E14140" s="115"/>
    </row>
    <row r="14141" spans="1:5" ht="13">
      <c r="A14141" s="115"/>
      <c r="B14141" s="115"/>
      <c r="C14141" s="115"/>
      <c r="D14141" s="115"/>
      <c r="E14141" s="115"/>
    </row>
    <row r="14142" spans="1:5" ht="13">
      <c r="A14142" s="115"/>
      <c r="B14142" s="115"/>
      <c r="C14142" s="115"/>
      <c r="D14142" s="115"/>
      <c r="E14142" s="115"/>
    </row>
    <row r="14143" spans="1:5" ht="13">
      <c r="A14143" s="115"/>
      <c r="B14143" s="115"/>
      <c r="C14143" s="115"/>
      <c r="D14143" s="115"/>
      <c r="E14143" s="115"/>
    </row>
    <row r="14144" spans="1:5" ht="13">
      <c r="A14144" s="115"/>
      <c r="B14144" s="115"/>
      <c r="C14144" s="115"/>
      <c r="D14144" s="115"/>
      <c r="E14144" s="115"/>
    </row>
    <row r="14145" spans="1:5" ht="13">
      <c r="A14145" s="115"/>
      <c r="B14145" s="115"/>
      <c r="C14145" s="115"/>
      <c r="D14145" s="115"/>
      <c r="E14145" s="115"/>
    </row>
    <row r="14146" spans="1:5" ht="13">
      <c r="A14146" s="115"/>
      <c r="B14146" s="115"/>
      <c r="C14146" s="115"/>
      <c r="D14146" s="115"/>
      <c r="E14146" s="115"/>
    </row>
    <row r="14147" spans="1:5" ht="13">
      <c r="A14147" s="115"/>
      <c r="B14147" s="115"/>
      <c r="C14147" s="115"/>
      <c r="D14147" s="115"/>
      <c r="E14147" s="115"/>
    </row>
    <row r="14148" spans="1:5" ht="13">
      <c r="A14148" s="115"/>
      <c r="B14148" s="115"/>
      <c r="C14148" s="115"/>
      <c r="D14148" s="115"/>
      <c r="E14148" s="115"/>
    </row>
    <row r="14149" spans="1:5" ht="13">
      <c r="A14149" s="115"/>
      <c r="B14149" s="115"/>
      <c r="C14149" s="115"/>
      <c r="D14149" s="115"/>
      <c r="E14149" s="115"/>
    </row>
    <row r="14150" spans="1:5" ht="13">
      <c r="A14150" s="115"/>
      <c r="B14150" s="115"/>
      <c r="C14150" s="115"/>
      <c r="D14150" s="115"/>
      <c r="E14150" s="115"/>
    </row>
    <row r="14151" spans="1:5" ht="13">
      <c r="A14151" s="115"/>
      <c r="B14151" s="115"/>
      <c r="C14151" s="115"/>
      <c r="D14151" s="115"/>
      <c r="E14151" s="115"/>
    </row>
    <row r="14152" spans="1:5" ht="13">
      <c r="A14152" s="115"/>
      <c r="B14152" s="115"/>
      <c r="C14152" s="115"/>
      <c r="D14152" s="115"/>
      <c r="E14152" s="115"/>
    </row>
    <row r="14153" spans="1:5" ht="13">
      <c r="A14153" s="115"/>
      <c r="B14153" s="115"/>
      <c r="C14153" s="115"/>
      <c r="D14153" s="115"/>
      <c r="E14153" s="115"/>
    </row>
    <row r="14154" spans="1:5" ht="13">
      <c r="A14154" s="115"/>
      <c r="B14154" s="115"/>
      <c r="C14154" s="115"/>
      <c r="D14154" s="115"/>
      <c r="E14154" s="115"/>
    </row>
    <row r="14155" spans="1:5" ht="13">
      <c r="A14155" s="115"/>
      <c r="B14155" s="115"/>
      <c r="C14155" s="115"/>
      <c r="D14155" s="115"/>
      <c r="E14155" s="115"/>
    </row>
    <row r="14156" spans="1:5" ht="13">
      <c r="A14156" s="115"/>
      <c r="B14156" s="115"/>
      <c r="C14156" s="115"/>
      <c r="D14156" s="115"/>
      <c r="E14156" s="115"/>
    </row>
    <row r="14157" spans="1:5" ht="13">
      <c r="A14157" s="115"/>
      <c r="B14157" s="115"/>
      <c r="C14157" s="115"/>
      <c r="D14157" s="115"/>
      <c r="E14157" s="115"/>
    </row>
    <row r="14158" spans="1:5" ht="13">
      <c r="A14158" s="115"/>
      <c r="B14158" s="115"/>
      <c r="C14158" s="115"/>
      <c r="D14158" s="115"/>
      <c r="E14158" s="115"/>
    </row>
    <row r="14159" spans="1:5" ht="13">
      <c r="A14159" s="115"/>
      <c r="B14159" s="115"/>
      <c r="C14159" s="115"/>
      <c r="D14159" s="115"/>
      <c r="E14159" s="115"/>
    </row>
    <row r="14160" spans="1:5" ht="13">
      <c r="A14160" s="115"/>
      <c r="B14160" s="115"/>
      <c r="C14160" s="115"/>
      <c r="D14160" s="115"/>
      <c r="E14160" s="115"/>
    </row>
    <row r="14161" spans="1:5" ht="13">
      <c r="A14161" s="115"/>
      <c r="B14161" s="115"/>
      <c r="C14161" s="115"/>
      <c r="D14161" s="115"/>
      <c r="E14161" s="115"/>
    </row>
    <row r="14162" spans="1:5" ht="13">
      <c r="A14162" s="115"/>
      <c r="B14162" s="115"/>
      <c r="C14162" s="115"/>
      <c r="D14162" s="115"/>
      <c r="E14162" s="115"/>
    </row>
    <row r="14163" spans="1:5" ht="13">
      <c r="A14163" s="115"/>
      <c r="B14163" s="115"/>
      <c r="C14163" s="115"/>
      <c r="D14163" s="115"/>
      <c r="E14163" s="115"/>
    </row>
    <row r="14164" spans="1:5" ht="13">
      <c r="A14164" s="115"/>
      <c r="B14164" s="115"/>
      <c r="C14164" s="115"/>
      <c r="D14164" s="115"/>
      <c r="E14164" s="115"/>
    </row>
    <row r="14165" spans="1:5" ht="13">
      <c r="A14165" s="115"/>
      <c r="B14165" s="115"/>
      <c r="C14165" s="115"/>
      <c r="D14165" s="115"/>
      <c r="E14165" s="115"/>
    </row>
    <row r="14166" spans="1:5" ht="13">
      <c r="A14166" s="115"/>
      <c r="B14166" s="115"/>
      <c r="C14166" s="115"/>
      <c r="D14166" s="115"/>
      <c r="E14166" s="115"/>
    </row>
    <row r="14167" spans="1:5" ht="13">
      <c r="A14167" s="115"/>
      <c r="B14167" s="115"/>
      <c r="C14167" s="115"/>
      <c r="D14167" s="115"/>
      <c r="E14167" s="115"/>
    </row>
    <row r="14168" spans="1:5" ht="13">
      <c r="A14168" s="115"/>
      <c r="B14168" s="115"/>
      <c r="C14168" s="115"/>
      <c r="D14168" s="115"/>
      <c r="E14168" s="115"/>
    </row>
    <row r="14169" spans="1:5" ht="13">
      <c r="A14169" s="115"/>
      <c r="B14169" s="115"/>
      <c r="C14169" s="115"/>
      <c r="D14169" s="115"/>
      <c r="E14169" s="115"/>
    </row>
    <row r="14170" spans="1:5" ht="13">
      <c r="A14170" s="115"/>
      <c r="B14170" s="115"/>
      <c r="C14170" s="115"/>
      <c r="D14170" s="115"/>
      <c r="E14170" s="115"/>
    </row>
    <row r="14171" spans="1:5" ht="13">
      <c r="A14171" s="115"/>
      <c r="B14171" s="115"/>
      <c r="C14171" s="115"/>
      <c r="D14171" s="115"/>
      <c r="E14171" s="115"/>
    </row>
    <row r="14172" spans="1:5" ht="13">
      <c r="A14172" s="115"/>
      <c r="B14172" s="115"/>
      <c r="C14172" s="115"/>
      <c r="D14172" s="115"/>
      <c r="E14172" s="115"/>
    </row>
    <row r="14173" spans="1:5" ht="13">
      <c r="A14173" s="115"/>
      <c r="B14173" s="115"/>
      <c r="C14173" s="115"/>
      <c r="D14173" s="115"/>
      <c r="E14173" s="115"/>
    </row>
    <row r="14174" spans="1:5" ht="13">
      <c r="A14174" s="115"/>
      <c r="B14174" s="115"/>
      <c r="C14174" s="115"/>
      <c r="D14174" s="115"/>
      <c r="E14174" s="115"/>
    </row>
    <row r="14175" spans="1:5" ht="13">
      <c r="A14175" s="115"/>
      <c r="B14175" s="115"/>
      <c r="C14175" s="115"/>
      <c r="D14175" s="115"/>
      <c r="E14175" s="115"/>
    </row>
    <row r="14176" spans="1:5" ht="13">
      <c r="A14176" s="115"/>
      <c r="B14176" s="115"/>
      <c r="C14176" s="115"/>
      <c r="D14176" s="115"/>
      <c r="E14176" s="115"/>
    </row>
    <row r="14177" spans="1:5" ht="13">
      <c r="A14177" s="115"/>
      <c r="B14177" s="115"/>
      <c r="C14177" s="115"/>
      <c r="D14177" s="115"/>
      <c r="E14177" s="115"/>
    </row>
    <row r="14178" spans="1:5" ht="13">
      <c r="A14178" s="115"/>
      <c r="B14178" s="115"/>
      <c r="C14178" s="115"/>
      <c r="D14178" s="115"/>
      <c r="E14178" s="115"/>
    </row>
    <row r="14179" spans="1:5" ht="13">
      <c r="A14179" s="115"/>
      <c r="B14179" s="115"/>
      <c r="C14179" s="115"/>
      <c r="D14179" s="115"/>
      <c r="E14179" s="115"/>
    </row>
    <row r="14180" spans="1:5" ht="13">
      <c r="A14180" s="115"/>
      <c r="B14180" s="115"/>
      <c r="C14180" s="115"/>
      <c r="D14180" s="115"/>
      <c r="E14180" s="115"/>
    </row>
    <row r="14181" spans="1:5" ht="13">
      <c r="A14181" s="115"/>
      <c r="B14181" s="115"/>
      <c r="C14181" s="115"/>
      <c r="D14181" s="115"/>
      <c r="E14181" s="115"/>
    </row>
    <row r="14182" spans="1:5" ht="13">
      <c r="A14182" s="115"/>
      <c r="B14182" s="115"/>
      <c r="C14182" s="115"/>
      <c r="D14182" s="115"/>
      <c r="E14182" s="115"/>
    </row>
    <row r="14183" spans="1:5" ht="13">
      <c r="A14183" s="115"/>
      <c r="B14183" s="115"/>
      <c r="C14183" s="115"/>
      <c r="D14183" s="115"/>
      <c r="E14183" s="115"/>
    </row>
    <row r="14184" spans="1:5" ht="13">
      <c r="A14184" s="115"/>
      <c r="B14184" s="115"/>
      <c r="C14184" s="115"/>
      <c r="D14184" s="115"/>
      <c r="E14184" s="115"/>
    </row>
    <row r="14185" spans="1:5" ht="13">
      <c r="A14185" s="115"/>
      <c r="B14185" s="115"/>
      <c r="C14185" s="115"/>
      <c r="D14185" s="115"/>
      <c r="E14185" s="115"/>
    </row>
    <row r="14186" spans="1:5" ht="13">
      <c r="A14186" s="115"/>
      <c r="B14186" s="115"/>
      <c r="C14186" s="115"/>
      <c r="D14186" s="115"/>
      <c r="E14186" s="115"/>
    </row>
    <row r="14187" spans="1:5" ht="13">
      <c r="A14187" s="115"/>
      <c r="B14187" s="115"/>
      <c r="C14187" s="115"/>
      <c r="D14187" s="115"/>
      <c r="E14187" s="115"/>
    </row>
    <row r="14188" spans="1:5" ht="13">
      <c r="A14188" s="115"/>
      <c r="B14188" s="115"/>
      <c r="C14188" s="115"/>
      <c r="D14188" s="115"/>
      <c r="E14188" s="115"/>
    </row>
    <row r="14189" spans="1:5" ht="13">
      <c r="A14189" s="115"/>
      <c r="B14189" s="115"/>
      <c r="C14189" s="115"/>
      <c r="D14189" s="115"/>
      <c r="E14189" s="115"/>
    </row>
    <row r="14190" spans="1:5" ht="13">
      <c r="A14190" s="115"/>
      <c r="B14190" s="115"/>
      <c r="C14190" s="115"/>
      <c r="D14190" s="115"/>
      <c r="E14190" s="115"/>
    </row>
    <row r="14191" spans="1:5" ht="13">
      <c r="A14191" s="115"/>
      <c r="B14191" s="115"/>
      <c r="C14191" s="115"/>
      <c r="D14191" s="115"/>
      <c r="E14191" s="115"/>
    </row>
    <row r="14192" spans="1:5" ht="13">
      <c r="A14192" s="115"/>
      <c r="B14192" s="115"/>
      <c r="C14192" s="115"/>
      <c r="D14192" s="115"/>
      <c r="E14192" s="115"/>
    </row>
    <row r="14193" spans="1:5" ht="13">
      <c r="A14193" s="115"/>
      <c r="B14193" s="115"/>
      <c r="C14193" s="115"/>
      <c r="D14193" s="115"/>
      <c r="E14193" s="115"/>
    </row>
    <row r="14194" spans="1:5" ht="13">
      <c r="A14194" s="115"/>
      <c r="B14194" s="115"/>
      <c r="C14194" s="115"/>
      <c r="D14194" s="115"/>
      <c r="E14194" s="115"/>
    </row>
    <row r="14195" spans="1:5" ht="13">
      <c r="A14195" s="115"/>
      <c r="B14195" s="115"/>
      <c r="C14195" s="115"/>
      <c r="D14195" s="115"/>
      <c r="E14195" s="115"/>
    </row>
    <row r="14196" spans="1:5" ht="13">
      <c r="A14196" s="115"/>
      <c r="B14196" s="115"/>
      <c r="C14196" s="115"/>
      <c r="D14196" s="115"/>
      <c r="E14196" s="115"/>
    </row>
    <row r="14197" spans="1:5" ht="13">
      <c r="A14197" s="115"/>
      <c r="B14197" s="115"/>
      <c r="C14197" s="115"/>
      <c r="D14197" s="115"/>
      <c r="E14197" s="115"/>
    </row>
    <row r="14198" spans="1:5" ht="13">
      <c r="A14198" s="115"/>
      <c r="B14198" s="115"/>
      <c r="C14198" s="115"/>
      <c r="D14198" s="115"/>
      <c r="E14198" s="115"/>
    </row>
    <row r="14199" spans="1:5" ht="13">
      <c r="A14199" s="115"/>
      <c r="B14199" s="115"/>
      <c r="C14199" s="115"/>
      <c r="D14199" s="115"/>
      <c r="E14199" s="115"/>
    </row>
    <row r="14200" spans="1:5" ht="13">
      <c r="A14200" s="115"/>
      <c r="B14200" s="115"/>
      <c r="C14200" s="115"/>
      <c r="D14200" s="115"/>
      <c r="E14200" s="115"/>
    </row>
    <row r="14201" spans="1:5" ht="13">
      <c r="A14201" s="115"/>
      <c r="B14201" s="115"/>
      <c r="C14201" s="115"/>
      <c r="D14201" s="115"/>
      <c r="E14201" s="115"/>
    </row>
    <row r="14202" spans="1:5" ht="13">
      <c r="A14202" s="115"/>
      <c r="B14202" s="115"/>
      <c r="C14202" s="115"/>
      <c r="D14202" s="115"/>
      <c r="E14202" s="115"/>
    </row>
    <row r="14203" spans="1:5" ht="13">
      <c r="A14203" s="115"/>
      <c r="B14203" s="115"/>
      <c r="C14203" s="115"/>
      <c r="D14203" s="115"/>
      <c r="E14203" s="115"/>
    </row>
    <row r="14204" spans="1:5" ht="13">
      <c r="A14204" s="115"/>
      <c r="B14204" s="115"/>
      <c r="C14204" s="115"/>
      <c r="D14204" s="115"/>
      <c r="E14204" s="115"/>
    </row>
    <row r="14205" spans="1:5" ht="13">
      <c r="A14205" s="115"/>
      <c r="B14205" s="115"/>
      <c r="C14205" s="115"/>
      <c r="D14205" s="115"/>
      <c r="E14205" s="115"/>
    </row>
    <row r="14206" spans="1:5" ht="13">
      <c r="A14206" s="115"/>
      <c r="B14206" s="115"/>
      <c r="C14206" s="115"/>
      <c r="D14206" s="115"/>
      <c r="E14206" s="115"/>
    </row>
    <row r="14207" spans="1:5" ht="13">
      <c r="A14207" s="115"/>
      <c r="B14207" s="115"/>
      <c r="C14207" s="115"/>
      <c r="D14207" s="115"/>
      <c r="E14207" s="115"/>
    </row>
    <row r="14208" spans="1:5" ht="13">
      <c r="A14208" s="115"/>
      <c r="B14208" s="115"/>
      <c r="C14208" s="115"/>
      <c r="D14208" s="115"/>
      <c r="E14208" s="115"/>
    </row>
    <row r="14209" spans="1:5" ht="13">
      <c r="A14209" s="115"/>
      <c r="B14209" s="115"/>
      <c r="C14209" s="115"/>
      <c r="D14209" s="115"/>
      <c r="E14209" s="115"/>
    </row>
    <row r="14210" spans="1:5" ht="13">
      <c r="A14210" s="115"/>
      <c r="B14210" s="115"/>
      <c r="C14210" s="115"/>
      <c r="D14210" s="115"/>
      <c r="E14210" s="115"/>
    </row>
    <row r="14211" spans="1:5" ht="13">
      <c r="A14211" s="115"/>
      <c r="B14211" s="115"/>
      <c r="C14211" s="115"/>
      <c r="D14211" s="115"/>
      <c r="E14211" s="115"/>
    </row>
    <row r="14212" spans="1:5" ht="13">
      <c r="A14212" s="115"/>
      <c r="B14212" s="115"/>
      <c r="C14212" s="115"/>
      <c r="D14212" s="115"/>
      <c r="E14212" s="115"/>
    </row>
    <row r="14213" spans="1:5" ht="13">
      <c r="A14213" s="115"/>
      <c r="B14213" s="115"/>
      <c r="C14213" s="115"/>
      <c r="D14213" s="115"/>
      <c r="E14213" s="115"/>
    </row>
    <row r="14214" spans="1:5" ht="13">
      <c r="A14214" s="115"/>
      <c r="B14214" s="115"/>
      <c r="C14214" s="115"/>
      <c r="D14214" s="115"/>
      <c r="E14214" s="115"/>
    </row>
    <row r="14215" spans="1:5" ht="13">
      <c r="A14215" s="115"/>
      <c r="B14215" s="115"/>
      <c r="C14215" s="115"/>
      <c r="D14215" s="115"/>
      <c r="E14215" s="115"/>
    </row>
    <row r="14216" spans="1:5" ht="13">
      <c r="A14216" s="115"/>
      <c r="B14216" s="115"/>
      <c r="C14216" s="115"/>
      <c r="D14216" s="115"/>
      <c r="E14216" s="115"/>
    </row>
    <row r="14217" spans="1:5" ht="13">
      <c r="A14217" s="115"/>
      <c r="B14217" s="115"/>
      <c r="C14217" s="115"/>
      <c r="D14217" s="115"/>
      <c r="E14217" s="115"/>
    </row>
    <row r="14218" spans="1:5" ht="13">
      <c r="A14218" s="115"/>
      <c r="B14218" s="115"/>
      <c r="C14218" s="115"/>
      <c r="D14218" s="115"/>
      <c r="E14218" s="115"/>
    </row>
    <row r="14219" spans="1:5" ht="13">
      <c r="A14219" s="115"/>
      <c r="B14219" s="115"/>
      <c r="C14219" s="115"/>
      <c r="D14219" s="115"/>
      <c r="E14219" s="115"/>
    </row>
    <row r="14220" spans="1:5" ht="13">
      <c r="A14220" s="115"/>
      <c r="B14220" s="115"/>
      <c r="C14220" s="115"/>
      <c r="D14220" s="115"/>
      <c r="E14220" s="115"/>
    </row>
    <row r="14221" spans="1:5" ht="13">
      <c r="A14221" s="115"/>
      <c r="B14221" s="115"/>
      <c r="C14221" s="115"/>
      <c r="D14221" s="115"/>
      <c r="E14221" s="115"/>
    </row>
    <row r="14222" spans="1:5" ht="13">
      <c r="A14222" s="115"/>
      <c r="B14222" s="115"/>
      <c r="C14222" s="115"/>
      <c r="D14222" s="115"/>
      <c r="E14222" s="115"/>
    </row>
    <row r="14223" spans="1:5" ht="13">
      <c r="A14223" s="115"/>
      <c r="B14223" s="115"/>
      <c r="C14223" s="115"/>
      <c r="D14223" s="115"/>
      <c r="E14223" s="115"/>
    </row>
    <row r="14224" spans="1:5" ht="13">
      <c r="A14224" s="115"/>
      <c r="B14224" s="115"/>
      <c r="C14224" s="115"/>
      <c r="D14224" s="115"/>
      <c r="E14224" s="115"/>
    </row>
    <row r="14225" spans="1:5" ht="13">
      <c r="A14225" s="115"/>
      <c r="B14225" s="115"/>
      <c r="C14225" s="115"/>
      <c r="D14225" s="115"/>
      <c r="E14225" s="115"/>
    </row>
    <row r="14226" spans="1:5" ht="13">
      <c r="A14226" s="115"/>
      <c r="B14226" s="115"/>
      <c r="C14226" s="115"/>
      <c r="D14226" s="115"/>
      <c r="E14226" s="115"/>
    </row>
    <row r="14227" spans="1:5" ht="13">
      <c r="A14227" s="115"/>
      <c r="B14227" s="115"/>
      <c r="C14227" s="115"/>
      <c r="D14227" s="115"/>
      <c r="E14227" s="115"/>
    </row>
    <row r="14228" spans="1:5" ht="13">
      <c r="A14228" s="115"/>
      <c r="B14228" s="115"/>
      <c r="C14228" s="115"/>
      <c r="D14228" s="115"/>
      <c r="E14228" s="115"/>
    </row>
    <row r="14229" spans="1:5" ht="13">
      <c r="A14229" s="115"/>
      <c r="B14229" s="115"/>
      <c r="C14229" s="115"/>
      <c r="D14229" s="115"/>
      <c r="E14229" s="115"/>
    </row>
    <row r="14230" spans="1:5" ht="13">
      <c r="A14230" s="115"/>
      <c r="B14230" s="115"/>
      <c r="C14230" s="115"/>
      <c r="D14230" s="115"/>
      <c r="E14230" s="115"/>
    </row>
    <row r="14231" spans="1:5" ht="13">
      <c r="A14231" s="115"/>
      <c r="B14231" s="115"/>
      <c r="C14231" s="115"/>
      <c r="D14231" s="115"/>
      <c r="E14231" s="115"/>
    </row>
    <row r="14232" spans="1:5" ht="13">
      <c r="A14232" s="115"/>
      <c r="B14232" s="115"/>
      <c r="C14232" s="115"/>
      <c r="D14232" s="115"/>
      <c r="E14232" s="115"/>
    </row>
    <row r="14233" spans="1:5" ht="13">
      <c r="A14233" s="115"/>
      <c r="B14233" s="115"/>
      <c r="C14233" s="115"/>
      <c r="D14233" s="115"/>
      <c r="E14233" s="115"/>
    </row>
    <row r="14234" spans="1:5" ht="13">
      <c r="A14234" s="115"/>
      <c r="B14234" s="115"/>
      <c r="C14234" s="115"/>
      <c r="D14234" s="115"/>
      <c r="E14234" s="115"/>
    </row>
    <row r="14235" spans="1:5" ht="13">
      <c r="A14235" s="115"/>
      <c r="B14235" s="115"/>
      <c r="C14235" s="115"/>
      <c r="D14235" s="115"/>
      <c r="E14235" s="115"/>
    </row>
    <row r="14236" spans="1:5" ht="13">
      <c r="A14236" s="115"/>
      <c r="B14236" s="115"/>
      <c r="C14236" s="115"/>
      <c r="D14236" s="115"/>
      <c r="E14236" s="115"/>
    </row>
    <row r="14237" spans="1:5" ht="13">
      <c r="A14237" s="115"/>
      <c r="B14237" s="115"/>
      <c r="C14237" s="115"/>
      <c r="D14237" s="115"/>
      <c r="E14237" s="115"/>
    </row>
    <row r="14238" spans="1:5" ht="13">
      <c r="A14238" s="115"/>
      <c r="B14238" s="115"/>
      <c r="C14238" s="115"/>
      <c r="D14238" s="115"/>
      <c r="E14238" s="115"/>
    </row>
    <row r="14239" spans="1:5" ht="13">
      <c r="A14239" s="115"/>
      <c r="B14239" s="115"/>
      <c r="C14239" s="115"/>
      <c r="D14239" s="115"/>
      <c r="E14239" s="115"/>
    </row>
    <row r="14240" spans="1:5" ht="13">
      <c r="A14240" s="115"/>
      <c r="B14240" s="115"/>
      <c r="C14240" s="115"/>
      <c r="D14240" s="115"/>
      <c r="E14240" s="115"/>
    </row>
    <row r="14241" spans="1:5" ht="13">
      <c r="A14241" s="115"/>
      <c r="B14241" s="115"/>
      <c r="C14241" s="115"/>
      <c r="D14241" s="115"/>
      <c r="E14241" s="115"/>
    </row>
    <row r="14242" spans="1:5" ht="13">
      <c r="A14242" s="115"/>
      <c r="B14242" s="115"/>
      <c r="C14242" s="115"/>
      <c r="D14242" s="115"/>
      <c r="E14242" s="115"/>
    </row>
    <row r="14243" spans="1:5" ht="13">
      <c r="A14243" s="115"/>
      <c r="B14243" s="115"/>
      <c r="C14243" s="115"/>
      <c r="D14243" s="115"/>
      <c r="E14243" s="115"/>
    </row>
    <row r="14244" spans="1:5" ht="13">
      <c r="A14244" s="115"/>
      <c r="B14244" s="115"/>
      <c r="C14244" s="115"/>
      <c r="D14244" s="115"/>
      <c r="E14244" s="115"/>
    </row>
    <row r="14245" spans="1:5" ht="13">
      <c r="A14245" s="115"/>
      <c r="B14245" s="115"/>
      <c r="C14245" s="115"/>
      <c r="D14245" s="115"/>
      <c r="E14245" s="115"/>
    </row>
    <row r="14246" spans="1:5" ht="13">
      <c r="A14246" s="115"/>
      <c r="B14246" s="115"/>
      <c r="C14246" s="115"/>
      <c r="D14246" s="115"/>
      <c r="E14246" s="115"/>
    </row>
    <row r="14247" spans="1:5" ht="13">
      <c r="A14247" s="115"/>
      <c r="B14247" s="115"/>
      <c r="C14247" s="115"/>
      <c r="D14247" s="115"/>
      <c r="E14247" s="115"/>
    </row>
    <row r="14248" spans="1:5" ht="13">
      <c r="A14248" s="115"/>
      <c r="B14248" s="115"/>
      <c r="C14248" s="115"/>
      <c r="D14248" s="115"/>
      <c r="E14248" s="115"/>
    </row>
    <row r="14249" spans="1:5" ht="13">
      <c r="A14249" s="115"/>
      <c r="B14249" s="115"/>
      <c r="C14249" s="115"/>
      <c r="D14249" s="115"/>
      <c r="E14249" s="115"/>
    </row>
    <row r="14250" spans="1:5" ht="13">
      <c r="A14250" s="115"/>
      <c r="B14250" s="115"/>
      <c r="C14250" s="115"/>
      <c r="D14250" s="115"/>
      <c r="E14250" s="115"/>
    </row>
    <row r="14251" spans="1:5" ht="13">
      <c r="A14251" s="115"/>
      <c r="B14251" s="115"/>
      <c r="C14251" s="115"/>
      <c r="D14251" s="115"/>
      <c r="E14251" s="115"/>
    </row>
    <row r="14252" spans="1:5" ht="13">
      <c r="A14252" s="115"/>
      <c r="B14252" s="115"/>
      <c r="C14252" s="115"/>
      <c r="D14252" s="115"/>
      <c r="E14252" s="115"/>
    </row>
    <row r="14253" spans="1:5" ht="13">
      <c r="A14253" s="115"/>
      <c r="B14253" s="115"/>
      <c r="C14253" s="115"/>
      <c r="D14253" s="115"/>
      <c r="E14253" s="115"/>
    </row>
    <row r="14254" spans="1:5" ht="13">
      <c r="A14254" s="115"/>
      <c r="B14254" s="115"/>
      <c r="C14254" s="115"/>
      <c r="D14254" s="115"/>
      <c r="E14254" s="115"/>
    </row>
    <row r="14255" spans="1:5" ht="13">
      <c r="A14255" s="115"/>
      <c r="B14255" s="115"/>
      <c r="C14255" s="115"/>
      <c r="D14255" s="115"/>
      <c r="E14255" s="115"/>
    </row>
    <row r="14256" spans="1:5" ht="13">
      <c r="A14256" s="115"/>
      <c r="B14256" s="115"/>
      <c r="C14256" s="115"/>
      <c r="D14256" s="115"/>
      <c r="E14256" s="115"/>
    </row>
    <row r="14257" spans="1:5" ht="13">
      <c r="A14257" s="115"/>
      <c r="B14257" s="115"/>
      <c r="C14257" s="115"/>
      <c r="D14257" s="115"/>
      <c r="E14257" s="115"/>
    </row>
    <row r="14258" spans="1:5" ht="13">
      <c r="A14258" s="115"/>
      <c r="B14258" s="115"/>
      <c r="C14258" s="115"/>
      <c r="D14258" s="115"/>
      <c r="E14258" s="115"/>
    </row>
    <row r="14259" spans="1:5" ht="13">
      <c r="A14259" s="115"/>
      <c r="B14259" s="115"/>
      <c r="C14259" s="115"/>
      <c r="D14259" s="115"/>
      <c r="E14259" s="115"/>
    </row>
    <row r="14260" spans="1:5" ht="13">
      <c r="A14260" s="115"/>
      <c r="B14260" s="115"/>
      <c r="C14260" s="115"/>
      <c r="D14260" s="115"/>
      <c r="E14260" s="115"/>
    </row>
    <row r="14261" spans="1:5" ht="13">
      <c r="A14261" s="115"/>
      <c r="B14261" s="115"/>
      <c r="C14261" s="115"/>
      <c r="D14261" s="115"/>
      <c r="E14261" s="115"/>
    </row>
    <row r="14262" spans="1:5" ht="13">
      <c r="A14262" s="115"/>
      <c r="B14262" s="115"/>
      <c r="C14262" s="115"/>
      <c r="D14262" s="115"/>
      <c r="E14262" s="115"/>
    </row>
    <row r="14263" spans="1:5" ht="13">
      <c r="A14263" s="115"/>
      <c r="B14263" s="115"/>
      <c r="C14263" s="115"/>
      <c r="D14263" s="115"/>
      <c r="E14263" s="115"/>
    </row>
    <row r="14264" spans="1:5" ht="13">
      <c r="A14264" s="115"/>
      <c r="B14264" s="115"/>
      <c r="C14264" s="115"/>
      <c r="D14264" s="115"/>
      <c r="E14264" s="115"/>
    </row>
    <row r="14265" spans="1:5" ht="13">
      <c r="A14265" s="115"/>
      <c r="B14265" s="115"/>
      <c r="C14265" s="115"/>
      <c r="D14265" s="115"/>
      <c r="E14265" s="115"/>
    </row>
    <row r="14266" spans="1:5" ht="13">
      <c r="A14266" s="115"/>
      <c r="B14266" s="115"/>
      <c r="C14266" s="115"/>
      <c r="D14266" s="115"/>
      <c r="E14266" s="115"/>
    </row>
    <row r="14267" spans="1:5" ht="13">
      <c r="A14267" s="115"/>
      <c r="B14267" s="115"/>
      <c r="C14267" s="115"/>
      <c r="D14267" s="115"/>
      <c r="E14267" s="115"/>
    </row>
    <row r="14268" spans="1:5" ht="13">
      <c r="A14268" s="115"/>
      <c r="B14268" s="115"/>
      <c r="C14268" s="115"/>
      <c r="D14268" s="115"/>
      <c r="E14268" s="115"/>
    </row>
    <row r="14269" spans="1:5" ht="13">
      <c r="A14269" s="115"/>
      <c r="B14269" s="115"/>
      <c r="C14269" s="115"/>
      <c r="D14269" s="115"/>
      <c r="E14269" s="115"/>
    </row>
    <row r="14270" spans="1:5" ht="13">
      <c r="A14270" s="115"/>
      <c r="B14270" s="115"/>
      <c r="C14270" s="115"/>
      <c r="D14270" s="115"/>
      <c r="E14270" s="115"/>
    </row>
    <row r="14271" spans="1:5" ht="13">
      <c r="A14271" s="115"/>
      <c r="B14271" s="115"/>
      <c r="C14271" s="115"/>
      <c r="D14271" s="115"/>
      <c r="E14271" s="115"/>
    </row>
    <row r="14272" spans="1:5" ht="13">
      <c r="A14272" s="115"/>
      <c r="B14272" s="115"/>
      <c r="C14272" s="115"/>
      <c r="D14272" s="115"/>
      <c r="E14272" s="115"/>
    </row>
    <row r="14273" spans="1:5" ht="13">
      <c r="A14273" s="115"/>
      <c r="B14273" s="115"/>
      <c r="C14273" s="115"/>
      <c r="D14273" s="115"/>
      <c r="E14273" s="115"/>
    </row>
    <row r="14274" spans="1:5" ht="13">
      <c r="A14274" s="115"/>
      <c r="B14274" s="115"/>
      <c r="C14274" s="115"/>
      <c r="D14274" s="115"/>
      <c r="E14274" s="115"/>
    </row>
    <row r="14275" spans="1:5" ht="13">
      <c r="A14275" s="115"/>
      <c r="B14275" s="115"/>
      <c r="C14275" s="115"/>
      <c r="D14275" s="115"/>
      <c r="E14275" s="115"/>
    </row>
    <row r="14276" spans="1:5" ht="13">
      <c r="A14276" s="115"/>
      <c r="B14276" s="115"/>
      <c r="C14276" s="115"/>
      <c r="D14276" s="115"/>
      <c r="E14276" s="115"/>
    </row>
    <row r="14277" spans="1:5" ht="13">
      <c r="A14277" s="115"/>
      <c r="B14277" s="115"/>
      <c r="C14277" s="115"/>
      <c r="D14277" s="115"/>
      <c r="E14277" s="115"/>
    </row>
    <row r="14278" spans="1:5" ht="13">
      <c r="A14278" s="115"/>
      <c r="B14278" s="115"/>
      <c r="C14278" s="115"/>
      <c r="D14278" s="115"/>
      <c r="E14278" s="115"/>
    </row>
    <row r="14279" spans="1:5" ht="13">
      <c r="A14279" s="115"/>
      <c r="B14279" s="115"/>
      <c r="C14279" s="115"/>
      <c r="D14279" s="115"/>
      <c r="E14279" s="115"/>
    </row>
    <row r="14280" spans="1:5" ht="13">
      <c r="A14280" s="115"/>
      <c r="B14280" s="115"/>
      <c r="C14280" s="115"/>
      <c r="D14280" s="115"/>
      <c r="E14280" s="115"/>
    </row>
    <row r="14281" spans="1:5" ht="13">
      <c r="A14281" s="115"/>
      <c r="B14281" s="115"/>
      <c r="C14281" s="115"/>
      <c r="D14281" s="115"/>
      <c r="E14281" s="115"/>
    </row>
    <row r="14282" spans="1:5" ht="13">
      <c r="A14282" s="115"/>
      <c r="B14282" s="115"/>
      <c r="C14282" s="115"/>
      <c r="D14282" s="115"/>
      <c r="E14282" s="115"/>
    </row>
    <row r="14283" spans="1:5" ht="13">
      <c r="A14283" s="115"/>
      <c r="B14283" s="115"/>
      <c r="C14283" s="115"/>
      <c r="D14283" s="115"/>
      <c r="E14283" s="115"/>
    </row>
    <row r="14284" spans="1:5" ht="13">
      <c r="A14284" s="115"/>
      <c r="B14284" s="115"/>
      <c r="C14284" s="115"/>
      <c r="D14284" s="115"/>
      <c r="E14284" s="115"/>
    </row>
    <row r="14285" spans="1:5" ht="13">
      <c r="A14285" s="115"/>
      <c r="B14285" s="115"/>
      <c r="C14285" s="115"/>
      <c r="D14285" s="115"/>
      <c r="E14285" s="115"/>
    </row>
    <row r="14286" spans="1:5" ht="13">
      <c r="A14286" s="115"/>
      <c r="B14286" s="115"/>
      <c r="C14286" s="115"/>
      <c r="D14286" s="115"/>
      <c r="E14286" s="115"/>
    </row>
    <row r="14287" spans="1:5" ht="13">
      <c r="A14287" s="115"/>
      <c r="B14287" s="115"/>
      <c r="C14287" s="115"/>
      <c r="D14287" s="115"/>
      <c r="E14287" s="115"/>
    </row>
    <row r="14288" spans="1:5" ht="13">
      <c r="A14288" s="115"/>
      <c r="B14288" s="115"/>
      <c r="C14288" s="115"/>
      <c r="D14288" s="115"/>
      <c r="E14288" s="115"/>
    </row>
    <row r="14289" spans="1:5" ht="13">
      <c r="A14289" s="115"/>
      <c r="B14289" s="115"/>
      <c r="C14289" s="115"/>
      <c r="D14289" s="115"/>
      <c r="E14289" s="115"/>
    </row>
    <row r="14290" spans="1:5" ht="13">
      <c r="A14290" s="115"/>
      <c r="B14290" s="115"/>
      <c r="C14290" s="115"/>
      <c r="D14290" s="115"/>
      <c r="E14290" s="115"/>
    </row>
    <row r="14291" spans="1:5" ht="13">
      <c r="A14291" s="115"/>
      <c r="B14291" s="115"/>
      <c r="C14291" s="115"/>
      <c r="D14291" s="115"/>
      <c r="E14291" s="115"/>
    </row>
    <row r="14292" spans="1:5" ht="13">
      <c r="A14292" s="115"/>
      <c r="B14292" s="115"/>
      <c r="C14292" s="115"/>
      <c r="D14292" s="115"/>
      <c r="E14292" s="115"/>
    </row>
    <row r="14293" spans="1:5" ht="13">
      <c r="A14293" s="115"/>
      <c r="B14293" s="115"/>
      <c r="C14293" s="115"/>
      <c r="D14293" s="115"/>
      <c r="E14293" s="115"/>
    </row>
    <row r="14294" spans="1:5" ht="13">
      <c r="A14294" s="115"/>
      <c r="B14294" s="115"/>
      <c r="C14294" s="115"/>
      <c r="D14294" s="115"/>
      <c r="E14294" s="115"/>
    </row>
    <row r="14295" spans="1:5" ht="13">
      <c r="A14295" s="115"/>
      <c r="B14295" s="115"/>
      <c r="C14295" s="115"/>
      <c r="D14295" s="115"/>
      <c r="E14295" s="115"/>
    </row>
    <row r="14296" spans="1:5" ht="13">
      <c r="A14296" s="115"/>
      <c r="B14296" s="115"/>
      <c r="C14296" s="115"/>
      <c r="D14296" s="115"/>
      <c r="E14296" s="115"/>
    </row>
    <row r="14297" spans="1:5" ht="13">
      <c r="A14297" s="115"/>
      <c r="B14297" s="115"/>
      <c r="C14297" s="115"/>
      <c r="D14297" s="115"/>
      <c r="E14297" s="115"/>
    </row>
    <row r="14298" spans="1:5" ht="13">
      <c r="A14298" s="115"/>
      <c r="B14298" s="115"/>
      <c r="C14298" s="115"/>
      <c r="D14298" s="115"/>
      <c r="E14298" s="115"/>
    </row>
    <row r="14299" spans="1:5" ht="13">
      <c r="A14299" s="115"/>
      <c r="B14299" s="115"/>
      <c r="C14299" s="115"/>
      <c r="D14299" s="115"/>
      <c r="E14299" s="115"/>
    </row>
    <row r="14300" spans="1:5" ht="13">
      <c r="A14300" s="115"/>
      <c r="B14300" s="115"/>
      <c r="C14300" s="115"/>
      <c r="D14300" s="115"/>
      <c r="E14300" s="115"/>
    </row>
    <row r="14301" spans="1:5" ht="13">
      <c r="A14301" s="115"/>
      <c r="B14301" s="115"/>
      <c r="C14301" s="115"/>
      <c r="D14301" s="115"/>
      <c r="E14301" s="115"/>
    </row>
    <row r="14302" spans="1:5" ht="13">
      <c r="A14302" s="115"/>
      <c r="B14302" s="115"/>
      <c r="C14302" s="115"/>
      <c r="D14302" s="115"/>
      <c r="E14302" s="115"/>
    </row>
    <row r="14303" spans="1:5" ht="13">
      <c r="A14303" s="115"/>
      <c r="B14303" s="115"/>
      <c r="C14303" s="115"/>
      <c r="D14303" s="115"/>
      <c r="E14303" s="115"/>
    </row>
    <row r="14304" spans="1:5" ht="13">
      <c r="A14304" s="115"/>
      <c r="B14304" s="115"/>
      <c r="C14304" s="115"/>
      <c r="D14304" s="115"/>
      <c r="E14304" s="115"/>
    </row>
    <row r="14305" spans="1:5" ht="13">
      <c r="A14305" s="115"/>
      <c r="B14305" s="115"/>
      <c r="C14305" s="115"/>
      <c r="D14305" s="115"/>
      <c r="E14305" s="115"/>
    </row>
    <row r="14306" spans="1:5" ht="13">
      <c r="A14306" s="115"/>
      <c r="B14306" s="115"/>
      <c r="C14306" s="115"/>
      <c r="D14306" s="115"/>
      <c r="E14306" s="115"/>
    </row>
    <row r="14307" spans="1:5" ht="13">
      <c r="A14307" s="115"/>
      <c r="B14307" s="115"/>
      <c r="C14307" s="115"/>
      <c r="D14307" s="115"/>
      <c r="E14307" s="115"/>
    </row>
    <row r="14308" spans="1:5" ht="13">
      <c r="A14308" s="115"/>
      <c r="B14308" s="115"/>
      <c r="C14308" s="115"/>
      <c r="D14308" s="115"/>
      <c r="E14308" s="115"/>
    </row>
    <row r="14309" spans="1:5" ht="13">
      <c r="A14309" s="115"/>
      <c r="B14309" s="115"/>
      <c r="C14309" s="115"/>
      <c r="D14309" s="115"/>
      <c r="E14309" s="115"/>
    </row>
    <row r="14310" spans="1:5" ht="13">
      <c r="A14310" s="115"/>
      <c r="B14310" s="115"/>
      <c r="C14310" s="115"/>
      <c r="D14310" s="115"/>
      <c r="E14310" s="115"/>
    </row>
    <row r="14311" spans="1:5" ht="13">
      <c r="A14311" s="115"/>
      <c r="B14311" s="115"/>
      <c r="C14311" s="115"/>
      <c r="D14311" s="115"/>
      <c r="E14311" s="115"/>
    </row>
    <row r="14312" spans="1:5" ht="13">
      <c r="A14312" s="115"/>
      <c r="B14312" s="115"/>
      <c r="C14312" s="115"/>
      <c r="D14312" s="115"/>
      <c r="E14312" s="115"/>
    </row>
    <row r="14313" spans="1:5" ht="13">
      <c r="A14313" s="115"/>
      <c r="B14313" s="115"/>
      <c r="C14313" s="115"/>
      <c r="D14313" s="115"/>
      <c r="E14313" s="115"/>
    </row>
    <row r="14314" spans="1:5" ht="13">
      <c r="A14314" s="115"/>
      <c r="B14314" s="115"/>
      <c r="C14314" s="115"/>
      <c r="D14314" s="115"/>
      <c r="E14314" s="115"/>
    </row>
    <row r="14315" spans="1:5" ht="13">
      <c r="A14315" s="115"/>
      <c r="B14315" s="115"/>
      <c r="C14315" s="115"/>
      <c r="D14315" s="115"/>
      <c r="E14315" s="115"/>
    </row>
    <row r="14316" spans="1:5" ht="13">
      <c r="A14316" s="115"/>
      <c r="B14316" s="115"/>
      <c r="C14316" s="115"/>
      <c r="D14316" s="115"/>
      <c r="E14316" s="115"/>
    </row>
    <row r="14317" spans="1:5" ht="13">
      <c r="A14317" s="115"/>
      <c r="B14317" s="115"/>
      <c r="C14317" s="115"/>
      <c r="D14317" s="115"/>
      <c r="E14317" s="115"/>
    </row>
    <row r="14318" spans="1:5" ht="13">
      <c r="A14318" s="115"/>
      <c r="B14318" s="115"/>
      <c r="C14318" s="115"/>
      <c r="D14318" s="115"/>
      <c r="E14318" s="115"/>
    </row>
    <row r="14319" spans="1:5" ht="13">
      <c r="A14319" s="115"/>
      <c r="B14319" s="115"/>
      <c r="C14319" s="115"/>
      <c r="D14319" s="115"/>
      <c r="E14319" s="115"/>
    </row>
    <row r="14320" spans="1:5" ht="13">
      <c r="A14320" s="115"/>
      <c r="B14320" s="115"/>
      <c r="C14320" s="115"/>
      <c r="D14320" s="115"/>
      <c r="E14320" s="115"/>
    </row>
    <row r="14321" spans="1:5" ht="13">
      <c r="A14321" s="115"/>
      <c r="B14321" s="115"/>
      <c r="C14321" s="115"/>
      <c r="D14321" s="115"/>
      <c r="E14321" s="115"/>
    </row>
    <row r="14322" spans="1:5" ht="13">
      <c r="A14322" s="115"/>
      <c r="B14322" s="115"/>
      <c r="C14322" s="115"/>
      <c r="D14322" s="115"/>
      <c r="E14322" s="115"/>
    </row>
    <row r="14323" spans="1:5" ht="13">
      <c r="A14323" s="115"/>
      <c r="B14323" s="115"/>
      <c r="C14323" s="115"/>
      <c r="D14323" s="115"/>
      <c r="E14323" s="115"/>
    </row>
    <row r="14324" spans="1:5" ht="13">
      <c r="A14324" s="115"/>
      <c r="B14324" s="115"/>
      <c r="C14324" s="115"/>
      <c r="D14324" s="115"/>
      <c r="E14324" s="115"/>
    </row>
    <row r="14325" spans="1:5" ht="13">
      <c r="A14325" s="115"/>
      <c r="B14325" s="115"/>
      <c r="C14325" s="115"/>
      <c r="D14325" s="115"/>
      <c r="E14325" s="115"/>
    </row>
    <row r="14326" spans="1:5" ht="13">
      <c r="A14326" s="115"/>
      <c r="B14326" s="115"/>
      <c r="C14326" s="115"/>
      <c r="D14326" s="115"/>
      <c r="E14326" s="115"/>
    </row>
    <row r="14327" spans="1:5" ht="13">
      <c r="A14327" s="115"/>
      <c r="B14327" s="115"/>
      <c r="C14327" s="115"/>
      <c r="D14327" s="115"/>
      <c r="E14327" s="115"/>
    </row>
    <row r="14328" spans="1:5" ht="13">
      <c r="A14328" s="115"/>
      <c r="B14328" s="115"/>
      <c r="C14328" s="115"/>
      <c r="D14328" s="115"/>
      <c r="E14328" s="115"/>
    </row>
    <row r="14329" spans="1:5" ht="13">
      <c r="A14329" s="115"/>
      <c r="B14329" s="115"/>
      <c r="C14329" s="115"/>
      <c r="D14329" s="115"/>
      <c r="E14329" s="115"/>
    </row>
    <row r="14330" spans="1:5" ht="13">
      <c r="A14330" s="115"/>
      <c r="B14330" s="115"/>
      <c r="C14330" s="115"/>
      <c r="D14330" s="115"/>
      <c r="E14330" s="115"/>
    </row>
    <row r="14331" spans="1:5" ht="13">
      <c r="A14331" s="115"/>
      <c r="B14331" s="115"/>
      <c r="C14331" s="115"/>
      <c r="D14331" s="115"/>
      <c r="E14331" s="115"/>
    </row>
    <row r="14332" spans="1:5" ht="13">
      <c r="A14332" s="115"/>
      <c r="B14332" s="115"/>
      <c r="C14332" s="115"/>
      <c r="D14332" s="115"/>
      <c r="E14332" s="115"/>
    </row>
    <row r="14333" spans="1:5" ht="13">
      <c r="A14333" s="115"/>
      <c r="B14333" s="115"/>
      <c r="C14333" s="115"/>
      <c r="D14333" s="115"/>
      <c r="E14333" s="115"/>
    </row>
    <row r="14334" spans="1:5" ht="13">
      <c r="A14334" s="115"/>
      <c r="B14334" s="115"/>
      <c r="C14334" s="115"/>
      <c r="D14334" s="115"/>
      <c r="E14334" s="115"/>
    </row>
    <row r="14335" spans="1:5" ht="13">
      <c r="A14335" s="115"/>
      <c r="B14335" s="115"/>
      <c r="C14335" s="115"/>
      <c r="D14335" s="115"/>
      <c r="E14335" s="115"/>
    </row>
    <row r="14336" spans="1:5" ht="13">
      <c r="A14336" s="115"/>
      <c r="B14336" s="115"/>
      <c r="C14336" s="115"/>
      <c r="D14336" s="115"/>
      <c r="E14336" s="115"/>
    </row>
    <row r="14337" spans="1:5" ht="13">
      <c r="A14337" s="115"/>
      <c r="B14337" s="115"/>
      <c r="C14337" s="115"/>
      <c r="D14337" s="115"/>
      <c r="E14337" s="115"/>
    </row>
    <row r="14338" spans="1:5" ht="13">
      <c r="A14338" s="115"/>
      <c r="B14338" s="115"/>
      <c r="C14338" s="115"/>
      <c r="D14338" s="115"/>
      <c r="E14338" s="115"/>
    </row>
    <row r="14339" spans="1:5" ht="13">
      <c r="A14339" s="115"/>
      <c r="B14339" s="115"/>
      <c r="C14339" s="115"/>
      <c r="D14339" s="115"/>
      <c r="E14339" s="115"/>
    </row>
    <row r="14340" spans="1:5" ht="13">
      <c r="A14340" s="115"/>
      <c r="B14340" s="115"/>
      <c r="C14340" s="115"/>
      <c r="D14340" s="115"/>
      <c r="E14340" s="115"/>
    </row>
    <row r="14341" spans="1:5" ht="13">
      <c r="A14341" s="115"/>
      <c r="B14341" s="115"/>
      <c r="C14341" s="115"/>
      <c r="D14341" s="115"/>
      <c r="E14341" s="115"/>
    </row>
    <row r="14342" spans="1:5" ht="13">
      <c r="A14342" s="115"/>
      <c r="B14342" s="115"/>
      <c r="C14342" s="115"/>
      <c r="D14342" s="115"/>
      <c r="E14342" s="115"/>
    </row>
    <row r="14343" spans="1:5" ht="13">
      <c r="A14343" s="115"/>
      <c r="B14343" s="115"/>
      <c r="C14343" s="115"/>
      <c r="D14343" s="115"/>
      <c r="E14343" s="115"/>
    </row>
    <row r="14344" spans="1:5" ht="13">
      <c r="A14344" s="115"/>
      <c r="B14344" s="115"/>
      <c r="C14344" s="115"/>
      <c r="D14344" s="115"/>
      <c r="E14344" s="115"/>
    </row>
    <row r="14345" spans="1:5" ht="13">
      <c r="A14345" s="115"/>
      <c r="B14345" s="115"/>
      <c r="C14345" s="115"/>
      <c r="D14345" s="115"/>
      <c r="E14345" s="115"/>
    </row>
    <row r="14346" spans="1:5" ht="13">
      <c r="A14346" s="115"/>
      <c r="B14346" s="115"/>
      <c r="C14346" s="115"/>
      <c r="D14346" s="115"/>
      <c r="E14346" s="115"/>
    </row>
    <row r="14347" spans="1:5" ht="13">
      <c r="A14347" s="115"/>
      <c r="B14347" s="115"/>
      <c r="C14347" s="115"/>
      <c r="D14347" s="115"/>
      <c r="E14347" s="115"/>
    </row>
    <row r="14348" spans="1:5" ht="13">
      <c r="A14348" s="115"/>
      <c r="B14348" s="115"/>
      <c r="C14348" s="115"/>
      <c r="D14348" s="115"/>
      <c r="E14348" s="115"/>
    </row>
    <row r="14349" spans="1:5" ht="13">
      <c r="A14349" s="115"/>
      <c r="B14349" s="115"/>
      <c r="C14349" s="115"/>
      <c r="D14349" s="115"/>
      <c r="E14349" s="115"/>
    </row>
    <row r="14350" spans="1:5" ht="13">
      <c r="A14350" s="115"/>
      <c r="B14350" s="115"/>
      <c r="C14350" s="115"/>
      <c r="D14350" s="115"/>
      <c r="E14350" s="115"/>
    </row>
    <row r="14351" spans="1:5" ht="13">
      <c r="A14351" s="115"/>
      <c r="B14351" s="115"/>
      <c r="C14351" s="115"/>
      <c r="D14351" s="115"/>
      <c r="E14351" s="115"/>
    </row>
    <row r="14352" spans="1:5" ht="13">
      <c r="A14352" s="115"/>
      <c r="B14352" s="115"/>
      <c r="C14352" s="115"/>
      <c r="D14352" s="115"/>
      <c r="E14352" s="115"/>
    </row>
    <row r="14353" spans="1:5" ht="13">
      <c r="A14353" s="115"/>
      <c r="B14353" s="115"/>
      <c r="C14353" s="115"/>
      <c r="D14353" s="115"/>
      <c r="E14353" s="115"/>
    </row>
    <row r="14354" spans="1:5" ht="13">
      <c r="A14354" s="115"/>
      <c r="B14354" s="115"/>
      <c r="C14354" s="115"/>
      <c r="D14354" s="115"/>
      <c r="E14354" s="115"/>
    </row>
    <row r="14355" spans="1:5" ht="13">
      <c r="A14355" s="115"/>
      <c r="B14355" s="115"/>
      <c r="C14355" s="115"/>
      <c r="D14355" s="115"/>
      <c r="E14355" s="115"/>
    </row>
    <row r="14356" spans="1:5" ht="13">
      <c r="A14356" s="115"/>
      <c r="B14356" s="115"/>
      <c r="C14356" s="115"/>
      <c r="D14356" s="115"/>
      <c r="E14356" s="115"/>
    </row>
    <row r="14357" spans="1:5" ht="13">
      <c r="A14357" s="115"/>
      <c r="B14357" s="115"/>
      <c r="C14357" s="115"/>
      <c r="D14357" s="115"/>
      <c r="E14357" s="115"/>
    </row>
    <row r="14358" spans="1:5" ht="13">
      <c r="A14358" s="115"/>
      <c r="B14358" s="115"/>
      <c r="C14358" s="115"/>
      <c r="D14358" s="115"/>
      <c r="E14358" s="115"/>
    </row>
    <row r="14359" spans="1:5" ht="13">
      <c r="A14359" s="115"/>
      <c r="B14359" s="115"/>
      <c r="C14359" s="115"/>
      <c r="D14359" s="115"/>
      <c r="E14359" s="115"/>
    </row>
    <row r="14360" spans="1:5" ht="13">
      <c r="A14360" s="115"/>
      <c r="B14360" s="115"/>
      <c r="C14360" s="115"/>
      <c r="D14360" s="115"/>
      <c r="E14360" s="115"/>
    </row>
    <row r="14361" spans="1:5" ht="13">
      <c r="A14361" s="115"/>
      <c r="B14361" s="115"/>
      <c r="C14361" s="115"/>
      <c r="D14361" s="115"/>
      <c r="E14361" s="115"/>
    </row>
    <row r="14362" spans="1:5" ht="13">
      <c r="A14362" s="115"/>
      <c r="B14362" s="115"/>
      <c r="C14362" s="115"/>
      <c r="D14362" s="115"/>
      <c r="E14362" s="115"/>
    </row>
    <row r="14363" spans="1:5" ht="13">
      <c r="A14363" s="115"/>
      <c r="B14363" s="115"/>
      <c r="C14363" s="115"/>
      <c r="D14363" s="115"/>
      <c r="E14363" s="115"/>
    </row>
    <row r="14364" spans="1:5" ht="13">
      <c r="A14364" s="115"/>
      <c r="B14364" s="115"/>
      <c r="C14364" s="115"/>
      <c r="D14364" s="115"/>
      <c r="E14364" s="115"/>
    </row>
    <row r="14365" spans="1:5" ht="13">
      <c r="A14365" s="115"/>
      <c r="B14365" s="115"/>
      <c r="C14365" s="115"/>
      <c r="D14365" s="115"/>
      <c r="E14365" s="115"/>
    </row>
    <row r="14366" spans="1:5" ht="13">
      <c r="A14366" s="115"/>
      <c r="B14366" s="115"/>
      <c r="C14366" s="115"/>
      <c r="D14366" s="115"/>
      <c r="E14366" s="115"/>
    </row>
    <row r="14367" spans="1:5" ht="13">
      <c r="A14367" s="115"/>
      <c r="B14367" s="115"/>
      <c r="C14367" s="115"/>
      <c r="D14367" s="115"/>
      <c r="E14367" s="115"/>
    </row>
    <row r="14368" spans="1:5" ht="13">
      <c r="A14368" s="115"/>
      <c r="B14368" s="115"/>
      <c r="C14368" s="115"/>
      <c r="D14368" s="115"/>
      <c r="E14368" s="115"/>
    </row>
    <row r="14369" spans="1:5" ht="13">
      <c r="A14369" s="115"/>
      <c r="B14369" s="115"/>
      <c r="C14369" s="115"/>
      <c r="D14369" s="115"/>
      <c r="E14369" s="115"/>
    </row>
    <row r="14370" spans="1:5" ht="13">
      <c r="A14370" s="115"/>
      <c r="B14370" s="115"/>
      <c r="C14370" s="115"/>
      <c r="D14370" s="115"/>
      <c r="E14370" s="115"/>
    </row>
    <row r="14371" spans="1:5" ht="13">
      <c r="A14371" s="115"/>
      <c r="B14371" s="115"/>
      <c r="C14371" s="115"/>
      <c r="D14371" s="115"/>
      <c r="E14371" s="115"/>
    </row>
    <row r="14372" spans="1:5" ht="13">
      <c r="A14372" s="115"/>
      <c r="B14372" s="115"/>
      <c r="C14372" s="115"/>
      <c r="D14372" s="115"/>
      <c r="E14372" s="115"/>
    </row>
    <row r="14373" spans="1:5" ht="13">
      <c r="A14373" s="115"/>
      <c r="B14373" s="115"/>
      <c r="C14373" s="115"/>
      <c r="D14373" s="115"/>
      <c r="E14373" s="115"/>
    </row>
    <row r="14374" spans="1:5" ht="13">
      <c r="A14374" s="115"/>
      <c r="B14374" s="115"/>
      <c r="C14374" s="115"/>
      <c r="D14374" s="115"/>
      <c r="E14374" s="115"/>
    </row>
    <row r="14375" spans="1:5" ht="13">
      <c r="A14375" s="115"/>
      <c r="B14375" s="115"/>
      <c r="C14375" s="115"/>
      <c r="D14375" s="115"/>
      <c r="E14375" s="115"/>
    </row>
    <row r="14376" spans="1:5" ht="13">
      <c r="A14376" s="115"/>
      <c r="B14376" s="115"/>
      <c r="C14376" s="115"/>
      <c r="D14376" s="115"/>
      <c r="E14376" s="115"/>
    </row>
    <row r="14377" spans="1:5" ht="13">
      <c r="A14377" s="115"/>
      <c r="B14377" s="115"/>
      <c r="C14377" s="115"/>
      <c r="D14377" s="115"/>
      <c r="E14377" s="115"/>
    </row>
    <row r="14378" spans="1:5" ht="13">
      <c r="A14378" s="115"/>
      <c r="B14378" s="115"/>
      <c r="C14378" s="115"/>
      <c r="D14378" s="115"/>
      <c r="E14378" s="115"/>
    </row>
    <row r="14379" spans="1:5" ht="13">
      <c r="A14379" s="115"/>
      <c r="B14379" s="115"/>
      <c r="C14379" s="115"/>
      <c r="D14379" s="115"/>
      <c r="E14379" s="115"/>
    </row>
  </sheetData>
  <mergeCells count="2">
    <mergeCell ref="F3:P3"/>
    <mergeCell ref="T3:AV3"/>
  </mergeCells>
  <hyperlinks>
    <hyperlink ref="D1" r:id="rId1" xr:uid="{00000000-0004-0000-0400-000000000000}"/>
    <hyperlink ref="W12" r:id="rId2" xr:uid="{00000000-0004-0000-0400-000001000000}"/>
    <hyperlink ref="W13" r:id="rId3" xr:uid="{00000000-0004-0000-0400-000002000000}"/>
    <hyperlink ref="W14" r:id="rId4" xr:uid="{00000000-0004-0000-0400-000003000000}"/>
    <hyperlink ref="W16" r:id="rId5" xr:uid="{00000000-0004-0000-0400-000004000000}"/>
    <hyperlink ref="W17" r:id="rId6" xr:uid="{00000000-0004-0000-0400-000005000000}"/>
    <hyperlink ref="W18" r:id="rId7" xr:uid="{00000000-0004-0000-0400-000006000000}"/>
    <hyperlink ref="W19" r:id="rId8" xr:uid="{00000000-0004-0000-0400-000007000000}"/>
    <hyperlink ref="W20" r:id="rId9" xr:uid="{00000000-0004-0000-0400-000008000000}"/>
    <hyperlink ref="W21" r:id="rId10" xr:uid="{00000000-0004-0000-0400-000009000000}"/>
    <hyperlink ref="W22" r:id="rId11" xr:uid="{00000000-0004-0000-0400-00000A000000}"/>
    <hyperlink ref="W23" r:id="rId12" xr:uid="{00000000-0004-0000-0400-00000B000000}"/>
    <hyperlink ref="W24" r:id="rId13" xr:uid="{00000000-0004-0000-0400-00000C000000}"/>
    <hyperlink ref="W25" r:id="rId14" xr:uid="{00000000-0004-0000-0400-00000D000000}"/>
    <hyperlink ref="W26" r:id="rId15" xr:uid="{00000000-0004-0000-0400-00000E000000}"/>
    <hyperlink ref="W27" r:id="rId16" xr:uid="{00000000-0004-0000-0400-00000F000000}"/>
    <hyperlink ref="W28" r:id="rId17" xr:uid="{00000000-0004-0000-0400-000010000000}"/>
    <hyperlink ref="W35" r:id="rId18" xr:uid="{00000000-0004-0000-0400-000011000000}"/>
    <hyperlink ref="W36" r:id="rId19" xr:uid="{00000000-0004-0000-0400-000012000000}"/>
    <hyperlink ref="W38" r:id="rId20" xr:uid="{00000000-0004-0000-0400-000013000000}"/>
    <hyperlink ref="W39" r:id="rId21" xr:uid="{00000000-0004-0000-0400-000014000000}"/>
    <hyperlink ref="W42" r:id="rId22" xr:uid="{00000000-0004-0000-0400-000015000000}"/>
    <hyperlink ref="W43" r:id="rId23" xr:uid="{00000000-0004-0000-0400-000016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00"/>
    <outlinePr summaryBelow="0" summaryRight="0"/>
    <pageSetUpPr fitToPage="1"/>
  </sheetPr>
  <dimension ref="A1:AB1005"/>
  <sheetViews>
    <sheetView showGridLines="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C9" sqref="C9"/>
    </sheetView>
  </sheetViews>
  <sheetFormatPr baseColWidth="10" defaultColWidth="14.5" defaultRowHeight="15.75" customHeight="1" outlineLevelRow="1"/>
  <cols>
    <col min="1" max="1" width="34.5" customWidth="1"/>
    <col min="2" max="2" width="7.83203125" customWidth="1"/>
    <col min="3" max="4" width="8.83203125" customWidth="1"/>
    <col min="5" max="5" width="11.5" customWidth="1"/>
    <col min="6" max="10" width="8.83203125" customWidth="1"/>
    <col min="11" max="11" width="10.33203125" customWidth="1"/>
    <col min="12" max="15" width="7.83203125" customWidth="1"/>
    <col min="16" max="21" width="10.33203125" customWidth="1"/>
  </cols>
  <sheetData>
    <row r="1" spans="1:28">
      <c r="A1" s="59" t="s">
        <v>170</v>
      </c>
      <c r="J1" s="116"/>
      <c r="K1" s="116"/>
      <c r="L1" s="116"/>
      <c r="M1" s="116"/>
      <c r="N1" s="116"/>
      <c r="O1" s="117"/>
    </row>
    <row r="2" spans="1:28" ht="15.75" customHeight="1">
      <c r="A2" s="44"/>
      <c r="B2" s="44"/>
      <c r="C2" s="118" t="str">
        <f t="shared" ref="C2:K2" si="0">C5</f>
        <v>security #</v>
      </c>
      <c r="D2" s="119" t="str">
        <f t="shared" si="0"/>
        <v>Asset Class</v>
      </c>
      <c r="E2" s="118" t="str">
        <f t="shared" si="0"/>
        <v>Ticker Code</v>
      </c>
      <c r="F2" s="119">
        <f t="shared" si="0"/>
        <v>0</v>
      </c>
      <c r="G2" s="119">
        <f t="shared" si="0"/>
        <v>0</v>
      </c>
      <c r="H2" s="119">
        <f t="shared" si="0"/>
        <v>0</v>
      </c>
      <c r="I2" s="119">
        <f t="shared" si="0"/>
        <v>0</v>
      </c>
      <c r="J2" s="120">
        <f t="shared" si="0"/>
        <v>0</v>
      </c>
      <c r="K2" s="120">
        <f t="shared" si="0"/>
        <v>0</v>
      </c>
      <c r="L2" s="116"/>
      <c r="M2" s="116"/>
      <c r="N2" s="121" t="s">
        <v>171</v>
      </c>
      <c r="O2" s="116"/>
      <c r="P2" s="117"/>
    </row>
    <row r="3" spans="1:28" ht="15.75" customHeight="1">
      <c r="A3" s="3" t="s">
        <v>172</v>
      </c>
      <c r="C3" s="10" t="str">
        <f>IF(C6="",A3,C6)</f>
        <v>(ticker code list will be automatically updated</v>
      </c>
      <c r="D3" s="96">
        <f t="shared" ref="D3:L3" si="1">IF(D6="",C3,D6)</f>
        <v>1</v>
      </c>
      <c r="E3" s="96">
        <f t="shared" si="1"/>
        <v>2</v>
      </c>
      <c r="F3" s="96">
        <f t="shared" si="1"/>
        <v>3</v>
      </c>
      <c r="G3" s="96">
        <f t="shared" si="1"/>
        <v>4</v>
      </c>
      <c r="H3" s="96">
        <f t="shared" si="1"/>
        <v>5</v>
      </c>
      <c r="I3" s="96">
        <f t="shared" si="1"/>
        <v>6</v>
      </c>
      <c r="J3" s="116">
        <f t="shared" si="1"/>
        <v>7</v>
      </c>
      <c r="K3" s="116">
        <f t="shared" si="1"/>
        <v>8</v>
      </c>
      <c r="L3" s="116">
        <f t="shared" si="1"/>
        <v>9</v>
      </c>
      <c r="M3" s="116"/>
      <c r="O3" s="117"/>
    </row>
    <row r="4" spans="1:28" ht="15.75" customHeight="1">
      <c r="A4" s="3" t="s">
        <v>173</v>
      </c>
      <c r="D4" s="96" t="str">
        <f t="shared" ref="D4:N4" si="2">D11</f>
        <v>AMZN</v>
      </c>
      <c r="E4" s="101" t="str">
        <f t="shared" si="2"/>
        <v>0700.HK</v>
      </c>
      <c r="F4" s="122" t="str">
        <f t="shared" si="2"/>
        <v>600519.SS</v>
      </c>
      <c r="G4" s="101" t="str">
        <f t="shared" si="2"/>
        <v>MC.PA</v>
      </c>
      <c r="H4" s="96" t="str">
        <f t="shared" si="2"/>
        <v>XS2106834299</v>
      </c>
      <c r="I4" s="96" t="str">
        <f t="shared" si="2"/>
        <v>GS</v>
      </c>
      <c r="J4" s="116" t="str">
        <f t="shared" si="2"/>
        <v>UGI220414P00045000</v>
      </c>
      <c r="K4" s="116" t="str">
        <f t="shared" si="2"/>
        <v>UGI220414P00040000</v>
      </c>
      <c r="L4" s="116" t="str">
        <f t="shared" si="2"/>
        <v>TSLA</v>
      </c>
      <c r="M4" s="116" t="str">
        <f t="shared" si="2"/>
        <v/>
      </c>
      <c r="N4" s="116" t="str">
        <f t="shared" si="2"/>
        <v/>
      </c>
      <c r="O4" s="117"/>
    </row>
    <row r="5" spans="1:28" ht="15.75" customHeight="1">
      <c r="C5" s="76" t="s">
        <v>152</v>
      </c>
      <c r="D5" s="10" t="s">
        <v>110</v>
      </c>
      <c r="E5" s="76" t="s">
        <v>109</v>
      </c>
      <c r="F5" s="10"/>
      <c r="G5" s="10"/>
      <c r="H5" s="10"/>
      <c r="I5" s="10"/>
      <c r="J5" s="116"/>
      <c r="K5" s="116"/>
      <c r="L5" s="116"/>
      <c r="M5" s="116"/>
      <c r="N5" s="116"/>
      <c r="O5" s="117"/>
    </row>
    <row r="6" spans="1:28" ht="15.75" customHeight="1" outlineLevel="1">
      <c r="C6" s="44"/>
      <c r="D6" s="123">
        <v>1</v>
      </c>
      <c r="E6" s="123">
        <v>2</v>
      </c>
      <c r="F6" s="123">
        <v>3</v>
      </c>
      <c r="G6" s="123">
        <v>4</v>
      </c>
      <c r="H6" s="123">
        <v>5</v>
      </c>
      <c r="I6" s="123">
        <v>6</v>
      </c>
      <c r="J6" s="124">
        <v>7</v>
      </c>
      <c r="K6" s="124">
        <v>8</v>
      </c>
      <c r="L6" s="124">
        <v>9</v>
      </c>
      <c r="M6" s="124" t="s">
        <v>174</v>
      </c>
      <c r="N6" s="124"/>
      <c r="O6" s="125"/>
      <c r="P6" s="44"/>
      <c r="Q6" s="44"/>
      <c r="R6" s="44"/>
      <c r="S6" s="44"/>
      <c r="T6" s="44"/>
      <c r="U6" s="44"/>
      <c r="V6" s="44"/>
      <c r="W6" s="44"/>
      <c r="X6" s="126"/>
      <c r="Y6" s="126"/>
      <c r="Z6" s="44"/>
      <c r="AA6" s="44"/>
      <c r="AB6" s="44"/>
    </row>
    <row r="7" spans="1:28" ht="15.75" customHeight="1" outlineLevel="1">
      <c r="A7" s="44"/>
      <c r="B7" s="44"/>
      <c r="C7" s="46" t="s">
        <v>16</v>
      </c>
      <c r="D7" s="46" t="s">
        <v>16</v>
      </c>
      <c r="E7" s="46" t="s">
        <v>16</v>
      </c>
      <c r="F7" s="46" t="s">
        <v>16</v>
      </c>
      <c r="G7" s="46" t="s">
        <v>16</v>
      </c>
      <c r="H7" s="46" t="s">
        <v>18</v>
      </c>
      <c r="I7" s="46" t="s">
        <v>16</v>
      </c>
      <c r="J7" s="127" t="s">
        <v>21</v>
      </c>
      <c r="K7" s="127" t="s">
        <v>21</v>
      </c>
      <c r="L7" s="127" t="s">
        <v>16</v>
      </c>
      <c r="M7" s="127" t="s">
        <v>18</v>
      </c>
      <c r="N7" s="127" t="s">
        <v>16</v>
      </c>
      <c r="O7" s="128"/>
      <c r="X7" s="31"/>
      <c r="Y7" s="31"/>
    </row>
    <row r="8" spans="1:28" ht="15.75" customHeight="1" outlineLevel="1">
      <c r="A8" s="63" t="s">
        <v>96</v>
      </c>
      <c r="C8" s="46"/>
      <c r="D8" s="129" t="s">
        <v>42</v>
      </c>
      <c r="E8" s="130" t="s">
        <v>38</v>
      </c>
      <c r="F8" s="130" t="s">
        <v>40</v>
      </c>
      <c r="G8" s="130" t="s">
        <v>36</v>
      </c>
      <c r="H8" s="129" t="s">
        <v>7</v>
      </c>
      <c r="I8" s="129" t="s">
        <v>0</v>
      </c>
      <c r="J8" s="127" t="s">
        <v>4</v>
      </c>
      <c r="K8" s="127" t="s">
        <v>5</v>
      </c>
      <c r="L8" s="129" t="s">
        <v>89</v>
      </c>
      <c r="M8" s="129" t="s">
        <v>174</v>
      </c>
      <c r="N8" s="127" t="s">
        <v>174</v>
      </c>
      <c r="O8" s="128"/>
      <c r="X8" s="31"/>
      <c r="Y8" s="31"/>
    </row>
    <row r="9" spans="1:28" ht="15.75" customHeight="1" outlineLevel="1"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</row>
    <row r="10" spans="1:28" ht="15.75" customHeight="1" outlineLevel="1">
      <c r="A10" s="4"/>
      <c r="C10" s="52"/>
      <c r="D10" s="8" t="str">
        <f t="shared" ref="D10:N10" si="3">D7</f>
        <v>Stock</v>
      </c>
      <c r="E10" s="8" t="str">
        <f t="shared" si="3"/>
        <v>Stock</v>
      </c>
      <c r="F10" s="8" t="str">
        <f t="shared" si="3"/>
        <v>Stock</v>
      </c>
      <c r="G10" s="8" t="str">
        <f t="shared" si="3"/>
        <v>Stock</v>
      </c>
      <c r="H10" s="8" t="str">
        <f t="shared" si="3"/>
        <v>Bond</v>
      </c>
      <c r="I10" s="8" t="str">
        <f t="shared" si="3"/>
        <v>Stock</v>
      </c>
      <c r="J10" s="131" t="str">
        <f t="shared" si="3"/>
        <v>Option</v>
      </c>
      <c r="K10" s="131" t="str">
        <f t="shared" si="3"/>
        <v>Option</v>
      </c>
      <c r="L10" s="131" t="str">
        <f t="shared" si="3"/>
        <v>Stock</v>
      </c>
      <c r="M10" s="131" t="str">
        <f t="shared" si="3"/>
        <v>Bond</v>
      </c>
      <c r="N10" s="131" t="str">
        <f t="shared" si="3"/>
        <v>Stock</v>
      </c>
      <c r="O10" s="117"/>
      <c r="X10" s="31"/>
      <c r="Y10" s="31"/>
    </row>
    <row r="11" spans="1:28" ht="15.75" customHeight="1" outlineLevel="1">
      <c r="A11" s="4"/>
      <c r="C11" s="46">
        <f t="shared" ref="C11:AB11" si="4">C8</f>
        <v>0</v>
      </c>
      <c r="D11" s="129" t="str">
        <f t="shared" si="4"/>
        <v>AMZN</v>
      </c>
      <c r="E11" s="130" t="str">
        <f t="shared" si="4"/>
        <v>0700.HK</v>
      </c>
      <c r="F11" s="132" t="str">
        <f t="shared" si="4"/>
        <v>600519.SS</v>
      </c>
      <c r="G11" s="130" t="str">
        <f t="shared" si="4"/>
        <v>MC.PA</v>
      </c>
      <c r="H11" s="129" t="str">
        <f t="shared" si="4"/>
        <v>XS2106834299</v>
      </c>
      <c r="I11" s="129" t="str">
        <f t="shared" si="4"/>
        <v>GS</v>
      </c>
      <c r="J11" s="127" t="str">
        <f t="shared" si="4"/>
        <v>UGI220414P00045000</v>
      </c>
      <c r="K11" s="127" t="str">
        <f t="shared" si="4"/>
        <v>UGI220414P00040000</v>
      </c>
      <c r="L11" s="127" t="str">
        <f t="shared" si="4"/>
        <v>TSLA</v>
      </c>
      <c r="M11" s="127" t="str">
        <f t="shared" si="4"/>
        <v/>
      </c>
      <c r="N11" s="127" t="str">
        <f t="shared" si="4"/>
        <v/>
      </c>
      <c r="O11" s="127">
        <f t="shared" si="4"/>
        <v>0</v>
      </c>
      <c r="P11" s="127">
        <f t="shared" si="4"/>
        <v>0</v>
      </c>
      <c r="Q11" s="127">
        <f t="shared" si="4"/>
        <v>0</v>
      </c>
      <c r="R11" s="127">
        <f t="shared" si="4"/>
        <v>0</v>
      </c>
      <c r="S11" s="127">
        <f t="shared" si="4"/>
        <v>0</v>
      </c>
      <c r="T11" s="127">
        <f t="shared" si="4"/>
        <v>0</v>
      </c>
      <c r="U11" s="127">
        <f t="shared" si="4"/>
        <v>0</v>
      </c>
      <c r="V11" s="127">
        <f t="shared" si="4"/>
        <v>0</v>
      </c>
      <c r="W11" s="127">
        <f t="shared" si="4"/>
        <v>0</v>
      </c>
      <c r="X11" s="127">
        <f t="shared" si="4"/>
        <v>0</v>
      </c>
      <c r="Y11" s="127">
        <f t="shared" si="4"/>
        <v>0</v>
      </c>
      <c r="Z11" s="127">
        <f t="shared" si="4"/>
        <v>0</v>
      </c>
      <c r="AA11" s="127">
        <f t="shared" si="4"/>
        <v>0</v>
      </c>
      <c r="AB11" s="127">
        <f t="shared" si="4"/>
        <v>0</v>
      </c>
    </row>
    <row r="12" spans="1:28" ht="15.75" customHeight="1" outlineLevel="1">
      <c r="A12" s="4"/>
      <c r="D12" s="43"/>
      <c r="F12" s="133"/>
      <c r="J12" s="116"/>
      <c r="K12" s="116"/>
      <c r="L12" s="116"/>
      <c r="M12" s="116"/>
      <c r="V12" s="31"/>
    </row>
    <row r="13" spans="1:28" ht="15.75" customHeight="1">
      <c r="A13" s="134">
        <v>44557</v>
      </c>
      <c r="B13" s="135" t="s">
        <v>175</v>
      </c>
      <c r="C13" s="136">
        <v>3420.74</v>
      </c>
      <c r="D13" s="136" t="e">
        <v>#N/A</v>
      </c>
      <c r="E13" s="136">
        <v>2168</v>
      </c>
      <c r="F13" s="136">
        <v>717</v>
      </c>
      <c r="G13" s="136"/>
      <c r="H13" s="136">
        <v>386.99</v>
      </c>
      <c r="I13" s="136"/>
      <c r="J13" s="136"/>
      <c r="K13" s="136"/>
      <c r="L13" s="27"/>
      <c r="M13" s="137"/>
      <c r="V13" s="31"/>
    </row>
    <row r="14" spans="1:28" ht="15.75" customHeight="1">
      <c r="A14" s="138">
        <v>44557</v>
      </c>
      <c r="B14" s="3" t="s">
        <v>176</v>
      </c>
      <c r="C14" s="139">
        <v>3458.86</v>
      </c>
      <c r="D14" s="139" t="e">
        <v>#N/A</v>
      </c>
      <c r="E14" s="139">
        <v>2168</v>
      </c>
      <c r="F14" s="139">
        <v>726.4</v>
      </c>
      <c r="G14" s="139"/>
      <c r="H14" s="139">
        <v>389.11</v>
      </c>
      <c r="I14" s="139"/>
      <c r="J14" s="139"/>
      <c r="K14" s="139"/>
      <c r="L14" s="133"/>
      <c r="M14" s="137"/>
      <c r="V14" s="31"/>
    </row>
    <row r="15" spans="1:28" ht="15.75" customHeight="1">
      <c r="A15" s="138">
        <v>44557</v>
      </c>
      <c r="B15" s="3" t="s">
        <v>177</v>
      </c>
      <c r="C15" s="139">
        <v>3384.31</v>
      </c>
      <c r="D15" s="139" t="e">
        <v>#N/A</v>
      </c>
      <c r="E15" s="139">
        <v>2112</v>
      </c>
      <c r="F15" s="139">
        <v>715.7</v>
      </c>
      <c r="G15" s="139"/>
      <c r="H15" s="139">
        <v>385</v>
      </c>
      <c r="I15" s="139"/>
      <c r="J15" s="139"/>
      <c r="K15" s="139"/>
      <c r="L15" s="133"/>
      <c r="M15" s="137"/>
      <c r="V15" s="31"/>
    </row>
    <row r="16" spans="1:28" ht="15.75" customHeight="1">
      <c r="A16" s="140">
        <v>44557</v>
      </c>
      <c r="B16" s="141" t="s">
        <v>178</v>
      </c>
      <c r="C16" s="142">
        <v>3393.39</v>
      </c>
      <c r="D16" s="142" t="e">
        <v>#N/A</v>
      </c>
      <c r="E16" s="142">
        <v>2131.8200000000002</v>
      </c>
      <c r="F16" s="142">
        <v>726.3</v>
      </c>
      <c r="G16" s="142"/>
      <c r="H16" s="142">
        <v>388.04</v>
      </c>
      <c r="I16" s="142">
        <v>6.0500000000000007</v>
      </c>
      <c r="J16" s="142">
        <v>4.1500000000000004</v>
      </c>
      <c r="K16" s="142"/>
      <c r="L16" s="133"/>
      <c r="M16" s="137"/>
      <c r="V16" s="31"/>
    </row>
    <row r="17" spans="1:22" ht="15.75" customHeight="1">
      <c r="A17" s="138">
        <v>44557</v>
      </c>
      <c r="B17" s="3" t="s">
        <v>14</v>
      </c>
      <c r="C17" s="139">
        <v>2934400</v>
      </c>
      <c r="D17" s="139" t="e">
        <v>#N/A</v>
      </c>
      <c r="E17" s="139">
        <v>3755590</v>
      </c>
      <c r="F17" s="139">
        <v>177954</v>
      </c>
      <c r="G17" s="139"/>
      <c r="H17" s="139">
        <v>1430400</v>
      </c>
      <c r="I17" s="139"/>
      <c r="J17" s="139"/>
      <c r="K17" s="139"/>
      <c r="L17" s="133"/>
      <c r="M17" s="137"/>
      <c r="V17" s="31"/>
    </row>
    <row r="18" spans="1:22" ht="15.75" customHeight="1">
      <c r="A18" s="138">
        <v>44557</v>
      </c>
      <c r="B18" s="3" t="s">
        <v>179</v>
      </c>
      <c r="C18" s="139" t="s">
        <v>174</v>
      </c>
      <c r="D18" s="139" t="s">
        <v>174</v>
      </c>
      <c r="E18" s="139" t="s">
        <v>174</v>
      </c>
      <c r="F18" s="139" t="s">
        <v>174</v>
      </c>
      <c r="G18" s="139">
        <v>12.44</v>
      </c>
      <c r="H18" s="139" t="s">
        <v>174</v>
      </c>
      <c r="I18" s="139"/>
      <c r="J18" s="139"/>
      <c r="K18" s="139"/>
      <c r="L18" s="133"/>
      <c r="M18" s="137"/>
      <c r="V18" s="31"/>
    </row>
    <row r="19" spans="1:22" ht="15.75" customHeight="1">
      <c r="A19" s="143">
        <v>44557</v>
      </c>
      <c r="B19" s="144" t="s">
        <v>180</v>
      </c>
      <c r="C19" s="145" t="s">
        <v>174</v>
      </c>
      <c r="D19" s="145" t="s">
        <v>174</v>
      </c>
      <c r="E19" s="145" t="s">
        <v>174</v>
      </c>
      <c r="F19" s="145" t="s">
        <v>174</v>
      </c>
      <c r="G19" s="145">
        <v>14.860000000000001</v>
      </c>
      <c r="H19" s="145" t="s">
        <v>174</v>
      </c>
      <c r="I19" s="145"/>
      <c r="J19" s="145"/>
      <c r="K19" s="145"/>
      <c r="L19" s="133"/>
      <c r="M19" s="137"/>
      <c r="V19" s="31"/>
    </row>
    <row r="20" spans="1:22" ht="15.75" customHeight="1">
      <c r="A20" s="134">
        <v>44558</v>
      </c>
      <c r="B20" s="135" t="s">
        <v>175</v>
      </c>
      <c r="C20" s="136">
        <v>3403.65</v>
      </c>
      <c r="D20" s="136">
        <v>457.8</v>
      </c>
      <c r="E20" s="136">
        <v>2133</v>
      </c>
      <c r="F20" s="136">
        <v>722.7</v>
      </c>
      <c r="G20" s="136"/>
      <c r="H20" s="136">
        <v>388.93</v>
      </c>
      <c r="I20" s="136"/>
      <c r="J20" s="136"/>
      <c r="K20" s="136"/>
      <c r="L20" s="133"/>
      <c r="M20" s="137"/>
      <c r="V20" s="31"/>
    </row>
    <row r="21" spans="1:22" ht="15.75" customHeight="1">
      <c r="A21" s="138">
        <v>44558</v>
      </c>
      <c r="B21" s="3" t="s">
        <v>176</v>
      </c>
      <c r="C21" s="139">
        <v>3443.52</v>
      </c>
      <c r="D21" s="139">
        <v>459.2</v>
      </c>
      <c r="E21" s="139">
        <v>2155.5</v>
      </c>
      <c r="F21" s="139">
        <v>730.8</v>
      </c>
      <c r="G21" s="139"/>
      <c r="H21" s="139">
        <v>391.33</v>
      </c>
      <c r="I21" s="139"/>
      <c r="J21" s="139"/>
      <c r="K21" s="139"/>
      <c r="L21" s="133"/>
      <c r="M21" s="137"/>
      <c r="V21" s="31"/>
    </row>
    <row r="22" spans="1:22" ht="15.75" customHeight="1">
      <c r="A22" s="138">
        <v>44558</v>
      </c>
      <c r="B22" s="3" t="s">
        <v>177</v>
      </c>
      <c r="C22" s="139">
        <v>3382.71</v>
      </c>
      <c r="D22" s="139">
        <v>445</v>
      </c>
      <c r="E22" s="139">
        <v>2116.6</v>
      </c>
      <c r="F22" s="139">
        <v>720.1</v>
      </c>
      <c r="G22" s="139"/>
      <c r="H22" s="139">
        <v>386.24</v>
      </c>
      <c r="I22" s="139"/>
      <c r="J22" s="139"/>
      <c r="K22" s="139"/>
      <c r="L22" s="133"/>
      <c r="M22" s="137"/>
      <c r="V22" s="31"/>
    </row>
    <row r="23" spans="1:22" ht="15.75" customHeight="1">
      <c r="A23" s="140">
        <v>44558</v>
      </c>
      <c r="B23" s="141" t="s">
        <v>178</v>
      </c>
      <c r="C23" s="142">
        <v>3413.22</v>
      </c>
      <c r="D23" s="142">
        <v>450.4</v>
      </c>
      <c r="E23" s="142">
        <v>2138.1799999999998</v>
      </c>
      <c r="F23" s="142">
        <v>730.8</v>
      </c>
      <c r="G23" s="142"/>
      <c r="H23" s="142">
        <v>387.61</v>
      </c>
      <c r="I23" s="142">
        <v>5.95</v>
      </c>
      <c r="J23" s="142">
        <v>4.05</v>
      </c>
      <c r="K23" s="142"/>
      <c r="L23" s="133"/>
      <c r="M23" s="137"/>
      <c r="V23" s="31"/>
    </row>
    <row r="24" spans="1:22" ht="15.75" customHeight="1">
      <c r="A24" s="138">
        <v>44558</v>
      </c>
      <c r="B24" s="3" t="s">
        <v>14</v>
      </c>
      <c r="C24" s="139">
        <v>2731900</v>
      </c>
      <c r="D24" s="139">
        <v>18949609</v>
      </c>
      <c r="E24" s="139">
        <v>2765070</v>
      </c>
      <c r="F24" s="139">
        <v>217145</v>
      </c>
      <c r="G24" s="139"/>
      <c r="H24" s="139">
        <v>1528200</v>
      </c>
      <c r="I24" s="139"/>
      <c r="J24" s="139"/>
      <c r="K24" s="139"/>
      <c r="L24" s="133"/>
      <c r="M24" s="137"/>
      <c r="V24" s="31"/>
    </row>
    <row r="25" spans="1:22" ht="15.75" customHeight="1">
      <c r="A25" s="138">
        <v>44558</v>
      </c>
      <c r="B25" s="3" t="s">
        <v>179</v>
      </c>
      <c r="C25" s="139" t="s">
        <v>174</v>
      </c>
      <c r="D25" s="139" t="s">
        <v>174</v>
      </c>
      <c r="E25" s="139" t="s">
        <v>174</v>
      </c>
      <c r="F25" s="139" t="s">
        <v>174</v>
      </c>
      <c r="G25" s="139">
        <v>12.389999999999999</v>
      </c>
      <c r="H25" s="139" t="s">
        <v>174</v>
      </c>
      <c r="I25" s="139"/>
      <c r="J25" s="139"/>
      <c r="K25" s="139"/>
      <c r="L25" s="133"/>
      <c r="M25" s="137"/>
      <c r="V25" s="31"/>
    </row>
    <row r="26" spans="1:22" ht="15.75" customHeight="1">
      <c r="A26" s="143">
        <v>44558</v>
      </c>
      <c r="B26" s="144" t="s">
        <v>180</v>
      </c>
      <c r="C26" s="145" t="s">
        <v>174</v>
      </c>
      <c r="D26" s="145" t="s">
        <v>174</v>
      </c>
      <c r="E26" s="145" t="s">
        <v>174</v>
      </c>
      <c r="F26" s="145" t="s">
        <v>174</v>
      </c>
      <c r="G26" s="145">
        <v>14.81</v>
      </c>
      <c r="H26" s="145" t="s">
        <v>174</v>
      </c>
      <c r="I26" s="145"/>
      <c r="J26" s="145"/>
      <c r="K26" s="145"/>
      <c r="L26" s="133"/>
      <c r="M26" s="137"/>
      <c r="V26" s="31"/>
    </row>
    <row r="27" spans="1:22" ht="15.75" customHeight="1">
      <c r="A27" s="134">
        <v>44559</v>
      </c>
      <c r="B27" s="135" t="s">
        <v>175</v>
      </c>
      <c r="C27" s="136">
        <v>3416.8</v>
      </c>
      <c r="D27" s="136">
        <v>443.6</v>
      </c>
      <c r="E27" s="136">
        <v>2150</v>
      </c>
      <c r="F27" s="136">
        <v>730</v>
      </c>
      <c r="G27" s="136"/>
      <c r="H27" s="136">
        <v>387.97</v>
      </c>
      <c r="I27" s="136"/>
      <c r="J27" s="136"/>
      <c r="K27" s="136"/>
      <c r="L27" s="133"/>
      <c r="M27" s="137"/>
      <c r="V27" s="31"/>
    </row>
    <row r="28" spans="1:22" ht="15.75" customHeight="1">
      <c r="A28" s="138">
        <v>44559</v>
      </c>
      <c r="B28" s="3" t="s">
        <v>176</v>
      </c>
      <c r="C28" s="139">
        <v>3424.24</v>
      </c>
      <c r="D28" s="139">
        <v>445.6</v>
      </c>
      <c r="E28" s="139">
        <v>2154.25</v>
      </c>
      <c r="F28" s="139">
        <v>733.7</v>
      </c>
      <c r="G28" s="139"/>
      <c r="H28" s="139">
        <v>389.46</v>
      </c>
      <c r="I28" s="139"/>
      <c r="J28" s="139"/>
      <c r="K28" s="139"/>
      <c r="L28" s="133"/>
      <c r="M28" s="137"/>
      <c r="V28" s="31"/>
    </row>
    <row r="29" spans="1:22" ht="15.75" customHeight="1">
      <c r="A29" s="138">
        <v>44588</v>
      </c>
      <c r="B29" s="3" t="s">
        <v>9</v>
      </c>
      <c r="C29" s="139">
        <v>3372.01</v>
      </c>
      <c r="D29" s="139">
        <v>440.4</v>
      </c>
      <c r="E29" s="139">
        <v>2041</v>
      </c>
      <c r="F29" s="139">
        <v>725.7</v>
      </c>
      <c r="G29" s="139"/>
      <c r="H29" s="139">
        <v>384.42</v>
      </c>
      <c r="I29" s="139"/>
      <c r="J29" s="139"/>
      <c r="K29" s="139"/>
      <c r="L29" s="133"/>
      <c r="M29" s="137"/>
      <c r="V29" s="31"/>
    </row>
    <row r="30" spans="1:22" ht="15.75" customHeight="1">
      <c r="A30" s="140">
        <v>44588</v>
      </c>
      <c r="B30" s="141" t="s">
        <v>10</v>
      </c>
      <c r="C30" s="142">
        <v>3384.02</v>
      </c>
      <c r="D30" s="142">
        <v>444.8</v>
      </c>
      <c r="E30" s="142">
        <v>2041</v>
      </c>
      <c r="F30" s="142">
        <v>727.9</v>
      </c>
      <c r="G30" s="142"/>
      <c r="H30" s="142">
        <v>386.2</v>
      </c>
      <c r="I30" s="142">
        <v>5.85</v>
      </c>
      <c r="J30" s="142">
        <v>3.95</v>
      </c>
      <c r="K30" s="146"/>
      <c r="L30" s="27"/>
      <c r="M30" s="137"/>
      <c r="V30" s="31"/>
    </row>
    <row r="31" spans="1:22" ht="15.75" customHeight="1">
      <c r="A31" s="138">
        <v>44588</v>
      </c>
      <c r="B31" s="3" t="s">
        <v>11</v>
      </c>
      <c r="C31" s="139">
        <v>1787700</v>
      </c>
      <c r="D31" s="139">
        <v>9589399</v>
      </c>
      <c r="E31" s="139">
        <v>5404902</v>
      </c>
      <c r="F31" s="139">
        <v>168266</v>
      </c>
      <c r="G31" s="139"/>
      <c r="H31" s="139">
        <v>1327800</v>
      </c>
      <c r="I31" s="139"/>
      <c r="J31" s="139"/>
      <c r="K31" s="147"/>
      <c r="L31" s="27"/>
      <c r="M31" s="137"/>
      <c r="V31" s="31"/>
    </row>
    <row r="32" spans="1:22" ht="15.75" customHeight="1">
      <c r="A32" s="138">
        <v>44588</v>
      </c>
      <c r="B32" s="3" t="s">
        <v>181</v>
      </c>
      <c r="C32" s="139" t="s">
        <v>174</v>
      </c>
      <c r="D32" s="139" t="s">
        <v>174</v>
      </c>
      <c r="E32" s="139" t="s">
        <v>174</v>
      </c>
      <c r="F32" s="139" t="s">
        <v>174</v>
      </c>
      <c r="G32" s="139">
        <v>12.34</v>
      </c>
      <c r="H32" s="139" t="s">
        <v>174</v>
      </c>
      <c r="I32" s="139"/>
      <c r="J32" s="139"/>
      <c r="K32" s="147"/>
      <c r="L32" s="27"/>
      <c r="M32" s="137"/>
      <c r="V32" s="31"/>
    </row>
    <row r="33" spans="1:22" ht="15.75" customHeight="1">
      <c r="A33" s="143">
        <v>44588</v>
      </c>
      <c r="B33" s="144" t="s">
        <v>182</v>
      </c>
      <c r="C33" s="145" t="s">
        <v>174</v>
      </c>
      <c r="D33" s="145" t="s">
        <v>174</v>
      </c>
      <c r="E33" s="145" t="s">
        <v>174</v>
      </c>
      <c r="F33" s="145" t="s">
        <v>174</v>
      </c>
      <c r="G33" s="145">
        <v>14.760000000000002</v>
      </c>
      <c r="H33" s="145" t="s">
        <v>174</v>
      </c>
      <c r="I33" s="145"/>
      <c r="J33" s="145"/>
      <c r="K33" s="148"/>
      <c r="L33" s="27"/>
      <c r="M33" s="137"/>
      <c r="V33" s="31"/>
    </row>
    <row r="34" spans="1:22" ht="15.75" customHeight="1">
      <c r="A34" s="134">
        <v>44588</v>
      </c>
      <c r="B34" s="135" t="s">
        <v>179</v>
      </c>
      <c r="C34" s="136">
        <v>3394</v>
      </c>
      <c r="D34" s="136">
        <v>446.4</v>
      </c>
      <c r="E34" s="136">
        <v>2041</v>
      </c>
      <c r="F34" s="136">
        <v>729.1</v>
      </c>
      <c r="G34" s="136"/>
      <c r="H34" s="136">
        <v>387.75</v>
      </c>
      <c r="I34" s="136"/>
      <c r="J34" s="136"/>
      <c r="K34" s="149"/>
      <c r="L34" s="27"/>
      <c r="M34" s="137"/>
      <c r="V34" s="31"/>
    </row>
    <row r="35" spans="1:22" ht="15.75" customHeight="1">
      <c r="A35" s="138">
        <v>44588</v>
      </c>
      <c r="B35" s="3" t="s">
        <v>180</v>
      </c>
      <c r="C35" s="139">
        <v>3417.76</v>
      </c>
      <c r="D35" s="139">
        <v>450.8</v>
      </c>
      <c r="E35" s="139">
        <v>2088.98</v>
      </c>
      <c r="F35" s="139">
        <v>735.3</v>
      </c>
      <c r="G35" s="139"/>
      <c r="H35" s="139">
        <v>389.78</v>
      </c>
      <c r="I35" s="139"/>
      <c r="J35" s="139"/>
      <c r="K35" s="147"/>
      <c r="L35" s="27"/>
      <c r="M35" s="137"/>
      <c r="V35" s="31"/>
    </row>
    <row r="36" spans="1:22" ht="15.75" customHeight="1">
      <c r="A36" s="138"/>
      <c r="B36" s="3" t="s">
        <v>177</v>
      </c>
      <c r="C36" s="139">
        <v>3370.48</v>
      </c>
      <c r="D36" s="139">
        <v>442</v>
      </c>
      <c r="E36" s="139">
        <v>2028</v>
      </c>
      <c r="F36" s="139">
        <v>727.5</v>
      </c>
      <c r="G36" s="139"/>
      <c r="H36" s="139">
        <v>385.2</v>
      </c>
      <c r="I36" s="139"/>
      <c r="J36" s="139"/>
      <c r="K36" s="147"/>
      <c r="L36" s="27"/>
      <c r="M36" s="137"/>
      <c r="V36" s="31"/>
    </row>
    <row r="37" spans="1:22" ht="15.75" customHeight="1">
      <c r="A37" s="140">
        <v>44560</v>
      </c>
      <c r="B37" s="141" t="s">
        <v>178</v>
      </c>
      <c r="C37" s="142">
        <v>3372.89</v>
      </c>
      <c r="D37" s="142">
        <v>443.4</v>
      </c>
      <c r="E37" s="142">
        <v>2075</v>
      </c>
      <c r="F37" s="142">
        <v>730</v>
      </c>
      <c r="G37" s="142"/>
      <c r="H37" s="142">
        <v>385.52</v>
      </c>
      <c r="I37" s="142">
        <v>5.75</v>
      </c>
      <c r="J37" s="142">
        <v>3.85</v>
      </c>
      <c r="K37" s="142"/>
      <c r="L37" s="133"/>
      <c r="M37" s="137"/>
      <c r="V37" s="31"/>
    </row>
    <row r="38" spans="1:22" ht="15.75" customHeight="1">
      <c r="A38" s="138">
        <v>44560</v>
      </c>
      <c r="B38" s="3" t="s">
        <v>14</v>
      </c>
      <c r="C38" s="139">
        <v>1879200</v>
      </c>
      <c r="D38" s="139">
        <v>7664650</v>
      </c>
      <c r="E38" s="139">
        <v>3526136</v>
      </c>
      <c r="F38" s="139">
        <v>246097</v>
      </c>
      <c r="G38" s="139"/>
      <c r="H38" s="139">
        <v>1160100</v>
      </c>
      <c r="I38" s="139"/>
      <c r="J38" s="139"/>
      <c r="K38" s="139"/>
      <c r="L38" s="133"/>
      <c r="M38" s="137"/>
      <c r="V38" s="31"/>
    </row>
    <row r="39" spans="1:22" ht="15.75" customHeight="1">
      <c r="A39" s="138">
        <v>44560</v>
      </c>
      <c r="B39" s="3" t="s">
        <v>179</v>
      </c>
      <c r="C39" s="139" t="s">
        <v>174</v>
      </c>
      <c r="D39" s="139" t="s">
        <v>174</v>
      </c>
      <c r="E39" s="139" t="s">
        <v>174</v>
      </c>
      <c r="F39" s="139" t="s">
        <v>174</v>
      </c>
      <c r="G39" s="139">
        <v>12.29</v>
      </c>
      <c r="H39" s="139" t="s">
        <v>174</v>
      </c>
      <c r="I39" s="139"/>
      <c r="J39" s="139"/>
      <c r="K39" s="139"/>
      <c r="L39" s="133"/>
      <c r="M39" s="137"/>
      <c r="V39" s="31"/>
    </row>
    <row r="40" spans="1:22" ht="15.75" customHeight="1">
      <c r="A40" s="143">
        <v>44560</v>
      </c>
      <c r="B40" s="144" t="s">
        <v>180</v>
      </c>
      <c r="C40" s="145" t="s">
        <v>174</v>
      </c>
      <c r="D40" s="145" t="s">
        <v>174</v>
      </c>
      <c r="E40" s="145" t="s">
        <v>174</v>
      </c>
      <c r="F40" s="145" t="s">
        <v>174</v>
      </c>
      <c r="G40" s="145">
        <v>14.71</v>
      </c>
      <c r="H40" s="145" t="s">
        <v>174</v>
      </c>
      <c r="I40" s="145"/>
      <c r="J40" s="145"/>
      <c r="K40" s="145"/>
      <c r="L40" s="133"/>
      <c r="M40" s="137"/>
      <c r="V40" s="31"/>
    </row>
    <row r="41" spans="1:22" ht="15.75" customHeight="1">
      <c r="A41" s="134">
        <v>44561</v>
      </c>
      <c r="B41" s="135" t="s">
        <v>175</v>
      </c>
      <c r="C41" s="136">
        <v>3379.12</v>
      </c>
      <c r="D41" s="136">
        <v>462</v>
      </c>
      <c r="E41" s="136">
        <v>2070</v>
      </c>
      <c r="F41" s="136">
        <v>727.3</v>
      </c>
      <c r="G41" s="136"/>
      <c r="H41" s="136">
        <v>385</v>
      </c>
      <c r="I41" s="136"/>
      <c r="J41" s="136"/>
      <c r="K41" s="136"/>
      <c r="L41" s="133"/>
      <c r="M41" s="137"/>
      <c r="V41" s="31"/>
    </row>
    <row r="42" spans="1:22" ht="15.75" customHeight="1">
      <c r="A42" s="138">
        <v>44561</v>
      </c>
      <c r="B42" s="3" t="s">
        <v>176</v>
      </c>
      <c r="C42" s="139">
        <v>3387</v>
      </c>
      <c r="D42" s="139">
        <v>462</v>
      </c>
      <c r="E42" s="139">
        <v>2072.98</v>
      </c>
      <c r="F42" s="139">
        <v>731</v>
      </c>
      <c r="G42" s="139"/>
      <c r="H42" s="139">
        <v>387</v>
      </c>
      <c r="I42" s="139"/>
      <c r="J42" s="139"/>
      <c r="K42" s="139"/>
      <c r="L42" s="133"/>
      <c r="M42" s="137"/>
    </row>
    <row r="43" spans="1:22" ht="15.75" customHeight="1">
      <c r="A43" s="138">
        <v>44561</v>
      </c>
      <c r="B43" s="3" t="s">
        <v>177</v>
      </c>
      <c r="C43" s="139">
        <v>3331.17</v>
      </c>
      <c r="D43" s="139">
        <v>455.2</v>
      </c>
      <c r="E43" s="139">
        <v>2028</v>
      </c>
      <c r="F43" s="139">
        <v>724.1</v>
      </c>
      <c r="G43" s="139"/>
      <c r="H43" s="139">
        <v>380.84</v>
      </c>
      <c r="I43" s="139"/>
      <c r="J43" s="139"/>
      <c r="K43" s="139"/>
      <c r="L43" s="133"/>
      <c r="M43" s="137"/>
    </row>
    <row r="44" spans="1:22" ht="15.75" customHeight="1">
      <c r="A44" s="140">
        <v>44561</v>
      </c>
      <c r="B44" s="141" t="s">
        <v>178</v>
      </c>
      <c r="C44" s="142">
        <v>3334.34</v>
      </c>
      <c r="D44" s="142">
        <v>456.8</v>
      </c>
      <c r="E44" s="142">
        <v>2050</v>
      </c>
      <c r="F44" s="142">
        <v>727</v>
      </c>
      <c r="G44" s="142"/>
      <c r="H44" s="142">
        <v>382.55</v>
      </c>
      <c r="I44" s="142">
        <v>5.65</v>
      </c>
      <c r="J44" s="142">
        <v>3.7500000000000004</v>
      </c>
      <c r="K44" s="142"/>
      <c r="L44" s="133"/>
      <c r="M44" s="137"/>
    </row>
    <row r="45" spans="1:22" ht="15.75" customHeight="1">
      <c r="A45" s="138">
        <v>44561</v>
      </c>
      <c r="B45" s="3" t="s">
        <v>14</v>
      </c>
      <c r="C45" s="139">
        <v>2391500</v>
      </c>
      <c r="D45" s="139">
        <v>9875225</v>
      </c>
      <c r="E45" s="139">
        <v>2966491</v>
      </c>
      <c r="F45" s="139">
        <v>100673</v>
      </c>
      <c r="G45" s="139"/>
      <c r="H45" s="139">
        <v>1601300</v>
      </c>
      <c r="I45" s="139"/>
      <c r="J45" s="139"/>
      <c r="K45" s="139"/>
      <c r="L45" s="133"/>
      <c r="M45" s="137"/>
    </row>
    <row r="46" spans="1:22" ht="15.75" customHeight="1">
      <c r="A46" s="138">
        <v>44561</v>
      </c>
      <c r="B46" s="3" t="s">
        <v>179</v>
      </c>
      <c r="C46" s="139" t="s">
        <v>174</v>
      </c>
      <c r="D46" s="139" t="s">
        <v>174</v>
      </c>
      <c r="E46" s="139" t="s">
        <v>174</v>
      </c>
      <c r="F46" s="139" t="s">
        <v>174</v>
      </c>
      <c r="G46" s="139">
        <v>12.239999999999998</v>
      </c>
      <c r="H46" s="139" t="s">
        <v>174</v>
      </c>
      <c r="I46" s="139"/>
      <c r="J46" s="139"/>
      <c r="K46" s="139"/>
      <c r="L46" s="133"/>
      <c r="M46" s="137"/>
    </row>
    <row r="47" spans="1:22" ht="15.75" customHeight="1">
      <c r="A47" s="143">
        <v>44561</v>
      </c>
      <c r="B47" s="144" t="s">
        <v>180</v>
      </c>
      <c r="C47" s="145" t="s">
        <v>174</v>
      </c>
      <c r="D47" s="145" t="s">
        <v>174</v>
      </c>
      <c r="E47" s="145" t="s">
        <v>174</v>
      </c>
      <c r="F47" s="145" t="s">
        <v>174</v>
      </c>
      <c r="G47" s="145">
        <v>14.66</v>
      </c>
      <c r="H47" s="145" t="s">
        <v>174</v>
      </c>
      <c r="I47" s="145"/>
      <c r="J47" s="145"/>
      <c r="K47" s="145"/>
      <c r="L47" s="133"/>
      <c r="M47" s="137"/>
    </row>
    <row r="48" spans="1:22" ht="15.75" customHeight="1">
      <c r="A48" s="134">
        <v>44562</v>
      </c>
      <c r="B48" s="135" t="s">
        <v>175</v>
      </c>
      <c r="C48" s="136">
        <v>3379.12</v>
      </c>
      <c r="D48" s="136">
        <v>462</v>
      </c>
      <c r="E48" s="136">
        <v>2070</v>
      </c>
      <c r="F48" s="136">
        <v>727.3</v>
      </c>
      <c r="G48" s="136"/>
      <c r="H48" s="136">
        <v>385</v>
      </c>
      <c r="I48" s="136"/>
      <c r="J48" s="136"/>
      <c r="K48" s="136"/>
      <c r="L48" s="150"/>
      <c r="M48" s="137"/>
    </row>
    <row r="49" spans="1:13" ht="15.75" customHeight="1">
      <c r="A49" s="138">
        <v>44562</v>
      </c>
      <c r="B49" s="3" t="s">
        <v>176</v>
      </c>
      <c r="C49" s="139">
        <v>3387</v>
      </c>
      <c r="D49" s="139">
        <v>462</v>
      </c>
      <c r="E49" s="139">
        <v>2072.98</v>
      </c>
      <c r="F49" s="139">
        <v>731</v>
      </c>
      <c r="G49" s="139"/>
      <c r="H49" s="139">
        <v>387</v>
      </c>
      <c r="I49" s="139"/>
      <c r="J49" s="139"/>
      <c r="K49" s="139"/>
      <c r="L49" s="150"/>
      <c r="M49" s="137"/>
    </row>
    <row r="50" spans="1:13" ht="15.75" customHeight="1">
      <c r="A50" s="138">
        <v>44562</v>
      </c>
      <c r="B50" s="3" t="s">
        <v>177</v>
      </c>
      <c r="C50" s="139">
        <v>3331.17</v>
      </c>
      <c r="D50" s="139">
        <v>455.2</v>
      </c>
      <c r="E50" s="139">
        <v>2028</v>
      </c>
      <c r="F50" s="139">
        <v>724.1</v>
      </c>
      <c r="G50" s="139"/>
      <c r="H50" s="139">
        <v>380.84</v>
      </c>
      <c r="I50" s="139"/>
      <c r="J50" s="139"/>
      <c r="K50" s="139"/>
      <c r="L50" s="150"/>
      <c r="M50" s="137"/>
    </row>
    <row r="51" spans="1:13" ht="15.75" customHeight="1">
      <c r="A51" s="140">
        <v>44562</v>
      </c>
      <c r="B51" s="141" t="s">
        <v>178</v>
      </c>
      <c r="C51" s="142">
        <v>3334.34</v>
      </c>
      <c r="D51" s="142">
        <v>456.8</v>
      </c>
      <c r="E51" s="142">
        <v>2050</v>
      </c>
      <c r="F51" s="142">
        <v>727</v>
      </c>
      <c r="G51" s="142"/>
      <c r="H51" s="142">
        <v>382.55</v>
      </c>
      <c r="I51" s="142">
        <v>5.5500000000000007</v>
      </c>
      <c r="J51" s="142">
        <v>3.6500000000000004</v>
      </c>
      <c r="K51" s="142"/>
      <c r="L51" s="150"/>
      <c r="M51" s="137"/>
    </row>
    <row r="52" spans="1:13" ht="15.75" customHeight="1">
      <c r="A52" s="138">
        <v>44562</v>
      </c>
      <c r="B52" s="3" t="s">
        <v>14</v>
      </c>
      <c r="C52" s="139">
        <v>2391500</v>
      </c>
      <c r="D52" s="139">
        <v>9875225</v>
      </c>
      <c r="E52" s="139">
        <v>2966491</v>
      </c>
      <c r="F52" s="139">
        <v>100673</v>
      </c>
      <c r="G52" s="139"/>
      <c r="H52" s="139">
        <v>1601300</v>
      </c>
      <c r="I52" s="139"/>
      <c r="J52" s="139"/>
      <c r="K52" s="139"/>
      <c r="L52" s="150"/>
      <c r="M52" s="137"/>
    </row>
    <row r="53" spans="1:13" ht="15.75" customHeight="1">
      <c r="A53" s="138">
        <v>44562</v>
      </c>
      <c r="B53" s="3" t="s">
        <v>179</v>
      </c>
      <c r="C53" s="139" t="s">
        <v>174</v>
      </c>
      <c r="D53" s="139" t="s">
        <v>174</v>
      </c>
      <c r="E53" s="139" t="s">
        <v>174</v>
      </c>
      <c r="F53" s="139" t="s">
        <v>174</v>
      </c>
      <c r="G53" s="139">
        <v>12.19</v>
      </c>
      <c r="H53" s="139" t="s">
        <v>174</v>
      </c>
      <c r="I53" s="139"/>
      <c r="J53" s="139"/>
      <c r="K53" s="139"/>
      <c r="L53" s="150"/>
      <c r="M53" s="137"/>
    </row>
    <row r="54" spans="1:13" ht="15.75" customHeight="1">
      <c r="A54" s="143">
        <v>44562</v>
      </c>
      <c r="B54" s="144" t="s">
        <v>180</v>
      </c>
      <c r="C54" s="145" t="s">
        <v>174</v>
      </c>
      <c r="D54" s="145" t="s">
        <v>174</v>
      </c>
      <c r="E54" s="145" t="s">
        <v>174</v>
      </c>
      <c r="F54" s="145" t="s">
        <v>174</v>
      </c>
      <c r="G54" s="145">
        <v>14.610000000000001</v>
      </c>
      <c r="H54" s="145" t="s">
        <v>174</v>
      </c>
      <c r="I54" s="145"/>
      <c r="J54" s="145"/>
      <c r="K54" s="145"/>
      <c r="L54" s="150"/>
      <c r="M54" s="137"/>
    </row>
    <row r="55" spans="1:13" ht="15.75" customHeight="1">
      <c r="A55" s="134">
        <v>44563</v>
      </c>
      <c r="B55" s="135" t="s">
        <v>175</v>
      </c>
      <c r="C55" s="136">
        <v>3379.12</v>
      </c>
      <c r="D55" s="136">
        <v>462</v>
      </c>
      <c r="E55" s="136">
        <v>2070</v>
      </c>
      <c r="F55" s="136">
        <v>727.3</v>
      </c>
      <c r="G55" s="136"/>
      <c r="H55" s="136">
        <v>385</v>
      </c>
      <c r="I55" s="136"/>
      <c r="J55" s="136"/>
      <c r="K55" s="136"/>
      <c r="L55" s="150"/>
      <c r="M55" s="137"/>
    </row>
    <row r="56" spans="1:13" ht="15.75" customHeight="1">
      <c r="A56" s="138">
        <v>44563</v>
      </c>
      <c r="B56" s="3" t="s">
        <v>176</v>
      </c>
      <c r="C56" s="139">
        <v>3387</v>
      </c>
      <c r="D56" s="139">
        <v>462</v>
      </c>
      <c r="E56" s="139">
        <v>2072.98</v>
      </c>
      <c r="F56" s="139">
        <v>731</v>
      </c>
      <c r="G56" s="139"/>
      <c r="H56" s="139">
        <v>387</v>
      </c>
      <c r="I56" s="139"/>
      <c r="J56" s="139"/>
      <c r="K56" s="139"/>
      <c r="L56" s="150"/>
      <c r="M56" s="137"/>
    </row>
    <row r="57" spans="1:13" ht="15.75" customHeight="1">
      <c r="A57" s="138">
        <v>44563</v>
      </c>
      <c r="B57" s="3" t="s">
        <v>177</v>
      </c>
      <c r="C57" s="139">
        <v>3331.17</v>
      </c>
      <c r="D57" s="139">
        <v>455.2</v>
      </c>
      <c r="E57" s="139">
        <v>2028</v>
      </c>
      <c r="F57" s="139">
        <v>724.1</v>
      </c>
      <c r="G57" s="139"/>
      <c r="H57" s="139">
        <v>380.84</v>
      </c>
      <c r="I57" s="139"/>
      <c r="J57" s="139"/>
      <c r="K57" s="139"/>
      <c r="L57" s="150"/>
      <c r="M57" s="137"/>
    </row>
    <row r="58" spans="1:13" ht="15.75" customHeight="1">
      <c r="A58" s="140">
        <v>44563</v>
      </c>
      <c r="B58" s="141" t="s">
        <v>178</v>
      </c>
      <c r="C58" s="142">
        <v>3334.34</v>
      </c>
      <c r="D58" s="142">
        <v>456.8</v>
      </c>
      <c r="E58" s="142">
        <v>2050</v>
      </c>
      <c r="F58" s="142">
        <v>727</v>
      </c>
      <c r="G58" s="142"/>
      <c r="H58" s="142">
        <v>382.55</v>
      </c>
      <c r="I58" s="142">
        <v>5.45</v>
      </c>
      <c r="J58" s="142">
        <v>3.5500000000000003</v>
      </c>
      <c r="K58" s="142"/>
      <c r="L58" s="150"/>
      <c r="M58" s="137"/>
    </row>
    <row r="59" spans="1:13" ht="15.75" customHeight="1">
      <c r="A59" s="138">
        <v>44563</v>
      </c>
      <c r="B59" s="3" t="s">
        <v>14</v>
      </c>
      <c r="C59" s="139">
        <v>2391500</v>
      </c>
      <c r="D59" s="139">
        <v>9875225</v>
      </c>
      <c r="E59" s="139">
        <v>2966491</v>
      </c>
      <c r="F59" s="139">
        <v>100673</v>
      </c>
      <c r="G59" s="139"/>
      <c r="H59" s="139">
        <v>1601300</v>
      </c>
      <c r="I59" s="139"/>
      <c r="J59" s="139"/>
      <c r="K59" s="139"/>
      <c r="L59" s="150"/>
      <c r="M59" s="137"/>
    </row>
    <row r="60" spans="1:13" ht="15.75" customHeight="1">
      <c r="A60" s="138">
        <v>44563</v>
      </c>
      <c r="B60" s="3" t="s">
        <v>179</v>
      </c>
      <c r="C60" s="139" t="s">
        <v>174</v>
      </c>
      <c r="D60" s="139" t="s">
        <v>174</v>
      </c>
      <c r="E60" s="139" t="s">
        <v>174</v>
      </c>
      <c r="F60" s="139" t="s">
        <v>174</v>
      </c>
      <c r="G60" s="139">
        <v>12.139999999999999</v>
      </c>
      <c r="H60" s="139" t="s">
        <v>174</v>
      </c>
      <c r="I60" s="139"/>
      <c r="J60" s="139"/>
      <c r="K60" s="139"/>
      <c r="L60" s="150"/>
      <c r="M60" s="137"/>
    </row>
    <row r="61" spans="1:13" ht="15.75" customHeight="1">
      <c r="A61" s="143">
        <v>44563</v>
      </c>
      <c r="B61" s="144" t="s">
        <v>180</v>
      </c>
      <c r="C61" s="145" t="s">
        <v>174</v>
      </c>
      <c r="D61" s="145" t="s">
        <v>174</v>
      </c>
      <c r="E61" s="145" t="s">
        <v>174</v>
      </c>
      <c r="F61" s="145" t="s">
        <v>174</v>
      </c>
      <c r="G61" s="145">
        <v>14.56</v>
      </c>
      <c r="H61" s="145" t="s">
        <v>174</v>
      </c>
      <c r="I61" s="145"/>
      <c r="J61" s="145"/>
      <c r="K61" s="145"/>
      <c r="L61" s="150"/>
      <c r="M61" s="137"/>
    </row>
    <row r="62" spans="1:13" ht="15.75" customHeight="1">
      <c r="A62" s="134">
        <v>44564</v>
      </c>
      <c r="B62" s="135" t="s">
        <v>175</v>
      </c>
      <c r="C62" s="136">
        <v>3351</v>
      </c>
      <c r="D62" s="136">
        <v>459.8</v>
      </c>
      <c r="E62" s="136">
        <v>2070</v>
      </c>
      <c r="F62" s="136">
        <v>734</v>
      </c>
      <c r="G62" s="136"/>
      <c r="H62" s="136">
        <v>389</v>
      </c>
      <c r="I62" s="136"/>
      <c r="J62" s="136"/>
      <c r="K62" s="136"/>
      <c r="L62" s="150"/>
      <c r="M62" s="137"/>
    </row>
    <row r="63" spans="1:13" ht="15.75" customHeight="1">
      <c r="A63" s="138">
        <v>44564</v>
      </c>
      <c r="B63" s="3" t="s">
        <v>176</v>
      </c>
      <c r="C63" s="139">
        <v>3414.07</v>
      </c>
      <c r="D63" s="139">
        <v>463</v>
      </c>
      <c r="E63" s="139">
        <v>2072.98</v>
      </c>
      <c r="F63" s="139">
        <v>737.5</v>
      </c>
      <c r="G63" s="139"/>
      <c r="H63" s="139">
        <v>399.3</v>
      </c>
      <c r="I63" s="139"/>
      <c r="J63" s="139"/>
      <c r="K63" s="139"/>
      <c r="L63" s="150"/>
      <c r="M63" s="137"/>
    </row>
    <row r="64" spans="1:13" ht="15.75" customHeight="1">
      <c r="A64" s="138">
        <v>44564</v>
      </c>
      <c r="B64" s="3" t="s">
        <v>177</v>
      </c>
      <c r="C64" s="139">
        <v>3323.21</v>
      </c>
      <c r="D64" s="139">
        <v>453</v>
      </c>
      <c r="E64" s="139">
        <v>2028</v>
      </c>
      <c r="F64" s="139">
        <v>727.8</v>
      </c>
      <c r="G64" s="139"/>
      <c r="H64" s="139">
        <v>387.34</v>
      </c>
      <c r="I64" s="139"/>
      <c r="J64" s="139"/>
      <c r="K64" s="139"/>
      <c r="L64" s="150"/>
      <c r="M64" s="137"/>
    </row>
    <row r="65" spans="1:13" ht="15.75" customHeight="1">
      <c r="A65" s="140">
        <v>44564</v>
      </c>
      <c r="B65" s="141" t="s">
        <v>178</v>
      </c>
      <c r="C65" s="142">
        <v>3408.09</v>
      </c>
      <c r="D65" s="142">
        <v>453.8</v>
      </c>
      <c r="E65" s="142">
        <v>2050</v>
      </c>
      <c r="F65" s="142">
        <v>731</v>
      </c>
      <c r="G65" s="142"/>
      <c r="H65" s="142">
        <v>395.33</v>
      </c>
      <c r="I65" s="142">
        <v>5.35</v>
      </c>
      <c r="J65" s="142">
        <v>3.45</v>
      </c>
      <c r="K65" s="142"/>
      <c r="L65" s="150"/>
      <c r="M65" s="137"/>
    </row>
    <row r="66" spans="1:13" ht="15.75" customHeight="1">
      <c r="A66" s="138">
        <v>44564</v>
      </c>
      <c r="B66" s="3" t="s">
        <v>14</v>
      </c>
      <c r="C66" s="139">
        <v>3176000</v>
      </c>
      <c r="D66" s="139">
        <v>6021146</v>
      </c>
      <c r="E66" s="139">
        <v>2966491</v>
      </c>
      <c r="F66" s="139">
        <v>210987</v>
      </c>
      <c r="G66" s="139"/>
      <c r="H66" s="139">
        <v>3334300</v>
      </c>
      <c r="I66" s="139"/>
      <c r="J66" s="139"/>
      <c r="K66" s="139"/>
      <c r="L66" s="150"/>
      <c r="M66" s="137"/>
    </row>
    <row r="67" spans="1:13" ht="15.75" customHeight="1">
      <c r="A67" s="138">
        <v>44564</v>
      </c>
      <c r="B67" s="3" t="s">
        <v>179</v>
      </c>
      <c r="C67" s="139" t="s">
        <v>174</v>
      </c>
      <c r="D67" s="139" t="s">
        <v>174</v>
      </c>
      <c r="E67" s="139" t="s">
        <v>174</v>
      </c>
      <c r="F67" s="139" t="s">
        <v>174</v>
      </c>
      <c r="G67" s="139">
        <v>12.09</v>
      </c>
      <c r="H67" s="139" t="s">
        <v>174</v>
      </c>
      <c r="I67" s="139"/>
      <c r="J67" s="139"/>
      <c r="K67" s="139"/>
      <c r="L67" s="150"/>
      <c r="M67" s="137"/>
    </row>
    <row r="68" spans="1:13" ht="15.75" customHeight="1">
      <c r="A68" s="143">
        <v>44564</v>
      </c>
      <c r="B68" s="144" t="s">
        <v>180</v>
      </c>
      <c r="C68" s="145" t="s">
        <v>174</v>
      </c>
      <c r="D68" s="145" t="s">
        <v>174</v>
      </c>
      <c r="E68" s="145" t="s">
        <v>174</v>
      </c>
      <c r="F68" s="145" t="s">
        <v>174</v>
      </c>
      <c r="G68" s="145">
        <v>14.510000000000002</v>
      </c>
      <c r="H68" s="145" t="s">
        <v>174</v>
      </c>
      <c r="I68" s="145"/>
      <c r="J68" s="145"/>
      <c r="K68" s="145"/>
      <c r="L68" s="150"/>
      <c r="M68" s="137"/>
    </row>
    <row r="69" spans="1:13" ht="15.75" customHeight="1">
      <c r="A69" s="134">
        <v>44565</v>
      </c>
      <c r="B69" s="135" t="s">
        <v>175</v>
      </c>
      <c r="C69" s="136">
        <v>3408.76</v>
      </c>
      <c r="D69" s="136">
        <v>455.4</v>
      </c>
      <c r="E69" s="136">
        <v>2055</v>
      </c>
      <c r="F69" s="136">
        <v>734.6</v>
      </c>
      <c r="G69" s="136"/>
      <c r="H69" s="136">
        <v>402.23</v>
      </c>
      <c r="I69" s="136"/>
      <c r="J69" s="136"/>
      <c r="K69" s="136"/>
      <c r="L69" s="150"/>
      <c r="M69" s="137"/>
    </row>
    <row r="70" spans="1:13" ht="15.75" customHeight="1">
      <c r="A70" s="138">
        <v>44565</v>
      </c>
      <c r="B70" s="3" t="s">
        <v>176</v>
      </c>
      <c r="C70" s="139">
        <v>3428</v>
      </c>
      <c r="D70" s="139">
        <v>458</v>
      </c>
      <c r="E70" s="139">
        <v>2068.9499999999998</v>
      </c>
      <c r="F70" s="139">
        <v>744.9</v>
      </c>
      <c r="G70" s="139"/>
      <c r="H70" s="139">
        <v>410.28</v>
      </c>
      <c r="I70" s="139"/>
      <c r="J70" s="139"/>
      <c r="K70" s="139"/>
      <c r="L70" s="150"/>
      <c r="M70" s="137"/>
    </row>
    <row r="71" spans="1:13" ht="15.75" customHeight="1">
      <c r="A71" s="138">
        <v>44565</v>
      </c>
      <c r="B71" s="3" t="s">
        <v>177</v>
      </c>
      <c r="C71" s="139">
        <v>3326.99</v>
      </c>
      <c r="D71" s="139">
        <v>445.4</v>
      </c>
      <c r="E71" s="139">
        <v>2014</v>
      </c>
      <c r="F71" s="139">
        <v>734</v>
      </c>
      <c r="G71" s="139"/>
      <c r="H71" s="139">
        <v>401.18</v>
      </c>
      <c r="I71" s="139"/>
      <c r="J71" s="139"/>
      <c r="K71" s="139"/>
      <c r="L71" s="150"/>
      <c r="M71" s="137"/>
    </row>
    <row r="72" spans="1:13" ht="15.75" customHeight="1">
      <c r="A72" s="140">
        <v>44565</v>
      </c>
      <c r="B72" s="141" t="s">
        <v>178</v>
      </c>
      <c r="C72" s="142">
        <v>3350.44</v>
      </c>
      <c r="D72" s="142">
        <v>450</v>
      </c>
      <c r="E72" s="142">
        <v>2051.23</v>
      </c>
      <c r="F72" s="142">
        <v>744</v>
      </c>
      <c r="G72" s="142"/>
      <c r="H72" s="142">
        <v>407.48</v>
      </c>
      <c r="I72" s="142">
        <v>5.25</v>
      </c>
      <c r="J72" s="142">
        <v>3.35</v>
      </c>
      <c r="K72" s="142"/>
      <c r="L72" s="150"/>
      <c r="M72" s="137"/>
    </row>
    <row r="73" spans="1:13" ht="15.75" customHeight="1">
      <c r="A73" s="138">
        <v>44565</v>
      </c>
      <c r="B73" s="3" t="s">
        <v>14</v>
      </c>
      <c r="C73" s="139">
        <v>3536300</v>
      </c>
      <c r="D73" s="139">
        <v>13562081</v>
      </c>
      <c r="E73" s="139">
        <v>3384262</v>
      </c>
      <c r="F73" s="139">
        <v>291609</v>
      </c>
      <c r="G73" s="139"/>
      <c r="H73" s="139">
        <v>3916400</v>
      </c>
      <c r="I73" s="139"/>
      <c r="J73" s="139"/>
      <c r="K73" s="139"/>
      <c r="L73" s="150"/>
      <c r="M73" s="137"/>
    </row>
    <row r="74" spans="1:13" ht="15.75" customHeight="1">
      <c r="A74" s="138">
        <v>44565</v>
      </c>
      <c r="B74" s="3" t="s">
        <v>179</v>
      </c>
      <c r="C74" s="139" t="s">
        <v>174</v>
      </c>
      <c r="D74" s="139" t="s">
        <v>174</v>
      </c>
      <c r="E74" s="139" t="s">
        <v>174</v>
      </c>
      <c r="F74" s="139" t="s">
        <v>174</v>
      </c>
      <c r="G74" s="139">
        <v>12.04</v>
      </c>
      <c r="H74" s="139" t="s">
        <v>174</v>
      </c>
      <c r="I74" s="139"/>
      <c r="J74" s="139"/>
      <c r="K74" s="139"/>
      <c r="L74" s="150"/>
      <c r="M74" s="137"/>
    </row>
    <row r="75" spans="1:13" ht="15.75" customHeight="1">
      <c r="A75" s="143">
        <v>44565</v>
      </c>
      <c r="B75" s="144" t="s">
        <v>180</v>
      </c>
      <c r="C75" s="145" t="s">
        <v>174</v>
      </c>
      <c r="D75" s="145" t="s">
        <v>174</v>
      </c>
      <c r="E75" s="145" t="s">
        <v>174</v>
      </c>
      <c r="F75" s="145" t="s">
        <v>174</v>
      </c>
      <c r="G75" s="145">
        <v>14.46</v>
      </c>
      <c r="H75" s="145" t="s">
        <v>174</v>
      </c>
      <c r="I75" s="145"/>
      <c r="J75" s="145"/>
      <c r="K75" s="145"/>
      <c r="L75" s="150"/>
      <c r="M75" s="137"/>
    </row>
    <row r="76" spans="1:13" ht="15.75" customHeight="1">
      <c r="A76" s="134">
        <v>44566</v>
      </c>
      <c r="B76" s="135" t="s">
        <v>175</v>
      </c>
      <c r="C76" s="136">
        <v>3337.66</v>
      </c>
      <c r="D76" s="136">
        <v>442.4</v>
      </c>
      <c r="E76" s="136">
        <v>2045</v>
      </c>
      <c r="F76" s="136">
        <v>742.5</v>
      </c>
      <c r="G76" s="136"/>
      <c r="H76" s="136">
        <v>409.8</v>
      </c>
      <c r="I76" s="136"/>
      <c r="J76" s="136"/>
      <c r="K76" s="136"/>
      <c r="L76" s="150"/>
      <c r="M76" s="137"/>
    </row>
    <row r="77" spans="1:13" ht="15.75" customHeight="1">
      <c r="A77" s="138">
        <v>44566</v>
      </c>
      <c r="B77" s="3" t="s">
        <v>176</v>
      </c>
      <c r="C77" s="139">
        <v>3342.53</v>
      </c>
      <c r="D77" s="139">
        <v>444</v>
      </c>
      <c r="E77" s="139">
        <v>2065</v>
      </c>
      <c r="F77" s="139">
        <v>758.5</v>
      </c>
      <c r="G77" s="139"/>
      <c r="H77" s="139">
        <v>412.66</v>
      </c>
      <c r="I77" s="139"/>
      <c r="J77" s="139"/>
      <c r="K77" s="139"/>
      <c r="L77" s="150"/>
      <c r="M77" s="137"/>
    </row>
    <row r="78" spans="1:13" ht="15.75" customHeight="1">
      <c r="A78" s="138">
        <v>44566</v>
      </c>
      <c r="B78" s="3" t="s">
        <v>177</v>
      </c>
      <c r="C78" s="139">
        <v>3287.14</v>
      </c>
      <c r="D78" s="139">
        <v>429</v>
      </c>
      <c r="E78" s="139">
        <v>2018</v>
      </c>
      <c r="F78" s="139">
        <v>741.7</v>
      </c>
      <c r="G78" s="139"/>
      <c r="H78" s="139">
        <v>397.89</v>
      </c>
      <c r="I78" s="139"/>
      <c r="J78" s="139"/>
      <c r="K78" s="139"/>
      <c r="L78" s="150"/>
      <c r="M78" s="137"/>
    </row>
    <row r="79" spans="1:13" ht="15.75" customHeight="1">
      <c r="A79" s="140">
        <v>44566</v>
      </c>
      <c r="B79" s="141" t="s">
        <v>178</v>
      </c>
      <c r="C79" s="142">
        <v>3287.14</v>
      </c>
      <c r="D79" s="142">
        <v>430.6</v>
      </c>
      <c r="E79" s="142">
        <v>2024</v>
      </c>
      <c r="F79" s="142">
        <v>758</v>
      </c>
      <c r="G79" s="142"/>
      <c r="H79" s="142">
        <v>398.63</v>
      </c>
      <c r="I79" s="142">
        <v>5.15</v>
      </c>
      <c r="J79" s="142">
        <v>3.2500000000000004</v>
      </c>
      <c r="K79" s="142"/>
      <c r="L79" s="150"/>
      <c r="M79" s="137"/>
    </row>
    <row r="80" spans="1:13" ht="15.75" customHeight="1">
      <c r="A80" s="138">
        <v>44566</v>
      </c>
      <c r="B80" s="3" t="s">
        <v>14</v>
      </c>
      <c r="C80" s="139">
        <v>3215100</v>
      </c>
      <c r="D80" s="139">
        <v>31926972</v>
      </c>
      <c r="E80" s="139">
        <v>2839551</v>
      </c>
      <c r="F80" s="139">
        <v>384196</v>
      </c>
      <c r="G80" s="139"/>
      <c r="H80" s="139">
        <v>3469600</v>
      </c>
      <c r="I80" s="139"/>
      <c r="J80" s="139"/>
      <c r="K80" s="139"/>
      <c r="L80" s="150"/>
      <c r="M80" s="137"/>
    </row>
    <row r="81" spans="1:13" ht="15.75" customHeight="1">
      <c r="A81" s="138">
        <v>44566</v>
      </c>
      <c r="B81" s="3" t="s">
        <v>179</v>
      </c>
      <c r="C81" s="139" t="s">
        <v>174</v>
      </c>
      <c r="D81" s="139" t="s">
        <v>174</v>
      </c>
      <c r="E81" s="139" t="s">
        <v>174</v>
      </c>
      <c r="F81" s="139" t="s">
        <v>174</v>
      </c>
      <c r="G81" s="139">
        <v>11.989999999999998</v>
      </c>
      <c r="H81" s="139" t="s">
        <v>174</v>
      </c>
      <c r="I81" s="139"/>
      <c r="J81" s="139"/>
      <c r="K81" s="139"/>
      <c r="L81" s="150"/>
      <c r="M81" s="137"/>
    </row>
    <row r="82" spans="1:13" ht="15.75" customHeight="1">
      <c r="A82" s="143">
        <v>44566</v>
      </c>
      <c r="B82" s="144" t="s">
        <v>180</v>
      </c>
      <c r="C82" s="145" t="s">
        <v>174</v>
      </c>
      <c r="D82" s="145" t="s">
        <v>174</v>
      </c>
      <c r="E82" s="145" t="s">
        <v>174</v>
      </c>
      <c r="F82" s="145" t="s">
        <v>174</v>
      </c>
      <c r="G82" s="145">
        <v>14.41</v>
      </c>
      <c r="H82" s="145" t="s">
        <v>174</v>
      </c>
      <c r="I82" s="145"/>
      <c r="J82" s="145"/>
      <c r="K82" s="145"/>
      <c r="L82" s="150"/>
      <c r="M82" s="137"/>
    </row>
    <row r="83" spans="1:13" ht="15.75" customHeight="1">
      <c r="A83" s="134">
        <v>44567</v>
      </c>
      <c r="B83" s="135" t="s">
        <v>175</v>
      </c>
      <c r="C83" s="136">
        <v>3269.01</v>
      </c>
      <c r="D83" s="136">
        <v>421</v>
      </c>
      <c r="E83" s="136">
        <v>2022.01</v>
      </c>
      <c r="F83" s="136">
        <v>741.4</v>
      </c>
      <c r="G83" s="136"/>
      <c r="H83" s="136">
        <v>401</v>
      </c>
      <c r="I83" s="136"/>
      <c r="J83" s="136"/>
      <c r="K83" s="136"/>
      <c r="L83" s="150"/>
      <c r="M83" s="137"/>
    </row>
    <row r="84" spans="1:13" ht="15.75" customHeight="1">
      <c r="A84" s="138">
        <v>44567</v>
      </c>
      <c r="B84" s="3" t="s">
        <v>176</v>
      </c>
      <c r="C84" s="139">
        <v>3296</v>
      </c>
      <c r="D84" s="139">
        <v>437.2</v>
      </c>
      <c r="E84" s="139">
        <v>2036</v>
      </c>
      <c r="F84" s="139">
        <v>746.2</v>
      </c>
      <c r="G84" s="139"/>
      <c r="H84" s="139">
        <v>401.2</v>
      </c>
      <c r="I84" s="139"/>
      <c r="J84" s="139"/>
      <c r="K84" s="139"/>
      <c r="L84" s="150"/>
      <c r="M84" s="137"/>
    </row>
    <row r="85" spans="1:13" ht="15.75" customHeight="1">
      <c r="A85" s="138">
        <v>44567</v>
      </c>
      <c r="B85" s="3" t="s">
        <v>177</v>
      </c>
      <c r="C85" s="139">
        <v>3238.74</v>
      </c>
      <c r="D85" s="139">
        <v>421</v>
      </c>
      <c r="E85" s="139">
        <v>1938.51</v>
      </c>
      <c r="F85" s="139">
        <v>727.1</v>
      </c>
      <c r="G85" s="139"/>
      <c r="H85" s="139">
        <v>386.43</v>
      </c>
      <c r="I85" s="139"/>
      <c r="J85" s="139"/>
      <c r="K85" s="139"/>
      <c r="L85" s="150"/>
      <c r="M85" s="137"/>
    </row>
    <row r="86" spans="1:13" ht="15.75" customHeight="1">
      <c r="A86" s="140">
        <v>44567</v>
      </c>
      <c r="B86" s="141" t="s">
        <v>178</v>
      </c>
      <c r="C86" s="142">
        <v>3265.08</v>
      </c>
      <c r="D86" s="142">
        <v>437</v>
      </c>
      <c r="E86" s="142">
        <v>1982.22</v>
      </c>
      <c r="F86" s="142">
        <v>727.1</v>
      </c>
      <c r="G86" s="142"/>
      <c r="H86" s="142">
        <v>396.93</v>
      </c>
      <c r="I86" s="142">
        <v>5.0500000000000007</v>
      </c>
      <c r="J86" s="142">
        <v>3.1500000000000004</v>
      </c>
      <c r="K86" s="142"/>
      <c r="L86" s="150"/>
      <c r="M86" s="137"/>
    </row>
    <row r="87" spans="1:13" ht="15.75" customHeight="1">
      <c r="A87" s="138">
        <v>44567</v>
      </c>
      <c r="B87" s="3" t="s">
        <v>14</v>
      </c>
      <c r="C87" s="139">
        <v>2597900</v>
      </c>
      <c r="D87" s="139">
        <v>22394447</v>
      </c>
      <c r="E87" s="139">
        <v>5179475</v>
      </c>
      <c r="F87" s="139">
        <v>446581</v>
      </c>
      <c r="G87" s="139"/>
      <c r="H87" s="139">
        <v>2960900</v>
      </c>
      <c r="I87" s="139"/>
      <c r="J87" s="139"/>
      <c r="K87" s="139"/>
      <c r="L87" s="150"/>
      <c r="M87" s="137"/>
    </row>
    <row r="88" spans="1:13" ht="15.75" customHeight="1">
      <c r="A88" s="138">
        <v>44567</v>
      </c>
      <c r="B88" s="3" t="s">
        <v>179</v>
      </c>
      <c r="C88" s="139" t="s">
        <v>174</v>
      </c>
      <c r="D88" s="139" t="s">
        <v>174</v>
      </c>
      <c r="E88" s="139" t="s">
        <v>174</v>
      </c>
      <c r="F88" s="139" t="s">
        <v>174</v>
      </c>
      <c r="G88" s="139">
        <v>11.94</v>
      </c>
      <c r="H88" s="139" t="s">
        <v>174</v>
      </c>
      <c r="I88" s="139"/>
      <c r="J88" s="139"/>
      <c r="K88" s="139"/>
      <c r="L88" s="150"/>
      <c r="M88" s="137"/>
    </row>
    <row r="89" spans="1:13" ht="15.75" customHeight="1">
      <c r="A89" s="143">
        <v>44567</v>
      </c>
      <c r="B89" s="144" t="s">
        <v>180</v>
      </c>
      <c r="C89" s="145" t="s">
        <v>174</v>
      </c>
      <c r="D89" s="145" t="s">
        <v>174</v>
      </c>
      <c r="E89" s="145" t="s">
        <v>174</v>
      </c>
      <c r="F89" s="145" t="s">
        <v>174</v>
      </c>
      <c r="G89" s="145">
        <v>14.360000000000001</v>
      </c>
      <c r="H89" s="145" t="s">
        <v>174</v>
      </c>
      <c r="I89" s="145"/>
      <c r="J89" s="145"/>
      <c r="K89" s="145"/>
      <c r="L89" s="150"/>
      <c r="M89" s="137"/>
    </row>
    <row r="90" spans="1:13" ht="15.75" customHeight="1">
      <c r="A90" s="134">
        <v>44568</v>
      </c>
      <c r="B90" s="135" t="s">
        <v>175</v>
      </c>
      <c r="C90" s="136">
        <v>3276.78</v>
      </c>
      <c r="D90" s="136">
        <v>445</v>
      </c>
      <c r="E90" s="136">
        <v>1975</v>
      </c>
      <c r="F90" s="136">
        <v>727.4</v>
      </c>
      <c r="G90" s="136"/>
      <c r="H90" s="136">
        <v>397.67</v>
      </c>
      <c r="I90" s="136"/>
      <c r="J90" s="136"/>
      <c r="K90" s="136"/>
      <c r="L90" s="150"/>
      <c r="M90" s="137"/>
    </row>
    <row r="91" spans="1:13" ht="15.75" customHeight="1">
      <c r="A91" s="138">
        <v>44568</v>
      </c>
      <c r="B91" s="3" t="s">
        <v>176</v>
      </c>
      <c r="C91" s="139">
        <v>3304.87</v>
      </c>
      <c r="D91" s="139">
        <v>448.4</v>
      </c>
      <c r="E91" s="139">
        <v>1988.88</v>
      </c>
      <c r="F91" s="139">
        <v>729.4</v>
      </c>
      <c r="G91" s="139"/>
      <c r="H91" s="139">
        <v>400.55</v>
      </c>
      <c r="I91" s="139"/>
      <c r="J91" s="139"/>
      <c r="K91" s="139"/>
      <c r="L91" s="150"/>
      <c r="M91" s="137"/>
    </row>
    <row r="92" spans="1:13" ht="15.75" customHeight="1">
      <c r="A92" s="138"/>
      <c r="B92" s="3" t="s">
        <v>177</v>
      </c>
      <c r="C92" s="139">
        <v>3240.62</v>
      </c>
      <c r="D92" s="139">
        <v>438.4</v>
      </c>
      <c r="E92" s="139">
        <v>1939.32</v>
      </c>
      <c r="F92" s="139">
        <v>710.8</v>
      </c>
      <c r="G92" s="139"/>
      <c r="H92" s="139">
        <v>394.53</v>
      </c>
      <c r="I92" s="139"/>
      <c r="J92" s="139"/>
      <c r="K92" s="139"/>
      <c r="L92" s="150"/>
      <c r="M92" s="137"/>
    </row>
    <row r="93" spans="1:13" ht="15.75" customHeight="1">
      <c r="A93" s="140">
        <v>44568</v>
      </c>
      <c r="B93" s="141" t="s">
        <v>178</v>
      </c>
      <c r="C93" s="142">
        <v>3251.08</v>
      </c>
      <c r="D93" s="142">
        <v>443</v>
      </c>
      <c r="E93" s="142">
        <v>1942</v>
      </c>
      <c r="F93" s="142">
        <v>715.8</v>
      </c>
      <c r="G93" s="142"/>
      <c r="H93" s="142">
        <v>397.51</v>
      </c>
      <c r="I93" s="142">
        <v>4.95</v>
      </c>
      <c r="J93" s="142">
        <v>3.0500000000000003</v>
      </c>
      <c r="K93" s="142"/>
      <c r="L93" s="150"/>
      <c r="M93" s="137"/>
    </row>
    <row r="94" spans="1:13" ht="15.75" customHeight="1">
      <c r="A94" s="138">
        <v>44568</v>
      </c>
      <c r="B94" s="3" t="s">
        <v>14</v>
      </c>
      <c r="C94" s="139">
        <v>2329300</v>
      </c>
      <c r="D94" s="139">
        <v>20813417</v>
      </c>
      <c r="E94" s="139">
        <v>2981669</v>
      </c>
      <c r="F94" s="139">
        <v>392865</v>
      </c>
      <c r="G94" s="139"/>
      <c r="H94" s="139">
        <v>2359800</v>
      </c>
      <c r="I94" s="139"/>
      <c r="J94" s="139"/>
      <c r="K94" s="139"/>
      <c r="L94" s="150"/>
      <c r="M94" s="137"/>
    </row>
    <row r="95" spans="1:13" ht="15.75" customHeight="1">
      <c r="A95" s="138">
        <v>44568</v>
      </c>
      <c r="B95" s="3" t="s">
        <v>179</v>
      </c>
      <c r="C95" s="139" t="s">
        <v>174</v>
      </c>
      <c r="D95" s="139" t="s">
        <v>174</v>
      </c>
      <c r="E95" s="139" t="s">
        <v>174</v>
      </c>
      <c r="F95" s="139" t="s">
        <v>174</v>
      </c>
      <c r="G95" s="139">
        <v>11.889999999999999</v>
      </c>
      <c r="H95" s="139" t="s">
        <v>174</v>
      </c>
      <c r="I95" s="139"/>
      <c r="J95" s="139"/>
      <c r="K95" s="139"/>
      <c r="L95" s="150"/>
      <c r="M95" s="137"/>
    </row>
    <row r="96" spans="1:13" ht="15.75" customHeight="1">
      <c r="A96" s="143">
        <v>44568</v>
      </c>
      <c r="B96" s="144" t="s">
        <v>180</v>
      </c>
      <c r="C96" s="145" t="s">
        <v>174</v>
      </c>
      <c r="D96" s="145" t="s">
        <v>174</v>
      </c>
      <c r="E96" s="145" t="s">
        <v>174</v>
      </c>
      <c r="F96" s="145" t="s">
        <v>174</v>
      </c>
      <c r="G96" s="145">
        <v>14.31</v>
      </c>
      <c r="H96" s="145" t="s">
        <v>174</v>
      </c>
      <c r="I96" s="145"/>
      <c r="J96" s="145"/>
      <c r="K96" s="145"/>
      <c r="L96" s="150"/>
      <c r="M96" s="137"/>
    </row>
    <row r="97" spans="1:13" ht="15.75" customHeight="1">
      <c r="A97" s="134">
        <v>44569</v>
      </c>
      <c r="B97" s="135" t="s">
        <v>175</v>
      </c>
      <c r="C97" s="136">
        <v>3276.78</v>
      </c>
      <c r="D97" s="136">
        <v>445</v>
      </c>
      <c r="E97" s="136">
        <v>1975</v>
      </c>
      <c r="F97" s="136">
        <v>727.4</v>
      </c>
      <c r="G97" s="136"/>
      <c r="H97" s="136">
        <v>397.67</v>
      </c>
      <c r="I97" s="136"/>
      <c r="J97" s="136"/>
      <c r="K97" s="136"/>
      <c r="L97" s="150"/>
      <c r="M97" s="137"/>
    </row>
    <row r="98" spans="1:13" ht="13">
      <c r="A98" s="138">
        <v>44569</v>
      </c>
      <c r="B98" s="3" t="s">
        <v>176</v>
      </c>
      <c r="C98" s="139">
        <v>3304.87</v>
      </c>
      <c r="D98" s="139">
        <v>448.4</v>
      </c>
      <c r="E98" s="139">
        <v>1988.88</v>
      </c>
      <c r="F98" s="139">
        <v>729.4</v>
      </c>
      <c r="G98" s="139"/>
      <c r="H98" s="139">
        <v>400.55</v>
      </c>
      <c r="I98" s="139"/>
      <c r="J98" s="139"/>
      <c r="K98" s="139"/>
      <c r="L98" s="150"/>
      <c r="M98" s="137"/>
    </row>
    <row r="99" spans="1:13" ht="13">
      <c r="A99" s="138">
        <v>44569</v>
      </c>
      <c r="B99" s="3" t="s">
        <v>177</v>
      </c>
      <c r="C99" s="139">
        <v>3240.62</v>
      </c>
      <c r="D99" s="139">
        <v>438.4</v>
      </c>
      <c r="E99" s="139">
        <v>1939.32</v>
      </c>
      <c r="F99" s="139">
        <v>710.8</v>
      </c>
      <c r="G99" s="139"/>
      <c r="H99" s="139">
        <v>394.53</v>
      </c>
      <c r="I99" s="139"/>
      <c r="J99" s="139"/>
      <c r="K99" s="139"/>
      <c r="L99" s="150"/>
      <c r="M99" s="137"/>
    </row>
    <row r="100" spans="1:13" ht="13">
      <c r="A100" s="140">
        <v>44569</v>
      </c>
      <c r="B100" s="141" t="s">
        <v>178</v>
      </c>
      <c r="C100" s="142">
        <v>3251.08</v>
      </c>
      <c r="D100" s="142">
        <v>443</v>
      </c>
      <c r="E100" s="142">
        <v>1942</v>
      </c>
      <c r="F100" s="142">
        <v>715.8</v>
      </c>
      <c r="G100" s="142"/>
      <c r="H100" s="142">
        <v>397.51</v>
      </c>
      <c r="I100" s="142">
        <v>4.8499999999999996</v>
      </c>
      <c r="J100" s="142">
        <v>2.95</v>
      </c>
      <c r="K100" s="142"/>
      <c r="L100" s="150"/>
      <c r="M100" s="137"/>
    </row>
    <row r="101" spans="1:13" ht="13">
      <c r="A101" s="138">
        <v>44569</v>
      </c>
      <c r="B101" s="3" t="s">
        <v>14</v>
      </c>
      <c r="C101" s="139">
        <v>2329300</v>
      </c>
      <c r="D101" s="139">
        <v>20813417</v>
      </c>
      <c r="E101" s="139">
        <v>2981669</v>
      </c>
      <c r="F101" s="139">
        <v>392865</v>
      </c>
      <c r="G101" s="139"/>
      <c r="H101" s="139">
        <v>2359800</v>
      </c>
      <c r="I101" s="139"/>
      <c r="J101" s="139"/>
      <c r="K101" s="139"/>
      <c r="L101" s="150"/>
      <c r="M101" s="137"/>
    </row>
    <row r="102" spans="1:13" ht="13">
      <c r="A102" s="138">
        <v>44569</v>
      </c>
      <c r="B102" s="3" t="s">
        <v>179</v>
      </c>
      <c r="C102" s="139" t="s">
        <v>174</v>
      </c>
      <c r="D102" s="139" t="s">
        <v>174</v>
      </c>
      <c r="E102" s="139" t="s">
        <v>174</v>
      </c>
      <c r="F102" s="139" t="s">
        <v>174</v>
      </c>
      <c r="G102" s="139">
        <v>11.84</v>
      </c>
      <c r="H102" s="139" t="s">
        <v>174</v>
      </c>
      <c r="I102" s="139"/>
      <c r="J102" s="139"/>
      <c r="K102" s="139"/>
      <c r="L102" s="150"/>
      <c r="M102" s="137"/>
    </row>
    <row r="103" spans="1:13" ht="13">
      <c r="A103" s="143">
        <v>44569</v>
      </c>
      <c r="B103" s="144" t="s">
        <v>180</v>
      </c>
      <c r="C103" s="145" t="s">
        <v>174</v>
      </c>
      <c r="D103" s="145" t="s">
        <v>174</v>
      </c>
      <c r="E103" s="145" t="s">
        <v>174</v>
      </c>
      <c r="F103" s="145" t="s">
        <v>174</v>
      </c>
      <c r="G103" s="145">
        <v>14.260000000000002</v>
      </c>
      <c r="H103" s="145" t="s">
        <v>174</v>
      </c>
      <c r="I103" s="145"/>
      <c r="J103" s="145"/>
      <c r="K103" s="145"/>
      <c r="L103" s="150"/>
      <c r="M103" s="137"/>
    </row>
    <row r="104" spans="1:13" ht="13">
      <c r="A104" s="134">
        <v>44570</v>
      </c>
      <c r="B104" s="135" t="s">
        <v>175</v>
      </c>
      <c r="C104" s="136">
        <v>3276.78</v>
      </c>
      <c r="D104" s="136">
        <v>445</v>
      </c>
      <c r="E104" s="136">
        <v>1975</v>
      </c>
      <c r="F104" s="136">
        <v>727.4</v>
      </c>
      <c r="G104" s="136"/>
      <c r="H104" s="136">
        <v>397.67</v>
      </c>
      <c r="I104" s="136"/>
      <c r="J104" s="136"/>
      <c r="K104" s="136"/>
      <c r="L104" s="150"/>
      <c r="M104" s="137"/>
    </row>
    <row r="105" spans="1:13" ht="13">
      <c r="A105" s="138">
        <v>44570</v>
      </c>
      <c r="B105" s="3" t="s">
        <v>176</v>
      </c>
      <c r="C105" s="139">
        <v>3304.87</v>
      </c>
      <c r="D105" s="139">
        <v>448.4</v>
      </c>
      <c r="E105" s="139">
        <v>1988.88</v>
      </c>
      <c r="F105" s="139">
        <v>729.4</v>
      </c>
      <c r="G105" s="139"/>
      <c r="H105" s="139">
        <v>400.55</v>
      </c>
      <c r="I105" s="139"/>
      <c r="J105" s="139"/>
      <c r="K105" s="139"/>
      <c r="L105" s="150"/>
      <c r="M105" s="137"/>
    </row>
    <row r="106" spans="1:13" ht="13">
      <c r="A106" s="138">
        <v>44570</v>
      </c>
      <c r="B106" s="3" t="s">
        <v>177</v>
      </c>
      <c r="C106" s="139">
        <v>3240.62</v>
      </c>
      <c r="D106" s="139">
        <v>438.4</v>
      </c>
      <c r="E106" s="139">
        <v>1939.32</v>
      </c>
      <c r="F106" s="139">
        <v>710.8</v>
      </c>
      <c r="G106" s="139"/>
      <c r="H106" s="139">
        <v>394.53</v>
      </c>
      <c r="I106" s="139"/>
      <c r="J106" s="139"/>
      <c r="K106" s="139"/>
      <c r="L106" s="150"/>
      <c r="M106" s="137"/>
    </row>
    <row r="107" spans="1:13" ht="13">
      <c r="A107" s="140">
        <v>44570</v>
      </c>
      <c r="B107" s="141" t="s">
        <v>178</v>
      </c>
      <c r="C107" s="142">
        <v>3251.08</v>
      </c>
      <c r="D107" s="142">
        <v>443</v>
      </c>
      <c r="E107" s="142">
        <v>1942</v>
      </c>
      <c r="F107" s="142">
        <v>715.8</v>
      </c>
      <c r="G107" s="142"/>
      <c r="H107" s="142">
        <v>397.51</v>
      </c>
      <c r="I107" s="142">
        <v>4.75</v>
      </c>
      <c r="J107" s="142">
        <v>2.85</v>
      </c>
      <c r="K107" s="142"/>
      <c r="L107" s="150"/>
      <c r="M107" s="137"/>
    </row>
    <row r="108" spans="1:13" ht="13">
      <c r="A108" s="138">
        <v>44570</v>
      </c>
      <c r="B108" s="3" t="s">
        <v>14</v>
      </c>
      <c r="C108" s="139">
        <v>2329300</v>
      </c>
      <c r="D108" s="139">
        <v>20813417</v>
      </c>
      <c r="E108" s="139">
        <v>2981669</v>
      </c>
      <c r="F108" s="139">
        <v>392865</v>
      </c>
      <c r="G108" s="139"/>
      <c r="H108" s="139">
        <v>2359800</v>
      </c>
      <c r="I108" s="139"/>
      <c r="J108" s="139"/>
      <c r="K108" s="139"/>
      <c r="L108" s="150"/>
      <c r="M108" s="137"/>
    </row>
    <row r="109" spans="1:13" ht="13">
      <c r="A109" s="138">
        <v>44570</v>
      </c>
      <c r="B109" s="3" t="s">
        <v>179</v>
      </c>
      <c r="C109" s="139" t="s">
        <v>174</v>
      </c>
      <c r="D109" s="139" t="s">
        <v>174</v>
      </c>
      <c r="E109" s="139" t="s">
        <v>174</v>
      </c>
      <c r="F109" s="139" t="s">
        <v>174</v>
      </c>
      <c r="G109" s="139">
        <v>11.79</v>
      </c>
      <c r="H109" s="139" t="s">
        <v>174</v>
      </c>
      <c r="I109" s="139"/>
      <c r="J109" s="139"/>
      <c r="K109" s="139"/>
      <c r="L109" s="150"/>
      <c r="M109" s="137"/>
    </row>
    <row r="110" spans="1:13" ht="13">
      <c r="A110" s="143">
        <v>44570</v>
      </c>
      <c r="B110" s="144" t="s">
        <v>180</v>
      </c>
      <c r="C110" s="145" t="s">
        <v>174</v>
      </c>
      <c r="D110" s="145" t="s">
        <v>174</v>
      </c>
      <c r="E110" s="145" t="s">
        <v>174</v>
      </c>
      <c r="F110" s="145" t="s">
        <v>174</v>
      </c>
      <c r="G110" s="145">
        <v>14.21</v>
      </c>
      <c r="H110" s="145" t="s">
        <v>174</v>
      </c>
      <c r="I110" s="145"/>
      <c r="J110" s="145"/>
      <c r="K110" s="145"/>
      <c r="L110" s="150"/>
      <c r="M110" s="137"/>
    </row>
    <row r="111" spans="1:13" ht="13">
      <c r="A111" s="134">
        <v>44571</v>
      </c>
      <c r="B111" s="135" t="s">
        <v>175</v>
      </c>
      <c r="C111" s="136">
        <v>3211.71</v>
      </c>
      <c r="D111" s="136">
        <v>434.82900000000001</v>
      </c>
      <c r="E111" s="136">
        <v>1928.01</v>
      </c>
      <c r="F111" s="136">
        <v>724.2</v>
      </c>
      <c r="G111" s="136"/>
      <c r="H111" s="136">
        <v>401.32</v>
      </c>
      <c r="I111" s="136"/>
      <c r="J111" s="136"/>
      <c r="K111" s="136"/>
      <c r="L111" s="133"/>
      <c r="M111" s="137"/>
    </row>
    <row r="112" spans="1:13" ht="13">
      <c r="A112" s="138">
        <v>44571</v>
      </c>
      <c r="B112" s="3" t="s">
        <v>176</v>
      </c>
      <c r="C112" s="139">
        <v>3233.23</v>
      </c>
      <c r="D112" s="139">
        <v>443.75900000000001</v>
      </c>
      <c r="E112" s="139">
        <v>1977</v>
      </c>
      <c r="F112" s="139">
        <v>725.3</v>
      </c>
      <c r="G112" s="139"/>
      <c r="H112" s="139">
        <v>404.37</v>
      </c>
      <c r="I112" s="139"/>
      <c r="J112" s="139"/>
      <c r="K112" s="139"/>
      <c r="L112" s="133"/>
      <c r="M112" s="137"/>
    </row>
    <row r="113" spans="1:13" ht="13">
      <c r="A113" s="138">
        <v>44571</v>
      </c>
      <c r="B113" s="3" t="s">
        <v>177</v>
      </c>
      <c r="C113" s="139">
        <v>3126.09</v>
      </c>
      <c r="D113" s="139">
        <v>429.39400000000001</v>
      </c>
      <c r="E113" s="139">
        <v>1917.55</v>
      </c>
      <c r="F113" s="139">
        <v>701.4</v>
      </c>
      <c r="G113" s="139"/>
      <c r="H113" s="139">
        <v>394.22</v>
      </c>
      <c r="I113" s="139"/>
      <c r="J113" s="139"/>
      <c r="K113" s="139"/>
      <c r="L113" s="133"/>
      <c r="M113" s="137"/>
    </row>
    <row r="114" spans="1:13" ht="13">
      <c r="A114" s="140">
        <v>44571</v>
      </c>
      <c r="B114" s="141" t="s">
        <v>178</v>
      </c>
      <c r="C114" s="142">
        <v>3229.72</v>
      </c>
      <c r="D114" s="142">
        <v>439.87700000000001</v>
      </c>
      <c r="E114" s="142">
        <v>1966</v>
      </c>
      <c r="F114" s="142">
        <v>702.7</v>
      </c>
      <c r="G114" s="142"/>
      <c r="H114" s="142">
        <v>399.17</v>
      </c>
      <c r="I114" s="142">
        <v>4.6500000000000004</v>
      </c>
      <c r="J114" s="142">
        <v>2.75</v>
      </c>
      <c r="K114" s="142"/>
      <c r="L114" s="133"/>
      <c r="M114" s="137"/>
    </row>
    <row r="115" spans="1:13" ht="13">
      <c r="A115" s="138">
        <v>44571</v>
      </c>
      <c r="B115" s="3" t="s">
        <v>14</v>
      </c>
      <c r="C115" s="139">
        <v>4389900</v>
      </c>
      <c r="D115" s="139">
        <v>20153237</v>
      </c>
      <c r="E115" s="139">
        <v>2962670</v>
      </c>
      <c r="F115" s="139">
        <v>420089</v>
      </c>
      <c r="G115" s="139"/>
      <c r="H115" s="139">
        <v>3009400</v>
      </c>
      <c r="I115" s="139"/>
      <c r="J115" s="139"/>
      <c r="K115" s="139"/>
      <c r="L115" s="133"/>
      <c r="M115" s="137"/>
    </row>
    <row r="116" spans="1:13" ht="13">
      <c r="A116" s="138">
        <v>44571</v>
      </c>
      <c r="B116" s="3" t="s">
        <v>179</v>
      </c>
      <c r="C116" s="139" t="s">
        <v>174</v>
      </c>
      <c r="D116" s="139" t="s">
        <v>174</v>
      </c>
      <c r="E116" s="139" t="s">
        <v>174</v>
      </c>
      <c r="F116" s="139" t="s">
        <v>174</v>
      </c>
      <c r="G116" s="139">
        <v>11.739999999999998</v>
      </c>
      <c r="H116" s="139" t="s">
        <v>174</v>
      </c>
      <c r="I116" s="139"/>
      <c r="J116" s="139"/>
      <c r="K116" s="139"/>
      <c r="L116" s="133"/>
      <c r="M116" s="137"/>
    </row>
    <row r="117" spans="1:13" ht="13">
      <c r="A117" s="143">
        <v>44571</v>
      </c>
      <c r="B117" s="144" t="s">
        <v>180</v>
      </c>
      <c r="C117" s="145" t="s">
        <v>174</v>
      </c>
      <c r="D117" s="145" t="s">
        <v>174</v>
      </c>
      <c r="E117" s="145" t="s">
        <v>174</v>
      </c>
      <c r="F117" s="145" t="s">
        <v>174</v>
      </c>
      <c r="G117" s="145">
        <v>14.16</v>
      </c>
      <c r="H117" s="145" t="s">
        <v>174</v>
      </c>
      <c r="I117" s="145"/>
      <c r="J117" s="145"/>
      <c r="K117" s="145"/>
      <c r="L117" s="133"/>
      <c r="M117" s="137"/>
    </row>
    <row r="118" spans="1:13" ht="13">
      <c r="A118" s="134">
        <v>44572</v>
      </c>
      <c r="B118" s="135" t="s">
        <v>175</v>
      </c>
      <c r="C118" s="136">
        <v>3230</v>
      </c>
      <c r="D118" s="136">
        <v>444.53500000000003</v>
      </c>
      <c r="E118" s="136">
        <v>1948</v>
      </c>
      <c r="F118" s="136">
        <v>718.1</v>
      </c>
      <c r="G118" s="136"/>
      <c r="H118" s="136">
        <v>400.25</v>
      </c>
      <c r="I118" s="136"/>
      <c r="J118" s="136"/>
      <c r="K118" s="136"/>
      <c r="L118" s="133"/>
      <c r="M118" s="137"/>
    </row>
    <row r="119" spans="1:13" ht="13">
      <c r="A119" s="138">
        <v>44572</v>
      </c>
      <c r="B119" s="3" t="s">
        <v>176</v>
      </c>
      <c r="C119" s="139">
        <v>3327</v>
      </c>
      <c r="D119" s="139">
        <v>448.41800000000001</v>
      </c>
      <c r="E119" s="139">
        <v>1965</v>
      </c>
      <c r="F119" s="139">
        <v>721.1</v>
      </c>
      <c r="G119" s="139"/>
      <c r="H119" s="139">
        <v>403.34</v>
      </c>
      <c r="I119" s="139"/>
      <c r="J119" s="139"/>
      <c r="K119" s="139"/>
      <c r="L119" s="133"/>
      <c r="M119" s="137"/>
    </row>
    <row r="120" spans="1:13" ht="13">
      <c r="A120" s="138">
        <v>44572</v>
      </c>
      <c r="B120" s="3" t="s">
        <v>177</v>
      </c>
      <c r="C120" s="139">
        <v>3214.03</v>
      </c>
      <c r="D120" s="139">
        <v>440.84699999999998</v>
      </c>
      <c r="E120" s="139">
        <v>1931.17</v>
      </c>
      <c r="F120" s="139">
        <v>704.2</v>
      </c>
      <c r="G120" s="139"/>
      <c r="H120" s="139">
        <v>396.31</v>
      </c>
      <c r="I120" s="139"/>
      <c r="J120" s="139"/>
      <c r="K120" s="139"/>
      <c r="L120" s="133"/>
      <c r="M120" s="137"/>
    </row>
    <row r="121" spans="1:13" ht="13">
      <c r="A121" s="140">
        <v>44572</v>
      </c>
      <c r="B121" s="141" t="s">
        <v>178</v>
      </c>
      <c r="C121" s="142">
        <v>3307.24</v>
      </c>
      <c r="D121" s="142">
        <v>446.47699999999998</v>
      </c>
      <c r="E121" s="142">
        <v>1940.55</v>
      </c>
      <c r="F121" s="142">
        <v>710</v>
      </c>
      <c r="G121" s="142"/>
      <c r="H121" s="142">
        <v>403.05</v>
      </c>
      <c r="I121" s="142">
        <v>4.55</v>
      </c>
      <c r="J121" s="142">
        <v>2.65</v>
      </c>
      <c r="K121" s="142"/>
      <c r="L121" s="133"/>
      <c r="M121" s="137"/>
    </row>
    <row r="122" spans="1:13" ht="13">
      <c r="A122" s="138">
        <v>44572</v>
      </c>
      <c r="B122" s="3" t="s">
        <v>14</v>
      </c>
      <c r="C122" s="139">
        <v>3140300</v>
      </c>
      <c r="D122" s="139">
        <v>16902063</v>
      </c>
      <c r="E122" s="139">
        <v>2227664</v>
      </c>
      <c r="F122" s="139">
        <v>370056</v>
      </c>
      <c r="G122" s="139"/>
      <c r="H122" s="139">
        <v>1748800</v>
      </c>
      <c r="I122" s="139"/>
      <c r="J122" s="139"/>
      <c r="K122" s="139"/>
      <c r="L122" s="133"/>
      <c r="M122" s="137"/>
    </row>
    <row r="123" spans="1:13" ht="13">
      <c r="A123" s="138">
        <v>44572</v>
      </c>
      <c r="B123" s="3" t="s">
        <v>179</v>
      </c>
      <c r="C123" s="139" t="s">
        <v>174</v>
      </c>
      <c r="D123" s="139" t="s">
        <v>174</v>
      </c>
      <c r="E123" s="139" t="s">
        <v>174</v>
      </c>
      <c r="F123" s="139" t="s">
        <v>174</v>
      </c>
      <c r="G123" s="139">
        <v>11.69</v>
      </c>
      <c r="H123" s="139" t="s">
        <v>174</v>
      </c>
      <c r="I123" s="139"/>
      <c r="J123" s="139"/>
      <c r="K123" s="139"/>
      <c r="L123" s="133"/>
      <c r="M123" s="137"/>
    </row>
    <row r="124" spans="1:13" ht="13">
      <c r="A124" s="143">
        <v>44572</v>
      </c>
      <c r="B124" s="144" t="s">
        <v>180</v>
      </c>
      <c r="C124" s="145" t="s">
        <v>174</v>
      </c>
      <c r="D124" s="145" t="s">
        <v>174</v>
      </c>
      <c r="E124" s="145" t="s">
        <v>174</v>
      </c>
      <c r="F124" s="145" t="s">
        <v>174</v>
      </c>
      <c r="G124" s="145">
        <v>14.110000000000001</v>
      </c>
      <c r="H124" s="145" t="s">
        <v>174</v>
      </c>
      <c r="I124" s="145"/>
      <c r="J124" s="145"/>
      <c r="K124" s="145"/>
      <c r="L124" s="133"/>
      <c r="M124" s="137"/>
    </row>
    <row r="125" spans="1:13" ht="13">
      <c r="A125" s="134">
        <v>44573</v>
      </c>
      <c r="B125" s="135" t="s">
        <v>175</v>
      </c>
      <c r="C125" s="136">
        <v>3331.5</v>
      </c>
      <c r="D125" s="136">
        <v>457.93</v>
      </c>
      <c r="E125" s="136">
        <v>1948</v>
      </c>
      <c r="F125" s="136">
        <v>717.1</v>
      </c>
      <c r="G125" s="136"/>
      <c r="H125" s="136">
        <v>403.24</v>
      </c>
      <c r="I125" s="136"/>
      <c r="J125" s="136"/>
      <c r="K125" s="136"/>
      <c r="L125" s="133"/>
      <c r="M125" s="137"/>
    </row>
    <row r="126" spans="1:13" ht="13">
      <c r="A126" s="138">
        <v>44573</v>
      </c>
      <c r="B126" s="3" t="s">
        <v>176</v>
      </c>
      <c r="C126" s="139">
        <v>3337.56</v>
      </c>
      <c r="D126" s="139">
        <v>466.66500000000002</v>
      </c>
      <c r="E126" s="139">
        <v>1978.8</v>
      </c>
      <c r="F126" s="139">
        <v>718.3</v>
      </c>
      <c r="G126" s="139"/>
      <c r="H126" s="139">
        <v>404.12</v>
      </c>
      <c r="I126" s="139"/>
      <c r="J126" s="139"/>
      <c r="K126" s="139"/>
      <c r="L126" s="133"/>
      <c r="M126" s="137"/>
    </row>
    <row r="127" spans="1:13" ht="13">
      <c r="A127" s="138">
        <v>44573</v>
      </c>
      <c r="B127" s="3" t="s">
        <v>177</v>
      </c>
      <c r="C127" s="139">
        <v>3288.34</v>
      </c>
      <c r="D127" s="139">
        <v>455.40600000000001</v>
      </c>
      <c r="E127" s="139">
        <v>1948</v>
      </c>
      <c r="F127" s="139">
        <v>700.5</v>
      </c>
      <c r="G127" s="139"/>
      <c r="H127" s="139">
        <v>388.56</v>
      </c>
      <c r="I127" s="139"/>
      <c r="J127" s="139"/>
      <c r="K127" s="139"/>
      <c r="L127" s="133"/>
      <c r="M127" s="137"/>
    </row>
    <row r="128" spans="1:13" ht="13">
      <c r="A128" s="140">
        <v>44573</v>
      </c>
      <c r="B128" s="141" t="s">
        <v>178</v>
      </c>
      <c r="C128" s="142">
        <v>3304.14</v>
      </c>
      <c r="D128" s="142">
        <v>466.66500000000002</v>
      </c>
      <c r="E128" s="142">
        <v>1967</v>
      </c>
      <c r="F128" s="142">
        <v>708.7</v>
      </c>
      <c r="G128" s="142"/>
      <c r="H128" s="142">
        <v>390.31</v>
      </c>
      <c r="I128" s="142">
        <v>4.45</v>
      </c>
      <c r="J128" s="142">
        <v>2.5500000000000003</v>
      </c>
      <c r="K128" s="142"/>
      <c r="L128" s="133"/>
      <c r="M128" s="137"/>
    </row>
    <row r="129" spans="1:13" ht="13">
      <c r="A129" s="138">
        <v>44573</v>
      </c>
      <c r="B129" s="3" t="s">
        <v>14</v>
      </c>
      <c r="C129" s="139">
        <v>2501500</v>
      </c>
      <c r="D129" s="139">
        <v>29130943</v>
      </c>
      <c r="E129" s="139">
        <v>2747410</v>
      </c>
      <c r="F129" s="139">
        <v>432438</v>
      </c>
      <c r="G129" s="139"/>
      <c r="H129" s="139">
        <v>4158000</v>
      </c>
      <c r="I129" s="139"/>
      <c r="J129" s="139"/>
      <c r="K129" s="139"/>
      <c r="L129" s="133"/>
      <c r="M129" s="137"/>
    </row>
    <row r="130" spans="1:13" ht="13">
      <c r="A130" s="138">
        <v>44573</v>
      </c>
      <c r="B130" s="3" t="s">
        <v>179</v>
      </c>
      <c r="C130" s="139" t="s">
        <v>174</v>
      </c>
      <c r="D130" s="139" t="s">
        <v>174</v>
      </c>
      <c r="E130" s="139" t="s">
        <v>174</v>
      </c>
      <c r="F130" s="139" t="s">
        <v>174</v>
      </c>
      <c r="G130" s="139">
        <v>11.639999999999999</v>
      </c>
      <c r="H130" s="139" t="s">
        <v>174</v>
      </c>
      <c r="I130" s="139"/>
      <c r="J130" s="139"/>
      <c r="K130" s="139"/>
      <c r="L130" s="133"/>
      <c r="M130" s="137"/>
    </row>
    <row r="131" spans="1:13" ht="13">
      <c r="A131" s="143">
        <v>44573</v>
      </c>
      <c r="B131" s="144" t="s">
        <v>180</v>
      </c>
      <c r="C131" s="145" t="s">
        <v>174</v>
      </c>
      <c r="D131" s="145" t="s">
        <v>174</v>
      </c>
      <c r="E131" s="145" t="s">
        <v>174</v>
      </c>
      <c r="F131" s="145" t="s">
        <v>174</v>
      </c>
      <c r="G131" s="145">
        <v>14.06</v>
      </c>
      <c r="H131" s="145" t="s">
        <v>174</v>
      </c>
      <c r="I131" s="145"/>
      <c r="J131" s="145"/>
      <c r="K131" s="145"/>
      <c r="L131" s="133"/>
      <c r="M131" s="137"/>
    </row>
    <row r="132" spans="1:13" ht="13">
      <c r="A132" s="134">
        <v>44574</v>
      </c>
      <c r="B132" s="135" t="s">
        <v>175</v>
      </c>
      <c r="C132" s="136">
        <v>3305.01</v>
      </c>
      <c r="D132" s="136">
        <v>471.71199999999999</v>
      </c>
      <c r="E132" s="136">
        <v>1964.82</v>
      </c>
      <c r="F132" s="136">
        <v>702.1</v>
      </c>
      <c r="G132" s="136"/>
      <c r="H132" s="136">
        <v>394.05</v>
      </c>
      <c r="I132" s="136"/>
      <c r="J132" s="136"/>
      <c r="K132" s="136"/>
      <c r="L132" s="133"/>
      <c r="M132" s="137"/>
    </row>
    <row r="133" spans="1:13" ht="13">
      <c r="A133" s="138">
        <v>44574</v>
      </c>
      <c r="B133" s="3" t="s">
        <v>176</v>
      </c>
      <c r="C133" s="139">
        <v>3324.43</v>
      </c>
      <c r="D133" s="139">
        <v>471.71199999999999</v>
      </c>
      <c r="E133" s="139">
        <v>1967.99</v>
      </c>
      <c r="F133" s="139">
        <v>704.8</v>
      </c>
      <c r="G133" s="139"/>
      <c r="H133" s="139">
        <v>396.87</v>
      </c>
      <c r="I133" s="139"/>
      <c r="J133" s="139"/>
      <c r="K133" s="139"/>
      <c r="L133" s="133"/>
      <c r="M133" s="137"/>
    </row>
    <row r="134" spans="1:13" ht="13">
      <c r="A134" s="138">
        <v>44574</v>
      </c>
      <c r="B134" s="3" t="s">
        <v>177</v>
      </c>
      <c r="C134" s="139">
        <v>3221.82</v>
      </c>
      <c r="D134" s="139">
        <v>458.512</v>
      </c>
      <c r="E134" s="139">
        <v>1865.56</v>
      </c>
      <c r="F134" s="139">
        <v>685.4</v>
      </c>
      <c r="G134" s="139"/>
      <c r="H134" s="139">
        <v>389.75</v>
      </c>
      <c r="I134" s="139"/>
      <c r="J134" s="139"/>
      <c r="K134" s="139"/>
      <c r="L134" s="133"/>
      <c r="M134" s="137"/>
    </row>
    <row r="135" spans="1:13" ht="13">
      <c r="A135" s="140">
        <v>44574</v>
      </c>
      <c r="B135" s="141" t="s">
        <v>178</v>
      </c>
      <c r="C135" s="142">
        <v>3224.28</v>
      </c>
      <c r="D135" s="142">
        <v>461.23</v>
      </c>
      <c r="E135" s="142">
        <v>1877.39</v>
      </c>
      <c r="F135" s="142">
        <v>690</v>
      </c>
      <c r="G135" s="142"/>
      <c r="H135" s="142">
        <v>390.8</v>
      </c>
      <c r="I135" s="142">
        <v>4.3499999999999996</v>
      </c>
      <c r="J135" s="142">
        <v>2.4500000000000002</v>
      </c>
      <c r="K135" s="142"/>
      <c r="L135" s="133"/>
      <c r="M135" s="137"/>
    </row>
    <row r="136" spans="1:13" ht="13">
      <c r="A136" s="138">
        <v>44574</v>
      </c>
      <c r="B136" s="3" t="s">
        <v>14</v>
      </c>
      <c r="C136" s="139">
        <v>2609400</v>
      </c>
      <c r="D136" s="139">
        <v>18863209</v>
      </c>
      <c r="E136" s="139">
        <v>5674735</v>
      </c>
      <c r="F136" s="139">
        <v>478517</v>
      </c>
      <c r="G136" s="139"/>
      <c r="H136" s="139">
        <v>2497800</v>
      </c>
      <c r="I136" s="139"/>
      <c r="J136" s="139"/>
      <c r="K136" s="139"/>
      <c r="L136" s="133"/>
      <c r="M136" s="137"/>
    </row>
    <row r="137" spans="1:13" ht="13">
      <c r="A137" s="138">
        <v>44574</v>
      </c>
      <c r="B137" s="3" t="s">
        <v>179</v>
      </c>
      <c r="C137" s="139" t="s">
        <v>174</v>
      </c>
      <c r="D137" s="139" t="s">
        <v>174</v>
      </c>
      <c r="E137" s="139" t="s">
        <v>174</v>
      </c>
      <c r="F137" s="139" t="s">
        <v>174</v>
      </c>
      <c r="G137" s="139">
        <v>11.59</v>
      </c>
      <c r="H137" s="139" t="s">
        <v>174</v>
      </c>
      <c r="I137" s="139"/>
      <c r="J137" s="139"/>
      <c r="K137" s="139"/>
      <c r="L137" s="133"/>
      <c r="M137" s="137"/>
    </row>
    <row r="138" spans="1:13" ht="13">
      <c r="A138" s="143">
        <v>44574</v>
      </c>
      <c r="B138" s="144" t="s">
        <v>180</v>
      </c>
      <c r="C138" s="145" t="s">
        <v>174</v>
      </c>
      <c r="D138" s="145" t="s">
        <v>174</v>
      </c>
      <c r="E138" s="145" t="s">
        <v>174</v>
      </c>
      <c r="F138" s="145" t="s">
        <v>174</v>
      </c>
      <c r="G138" s="145">
        <v>14.010000000000002</v>
      </c>
      <c r="H138" s="145" t="s">
        <v>174</v>
      </c>
      <c r="I138" s="145"/>
      <c r="J138" s="145"/>
      <c r="K138" s="145"/>
      <c r="L138" s="133"/>
      <c r="M138" s="137"/>
    </row>
    <row r="139" spans="1:13" ht="13">
      <c r="A139" s="134">
        <v>44575</v>
      </c>
      <c r="B139" s="135" t="s">
        <v>175</v>
      </c>
      <c r="C139" s="136">
        <v>3203</v>
      </c>
      <c r="D139" s="136">
        <v>448.41800000000001</v>
      </c>
      <c r="E139" s="136">
        <v>1877.39</v>
      </c>
      <c r="F139" s="136">
        <v>683.7</v>
      </c>
      <c r="G139" s="136"/>
      <c r="H139" s="136">
        <v>382.13</v>
      </c>
      <c r="I139" s="136"/>
      <c r="J139" s="136"/>
      <c r="K139" s="136"/>
      <c r="L139" s="133"/>
      <c r="M139" s="137"/>
    </row>
    <row r="140" spans="1:13" ht="13">
      <c r="A140" s="138">
        <v>44575</v>
      </c>
      <c r="B140" s="3" t="s">
        <v>176</v>
      </c>
      <c r="C140" s="139">
        <v>3245</v>
      </c>
      <c r="D140" s="139">
        <v>460.25900000000001</v>
      </c>
      <c r="E140" s="139">
        <v>1893</v>
      </c>
      <c r="F140" s="139">
        <v>685.1</v>
      </c>
      <c r="G140" s="139"/>
      <c r="H140" s="139">
        <v>384.39</v>
      </c>
      <c r="I140" s="139"/>
      <c r="J140" s="139"/>
      <c r="K140" s="139"/>
      <c r="L140" s="133"/>
      <c r="M140" s="137"/>
    </row>
    <row r="141" spans="1:13" ht="13">
      <c r="A141" s="138">
        <v>44575</v>
      </c>
      <c r="B141" s="3" t="s">
        <v>177</v>
      </c>
      <c r="C141" s="139">
        <v>3196.01</v>
      </c>
      <c r="D141" s="139">
        <v>448.41800000000001</v>
      </c>
      <c r="E141" s="139">
        <v>1863</v>
      </c>
      <c r="F141" s="139">
        <v>675.2</v>
      </c>
      <c r="G141" s="139"/>
      <c r="H141" s="139">
        <v>375</v>
      </c>
      <c r="I141" s="139"/>
      <c r="J141" s="139"/>
      <c r="K141" s="139"/>
      <c r="L141" s="133"/>
      <c r="M141" s="137"/>
    </row>
    <row r="142" spans="1:13" ht="13">
      <c r="A142" s="140">
        <v>44575</v>
      </c>
      <c r="B142" s="141" t="s">
        <v>178</v>
      </c>
      <c r="C142" s="142">
        <v>3242.76</v>
      </c>
      <c r="D142" s="142">
        <v>459.483</v>
      </c>
      <c r="E142" s="142">
        <v>1867</v>
      </c>
      <c r="F142" s="142">
        <v>675.4</v>
      </c>
      <c r="G142" s="142"/>
      <c r="H142" s="142">
        <v>380.94</v>
      </c>
      <c r="I142" s="142">
        <v>4.25</v>
      </c>
      <c r="J142" s="142">
        <v>2.35</v>
      </c>
      <c r="K142" s="142"/>
      <c r="L142" s="133"/>
      <c r="M142" s="137"/>
    </row>
    <row r="143" spans="1:13" ht="13">
      <c r="A143" s="138">
        <v>44575</v>
      </c>
      <c r="B143" s="3" t="s">
        <v>14</v>
      </c>
      <c r="C143" s="139">
        <v>2295800</v>
      </c>
      <c r="D143" s="139">
        <v>14138429</v>
      </c>
      <c r="E143" s="139">
        <v>2932164</v>
      </c>
      <c r="F143" s="139">
        <v>517232</v>
      </c>
      <c r="G143" s="139"/>
      <c r="H143" s="139">
        <v>4682000</v>
      </c>
      <c r="I143" s="139"/>
      <c r="J143" s="139"/>
      <c r="K143" s="139"/>
      <c r="L143" s="133"/>
      <c r="M143" s="137"/>
    </row>
    <row r="144" spans="1:13" ht="13">
      <c r="A144" s="138">
        <v>44575</v>
      </c>
      <c r="B144" s="3" t="s">
        <v>179</v>
      </c>
      <c r="C144" s="139" t="s">
        <v>174</v>
      </c>
      <c r="D144" s="139" t="s">
        <v>174</v>
      </c>
      <c r="E144" s="139" t="s">
        <v>174</v>
      </c>
      <c r="F144" s="139" t="s">
        <v>174</v>
      </c>
      <c r="G144" s="139">
        <v>11.54</v>
      </c>
      <c r="H144" s="139" t="s">
        <v>174</v>
      </c>
      <c r="I144" s="139"/>
      <c r="J144" s="139"/>
      <c r="K144" s="139"/>
      <c r="L144" s="133"/>
      <c r="M144" s="137"/>
    </row>
    <row r="145" spans="1:13" ht="13">
      <c r="A145" s="143">
        <v>44575</v>
      </c>
      <c r="B145" s="144" t="s">
        <v>180</v>
      </c>
      <c r="C145" s="145" t="s">
        <v>174</v>
      </c>
      <c r="D145" s="145" t="s">
        <v>174</v>
      </c>
      <c r="E145" s="145" t="s">
        <v>174</v>
      </c>
      <c r="F145" s="145" t="s">
        <v>174</v>
      </c>
      <c r="G145" s="145">
        <v>13.96</v>
      </c>
      <c r="H145" s="145" t="s">
        <v>174</v>
      </c>
      <c r="I145" s="145"/>
      <c r="J145" s="145"/>
      <c r="K145" s="145"/>
      <c r="L145" s="133"/>
      <c r="M145" s="137"/>
    </row>
    <row r="146" spans="1:13" ht="13">
      <c r="A146" s="134">
        <f t="shared" ref="A146:A243" si="5">A139+1</f>
        <v>44576</v>
      </c>
      <c r="B146" s="135" t="s">
        <v>9</v>
      </c>
      <c r="C146" s="136">
        <v>3203</v>
      </c>
      <c r="D146" s="136">
        <v>448.41800000000001</v>
      </c>
      <c r="E146" s="136">
        <v>1877.39</v>
      </c>
      <c r="F146" s="136">
        <v>683.7</v>
      </c>
      <c r="G146" s="136"/>
      <c r="H146" s="136">
        <v>382.13</v>
      </c>
      <c r="I146" s="136"/>
      <c r="J146" s="136"/>
      <c r="K146" s="136"/>
      <c r="L146" s="133"/>
      <c r="M146" s="137"/>
    </row>
    <row r="147" spans="1:13" ht="13">
      <c r="A147" s="138">
        <f t="shared" si="5"/>
        <v>44576</v>
      </c>
      <c r="B147" s="3" t="s">
        <v>10</v>
      </c>
      <c r="C147" s="139">
        <v>3245</v>
      </c>
      <c r="D147" s="139">
        <v>460.25900000000001</v>
      </c>
      <c r="E147" s="139">
        <v>1893</v>
      </c>
      <c r="F147" s="139">
        <v>685.1</v>
      </c>
      <c r="G147" s="139"/>
      <c r="H147" s="139">
        <v>384.39</v>
      </c>
      <c r="I147" s="139"/>
      <c r="J147" s="139"/>
      <c r="K147" s="139"/>
      <c r="L147" s="133"/>
      <c r="M147" s="137"/>
    </row>
    <row r="148" spans="1:13" ht="13">
      <c r="A148" s="138">
        <f t="shared" si="5"/>
        <v>44576</v>
      </c>
      <c r="B148" s="3" t="s">
        <v>11</v>
      </c>
      <c r="C148" s="139">
        <v>3196.01</v>
      </c>
      <c r="D148" s="139">
        <v>448.41800000000001</v>
      </c>
      <c r="E148" s="139">
        <v>1863</v>
      </c>
      <c r="F148" s="139">
        <v>675.2</v>
      </c>
      <c r="G148" s="139"/>
      <c r="H148" s="139">
        <v>375</v>
      </c>
      <c r="I148" s="139"/>
      <c r="J148" s="139"/>
      <c r="K148" s="139"/>
      <c r="L148" s="133"/>
      <c r="M148" s="137"/>
    </row>
    <row r="149" spans="1:13" ht="13">
      <c r="A149" s="140">
        <f t="shared" si="5"/>
        <v>44576</v>
      </c>
      <c r="B149" s="141" t="s">
        <v>181</v>
      </c>
      <c r="C149" s="142">
        <v>3242.76</v>
      </c>
      <c r="D149" s="142">
        <v>459.483</v>
      </c>
      <c r="E149" s="142">
        <v>1867</v>
      </c>
      <c r="F149" s="142">
        <v>675.4</v>
      </c>
      <c r="G149" s="142"/>
      <c r="H149" s="142">
        <v>380.94</v>
      </c>
      <c r="I149" s="142">
        <v>4.1500000000000004</v>
      </c>
      <c r="J149" s="142">
        <v>2.25</v>
      </c>
      <c r="K149" s="142"/>
      <c r="L149" s="133"/>
      <c r="M149" s="137"/>
    </row>
    <row r="150" spans="1:13" ht="13">
      <c r="A150" s="138">
        <f t="shared" si="5"/>
        <v>44576</v>
      </c>
      <c r="B150" s="3" t="s">
        <v>182</v>
      </c>
      <c r="C150" s="139">
        <v>2295800</v>
      </c>
      <c r="D150" s="139">
        <v>14138429</v>
      </c>
      <c r="E150" s="139">
        <v>2932164</v>
      </c>
      <c r="F150" s="139">
        <v>517232</v>
      </c>
      <c r="G150" s="139"/>
      <c r="H150" s="139">
        <v>4682000</v>
      </c>
      <c r="I150" s="139"/>
      <c r="J150" s="139"/>
      <c r="K150" s="139"/>
      <c r="L150" s="133"/>
      <c r="M150" s="137"/>
    </row>
    <row r="151" spans="1:13" ht="13">
      <c r="A151" s="138">
        <f t="shared" si="5"/>
        <v>44576</v>
      </c>
      <c r="B151" s="3" t="s">
        <v>179</v>
      </c>
      <c r="C151" s="139" t="s">
        <v>174</v>
      </c>
      <c r="D151" s="139" t="s">
        <v>174</v>
      </c>
      <c r="E151" s="139" t="s">
        <v>174</v>
      </c>
      <c r="F151" s="139" t="s">
        <v>174</v>
      </c>
      <c r="G151" s="139">
        <v>11.489999999999998</v>
      </c>
      <c r="H151" s="139" t="s">
        <v>174</v>
      </c>
      <c r="I151" s="139"/>
      <c r="J151" s="139"/>
      <c r="K151" s="139"/>
      <c r="L151" s="133"/>
      <c r="M151" s="137"/>
    </row>
    <row r="152" spans="1:13" ht="13">
      <c r="A152" s="143">
        <f t="shared" si="5"/>
        <v>44576</v>
      </c>
      <c r="B152" s="144" t="s">
        <v>180</v>
      </c>
      <c r="C152" s="145" t="s">
        <v>174</v>
      </c>
      <c r="D152" s="145" t="s">
        <v>174</v>
      </c>
      <c r="E152" s="145" t="s">
        <v>174</v>
      </c>
      <c r="F152" s="145" t="s">
        <v>174</v>
      </c>
      <c r="G152" s="145">
        <v>13.91</v>
      </c>
      <c r="H152" s="145" t="s">
        <v>174</v>
      </c>
      <c r="I152" s="145"/>
      <c r="J152" s="145"/>
      <c r="K152" s="145"/>
      <c r="L152" s="133"/>
      <c r="M152" s="137"/>
    </row>
    <row r="153" spans="1:13" ht="13">
      <c r="A153" s="134">
        <f t="shared" si="5"/>
        <v>44577</v>
      </c>
      <c r="B153" s="135" t="s">
        <v>9</v>
      </c>
      <c r="C153" s="136">
        <v>3203</v>
      </c>
      <c r="D153" s="136">
        <v>448.41800000000001</v>
      </c>
      <c r="E153" s="136">
        <v>1877.39</v>
      </c>
      <c r="F153" s="136">
        <v>683.7</v>
      </c>
      <c r="G153" s="136"/>
      <c r="H153" s="136">
        <v>382.13</v>
      </c>
      <c r="I153" s="136"/>
      <c r="J153" s="136"/>
      <c r="K153" s="136"/>
      <c r="L153" s="133"/>
      <c r="M153" s="137"/>
    </row>
    <row r="154" spans="1:13" ht="13">
      <c r="A154" s="138">
        <f t="shared" si="5"/>
        <v>44577</v>
      </c>
      <c r="B154" s="3" t="s">
        <v>10</v>
      </c>
      <c r="C154" s="139">
        <v>3245</v>
      </c>
      <c r="D154" s="139">
        <v>460.25900000000001</v>
      </c>
      <c r="E154" s="139">
        <v>1893</v>
      </c>
      <c r="F154" s="139">
        <v>685.1</v>
      </c>
      <c r="G154" s="139"/>
      <c r="H154" s="139">
        <v>384.39</v>
      </c>
      <c r="I154" s="139"/>
      <c r="J154" s="139"/>
      <c r="K154" s="139"/>
      <c r="L154" s="133"/>
      <c r="M154" s="137"/>
    </row>
    <row r="155" spans="1:13" ht="13">
      <c r="A155" s="138">
        <f t="shared" si="5"/>
        <v>44577</v>
      </c>
      <c r="B155" s="3" t="s">
        <v>11</v>
      </c>
      <c r="C155" s="139">
        <v>3196.01</v>
      </c>
      <c r="D155" s="139">
        <v>448.41800000000001</v>
      </c>
      <c r="E155" s="139">
        <v>1863</v>
      </c>
      <c r="F155" s="139">
        <v>675.2</v>
      </c>
      <c r="G155" s="139"/>
      <c r="H155" s="139">
        <v>375</v>
      </c>
      <c r="I155" s="139"/>
      <c r="J155" s="139"/>
      <c r="K155" s="139"/>
      <c r="L155" s="133"/>
      <c r="M155" s="137"/>
    </row>
    <row r="156" spans="1:13" ht="13">
      <c r="A156" s="140">
        <f t="shared" si="5"/>
        <v>44577</v>
      </c>
      <c r="B156" s="141" t="s">
        <v>181</v>
      </c>
      <c r="C156" s="142">
        <v>3242.76</v>
      </c>
      <c r="D156" s="142">
        <v>459.483</v>
      </c>
      <c r="E156" s="142">
        <v>1867</v>
      </c>
      <c r="F156" s="142">
        <v>675.4</v>
      </c>
      <c r="G156" s="142"/>
      <c r="H156" s="142">
        <v>380.94</v>
      </c>
      <c r="I156" s="142">
        <v>4.05</v>
      </c>
      <c r="J156" s="142">
        <v>2.15</v>
      </c>
      <c r="K156" s="142"/>
      <c r="L156" s="133"/>
      <c r="M156" s="137"/>
    </row>
    <row r="157" spans="1:13" ht="13">
      <c r="A157" s="138">
        <f t="shared" si="5"/>
        <v>44577</v>
      </c>
      <c r="B157" s="3" t="s">
        <v>182</v>
      </c>
      <c r="C157" s="139">
        <v>2295800</v>
      </c>
      <c r="D157" s="139">
        <v>14138429</v>
      </c>
      <c r="E157" s="139">
        <v>2932164</v>
      </c>
      <c r="F157" s="139">
        <v>517232</v>
      </c>
      <c r="G157" s="139"/>
      <c r="H157" s="139">
        <v>4682000</v>
      </c>
      <c r="I157" s="139"/>
      <c r="J157" s="139"/>
      <c r="K157" s="139"/>
      <c r="L157" s="133"/>
      <c r="M157" s="137"/>
    </row>
    <row r="158" spans="1:13" ht="13">
      <c r="A158" s="138">
        <f t="shared" si="5"/>
        <v>44577</v>
      </c>
      <c r="B158" s="3" t="s">
        <v>179</v>
      </c>
      <c r="C158" s="139" t="s">
        <v>174</v>
      </c>
      <c r="D158" s="139" t="s">
        <v>174</v>
      </c>
      <c r="E158" s="139" t="s">
        <v>174</v>
      </c>
      <c r="F158" s="139" t="s">
        <v>174</v>
      </c>
      <c r="G158" s="139">
        <v>11.44</v>
      </c>
      <c r="H158" s="139" t="s">
        <v>174</v>
      </c>
      <c r="I158" s="139"/>
      <c r="J158" s="139"/>
      <c r="K158" s="139"/>
      <c r="L158" s="133"/>
      <c r="M158" s="137"/>
    </row>
    <row r="159" spans="1:13" ht="13">
      <c r="A159" s="143">
        <f t="shared" si="5"/>
        <v>44577</v>
      </c>
      <c r="B159" s="144" t="s">
        <v>180</v>
      </c>
      <c r="C159" s="145" t="s">
        <v>174</v>
      </c>
      <c r="D159" s="145" t="s">
        <v>174</v>
      </c>
      <c r="E159" s="145" t="s">
        <v>174</v>
      </c>
      <c r="F159" s="145" t="s">
        <v>174</v>
      </c>
      <c r="G159" s="145">
        <v>13.860000000000001</v>
      </c>
      <c r="H159" s="145" t="s">
        <v>174</v>
      </c>
      <c r="I159" s="145"/>
      <c r="J159" s="145"/>
      <c r="K159" s="145"/>
      <c r="L159" s="133"/>
      <c r="M159" s="137"/>
    </row>
    <row r="160" spans="1:13" ht="13">
      <c r="A160" s="134">
        <f t="shared" si="5"/>
        <v>44578</v>
      </c>
      <c r="B160" s="135" t="s">
        <v>9</v>
      </c>
      <c r="C160" s="136">
        <v>3203</v>
      </c>
      <c r="D160" s="136">
        <v>458.12400000000002</v>
      </c>
      <c r="E160" s="136">
        <v>1868</v>
      </c>
      <c r="F160" s="136">
        <v>677.1</v>
      </c>
      <c r="G160" s="136"/>
      <c r="H160" s="136">
        <v>382.13</v>
      </c>
      <c r="I160" s="136"/>
      <c r="J160" s="136"/>
      <c r="K160" s="136"/>
      <c r="L160" s="133"/>
      <c r="M160" s="137"/>
    </row>
    <row r="161" spans="1:13" ht="13">
      <c r="A161" s="138">
        <f t="shared" si="5"/>
        <v>44578</v>
      </c>
      <c r="B161" s="3" t="s">
        <v>10</v>
      </c>
      <c r="C161" s="139">
        <v>3245</v>
      </c>
      <c r="D161" s="139">
        <v>459.87099999999998</v>
      </c>
      <c r="E161" s="139">
        <v>1878.3</v>
      </c>
      <c r="F161" s="139">
        <v>687.3</v>
      </c>
      <c r="G161" s="139"/>
      <c r="H161" s="139">
        <v>384.39</v>
      </c>
      <c r="I161" s="139"/>
      <c r="J161" s="139"/>
      <c r="K161" s="139"/>
      <c r="L161" s="133"/>
      <c r="M161" s="137"/>
    </row>
    <row r="162" spans="1:13" ht="13">
      <c r="A162" s="138">
        <f t="shared" si="5"/>
        <v>44578</v>
      </c>
      <c r="B162" s="3" t="s">
        <v>11</v>
      </c>
      <c r="C162" s="139">
        <v>3196.01</v>
      </c>
      <c r="D162" s="139">
        <v>450.35899999999998</v>
      </c>
      <c r="E162" s="139">
        <v>1835.34</v>
      </c>
      <c r="F162" s="139">
        <v>668.1</v>
      </c>
      <c r="G162" s="139"/>
      <c r="H162" s="139">
        <v>375</v>
      </c>
      <c r="I162" s="139"/>
      <c r="J162" s="139"/>
      <c r="K162" s="139"/>
      <c r="L162" s="133"/>
      <c r="M162" s="137"/>
    </row>
    <row r="163" spans="1:13" ht="13">
      <c r="A163" s="140">
        <f t="shared" si="5"/>
        <v>44578</v>
      </c>
      <c r="B163" s="141" t="s">
        <v>181</v>
      </c>
      <c r="C163" s="142">
        <v>3242.76</v>
      </c>
      <c r="D163" s="142">
        <v>451.91199999999998</v>
      </c>
      <c r="E163" s="142">
        <v>1861.61</v>
      </c>
      <c r="F163" s="142">
        <v>686.4</v>
      </c>
      <c r="G163" s="142"/>
      <c r="H163" s="142">
        <v>380.94</v>
      </c>
      <c r="I163" s="142">
        <v>3.95</v>
      </c>
      <c r="J163" s="142">
        <v>2.0500000000000003</v>
      </c>
      <c r="K163" s="142"/>
      <c r="L163" s="133"/>
      <c r="M163" s="137"/>
    </row>
    <row r="164" spans="1:13" ht="13">
      <c r="A164" s="138">
        <f t="shared" si="5"/>
        <v>44578</v>
      </c>
      <c r="B164" s="3" t="s">
        <v>182</v>
      </c>
      <c r="C164" s="139">
        <v>2295800</v>
      </c>
      <c r="D164" s="139">
        <v>13066889</v>
      </c>
      <c r="E164" s="139">
        <v>2735382</v>
      </c>
      <c r="F164" s="139">
        <v>261561</v>
      </c>
      <c r="G164" s="139"/>
      <c r="H164" s="139">
        <v>4682000</v>
      </c>
      <c r="I164" s="139"/>
      <c r="J164" s="139"/>
      <c r="K164" s="139"/>
      <c r="L164" s="133"/>
      <c r="M164" s="137"/>
    </row>
    <row r="165" spans="1:13" ht="13">
      <c r="A165" s="138">
        <f t="shared" si="5"/>
        <v>44578</v>
      </c>
      <c r="B165" s="3" t="s">
        <v>179</v>
      </c>
      <c r="C165" s="139" t="s">
        <v>174</v>
      </c>
      <c r="D165" s="139" t="s">
        <v>174</v>
      </c>
      <c r="E165" s="139" t="s">
        <v>174</v>
      </c>
      <c r="F165" s="139" t="s">
        <v>174</v>
      </c>
      <c r="G165" s="139">
        <v>11.389999999999999</v>
      </c>
      <c r="H165" s="139" t="s">
        <v>174</v>
      </c>
      <c r="I165" s="139"/>
      <c r="J165" s="139"/>
      <c r="K165" s="139"/>
      <c r="L165" s="133"/>
      <c r="M165" s="137"/>
    </row>
    <row r="166" spans="1:13" ht="13">
      <c r="A166" s="143">
        <f t="shared" si="5"/>
        <v>44578</v>
      </c>
      <c r="B166" s="144" t="s">
        <v>180</v>
      </c>
      <c r="C166" s="145" t="s">
        <v>174</v>
      </c>
      <c r="D166" s="145" t="s">
        <v>174</v>
      </c>
      <c r="E166" s="145" t="s">
        <v>174</v>
      </c>
      <c r="F166" s="145" t="s">
        <v>174</v>
      </c>
      <c r="G166" s="145">
        <v>13.81</v>
      </c>
      <c r="H166" s="145" t="s">
        <v>174</v>
      </c>
      <c r="I166" s="145"/>
      <c r="J166" s="145"/>
      <c r="K166" s="145"/>
      <c r="L166" s="133"/>
      <c r="M166" s="137"/>
    </row>
    <row r="167" spans="1:13" ht="13">
      <c r="A167" s="134">
        <f t="shared" si="5"/>
        <v>44579</v>
      </c>
      <c r="B167" s="135" t="s">
        <v>9</v>
      </c>
      <c r="C167" s="136">
        <v>3182.1</v>
      </c>
      <c r="D167" s="136">
        <v>454.04700000000003</v>
      </c>
      <c r="E167" s="136">
        <v>1861.68</v>
      </c>
      <c r="F167" s="136">
        <v>688.4</v>
      </c>
      <c r="G167" s="136"/>
      <c r="H167" s="136">
        <v>360.04</v>
      </c>
      <c r="I167" s="136"/>
      <c r="J167" s="136"/>
      <c r="K167" s="136"/>
      <c r="L167" s="133"/>
      <c r="M167" s="137"/>
    </row>
    <row r="168" spans="1:13" ht="13">
      <c r="A168" s="138">
        <f t="shared" si="5"/>
        <v>44579</v>
      </c>
      <c r="B168" s="3" t="s">
        <v>10</v>
      </c>
      <c r="C168" s="139">
        <v>3194.69</v>
      </c>
      <c r="D168" s="139">
        <v>457.15300000000002</v>
      </c>
      <c r="E168" s="139">
        <v>1908.85</v>
      </c>
      <c r="F168" s="139">
        <v>689</v>
      </c>
      <c r="G168" s="139"/>
      <c r="H168" s="139">
        <v>361.57</v>
      </c>
      <c r="I168" s="139"/>
      <c r="J168" s="139"/>
      <c r="K168" s="139"/>
      <c r="L168" s="133"/>
      <c r="M168" s="137"/>
    </row>
    <row r="169" spans="1:13" ht="13">
      <c r="A169" s="138">
        <f t="shared" si="5"/>
        <v>44579</v>
      </c>
      <c r="B169" s="3" t="s">
        <v>11</v>
      </c>
      <c r="C169" s="139">
        <v>3153.29</v>
      </c>
      <c r="D169" s="139">
        <v>437.54700000000003</v>
      </c>
      <c r="E169" s="139">
        <v>1852</v>
      </c>
      <c r="F169" s="139">
        <v>669.5</v>
      </c>
      <c r="G169" s="139"/>
      <c r="H169" s="139">
        <v>347.23</v>
      </c>
      <c r="I169" s="139"/>
      <c r="J169" s="139"/>
      <c r="K169" s="139"/>
      <c r="L169" s="133"/>
      <c r="M169" s="137"/>
    </row>
    <row r="170" spans="1:13" ht="13">
      <c r="A170" s="140">
        <f t="shared" si="5"/>
        <v>44579</v>
      </c>
      <c r="B170" s="141" t="s">
        <v>181</v>
      </c>
      <c r="C170" s="142">
        <v>3178.35</v>
      </c>
      <c r="D170" s="142">
        <v>439.488</v>
      </c>
      <c r="E170" s="142">
        <v>1892.27</v>
      </c>
      <c r="F170" s="142">
        <v>673</v>
      </c>
      <c r="G170" s="142"/>
      <c r="H170" s="142">
        <v>354.4</v>
      </c>
      <c r="I170" s="142">
        <v>3.85</v>
      </c>
      <c r="J170" s="142">
        <v>1.9500000000000002</v>
      </c>
      <c r="K170" s="142"/>
      <c r="L170" s="133"/>
      <c r="M170" s="137"/>
    </row>
    <row r="171" spans="1:13" ht="13">
      <c r="A171" s="138">
        <f t="shared" si="5"/>
        <v>44579</v>
      </c>
      <c r="B171" s="3" t="s">
        <v>182</v>
      </c>
      <c r="C171" s="139">
        <v>3364600</v>
      </c>
      <c r="D171" s="139">
        <v>24250731</v>
      </c>
      <c r="E171" s="139">
        <v>3121577</v>
      </c>
      <c r="F171" s="139">
        <v>395209</v>
      </c>
      <c r="G171" s="139"/>
      <c r="H171" s="139">
        <v>13123500</v>
      </c>
      <c r="I171" s="139"/>
      <c r="J171" s="139"/>
      <c r="K171" s="139"/>
      <c r="L171" s="133"/>
      <c r="M171" s="137"/>
    </row>
    <row r="172" spans="1:13" ht="13">
      <c r="A172" s="138">
        <f t="shared" si="5"/>
        <v>44579</v>
      </c>
      <c r="B172" s="3" t="s">
        <v>179</v>
      </c>
      <c r="C172" s="139" t="s">
        <v>174</v>
      </c>
      <c r="D172" s="139" t="s">
        <v>174</v>
      </c>
      <c r="E172" s="139" t="s">
        <v>174</v>
      </c>
      <c r="F172" s="139" t="s">
        <v>174</v>
      </c>
      <c r="G172" s="139">
        <v>11.34</v>
      </c>
      <c r="H172" s="139" t="s">
        <v>174</v>
      </c>
      <c r="I172" s="139"/>
      <c r="J172" s="139"/>
      <c r="K172" s="139"/>
      <c r="L172" s="133"/>
      <c r="M172" s="137"/>
    </row>
    <row r="173" spans="1:13" ht="13">
      <c r="A173" s="143">
        <f t="shared" si="5"/>
        <v>44579</v>
      </c>
      <c r="B173" s="144" t="s">
        <v>180</v>
      </c>
      <c r="C173" s="145" t="s">
        <v>174</v>
      </c>
      <c r="D173" s="145" t="s">
        <v>174</v>
      </c>
      <c r="E173" s="145" t="s">
        <v>174</v>
      </c>
      <c r="F173" s="145" t="s">
        <v>174</v>
      </c>
      <c r="G173" s="145">
        <v>13.760000000000002</v>
      </c>
      <c r="H173" s="145" t="s">
        <v>174</v>
      </c>
      <c r="I173" s="145"/>
      <c r="J173" s="145"/>
      <c r="K173" s="145"/>
      <c r="L173" s="133"/>
      <c r="M173" s="137"/>
    </row>
    <row r="174" spans="1:13" ht="13">
      <c r="A174" s="134">
        <f t="shared" si="5"/>
        <v>44580</v>
      </c>
      <c r="B174" s="135" t="s">
        <v>9</v>
      </c>
      <c r="C174" s="136">
        <v>3175.24</v>
      </c>
      <c r="D174" s="136">
        <v>439.68200000000002</v>
      </c>
      <c r="E174" s="136">
        <v>1919</v>
      </c>
      <c r="F174" s="136">
        <v>679.1</v>
      </c>
      <c r="G174" s="136"/>
      <c r="H174" s="136">
        <v>358.34</v>
      </c>
      <c r="I174" s="136"/>
      <c r="J174" s="136"/>
      <c r="K174" s="136"/>
      <c r="L174" s="133"/>
      <c r="M174" s="137"/>
    </row>
    <row r="175" spans="1:13" ht="13">
      <c r="A175" s="138">
        <f t="shared" si="5"/>
        <v>44580</v>
      </c>
      <c r="B175" s="3" t="s">
        <v>10</v>
      </c>
      <c r="C175" s="139">
        <v>3185</v>
      </c>
      <c r="D175" s="139">
        <v>444.53500000000003</v>
      </c>
      <c r="E175" s="139">
        <v>1919</v>
      </c>
      <c r="F175" s="139">
        <v>704.7</v>
      </c>
      <c r="G175" s="139"/>
      <c r="H175" s="139">
        <v>359.71</v>
      </c>
      <c r="I175" s="139"/>
      <c r="J175" s="139"/>
      <c r="K175" s="139"/>
      <c r="L175" s="133"/>
      <c r="M175" s="137"/>
    </row>
    <row r="176" spans="1:13" ht="13">
      <c r="A176" s="138">
        <f t="shared" si="5"/>
        <v>44580</v>
      </c>
      <c r="B176" s="3" t="s">
        <v>11</v>
      </c>
      <c r="C176" s="139">
        <v>3125</v>
      </c>
      <c r="D176" s="139">
        <v>436.77100000000002</v>
      </c>
      <c r="E176" s="139">
        <v>1888.88</v>
      </c>
      <c r="F176" s="139">
        <v>676.6</v>
      </c>
      <c r="G176" s="139"/>
      <c r="H176" s="139">
        <v>346.39</v>
      </c>
      <c r="I176" s="139"/>
      <c r="J176" s="139"/>
      <c r="K176" s="139"/>
      <c r="L176" s="133"/>
      <c r="M176" s="137"/>
    </row>
    <row r="177" spans="1:15" ht="13">
      <c r="A177" s="140">
        <f t="shared" si="5"/>
        <v>44580</v>
      </c>
      <c r="B177" s="141" t="s">
        <v>181</v>
      </c>
      <c r="C177" s="142">
        <v>3125.98</v>
      </c>
      <c r="D177" s="142">
        <v>442.4</v>
      </c>
      <c r="E177" s="142">
        <v>1912</v>
      </c>
      <c r="F177" s="142">
        <v>697.7</v>
      </c>
      <c r="G177" s="142"/>
      <c r="H177" s="142">
        <v>347.32</v>
      </c>
      <c r="I177" s="142">
        <v>3.75</v>
      </c>
      <c r="J177" s="142">
        <v>1.85</v>
      </c>
      <c r="K177" s="142"/>
      <c r="L177" s="133"/>
      <c r="M177" s="137"/>
    </row>
    <row r="178" spans="1:15" ht="13">
      <c r="A178" s="138">
        <f t="shared" si="5"/>
        <v>44580</v>
      </c>
      <c r="B178" s="3" t="s">
        <v>182</v>
      </c>
      <c r="C178" s="139">
        <v>2662100</v>
      </c>
      <c r="D178" s="139">
        <v>18019787</v>
      </c>
      <c r="E178" s="139">
        <v>2637094</v>
      </c>
      <c r="F178" s="139">
        <v>555364</v>
      </c>
      <c r="G178" s="139"/>
      <c r="H178" s="139">
        <v>7426100</v>
      </c>
      <c r="I178" s="139"/>
      <c r="J178" s="139"/>
      <c r="K178" s="139"/>
      <c r="L178" s="133"/>
      <c r="M178" s="137"/>
    </row>
    <row r="179" spans="1:15" ht="13">
      <c r="A179" s="138">
        <f t="shared" si="5"/>
        <v>44580</v>
      </c>
      <c r="B179" s="3" t="s">
        <v>179</v>
      </c>
      <c r="C179" s="139" t="s">
        <v>174</v>
      </c>
      <c r="D179" s="139" t="s">
        <v>174</v>
      </c>
      <c r="E179" s="139" t="s">
        <v>174</v>
      </c>
      <c r="F179" s="139" t="s">
        <v>174</v>
      </c>
      <c r="G179" s="139">
        <v>11.29</v>
      </c>
      <c r="H179" s="139" t="s">
        <v>174</v>
      </c>
      <c r="I179" s="139"/>
      <c r="J179" s="139"/>
      <c r="K179" s="139"/>
      <c r="L179" s="133"/>
      <c r="M179" s="137"/>
    </row>
    <row r="180" spans="1:15" ht="13">
      <c r="A180" s="143">
        <f t="shared" si="5"/>
        <v>44580</v>
      </c>
      <c r="B180" s="144" t="s">
        <v>180</v>
      </c>
      <c r="C180" s="145" t="s">
        <v>174</v>
      </c>
      <c r="D180" s="145" t="s">
        <v>174</v>
      </c>
      <c r="E180" s="145" t="s">
        <v>174</v>
      </c>
      <c r="F180" s="145" t="s">
        <v>174</v>
      </c>
      <c r="G180" s="145">
        <v>13.71</v>
      </c>
      <c r="H180" s="145" t="s">
        <v>174</v>
      </c>
      <c r="I180" s="145"/>
      <c r="J180" s="145"/>
      <c r="K180" s="145"/>
      <c r="L180" s="133"/>
      <c r="M180" s="137"/>
    </row>
    <row r="181" spans="1:15" ht="13">
      <c r="A181" s="134">
        <f t="shared" si="5"/>
        <v>44581</v>
      </c>
      <c r="B181" s="135" t="s">
        <v>9</v>
      </c>
      <c r="C181" s="136">
        <v>3135.32</v>
      </c>
      <c r="D181" s="136">
        <v>442</v>
      </c>
      <c r="E181" s="136">
        <v>1916</v>
      </c>
      <c r="F181" s="136">
        <v>702.8</v>
      </c>
      <c r="G181" s="136"/>
      <c r="H181" s="136">
        <v>348.9</v>
      </c>
      <c r="I181" s="136"/>
      <c r="J181" s="136"/>
      <c r="K181" s="136"/>
      <c r="L181" s="133"/>
      <c r="M181" s="137"/>
    </row>
    <row r="182" spans="1:15" ht="13">
      <c r="A182" s="138">
        <f t="shared" si="5"/>
        <v>44581</v>
      </c>
      <c r="B182" s="3" t="s">
        <v>10</v>
      </c>
      <c r="C182" s="139">
        <v>3160</v>
      </c>
      <c r="D182" s="139">
        <v>472</v>
      </c>
      <c r="E182" s="139">
        <v>1979.99</v>
      </c>
      <c r="F182" s="139">
        <v>707.6</v>
      </c>
      <c r="G182" s="139"/>
      <c r="H182" s="139">
        <v>357.18</v>
      </c>
      <c r="I182" s="139"/>
      <c r="J182" s="139"/>
      <c r="K182" s="139"/>
      <c r="L182" s="133"/>
      <c r="M182" s="137"/>
    </row>
    <row r="183" spans="1:15" ht="13">
      <c r="A183" s="138">
        <f t="shared" si="5"/>
        <v>44581</v>
      </c>
      <c r="B183" s="3" t="s">
        <v>11</v>
      </c>
      <c r="C183" s="139">
        <v>3027.02</v>
      </c>
      <c r="D183" s="139">
        <v>442</v>
      </c>
      <c r="E183" s="139">
        <v>1916</v>
      </c>
      <c r="F183" s="139">
        <v>686.1</v>
      </c>
      <c r="G183" s="139"/>
      <c r="H183" s="139">
        <v>346.14</v>
      </c>
      <c r="I183" s="139"/>
      <c r="J183" s="139"/>
      <c r="K183" s="139"/>
      <c r="L183" s="133"/>
      <c r="M183" s="137"/>
    </row>
    <row r="184" spans="1:15" ht="13">
      <c r="A184" s="140">
        <f t="shared" si="5"/>
        <v>44581</v>
      </c>
      <c r="B184" s="141" t="s">
        <v>181</v>
      </c>
      <c r="C184" s="142">
        <v>3033.35</v>
      </c>
      <c r="D184" s="142">
        <v>471.6</v>
      </c>
      <c r="E184" s="142">
        <v>1969.52</v>
      </c>
      <c r="F184" s="142">
        <v>703.9</v>
      </c>
      <c r="G184" s="142"/>
      <c r="H184" s="142">
        <v>348.1</v>
      </c>
      <c r="I184" s="142">
        <v>3.65</v>
      </c>
      <c r="J184" s="142">
        <v>1.75</v>
      </c>
      <c r="K184" s="142"/>
      <c r="L184" s="133"/>
      <c r="M184" s="137"/>
    </row>
    <row r="185" spans="1:15" ht="13">
      <c r="A185" s="138">
        <f t="shared" si="5"/>
        <v>44581</v>
      </c>
      <c r="B185" s="3" t="s">
        <v>182</v>
      </c>
      <c r="C185" s="139">
        <v>3598700</v>
      </c>
      <c r="D185" s="139">
        <v>29536303</v>
      </c>
      <c r="E185" s="139">
        <v>3401391</v>
      </c>
      <c r="F185" s="139">
        <v>414578</v>
      </c>
      <c r="G185" s="139"/>
      <c r="H185" s="139">
        <v>4599900</v>
      </c>
      <c r="I185" s="139"/>
      <c r="J185" s="139"/>
      <c r="K185" s="139"/>
      <c r="L185" s="133"/>
      <c r="M185" s="137"/>
    </row>
    <row r="186" spans="1:15" ht="13">
      <c r="A186" s="138">
        <f t="shared" si="5"/>
        <v>44581</v>
      </c>
      <c r="B186" s="3" t="s">
        <v>179</v>
      </c>
      <c r="C186" s="139" t="s">
        <v>174</v>
      </c>
      <c r="D186" s="139" t="s">
        <v>174</v>
      </c>
      <c r="E186" s="139" t="s">
        <v>174</v>
      </c>
      <c r="F186" s="139" t="s">
        <v>174</v>
      </c>
      <c r="G186" s="139">
        <v>11.239999999999998</v>
      </c>
      <c r="H186" s="139" t="s">
        <v>174</v>
      </c>
      <c r="I186" s="139"/>
      <c r="J186" s="139"/>
      <c r="K186" s="139"/>
      <c r="L186" s="133"/>
      <c r="M186" s="137"/>
    </row>
    <row r="187" spans="1:15" ht="13">
      <c r="A187" s="143">
        <f t="shared" si="5"/>
        <v>44581</v>
      </c>
      <c r="B187" s="144" t="s">
        <v>180</v>
      </c>
      <c r="C187" s="145" t="s">
        <v>174</v>
      </c>
      <c r="D187" s="145" t="s">
        <v>174</v>
      </c>
      <c r="E187" s="145" t="s">
        <v>174</v>
      </c>
      <c r="F187" s="145" t="s">
        <v>174</v>
      </c>
      <c r="G187" s="145">
        <v>13.66</v>
      </c>
      <c r="H187" s="145" t="s">
        <v>174</v>
      </c>
      <c r="I187" s="145"/>
      <c r="J187" s="145"/>
      <c r="K187" s="145"/>
      <c r="L187" s="133"/>
      <c r="M187" s="137"/>
    </row>
    <row r="188" spans="1:15" ht="13">
      <c r="A188" s="134">
        <f t="shared" si="5"/>
        <v>44582</v>
      </c>
      <c r="B188" s="135" t="s">
        <v>9</v>
      </c>
      <c r="C188" s="136">
        <v>2999</v>
      </c>
      <c r="D188" s="136">
        <v>468.8</v>
      </c>
      <c r="E188" s="136">
        <v>1960</v>
      </c>
      <c r="F188" s="136">
        <v>691.1</v>
      </c>
      <c r="G188" s="136"/>
      <c r="H188" s="136">
        <v>345.54</v>
      </c>
      <c r="I188" s="136"/>
      <c r="J188" s="136"/>
      <c r="K188" s="136"/>
      <c r="L188" s="133"/>
      <c r="M188" s="137"/>
      <c r="N188" s="116"/>
      <c r="O188" s="117"/>
    </row>
    <row r="189" spans="1:15" ht="13">
      <c r="A189" s="138">
        <f t="shared" si="5"/>
        <v>44582</v>
      </c>
      <c r="B189" s="3" t="s">
        <v>10</v>
      </c>
      <c r="C189" s="139">
        <v>3018</v>
      </c>
      <c r="D189" s="139">
        <v>478.4</v>
      </c>
      <c r="E189" s="139">
        <v>1993.49</v>
      </c>
      <c r="F189" s="139">
        <v>701.5</v>
      </c>
      <c r="G189" s="139"/>
      <c r="H189" s="139">
        <v>348.99</v>
      </c>
      <c r="I189" s="139"/>
      <c r="J189" s="139"/>
      <c r="K189" s="139"/>
      <c r="L189" s="133"/>
      <c r="M189" s="137"/>
      <c r="N189" s="116"/>
      <c r="O189" s="117"/>
    </row>
    <row r="190" spans="1:15" ht="13">
      <c r="A190" s="138">
        <f t="shared" si="5"/>
        <v>44582</v>
      </c>
      <c r="B190" s="3" t="s">
        <v>11</v>
      </c>
      <c r="C190" s="139">
        <v>2841.41</v>
      </c>
      <c r="D190" s="139">
        <v>467</v>
      </c>
      <c r="E190" s="139">
        <v>1951.01</v>
      </c>
      <c r="F190" s="139">
        <v>688.8</v>
      </c>
      <c r="G190" s="139"/>
      <c r="H190" s="139">
        <v>340.72</v>
      </c>
      <c r="I190" s="139"/>
      <c r="J190" s="139"/>
      <c r="K190" s="139"/>
      <c r="L190" s="133"/>
      <c r="M190" s="137"/>
      <c r="N190" s="116"/>
      <c r="O190" s="117"/>
    </row>
    <row r="191" spans="1:15" ht="13">
      <c r="A191" s="140">
        <f t="shared" si="5"/>
        <v>44582</v>
      </c>
      <c r="B191" s="141" t="s">
        <v>181</v>
      </c>
      <c r="C191" s="142">
        <v>2852.86</v>
      </c>
      <c r="D191" s="142">
        <v>474.8</v>
      </c>
      <c r="E191" s="142">
        <v>1984.99</v>
      </c>
      <c r="F191" s="142">
        <v>697.2</v>
      </c>
      <c r="G191" s="142"/>
      <c r="H191" s="142">
        <v>343.91</v>
      </c>
      <c r="I191" s="142">
        <v>3.55</v>
      </c>
      <c r="J191" s="142">
        <v>1.65</v>
      </c>
      <c r="K191" s="142"/>
      <c r="L191" s="133"/>
      <c r="M191" s="137"/>
      <c r="N191" s="116"/>
      <c r="O191" s="117"/>
    </row>
    <row r="192" spans="1:15" ht="13">
      <c r="A192" s="138">
        <f t="shared" si="5"/>
        <v>44582</v>
      </c>
      <c r="B192" s="3" t="s">
        <v>182</v>
      </c>
      <c r="C192" s="139">
        <v>8164200</v>
      </c>
      <c r="D192" s="139">
        <v>26820113</v>
      </c>
      <c r="E192" s="139">
        <v>3081258</v>
      </c>
      <c r="F192" s="139">
        <v>536630</v>
      </c>
      <c r="G192" s="139"/>
      <c r="H192" s="139">
        <v>4896100</v>
      </c>
      <c r="I192" s="139"/>
      <c r="J192" s="139"/>
      <c r="K192" s="139"/>
      <c r="L192" s="133"/>
      <c r="M192" s="137"/>
      <c r="N192" s="116"/>
      <c r="O192" s="117"/>
    </row>
    <row r="193" spans="1:15" ht="13">
      <c r="A193" s="138">
        <f t="shared" si="5"/>
        <v>44582</v>
      </c>
      <c r="B193" s="3" t="s">
        <v>179</v>
      </c>
      <c r="C193" s="139" t="s">
        <v>174</v>
      </c>
      <c r="D193" s="139" t="s">
        <v>174</v>
      </c>
      <c r="E193" s="139" t="s">
        <v>174</v>
      </c>
      <c r="F193" s="139" t="s">
        <v>174</v>
      </c>
      <c r="G193" s="139">
        <v>11.19</v>
      </c>
      <c r="H193" s="139" t="s">
        <v>174</v>
      </c>
      <c r="I193" s="139"/>
      <c r="J193" s="139"/>
      <c r="K193" s="139"/>
      <c r="L193" s="133"/>
      <c r="M193" s="137"/>
      <c r="N193" s="116"/>
      <c r="O193" s="117"/>
    </row>
    <row r="194" spans="1:15" ht="13">
      <c r="A194" s="143">
        <f t="shared" si="5"/>
        <v>44582</v>
      </c>
      <c r="B194" s="144" t="s">
        <v>180</v>
      </c>
      <c r="C194" s="145" t="s">
        <v>174</v>
      </c>
      <c r="D194" s="145" t="s">
        <v>174</v>
      </c>
      <c r="E194" s="145" t="s">
        <v>174</v>
      </c>
      <c r="F194" s="145" t="s">
        <v>174</v>
      </c>
      <c r="G194" s="145">
        <v>13.610000000000001</v>
      </c>
      <c r="H194" s="145" t="s">
        <v>174</v>
      </c>
      <c r="I194" s="145"/>
      <c r="J194" s="145"/>
      <c r="K194" s="145"/>
      <c r="L194" s="133"/>
      <c r="M194" s="137"/>
      <c r="N194" s="116"/>
      <c r="O194" s="117"/>
    </row>
    <row r="195" spans="1:15" ht="13">
      <c r="A195" s="134">
        <f t="shared" si="5"/>
        <v>44583</v>
      </c>
      <c r="B195" s="135" t="s">
        <v>9</v>
      </c>
      <c r="C195" s="136">
        <v>2999</v>
      </c>
      <c r="D195" s="136">
        <v>468.8</v>
      </c>
      <c r="E195" s="136">
        <v>1960</v>
      </c>
      <c r="F195" s="136">
        <v>691.1</v>
      </c>
      <c r="G195" s="136"/>
      <c r="H195" s="136">
        <v>345.54</v>
      </c>
      <c r="I195" s="136"/>
      <c r="J195" s="136"/>
      <c r="K195" s="136"/>
      <c r="L195" s="133"/>
      <c r="M195" s="137"/>
      <c r="N195" s="116"/>
      <c r="O195" s="117"/>
    </row>
    <row r="196" spans="1:15" ht="13">
      <c r="A196" s="138">
        <f t="shared" si="5"/>
        <v>44583</v>
      </c>
      <c r="B196" s="3" t="s">
        <v>10</v>
      </c>
      <c r="C196" s="139">
        <v>3018</v>
      </c>
      <c r="D196" s="139">
        <v>478.4</v>
      </c>
      <c r="E196" s="139">
        <v>1993.49</v>
      </c>
      <c r="F196" s="139">
        <v>701.5</v>
      </c>
      <c r="G196" s="139"/>
      <c r="H196" s="139">
        <v>348.99</v>
      </c>
      <c r="I196" s="139"/>
      <c r="J196" s="139"/>
      <c r="K196" s="139"/>
      <c r="L196" s="133"/>
      <c r="M196" s="137"/>
      <c r="N196" s="116"/>
      <c r="O196" s="117"/>
    </row>
    <row r="197" spans="1:15" ht="13">
      <c r="A197" s="138">
        <f t="shared" si="5"/>
        <v>44583</v>
      </c>
      <c r="B197" s="3" t="s">
        <v>11</v>
      </c>
      <c r="C197" s="139">
        <v>2841.41</v>
      </c>
      <c r="D197" s="139">
        <v>467</v>
      </c>
      <c r="E197" s="139">
        <v>1951.01</v>
      </c>
      <c r="F197" s="139">
        <v>688.8</v>
      </c>
      <c r="G197" s="139"/>
      <c r="H197" s="139">
        <v>340.72</v>
      </c>
      <c r="I197" s="139"/>
      <c r="J197" s="139"/>
      <c r="K197" s="139"/>
      <c r="L197" s="133"/>
      <c r="M197" s="137"/>
      <c r="N197" s="116"/>
      <c r="O197" s="117"/>
    </row>
    <row r="198" spans="1:15" ht="13">
      <c r="A198" s="140">
        <f t="shared" si="5"/>
        <v>44583</v>
      </c>
      <c r="B198" s="141" t="s">
        <v>181</v>
      </c>
      <c r="C198" s="142">
        <v>2852.86</v>
      </c>
      <c r="D198" s="142">
        <v>474.8</v>
      </c>
      <c r="E198" s="142">
        <v>1984.99</v>
      </c>
      <c r="F198" s="142">
        <v>697.2</v>
      </c>
      <c r="G198" s="142"/>
      <c r="H198" s="142">
        <v>343.91</v>
      </c>
      <c r="I198" s="142">
        <v>3.45</v>
      </c>
      <c r="J198" s="142">
        <v>1.55</v>
      </c>
      <c r="K198" s="142"/>
      <c r="L198" s="133"/>
      <c r="M198" s="137"/>
      <c r="N198" s="116"/>
      <c r="O198" s="117"/>
    </row>
    <row r="199" spans="1:15" ht="13">
      <c r="A199" s="138">
        <f t="shared" si="5"/>
        <v>44583</v>
      </c>
      <c r="B199" s="3" t="s">
        <v>182</v>
      </c>
      <c r="C199" s="139">
        <v>8164200</v>
      </c>
      <c r="D199" s="139">
        <v>26820113</v>
      </c>
      <c r="E199" s="139">
        <v>3081258</v>
      </c>
      <c r="F199" s="139">
        <v>536630</v>
      </c>
      <c r="G199" s="139"/>
      <c r="H199" s="139">
        <v>4896100</v>
      </c>
      <c r="I199" s="139"/>
      <c r="J199" s="139"/>
      <c r="K199" s="139"/>
      <c r="L199" s="133"/>
      <c r="M199" s="137"/>
      <c r="N199" s="116"/>
      <c r="O199" s="117"/>
    </row>
    <row r="200" spans="1:15" ht="13">
      <c r="A200" s="138">
        <f t="shared" si="5"/>
        <v>44583</v>
      </c>
      <c r="B200" s="3" t="s">
        <v>179</v>
      </c>
      <c r="C200" s="139" t="s">
        <v>174</v>
      </c>
      <c r="D200" s="139" t="s">
        <v>174</v>
      </c>
      <c r="E200" s="139" t="s">
        <v>174</v>
      </c>
      <c r="F200" s="139" t="s">
        <v>174</v>
      </c>
      <c r="G200" s="139">
        <v>11.139999999999999</v>
      </c>
      <c r="H200" s="139" t="s">
        <v>174</v>
      </c>
      <c r="I200" s="139"/>
      <c r="J200" s="139"/>
      <c r="K200" s="139"/>
      <c r="L200" s="133"/>
      <c r="M200" s="137"/>
      <c r="N200" s="116"/>
      <c r="O200" s="117"/>
    </row>
    <row r="201" spans="1:15" ht="13">
      <c r="A201" s="143">
        <f t="shared" si="5"/>
        <v>44583</v>
      </c>
      <c r="B201" s="144" t="s">
        <v>180</v>
      </c>
      <c r="C201" s="145" t="s">
        <v>174</v>
      </c>
      <c r="D201" s="145" t="s">
        <v>174</v>
      </c>
      <c r="E201" s="145" t="s">
        <v>174</v>
      </c>
      <c r="F201" s="145" t="s">
        <v>174</v>
      </c>
      <c r="G201" s="145">
        <v>13.56</v>
      </c>
      <c r="H201" s="145" t="s">
        <v>174</v>
      </c>
      <c r="I201" s="145"/>
      <c r="J201" s="145"/>
      <c r="K201" s="145"/>
      <c r="L201" s="133"/>
      <c r="M201" s="137"/>
      <c r="N201" s="116"/>
      <c r="O201" s="117"/>
    </row>
    <row r="202" spans="1:15" ht="13">
      <c r="A202" s="134">
        <f t="shared" si="5"/>
        <v>44584</v>
      </c>
      <c r="B202" s="135" t="s">
        <v>9</v>
      </c>
      <c r="C202" s="136">
        <v>2999</v>
      </c>
      <c r="D202" s="136">
        <v>468.8</v>
      </c>
      <c r="E202" s="136">
        <v>1960</v>
      </c>
      <c r="F202" s="136">
        <v>691.1</v>
      </c>
      <c r="G202" s="136"/>
      <c r="H202" s="136">
        <v>345.54</v>
      </c>
      <c r="I202" s="136"/>
      <c r="J202" s="136"/>
      <c r="K202" s="136"/>
      <c r="L202" s="133"/>
      <c r="M202" s="137"/>
      <c r="N202" s="116"/>
      <c r="O202" s="117"/>
    </row>
    <row r="203" spans="1:15" ht="13">
      <c r="A203" s="138">
        <f t="shared" si="5"/>
        <v>44584</v>
      </c>
      <c r="B203" s="3" t="s">
        <v>10</v>
      </c>
      <c r="C203" s="139">
        <v>3018</v>
      </c>
      <c r="D203" s="139">
        <v>478.4</v>
      </c>
      <c r="E203" s="139">
        <v>1993.49</v>
      </c>
      <c r="F203" s="139">
        <v>701.5</v>
      </c>
      <c r="G203" s="139"/>
      <c r="H203" s="139">
        <v>348.99</v>
      </c>
      <c r="I203" s="139"/>
      <c r="J203" s="139"/>
      <c r="K203" s="139"/>
      <c r="L203" s="133"/>
      <c r="M203" s="137"/>
      <c r="N203" s="116"/>
      <c r="O203" s="117"/>
    </row>
    <row r="204" spans="1:15" ht="13">
      <c r="A204" s="138">
        <f t="shared" si="5"/>
        <v>44584</v>
      </c>
      <c r="B204" s="3" t="s">
        <v>11</v>
      </c>
      <c r="C204" s="139">
        <v>2841.41</v>
      </c>
      <c r="D204" s="139">
        <v>467</v>
      </c>
      <c r="E204" s="139">
        <v>1951.01</v>
      </c>
      <c r="F204" s="139">
        <v>688.8</v>
      </c>
      <c r="G204" s="139"/>
      <c r="H204" s="139">
        <v>340.72</v>
      </c>
      <c r="I204" s="139"/>
      <c r="J204" s="139"/>
      <c r="K204" s="139"/>
      <c r="L204" s="133"/>
      <c r="M204" s="137"/>
      <c r="N204" s="116"/>
      <c r="O204" s="117"/>
    </row>
    <row r="205" spans="1:15" ht="13">
      <c r="A205" s="140">
        <f t="shared" si="5"/>
        <v>44584</v>
      </c>
      <c r="B205" s="141" t="s">
        <v>181</v>
      </c>
      <c r="C205" s="142">
        <v>2852.86</v>
      </c>
      <c r="D205" s="142">
        <v>474.8</v>
      </c>
      <c r="E205" s="142">
        <v>1984.99</v>
      </c>
      <c r="F205" s="142">
        <v>697.2</v>
      </c>
      <c r="G205" s="142"/>
      <c r="H205" s="142">
        <v>343.91</v>
      </c>
      <c r="I205" s="142">
        <v>3.35</v>
      </c>
      <c r="J205" s="142">
        <v>1.4500000000000002</v>
      </c>
      <c r="K205" s="142"/>
      <c r="L205" s="133"/>
      <c r="M205" s="137"/>
      <c r="N205" s="116"/>
      <c r="O205" s="117"/>
    </row>
    <row r="206" spans="1:15" ht="13">
      <c r="A206" s="138">
        <f t="shared" si="5"/>
        <v>44584</v>
      </c>
      <c r="B206" s="3" t="s">
        <v>182</v>
      </c>
      <c r="C206" s="139">
        <v>8164200</v>
      </c>
      <c r="D206" s="139">
        <v>26820113</v>
      </c>
      <c r="E206" s="139">
        <v>3081258</v>
      </c>
      <c r="F206" s="139">
        <v>536630</v>
      </c>
      <c r="G206" s="139"/>
      <c r="H206" s="139">
        <v>4896100</v>
      </c>
      <c r="I206" s="139"/>
      <c r="J206" s="139"/>
      <c r="K206" s="139"/>
      <c r="L206" s="133"/>
      <c r="M206" s="137"/>
      <c r="N206" s="116"/>
      <c r="O206" s="117"/>
    </row>
    <row r="207" spans="1:15" ht="13">
      <c r="A207" s="138">
        <f t="shared" si="5"/>
        <v>44584</v>
      </c>
      <c r="B207" s="3" t="s">
        <v>179</v>
      </c>
      <c r="C207" s="139" t="s">
        <v>174</v>
      </c>
      <c r="D207" s="139" t="s">
        <v>174</v>
      </c>
      <c r="E207" s="139" t="s">
        <v>174</v>
      </c>
      <c r="F207" s="139" t="s">
        <v>174</v>
      </c>
      <c r="G207" s="139">
        <v>11.09</v>
      </c>
      <c r="H207" s="139" t="s">
        <v>174</v>
      </c>
      <c r="I207" s="139"/>
      <c r="J207" s="139"/>
      <c r="K207" s="139"/>
      <c r="L207" s="133"/>
      <c r="M207" s="137"/>
      <c r="N207" s="116"/>
      <c r="O207" s="117"/>
    </row>
    <row r="208" spans="1:15" ht="13">
      <c r="A208" s="143">
        <f t="shared" si="5"/>
        <v>44584</v>
      </c>
      <c r="B208" s="144" t="s">
        <v>180</v>
      </c>
      <c r="C208" s="145" t="s">
        <v>174</v>
      </c>
      <c r="D208" s="145" t="s">
        <v>174</v>
      </c>
      <c r="E208" s="145" t="s">
        <v>174</v>
      </c>
      <c r="F208" s="145" t="s">
        <v>174</v>
      </c>
      <c r="G208" s="145">
        <v>13.510000000000002</v>
      </c>
      <c r="H208" s="145" t="s">
        <v>174</v>
      </c>
      <c r="I208" s="145"/>
      <c r="J208" s="145"/>
      <c r="K208" s="145"/>
      <c r="L208" s="133"/>
      <c r="M208" s="137"/>
      <c r="N208" s="116"/>
      <c r="O208" s="117"/>
    </row>
    <row r="209" spans="1:15" ht="13">
      <c r="A209" s="134">
        <f t="shared" si="5"/>
        <v>44585</v>
      </c>
      <c r="B209" s="135" t="s">
        <v>9</v>
      </c>
      <c r="C209" s="136">
        <v>2780</v>
      </c>
      <c r="D209" s="136">
        <v>470</v>
      </c>
      <c r="E209" s="136">
        <v>1955</v>
      </c>
      <c r="F209" s="136">
        <v>690.7</v>
      </c>
      <c r="G209" s="136"/>
      <c r="H209" s="136">
        <v>337.32</v>
      </c>
      <c r="I209" s="136"/>
      <c r="J209" s="136"/>
      <c r="K209" s="136"/>
      <c r="L209" s="133"/>
      <c r="M209" s="137"/>
      <c r="N209" s="116"/>
      <c r="O209" s="117"/>
    </row>
    <row r="210" spans="1:15" ht="13">
      <c r="A210" s="138">
        <f t="shared" si="5"/>
        <v>44585</v>
      </c>
      <c r="B210" s="3" t="s">
        <v>10</v>
      </c>
      <c r="C210" s="139">
        <v>2898.9</v>
      </c>
      <c r="D210" s="139">
        <v>473.6</v>
      </c>
      <c r="E210" s="139">
        <v>1984</v>
      </c>
      <c r="F210" s="139">
        <v>699.8</v>
      </c>
      <c r="G210" s="139"/>
      <c r="H210" s="139">
        <v>344.07</v>
      </c>
      <c r="I210" s="139"/>
      <c r="J210" s="139"/>
      <c r="K210" s="139"/>
      <c r="L210" s="133"/>
      <c r="M210" s="137"/>
      <c r="N210" s="116"/>
      <c r="O210" s="117"/>
    </row>
    <row r="211" spans="1:15" ht="13">
      <c r="A211" s="138">
        <f t="shared" si="5"/>
        <v>44585</v>
      </c>
      <c r="B211" s="3" t="s">
        <v>11</v>
      </c>
      <c r="C211" s="139">
        <v>2707.04</v>
      </c>
      <c r="D211" s="139">
        <v>465.8</v>
      </c>
      <c r="E211" s="139">
        <v>1931.44</v>
      </c>
      <c r="F211" s="139">
        <v>662.8</v>
      </c>
      <c r="G211" s="139"/>
      <c r="H211" s="139">
        <v>326.23</v>
      </c>
      <c r="I211" s="139"/>
      <c r="J211" s="139"/>
      <c r="K211" s="139"/>
      <c r="L211" s="133"/>
      <c r="M211" s="137"/>
      <c r="N211" s="116"/>
      <c r="O211" s="117"/>
    </row>
    <row r="212" spans="1:15" ht="13">
      <c r="A212" s="140">
        <f t="shared" si="5"/>
        <v>44585</v>
      </c>
      <c r="B212" s="141" t="s">
        <v>181</v>
      </c>
      <c r="C212" s="142">
        <v>2890.88</v>
      </c>
      <c r="D212" s="142">
        <v>469.6</v>
      </c>
      <c r="E212" s="142">
        <v>1950.2</v>
      </c>
      <c r="F212" s="142">
        <v>662.8</v>
      </c>
      <c r="G212" s="142"/>
      <c r="H212" s="142">
        <v>343.39</v>
      </c>
      <c r="I212" s="142">
        <v>3.25</v>
      </c>
      <c r="J212" s="142">
        <v>1.35</v>
      </c>
      <c r="K212" s="142"/>
      <c r="L212" s="133"/>
      <c r="M212" s="137"/>
      <c r="N212" s="116"/>
      <c r="O212" s="117"/>
    </row>
    <row r="213" spans="1:15" ht="13">
      <c r="A213" s="138">
        <f t="shared" si="5"/>
        <v>44585</v>
      </c>
      <c r="B213" s="3" t="s">
        <v>182</v>
      </c>
      <c r="C213" s="139">
        <v>7802200</v>
      </c>
      <c r="D213" s="139">
        <v>14677184</v>
      </c>
      <c r="E213" s="139">
        <v>2398580</v>
      </c>
      <c r="F213" s="139">
        <v>679863</v>
      </c>
      <c r="G213" s="139"/>
      <c r="H213" s="139">
        <v>6573800</v>
      </c>
      <c r="I213" s="139"/>
      <c r="J213" s="139"/>
      <c r="K213" s="139"/>
      <c r="L213" s="133"/>
      <c r="M213" s="137"/>
      <c r="N213" s="116"/>
      <c r="O213" s="117"/>
    </row>
    <row r="214" spans="1:15" ht="13">
      <c r="A214" s="138">
        <f t="shared" si="5"/>
        <v>44585</v>
      </c>
      <c r="B214" s="3" t="s">
        <v>179</v>
      </c>
      <c r="C214" s="139" t="s">
        <v>174</v>
      </c>
      <c r="D214" s="139" t="s">
        <v>174</v>
      </c>
      <c r="E214" s="139" t="s">
        <v>174</v>
      </c>
      <c r="F214" s="139" t="s">
        <v>174</v>
      </c>
      <c r="G214" s="139">
        <v>11.04</v>
      </c>
      <c r="H214" s="139" t="s">
        <v>174</v>
      </c>
      <c r="I214" s="139"/>
      <c r="J214" s="139"/>
      <c r="K214" s="139"/>
      <c r="L214" s="133"/>
      <c r="M214" s="137"/>
      <c r="N214" s="116"/>
      <c r="O214" s="117"/>
    </row>
    <row r="215" spans="1:15" ht="13">
      <c r="A215" s="143">
        <f t="shared" si="5"/>
        <v>44585</v>
      </c>
      <c r="B215" s="144" t="s">
        <v>180</v>
      </c>
      <c r="C215" s="145" t="s">
        <v>174</v>
      </c>
      <c r="D215" s="145" t="s">
        <v>174</v>
      </c>
      <c r="E215" s="145" t="s">
        <v>174</v>
      </c>
      <c r="F215" s="145" t="s">
        <v>174</v>
      </c>
      <c r="G215" s="145">
        <v>13.46</v>
      </c>
      <c r="H215" s="145" t="s">
        <v>174</v>
      </c>
      <c r="I215" s="145"/>
      <c r="J215" s="145"/>
      <c r="K215" s="145"/>
      <c r="L215" s="133"/>
      <c r="M215" s="137"/>
      <c r="N215" s="116"/>
      <c r="O215" s="117"/>
    </row>
    <row r="216" spans="1:15" ht="13">
      <c r="A216" s="134">
        <f t="shared" si="5"/>
        <v>44586</v>
      </c>
      <c r="B216" s="135" t="s">
        <v>9</v>
      </c>
      <c r="C216" s="136">
        <v>2844.85</v>
      </c>
      <c r="D216" s="136">
        <v>459.4</v>
      </c>
      <c r="E216" s="136">
        <v>1943</v>
      </c>
      <c r="F216" s="136">
        <v>678</v>
      </c>
      <c r="G216" s="136"/>
      <c r="H216" s="136">
        <v>337.86</v>
      </c>
      <c r="I216" s="136"/>
      <c r="J216" s="136"/>
      <c r="K216" s="136"/>
      <c r="L216" s="133"/>
      <c r="M216" s="137"/>
      <c r="N216" s="116"/>
      <c r="O216" s="117"/>
    </row>
    <row r="217" spans="1:15" ht="13">
      <c r="A217" s="138">
        <f t="shared" si="5"/>
        <v>44586</v>
      </c>
      <c r="B217" s="3" t="s">
        <v>10</v>
      </c>
      <c r="C217" s="139">
        <v>2872</v>
      </c>
      <c r="D217" s="139">
        <v>468</v>
      </c>
      <c r="E217" s="139">
        <v>1966</v>
      </c>
      <c r="F217" s="139">
        <v>679</v>
      </c>
      <c r="G217" s="139"/>
      <c r="H217" s="139">
        <v>342.93</v>
      </c>
      <c r="I217" s="139"/>
      <c r="J217" s="139"/>
      <c r="K217" s="139"/>
      <c r="L217" s="133"/>
      <c r="M217" s="137"/>
      <c r="N217" s="116"/>
      <c r="O217" s="117"/>
    </row>
    <row r="218" spans="1:15" ht="13">
      <c r="A218" s="138">
        <f t="shared" si="5"/>
        <v>44586</v>
      </c>
      <c r="B218" s="3" t="s">
        <v>11</v>
      </c>
      <c r="C218" s="139">
        <v>2762.9</v>
      </c>
      <c r="D218" s="139">
        <v>459.4</v>
      </c>
      <c r="E218" s="139">
        <v>1931</v>
      </c>
      <c r="F218" s="139">
        <v>661.7</v>
      </c>
      <c r="G218" s="139"/>
      <c r="H218" s="139">
        <v>330.91</v>
      </c>
      <c r="I218" s="139"/>
      <c r="J218" s="139"/>
      <c r="K218" s="139"/>
      <c r="L218" s="133"/>
      <c r="M218" s="137"/>
      <c r="N218" s="116"/>
      <c r="O218" s="117"/>
    </row>
    <row r="219" spans="1:15" ht="13">
      <c r="A219" s="140">
        <f t="shared" si="5"/>
        <v>44586</v>
      </c>
      <c r="B219" s="141" t="s">
        <v>181</v>
      </c>
      <c r="C219" s="142">
        <v>2799.72</v>
      </c>
      <c r="D219" s="142">
        <v>466.8</v>
      </c>
      <c r="E219" s="142">
        <v>1943</v>
      </c>
      <c r="F219" s="142">
        <v>667</v>
      </c>
      <c r="G219" s="142"/>
      <c r="H219" s="142">
        <v>341.55</v>
      </c>
      <c r="I219" s="142">
        <v>3.15</v>
      </c>
      <c r="J219" s="142">
        <v>1.25</v>
      </c>
      <c r="K219" s="142"/>
      <c r="L219" s="133"/>
      <c r="M219" s="137"/>
      <c r="N219" s="116"/>
      <c r="O219" s="117"/>
    </row>
    <row r="220" spans="1:15" ht="13">
      <c r="A220" s="138">
        <f t="shared" si="5"/>
        <v>44586</v>
      </c>
      <c r="B220" s="3" t="s">
        <v>182</v>
      </c>
      <c r="C220" s="139">
        <v>4541200</v>
      </c>
      <c r="D220" s="139">
        <v>24998708</v>
      </c>
      <c r="E220" s="139">
        <v>2551012</v>
      </c>
      <c r="F220" s="139">
        <v>460302</v>
      </c>
      <c r="G220" s="139"/>
      <c r="H220" s="139">
        <v>3959300</v>
      </c>
      <c r="I220" s="139"/>
      <c r="J220" s="139"/>
      <c r="K220" s="139"/>
      <c r="L220" s="133"/>
      <c r="M220" s="137"/>
      <c r="N220" s="116"/>
      <c r="O220" s="117"/>
    </row>
    <row r="221" spans="1:15" ht="13">
      <c r="A221" s="138">
        <f t="shared" si="5"/>
        <v>44586</v>
      </c>
      <c r="B221" s="3" t="s">
        <v>179</v>
      </c>
      <c r="C221" s="139" t="s">
        <v>174</v>
      </c>
      <c r="D221" s="139" t="s">
        <v>174</v>
      </c>
      <c r="E221" s="139" t="s">
        <v>174</v>
      </c>
      <c r="F221" s="139" t="s">
        <v>174</v>
      </c>
      <c r="G221" s="139">
        <v>10.989999999999998</v>
      </c>
      <c r="H221" s="139" t="s">
        <v>174</v>
      </c>
      <c r="I221" s="139"/>
      <c r="J221" s="139"/>
      <c r="K221" s="139"/>
      <c r="L221" s="133"/>
      <c r="M221" s="137"/>
      <c r="N221" s="116"/>
      <c r="O221" s="117"/>
    </row>
    <row r="222" spans="1:15" ht="13">
      <c r="A222" s="143">
        <f t="shared" si="5"/>
        <v>44586</v>
      </c>
      <c r="B222" s="144" t="s">
        <v>180</v>
      </c>
      <c r="C222" s="145" t="s">
        <v>174</v>
      </c>
      <c r="D222" s="145" t="s">
        <v>174</v>
      </c>
      <c r="E222" s="145" t="s">
        <v>174</v>
      </c>
      <c r="F222" s="145" t="s">
        <v>174</v>
      </c>
      <c r="G222" s="145">
        <v>13.41</v>
      </c>
      <c r="H222" s="145" t="s">
        <v>174</v>
      </c>
      <c r="I222" s="145"/>
      <c r="J222" s="145"/>
      <c r="K222" s="145"/>
      <c r="L222" s="133"/>
      <c r="M222" s="137"/>
      <c r="N222" s="116"/>
      <c r="O222" s="117"/>
    </row>
    <row r="223" spans="1:15" ht="13">
      <c r="A223" s="134">
        <f t="shared" si="5"/>
        <v>44587</v>
      </c>
      <c r="B223" s="135" t="s">
        <v>9</v>
      </c>
      <c r="C223" s="136">
        <v>2895</v>
      </c>
      <c r="D223" s="136">
        <v>470</v>
      </c>
      <c r="E223" s="136">
        <v>1942.04</v>
      </c>
      <c r="F223" s="136">
        <v>673.7</v>
      </c>
      <c r="G223" s="136"/>
      <c r="H223" s="136">
        <v>346.6</v>
      </c>
      <c r="I223" s="136"/>
      <c r="J223" s="136"/>
      <c r="K223" s="136"/>
      <c r="L223" s="133"/>
      <c r="M223" s="137"/>
      <c r="N223" s="116"/>
      <c r="O223" s="117"/>
    </row>
    <row r="224" spans="1:15" ht="13">
      <c r="A224" s="138">
        <f t="shared" si="5"/>
        <v>44587</v>
      </c>
      <c r="B224" s="3" t="s">
        <v>10</v>
      </c>
      <c r="C224" s="139">
        <v>2903.7</v>
      </c>
      <c r="D224" s="139">
        <v>476.6</v>
      </c>
      <c r="E224" s="139">
        <v>1969</v>
      </c>
      <c r="F224" s="139">
        <v>687.9</v>
      </c>
      <c r="G224" s="139"/>
      <c r="H224" s="139">
        <v>350.48</v>
      </c>
      <c r="I224" s="139"/>
      <c r="J224" s="139"/>
      <c r="K224" s="139"/>
      <c r="L224" s="133"/>
      <c r="M224" s="137"/>
      <c r="N224" s="116"/>
      <c r="O224" s="117"/>
    </row>
    <row r="225" spans="1:15" ht="13">
      <c r="A225" s="138">
        <f t="shared" si="5"/>
        <v>44587</v>
      </c>
      <c r="B225" s="3" t="s">
        <v>11</v>
      </c>
      <c r="C225" s="139">
        <v>2746.37</v>
      </c>
      <c r="D225" s="139">
        <v>466</v>
      </c>
      <c r="E225" s="139">
        <v>1919</v>
      </c>
      <c r="F225" s="139">
        <v>671.7</v>
      </c>
      <c r="G225" s="139"/>
      <c r="H225" s="139">
        <v>338.41</v>
      </c>
      <c r="I225" s="139"/>
      <c r="J225" s="139"/>
      <c r="K225" s="139"/>
      <c r="L225" s="133"/>
      <c r="M225" s="137"/>
      <c r="N225" s="116"/>
      <c r="O225" s="117"/>
    </row>
    <row r="226" spans="1:15" ht="13">
      <c r="A226" s="140">
        <f t="shared" si="5"/>
        <v>44587</v>
      </c>
      <c r="B226" s="141" t="s">
        <v>181</v>
      </c>
      <c r="C226" s="142">
        <v>2777.45</v>
      </c>
      <c r="D226" s="142">
        <v>473.6</v>
      </c>
      <c r="E226" s="142">
        <v>1955</v>
      </c>
      <c r="F226" s="142">
        <v>683.6</v>
      </c>
      <c r="G226" s="142"/>
      <c r="H226" s="142">
        <v>342.68</v>
      </c>
      <c r="I226" s="142">
        <v>3.05</v>
      </c>
      <c r="J226" s="142">
        <v>1.1499999999999999</v>
      </c>
      <c r="K226" s="142"/>
      <c r="L226" s="133"/>
      <c r="M226" s="137"/>
      <c r="N226" s="116"/>
      <c r="O226" s="117"/>
    </row>
    <row r="227" spans="1:15" ht="13">
      <c r="A227" s="138">
        <f t="shared" si="5"/>
        <v>44587</v>
      </c>
      <c r="B227" s="3" t="s">
        <v>182</v>
      </c>
      <c r="C227" s="139">
        <v>4765500</v>
      </c>
      <c r="D227" s="139">
        <v>21619270</v>
      </c>
      <c r="E227" s="139">
        <v>2390513</v>
      </c>
      <c r="F227" s="139">
        <v>439855</v>
      </c>
      <c r="G227" s="139"/>
      <c r="H227" s="139">
        <v>3740700</v>
      </c>
      <c r="I227" s="139"/>
      <c r="J227" s="139"/>
      <c r="K227" s="139"/>
      <c r="L227" s="133"/>
      <c r="M227" s="137"/>
      <c r="N227" s="116"/>
      <c r="O227" s="117"/>
    </row>
    <row r="228" spans="1:15" ht="13">
      <c r="A228" s="138">
        <f t="shared" si="5"/>
        <v>44587</v>
      </c>
      <c r="B228" s="3" t="s">
        <v>179</v>
      </c>
      <c r="C228" s="139" t="s">
        <v>174</v>
      </c>
      <c r="D228" s="139" t="s">
        <v>174</v>
      </c>
      <c r="E228" s="139" t="s">
        <v>174</v>
      </c>
      <c r="F228" s="139" t="s">
        <v>174</v>
      </c>
      <c r="G228" s="139">
        <v>10.94</v>
      </c>
      <c r="H228" s="139" t="s">
        <v>174</v>
      </c>
      <c r="I228" s="139"/>
      <c r="J228" s="139"/>
      <c r="K228" s="139"/>
      <c r="L228" s="133"/>
      <c r="M228" s="137"/>
      <c r="N228" s="116"/>
      <c r="O228" s="117"/>
    </row>
    <row r="229" spans="1:15" ht="13">
      <c r="A229" s="143">
        <f t="shared" si="5"/>
        <v>44587</v>
      </c>
      <c r="B229" s="144" t="s">
        <v>180</v>
      </c>
      <c r="C229" s="145" t="s">
        <v>174</v>
      </c>
      <c r="D229" s="145" t="s">
        <v>174</v>
      </c>
      <c r="E229" s="145" t="s">
        <v>174</v>
      </c>
      <c r="F229" s="145" t="s">
        <v>174</v>
      </c>
      <c r="G229" s="145">
        <v>13.360000000000001</v>
      </c>
      <c r="H229" s="145" t="s">
        <v>174</v>
      </c>
      <c r="I229" s="145"/>
      <c r="J229" s="145"/>
      <c r="K229" s="145"/>
      <c r="L229" s="133"/>
      <c r="M229" s="137"/>
      <c r="N229" s="116"/>
      <c r="O229" s="117"/>
    </row>
    <row r="230" spans="1:15" ht="13">
      <c r="A230" s="134">
        <f t="shared" si="5"/>
        <v>44588</v>
      </c>
      <c r="B230" s="135" t="s">
        <v>9</v>
      </c>
      <c r="C230" s="136">
        <v>2816</v>
      </c>
      <c r="D230" s="136">
        <v>465</v>
      </c>
      <c r="E230" s="136">
        <v>2001.01</v>
      </c>
      <c r="F230" s="136">
        <v>675.4</v>
      </c>
      <c r="G230" s="136"/>
      <c r="H230" s="136">
        <v>345.67</v>
      </c>
      <c r="I230" s="136"/>
      <c r="J230" s="136"/>
      <c r="K230" s="136"/>
      <c r="L230" s="133"/>
      <c r="M230" s="137"/>
      <c r="N230" s="116"/>
      <c r="O230" s="117"/>
    </row>
    <row r="231" spans="1:15" ht="13">
      <c r="A231" s="138">
        <f t="shared" si="5"/>
        <v>44588</v>
      </c>
      <c r="B231" s="3" t="s">
        <v>10</v>
      </c>
      <c r="C231" s="139">
        <v>2884.87</v>
      </c>
      <c r="D231" s="139">
        <v>467</v>
      </c>
      <c r="E231" s="139">
        <v>2010.82</v>
      </c>
      <c r="F231" s="139">
        <v>694</v>
      </c>
      <c r="G231" s="139"/>
      <c r="H231" s="139">
        <v>348.77</v>
      </c>
      <c r="I231" s="139"/>
      <c r="J231" s="139"/>
      <c r="K231" s="139"/>
      <c r="L231" s="133"/>
      <c r="M231" s="137"/>
      <c r="N231" s="116"/>
      <c r="O231" s="117"/>
    </row>
    <row r="232" spans="1:15" ht="13">
      <c r="A232" s="138">
        <f t="shared" si="5"/>
        <v>44588</v>
      </c>
      <c r="B232" s="3" t="s">
        <v>11</v>
      </c>
      <c r="C232" s="139">
        <v>2787</v>
      </c>
      <c r="D232" s="139">
        <v>457.8</v>
      </c>
      <c r="E232" s="139">
        <v>1952</v>
      </c>
      <c r="F232" s="139">
        <v>668.4</v>
      </c>
      <c r="G232" s="139"/>
      <c r="H232" s="139">
        <v>337.72</v>
      </c>
      <c r="I232" s="139"/>
      <c r="J232" s="139"/>
      <c r="K232" s="139"/>
      <c r="L232" s="133"/>
      <c r="M232" s="137"/>
      <c r="N232" s="116"/>
      <c r="O232" s="117"/>
    </row>
    <row r="233" spans="1:15" ht="13">
      <c r="A233" s="140">
        <f t="shared" si="5"/>
        <v>44588</v>
      </c>
      <c r="B233" s="141" t="s">
        <v>181</v>
      </c>
      <c r="C233" s="142">
        <v>2792.75</v>
      </c>
      <c r="D233" s="142">
        <v>463</v>
      </c>
      <c r="E233" s="142">
        <v>1965</v>
      </c>
      <c r="F233" s="142">
        <v>694</v>
      </c>
      <c r="G233" s="142"/>
      <c r="H233" s="142">
        <v>341.03</v>
      </c>
      <c r="I233" s="142">
        <v>2.95</v>
      </c>
      <c r="J233" s="142">
        <v>1.05</v>
      </c>
      <c r="K233" s="142"/>
      <c r="L233" s="133"/>
      <c r="M233" s="137"/>
      <c r="N233" s="116"/>
      <c r="O233" s="117"/>
    </row>
    <row r="234" spans="1:15" ht="13">
      <c r="A234" s="138">
        <f t="shared" si="5"/>
        <v>44588</v>
      </c>
      <c r="B234" s="3" t="s">
        <v>182</v>
      </c>
      <c r="C234" s="139">
        <v>3860100</v>
      </c>
      <c r="D234" s="139">
        <v>20507145</v>
      </c>
      <c r="E234" s="139">
        <v>4266516</v>
      </c>
      <c r="F234" s="139">
        <v>407906</v>
      </c>
      <c r="G234" s="139"/>
      <c r="H234" s="139">
        <v>2573400</v>
      </c>
      <c r="I234" s="139"/>
      <c r="J234" s="139"/>
      <c r="K234" s="139"/>
      <c r="L234" s="133"/>
      <c r="M234" s="137"/>
      <c r="N234" s="116"/>
      <c r="O234" s="117"/>
    </row>
    <row r="235" spans="1:15" ht="13">
      <c r="A235" s="138">
        <f t="shared" si="5"/>
        <v>44588</v>
      </c>
      <c r="B235" s="3" t="s">
        <v>179</v>
      </c>
      <c r="C235" s="139" t="s">
        <v>174</v>
      </c>
      <c r="D235" s="139" t="s">
        <v>174</v>
      </c>
      <c r="E235" s="139" t="s">
        <v>174</v>
      </c>
      <c r="F235" s="139" t="s">
        <v>174</v>
      </c>
      <c r="G235" s="139">
        <v>10.889999999999999</v>
      </c>
      <c r="H235" s="139" t="s">
        <v>174</v>
      </c>
      <c r="I235" s="139"/>
      <c r="J235" s="139"/>
      <c r="K235" s="139"/>
      <c r="L235" s="133"/>
      <c r="M235" s="137"/>
      <c r="N235" s="116"/>
      <c r="O235" s="117"/>
    </row>
    <row r="236" spans="1:15" ht="13">
      <c r="A236" s="143">
        <f t="shared" si="5"/>
        <v>44588</v>
      </c>
      <c r="B236" s="144" t="s">
        <v>180</v>
      </c>
      <c r="C236" s="145" t="s">
        <v>174</v>
      </c>
      <c r="D236" s="145" t="s">
        <v>174</v>
      </c>
      <c r="E236" s="145" t="s">
        <v>174</v>
      </c>
      <c r="F236" s="145" t="s">
        <v>174</v>
      </c>
      <c r="G236" s="145">
        <v>13.31</v>
      </c>
      <c r="H236" s="145" t="s">
        <v>174</v>
      </c>
      <c r="I236" s="145"/>
      <c r="J236" s="145"/>
      <c r="K236" s="145"/>
      <c r="L236" s="133"/>
      <c r="M236" s="137"/>
      <c r="N236" s="116"/>
      <c r="O236" s="117"/>
    </row>
    <row r="237" spans="1:15" ht="13">
      <c r="A237" s="134">
        <f t="shared" si="5"/>
        <v>44589</v>
      </c>
      <c r="B237" s="135" t="s">
        <v>9</v>
      </c>
      <c r="C237" s="136">
        <v>2817.21</v>
      </c>
      <c r="D237" s="136">
        <v>463</v>
      </c>
      <c r="E237" s="136">
        <v>1955</v>
      </c>
      <c r="F237" s="136">
        <v>728.7</v>
      </c>
      <c r="G237" s="136"/>
      <c r="H237" s="136">
        <v>337.73</v>
      </c>
      <c r="I237" s="136"/>
      <c r="J237" s="136"/>
      <c r="K237" s="136"/>
      <c r="L237" s="133"/>
      <c r="M237" s="137"/>
      <c r="N237" s="116"/>
      <c r="O237" s="117"/>
    </row>
    <row r="238" spans="1:15" ht="13">
      <c r="A238" s="138">
        <f t="shared" si="5"/>
        <v>44589</v>
      </c>
      <c r="B238" s="3" t="s">
        <v>10</v>
      </c>
      <c r="C238" s="139">
        <v>2879.96</v>
      </c>
      <c r="D238" s="139">
        <v>464</v>
      </c>
      <c r="E238" s="139">
        <v>1968</v>
      </c>
      <c r="F238" s="139">
        <v>733.9</v>
      </c>
      <c r="G238" s="139"/>
      <c r="H238" s="139">
        <v>347.14</v>
      </c>
      <c r="I238" s="139"/>
      <c r="J238" s="139"/>
      <c r="K238" s="139"/>
      <c r="L238" s="133"/>
      <c r="M238" s="137"/>
      <c r="N238" s="116"/>
      <c r="O238" s="117"/>
    </row>
    <row r="239" spans="1:15" ht="13">
      <c r="A239" s="138">
        <f t="shared" si="5"/>
        <v>44589</v>
      </c>
      <c r="B239" s="3" t="s">
        <v>11</v>
      </c>
      <c r="C239" s="139">
        <v>2758.58</v>
      </c>
      <c r="D239" s="139">
        <v>455.6</v>
      </c>
      <c r="E239" s="139">
        <v>1880.01</v>
      </c>
      <c r="F239" s="139">
        <v>687</v>
      </c>
      <c r="G239" s="139"/>
      <c r="H239" s="139">
        <v>333.45</v>
      </c>
      <c r="I239" s="139"/>
      <c r="J239" s="139"/>
      <c r="K239" s="139"/>
      <c r="L239" s="133"/>
      <c r="M239" s="137"/>
      <c r="N239" s="116"/>
      <c r="O239" s="117"/>
    </row>
    <row r="240" spans="1:15" ht="13">
      <c r="A240" s="140">
        <f t="shared" si="5"/>
        <v>44589</v>
      </c>
      <c r="B240" s="141" t="s">
        <v>181</v>
      </c>
      <c r="C240" s="142">
        <v>2879.56</v>
      </c>
      <c r="D240" s="142">
        <v>460</v>
      </c>
      <c r="E240" s="142">
        <v>1887</v>
      </c>
      <c r="F240" s="142">
        <v>716.4</v>
      </c>
      <c r="G240" s="142"/>
      <c r="H240" s="142">
        <v>347.01</v>
      </c>
      <c r="I240" s="142">
        <v>2.85</v>
      </c>
      <c r="J240" s="142">
        <v>0.95</v>
      </c>
      <c r="K240" s="142"/>
      <c r="L240" s="133"/>
      <c r="M240" s="137"/>
      <c r="N240" s="116"/>
      <c r="O240" s="117"/>
    </row>
    <row r="241" spans="1:15" ht="13">
      <c r="A241" s="138">
        <f t="shared" si="5"/>
        <v>44589</v>
      </c>
      <c r="B241" s="3" t="s">
        <v>182</v>
      </c>
      <c r="C241" s="139">
        <v>3719599</v>
      </c>
      <c r="D241" s="139">
        <v>15027473</v>
      </c>
      <c r="E241" s="139">
        <v>4102011</v>
      </c>
      <c r="F241" s="139">
        <v>843629</v>
      </c>
      <c r="G241" s="139"/>
      <c r="H241" s="139">
        <v>3661942</v>
      </c>
      <c r="I241" s="139"/>
      <c r="J241" s="139"/>
      <c r="K241" s="139"/>
      <c r="L241" s="133"/>
      <c r="M241" s="137"/>
      <c r="N241" s="116"/>
      <c r="O241" s="117"/>
    </row>
    <row r="242" spans="1:15" ht="13">
      <c r="A242" s="138">
        <f t="shared" si="5"/>
        <v>44589</v>
      </c>
      <c r="B242" s="3" t="s">
        <v>179</v>
      </c>
      <c r="C242" s="139" t="s">
        <v>174</v>
      </c>
      <c r="D242" s="139" t="s">
        <v>174</v>
      </c>
      <c r="E242" s="139" t="s">
        <v>174</v>
      </c>
      <c r="F242" s="139" t="s">
        <v>174</v>
      </c>
      <c r="G242" s="139">
        <v>10.84</v>
      </c>
      <c r="H242" s="139" t="s">
        <v>174</v>
      </c>
      <c r="I242" s="139"/>
      <c r="J242" s="139"/>
      <c r="K242" s="139"/>
      <c r="L242" s="133"/>
      <c r="M242" s="137"/>
      <c r="N242" s="116"/>
      <c r="O242" s="117"/>
    </row>
    <row r="243" spans="1:15" ht="13">
      <c r="A243" s="143">
        <f t="shared" si="5"/>
        <v>44589</v>
      </c>
      <c r="B243" s="144" t="s">
        <v>180</v>
      </c>
      <c r="C243" s="145" t="s">
        <v>174</v>
      </c>
      <c r="D243" s="145" t="s">
        <v>174</v>
      </c>
      <c r="E243" s="145" t="s">
        <v>174</v>
      </c>
      <c r="F243" s="145" t="s">
        <v>174</v>
      </c>
      <c r="G243" s="145">
        <v>13.260000000000002</v>
      </c>
      <c r="H243" s="145" t="s">
        <v>174</v>
      </c>
      <c r="I243" s="145"/>
      <c r="J243" s="145"/>
      <c r="K243" s="145"/>
      <c r="L243" s="133"/>
      <c r="M243" s="137"/>
      <c r="N243" s="116"/>
      <c r="O243" s="117"/>
    </row>
    <row r="244" spans="1:15" ht="13">
      <c r="A244" s="134"/>
      <c r="B244" s="135"/>
      <c r="C244" s="136"/>
      <c r="D244" s="149"/>
      <c r="E244" s="149"/>
      <c r="F244" s="149"/>
      <c r="G244" s="136"/>
      <c r="H244" s="136"/>
      <c r="I244" s="136"/>
      <c r="J244" s="136"/>
      <c r="K244" s="136"/>
      <c r="L244" s="133"/>
      <c r="M244" s="137"/>
      <c r="N244" s="116"/>
      <c r="O244" s="117"/>
    </row>
    <row r="245" spans="1:15" ht="13">
      <c r="A245" s="138"/>
      <c r="B245" s="3"/>
      <c r="C245" s="139"/>
      <c r="D245" s="147"/>
      <c r="E245" s="147"/>
      <c r="F245" s="147"/>
      <c r="G245" s="139"/>
      <c r="H245" s="139"/>
      <c r="I245" s="139"/>
      <c r="J245" s="139"/>
      <c r="K245" s="139"/>
      <c r="L245" s="133"/>
      <c r="M245" s="137"/>
      <c r="N245" s="116"/>
      <c r="O245" s="117"/>
    </row>
    <row r="246" spans="1:15" ht="13">
      <c r="A246" s="138"/>
      <c r="B246" s="3"/>
      <c r="C246" s="139"/>
      <c r="D246" s="147"/>
      <c r="E246" s="147"/>
      <c r="F246" s="147"/>
      <c r="G246" s="139"/>
      <c r="H246" s="139"/>
      <c r="I246" s="139"/>
      <c r="J246" s="139"/>
      <c r="K246" s="139"/>
      <c r="L246" s="133"/>
      <c r="M246" s="137"/>
      <c r="N246" s="116"/>
      <c r="O246" s="117"/>
    </row>
    <row r="247" spans="1:15" ht="13">
      <c r="A247" s="140"/>
      <c r="B247" s="141"/>
      <c r="C247" s="142"/>
      <c r="D247" s="146"/>
      <c r="E247" s="146"/>
      <c r="F247" s="146"/>
      <c r="G247" s="142"/>
      <c r="H247" s="142"/>
      <c r="I247" s="142">
        <v>2.75</v>
      </c>
      <c r="J247" s="142">
        <v>0.85</v>
      </c>
      <c r="K247" s="142"/>
      <c r="L247" s="133"/>
      <c r="M247" s="137"/>
      <c r="N247" s="116"/>
      <c r="O247" s="117"/>
    </row>
    <row r="248" spans="1:15" ht="13">
      <c r="A248" s="138"/>
      <c r="B248" s="3"/>
      <c r="C248" s="139"/>
      <c r="D248" s="147"/>
      <c r="E248" s="147"/>
      <c r="F248" s="147"/>
      <c r="G248" s="139"/>
      <c r="H248" s="139"/>
      <c r="I248" s="139"/>
      <c r="J248" s="139"/>
      <c r="K248" s="139"/>
      <c r="L248" s="133"/>
      <c r="M248" s="137"/>
      <c r="N248" s="116"/>
      <c r="O248" s="117"/>
    </row>
    <row r="249" spans="1:15" ht="13">
      <c r="A249" s="138"/>
      <c r="B249" s="3"/>
      <c r="C249" s="139"/>
      <c r="D249" s="147"/>
      <c r="E249" s="147"/>
      <c r="F249" s="147"/>
      <c r="G249" s="139">
        <v>10.79</v>
      </c>
      <c r="H249" s="139"/>
      <c r="I249" s="147"/>
      <c r="J249" s="147"/>
      <c r="K249" s="139"/>
      <c r="L249" s="133"/>
      <c r="M249" s="137"/>
      <c r="N249" s="116"/>
      <c r="O249" s="117"/>
    </row>
    <row r="250" spans="1:15" ht="13">
      <c r="A250" s="143"/>
      <c r="B250" s="144"/>
      <c r="C250" s="145"/>
      <c r="D250" s="148"/>
      <c r="E250" s="148"/>
      <c r="F250" s="148"/>
      <c r="G250" s="145">
        <v>13.21</v>
      </c>
      <c r="H250" s="145"/>
      <c r="I250" s="148"/>
      <c r="J250" s="148"/>
      <c r="K250" s="145"/>
      <c r="L250" s="133"/>
      <c r="M250" s="137"/>
      <c r="N250" s="116"/>
      <c r="O250" s="117"/>
    </row>
    <row r="251" spans="1:15" ht="13">
      <c r="A251" s="134"/>
      <c r="B251" s="135"/>
      <c r="C251" s="136"/>
      <c r="D251" s="149"/>
      <c r="E251" s="149"/>
      <c r="F251" s="149"/>
      <c r="G251" s="149"/>
      <c r="H251" s="136"/>
      <c r="I251" s="149"/>
      <c r="J251" s="149"/>
      <c r="K251" s="136"/>
      <c r="L251" s="133"/>
      <c r="M251" s="137"/>
      <c r="N251" s="116"/>
      <c r="O251" s="117"/>
    </row>
    <row r="252" spans="1:15" ht="13">
      <c r="A252" s="138"/>
      <c r="B252" s="3"/>
      <c r="C252" s="139"/>
      <c r="D252" s="147"/>
      <c r="E252" s="147"/>
      <c r="F252" s="147"/>
      <c r="G252" s="147"/>
      <c r="H252" s="139"/>
      <c r="I252" s="147"/>
      <c r="J252" s="147"/>
      <c r="K252" s="139"/>
      <c r="L252" s="133"/>
      <c r="M252" s="137"/>
      <c r="N252" s="116"/>
      <c r="O252" s="117"/>
    </row>
    <row r="253" spans="1:15" ht="13">
      <c r="A253" s="138"/>
      <c r="B253" s="3"/>
      <c r="C253" s="139"/>
      <c r="D253" s="147"/>
      <c r="E253" s="147"/>
      <c r="F253" s="147"/>
      <c r="G253" s="147"/>
      <c r="H253" s="139"/>
      <c r="I253" s="147"/>
      <c r="J253" s="147"/>
      <c r="K253" s="139"/>
      <c r="L253" s="133"/>
      <c r="M253" s="137"/>
      <c r="N253" s="116"/>
      <c r="O253" s="117"/>
    </row>
    <row r="254" spans="1:15" ht="13">
      <c r="A254" s="140"/>
      <c r="B254" s="141"/>
      <c r="C254" s="142"/>
      <c r="D254" s="146"/>
      <c r="E254" s="146"/>
      <c r="F254" s="146"/>
      <c r="G254" s="146"/>
      <c r="H254" s="142"/>
      <c r="I254" s="146"/>
      <c r="J254" s="146"/>
      <c r="K254" s="142"/>
      <c r="L254" s="133"/>
      <c r="M254" s="137"/>
      <c r="N254" s="116"/>
      <c r="O254" s="117"/>
    </row>
    <row r="255" spans="1:15" ht="13">
      <c r="A255" s="138"/>
      <c r="B255" s="3"/>
      <c r="C255" s="139"/>
      <c r="D255" s="147"/>
      <c r="E255" s="147"/>
      <c r="F255" s="147"/>
      <c r="G255" s="147"/>
      <c r="H255" s="139"/>
      <c r="I255" s="147"/>
      <c r="J255" s="139"/>
      <c r="K255" s="139"/>
      <c r="L255" s="133"/>
      <c r="M255" s="137"/>
      <c r="N255" s="116"/>
      <c r="O255" s="117"/>
    </row>
    <row r="256" spans="1:15" ht="13">
      <c r="A256" s="138"/>
      <c r="B256" s="3"/>
      <c r="C256" s="139"/>
      <c r="D256" s="147"/>
      <c r="E256" s="147"/>
      <c r="F256" s="147"/>
      <c r="G256" s="147"/>
      <c r="H256" s="139"/>
      <c r="I256" s="147"/>
      <c r="J256" s="147"/>
      <c r="K256" s="139"/>
      <c r="L256" s="133"/>
      <c r="M256" s="137"/>
      <c r="N256" s="116"/>
      <c r="O256" s="117"/>
    </row>
    <row r="257" spans="1:15" ht="13">
      <c r="A257" s="143"/>
      <c r="B257" s="144"/>
      <c r="C257" s="145"/>
      <c r="D257" s="148"/>
      <c r="E257" s="148"/>
      <c r="F257" s="148"/>
      <c r="G257" s="148"/>
      <c r="H257" s="145"/>
      <c r="I257" s="148"/>
      <c r="J257" s="148"/>
      <c r="K257" s="145"/>
      <c r="L257" s="133"/>
      <c r="M257" s="137"/>
      <c r="N257" s="116"/>
      <c r="O257" s="117"/>
    </row>
    <row r="258" spans="1:15" ht="13">
      <c r="A258" s="134"/>
      <c r="B258" s="135"/>
      <c r="C258" s="136"/>
      <c r="D258" s="149"/>
      <c r="E258" s="149"/>
      <c r="F258" s="149"/>
      <c r="G258" s="149"/>
      <c r="H258" s="136"/>
      <c r="I258" s="149"/>
      <c r="J258" s="149"/>
      <c r="K258" s="136"/>
      <c r="L258" s="133"/>
      <c r="M258" s="137"/>
      <c r="N258" s="116"/>
      <c r="O258" s="117"/>
    </row>
    <row r="259" spans="1:15" ht="13">
      <c r="A259" s="138"/>
      <c r="B259" s="3"/>
      <c r="C259" s="139"/>
      <c r="D259" s="147"/>
      <c r="E259" s="147"/>
      <c r="F259" s="147"/>
      <c r="G259" s="147"/>
      <c r="H259" s="139"/>
      <c r="I259" s="147"/>
      <c r="J259" s="147"/>
      <c r="K259" s="139"/>
      <c r="L259" s="133"/>
      <c r="M259" s="137"/>
      <c r="N259" s="116"/>
      <c r="O259" s="117"/>
    </row>
    <row r="260" spans="1:15" ht="13">
      <c r="A260" s="138"/>
      <c r="B260" s="3"/>
      <c r="C260" s="139"/>
      <c r="D260" s="147"/>
      <c r="E260" s="147"/>
      <c r="F260" s="147"/>
      <c r="G260" s="147"/>
      <c r="H260" s="139"/>
      <c r="I260" s="147"/>
      <c r="J260" s="147"/>
      <c r="K260" s="139"/>
      <c r="L260" s="133"/>
      <c r="M260" s="137"/>
      <c r="N260" s="116"/>
      <c r="O260" s="117"/>
    </row>
    <row r="261" spans="1:15" ht="13">
      <c r="A261" s="140"/>
      <c r="B261" s="141"/>
      <c r="C261" s="142"/>
      <c r="D261" s="146"/>
      <c r="E261" s="146"/>
      <c r="F261" s="146"/>
      <c r="G261" s="146"/>
      <c r="H261" s="142"/>
      <c r="I261" s="146"/>
      <c r="J261" s="146"/>
      <c r="K261" s="142"/>
      <c r="L261" s="133"/>
      <c r="M261" s="137"/>
      <c r="N261" s="116"/>
      <c r="O261" s="117"/>
    </row>
    <row r="262" spans="1:15" ht="13">
      <c r="A262" s="138"/>
      <c r="B262" s="3"/>
      <c r="C262" s="139"/>
      <c r="D262" s="147"/>
      <c r="E262" s="147"/>
      <c r="F262" s="147"/>
      <c r="G262" s="147"/>
      <c r="H262" s="139"/>
      <c r="I262" s="147"/>
      <c r="J262" s="139"/>
      <c r="K262" s="139"/>
      <c r="L262" s="133"/>
      <c r="M262" s="137"/>
      <c r="N262" s="116"/>
      <c r="O262" s="117"/>
    </row>
    <row r="263" spans="1:15" ht="13">
      <c r="A263" s="138"/>
      <c r="B263" s="3"/>
      <c r="C263" s="139"/>
      <c r="D263" s="147"/>
      <c r="E263" s="147"/>
      <c r="F263" s="147"/>
      <c r="G263" s="147"/>
      <c r="H263" s="139"/>
      <c r="I263" s="147"/>
      <c r="J263" s="147"/>
      <c r="K263" s="139"/>
      <c r="L263" s="133"/>
      <c r="M263" s="137"/>
      <c r="N263" s="116"/>
      <c r="O263" s="117"/>
    </row>
    <row r="264" spans="1:15" ht="13">
      <c r="A264" s="143"/>
      <c r="B264" s="144"/>
      <c r="C264" s="145"/>
      <c r="D264" s="148"/>
      <c r="E264" s="148"/>
      <c r="F264" s="148"/>
      <c r="G264" s="148"/>
      <c r="H264" s="145"/>
      <c r="I264" s="148"/>
      <c r="J264" s="148"/>
      <c r="K264" s="145"/>
      <c r="L264" s="133"/>
      <c r="M264" s="137"/>
      <c r="N264" s="116"/>
      <c r="O264" s="117"/>
    </row>
    <row r="265" spans="1:15" ht="13">
      <c r="A265" s="134"/>
      <c r="B265" s="135"/>
      <c r="C265" s="136"/>
      <c r="D265" s="149"/>
      <c r="E265" s="149"/>
      <c r="F265" s="149"/>
      <c r="G265" s="149"/>
      <c r="H265" s="136"/>
      <c r="I265" s="149"/>
      <c r="J265" s="149"/>
      <c r="K265" s="136"/>
      <c r="L265" s="133"/>
      <c r="M265" s="137"/>
      <c r="N265" s="116"/>
      <c r="O265" s="117"/>
    </row>
    <row r="266" spans="1:15" ht="13">
      <c r="A266" s="138"/>
      <c r="B266" s="3"/>
      <c r="C266" s="139"/>
      <c r="D266" s="147"/>
      <c r="E266" s="147"/>
      <c r="F266" s="147"/>
      <c r="G266" s="147"/>
      <c r="H266" s="139"/>
      <c r="I266" s="147"/>
      <c r="J266" s="147"/>
      <c r="K266" s="139"/>
      <c r="L266" s="133"/>
      <c r="M266" s="137"/>
      <c r="N266" s="116"/>
      <c r="O266" s="117"/>
    </row>
    <row r="267" spans="1:15" ht="13">
      <c r="A267" s="138"/>
      <c r="B267" s="3"/>
      <c r="C267" s="139"/>
      <c r="D267" s="147"/>
      <c r="E267" s="147"/>
      <c r="F267" s="147"/>
      <c r="G267" s="147"/>
      <c r="H267" s="139"/>
      <c r="I267" s="147"/>
      <c r="J267" s="147"/>
      <c r="K267" s="139"/>
      <c r="L267" s="133"/>
      <c r="M267" s="137"/>
      <c r="N267" s="116"/>
      <c r="O267" s="117"/>
    </row>
    <row r="268" spans="1:15" ht="13">
      <c r="A268" s="140"/>
      <c r="B268" s="141"/>
      <c r="C268" s="142"/>
      <c r="D268" s="146"/>
      <c r="E268" s="146"/>
      <c r="F268" s="146"/>
      <c r="G268" s="146"/>
      <c r="H268" s="142"/>
      <c r="I268" s="146"/>
      <c r="J268" s="146"/>
      <c r="K268" s="142"/>
      <c r="L268" s="133"/>
      <c r="M268" s="137"/>
      <c r="N268" s="116"/>
      <c r="O268" s="117"/>
    </row>
    <row r="269" spans="1:15" ht="13">
      <c r="A269" s="138"/>
      <c r="B269" s="3"/>
      <c r="C269" s="139"/>
      <c r="D269" s="147"/>
      <c r="E269" s="147"/>
      <c r="F269" s="147"/>
      <c r="G269" s="147"/>
      <c r="H269" s="139"/>
      <c r="I269" s="147"/>
      <c r="J269" s="139"/>
      <c r="K269" s="139"/>
      <c r="L269" s="133"/>
      <c r="M269" s="137"/>
      <c r="N269" s="116"/>
      <c r="O269" s="117"/>
    </row>
    <row r="270" spans="1:15" ht="13">
      <c r="A270" s="138"/>
      <c r="B270" s="3"/>
      <c r="C270" s="139"/>
      <c r="D270" s="147"/>
      <c r="E270" s="147"/>
      <c r="F270" s="147"/>
      <c r="G270" s="147"/>
      <c r="H270" s="139"/>
      <c r="I270" s="147"/>
      <c r="J270" s="147"/>
      <c r="K270" s="139"/>
      <c r="L270" s="133"/>
      <c r="M270" s="137"/>
      <c r="N270" s="116"/>
      <c r="O270" s="117"/>
    </row>
    <row r="271" spans="1:15" ht="13">
      <c r="A271" s="143"/>
      <c r="B271" s="144"/>
      <c r="C271" s="145"/>
      <c r="D271" s="148"/>
      <c r="E271" s="148"/>
      <c r="F271" s="148"/>
      <c r="G271" s="148"/>
      <c r="H271" s="145"/>
      <c r="I271" s="148"/>
      <c r="J271" s="148"/>
      <c r="K271" s="145"/>
      <c r="L271" s="133"/>
      <c r="M271" s="137"/>
      <c r="N271" s="116"/>
      <c r="O271" s="117"/>
    </row>
    <row r="272" spans="1:15" ht="13">
      <c r="C272" s="139"/>
      <c r="D272" s="139"/>
      <c r="E272" s="139"/>
      <c r="F272" s="139"/>
      <c r="G272" s="139"/>
      <c r="H272" s="139"/>
      <c r="I272" s="139"/>
      <c r="J272" s="139"/>
      <c r="K272" s="139"/>
      <c r="L272" s="116"/>
      <c r="M272" s="116"/>
      <c r="N272" s="116"/>
      <c r="O272" s="117"/>
    </row>
    <row r="273" spans="3:15" ht="13">
      <c r="C273" s="139"/>
      <c r="D273" s="139"/>
      <c r="E273" s="139"/>
      <c r="F273" s="139"/>
      <c r="G273" s="139"/>
      <c r="H273" s="139"/>
      <c r="I273" s="139"/>
      <c r="J273" s="139"/>
      <c r="K273" s="139"/>
      <c r="L273" s="116"/>
      <c r="M273" s="116"/>
      <c r="N273" s="116"/>
      <c r="O273" s="117"/>
    </row>
    <row r="274" spans="3:15" ht="13">
      <c r="C274" s="139"/>
      <c r="D274" s="139"/>
      <c r="E274" s="139"/>
      <c r="F274" s="139"/>
      <c r="G274" s="139"/>
      <c r="H274" s="139"/>
      <c r="I274" s="139"/>
      <c r="J274" s="139"/>
      <c r="K274" s="139"/>
      <c r="L274" s="116"/>
      <c r="M274" s="116"/>
      <c r="N274" s="116"/>
      <c r="O274" s="117"/>
    </row>
    <row r="275" spans="3:15" ht="13">
      <c r="C275" s="139"/>
      <c r="D275" s="139"/>
      <c r="E275" s="139"/>
      <c r="F275" s="139"/>
      <c r="G275" s="139"/>
      <c r="H275" s="139"/>
      <c r="I275" s="139"/>
      <c r="J275" s="139"/>
      <c r="K275" s="139"/>
      <c r="L275" s="116"/>
      <c r="M275" s="116"/>
      <c r="N275" s="116"/>
      <c r="O275" s="117"/>
    </row>
    <row r="276" spans="3:15" ht="13">
      <c r="C276" s="139"/>
      <c r="D276" s="139"/>
      <c r="E276" s="139"/>
      <c r="F276" s="139"/>
      <c r="G276" s="139"/>
      <c r="H276" s="139"/>
      <c r="I276" s="139"/>
      <c r="J276" s="139"/>
      <c r="K276" s="139"/>
      <c r="L276" s="116"/>
      <c r="M276" s="116"/>
      <c r="N276" s="116"/>
      <c r="O276" s="117"/>
    </row>
    <row r="277" spans="3:15" ht="13">
      <c r="C277" s="139"/>
      <c r="D277" s="139"/>
      <c r="E277" s="139"/>
      <c r="F277" s="139"/>
      <c r="G277" s="139"/>
      <c r="H277" s="139"/>
      <c r="I277" s="139"/>
      <c r="J277" s="139"/>
      <c r="K277" s="139"/>
      <c r="L277" s="116"/>
      <c r="M277" s="116"/>
      <c r="N277" s="116"/>
      <c r="O277" s="117"/>
    </row>
    <row r="278" spans="3:15" ht="13">
      <c r="C278" s="139"/>
      <c r="D278" s="139"/>
      <c r="E278" s="139"/>
      <c r="F278" s="139"/>
      <c r="G278" s="139"/>
      <c r="H278" s="139"/>
      <c r="I278" s="139"/>
      <c r="J278" s="139"/>
      <c r="K278" s="139"/>
      <c r="L278" s="116"/>
      <c r="M278" s="116"/>
      <c r="N278" s="116"/>
      <c r="O278" s="117"/>
    </row>
    <row r="279" spans="3:15" ht="13">
      <c r="C279" s="139"/>
      <c r="D279" s="139"/>
      <c r="E279" s="139"/>
      <c r="F279" s="139"/>
      <c r="G279" s="139"/>
      <c r="H279" s="139"/>
      <c r="I279" s="139"/>
      <c r="J279" s="139"/>
      <c r="K279" s="139"/>
      <c r="L279" s="116"/>
      <c r="M279" s="116"/>
      <c r="N279" s="116"/>
      <c r="O279" s="117"/>
    </row>
    <row r="280" spans="3:15" ht="13">
      <c r="C280" s="139"/>
      <c r="D280" s="139"/>
      <c r="E280" s="139"/>
      <c r="F280" s="139"/>
      <c r="G280" s="139"/>
      <c r="H280" s="139"/>
      <c r="I280" s="139"/>
      <c r="J280" s="139"/>
      <c r="K280" s="139"/>
      <c r="L280" s="116"/>
      <c r="M280" s="116"/>
      <c r="N280" s="116"/>
      <c r="O280" s="117"/>
    </row>
    <row r="281" spans="3:15" ht="13">
      <c r="C281" s="139"/>
      <c r="D281" s="139"/>
      <c r="E281" s="139"/>
      <c r="F281" s="139"/>
      <c r="G281" s="139"/>
      <c r="H281" s="139"/>
      <c r="I281" s="139"/>
      <c r="J281" s="139"/>
      <c r="K281" s="139"/>
      <c r="L281" s="116"/>
      <c r="M281" s="116"/>
      <c r="N281" s="116"/>
      <c r="O281" s="117"/>
    </row>
    <row r="282" spans="3:15" ht="13">
      <c r="C282" s="139"/>
      <c r="D282" s="139"/>
      <c r="E282" s="139"/>
      <c r="F282" s="139"/>
      <c r="G282" s="139"/>
      <c r="H282" s="139"/>
      <c r="I282" s="139"/>
      <c r="J282" s="139"/>
      <c r="K282" s="139"/>
      <c r="L282" s="116"/>
      <c r="M282" s="116"/>
      <c r="N282" s="116"/>
      <c r="O282" s="117"/>
    </row>
    <row r="283" spans="3:15" ht="13">
      <c r="C283" s="139"/>
      <c r="D283" s="139"/>
      <c r="E283" s="139"/>
      <c r="F283" s="139"/>
      <c r="G283" s="139"/>
      <c r="H283" s="139"/>
      <c r="I283" s="139"/>
      <c r="J283" s="139"/>
      <c r="K283" s="139"/>
      <c r="L283" s="116"/>
      <c r="M283" s="116"/>
      <c r="N283" s="116"/>
      <c r="O283" s="117"/>
    </row>
    <row r="284" spans="3:15" ht="13">
      <c r="C284" s="139"/>
      <c r="D284" s="139"/>
      <c r="E284" s="139"/>
      <c r="F284" s="139"/>
      <c r="G284" s="139"/>
      <c r="H284" s="139"/>
      <c r="I284" s="139"/>
      <c r="J284" s="139"/>
      <c r="K284" s="139"/>
      <c r="L284" s="116"/>
      <c r="M284" s="116"/>
      <c r="N284" s="116"/>
      <c r="O284" s="117"/>
    </row>
    <row r="285" spans="3:15" ht="13">
      <c r="C285" s="139"/>
      <c r="D285" s="139"/>
      <c r="E285" s="139"/>
      <c r="F285" s="139"/>
      <c r="G285" s="139"/>
      <c r="H285" s="139"/>
      <c r="I285" s="139"/>
      <c r="J285" s="139"/>
      <c r="K285" s="139"/>
      <c r="L285" s="116"/>
      <c r="M285" s="116"/>
      <c r="N285" s="116"/>
      <c r="O285" s="117"/>
    </row>
    <row r="286" spans="3:15" ht="13">
      <c r="C286" s="139"/>
      <c r="D286" s="139"/>
      <c r="E286" s="139"/>
      <c r="F286" s="139"/>
      <c r="G286" s="139"/>
      <c r="H286" s="139"/>
      <c r="I286" s="139"/>
      <c r="J286" s="139"/>
      <c r="K286" s="139"/>
      <c r="L286" s="116"/>
      <c r="M286" s="116"/>
      <c r="N286" s="116"/>
      <c r="O286" s="117"/>
    </row>
    <row r="287" spans="3:15" ht="13">
      <c r="C287" s="139"/>
      <c r="D287" s="139"/>
      <c r="E287" s="139"/>
      <c r="F287" s="139"/>
      <c r="G287" s="139"/>
      <c r="H287" s="139"/>
      <c r="I287" s="139"/>
      <c r="J287" s="139"/>
      <c r="K287" s="139"/>
      <c r="L287" s="116"/>
      <c r="M287" s="116"/>
      <c r="N287" s="116"/>
      <c r="O287" s="117"/>
    </row>
    <row r="288" spans="3:15" ht="13">
      <c r="C288" s="139"/>
      <c r="D288" s="139"/>
      <c r="E288" s="139"/>
      <c r="F288" s="139"/>
      <c r="G288" s="139"/>
      <c r="H288" s="139"/>
      <c r="I288" s="139"/>
      <c r="J288" s="139"/>
      <c r="K288" s="139"/>
      <c r="L288" s="116"/>
      <c r="M288" s="116"/>
      <c r="N288" s="116"/>
      <c r="O288" s="117"/>
    </row>
    <row r="289" spans="3:15" ht="13">
      <c r="C289" s="139"/>
      <c r="D289" s="139"/>
      <c r="E289" s="139"/>
      <c r="F289" s="139"/>
      <c r="G289" s="139"/>
      <c r="H289" s="139"/>
      <c r="I289" s="139"/>
      <c r="J289" s="139"/>
      <c r="K289" s="139"/>
      <c r="L289" s="116"/>
      <c r="M289" s="116"/>
      <c r="N289" s="116"/>
      <c r="O289" s="117"/>
    </row>
    <row r="290" spans="3:15" ht="13">
      <c r="C290" s="139"/>
      <c r="D290" s="139"/>
      <c r="E290" s="139"/>
      <c r="F290" s="139"/>
      <c r="G290" s="139"/>
      <c r="H290" s="139"/>
      <c r="I290" s="139"/>
      <c r="J290" s="139"/>
      <c r="K290" s="139"/>
      <c r="L290" s="116"/>
      <c r="M290" s="116"/>
      <c r="N290" s="116"/>
      <c r="O290" s="117"/>
    </row>
    <row r="291" spans="3:15" ht="13">
      <c r="C291" s="139"/>
      <c r="D291" s="139"/>
      <c r="E291" s="139"/>
      <c r="F291" s="139"/>
      <c r="G291" s="139"/>
      <c r="H291" s="139"/>
      <c r="I291" s="139"/>
      <c r="J291" s="139"/>
      <c r="K291" s="139"/>
      <c r="L291" s="116"/>
      <c r="M291" s="116"/>
      <c r="N291" s="116"/>
      <c r="O291" s="117"/>
    </row>
    <row r="292" spans="3:15" ht="13">
      <c r="C292" s="139"/>
      <c r="D292" s="139"/>
      <c r="E292" s="139"/>
      <c r="F292" s="139"/>
      <c r="G292" s="139"/>
      <c r="H292" s="139"/>
      <c r="I292" s="139"/>
      <c r="J292" s="139"/>
      <c r="K292" s="139"/>
      <c r="L292" s="116"/>
      <c r="M292" s="116"/>
      <c r="N292" s="116"/>
      <c r="O292" s="117"/>
    </row>
    <row r="293" spans="3:15" ht="13">
      <c r="C293" s="139"/>
      <c r="D293" s="139"/>
      <c r="E293" s="139"/>
      <c r="F293" s="139"/>
      <c r="G293" s="139"/>
      <c r="H293" s="139"/>
      <c r="I293" s="139"/>
      <c r="J293" s="139"/>
      <c r="K293" s="139"/>
      <c r="L293" s="116"/>
      <c r="M293" s="116"/>
      <c r="N293" s="116"/>
      <c r="O293" s="117"/>
    </row>
    <row r="294" spans="3:15" ht="13">
      <c r="C294" s="139"/>
      <c r="D294" s="139"/>
      <c r="E294" s="139"/>
      <c r="F294" s="139"/>
      <c r="G294" s="139"/>
      <c r="H294" s="139"/>
      <c r="I294" s="139"/>
      <c r="J294" s="139"/>
      <c r="K294" s="139"/>
      <c r="L294" s="116"/>
      <c r="M294" s="116"/>
      <c r="N294" s="116"/>
      <c r="O294" s="117"/>
    </row>
    <row r="295" spans="3:15" ht="13">
      <c r="C295" s="139"/>
      <c r="D295" s="139"/>
      <c r="E295" s="139"/>
      <c r="F295" s="139"/>
      <c r="G295" s="139"/>
      <c r="H295" s="139"/>
      <c r="I295" s="139"/>
      <c r="J295" s="139"/>
      <c r="K295" s="139"/>
      <c r="L295" s="116"/>
      <c r="M295" s="116"/>
      <c r="N295" s="116"/>
      <c r="O295" s="117"/>
    </row>
    <row r="296" spans="3:15" ht="13">
      <c r="C296" s="139"/>
      <c r="D296" s="139"/>
      <c r="E296" s="139"/>
      <c r="F296" s="139"/>
      <c r="G296" s="139"/>
      <c r="H296" s="139"/>
      <c r="I296" s="139"/>
      <c r="J296" s="139"/>
      <c r="K296" s="139"/>
      <c r="L296" s="116"/>
      <c r="M296" s="116"/>
      <c r="N296" s="116"/>
      <c r="O296" s="117"/>
    </row>
    <row r="297" spans="3:15" ht="13">
      <c r="C297" s="139"/>
      <c r="D297" s="139"/>
      <c r="E297" s="139"/>
      <c r="F297" s="139"/>
      <c r="G297" s="139"/>
      <c r="H297" s="139"/>
      <c r="I297" s="139"/>
      <c r="J297" s="139"/>
      <c r="K297" s="139"/>
      <c r="L297" s="116"/>
      <c r="M297" s="116"/>
      <c r="N297" s="116"/>
      <c r="O297" s="117"/>
    </row>
    <row r="298" spans="3:15" ht="13">
      <c r="C298" s="139"/>
      <c r="D298" s="139"/>
      <c r="E298" s="139"/>
      <c r="F298" s="139"/>
      <c r="G298" s="139"/>
      <c r="H298" s="139"/>
      <c r="I298" s="139"/>
      <c r="J298" s="139"/>
      <c r="K298" s="139"/>
      <c r="L298" s="116"/>
      <c r="M298" s="116"/>
      <c r="N298" s="116"/>
      <c r="O298" s="117"/>
    </row>
    <row r="299" spans="3:15" ht="13">
      <c r="C299" s="139"/>
      <c r="D299" s="139"/>
      <c r="E299" s="139"/>
      <c r="F299" s="139"/>
      <c r="G299" s="139"/>
      <c r="H299" s="139"/>
      <c r="I299" s="139"/>
      <c r="J299" s="139"/>
      <c r="K299" s="139"/>
      <c r="L299" s="116"/>
      <c r="M299" s="116"/>
      <c r="N299" s="116"/>
      <c r="O299" s="117"/>
    </row>
    <row r="300" spans="3:15" ht="13">
      <c r="C300" s="139"/>
      <c r="D300" s="139"/>
      <c r="E300" s="139"/>
      <c r="F300" s="139"/>
      <c r="G300" s="139"/>
      <c r="H300" s="139"/>
      <c r="I300" s="139"/>
      <c r="J300" s="139"/>
      <c r="K300" s="139"/>
      <c r="L300" s="116"/>
      <c r="M300" s="116"/>
      <c r="N300" s="116"/>
      <c r="O300" s="117"/>
    </row>
    <row r="301" spans="3:15" ht="13">
      <c r="C301" s="139"/>
      <c r="D301" s="139"/>
      <c r="E301" s="139"/>
      <c r="F301" s="139"/>
      <c r="G301" s="139"/>
      <c r="H301" s="139"/>
      <c r="I301" s="139"/>
      <c r="J301" s="139"/>
      <c r="K301" s="139"/>
      <c r="L301" s="116"/>
      <c r="M301" s="116"/>
      <c r="N301" s="116"/>
      <c r="O301" s="117"/>
    </row>
    <row r="302" spans="3:15" ht="13">
      <c r="C302" s="139"/>
      <c r="D302" s="139"/>
      <c r="E302" s="139"/>
      <c r="F302" s="139"/>
      <c r="G302" s="139"/>
      <c r="H302" s="139"/>
      <c r="I302" s="139"/>
      <c r="J302" s="139"/>
      <c r="K302" s="139"/>
      <c r="L302" s="116"/>
      <c r="M302" s="116"/>
      <c r="N302" s="116"/>
      <c r="O302" s="117"/>
    </row>
    <row r="303" spans="3:15" ht="13">
      <c r="C303" s="139"/>
      <c r="D303" s="139"/>
      <c r="E303" s="139"/>
      <c r="F303" s="139"/>
      <c r="G303" s="139"/>
      <c r="H303" s="139"/>
      <c r="I303" s="139"/>
      <c r="J303" s="139"/>
      <c r="K303" s="139"/>
      <c r="L303" s="116"/>
      <c r="M303" s="116"/>
      <c r="N303" s="116"/>
      <c r="O303" s="117"/>
    </row>
    <row r="304" spans="3:15" ht="13">
      <c r="C304" s="139"/>
      <c r="D304" s="139"/>
      <c r="E304" s="139"/>
      <c r="F304" s="139"/>
      <c r="G304" s="139"/>
      <c r="H304" s="139"/>
      <c r="I304" s="139"/>
      <c r="J304" s="139"/>
      <c r="K304" s="139"/>
      <c r="L304" s="116"/>
      <c r="M304" s="116"/>
      <c r="N304" s="116"/>
      <c r="O304" s="117"/>
    </row>
    <row r="305" spans="3:15" ht="13">
      <c r="C305" s="139"/>
      <c r="D305" s="139"/>
      <c r="E305" s="139"/>
      <c r="F305" s="139"/>
      <c r="G305" s="139"/>
      <c r="H305" s="139"/>
      <c r="I305" s="139"/>
      <c r="J305" s="139"/>
      <c r="K305" s="139"/>
      <c r="L305" s="116"/>
      <c r="M305" s="116"/>
      <c r="N305" s="116"/>
      <c r="O305" s="117"/>
    </row>
    <row r="306" spans="3:15" ht="13">
      <c r="C306" s="139"/>
      <c r="D306" s="139"/>
      <c r="E306" s="139"/>
      <c r="F306" s="139"/>
      <c r="G306" s="139"/>
      <c r="H306" s="139"/>
      <c r="I306" s="139"/>
      <c r="J306" s="139"/>
      <c r="K306" s="139"/>
      <c r="L306" s="116"/>
      <c r="M306" s="116"/>
      <c r="N306" s="116"/>
      <c r="O306" s="117"/>
    </row>
    <row r="307" spans="3:15" ht="13">
      <c r="C307" s="139"/>
      <c r="D307" s="139"/>
      <c r="E307" s="139"/>
      <c r="F307" s="139"/>
      <c r="G307" s="139"/>
      <c r="H307" s="139"/>
      <c r="I307" s="139"/>
      <c r="J307" s="139"/>
      <c r="K307" s="139"/>
      <c r="L307" s="116"/>
      <c r="M307" s="116"/>
      <c r="N307" s="116"/>
      <c r="O307" s="117"/>
    </row>
    <row r="308" spans="3:15" ht="13">
      <c r="C308" s="139"/>
      <c r="D308" s="139"/>
      <c r="E308" s="139"/>
      <c r="F308" s="139"/>
      <c r="G308" s="139"/>
      <c r="H308" s="139"/>
      <c r="I308" s="139"/>
      <c r="J308" s="139"/>
      <c r="K308" s="139"/>
      <c r="L308" s="116"/>
      <c r="M308" s="116"/>
      <c r="N308" s="116"/>
      <c r="O308" s="117"/>
    </row>
    <row r="309" spans="3:15" ht="13">
      <c r="C309" s="139"/>
      <c r="D309" s="139"/>
      <c r="E309" s="139"/>
      <c r="F309" s="139"/>
      <c r="G309" s="139"/>
      <c r="H309" s="139"/>
      <c r="I309" s="139"/>
      <c r="J309" s="139"/>
      <c r="K309" s="139"/>
      <c r="L309" s="116"/>
      <c r="M309" s="116"/>
      <c r="N309" s="116"/>
      <c r="O309" s="117"/>
    </row>
    <row r="310" spans="3:15" ht="13">
      <c r="C310" s="139"/>
      <c r="D310" s="139"/>
      <c r="E310" s="139"/>
      <c r="F310" s="139"/>
      <c r="G310" s="139"/>
      <c r="H310" s="139"/>
      <c r="I310" s="139"/>
      <c r="J310" s="139"/>
      <c r="K310" s="139"/>
      <c r="L310" s="116"/>
      <c r="M310" s="116"/>
      <c r="N310" s="116"/>
      <c r="O310" s="117"/>
    </row>
    <row r="311" spans="3:15" ht="13">
      <c r="C311" s="139"/>
      <c r="D311" s="139"/>
      <c r="E311" s="139"/>
      <c r="F311" s="139"/>
      <c r="G311" s="139"/>
      <c r="H311" s="139"/>
      <c r="I311" s="139"/>
      <c r="J311" s="139"/>
      <c r="K311" s="139"/>
      <c r="L311" s="116"/>
      <c r="M311" s="116"/>
      <c r="N311" s="116"/>
      <c r="O311" s="117"/>
    </row>
    <row r="312" spans="3:15" ht="13">
      <c r="C312" s="139"/>
      <c r="D312" s="139"/>
      <c r="E312" s="139"/>
      <c r="F312" s="139"/>
      <c r="G312" s="139"/>
      <c r="H312" s="139"/>
      <c r="I312" s="139"/>
      <c r="J312" s="139"/>
      <c r="K312" s="139"/>
      <c r="L312" s="116"/>
      <c r="M312" s="116"/>
      <c r="N312" s="116"/>
      <c r="O312" s="117"/>
    </row>
    <row r="313" spans="3:15" ht="13">
      <c r="C313" s="139"/>
      <c r="D313" s="139"/>
      <c r="E313" s="139"/>
      <c r="F313" s="139"/>
      <c r="G313" s="139"/>
      <c r="H313" s="139"/>
      <c r="I313" s="139"/>
      <c r="J313" s="139"/>
      <c r="K313" s="139"/>
      <c r="L313" s="116"/>
      <c r="M313" s="116"/>
      <c r="N313" s="116"/>
      <c r="O313" s="117"/>
    </row>
    <row r="314" spans="3:15" ht="13">
      <c r="C314" s="139"/>
      <c r="D314" s="139"/>
      <c r="E314" s="139"/>
      <c r="F314" s="139"/>
      <c r="G314" s="139"/>
      <c r="H314" s="139"/>
      <c r="I314" s="139"/>
      <c r="J314" s="139"/>
      <c r="K314" s="139"/>
      <c r="L314" s="116"/>
      <c r="M314" s="116"/>
      <c r="N314" s="116"/>
      <c r="O314" s="117"/>
    </row>
    <row r="315" spans="3:15" ht="13">
      <c r="C315" s="139"/>
      <c r="D315" s="139"/>
      <c r="E315" s="139"/>
      <c r="F315" s="139"/>
      <c r="G315" s="139"/>
      <c r="H315" s="139"/>
      <c r="I315" s="139"/>
      <c r="J315" s="139"/>
      <c r="K315" s="139"/>
      <c r="L315" s="116"/>
      <c r="M315" s="116"/>
      <c r="N315" s="116"/>
      <c r="O315" s="117"/>
    </row>
    <row r="316" spans="3:15" ht="13">
      <c r="C316" s="139"/>
      <c r="D316" s="139"/>
      <c r="E316" s="139"/>
      <c r="F316" s="139"/>
      <c r="G316" s="139"/>
      <c r="H316" s="139"/>
      <c r="I316" s="139"/>
      <c r="J316" s="139"/>
      <c r="K316" s="139"/>
      <c r="L316" s="116"/>
      <c r="M316" s="116"/>
      <c r="N316" s="116"/>
      <c r="O316" s="117"/>
    </row>
    <row r="317" spans="3:15" ht="13">
      <c r="C317" s="139"/>
      <c r="D317" s="139"/>
      <c r="E317" s="139"/>
      <c r="F317" s="139"/>
      <c r="G317" s="139"/>
      <c r="H317" s="139"/>
      <c r="I317" s="139"/>
      <c r="J317" s="139"/>
      <c r="K317" s="139"/>
      <c r="L317" s="116"/>
      <c r="M317" s="116"/>
      <c r="N317" s="116"/>
      <c r="O317" s="117"/>
    </row>
    <row r="318" spans="3:15" ht="13">
      <c r="C318" s="139"/>
      <c r="D318" s="139"/>
      <c r="E318" s="139"/>
      <c r="F318" s="139"/>
      <c r="G318" s="139"/>
      <c r="H318" s="139"/>
      <c r="I318" s="139"/>
      <c r="J318" s="139"/>
      <c r="K318" s="139"/>
      <c r="L318" s="116"/>
      <c r="M318" s="116"/>
      <c r="N318" s="116"/>
      <c r="O318" s="117"/>
    </row>
    <row r="319" spans="3:15" ht="13">
      <c r="C319" s="139"/>
      <c r="D319" s="139"/>
      <c r="E319" s="139"/>
      <c r="F319" s="139"/>
      <c r="G319" s="139"/>
      <c r="H319" s="139"/>
      <c r="I319" s="139"/>
      <c r="J319" s="139"/>
      <c r="K319" s="139"/>
      <c r="L319" s="116"/>
      <c r="M319" s="116"/>
      <c r="N319" s="116"/>
      <c r="O319" s="117"/>
    </row>
    <row r="320" spans="3:15" ht="13">
      <c r="C320" s="139"/>
      <c r="D320" s="139"/>
      <c r="E320" s="139"/>
      <c r="F320" s="139"/>
      <c r="G320" s="139"/>
      <c r="H320" s="139"/>
      <c r="I320" s="139"/>
      <c r="J320" s="139"/>
      <c r="K320" s="139"/>
      <c r="L320" s="116"/>
      <c r="M320" s="116"/>
      <c r="N320" s="116"/>
      <c r="O320" s="117"/>
    </row>
    <row r="321" spans="3:15" ht="13">
      <c r="C321" s="139"/>
      <c r="D321" s="139"/>
      <c r="E321" s="139"/>
      <c r="F321" s="139"/>
      <c r="G321" s="139"/>
      <c r="H321" s="139"/>
      <c r="I321" s="139"/>
      <c r="J321" s="139"/>
      <c r="K321" s="139"/>
      <c r="L321" s="116"/>
      <c r="M321" s="116"/>
      <c r="N321" s="116"/>
      <c r="O321" s="117"/>
    </row>
    <row r="322" spans="3:15" ht="13">
      <c r="C322" s="139"/>
      <c r="D322" s="139"/>
      <c r="E322" s="139"/>
      <c r="F322" s="139"/>
      <c r="G322" s="139"/>
      <c r="H322" s="139"/>
      <c r="I322" s="139"/>
      <c r="J322" s="139"/>
      <c r="K322" s="139"/>
      <c r="L322" s="116"/>
      <c r="M322" s="116"/>
      <c r="N322" s="116"/>
      <c r="O322" s="117"/>
    </row>
    <row r="323" spans="3:15" ht="13">
      <c r="C323" s="139"/>
      <c r="D323" s="139"/>
      <c r="E323" s="139"/>
      <c r="F323" s="139"/>
      <c r="G323" s="139"/>
      <c r="H323" s="139"/>
      <c r="I323" s="139"/>
      <c r="J323" s="139"/>
      <c r="K323" s="139"/>
      <c r="L323" s="116"/>
      <c r="M323" s="116"/>
      <c r="N323" s="116"/>
      <c r="O323" s="117"/>
    </row>
    <row r="324" spans="3:15" ht="13">
      <c r="C324" s="139"/>
      <c r="D324" s="139"/>
      <c r="E324" s="139"/>
      <c r="F324" s="139"/>
      <c r="G324" s="139"/>
      <c r="H324" s="139"/>
      <c r="I324" s="139"/>
      <c r="J324" s="139"/>
      <c r="K324" s="139"/>
      <c r="L324" s="116"/>
      <c r="M324" s="116"/>
      <c r="N324" s="116"/>
      <c r="O324" s="117"/>
    </row>
    <row r="325" spans="3:15" ht="13">
      <c r="C325" s="139"/>
      <c r="D325" s="139"/>
      <c r="E325" s="139"/>
      <c r="F325" s="139"/>
      <c r="G325" s="139"/>
      <c r="H325" s="139"/>
      <c r="I325" s="139"/>
      <c r="J325" s="139"/>
      <c r="K325" s="139"/>
      <c r="L325" s="116"/>
      <c r="M325" s="116"/>
      <c r="N325" s="116"/>
      <c r="O325" s="117"/>
    </row>
    <row r="326" spans="3:15" ht="13">
      <c r="C326" s="139"/>
      <c r="D326" s="139"/>
      <c r="E326" s="139"/>
      <c r="F326" s="139"/>
      <c r="G326" s="139"/>
      <c r="H326" s="139"/>
      <c r="I326" s="139"/>
      <c r="J326" s="139"/>
      <c r="K326" s="139"/>
      <c r="L326" s="116"/>
      <c r="M326" s="116"/>
      <c r="N326" s="116"/>
      <c r="O326" s="117"/>
    </row>
    <row r="327" spans="3:15" ht="13">
      <c r="C327" s="139"/>
      <c r="D327" s="139"/>
      <c r="E327" s="139"/>
      <c r="F327" s="139"/>
      <c r="G327" s="139"/>
      <c r="H327" s="139"/>
      <c r="I327" s="139"/>
      <c r="J327" s="139"/>
      <c r="K327" s="139"/>
      <c r="L327" s="116"/>
      <c r="M327" s="116"/>
      <c r="N327" s="116"/>
      <c r="O327" s="117"/>
    </row>
    <row r="328" spans="3:15" ht="13">
      <c r="C328" s="139"/>
      <c r="D328" s="139"/>
      <c r="E328" s="139"/>
      <c r="F328" s="139"/>
      <c r="G328" s="139"/>
      <c r="H328" s="139"/>
      <c r="I328" s="139"/>
      <c r="J328" s="139"/>
      <c r="K328" s="139"/>
      <c r="L328" s="116"/>
      <c r="M328" s="116"/>
      <c r="N328" s="116"/>
      <c r="O328" s="117"/>
    </row>
    <row r="329" spans="3:15" ht="13">
      <c r="C329" s="139"/>
      <c r="D329" s="139"/>
      <c r="E329" s="139"/>
      <c r="F329" s="139"/>
      <c r="G329" s="139"/>
      <c r="H329" s="139"/>
      <c r="I329" s="139"/>
      <c r="J329" s="139"/>
      <c r="K329" s="139"/>
      <c r="L329" s="116"/>
      <c r="M329" s="116"/>
      <c r="N329" s="116"/>
      <c r="O329" s="117"/>
    </row>
    <row r="330" spans="3:15" ht="13">
      <c r="C330" s="139"/>
      <c r="D330" s="139"/>
      <c r="E330" s="139"/>
      <c r="F330" s="139"/>
      <c r="G330" s="139"/>
      <c r="H330" s="139"/>
      <c r="I330" s="139"/>
      <c r="J330" s="139"/>
      <c r="K330" s="139"/>
      <c r="L330" s="116"/>
      <c r="M330" s="116"/>
      <c r="N330" s="116"/>
      <c r="O330" s="117"/>
    </row>
    <row r="331" spans="3:15" ht="13">
      <c r="C331" s="139"/>
      <c r="D331" s="139"/>
      <c r="E331" s="139"/>
      <c r="F331" s="139"/>
      <c r="G331" s="139"/>
      <c r="H331" s="139"/>
      <c r="I331" s="139"/>
      <c r="J331" s="139"/>
      <c r="K331" s="139"/>
      <c r="L331" s="116"/>
      <c r="M331" s="116"/>
      <c r="N331" s="116"/>
      <c r="O331" s="117"/>
    </row>
    <row r="332" spans="3:15" ht="13">
      <c r="C332" s="139"/>
      <c r="D332" s="139"/>
      <c r="E332" s="139"/>
      <c r="F332" s="139"/>
      <c r="G332" s="139"/>
      <c r="H332" s="139"/>
      <c r="I332" s="139"/>
      <c r="J332" s="139"/>
      <c r="K332" s="139"/>
      <c r="L332" s="116"/>
      <c r="M332" s="116"/>
      <c r="N332" s="116"/>
      <c r="O332" s="117"/>
    </row>
    <row r="333" spans="3:15" ht="13">
      <c r="C333" s="139"/>
      <c r="D333" s="139"/>
      <c r="E333" s="139"/>
      <c r="F333" s="139"/>
      <c r="G333" s="139"/>
      <c r="H333" s="139"/>
      <c r="I333" s="139"/>
      <c r="J333" s="139"/>
      <c r="K333" s="139"/>
      <c r="L333" s="116"/>
      <c r="M333" s="116"/>
      <c r="N333" s="116"/>
      <c r="O333" s="117"/>
    </row>
    <row r="334" spans="3:15" ht="13">
      <c r="C334" s="139"/>
      <c r="D334" s="139"/>
      <c r="E334" s="139"/>
      <c r="F334" s="139"/>
      <c r="G334" s="139"/>
      <c r="H334" s="139"/>
      <c r="I334" s="139"/>
      <c r="J334" s="139"/>
      <c r="K334" s="139"/>
      <c r="L334" s="116"/>
      <c r="M334" s="116"/>
      <c r="N334" s="116"/>
      <c r="O334" s="117"/>
    </row>
    <row r="335" spans="3:15" ht="13">
      <c r="C335" s="139"/>
      <c r="D335" s="139"/>
      <c r="E335" s="139"/>
      <c r="F335" s="139"/>
      <c r="G335" s="139"/>
      <c r="H335" s="139"/>
      <c r="I335" s="139"/>
      <c r="J335" s="139"/>
      <c r="K335" s="139"/>
      <c r="L335" s="116"/>
      <c r="M335" s="116"/>
      <c r="N335" s="116"/>
      <c r="O335" s="117"/>
    </row>
    <row r="336" spans="3:15" ht="13">
      <c r="C336" s="139"/>
      <c r="D336" s="139"/>
      <c r="E336" s="139"/>
      <c r="F336" s="139"/>
      <c r="G336" s="139"/>
      <c r="H336" s="139"/>
      <c r="I336" s="139"/>
      <c r="J336" s="139"/>
      <c r="K336" s="139"/>
      <c r="L336" s="116"/>
      <c r="M336" s="116"/>
      <c r="N336" s="116"/>
      <c r="O336" s="117"/>
    </row>
    <row r="337" spans="3:15" ht="13">
      <c r="C337" s="139"/>
      <c r="D337" s="139"/>
      <c r="E337" s="139"/>
      <c r="F337" s="139"/>
      <c r="G337" s="139"/>
      <c r="H337" s="139"/>
      <c r="I337" s="139"/>
      <c r="J337" s="139"/>
      <c r="K337" s="139"/>
      <c r="L337" s="116"/>
      <c r="M337" s="116"/>
      <c r="N337" s="116"/>
      <c r="O337" s="117"/>
    </row>
    <row r="338" spans="3:15" ht="13">
      <c r="C338" s="139"/>
      <c r="D338" s="139"/>
      <c r="E338" s="139"/>
      <c r="F338" s="139"/>
      <c r="G338" s="139"/>
      <c r="H338" s="139"/>
      <c r="I338" s="139"/>
      <c r="J338" s="139"/>
      <c r="K338" s="139"/>
      <c r="L338" s="116"/>
      <c r="M338" s="116"/>
      <c r="N338" s="116"/>
      <c r="O338" s="117"/>
    </row>
    <row r="339" spans="3:15" ht="13">
      <c r="C339" s="139"/>
      <c r="D339" s="139"/>
      <c r="E339" s="139"/>
      <c r="F339" s="139"/>
      <c r="G339" s="139"/>
      <c r="H339" s="139"/>
      <c r="I339" s="139"/>
      <c r="J339" s="139"/>
      <c r="K339" s="139"/>
      <c r="L339" s="116"/>
      <c r="M339" s="116"/>
      <c r="N339" s="116"/>
      <c r="O339" s="117"/>
    </row>
    <row r="340" spans="3:15" ht="13">
      <c r="C340" s="139"/>
      <c r="D340" s="139"/>
      <c r="E340" s="139"/>
      <c r="F340" s="139"/>
      <c r="G340" s="139"/>
      <c r="H340" s="139"/>
      <c r="I340" s="139"/>
      <c r="J340" s="139"/>
      <c r="K340" s="139"/>
      <c r="L340" s="116"/>
      <c r="M340" s="116"/>
      <c r="N340" s="116"/>
      <c r="O340" s="117"/>
    </row>
    <row r="341" spans="3:15" ht="13">
      <c r="C341" s="139"/>
      <c r="D341" s="139"/>
      <c r="E341" s="139"/>
      <c r="F341" s="139"/>
      <c r="G341" s="139"/>
      <c r="H341" s="139"/>
      <c r="I341" s="139"/>
      <c r="J341" s="139"/>
      <c r="K341" s="139"/>
      <c r="L341" s="116"/>
      <c r="M341" s="116"/>
      <c r="N341" s="116"/>
      <c r="O341" s="117"/>
    </row>
    <row r="342" spans="3:15" ht="13">
      <c r="C342" s="139"/>
      <c r="D342" s="139"/>
      <c r="E342" s="139"/>
      <c r="F342" s="139"/>
      <c r="G342" s="139"/>
      <c r="H342" s="139"/>
      <c r="I342" s="139"/>
      <c r="J342" s="139"/>
      <c r="K342" s="139"/>
      <c r="L342" s="116"/>
      <c r="M342" s="116"/>
      <c r="N342" s="116"/>
      <c r="O342" s="117"/>
    </row>
    <row r="343" spans="3:15" ht="13">
      <c r="C343" s="139"/>
      <c r="D343" s="139"/>
      <c r="E343" s="139"/>
      <c r="F343" s="139"/>
      <c r="G343" s="139"/>
      <c r="H343" s="139"/>
      <c r="I343" s="139"/>
      <c r="J343" s="139"/>
      <c r="K343" s="139"/>
      <c r="L343" s="116"/>
      <c r="M343" s="116"/>
      <c r="N343" s="116"/>
      <c r="O343" s="117"/>
    </row>
    <row r="344" spans="3:15" ht="13">
      <c r="C344" s="139"/>
      <c r="D344" s="139"/>
      <c r="E344" s="139"/>
      <c r="F344" s="139"/>
      <c r="G344" s="139"/>
      <c r="H344" s="139"/>
      <c r="I344" s="139"/>
      <c r="J344" s="139"/>
      <c r="K344" s="139"/>
      <c r="L344" s="116"/>
      <c r="M344" s="116"/>
      <c r="N344" s="116"/>
      <c r="O344" s="117"/>
    </row>
    <row r="345" spans="3:15" ht="13">
      <c r="C345" s="139"/>
      <c r="D345" s="139"/>
      <c r="E345" s="139"/>
      <c r="F345" s="139"/>
      <c r="G345" s="139"/>
      <c r="H345" s="139"/>
      <c r="I345" s="139"/>
      <c r="J345" s="139"/>
      <c r="K345" s="139"/>
      <c r="L345" s="116"/>
      <c r="M345" s="116"/>
      <c r="N345" s="116"/>
      <c r="O345" s="117"/>
    </row>
    <row r="346" spans="3:15" ht="13">
      <c r="C346" s="139"/>
      <c r="D346" s="139"/>
      <c r="E346" s="139"/>
      <c r="F346" s="139"/>
      <c r="G346" s="139"/>
      <c r="H346" s="139"/>
      <c r="I346" s="139"/>
      <c r="J346" s="139"/>
      <c r="K346" s="139"/>
      <c r="L346" s="116"/>
      <c r="M346" s="116"/>
      <c r="N346" s="116"/>
      <c r="O346" s="117"/>
    </row>
    <row r="347" spans="3:15" ht="13">
      <c r="C347" s="139"/>
      <c r="D347" s="139"/>
      <c r="E347" s="139"/>
      <c r="F347" s="139"/>
      <c r="G347" s="139"/>
      <c r="H347" s="139"/>
      <c r="I347" s="139"/>
      <c r="J347" s="139"/>
      <c r="K347" s="139"/>
      <c r="L347" s="116"/>
      <c r="M347" s="116"/>
      <c r="N347" s="116"/>
      <c r="O347" s="117"/>
    </row>
    <row r="348" spans="3:15" ht="13">
      <c r="C348" s="139"/>
      <c r="D348" s="139"/>
      <c r="E348" s="139"/>
      <c r="F348" s="139"/>
      <c r="G348" s="139"/>
      <c r="H348" s="139"/>
      <c r="I348" s="139"/>
      <c r="J348" s="139"/>
      <c r="K348" s="139"/>
      <c r="L348" s="116"/>
      <c r="M348" s="116"/>
      <c r="N348" s="116"/>
      <c r="O348" s="117"/>
    </row>
    <row r="349" spans="3:15" ht="13">
      <c r="C349" s="139"/>
      <c r="D349" s="139"/>
      <c r="E349" s="139"/>
      <c r="F349" s="139"/>
      <c r="G349" s="139"/>
      <c r="H349" s="139"/>
      <c r="I349" s="139"/>
      <c r="J349" s="139"/>
      <c r="K349" s="139"/>
      <c r="L349" s="116"/>
      <c r="M349" s="116"/>
      <c r="N349" s="116"/>
      <c r="O349" s="117"/>
    </row>
    <row r="350" spans="3:15" ht="13">
      <c r="C350" s="139"/>
      <c r="D350" s="139"/>
      <c r="E350" s="139"/>
      <c r="F350" s="139"/>
      <c r="G350" s="139"/>
      <c r="H350" s="139"/>
      <c r="I350" s="139"/>
      <c r="J350" s="139"/>
      <c r="K350" s="139"/>
      <c r="L350" s="116"/>
      <c r="M350" s="116"/>
      <c r="N350" s="116"/>
      <c r="O350" s="117"/>
    </row>
    <row r="351" spans="3:15" ht="13">
      <c r="C351" s="139"/>
      <c r="D351" s="139"/>
      <c r="E351" s="139"/>
      <c r="F351" s="139"/>
      <c r="G351" s="139"/>
      <c r="H351" s="139"/>
      <c r="I351" s="139"/>
      <c r="J351" s="139"/>
      <c r="K351" s="139"/>
      <c r="L351" s="116"/>
      <c r="M351" s="116"/>
      <c r="N351" s="116"/>
      <c r="O351" s="117"/>
    </row>
    <row r="352" spans="3:15" ht="13">
      <c r="C352" s="139"/>
      <c r="D352" s="139"/>
      <c r="E352" s="139"/>
      <c r="F352" s="139"/>
      <c r="G352" s="139"/>
      <c r="H352" s="139"/>
      <c r="I352" s="139"/>
      <c r="J352" s="139"/>
      <c r="K352" s="139"/>
      <c r="L352" s="116"/>
      <c r="M352" s="116"/>
      <c r="N352" s="116"/>
      <c r="O352" s="117"/>
    </row>
    <row r="353" spans="3:15" ht="13">
      <c r="C353" s="139"/>
      <c r="D353" s="139"/>
      <c r="E353" s="139"/>
      <c r="F353" s="139"/>
      <c r="G353" s="139"/>
      <c r="H353" s="139"/>
      <c r="I353" s="139"/>
      <c r="J353" s="139"/>
      <c r="K353" s="139"/>
      <c r="L353" s="116"/>
      <c r="M353" s="116"/>
      <c r="N353" s="116"/>
      <c r="O353" s="117"/>
    </row>
    <row r="354" spans="3:15" ht="13">
      <c r="C354" s="139"/>
      <c r="D354" s="139"/>
      <c r="E354" s="139"/>
      <c r="F354" s="139"/>
      <c r="G354" s="139"/>
      <c r="H354" s="139"/>
      <c r="I354" s="139"/>
      <c r="J354" s="139"/>
      <c r="K354" s="139"/>
      <c r="L354" s="116"/>
      <c r="M354" s="116"/>
      <c r="N354" s="116"/>
      <c r="O354" s="117"/>
    </row>
    <row r="355" spans="3:15" ht="13">
      <c r="C355" s="139"/>
      <c r="D355" s="139"/>
      <c r="E355" s="139"/>
      <c r="F355" s="139"/>
      <c r="G355" s="139"/>
      <c r="H355" s="139"/>
      <c r="I355" s="139"/>
      <c r="J355" s="139"/>
      <c r="K355" s="139"/>
      <c r="L355" s="116"/>
      <c r="M355" s="116"/>
      <c r="N355" s="116"/>
      <c r="O355" s="117"/>
    </row>
    <row r="356" spans="3:15" ht="13">
      <c r="C356" s="139"/>
      <c r="D356" s="139"/>
      <c r="E356" s="139"/>
      <c r="F356" s="139"/>
      <c r="G356" s="139"/>
      <c r="H356" s="139"/>
      <c r="I356" s="139"/>
      <c r="J356" s="139"/>
      <c r="K356" s="139"/>
      <c r="L356" s="116"/>
      <c r="M356" s="116"/>
      <c r="N356" s="116"/>
      <c r="O356" s="117"/>
    </row>
    <row r="357" spans="3:15" ht="13">
      <c r="C357" s="139"/>
      <c r="D357" s="139"/>
      <c r="E357" s="139"/>
      <c r="F357" s="139"/>
      <c r="G357" s="139"/>
      <c r="H357" s="139"/>
      <c r="I357" s="139"/>
      <c r="J357" s="139"/>
      <c r="K357" s="139"/>
      <c r="L357" s="116"/>
      <c r="M357" s="116"/>
      <c r="N357" s="116"/>
      <c r="O357" s="117"/>
    </row>
    <row r="358" spans="3:15" ht="13">
      <c r="C358" s="139"/>
      <c r="D358" s="139"/>
      <c r="E358" s="139"/>
      <c r="F358" s="139"/>
      <c r="G358" s="139"/>
      <c r="H358" s="139"/>
      <c r="I358" s="139"/>
      <c r="J358" s="139"/>
      <c r="K358" s="139"/>
      <c r="L358" s="116"/>
      <c r="M358" s="116"/>
      <c r="N358" s="116"/>
      <c r="O358" s="117"/>
    </row>
    <row r="359" spans="3:15" ht="13">
      <c r="C359" s="139"/>
      <c r="D359" s="139"/>
      <c r="E359" s="139"/>
      <c r="F359" s="139"/>
      <c r="G359" s="139"/>
      <c r="H359" s="139"/>
      <c r="I359" s="139"/>
      <c r="J359" s="139"/>
      <c r="K359" s="139"/>
      <c r="L359" s="116"/>
      <c r="M359" s="116"/>
      <c r="N359" s="116"/>
      <c r="O359" s="117"/>
    </row>
    <row r="360" spans="3:15" ht="13">
      <c r="C360" s="139"/>
      <c r="D360" s="139"/>
      <c r="E360" s="139"/>
      <c r="F360" s="139"/>
      <c r="G360" s="139"/>
      <c r="H360" s="139"/>
      <c r="I360" s="139"/>
      <c r="J360" s="139"/>
      <c r="K360" s="139"/>
      <c r="L360" s="116"/>
      <c r="M360" s="116"/>
      <c r="N360" s="116"/>
      <c r="O360" s="117"/>
    </row>
    <row r="361" spans="3:15" ht="13">
      <c r="C361" s="139"/>
      <c r="D361" s="139"/>
      <c r="E361" s="139"/>
      <c r="F361" s="139"/>
      <c r="G361" s="139"/>
      <c r="H361" s="139"/>
      <c r="I361" s="139"/>
      <c r="J361" s="139"/>
      <c r="K361" s="139"/>
      <c r="L361" s="116"/>
      <c r="M361" s="116"/>
      <c r="N361" s="116"/>
      <c r="O361" s="117"/>
    </row>
    <row r="362" spans="3:15" ht="13">
      <c r="C362" s="139"/>
      <c r="D362" s="139"/>
      <c r="E362" s="139"/>
      <c r="F362" s="139"/>
      <c r="G362" s="139"/>
      <c r="H362" s="139"/>
      <c r="I362" s="139"/>
      <c r="J362" s="139"/>
      <c r="K362" s="139"/>
      <c r="L362" s="116"/>
      <c r="M362" s="116"/>
      <c r="N362" s="116"/>
      <c r="O362" s="117"/>
    </row>
    <row r="363" spans="3:15" ht="13">
      <c r="C363" s="139"/>
      <c r="D363" s="139"/>
      <c r="E363" s="139"/>
      <c r="F363" s="139"/>
      <c r="G363" s="139"/>
      <c r="H363" s="139"/>
      <c r="I363" s="139"/>
      <c r="J363" s="139"/>
      <c r="K363" s="139"/>
      <c r="L363" s="116"/>
      <c r="M363" s="116"/>
      <c r="N363" s="116"/>
      <c r="O363" s="117"/>
    </row>
    <row r="364" spans="3:15" ht="13">
      <c r="C364" s="139"/>
      <c r="D364" s="139"/>
      <c r="E364" s="139"/>
      <c r="F364" s="139"/>
      <c r="G364" s="139"/>
      <c r="H364" s="139"/>
      <c r="I364" s="139"/>
      <c r="J364" s="139"/>
      <c r="K364" s="139"/>
      <c r="L364" s="116"/>
      <c r="M364" s="116"/>
      <c r="N364" s="116"/>
      <c r="O364" s="117"/>
    </row>
    <row r="365" spans="3:15" ht="13">
      <c r="C365" s="139"/>
      <c r="D365" s="139"/>
      <c r="E365" s="139"/>
      <c r="F365" s="139"/>
      <c r="G365" s="139"/>
      <c r="H365" s="139"/>
      <c r="I365" s="139"/>
      <c r="J365" s="139"/>
      <c r="K365" s="139"/>
      <c r="L365" s="116"/>
      <c r="M365" s="116"/>
      <c r="N365" s="116"/>
      <c r="O365" s="117"/>
    </row>
    <row r="366" spans="3:15" ht="13">
      <c r="C366" s="139"/>
      <c r="D366" s="139"/>
      <c r="E366" s="139"/>
      <c r="F366" s="139"/>
      <c r="G366" s="139"/>
      <c r="H366" s="139"/>
      <c r="I366" s="139"/>
      <c r="J366" s="139"/>
      <c r="K366" s="139"/>
      <c r="L366" s="116"/>
      <c r="M366" s="116"/>
      <c r="N366" s="116"/>
      <c r="O366" s="117"/>
    </row>
    <row r="367" spans="3:15" ht="13">
      <c r="C367" s="139"/>
      <c r="D367" s="139"/>
      <c r="E367" s="139"/>
      <c r="F367" s="139"/>
      <c r="G367" s="139"/>
      <c r="H367" s="139"/>
      <c r="I367" s="139"/>
      <c r="J367" s="139"/>
      <c r="K367" s="139"/>
      <c r="L367" s="116"/>
      <c r="M367" s="116"/>
      <c r="N367" s="116"/>
      <c r="O367" s="117"/>
    </row>
    <row r="368" spans="3:15" ht="13">
      <c r="C368" s="139"/>
      <c r="D368" s="139"/>
      <c r="E368" s="139"/>
      <c r="F368" s="139"/>
      <c r="G368" s="139"/>
      <c r="H368" s="139"/>
      <c r="I368" s="139"/>
      <c r="J368" s="139"/>
      <c r="K368" s="139"/>
      <c r="L368" s="116"/>
      <c r="M368" s="116"/>
      <c r="N368" s="116"/>
      <c r="O368" s="117"/>
    </row>
    <row r="369" spans="3:15" ht="13">
      <c r="C369" s="139"/>
      <c r="D369" s="139"/>
      <c r="E369" s="139"/>
      <c r="F369" s="139"/>
      <c r="G369" s="139"/>
      <c r="H369" s="139"/>
      <c r="I369" s="139"/>
      <c r="J369" s="139"/>
      <c r="K369" s="139"/>
      <c r="L369" s="116"/>
      <c r="M369" s="116"/>
      <c r="N369" s="116"/>
      <c r="O369" s="117"/>
    </row>
    <row r="370" spans="3:15" ht="13">
      <c r="C370" s="139"/>
      <c r="D370" s="139"/>
      <c r="E370" s="139"/>
      <c r="F370" s="139"/>
      <c r="G370" s="139"/>
      <c r="H370" s="139"/>
      <c r="I370" s="139"/>
      <c r="J370" s="139"/>
      <c r="K370" s="139"/>
      <c r="L370" s="116"/>
      <c r="M370" s="116"/>
      <c r="N370" s="116"/>
      <c r="O370" s="117"/>
    </row>
    <row r="371" spans="3:15" ht="13">
      <c r="C371" s="139"/>
      <c r="D371" s="139"/>
      <c r="E371" s="139"/>
      <c r="F371" s="139"/>
      <c r="G371" s="139"/>
      <c r="H371" s="139"/>
      <c r="I371" s="139"/>
      <c r="J371" s="139"/>
      <c r="K371" s="139"/>
      <c r="L371" s="116"/>
      <c r="M371" s="116"/>
      <c r="N371" s="116"/>
      <c r="O371" s="117"/>
    </row>
    <row r="372" spans="3:15" ht="13">
      <c r="C372" s="139"/>
      <c r="D372" s="139"/>
      <c r="E372" s="139"/>
      <c r="F372" s="139"/>
      <c r="G372" s="139"/>
      <c r="H372" s="139"/>
      <c r="I372" s="139"/>
      <c r="J372" s="139"/>
      <c r="K372" s="139"/>
      <c r="L372" s="116"/>
      <c r="M372" s="116"/>
      <c r="N372" s="116"/>
      <c r="O372" s="117"/>
    </row>
    <row r="373" spans="3:15" ht="13">
      <c r="C373" s="139"/>
      <c r="D373" s="139"/>
      <c r="E373" s="139"/>
      <c r="F373" s="139"/>
      <c r="G373" s="139"/>
      <c r="H373" s="139"/>
      <c r="I373" s="139"/>
      <c r="J373" s="139"/>
      <c r="K373" s="139"/>
      <c r="L373" s="116"/>
      <c r="M373" s="116"/>
      <c r="N373" s="116"/>
      <c r="O373" s="117"/>
    </row>
    <row r="374" spans="3:15" ht="13">
      <c r="C374" s="139"/>
      <c r="D374" s="139"/>
      <c r="E374" s="139"/>
      <c r="F374" s="139"/>
      <c r="G374" s="139"/>
      <c r="H374" s="139"/>
      <c r="I374" s="139"/>
      <c r="J374" s="139"/>
      <c r="K374" s="139"/>
      <c r="L374" s="116"/>
      <c r="M374" s="116"/>
      <c r="N374" s="116"/>
      <c r="O374" s="117"/>
    </row>
    <row r="375" spans="3:15" ht="13">
      <c r="C375" s="139"/>
      <c r="D375" s="139"/>
      <c r="E375" s="139"/>
      <c r="F375" s="139"/>
      <c r="G375" s="139"/>
      <c r="H375" s="139"/>
      <c r="I375" s="139"/>
      <c r="J375" s="139"/>
      <c r="K375" s="139"/>
      <c r="L375" s="116"/>
      <c r="M375" s="116"/>
      <c r="N375" s="116"/>
      <c r="O375" s="117"/>
    </row>
    <row r="376" spans="3:15" ht="13">
      <c r="C376" s="139"/>
      <c r="D376" s="139"/>
      <c r="E376" s="139"/>
      <c r="F376" s="139"/>
      <c r="G376" s="139"/>
      <c r="H376" s="139"/>
      <c r="I376" s="139"/>
      <c r="J376" s="139"/>
      <c r="K376" s="139"/>
      <c r="L376" s="116"/>
      <c r="M376" s="116"/>
      <c r="N376" s="116"/>
      <c r="O376" s="117"/>
    </row>
    <row r="377" spans="3:15" ht="13">
      <c r="C377" s="139"/>
      <c r="D377" s="139"/>
      <c r="E377" s="139"/>
      <c r="F377" s="139"/>
      <c r="G377" s="139"/>
      <c r="H377" s="139"/>
      <c r="I377" s="139"/>
      <c r="J377" s="139"/>
      <c r="K377" s="139"/>
      <c r="L377" s="116"/>
      <c r="M377" s="116"/>
      <c r="N377" s="116"/>
      <c r="O377" s="117"/>
    </row>
    <row r="378" spans="3:15" ht="13">
      <c r="C378" s="139"/>
      <c r="D378" s="139"/>
      <c r="E378" s="139"/>
      <c r="F378" s="139"/>
      <c r="G378" s="139"/>
      <c r="H378" s="139"/>
      <c r="I378" s="139"/>
      <c r="J378" s="139"/>
      <c r="K378" s="139"/>
      <c r="L378" s="116"/>
      <c r="M378" s="116"/>
      <c r="N378" s="116"/>
      <c r="O378" s="117"/>
    </row>
    <row r="379" spans="3:15" ht="13">
      <c r="C379" s="139"/>
      <c r="D379" s="139"/>
      <c r="E379" s="139"/>
      <c r="F379" s="139"/>
      <c r="G379" s="139"/>
      <c r="H379" s="139"/>
      <c r="I379" s="139"/>
      <c r="J379" s="139"/>
      <c r="K379" s="139"/>
      <c r="L379" s="116"/>
      <c r="M379" s="116"/>
      <c r="N379" s="116"/>
      <c r="O379" s="117"/>
    </row>
    <row r="380" spans="3:15" ht="13">
      <c r="C380" s="139"/>
      <c r="D380" s="139"/>
      <c r="E380" s="139"/>
      <c r="F380" s="139"/>
      <c r="G380" s="139"/>
      <c r="H380" s="139"/>
      <c r="I380" s="139"/>
      <c r="J380" s="139"/>
      <c r="K380" s="139"/>
      <c r="L380" s="116"/>
      <c r="M380" s="116"/>
      <c r="N380" s="116"/>
      <c r="O380" s="117"/>
    </row>
    <row r="381" spans="3:15" ht="13">
      <c r="C381" s="139"/>
      <c r="D381" s="139"/>
      <c r="E381" s="139"/>
      <c r="F381" s="139"/>
      <c r="G381" s="139"/>
      <c r="H381" s="139"/>
      <c r="I381" s="139"/>
      <c r="J381" s="139"/>
      <c r="K381" s="139"/>
      <c r="L381" s="116"/>
      <c r="M381" s="116"/>
      <c r="N381" s="116"/>
      <c r="O381" s="117"/>
    </row>
    <row r="382" spans="3:15" ht="13">
      <c r="C382" s="139"/>
      <c r="D382" s="139"/>
      <c r="E382" s="139"/>
      <c r="F382" s="139"/>
      <c r="G382" s="139"/>
      <c r="H382" s="139"/>
      <c r="I382" s="139"/>
      <c r="J382" s="139"/>
      <c r="K382" s="139"/>
      <c r="L382" s="116"/>
      <c r="M382" s="116"/>
      <c r="N382" s="116"/>
      <c r="O382" s="117"/>
    </row>
    <row r="383" spans="3:15" ht="13">
      <c r="C383" s="139"/>
      <c r="D383" s="139"/>
      <c r="E383" s="139"/>
      <c r="F383" s="139"/>
      <c r="G383" s="139"/>
      <c r="H383" s="139"/>
      <c r="I383" s="139"/>
      <c r="J383" s="139"/>
      <c r="K383" s="139"/>
      <c r="L383" s="116"/>
      <c r="M383" s="116"/>
      <c r="N383" s="116"/>
      <c r="O383" s="117"/>
    </row>
    <row r="384" spans="3:15" ht="13">
      <c r="C384" s="139"/>
      <c r="D384" s="139"/>
      <c r="E384" s="139"/>
      <c r="F384" s="139"/>
      <c r="G384" s="139"/>
      <c r="H384" s="139"/>
      <c r="I384" s="139"/>
      <c r="J384" s="139"/>
      <c r="K384" s="139"/>
      <c r="L384" s="116"/>
      <c r="M384" s="116"/>
      <c r="N384" s="116"/>
      <c r="O384" s="117"/>
    </row>
    <row r="385" spans="3:15" ht="13">
      <c r="C385" s="139"/>
      <c r="D385" s="139"/>
      <c r="E385" s="139"/>
      <c r="F385" s="139"/>
      <c r="G385" s="139"/>
      <c r="H385" s="139"/>
      <c r="I385" s="139"/>
      <c r="J385" s="139"/>
      <c r="K385" s="139"/>
      <c r="L385" s="116"/>
      <c r="M385" s="116"/>
      <c r="N385" s="116"/>
      <c r="O385" s="117"/>
    </row>
    <row r="386" spans="3:15" ht="13">
      <c r="C386" s="139"/>
      <c r="D386" s="139"/>
      <c r="E386" s="139"/>
      <c r="F386" s="139"/>
      <c r="G386" s="139"/>
      <c r="H386" s="139"/>
      <c r="I386" s="139"/>
      <c r="J386" s="139"/>
      <c r="K386" s="139"/>
      <c r="L386" s="116"/>
      <c r="M386" s="116"/>
      <c r="N386" s="116"/>
      <c r="O386" s="117"/>
    </row>
    <row r="387" spans="3:15" ht="13">
      <c r="C387" s="139"/>
      <c r="D387" s="139"/>
      <c r="E387" s="139"/>
      <c r="F387" s="139"/>
      <c r="G387" s="139"/>
      <c r="H387" s="139"/>
      <c r="I387" s="139"/>
      <c r="J387" s="139"/>
      <c r="K387" s="139"/>
      <c r="L387" s="116"/>
      <c r="M387" s="116"/>
      <c r="N387" s="116"/>
      <c r="O387" s="117"/>
    </row>
    <row r="388" spans="3:15" ht="13">
      <c r="C388" s="139"/>
      <c r="D388" s="139"/>
      <c r="E388" s="139"/>
      <c r="F388" s="139"/>
      <c r="G388" s="139"/>
      <c r="H388" s="139"/>
      <c r="I388" s="139"/>
      <c r="J388" s="139"/>
      <c r="K388" s="139"/>
      <c r="L388" s="116"/>
      <c r="M388" s="116"/>
      <c r="N388" s="116"/>
      <c r="O388" s="117"/>
    </row>
    <row r="389" spans="3:15" ht="13">
      <c r="C389" s="139"/>
      <c r="D389" s="139"/>
      <c r="E389" s="139"/>
      <c r="F389" s="139"/>
      <c r="G389" s="139"/>
      <c r="H389" s="139"/>
      <c r="I389" s="139"/>
      <c r="J389" s="139"/>
      <c r="K389" s="139"/>
      <c r="L389" s="116"/>
      <c r="M389" s="116"/>
      <c r="N389" s="116"/>
      <c r="O389" s="117"/>
    </row>
    <row r="390" spans="3:15" ht="13">
      <c r="C390" s="139"/>
      <c r="D390" s="139"/>
      <c r="E390" s="139"/>
      <c r="F390" s="139"/>
      <c r="G390" s="139"/>
      <c r="H390" s="139"/>
      <c r="I390" s="139"/>
      <c r="J390" s="139"/>
      <c r="K390" s="139"/>
      <c r="L390" s="116"/>
      <c r="M390" s="116"/>
      <c r="N390" s="116"/>
      <c r="O390" s="117"/>
    </row>
    <row r="391" spans="3:15" ht="13">
      <c r="C391" s="139"/>
      <c r="D391" s="139"/>
      <c r="E391" s="139"/>
      <c r="F391" s="139"/>
      <c r="G391" s="139"/>
      <c r="H391" s="139"/>
      <c r="I391" s="139"/>
      <c r="J391" s="139"/>
      <c r="K391" s="139"/>
      <c r="L391" s="116"/>
      <c r="M391" s="116"/>
      <c r="N391" s="116"/>
      <c r="O391" s="117"/>
    </row>
    <row r="392" spans="3:15" ht="13">
      <c r="C392" s="139"/>
      <c r="D392" s="139"/>
      <c r="E392" s="139"/>
      <c r="F392" s="139"/>
      <c r="G392" s="139"/>
      <c r="H392" s="139"/>
      <c r="I392" s="139"/>
      <c r="J392" s="139"/>
      <c r="K392" s="139"/>
      <c r="L392" s="116"/>
      <c r="M392" s="116"/>
      <c r="N392" s="116"/>
      <c r="O392" s="117"/>
    </row>
    <row r="393" spans="3:15" ht="13">
      <c r="C393" s="139"/>
      <c r="D393" s="139"/>
      <c r="E393" s="139"/>
      <c r="F393" s="139"/>
      <c r="G393" s="139"/>
      <c r="H393" s="139"/>
      <c r="I393" s="139"/>
      <c r="J393" s="139"/>
      <c r="K393" s="139"/>
      <c r="L393" s="116"/>
      <c r="M393" s="116"/>
      <c r="N393" s="116"/>
      <c r="O393" s="117"/>
    </row>
    <row r="394" spans="3:15" ht="13">
      <c r="C394" s="139"/>
      <c r="D394" s="139"/>
      <c r="E394" s="139"/>
      <c r="F394" s="139"/>
      <c r="G394" s="139"/>
      <c r="H394" s="139"/>
      <c r="I394" s="139"/>
      <c r="J394" s="139"/>
      <c r="K394" s="139"/>
      <c r="L394" s="116"/>
      <c r="M394" s="116"/>
      <c r="N394" s="116"/>
      <c r="O394" s="117"/>
    </row>
    <row r="395" spans="3:15" ht="13">
      <c r="C395" s="139"/>
      <c r="D395" s="139"/>
      <c r="E395" s="139"/>
      <c r="F395" s="139"/>
      <c r="G395" s="139"/>
      <c r="H395" s="139"/>
      <c r="I395" s="139"/>
      <c r="J395" s="139"/>
      <c r="K395" s="139"/>
      <c r="L395" s="116"/>
      <c r="M395" s="116"/>
      <c r="N395" s="116"/>
      <c r="O395" s="117"/>
    </row>
    <row r="396" spans="3:15" ht="13">
      <c r="C396" s="139"/>
      <c r="D396" s="139"/>
      <c r="E396" s="139"/>
      <c r="F396" s="139"/>
      <c r="G396" s="139"/>
      <c r="H396" s="139"/>
      <c r="I396" s="139"/>
      <c r="J396" s="139"/>
      <c r="K396" s="139"/>
      <c r="L396" s="116"/>
      <c r="M396" s="116"/>
      <c r="N396" s="116"/>
      <c r="O396" s="117"/>
    </row>
    <row r="397" spans="3:15" ht="13">
      <c r="C397" s="139"/>
      <c r="D397" s="139"/>
      <c r="E397" s="139"/>
      <c r="F397" s="139"/>
      <c r="G397" s="139"/>
      <c r="H397" s="139"/>
      <c r="I397" s="139"/>
      <c r="J397" s="139"/>
      <c r="K397" s="139"/>
      <c r="L397" s="116"/>
      <c r="M397" s="116"/>
      <c r="N397" s="116"/>
      <c r="O397" s="117"/>
    </row>
    <row r="398" spans="3:15" ht="13">
      <c r="C398" s="139"/>
      <c r="D398" s="139"/>
      <c r="E398" s="139"/>
      <c r="F398" s="139"/>
      <c r="G398" s="139"/>
      <c r="H398" s="139"/>
      <c r="I398" s="139"/>
      <c r="J398" s="139"/>
      <c r="K398" s="139"/>
      <c r="L398" s="116"/>
      <c r="M398" s="116"/>
      <c r="N398" s="116"/>
      <c r="O398" s="117"/>
    </row>
    <row r="399" spans="3:15" ht="13">
      <c r="C399" s="139"/>
      <c r="D399" s="139"/>
      <c r="E399" s="139"/>
      <c r="F399" s="139"/>
      <c r="G399" s="139"/>
      <c r="H399" s="139"/>
      <c r="I399" s="139"/>
      <c r="J399" s="139"/>
      <c r="K399" s="139"/>
      <c r="L399" s="116"/>
      <c r="M399" s="116"/>
      <c r="N399" s="116"/>
      <c r="O399" s="117"/>
    </row>
    <row r="400" spans="3:15" ht="13">
      <c r="C400" s="139"/>
      <c r="D400" s="139"/>
      <c r="E400" s="139"/>
      <c r="F400" s="139"/>
      <c r="G400" s="139"/>
      <c r="H400" s="139"/>
      <c r="I400" s="139"/>
      <c r="J400" s="139"/>
      <c r="K400" s="139"/>
      <c r="L400" s="116"/>
      <c r="M400" s="116"/>
      <c r="N400" s="116"/>
      <c r="O400" s="117"/>
    </row>
    <row r="401" spans="3:15" ht="13">
      <c r="C401" s="139"/>
      <c r="D401" s="139"/>
      <c r="E401" s="139"/>
      <c r="F401" s="139"/>
      <c r="G401" s="139"/>
      <c r="H401" s="139"/>
      <c r="I401" s="139"/>
      <c r="J401" s="139"/>
      <c r="K401" s="139"/>
      <c r="L401" s="116"/>
      <c r="M401" s="116"/>
      <c r="N401" s="116"/>
      <c r="O401" s="117"/>
    </row>
    <row r="402" spans="3:15" ht="13">
      <c r="C402" s="139"/>
      <c r="D402" s="139"/>
      <c r="E402" s="139"/>
      <c r="F402" s="139"/>
      <c r="G402" s="139"/>
      <c r="H402" s="139"/>
      <c r="I402" s="139"/>
      <c r="J402" s="139"/>
      <c r="K402" s="139"/>
      <c r="L402" s="116"/>
      <c r="M402" s="116"/>
      <c r="N402" s="116"/>
      <c r="O402" s="117"/>
    </row>
    <row r="403" spans="3:15" ht="13">
      <c r="C403" s="139"/>
      <c r="D403" s="139"/>
      <c r="E403" s="139"/>
      <c r="F403" s="139"/>
      <c r="G403" s="139"/>
      <c r="H403" s="139"/>
      <c r="I403" s="139"/>
      <c r="J403" s="139"/>
      <c r="K403" s="139"/>
      <c r="L403" s="116"/>
      <c r="M403" s="116"/>
      <c r="N403" s="116"/>
      <c r="O403" s="117"/>
    </row>
    <row r="404" spans="3:15" ht="13">
      <c r="C404" s="139"/>
      <c r="D404" s="139"/>
      <c r="E404" s="139"/>
      <c r="F404" s="139"/>
      <c r="G404" s="139"/>
      <c r="H404" s="139"/>
      <c r="I404" s="139"/>
      <c r="J404" s="139"/>
      <c r="K404" s="139"/>
      <c r="L404" s="116"/>
      <c r="M404" s="116"/>
      <c r="N404" s="116"/>
      <c r="O404" s="117"/>
    </row>
    <row r="405" spans="3:15" ht="13">
      <c r="C405" s="139"/>
      <c r="D405" s="139"/>
      <c r="E405" s="139"/>
      <c r="F405" s="139"/>
      <c r="G405" s="139"/>
      <c r="H405" s="139"/>
      <c r="I405" s="139"/>
      <c r="J405" s="139"/>
      <c r="K405" s="139"/>
      <c r="L405" s="116"/>
      <c r="M405" s="116"/>
      <c r="N405" s="116"/>
      <c r="O405" s="117"/>
    </row>
    <row r="406" spans="3:15" ht="13">
      <c r="C406" s="139"/>
      <c r="D406" s="139"/>
      <c r="E406" s="139"/>
      <c r="F406" s="139"/>
      <c r="G406" s="139"/>
      <c r="H406" s="139"/>
      <c r="I406" s="139"/>
      <c r="J406" s="139"/>
      <c r="K406" s="139"/>
      <c r="L406" s="116"/>
      <c r="M406" s="116"/>
      <c r="N406" s="116"/>
      <c r="O406" s="117"/>
    </row>
    <row r="407" spans="3:15" ht="13">
      <c r="C407" s="139"/>
      <c r="D407" s="139"/>
      <c r="E407" s="139"/>
      <c r="F407" s="139"/>
      <c r="G407" s="139"/>
      <c r="H407" s="139"/>
      <c r="I407" s="139"/>
      <c r="J407" s="139"/>
      <c r="K407" s="139"/>
      <c r="L407" s="116"/>
      <c r="M407" s="116"/>
      <c r="N407" s="116"/>
      <c r="O407" s="117"/>
    </row>
    <row r="408" spans="3:15" ht="13">
      <c r="C408" s="139"/>
      <c r="D408" s="139"/>
      <c r="E408" s="139"/>
      <c r="F408" s="139"/>
      <c r="G408" s="139"/>
      <c r="H408" s="139"/>
      <c r="I408" s="139"/>
      <c r="J408" s="139"/>
      <c r="K408" s="139"/>
      <c r="L408" s="116"/>
      <c r="M408" s="116"/>
      <c r="N408" s="116"/>
      <c r="O408" s="117"/>
    </row>
    <row r="409" spans="3:15" ht="13">
      <c r="C409" s="139"/>
      <c r="D409" s="139"/>
      <c r="E409" s="139"/>
      <c r="F409" s="139"/>
      <c r="G409" s="139"/>
      <c r="H409" s="139"/>
      <c r="I409" s="139"/>
      <c r="J409" s="139"/>
      <c r="K409" s="139"/>
      <c r="L409" s="116"/>
      <c r="M409" s="116"/>
      <c r="N409" s="116"/>
      <c r="O409" s="117"/>
    </row>
    <row r="410" spans="3:15" ht="13">
      <c r="C410" s="139"/>
      <c r="D410" s="139"/>
      <c r="E410" s="139"/>
      <c r="F410" s="139"/>
      <c r="G410" s="139"/>
      <c r="H410" s="139"/>
      <c r="I410" s="139"/>
      <c r="J410" s="139"/>
      <c r="K410" s="139"/>
      <c r="L410" s="116"/>
      <c r="M410" s="116"/>
      <c r="N410" s="116"/>
      <c r="O410" s="117"/>
    </row>
    <row r="411" spans="3:15" ht="13">
      <c r="C411" s="139"/>
      <c r="D411" s="139"/>
      <c r="E411" s="139"/>
      <c r="F411" s="139"/>
      <c r="G411" s="139"/>
      <c r="H411" s="139"/>
      <c r="I411" s="139"/>
      <c r="J411" s="139"/>
      <c r="K411" s="139"/>
      <c r="L411" s="116"/>
      <c r="M411" s="116"/>
      <c r="N411" s="116"/>
      <c r="O411" s="117"/>
    </row>
    <row r="412" spans="3:15" ht="13">
      <c r="C412" s="139"/>
      <c r="D412" s="139"/>
      <c r="E412" s="139"/>
      <c r="F412" s="139"/>
      <c r="G412" s="139"/>
      <c r="H412" s="139"/>
      <c r="I412" s="139"/>
      <c r="J412" s="139"/>
      <c r="K412" s="139"/>
      <c r="L412" s="116"/>
      <c r="M412" s="116"/>
      <c r="N412" s="116"/>
      <c r="O412" s="117"/>
    </row>
    <row r="413" spans="3:15" ht="13">
      <c r="C413" s="139"/>
      <c r="D413" s="139"/>
      <c r="E413" s="139"/>
      <c r="F413" s="139"/>
      <c r="G413" s="139"/>
      <c r="H413" s="139"/>
      <c r="I413" s="139"/>
      <c r="J413" s="139"/>
      <c r="K413" s="139"/>
      <c r="L413" s="116"/>
      <c r="M413" s="116"/>
      <c r="N413" s="116"/>
      <c r="O413" s="117"/>
    </row>
    <row r="414" spans="3:15" ht="13">
      <c r="C414" s="139"/>
      <c r="D414" s="139"/>
      <c r="E414" s="139"/>
      <c r="F414" s="139"/>
      <c r="G414" s="139"/>
      <c r="H414" s="139"/>
      <c r="I414" s="139"/>
      <c r="J414" s="139"/>
      <c r="K414" s="139"/>
      <c r="L414" s="116"/>
      <c r="M414" s="116"/>
      <c r="N414" s="116"/>
      <c r="O414" s="117"/>
    </row>
    <row r="415" spans="3:15" ht="13">
      <c r="J415" s="116"/>
      <c r="K415" s="116"/>
      <c r="L415" s="116"/>
      <c r="M415" s="116"/>
      <c r="N415" s="116"/>
      <c r="O415" s="117"/>
    </row>
    <row r="416" spans="3:15" ht="13">
      <c r="J416" s="116"/>
      <c r="K416" s="116"/>
      <c r="L416" s="116"/>
      <c r="M416" s="116"/>
      <c r="N416" s="116"/>
      <c r="O416" s="117"/>
    </row>
    <row r="417" spans="10:15" ht="13">
      <c r="J417" s="116"/>
      <c r="K417" s="116"/>
      <c r="L417" s="116"/>
      <c r="M417" s="116"/>
      <c r="N417" s="116"/>
      <c r="O417" s="117"/>
    </row>
    <row r="418" spans="10:15" ht="13">
      <c r="J418" s="116"/>
      <c r="K418" s="116"/>
      <c r="L418" s="116"/>
      <c r="M418" s="116"/>
      <c r="N418" s="116"/>
      <c r="O418" s="117"/>
    </row>
    <row r="419" spans="10:15" ht="13">
      <c r="J419" s="116"/>
      <c r="K419" s="116"/>
      <c r="L419" s="116"/>
      <c r="M419" s="116"/>
      <c r="N419" s="116"/>
      <c r="O419" s="117"/>
    </row>
    <row r="420" spans="10:15" ht="13">
      <c r="J420" s="116"/>
      <c r="K420" s="116"/>
      <c r="L420" s="116"/>
      <c r="M420" s="116"/>
      <c r="N420" s="116"/>
      <c r="O420" s="117"/>
    </row>
    <row r="421" spans="10:15" ht="13">
      <c r="J421" s="116"/>
      <c r="K421" s="116"/>
      <c r="L421" s="116"/>
      <c r="M421" s="116"/>
      <c r="N421" s="116"/>
      <c r="O421" s="117"/>
    </row>
    <row r="422" spans="10:15" ht="13">
      <c r="J422" s="116"/>
      <c r="K422" s="116"/>
      <c r="L422" s="116"/>
      <c r="M422" s="116"/>
      <c r="N422" s="116"/>
      <c r="O422" s="117"/>
    </row>
    <row r="423" spans="10:15" ht="13">
      <c r="J423" s="116"/>
      <c r="K423" s="116"/>
      <c r="L423" s="116"/>
      <c r="M423" s="116"/>
      <c r="N423" s="116"/>
      <c r="O423" s="117"/>
    </row>
    <row r="424" spans="10:15" ht="13">
      <c r="J424" s="116"/>
      <c r="K424" s="116"/>
      <c r="L424" s="116"/>
      <c r="M424" s="116"/>
      <c r="N424" s="116"/>
      <c r="O424" s="117"/>
    </row>
    <row r="425" spans="10:15" ht="13">
      <c r="J425" s="116"/>
      <c r="K425" s="116"/>
      <c r="L425" s="116"/>
      <c r="M425" s="116"/>
      <c r="N425" s="116"/>
      <c r="O425" s="117"/>
    </row>
    <row r="426" spans="10:15" ht="13">
      <c r="J426" s="116"/>
      <c r="K426" s="116"/>
      <c r="L426" s="116"/>
      <c r="M426" s="116"/>
      <c r="N426" s="116"/>
      <c r="O426" s="117"/>
    </row>
    <row r="427" spans="10:15" ht="13">
      <c r="J427" s="116"/>
      <c r="K427" s="116"/>
      <c r="L427" s="116"/>
      <c r="M427" s="116"/>
      <c r="N427" s="116"/>
      <c r="O427" s="117"/>
    </row>
    <row r="428" spans="10:15" ht="13">
      <c r="J428" s="116"/>
      <c r="K428" s="116"/>
      <c r="L428" s="116"/>
      <c r="M428" s="116"/>
      <c r="N428" s="116"/>
      <c r="O428" s="117"/>
    </row>
    <row r="429" spans="10:15" ht="13">
      <c r="J429" s="116"/>
      <c r="K429" s="116"/>
      <c r="L429" s="116"/>
      <c r="M429" s="116"/>
      <c r="N429" s="116"/>
      <c r="O429" s="117"/>
    </row>
    <row r="430" spans="10:15" ht="13">
      <c r="J430" s="116"/>
      <c r="K430" s="116"/>
      <c r="L430" s="116"/>
      <c r="M430" s="116"/>
      <c r="N430" s="116"/>
      <c r="O430" s="117"/>
    </row>
    <row r="431" spans="10:15" ht="13">
      <c r="J431" s="116"/>
      <c r="K431" s="116"/>
      <c r="L431" s="116"/>
      <c r="M431" s="116"/>
      <c r="N431" s="116"/>
      <c r="O431" s="117"/>
    </row>
    <row r="432" spans="10:15" ht="13">
      <c r="J432" s="116"/>
      <c r="K432" s="116"/>
      <c r="L432" s="116"/>
      <c r="M432" s="116"/>
      <c r="N432" s="116"/>
      <c r="O432" s="117"/>
    </row>
    <row r="433" spans="10:15" ht="13">
      <c r="J433" s="116"/>
      <c r="K433" s="116"/>
      <c r="L433" s="116"/>
      <c r="M433" s="116"/>
      <c r="N433" s="116"/>
      <c r="O433" s="117"/>
    </row>
    <row r="434" spans="10:15" ht="13">
      <c r="J434" s="116"/>
      <c r="K434" s="116"/>
      <c r="L434" s="116"/>
      <c r="M434" s="116"/>
      <c r="N434" s="116"/>
      <c r="O434" s="117"/>
    </row>
    <row r="435" spans="10:15" ht="13">
      <c r="J435" s="116"/>
      <c r="K435" s="116"/>
      <c r="L435" s="116"/>
      <c r="M435" s="116"/>
      <c r="N435" s="116"/>
      <c r="O435" s="117"/>
    </row>
    <row r="436" spans="10:15" ht="13">
      <c r="J436" s="116"/>
      <c r="K436" s="116"/>
      <c r="L436" s="116"/>
      <c r="M436" s="116"/>
      <c r="N436" s="116"/>
      <c r="O436" s="117"/>
    </row>
    <row r="437" spans="10:15" ht="13">
      <c r="J437" s="116"/>
      <c r="K437" s="116"/>
      <c r="L437" s="116"/>
      <c r="M437" s="116"/>
      <c r="N437" s="116"/>
      <c r="O437" s="117"/>
    </row>
    <row r="438" spans="10:15" ht="13">
      <c r="J438" s="116"/>
      <c r="K438" s="116"/>
      <c r="L438" s="116"/>
      <c r="M438" s="116"/>
      <c r="N438" s="116"/>
      <c r="O438" s="117"/>
    </row>
    <row r="439" spans="10:15" ht="13">
      <c r="J439" s="116"/>
      <c r="K439" s="116"/>
      <c r="L439" s="116"/>
      <c r="M439" s="116"/>
      <c r="N439" s="116"/>
      <c r="O439" s="117"/>
    </row>
    <row r="440" spans="10:15" ht="13">
      <c r="J440" s="116"/>
      <c r="K440" s="116"/>
      <c r="L440" s="116"/>
      <c r="M440" s="116"/>
      <c r="N440" s="116"/>
      <c r="O440" s="117"/>
    </row>
    <row r="441" spans="10:15" ht="13">
      <c r="J441" s="116"/>
      <c r="K441" s="116"/>
      <c r="L441" s="116"/>
      <c r="M441" s="116"/>
      <c r="N441" s="116"/>
      <c r="O441" s="117"/>
    </row>
    <row r="442" spans="10:15" ht="13">
      <c r="J442" s="116"/>
      <c r="K442" s="116"/>
      <c r="L442" s="116"/>
      <c r="M442" s="116"/>
      <c r="N442" s="116"/>
      <c r="O442" s="117"/>
    </row>
    <row r="443" spans="10:15" ht="13">
      <c r="J443" s="116"/>
      <c r="K443" s="116"/>
      <c r="L443" s="116"/>
      <c r="M443" s="116"/>
      <c r="N443" s="116"/>
      <c r="O443" s="117"/>
    </row>
    <row r="444" spans="10:15" ht="13">
      <c r="J444" s="116"/>
      <c r="K444" s="116"/>
      <c r="L444" s="116"/>
      <c r="M444" s="116"/>
      <c r="N444" s="116"/>
      <c r="O444" s="117"/>
    </row>
    <row r="445" spans="10:15" ht="13">
      <c r="J445" s="116"/>
      <c r="K445" s="116"/>
      <c r="L445" s="116"/>
      <c r="M445" s="116"/>
      <c r="N445" s="116"/>
      <c r="O445" s="117"/>
    </row>
    <row r="446" spans="10:15" ht="13">
      <c r="J446" s="116"/>
      <c r="K446" s="116"/>
      <c r="L446" s="116"/>
      <c r="M446" s="116"/>
      <c r="N446" s="116"/>
      <c r="O446" s="117"/>
    </row>
    <row r="447" spans="10:15" ht="13">
      <c r="J447" s="116"/>
      <c r="K447" s="116"/>
      <c r="L447" s="116"/>
      <c r="M447" s="116"/>
      <c r="N447" s="116"/>
      <c r="O447" s="117"/>
    </row>
    <row r="448" spans="10:15" ht="13">
      <c r="J448" s="116"/>
      <c r="K448" s="116"/>
      <c r="L448" s="116"/>
      <c r="M448" s="116"/>
      <c r="N448" s="116"/>
      <c r="O448" s="117"/>
    </row>
    <row r="449" spans="10:15" ht="13">
      <c r="J449" s="116"/>
      <c r="K449" s="116"/>
      <c r="L449" s="116"/>
      <c r="M449" s="116"/>
      <c r="N449" s="116"/>
      <c r="O449" s="117"/>
    </row>
    <row r="450" spans="10:15" ht="13">
      <c r="J450" s="116"/>
      <c r="K450" s="116"/>
      <c r="L450" s="116"/>
      <c r="M450" s="116"/>
      <c r="N450" s="116"/>
      <c r="O450" s="117"/>
    </row>
    <row r="451" spans="10:15" ht="13">
      <c r="J451" s="116"/>
      <c r="K451" s="116"/>
      <c r="L451" s="116"/>
      <c r="M451" s="116"/>
      <c r="N451" s="116"/>
      <c r="O451" s="117"/>
    </row>
    <row r="452" spans="10:15" ht="13">
      <c r="J452" s="116"/>
      <c r="K452" s="116"/>
      <c r="L452" s="116"/>
      <c r="M452" s="116"/>
      <c r="N452" s="116"/>
      <c r="O452" s="117"/>
    </row>
    <row r="453" spans="10:15" ht="13">
      <c r="J453" s="116"/>
      <c r="K453" s="116"/>
      <c r="L453" s="116"/>
      <c r="M453" s="116"/>
      <c r="N453" s="116"/>
      <c r="O453" s="117"/>
    </row>
    <row r="454" spans="10:15" ht="13">
      <c r="J454" s="116"/>
      <c r="K454" s="116"/>
      <c r="L454" s="116"/>
      <c r="M454" s="116"/>
      <c r="N454" s="116"/>
      <c r="O454" s="117"/>
    </row>
    <row r="455" spans="10:15" ht="13">
      <c r="J455" s="116"/>
      <c r="K455" s="116"/>
      <c r="L455" s="116"/>
      <c r="M455" s="116"/>
      <c r="N455" s="116"/>
      <c r="O455" s="117"/>
    </row>
    <row r="456" spans="10:15" ht="13">
      <c r="J456" s="116"/>
      <c r="K456" s="116"/>
      <c r="L456" s="116"/>
      <c r="M456" s="116"/>
      <c r="N456" s="116"/>
      <c r="O456" s="117"/>
    </row>
    <row r="457" spans="10:15" ht="13">
      <c r="J457" s="116"/>
      <c r="K457" s="116"/>
      <c r="L457" s="116"/>
      <c r="M457" s="116"/>
      <c r="N457" s="116"/>
      <c r="O457" s="117"/>
    </row>
    <row r="458" spans="10:15" ht="13">
      <c r="J458" s="116"/>
      <c r="K458" s="116"/>
      <c r="L458" s="116"/>
      <c r="M458" s="116"/>
      <c r="N458" s="116"/>
      <c r="O458" s="117"/>
    </row>
    <row r="459" spans="10:15" ht="13">
      <c r="J459" s="116"/>
      <c r="K459" s="116"/>
      <c r="L459" s="116"/>
      <c r="M459" s="116"/>
      <c r="N459" s="116"/>
      <c r="O459" s="117"/>
    </row>
    <row r="460" spans="10:15" ht="13">
      <c r="J460" s="116"/>
      <c r="K460" s="116"/>
      <c r="L460" s="116"/>
      <c r="M460" s="116"/>
      <c r="N460" s="116"/>
      <c r="O460" s="117"/>
    </row>
    <row r="461" spans="10:15" ht="13">
      <c r="J461" s="116"/>
      <c r="K461" s="116"/>
      <c r="L461" s="116"/>
      <c r="M461" s="116"/>
      <c r="N461" s="116"/>
      <c r="O461" s="117"/>
    </row>
    <row r="462" spans="10:15" ht="13">
      <c r="J462" s="116"/>
      <c r="K462" s="116"/>
      <c r="L462" s="116"/>
      <c r="M462" s="116"/>
      <c r="N462" s="116"/>
      <c r="O462" s="117"/>
    </row>
    <row r="463" spans="10:15" ht="13">
      <c r="J463" s="116"/>
      <c r="K463" s="116"/>
      <c r="L463" s="116"/>
      <c r="M463" s="116"/>
      <c r="N463" s="116"/>
      <c r="O463" s="117"/>
    </row>
    <row r="464" spans="10:15" ht="13">
      <c r="J464" s="116"/>
      <c r="K464" s="116"/>
      <c r="L464" s="116"/>
      <c r="M464" s="116"/>
      <c r="N464" s="116"/>
      <c r="O464" s="117"/>
    </row>
    <row r="465" spans="10:15" ht="13">
      <c r="J465" s="116"/>
      <c r="K465" s="116"/>
      <c r="L465" s="116"/>
      <c r="M465" s="116"/>
      <c r="N465" s="116"/>
      <c r="O465" s="117"/>
    </row>
    <row r="466" spans="10:15" ht="13">
      <c r="J466" s="116"/>
      <c r="K466" s="116"/>
      <c r="L466" s="116"/>
      <c r="M466" s="116"/>
      <c r="N466" s="116"/>
      <c r="O466" s="117"/>
    </row>
    <row r="467" spans="10:15" ht="13">
      <c r="J467" s="116"/>
      <c r="K467" s="116"/>
      <c r="L467" s="116"/>
      <c r="M467" s="116"/>
      <c r="N467" s="116"/>
      <c r="O467" s="117"/>
    </row>
    <row r="468" spans="10:15" ht="13">
      <c r="J468" s="116"/>
      <c r="K468" s="116"/>
      <c r="L468" s="116"/>
      <c r="M468" s="116"/>
      <c r="N468" s="116"/>
      <c r="O468" s="117"/>
    </row>
    <row r="469" spans="10:15" ht="13">
      <c r="J469" s="116"/>
      <c r="K469" s="116"/>
      <c r="L469" s="116"/>
      <c r="M469" s="116"/>
      <c r="N469" s="116"/>
      <c r="O469" s="117"/>
    </row>
    <row r="470" spans="10:15" ht="13">
      <c r="J470" s="116"/>
      <c r="K470" s="116"/>
      <c r="L470" s="116"/>
      <c r="M470" s="116"/>
      <c r="N470" s="116"/>
      <c r="O470" s="117"/>
    </row>
    <row r="471" spans="10:15" ht="13">
      <c r="J471" s="116"/>
      <c r="K471" s="116"/>
      <c r="L471" s="116"/>
      <c r="M471" s="116"/>
      <c r="N471" s="116"/>
      <c r="O471" s="117"/>
    </row>
    <row r="472" spans="10:15" ht="13">
      <c r="J472" s="116"/>
      <c r="K472" s="116"/>
      <c r="L472" s="116"/>
      <c r="M472" s="116"/>
      <c r="N472" s="116"/>
      <c r="O472" s="117"/>
    </row>
    <row r="473" spans="10:15" ht="13">
      <c r="J473" s="116"/>
      <c r="K473" s="116"/>
      <c r="L473" s="116"/>
      <c r="M473" s="116"/>
      <c r="N473" s="116"/>
      <c r="O473" s="117"/>
    </row>
    <row r="474" spans="10:15" ht="13">
      <c r="J474" s="116"/>
      <c r="K474" s="116"/>
      <c r="L474" s="116"/>
      <c r="M474" s="116"/>
      <c r="N474" s="116"/>
      <c r="O474" s="117"/>
    </row>
    <row r="475" spans="10:15" ht="13">
      <c r="J475" s="116"/>
      <c r="K475" s="116"/>
      <c r="L475" s="116"/>
      <c r="M475" s="116"/>
      <c r="N475" s="116"/>
      <c r="O475" s="117"/>
    </row>
    <row r="476" spans="10:15" ht="13">
      <c r="J476" s="116"/>
      <c r="K476" s="116"/>
      <c r="L476" s="116"/>
      <c r="M476" s="116"/>
      <c r="N476" s="116"/>
      <c r="O476" s="117"/>
    </row>
    <row r="477" spans="10:15" ht="13">
      <c r="J477" s="116"/>
      <c r="K477" s="116"/>
      <c r="L477" s="116"/>
      <c r="M477" s="116"/>
      <c r="N477" s="116"/>
      <c r="O477" s="117"/>
    </row>
    <row r="478" spans="10:15" ht="13">
      <c r="J478" s="116"/>
      <c r="K478" s="116"/>
      <c r="L478" s="116"/>
      <c r="M478" s="116"/>
      <c r="N478" s="116"/>
      <c r="O478" s="117"/>
    </row>
    <row r="479" spans="10:15" ht="13">
      <c r="J479" s="116"/>
      <c r="K479" s="116"/>
      <c r="L479" s="116"/>
      <c r="M479" s="116"/>
      <c r="N479" s="116"/>
      <c r="O479" s="117"/>
    </row>
    <row r="480" spans="10:15" ht="13">
      <c r="J480" s="116"/>
      <c r="K480" s="116"/>
      <c r="L480" s="116"/>
      <c r="M480" s="116"/>
      <c r="N480" s="116"/>
      <c r="O480" s="117"/>
    </row>
    <row r="481" spans="10:15" ht="13">
      <c r="J481" s="116"/>
      <c r="K481" s="116"/>
      <c r="L481" s="116"/>
      <c r="M481" s="116"/>
      <c r="N481" s="116"/>
      <c r="O481" s="117"/>
    </row>
    <row r="482" spans="10:15" ht="13">
      <c r="J482" s="116"/>
      <c r="K482" s="116"/>
      <c r="L482" s="116"/>
      <c r="M482" s="116"/>
      <c r="N482" s="116"/>
      <c r="O482" s="117"/>
    </row>
    <row r="483" spans="10:15" ht="13">
      <c r="J483" s="116"/>
      <c r="K483" s="116"/>
      <c r="L483" s="116"/>
      <c r="M483" s="116"/>
      <c r="N483" s="116"/>
      <c r="O483" s="117"/>
    </row>
    <row r="484" spans="10:15" ht="13">
      <c r="J484" s="116"/>
      <c r="K484" s="116"/>
      <c r="L484" s="116"/>
      <c r="M484" s="116"/>
      <c r="N484" s="116"/>
      <c r="O484" s="117"/>
    </row>
    <row r="485" spans="10:15" ht="13">
      <c r="J485" s="116"/>
      <c r="K485" s="116"/>
      <c r="L485" s="116"/>
      <c r="M485" s="116"/>
      <c r="N485" s="116"/>
      <c r="O485" s="117"/>
    </row>
    <row r="486" spans="10:15" ht="13">
      <c r="J486" s="116"/>
      <c r="K486" s="116"/>
      <c r="L486" s="116"/>
      <c r="M486" s="116"/>
      <c r="N486" s="116"/>
      <c r="O486" s="117"/>
    </row>
    <row r="487" spans="10:15" ht="13">
      <c r="J487" s="116"/>
      <c r="K487" s="116"/>
      <c r="L487" s="116"/>
      <c r="M487" s="116"/>
      <c r="N487" s="116"/>
      <c r="O487" s="117"/>
    </row>
    <row r="488" spans="10:15" ht="13">
      <c r="J488" s="116"/>
      <c r="K488" s="116"/>
      <c r="L488" s="116"/>
      <c r="M488" s="116"/>
      <c r="N488" s="116"/>
      <c r="O488" s="117"/>
    </row>
    <row r="489" spans="10:15" ht="13">
      <c r="J489" s="116"/>
      <c r="K489" s="116"/>
      <c r="L489" s="116"/>
      <c r="M489" s="116"/>
      <c r="N489" s="116"/>
      <c r="O489" s="117"/>
    </row>
    <row r="490" spans="10:15" ht="13">
      <c r="J490" s="116"/>
      <c r="K490" s="116"/>
      <c r="L490" s="116"/>
      <c r="M490" s="116"/>
      <c r="N490" s="116"/>
      <c r="O490" s="117"/>
    </row>
    <row r="491" spans="10:15" ht="13">
      <c r="J491" s="116"/>
      <c r="K491" s="116"/>
      <c r="L491" s="116"/>
      <c r="M491" s="116"/>
      <c r="N491" s="116"/>
      <c r="O491" s="117"/>
    </row>
    <row r="492" spans="10:15" ht="13">
      <c r="J492" s="116"/>
      <c r="K492" s="116"/>
      <c r="L492" s="116"/>
      <c r="M492" s="116"/>
      <c r="N492" s="116"/>
      <c r="O492" s="117"/>
    </row>
    <row r="493" spans="10:15" ht="13">
      <c r="J493" s="116"/>
      <c r="K493" s="116"/>
      <c r="L493" s="116"/>
      <c r="M493" s="116"/>
      <c r="N493" s="116"/>
      <c r="O493" s="117"/>
    </row>
    <row r="494" spans="10:15" ht="13">
      <c r="J494" s="116"/>
      <c r="K494" s="116"/>
      <c r="L494" s="116"/>
      <c r="M494" s="116"/>
      <c r="N494" s="116"/>
      <c r="O494" s="117"/>
    </row>
    <row r="495" spans="10:15" ht="13">
      <c r="J495" s="116"/>
      <c r="K495" s="116"/>
      <c r="L495" s="116"/>
      <c r="M495" s="116"/>
      <c r="N495" s="116"/>
      <c r="O495" s="117"/>
    </row>
    <row r="496" spans="10:15" ht="13">
      <c r="J496" s="116"/>
      <c r="K496" s="116"/>
      <c r="L496" s="116"/>
      <c r="M496" s="116"/>
      <c r="N496" s="116"/>
      <c r="O496" s="117"/>
    </row>
    <row r="497" spans="10:15" ht="13">
      <c r="J497" s="116"/>
      <c r="K497" s="116"/>
      <c r="L497" s="116"/>
      <c r="M497" s="116"/>
      <c r="N497" s="116"/>
      <c r="O497" s="117"/>
    </row>
    <row r="498" spans="10:15" ht="13">
      <c r="J498" s="116"/>
      <c r="K498" s="116"/>
      <c r="L498" s="116"/>
      <c r="M498" s="116"/>
      <c r="N498" s="116"/>
      <c r="O498" s="117"/>
    </row>
    <row r="499" spans="10:15" ht="13">
      <c r="J499" s="116"/>
      <c r="K499" s="116"/>
      <c r="L499" s="116"/>
      <c r="M499" s="116"/>
      <c r="N499" s="116"/>
      <c r="O499" s="117"/>
    </row>
    <row r="500" spans="10:15" ht="13">
      <c r="J500" s="116"/>
      <c r="K500" s="116"/>
      <c r="L500" s="116"/>
      <c r="M500" s="116"/>
      <c r="N500" s="116"/>
      <c r="O500" s="117"/>
    </row>
    <row r="501" spans="10:15" ht="13">
      <c r="J501" s="116"/>
      <c r="K501" s="116"/>
      <c r="L501" s="116"/>
      <c r="M501" s="116"/>
      <c r="N501" s="116"/>
      <c r="O501" s="117"/>
    </row>
    <row r="502" spans="10:15" ht="13">
      <c r="J502" s="116"/>
      <c r="K502" s="116"/>
      <c r="L502" s="116"/>
      <c r="M502" s="116"/>
      <c r="N502" s="116"/>
      <c r="O502" s="117"/>
    </row>
    <row r="503" spans="10:15" ht="13">
      <c r="J503" s="116"/>
      <c r="K503" s="116"/>
      <c r="L503" s="116"/>
      <c r="M503" s="116"/>
      <c r="N503" s="116"/>
      <c r="O503" s="117"/>
    </row>
    <row r="504" spans="10:15" ht="13">
      <c r="J504" s="116"/>
      <c r="K504" s="116"/>
      <c r="L504" s="116"/>
      <c r="M504" s="116"/>
      <c r="N504" s="116"/>
      <c r="O504" s="117"/>
    </row>
    <row r="505" spans="10:15" ht="13">
      <c r="J505" s="116"/>
      <c r="K505" s="116"/>
      <c r="L505" s="116"/>
      <c r="M505" s="116"/>
      <c r="N505" s="116"/>
      <c r="O505" s="117"/>
    </row>
    <row r="506" spans="10:15" ht="13">
      <c r="J506" s="116"/>
      <c r="K506" s="116"/>
      <c r="L506" s="116"/>
      <c r="M506" s="116"/>
      <c r="N506" s="116"/>
      <c r="O506" s="117"/>
    </row>
    <row r="507" spans="10:15" ht="13">
      <c r="J507" s="116"/>
      <c r="K507" s="116"/>
      <c r="L507" s="116"/>
      <c r="M507" s="116"/>
      <c r="N507" s="116"/>
      <c r="O507" s="117"/>
    </row>
    <row r="508" spans="10:15" ht="13">
      <c r="J508" s="116"/>
      <c r="K508" s="116"/>
      <c r="L508" s="116"/>
      <c r="M508" s="116"/>
      <c r="N508" s="116"/>
      <c r="O508" s="117"/>
    </row>
    <row r="509" spans="10:15" ht="13">
      <c r="J509" s="116"/>
      <c r="K509" s="116"/>
      <c r="L509" s="116"/>
      <c r="M509" s="116"/>
      <c r="N509" s="116"/>
      <c r="O509" s="117"/>
    </row>
    <row r="510" spans="10:15" ht="13">
      <c r="J510" s="116"/>
      <c r="K510" s="116"/>
      <c r="L510" s="116"/>
      <c r="M510" s="116"/>
      <c r="N510" s="116"/>
      <c r="O510" s="117"/>
    </row>
    <row r="511" spans="10:15" ht="13">
      <c r="J511" s="116"/>
      <c r="K511" s="116"/>
      <c r="L511" s="116"/>
      <c r="M511" s="116"/>
      <c r="N511" s="116"/>
      <c r="O511" s="117"/>
    </row>
    <row r="512" spans="10:15" ht="13">
      <c r="J512" s="116"/>
      <c r="K512" s="116"/>
      <c r="L512" s="116"/>
      <c r="M512" s="116"/>
      <c r="N512" s="116"/>
      <c r="O512" s="117"/>
    </row>
    <row r="513" spans="10:15" ht="13">
      <c r="J513" s="116"/>
      <c r="K513" s="116"/>
      <c r="L513" s="116"/>
      <c r="M513" s="116"/>
      <c r="N513" s="116"/>
      <c r="O513" s="117"/>
    </row>
    <row r="514" spans="10:15" ht="13">
      <c r="J514" s="116"/>
      <c r="K514" s="116"/>
      <c r="L514" s="116"/>
      <c r="M514" s="116"/>
      <c r="N514" s="116"/>
      <c r="O514" s="117"/>
    </row>
    <row r="515" spans="10:15" ht="13">
      <c r="J515" s="116"/>
      <c r="K515" s="116"/>
      <c r="L515" s="116"/>
      <c r="M515" s="116"/>
      <c r="N515" s="116"/>
      <c r="O515" s="117"/>
    </row>
    <row r="516" spans="10:15" ht="13">
      <c r="J516" s="116"/>
      <c r="K516" s="116"/>
      <c r="L516" s="116"/>
      <c r="M516" s="116"/>
      <c r="N516" s="116"/>
      <c r="O516" s="117"/>
    </row>
    <row r="517" spans="10:15" ht="13">
      <c r="J517" s="116"/>
      <c r="K517" s="116"/>
      <c r="L517" s="116"/>
      <c r="M517" s="116"/>
      <c r="N517" s="116"/>
      <c r="O517" s="117"/>
    </row>
    <row r="518" spans="10:15" ht="13">
      <c r="J518" s="116"/>
      <c r="K518" s="116"/>
      <c r="L518" s="116"/>
      <c r="M518" s="116"/>
      <c r="N518" s="116"/>
      <c r="O518" s="117"/>
    </row>
    <row r="519" spans="10:15" ht="13">
      <c r="J519" s="116"/>
      <c r="K519" s="116"/>
      <c r="L519" s="116"/>
      <c r="M519" s="116"/>
      <c r="N519" s="116"/>
      <c r="O519" s="117"/>
    </row>
    <row r="520" spans="10:15" ht="13">
      <c r="J520" s="116"/>
      <c r="K520" s="116"/>
      <c r="L520" s="116"/>
      <c r="M520" s="116"/>
      <c r="N520" s="116"/>
      <c r="O520" s="117"/>
    </row>
    <row r="521" spans="10:15" ht="13">
      <c r="J521" s="116"/>
      <c r="K521" s="116"/>
      <c r="L521" s="116"/>
      <c r="M521" s="116"/>
      <c r="N521" s="116"/>
      <c r="O521" s="117"/>
    </row>
    <row r="522" spans="10:15" ht="13">
      <c r="J522" s="116"/>
      <c r="K522" s="116"/>
      <c r="L522" s="116"/>
      <c r="M522" s="116"/>
      <c r="N522" s="116"/>
      <c r="O522" s="117"/>
    </row>
    <row r="523" spans="10:15" ht="13">
      <c r="J523" s="116"/>
      <c r="K523" s="116"/>
      <c r="L523" s="116"/>
      <c r="M523" s="116"/>
      <c r="N523" s="116"/>
      <c r="O523" s="117"/>
    </row>
    <row r="524" spans="10:15" ht="13">
      <c r="J524" s="116"/>
      <c r="K524" s="116"/>
      <c r="L524" s="116"/>
      <c r="M524" s="116"/>
      <c r="N524" s="116"/>
      <c r="O524" s="117"/>
    </row>
    <row r="525" spans="10:15" ht="13">
      <c r="J525" s="116"/>
      <c r="K525" s="116"/>
      <c r="L525" s="116"/>
      <c r="M525" s="116"/>
      <c r="N525" s="116"/>
      <c r="O525" s="117"/>
    </row>
    <row r="526" spans="10:15" ht="13">
      <c r="J526" s="116"/>
      <c r="K526" s="116"/>
      <c r="L526" s="116"/>
      <c r="M526" s="116"/>
      <c r="N526" s="116"/>
      <c r="O526" s="117"/>
    </row>
    <row r="527" spans="10:15" ht="13">
      <c r="J527" s="116"/>
      <c r="K527" s="116"/>
      <c r="L527" s="116"/>
      <c r="M527" s="116"/>
      <c r="N527" s="116"/>
      <c r="O527" s="117"/>
    </row>
    <row r="528" spans="10:15" ht="13">
      <c r="J528" s="116"/>
      <c r="K528" s="116"/>
      <c r="L528" s="116"/>
      <c r="M528" s="116"/>
      <c r="N528" s="116"/>
      <c r="O528" s="117"/>
    </row>
    <row r="529" spans="10:15" ht="13">
      <c r="J529" s="116"/>
      <c r="K529" s="116"/>
      <c r="L529" s="116"/>
      <c r="M529" s="116"/>
      <c r="N529" s="116"/>
      <c r="O529" s="117"/>
    </row>
    <row r="530" spans="10:15" ht="13">
      <c r="J530" s="116"/>
      <c r="K530" s="116"/>
      <c r="L530" s="116"/>
      <c r="M530" s="116"/>
      <c r="N530" s="116"/>
      <c r="O530" s="117"/>
    </row>
    <row r="531" spans="10:15" ht="13">
      <c r="J531" s="116"/>
      <c r="K531" s="116"/>
      <c r="L531" s="116"/>
      <c r="M531" s="116"/>
      <c r="N531" s="116"/>
      <c r="O531" s="117"/>
    </row>
    <row r="532" spans="10:15" ht="13">
      <c r="J532" s="116"/>
      <c r="K532" s="116"/>
      <c r="L532" s="116"/>
      <c r="M532" s="116"/>
      <c r="N532" s="116"/>
      <c r="O532" s="117"/>
    </row>
    <row r="533" spans="10:15" ht="13">
      <c r="J533" s="116"/>
      <c r="K533" s="116"/>
      <c r="L533" s="116"/>
      <c r="M533" s="116"/>
      <c r="N533" s="116"/>
      <c r="O533" s="117"/>
    </row>
    <row r="534" spans="10:15" ht="13">
      <c r="J534" s="116"/>
      <c r="K534" s="116"/>
      <c r="L534" s="116"/>
      <c r="M534" s="116"/>
      <c r="N534" s="116"/>
      <c r="O534" s="117"/>
    </row>
    <row r="535" spans="10:15" ht="13">
      <c r="J535" s="116"/>
      <c r="K535" s="116"/>
      <c r="L535" s="116"/>
      <c r="M535" s="116"/>
      <c r="N535" s="116"/>
      <c r="O535" s="117"/>
    </row>
    <row r="536" spans="10:15" ht="13">
      <c r="J536" s="116"/>
      <c r="K536" s="116"/>
      <c r="L536" s="116"/>
      <c r="M536" s="116"/>
      <c r="N536" s="116"/>
      <c r="O536" s="117"/>
    </row>
    <row r="537" spans="10:15" ht="13">
      <c r="J537" s="116"/>
      <c r="K537" s="116"/>
      <c r="L537" s="116"/>
      <c r="M537" s="116"/>
      <c r="N537" s="116"/>
      <c r="O537" s="117"/>
    </row>
    <row r="538" spans="10:15" ht="13">
      <c r="J538" s="116"/>
      <c r="K538" s="116"/>
      <c r="L538" s="116"/>
      <c r="M538" s="116"/>
      <c r="N538" s="116"/>
      <c r="O538" s="117"/>
    </row>
    <row r="539" spans="10:15" ht="13">
      <c r="J539" s="116"/>
      <c r="K539" s="116"/>
      <c r="L539" s="116"/>
      <c r="M539" s="116"/>
      <c r="N539" s="116"/>
      <c r="O539" s="117"/>
    </row>
    <row r="540" spans="10:15" ht="13">
      <c r="J540" s="116"/>
      <c r="K540" s="116"/>
      <c r="L540" s="116"/>
      <c r="M540" s="116"/>
      <c r="N540" s="116"/>
      <c r="O540" s="117"/>
    </row>
    <row r="541" spans="10:15" ht="13">
      <c r="J541" s="116"/>
      <c r="K541" s="116"/>
      <c r="L541" s="116"/>
      <c r="M541" s="116"/>
      <c r="N541" s="116"/>
      <c r="O541" s="117"/>
    </row>
    <row r="542" spans="10:15" ht="13">
      <c r="J542" s="116"/>
      <c r="K542" s="116"/>
      <c r="L542" s="116"/>
      <c r="M542" s="116"/>
      <c r="N542" s="116"/>
      <c r="O542" s="117"/>
    </row>
    <row r="543" spans="10:15" ht="13">
      <c r="J543" s="116"/>
      <c r="K543" s="116"/>
      <c r="L543" s="116"/>
      <c r="M543" s="116"/>
      <c r="N543" s="116"/>
      <c r="O543" s="117"/>
    </row>
    <row r="544" spans="10:15" ht="13">
      <c r="J544" s="116"/>
      <c r="K544" s="116"/>
      <c r="L544" s="116"/>
      <c r="M544" s="116"/>
      <c r="N544" s="116"/>
      <c r="O544" s="117"/>
    </row>
    <row r="545" spans="10:15" ht="13">
      <c r="J545" s="116"/>
      <c r="K545" s="116"/>
      <c r="L545" s="116"/>
      <c r="M545" s="116"/>
      <c r="N545" s="116"/>
      <c r="O545" s="117"/>
    </row>
    <row r="546" spans="10:15" ht="13">
      <c r="J546" s="116"/>
      <c r="K546" s="116"/>
      <c r="L546" s="116"/>
      <c r="M546" s="116"/>
      <c r="N546" s="116"/>
      <c r="O546" s="117"/>
    </row>
    <row r="547" spans="10:15" ht="13">
      <c r="J547" s="116"/>
      <c r="K547" s="116"/>
      <c r="L547" s="116"/>
      <c r="M547" s="116"/>
      <c r="N547" s="116"/>
      <c r="O547" s="117"/>
    </row>
    <row r="548" spans="10:15" ht="13">
      <c r="J548" s="116"/>
      <c r="K548" s="116"/>
      <c r="L548" s="116"/>
      <c r="M548" s="116"/>
      <c r="N548" s="116"/>
      <c r="O548" s="117"/>
    </row>
    <row r="549" spans="10:15" ht="13">
      <c r="J549" s="116"/>
      <c r="K549" s="116"/>
      <c r="L549" s="116"/>
      <c r="M549" s="116"/>
      <c r="N549" s="116"/>
      <c r="O549" s="117"/>
    </row>
    <row r="550" spans="10:15" ht="13">
      <c r="J550" s="116"/>
      <c r="K550" s="116"/>
      <c r="L550" s="116"/>
      <c r="M550" s="116"/>
      <c r="N550" s="116"/>
      <c r="O550" s="117"/>
    </row>
    <row r="551" spans="10:15" ht="13">
      <c r="J551" s="116"/>
      <c r="K551" s="116"/>
      <c r="L551" s="116"/>
      <c r="M551" s="116"/>
      <c r="N551" s="116"/>
      <c r="O551" s="117"/>
    </row>
    <row r="552" spans="10:15" ht="13">
      <c r="J552" s="116"/>
      <c r="K552" s="116"/>
      <c r="L552" s="116"/>
      <c r="M552" s="116"/>
      <c r="N552" s="116"/>
      <c r="O552" s="117"/>
    </row>
    <row r="553" spans="10:15" ht="13">
      <c r="J553" s="116"/>
      <c r="K553" s="116"/>
      <c r="L553" s="116"/>
      <c r="M553" s="116"/>
      <c r="N553" s="116"/>
      <c r="O553" s="117"/>
    </row>
    <row r="554" spans="10:15" ht="13">
      <c r="J554" s="116"/>
      <c r="K554" s="116"/>
      <c r="L554" s="116"/>
      <c r="M554" s="116"/>
      <c r="N554" s="116"/>
      <c r="O554" s="117"/>
    </row>
    <row r="555" spans="10:15" ht="13">
      <c r="J555" s="116"/>
      <c r="K555" s="116"/>
      <c r="L555" s="116"/>
      <c r="M555" s="116"/>
      <c r="N555" s="116"/>
      <c r="O555" s="117"/>
    </row>
    <row r="556" spans="10:15" ht="13">
      <c r="J556" s="116"/>
      <c r="K556" s="116"/>
      <c r="L556" s="116"/>
      <c r="M556" s="116"/>
      <c r="N556" s="116"/>
      <c r="O556" s="117"/>
    </row>
    <row r="557" spans="10:15" ht="13">
      <c r="J557" s="116"/>
      <c r="K557" s="116"/>
      <c r="L557" s="116"/>
      <c r="M557" s="116"/>
      <c r="N557" s="116"/>
      <c r="O557" s="117"/>
    </row>
    <row r="558" spans="10:15" ht="13">
      <c r="J558" s="116"/>
      <c r="K558" s="116"/>
      <c r="L558" s="116"/>
      <c r="M558" s="116"/>
      <c r="N558" s="116"/>
      <c r="O558" s="117"/>
    </row>
    <row r="559" spans="10:15" ht="13">
      <c r="J559" s="116"/>
      <c r="K559" s="116"/>
      <c r="L559" s="116"/>
      <c r="M559" s="116"/>
      <c r="N559" s="116"/>
      <c r="O559" s="117"/>
    </row>
    <row r="560" spans="10:15" ht="13">
      <c r="J560" s="116"/>
      <c r="K560" s="116"/>
      <c r="L560" s="116"/>
      <c r="M560" s="116"/>
      <c r="N560" s="116"/>
      <c r="O560" s="117"/>
    </row>
    <row r="561" spans="10:15" ht="13">
      <c r="J561" s="116"/>
      <c r="K561" s="116"/>
      <c r="L561" s="116"/>
      <c r="M561" s="116"/>
      <c r="N561" s="116"/>
      <c r="O561" s="117"/>
    </row>
    <row r="562" spans="10:15" ht="13">
      <c r="J562" s="116"/>
      <c r="K562" s="116"/>
      <c r="L562" s="116"/>
      <c r="M562" s="116"/>
      <c r="N562" s="116"/>
      <c r="O562" s="117"/>
    </row>
    <row r="563" spans="10:15" ht="13">
      <c r="J563" s="116"/>
      <c r="K563" s="116"/>
      <c r="L563" s="116"/>
      <c r="M563" s="116"/>
      <c r="N563" s="116"/>
      <c r="O563" s="117"/>
    </row>
    <row r="564" spans="10:15" ht="13">
      <c r="J564" s="116"/>
      <c r="K564" s="116"/>
      <c r="L564" s="116"/>
      <c r="M564" s="116"/>
      <c r="N564" s="116"/>
      <c r="O564" s="117"/>
    </row>
    <row r="565" spans="10:15" ht="13">
      <c r="J565" s="116"/>
      <c r="K565" s="116"/>
      <c r="L565" s="116"/>
      <c r="M565" s="116"/>
      <c r="N565" s="116"/>
      <c r="O565" s="117"/>
    </row>
    <row r="566" spans="10:15" ht="13">
      <c r="J566" s="116"/>
      <c r="K566" s="116"/>
      <c r="L566" s="116"/>
      <c r="M566" s="116"/>
      <c r="N566" s="116"/>
      <c r="O566" s="117"/>
    </row>
    <row r="567" spans="10:15" ht="13">
      <c r="J567" s="116"/>
      <c r="K567" s="116"/>
      <c r="L567" s="116"/>
      <c r="M567" s="116"/>
      <c r="N567" s="116"/>
      <c r="O567" s="117"/>
    </row>
    <row r="568" spans="10:15" ht="13">
      <c r="J568" s="116"/>
      <c r="K568" s="116"/>
      <c r="L568" s="116"/>
      <c r="M568" s="116"/>
      <c r="N568" s="116"/>
      <c r="O568" s="117"/>
    </row>
    <row r="569" spans="10:15" ht="13">
      <c r="J569" s="116"/>
      <c r="K569" s="116"/>
      <c r="L569" s="116"/>
      <c r="M569" s="116"/>
      <c r="N569" s="116"/>
      <c r="O569" s="117"/>
    </row>
    <row r="570" spans="10:15" ht="13">
      <c r="J570" s="116"/>
      <c r="K570" s="116"/>
      <c r="L570" s="116"/>
      <c r="M570" s="116"/>
      <c r="N570" s="116"/>
      <c r="O570" s="117"/>
    </row>
    <row r="571" spans="10:15" ht="13">
      <c r="J571" s="116"/>
      <c r="K571" s="116"/>
      <c r="L571" s="116"/>
      <c r="M571" s="116"/>
      <c r="N571" s="116"/>
      <c r="O571" s="117"/>
    </row>
    <row r="572" spans="10:15" ht="13">
      <c r="J572" s="116"/>
      <c r="K572" s="116"/>
      <c r="L572" s="116"/>
      <c r="M572" s="116"/>
      <c r="N572" s="116"/>
      <c r="O572" s="117"/>
    </row>
    <row r="573" spans="10:15" ht="13">
      <c r="J573" s="116"/>
      <c r="K573" s="116"/>
      <c r="L573" s="116"/>
      <c r="M573" s="116"/>
      <c r="N573" s="116"/>
      <c r="O573" s="117"/>
    </row>
    <row r="574" spans="10:15" ht="13">
      <c r="J574" s="116"/>
      <c r="K574" s="116"/>
      <c r="L574" s="116"/>
      <c r="M574" s="116"/>
      <c r="N574" s="116"/>
      <c r="O574" s="117"/>
    </row>
    <row r="575" spans="10:15" ht="13">
      <c r="J575" s="116"/>
      <c r="K575" s="116"/>
      <c r="L575" s="116"/>
      <c r="M575" s="116"/>
      <c r="N575" s="116"/>
      <c r="O575" s="117"/>
    </row>
    <row r="576" spans="10:15" ht="13">
      <c r="J576" s="116"/>
      <c r="K576" s="116"/>
      <c r="L576" s="116"/>
      <c r="M576" s="116"/>
      <c r="N576" s="116"/>
      <c r="O576" s="117"/>
    </row>
    <row r="577" spans="10:15" ht="13">
      <c r="J577" s="116"/>
      <c r="K577" s="116"/>
      <c r="L577" s="116"/>
      <c r="M577" s="116"/>
      <c r="N577" s="116"/>
      <c r="O577" s="117"/>
    </row>
    <row r="578" spans="10:15" ht="13">
      <c r="J578" s="116"/>
      <c r="K578" s="116"/>
      <c r="L578" s="116"/>
      <c r="M578" s="116"/>
      <c r="N578" s="116"/>
      <c r="O578" s="117"/>
    </row>
    <row r="579" spans="10:15" ht="13">
      <c r="J579" s="116"/>
      <c r="K579" s="116"/>
      <c r="L579" s="116"/>
      <c r="M579" s="116"/>
      <c r="N579" s="116"/>
      <c r="O579" s="117"/>
    </row>
    <row r="580" spans="10:15" ht="13">
      <c r="J580" s="116"/>
      <c r="K580" s="116"/>
      <c r="L580" s="116"/>
      <c r="M580" s="116"/>
      <c r="N580" s="116"/>
      <c r="O580" s="117"/>
    </row>
    <row r="581" spans="10:15" ht="13">
      <c r="J581" s="116"/>
      <c r="K581" s="116"/>
      <c r="L581" s="116"/>
      <c r="M581" s="116"/>
      <c r="N581" s="116"/>
      <c r="O581" s="117"/>
    </row>
    <row r="582" spans="10:15" ht="13">
      <c r="J582" s="116"/>
      <c r="K582" s="116"/>
      <c r="L582" s="116"/>
      <c r="M582" s="116"/>
      <c r="N582" s="116"/>
      <c r="O582" s="117"/>
    </row>
    <row r="583" spans="10:15" ht="13">
      <c r="J583" s="116"/>
      <c r="K583" s="116"/>
      <c r="L583" s="116"/>
      <c r="M583" s="116"/>
      <c r="N583" s="116"/>
      <c r="O583" s="117"/>
    </row>
    <row r="584" spans="10:15" ht="13">
      <c r="J584" s="116"/>
      <c r="K584" s="116"/>
      <c r="L584" s="116"/>
      <c r="M584" s="116"/>
      <c r="N584" s="116"/>
      <c r="O584" s="117"/>
    </row>
    <row r="585" spans="10:15" ht="13">
      <c r="J585" s="116"/>
      <c r="K585" s="116"/>
      <c r="L585" s="116"/>
      <c r="M585" s="116"/>
      <c r="N585" s="116"/>
      <c r="O585" s="117"/>
    </row>
    <row r="586" spans="10:15" ht="13">
      <c r="J586" s="116"/>
      <c r="K586" s="116"/>
      <c r="L586" s="116"/>
      <c r="M586" s="116"/>
      <c r="N586" s="116"/>
      <c r="O586" s="117"/>
    </row>
    <row r="587" spans="10:15" ht="13">
      <c r="J587" s="116"/>
      <c r="K587" s="116"/>
      <c r="L587" s="116"/>
      <c r="M587" s="116"/>
      <c r="N587" s="116"/>
      <c r="O587" s="117"/>
    </row>
    <row r="588" spans="10:15" ht="13">
      <c r="J588" s="116"/>
      <c r="K588" s="116"/>
      <c r="L588" s="116"/>
      <c r="M588" s="116"/>
      <c r="N588" s="116"/>
      <c r="O588" s="117"/>
    </row>
    <row r="589" spans="10:15" ht="13">
      <c r="J589" s="116"/>
      <c r="K589" s="116"/>
      <c r="L589" s="116"/>
      <c r="M589" s="116"/>
      <c r="N589" s="116"/>
      <c r="O589" s="117"/>
    </row>
    <row r="590" spans="10:15" ht="13">
      <c r="J590" s="116"/>
      <c r="K590" s="116"/>
      <c r="L590" s="116"/>
      <c r="M590" s="116"/>
      <c r="N590" s="116"/>
      <c r="O590" s="117"/>
    </row>
    <row r="591" spans="10:15" ht="13">
      <c r="J591" s="116"/>
      <c r="K591" s="116"/>
      <c r="L591" s="116"/>
      <c r="M591" s="116"/>
      <c r="N591" s="116"/>
      <c r="O591" s="117"/>
    </row>
    <row r="592" spans="10:15" ht="13">
      <c r="J592" s="116"/>
      <c r="K592" s="116"/>
      <c r="L592" s="116"/>
      <c r="M592" s="116"/>
      <c r="N592" s="116"/>
      <c r="O592" s="117"/>
    </row>
    <row r="593" spans="10:15" ht="13">
      <c r="J593" s="116"/>
      <c r="K593" s="116"/>
      <c r="L593" s="116"/>
      <c r="M593" s="116"/>
      <c r="N593" s="116"/>
      <c r="O593" s="117"/>
    </row>
    <row r="594" spans="10:15" ht="13">
      <c r="J594" s="116"/>
      <c r="K594" s="116"/>
      <c r="L594" s="116"/>
      <c r="M594" s="116"/>
      <c r="N594" s="116"/>
      <c r="O594" s="117"/>
    </row>
    <row r="595" spans="10:15" ht="13">
      <c r="J595" s="116"/>
      <c r="K595" s="116"/>
      <c r="L595" s="116"/>
      <c r="M595" s="116"/>
      <c r="N595" s="116"/>
      <c r="O595" s="117"/>
    </row>
    <row r="596" spans="10:15" ht="13">
      <c r="J596" s="116"/>
      <c r="K596" s="116"/>
      <c r="L596" s="116"/>
      <c r="M596" s="116"/>
      <c r="N596" s="116"/>
      <c r="O596" s="117"/>
    </row>
    <row r="597" spans="10:15" ht="13">
      <c r="J597" s="116"/>
      <c r="K597" s="116"/>
      <c r="L597" s="116"/>
      <c r="M597" s="116"/>
      <c r="N597" s="116"/>
      <c r="O597" s="117"/>
    </row>
    <row r="598" spans="10:15" ht="13">
      <c r="J598" s="116"/>
      <c r="K598" s="116"/>
      <c r="L598" s="116"/>
      <c r="M598" s="116"/>
      <c r="N598" s="116"/>
      <c r="O598" s="117"/>
    </row>
    <row r="599" spans="10:15" ht="13">
      <c r="J599" s="116"/>
      <c r="K599" s="116"/>
      <c r="L599" s="116"/>
      <c r="M599" s="116"/>
      <c r="N599" s="116"/>
      <c r="O599" s="117"/>
    </row>
    <row r="600" spans="10:15" ht="13">
      <c r="J600" s="116"/>
      <c r="K600" s="116"/>
      <c r="L600" s="116"/>
      <c r="M600" s="116"/>
      <c r="N600" s="116"/>
      <c r="O600" s="117"/>
    </row>
    <row r="601" spans="10:15" ht="13">
      <c r="J601" s="116"/>
      <c r="K601" s="116"/>
      <c r="L601" s="116"/>
      <c r="M601" s="116"/>
      <c r="N601" s="116"/>
      <c r="O601" s="117"/>
    </row>
    <row r="602" spans="10:15" ht="13">
      <c r="J602" s="116"/>
      <c r="K602" s="116"/>
      <c r="L602" s="116"/>
      <c r="M602" s="116"/>
      <c r="N602" s="116"/>
      <c r="O602" s="117"/>
    </row>
    <row r="603" spans="10:15" ht="13">
      <c r="J603" s="116"/>
      <c r="K603" s="116"/>
      <c r="L603" s="116"/>
      <c r="M603" s="116"/>
      <c r="N603" s="116"/>
      <c r="O603" s="117"/>
    </row>
    <row r="604" spans="10:15" ht="13">
      <c r="J604" s="116"/>
      <c r="K604" s="116"/>
      <c r="L604" s="116"/>
      <c r="M604" s="116"/>
      <c r="N604" s="116"/>
      <c r="O604" s="117"/>
    </row>
    <row r="605" spans="10:15" ht="13">
      <c r="J605" s="116"/>
      <c r="K605" s="116"/>
      <c r="L605" s="116"/>
      <c r="M605" s="116"/>
      <c r="N605" s="116"/>
      <c r="O605" s="117"/>
    </row>
    <row r="606" spans="10:15" ht="13">
      <c r="J606" s="116"/>
      <c r="K606" s="116"/>
      <c r="L606" s="116"/>
      <c r="M606" s="116"/>
      <c r="N606" s="116"/>
      <c r="O606" s="117"/>
    </row>
    <row r="607" spans="10:15" ht="13">
      <c r="J607" s="116"/>
      <c r="K607" s="116"/>
      <c r="L607" s="116"/>
      <c r="M607" s="116"/>
      <c r="N607" s="116"/>
      <c r="O607" s="117"/>
    </row>
    <row r="608" spans="10:15" ht="13">
      <c r="J608" s="116"/>
      <c r="K608" s="116"/>
      <c r="L608" s="116"/>
      <c r="M608" s="116"/>
      <c r="N608" s="116"/>
      <c r="O608" s="117"/>
    </row>
    <row r="609" spans="10:15" ht="13">
      <c r="J609" s="116"/>
      <c r="K609" s="116"/>
      <c r="L609" s="116"/>
      <c r="M609" s="116"/>
      <c r="N609" s="116"/>
      <c r="O609" s="117"/>
    </row>
    <row r="610" spans="10:15" ht="13">
      <c r="J610" s="116"/>
      <c r="K610" s="116"/>
      <c r="L610" s="116"/>
      <c r="M610" s="116"/>
      <c r="N610" s="116"/>
      <c r="O610" s="117"/>
    </row>
    <row r="611" spans="10:15" ht="13">
      <c r="J611" s="116"/>
      <c r="K611" s="116"/>
      <c r="L611" s="116"/>
      <c r="M611" s="116"/>
      <c r="N611" s="116"/>
      <c r="O611" s="117"/>
    </row>
    <row r="612" spans="10:15" ht="13">
      <c r="J612" s="116"/>
      <c r="K612" s="116"/>
      <c r="L612" s="116"/>
      <c r="M612" s="116"/>
      <c r="N612" s="116"/>
      <c r="O612" s="117"/>
    </row>
    <row r="613" spans="10:15" ht="13">
      <c r="J613" s="116"/>
      <c r="K613" s="116"/>
      <c r="L613" s="116"/>
      <c r="M613" s="116"/>
      <c r="N613" s="116"/>
      <c r="O613" s="117"/>
    </row>
    <row r="614" spans="10:15" ht="13">
      <c r="J614" s="116"/>
      <c r="K614" s="116"/>
      <c r="L614" s="116"/>
      <c r="M614" s="116"/>
      <c r="N614" s="116"/>
      <c r="O614" s="117"/>
    </row>
    <row r="615" spans="10:15" ht="13">
      <c r="J615" s="116"/>
      <c r="K615" s="116"/>
      <c r="L615" s="116"/>
      <c r="M615" s="116"/>
      <c r="N615" s="116"/>
      <c r="O615" s="117"/>
    </row>
    <row r="616" spans="10:15" ht="13">
      <c r="J616" s="116"/>
      <c r="K616" s="116"/>
      <c r="L616" s="116"/>
      <c r="M616" s="116"/>
      <c r="N616" s="116"/>
      <c r="O616" s="117"/>
    </row>
    <row r="617" spans="10:15" ht="13">
      <c r="J617" s="116"/>
      <c r="K617" s="116"/>
      <c r="L617" s="116"/>
      <c r="M617" s="116"/>
      <c r="N617" s="116"/>
      <c r="O617" s="117"/>
    </row>
    <row r="618" spans="10:15" ht="13">
      <c r="J618" s="116"/>
      <c r="K618" s="116"/>
      <c r="L618" s="116"/>
      <c r="M618" s="116"/>
      <c r="N618" s="116"/>
      <c r="O618" s="117"/>
    </row>
    <row r="619" spans="10:15" ht="13">
      <c r="J619" s="116"/>
      <c r="K619" s="116"/>
      <c r="L619" s="116"/>
      <c r="M619" s="116"/>
      <c r="N619" s="116"/>
      <c r="O619" s="117"/>
    </row>
    <row r="620" spans="10:15" ht="13">
      <c r="J620" s="116"/>
      <c r="K620" s="116"/>
      <c r="L620" s="116"/>
      <c r="M620" s="116"/>
      <c r="N620" s="116"/>
      <c r="O620" s="117"/>
    </row>
    <row r="621" spans="10:15" ht="13">
      <c r="J621" s="116"/>
      <c r="K621" s="116"/>
      <c r="L621" s="116"/>
      <c r="M621" s="116"/>
      <c r="N621" s="116"/>
      <c r="O621" s="117"/>
    </row>
    <row r="622" spans="10:15" ht="13">
      <c r="J622" s="116"/>
      <c r="K622" s="116"/>
      <c r="L622" s="116"/>
      <c r="M622" s="116"/>
      <c r="N622" s="116"/>
      <c r="O622" s="117"/>
    </row>
    <row r="623" spans="10:15" ht="13">
      <c r="J623" s="116"/>
      <c r="K623" s="116"/>
      <c r="L623" s="116"/>
      <c r="M623" s="116"/>
      <c r="N623" s="116"/>
      <c r="O623" s="117"/>
    </row>
    <row r="624" spans="10:15" ht="13">
      <c r="J624" s="116"/>
      <c r="K624" s="116"/>
      <c r="L624" s="116"/>
      <c r="M624" s="116"/>
      <c r="N624" s="116"/>
      <c r="O624" s="117"/>
    </row>
    <row r="625" spans="10:15" ht="13">
      <c r="J625" s="116"/>
      <c r="K625" s="116"/>
      <c r="L625" s="116"/>
      <c r="M625" s="116"/>
      <c r="N625" s="116"/>
      <c r="O625" s="117"/>
    </row>
    <row r="626" spans="10:15" ht="13">
      <c r="J626" s="116"/>
      <c r="K626" s="116"/>
      <c r="L626" s="116"/>
      <c r="M626" s="116"/>
      <c r="N626" s="116"/>
      <c r="O626" s="117"/>
    </row>
    <row r="627" spans="10:15" ht="13">
      <c r="J627" s="116"/>
      <c r="K627" s="116"/>
      <c r="L627" s="116"/>
      <c r="M627" s="116"/>
      <c r="N627" s="116"/>
      <c r="O627" s="117"/>
    </row>
    <row r="628" spans="10:15" ht="13">
      <c r="J628" s="116"/>
      <c r="K628" s="116"/>
      <c r="L628" s="116"/>
      <c r="M628" s="116"/>
      <c r="N628" s="116"/>
      <c r="O628" s="117"/>
    </row>
    <row r="629" spans="10:15" ht="13">
      <c r="J629" s="116"/>
      <c r="K629" s="116"/>
      <c r="L629" s="116"/>
      <c r="M629" s="116"/>
      <c r="N629" s="116"/>
      <c r="O629" s="117"/>
    </row>
    <row r="630" spans="10:15" ht="13">
      <c r="J630" s="116"/>
      <c r="K630" s="116"/>
      <c r="L630" s="116"/>
      <c r="M630" s="116"/>
      <c r="N630" s="116"/>
      <c r="O630" s="117"/>
    </row>
    <row r="631" spans="10:15" ht="13">
      <c r="J631" s="116"/>
      <c r="K631" s="116"/>
      <c r="L631" s="116"/>
      <c r="M631" s="116"/>
      <c r="N631" s="116"/>
      <c r="O631" s="117"/>
    </row>
    <row r="632" spans="10:15" ht="13">
      <c r="J632" s="116"/>
      <c r="K632" s="116"/>
      <c r="L632" s="116"/>
      <c r="M632" s="116"/>
      <c r="N632" s="116"/>
      <c r="O632" s="117"/>
    </row>
    <row r="633" spans="10:15" ht="13">
      <c r="J633" s="116"/>
      <c r="K633" s="116"/>
      <c r="L633" s="116"/>
      <c r="M633" s="116"/>
      <c r="N633" s="116"/>
      <c r="O633" s="117"/>
    </row>
    <row r="634" spans="10:15" ht="13">
      <c r="J634" s="116"/>
      <c r="K634" s="116"/>
      <c r="L634" s="116"/>
      <c r="M634" s="116"/>
      <c r="N634" s="116"/>
      <c r="O634" s="117"/>
    </row>
    <row r="635" spans="10:15" ht="13">
      <c r="J635" s="116"/>
      <c r="K635" s="116"/>
      <c r="L635" s="116"/>
      <c r="M635" s="116"/>
      <c r="N635" s="116"/>
      <c r="O635" s="117"/>
    </row>
    <row r="636" spans="10:15" ht="13">
      <c r="J636" s="116"/>
      <c r="K636" s="116"/>
      <c r="L636" s="116"/>
      <c r="M636" s="116"/>
      <c r="N636" s="116"/>
      <c r="O636" s="117"/>
    </row>
    <row r="637" spans="10:15" ht="13">
      <c r="J637" s="116"/>
      <c r="K637" s="116"/>
      <c r="L637" s="116"/>
      <c r="M637" s="116"/>
      <c r="N637" s="116"/>
      <c r="O637" s="117"/>
    </row>
    <row r="638" spans="10:15" ht="13">
      <c r="J638" s="116"/>
      <c r="K638" s="116"/>
      <c r="L638" s="116"/>
      <c r="M638" s="116"/>
      <c r="N638" s="116"/>
      <c r="O638" s="117"/>
    </row>
    <row r="639" spans="10:15" ht="13">
      <c r="J639" s="116"/>
      <c r="K639" s="116"/>
      <c r="L639" s="116"/>
      <c r="M639" s="116"/>
      <c r="N639" s="116"/>
      <c r="O639" s="117"/>
    </row>
    <row r="640" spans="10:15" ht="13">
      <c r="J640" s="116"/>
      <c r="K640" s="116"/>
      <c r="L640" s="116"/>
      <c r="M640" s="116"/>
      <c r="N640" s="116"/>
      <c r="O640" s="117"/>
    </row>
    <row r="641" spans="10:15" ht="13">
      <c r="J641" s="116"/>
      <c r="K641" s="116"/>
      <c r="L641" s="116"/>
      <c r="M641" s="116"/>
      <c r="N641" s="116"/>
      <c r="O641" s="117"/>
    </row>
    <row r="642" spans="10:15" ht="13">
      <c r="J642" s="116"/>
      <c r="K642" s="116"/>
      <c r="L642" s="116"/>
      <c r="M642" s="116"/>
      <c r="N642" s="116"/>
      <c r="O642" s="117"/>
    </row>
    <row r="643" spans="10:15" ht="13">
      <c r="J643" s="116"/>
      <c r="K643" s="116"/>
      <c r="L643" s="116"/>
      <c r="M643" s="116"/>
      <c r="N643" s="116"/>
      <c r="O643" s="117"/>
    </row>
    <row r="644" spans="10:15" ht="13">
      <c r="J644" s="116"/>
      <c r="K644" s="116"/>
      <c r="L644" s="116"/>
      <c r="M644" s="116"/>
      <c r="N644" s="116"/>
      <c r="O644" s="117"/>
    </row>
    <row r="645" spans="10:15" ht="13">
      <c r="J645" s="116"/>
      <c r="K645" s="116"/>
      <c r="L645" s="116"/>
      <c r="M645" s="116"/>
      <c r="N645" s="116"/>
      <c r="O645" s="117"/>
    </row>
    <row r="646" spans="10:15" ht="13">
      <c r="J646" s="116"/>
      <c r="K646" s="116"/>
      <c r="L646" s="116"/>
      <c r="M646" s="116"/>
      <c r="N646" s="116"/>
      <c r="O646" s="117"/>
    </row>
    <row r="647" spans="10:15" ht="13">
      <c r="J647" s="116"/>
      <c r="K647" s="116"/>
      <c r="L647" s="116"/>
      <c r="M647" s="116"/>
      <c r="N647" s="116"/>
      <c r="O647" s="117"/>
    </row>
    <row r="648" spans="10:15" ht="13">
      <c r="J648" s="116"/>
      <c r="K648" s="116"/>
      <c r="L648" s="116"/>
      <c r="M648" s="116"/>
      <c r="N648" s="116"/>
      <c r="O648" s="117"/>
    </row>
    <row r="649" spans="10:15" ht="13">
      <c r="J649" s="116"/>
      <c r="K649" s="116"/>
      <c r="L649" s="116"/>
      <c r="M649" s="116"/>
      <c r="N649" s="116"/>
      <c r="O649" s="117"/>
    </row>
    <row r="650" spans="10:15" ht="13">
      <c r="J650" s="116"/>
      <c r="K650" s="116"/>
      <c r="L650" s="116"/>
      <c r="M650" s="116"/>
      <c r="N650" s="116"/>
      <c r="O650" s="117"/>
    </row>
    <row r="651" spans="10:15" ht="13">
      <c r="J651" s="116"/>
      <c r="K651" s="116"/>
      <c r="L651" s="116"/>
      <c r="M651" s="116"/>
      <c r="N651" s="116"/>
      <c r="O651" s="117"/>
    </row>
    <row r="652" spans="10:15" ht="13">
      <c r="J652" s="116"/>
      <c r="K652" s="116"/>
      <c r="L652" s="116"/>
      <c r="M652" s="116"/>
      <c r="N652" s="116"/>
      <c r="O652" s="117"/>
    </row>
    <row r="653" spans="10:15" ht="13">
      <c r="J653" s="116"/>
      <c r="K653" s="116"/>
      <c r="L653" s="116"/>
      <c r="M653" s="116"/>
      <c r="N653" s="116"/>
      <c r="O653" s="117"/>
    </row>
    <row r="654" spans="10:15" ht="13">
      <c r="J654" s="116"/>
      <c r="K654" s="116"/>
      <c r="L654" s="116"/>
      <c r="M654" s="116"/>
      <c r="N654" s="116"/>
      <c r="O654" s="117"/>
    </row>
    <row r="655" spans="10:15" ht="13">
      <c r="J655" s="116"/>
      <c r="K655" s="116"/>
      <c r="L655" s="116"/>
      <c r="M655" s="116"/>
      <c r="N655" s="116"/>
      <c r="O655" s="117"/>
    </row>
    <row r="656" spans="10:15" ht="13">
      <c r="J656" s="116"/>
      <c r="K656" s="116"/>
      <c r="L656" s="116"/>
      <c r="M656" s="116"/>
      <c r="N656" s="116"/>
      <c r="O656" s="117"/>
    </row>
    <row r="657" spans="10:15" ht="13">
      <c r="J657" s="116"/>
      <c r="K657" s="116"/>
      <c r="L657" s="116"/>
      <c r="M657" s="116"/>
      <c r="N657" s="116"/>
      <c r="O657" s="117"/>
    </row>
    <row r="658" spans="10:15" ht="13">
      <c r="J658" s="116"/>
      <c r="K658" s="116"/>
      <c r="L658" s="116"/>
      <c r="M658" s="116"/>
      <c r="N658" s="116"/>
      <c r="O658" s="117"/>
    </row>
    <row r="659" spans="10:15" ht="13">
      <c r="J659" s="116"/>
      <c r="K659" s="116"/>
      <c r="L659" s="116"/>
      <c r="M659" s="116"/>
      <c r="N659" s="116"/>
      <c r="O659" s="117"/>
    </row>
    <row r="660" spans="10:15" ht="13">
      <c r="J660" s="116"/>
      <c r="K660" s="116"/>
      <c r="L660" s="116"/>
      <c r="M660" s="116"/>
      <c r="N660" s="116"/>
      <c r="O660" s="117"/>
    </row>
    <row r="661" spans="10:15" ht="13">
      <c r="J661" s="116"/>
      <c r="K661" s="116"/>
      <c r="L661" s="116"/>
      <c r="M661" s="116"/>
      <c r="N661" s="116"/>
      <c r="O661" s="117"/>
    </row>
    <row r="662" spans="10:15" ht="13">
      <c r="J662" s="116"/>
      <c r="K662" s="116"/>
      <c r="L662" s="116"/>
      <c r="M662" s="116"/>
      <c r="N662" s="116"/>
      <c r="O662" s="117"/>
    </row>
    <row r="663" spans="10:15" ht="13">
      <c r="J663" s="116"/>
      <c r="K663" s="116"/>
      <c r="L663" s="116"/>
      <c r="M663" s="116"/>
      <c r="N663" s="116"/>
      <c r="O663" s="117"/>
    </row>
    <row r="664" spans="10:15" ht="13">
      <c r="J664" s="116"/>
      <c r="K664" s="116"/>
      <c r="L664" s="116"/>
      <c r="M664" s="116"/>
      <c r="N664" s="116"/>
      <c r="O664" s="117"/>
    </row>
    <row r="665" spans="10:15" ht="13">
      <c r="J665" s="116"/>
      <c r="K665" s="116"/>
      <c r="L665" s="116"/>
      <c r="M665" s="116"/>
      <c r="N665" s="116"/>
      <c r="O665" s="117"/>
    </row>
    <row r="666" spans="10:15" ht="13">
      <c r="J666" s="116"/>
      <c r="K666" s="116"/>
      <c r="L666" s="116"/>
      <c r="M666" s="116"/>
      <c r="N666" s="116"/>
      <c r="O666" s="117"/>
    </row>
    <row r="667" spans="10:15" ht="13">
      <c r="J667" s="116"/>
      <c r="K667" s="116"/>
      <c r="L667" s="116"/>
      <c r="M667" s="116"/>
      <c r="N667" s="116"/>
      <c r="O667" s="117"/>
    </row>
    <row r="668" spans="10:15" ht="13">
      <c r="J668" s="116"/>
      <c r="K668" s="116"/>
      <c r="L668" s="116"/>
      <c r="M668" s="116"/>
      <c r="N668" s="116"/>
      <c r="O668" s="117"/>
    </row>
    <row r="669" spans="10:15" ht="13">
      <c r="J669" s="116"/>
      <c r="K669" s="116"/>
      <c r="L669" s="116"/>
      <c r="M669" s="116"/>
      <c r="N669" s="116"/>
      <c r="O669" s="117"/>
    </row>
    <row r="670" spans="10:15" ht="13">
      <c r="J670" s="116"/>
      <c r="K670" s="116"/>
      <c r="L670" s="116"/>
      <c r="M670" s="116"/>
      <c r="N670" s="116"/>
      <c r="O670" s="117"/>
    </row>
    <row r="671" spans="10:15" ht="13">
      <c r="J671" s="116"/>
      <c r="K671" s="116"/>
      <c r="L671" s="116"/>
      <c r="M671" s="116"/>
      <c r="N671" s="116"/>
      <c r="O671" s="117"/>
    </row>
    <row r="672" spans="10:15" ht="13">
      <c r="J672" s="116"/>
      <c r="K672" s="116"/>
      <c r="L672" s="116"/>
      <c r="M672" s="116"/>
      <c r="N672" s="116"/>
      <c r="O672" s="117"/>
    </row>
    <row r="673" spans="10:15" ht="13">
      <c r="J673" s="116"/>
      <c r="K673" s="116"/>
      <c r="L673" s="116"/>
      <c r="M673" s="116"/>
      <c r="N673" s="116"/>
      <c r="O673" s="117"/>
    </row>
    <row r="674" spans="10:15" ht="13">
      <c r="J674" s="116"/>
      <c r="K674" s="116"/>
      <c r="L674" s="116"/>
      <c r="M674" s="116"/>
      <c r="N674" s="116"/>
      <c r="O674" s="117"/>
    </row>
    <row r="675" spans="10:15" ht="13">
      <c r="J675" s="116"/>
      <c r="K675" s="116"/>
      <c r="L675" s="116"/>
      <c r="M675" s="116"/>
      <c r="N675" s="116"/>
      <c r="O675" s="117"/>
    </row>
    <row r="676" spans="10:15" ht="13">
      <c r="J676" s="116"/>
      <c r="K676" s="116"/>
      <c r="L676" s="116"/>
      <c r="M676" s="116"/>
      <c r="N676" s="116"/>
      <c r="O676" s="117"/>
    </row>
    <row r="677" spans="10:15" ht="13">
      <c r="J677" s="116"/>
      <c r="K677" s="116"/>
      <c r="L677" s="116"/>
      <c r="M677" s="116"/>
      <c r="N677" s="116"/>
      <c r="O677" s="117"/>
    </row>
    <row r="678" spans="10:15" ht="13">
      <c r="J678" s="116"/>
      <c r="K678" s="116"/>
      <c r="L678" s="116"/>
      <c r="M678" s="116"/>
      <c r="N678" s="116"/>
      <c r="O678" s="117"/>
    </row>
    <row r="679" spans="10:15" ht="13">
      <c r="J679" s="116"/>
      <c r="K679" s="116"/>
      <c r="L679" s="116"/>
      <c r="M679" s="116"/>
      <c r="N679" s="116"/>
      <c r="O679" s="117"/>
    </row>
    <row r="680" spans="10:15" ht="13">
      <c r="J680" s="116"/>
      <c r="K680" s="116"/>
      <c r="L680" s="116"/>
      <c r="M680" s="116"/>
      <c r="N680" s="116"/>
      <c r="O680" s="117"/>
    </row>
    <row r="681" spans="10:15" ht="13">
      <c r="J681" s="116"/>
      <c r="K681" s="116"/>
      <c r="L681" s="116"/>
      <c r="M681" s="116"/>
      <c r="N681" s="116"/>
      <c r="O681" s="117"/>
    </row>
    <row r="682" spans="10:15" ht="13">
      <c r="J682" s="116"/>
      <c r="K682" s="116"/>
      <c r="L682" s="116"/>
      <c r="M682" s="116"/>
      <c r="N682" s="116"/>
      <c r="O682" s="117"/>
    </row>
    <row r="683" spans="10:15" ht="13">
      <c r="J683" s="116"/>
      <c r="K683" s="116"/>
      <c r="L683" s="116"/>
      <c r="M683" s="116"/>
      <c r="N683" s="116"/>
      <c r="O683" s="117"/>
    </row>
    <row r="684" spans="10:15" ht="13">
      <c r="J684" s="116"/>
      <c r="K684" s="116"/>
      <c r="L684" s="116"/>
      <c r="M684" s="116"/>
      <c r="N684" s="116"/>
      <c r="O684" s="117"/>
    </row>
    <row r="685" spans="10:15" ht="13">
      <c r="J685" s="116"/>
      <c r="K685" s="116"/>
      <c r="L685" s="116"/>
      <c r="M685" s="116"/>
      <c r="N685" s="116"/>
      <c r="O685" s="117"/>
    </row>
    <row r="686" spans="10:15" ht="13">
      <c r="J686" s="116"/>
      <c r="K686" s="116"/>
      <c r="L686" s="116"/>
      <c r="M686" s="116"/>
      <c r="N686" s="116"/>
      <c r="O686" s="117"/>
    </row>
    <row r="687" spans="10:15" ht="13">
      <c r="J687" s="116"/>
      <c r="K687" s="116"/>
      <c r="L687" s="116"/>
      <c r="M687" s="116"/>
      <c r="N687" s="116"/>
      <c r="O687" s="117"/>
    </row>
    <row r="688" spans="10:15" ht="13">
      <c r="J688" s="116"/>
      <c r="K688" s="116"/>
      <c r="L688" s="116"/>
      <c r="M688" s="116"/>
      <c r="N688" s="116"/>
      <c r="O688" s="117"/>
    </row>
    <row r="689" spans="10:15" ht="13">
      <c r="J689" s="116"/>
      <c r="K689" s="116"/>
      <c r="L689" s="116"/>
      <c r="M689" s="116"/>
      <c r="N689" s="116"/>
      <c r="O689" s="117"/>
    </row>
    <row r="690" spans="10:15" ht="13">
      <c r="J690" s="116"/>
      <c r="K690" s="116"/>
      <c r="L690" s="116"/>
      <c r="M690" s="116"/>
      <c r="N690" s="116"/>
      <c r="O690" s="117"/>
    </row>
    <row r="691" spans="10:15" ht="13">
      <c r="J691" s="116"/>
      <c r="K691" s="116"/>
      <c r="L691" s="116"/>
      <c r="M691" s="116"/>
      <c r="N691" s="116"/>
      <c r="O691" s="117"/>
    </row>
    <row r="692" spans="10:15" ht="13">
      <c r="J692" s="116"/>
      <c r="K692" s="116"/>
      <c r="L692" s="116"/>
      <c r="M692" s="116"/>
      <c r="N692" s="116"/>
      <c r="O692" s="117"/>
    </row>
    <row r="693" spans="10:15" ht="13">
      <c r="J693" s="116"/>
      <c r="K693" s="116"/>
      <c r="L693" s="116"/>
      <c r="M693" s="116"/>
      <c r="N693" s="116"/>
      <c r="O693" s="117"/>
    </row>
    <row r="694" spans="10:15" ht="13">
      <c r="J694" s="116"/>
      <c r="K694" s="116"/>
      <c r="L694" s="116"/>
      <c r="M694" s="116"/>
      <c r="N694" s="116"/>
      <c r="O694" s="117"/>
    </row>
    <row r="695" spans="10:15" ht="13">
      <c r="J695" s="116"/>
      <c r="K695" s="116"/>
      <c r="L695" s="116"/>
      <c r="M695" s="116"/>
      <c r="N695" s="116"/>
      <c r="O695" s="117"/>
    </row>
    <row r="696" spans="10:15" ht="13">
      <c r="J696" s="116"/>
      <c r="K696" s="116"/>
      <c r="L696" s="116"/>
      <c r="M696" s="116"/>
      <c r="N696" s="116"/>
      <c r="O696" s="117"/>
    </row>
    <row r="697" spans="10:15" ht="13">
      <c r="J697" s="116"/>
      <c r="K697" s="116"/>
      <c r="L697" s="116"/>
      <c r="M697" s="116"/>
      <c r="N697" s="116"/>
      <c r="O697" s="117"/>
    </row>
    <row r="698" spans="10:15" ht="13">
      <c r="J698" s="116"/>
      <c r="K698" s="116"/>
      <c r="L698" s="116"/>
      <c r="M698" s="116"/>
      <c r="N698" s="116"/>
      <c r="O698" s="117"/>
    </row>
    <row r="699" spans="10:15" ht="13">
      <c r="J699" s="116"/>
      <c r="K699" s="116"/>
      <c r="L699" s="116"/>
      <c r="M699" s="116"/>
      <c r="N699" s="116"/>
      <c r="O699" s="117"/>
    </row>
    <row r="700" spans="10:15" ht="13">
      <c r="J700" s="116"/>
      <c r="K700" s="116"/>
      <c r="L700" s="116"/>
      <c r="M700" s="116"/>
      <c r="N700" s="116"/>
      <c r="O700" s="117"/>
    </row>
    <row r="701" spans="10:15" ht="13">
      <c r="J701" s="116"/>
      <c r="K701" s="116"/>
      <c r="L701" s="116"/>
      <c r="M701" s="116"/>
      <c r="N701" s="116"/>
      <c r="O701" s="117"/>
    </row>
    <row r="702" spans="10:15" ht="13">
      <c r="J702" s="116"/>
      <c r="K702" s="116"/>
      <c r="L702" s="116"/>
      <c r="M702" s="116"/>
      <c r="N702" s="116"/>
      <c r="O702" s="117"/>
    </row>
    <row r="703" spans="10:15" ht="13">
      <c r="J703" s="116"/>
      <c r="K703" s="116"/>
      <c r="L703" s="116"/>
      <c r="M703" s="116"/>
      <c r="N703" s="116"/>
      <c r="O703" s="117"/>
    </row>
    <row r="704" spans="10:15" ht="13">
      <c r="J704" s="116"/>
      <c r="K704" s="116"/>
      <c r="L704" s="116"/>
      <c r="M704" s="116"/>
      <c r="N704" s="116"/>
      <c r="O704" s="117"/>
    </row>
    <row r="705" spans="10:15" ht="13">
      <c r="J705" s="116"/>
      <c r="K705" s="116"/>
      <c r="L705" s="116"/>
      <c r="M705" s="116"/>
      <c r="N705" s="116"/>
      <c r="O705" s="117"/>
    </row>
    <row r="706" spans="10:15" ht="13">
      <c r="J706" s="116"/>
      <c r="K706" s="116"/>
      <c r="L706" s="116"/>
      <c r="M706" s="116"/>
      <c r="N706" s="116"/>
      <c r="O706" s="117"/>
    </row>
    <row r="707" spans="10:15" ht="13">
      <c r="J707" s="116"/>
      <c r="K707" s="116"/>
      <c r="L707" s="116"/>
      <c r="M707" s="116"/>
      <c r="N707" s="116"/>
      <c r="O707" s="117"/>
    </row>
    <row r="708" spans="10:15" ht="13">
      <c r="J708" s="116"/>
      <c r="K708" s="116"/>
      <c r="L708" s="116"/>
      <c r="M708" s="116"/>
      <c r="N708" s="116"/>
      <c r="O708" s="117"/>
    </row>
    <row r="709" spans="10:15" ht="13">
      <c r="J709" s="116"/>
      <c r="K709" s="116"/>
      <c r="L709" s="116"/>
      <c r="M709" s="116"/>
      <c r="N709" s="116"/>
      <c r="O709" s="117"/>
    </row>
    <row r="710" spans="10:15" ht="13">
      <c r="J710" s="116"/>
      <c r="K710" s="116"/>
      <c r="L710" s="116"/>
      <c r="M710" s="116"/>
      <c r="N710" s="116"/>
      <c r="O710" s="117"/>
    </row>
    <row r="711" spans="10:15" ht="13">
      <c r="J711" s="116"/>
      <c r="K711" s="116"/>
      <c r="L711" s="116"/>
      <c r="M711" s="116"/>
      <c r="N711" s="116"/>
      <c r="O711" s="117"/>
    </row>
    <row r="712" spans="10:15" ht="13">
      <c r="J712" s="116"/>
      <c r="K712" s="116"/>
      <c r="L712" s="116"/>
      <c r="M712" s="116"/>
      <c r="N712" s="116"/>
      <c r="O712" s="117"/>
    </row>
    <row r="713" spans="10:15" ht="13">
      <c r="J713" s="116"/>
      <c r="K713" s="116"/>
      <c r="L713" s="116"/>
      <c r="M713" s="116"/>
      <c r="N713" s="116"/>
      <c r="O713" s="117"/>
    </row>
    <row r="714" spans="10:15" ht="13">
      <c r="J714" s="116"/>
      <c r="K714" s="116"/>
      <c r="L714" s="116"/>
      <c r="M714" s="116"/>
      <c r="N714" s="116"/>
      <c r="O714" s="117"/>
    </row>
    <row r="715" spans="10:15" ht="13">
      <c r="J715" s="116"/>
      <c r="K715" s="116"/>
      <c r="L715" s="116"/>
      <c r="M715" s="116"/>
      <c r="N715" s="116"/>
      <c r="O715" s="117"/>
    </row>
    <row r="716" spans="10:15" ht="13">
      <c r="J716" s="116"/>
      <c r="K716" s="116"/>
      <c r="L716" s="116"/>
      <c r="M716" s="116"/>
      <c r="N716" s="116"/>
      <c r="O716" s="117"/>
    </row>
    <row r="717" spans="10:15" ht="13">
      <c r="J717" s="116"/>
      <c r="K717" s="116"/>
      <c r="L717" s="116"/>
      <c r="M717" s="116"/>
      <c r="N717" s="116"/>
      <c r="O717" s="117"/>
    </row>
    <row r="718" spans="10:15" ht="13">
      <c r="J718" s="116"/>
      <c r="K718" s="116"/>
      <c r="L718" s="116"/>
      <c r="M718" s="116"/>
      <c r="N718" s="116"/>
      <c r="O718" s="117"/>
    </row>
    <row r="719" spans="10:15" ht="13">
      <c r="J719" s="116"/>
      <c r="K719" s="116"/>
      <c r="L719" s="116"/>
      <c r="M719" s="116"/>
      <c r="N719" s="116"/>
      <c r="O719" s="117"/>
    </row>
    <row r="720" spans="10:15" ht="13">
      <c r="J720" s="116"/>
      <c r="K720" s="116"/>
      <c r="L720" s="116"/>
      <c r="M720" s="116"/>
      <c r="N720" s="116"/>
      <c r="O720" s="117"/>
    </row>
    <row r="721" spans="10:15" ht="13">
      <c r="J721" s="116"/>
      <c r="K721" s="116"/>
      <c r="L721" s="116"/>
      <c r="M721" s="116"/>
      <c r="N721" s="116"/>
      <c r="O721" s="117"/>
    </row>
    <row r="722" spans="10:15" ht="13">
      <c r="J722" s="116"/>
      <c r="K722" s="116"/>
      <c r="L722" s="116"/>
      <c r="M722" s="116"/>
      <c r="N722" s="116"/>
      <c r="O722" s="117"/>
    </row>
    <row r="723" spans="10:15" ht="13">
      <c r="J723" s="116"/>
      <c r="K723" s="116"/>
      <c r="L723" s="116"/>
      <c r="M723" s="116"/>
      <c r="N723" s="116"/>
      <c r="O723" s="117"/>
    </row>
    <row r="724" spans="10:15" ht="13">
      <c r="J724" s="116"/>
      <c r="K724" s="116"/>
      <c r="L724" s="116"/>
      <c r="M724" s="116"/>
      <c r="N724" s="116"/>
      <c r="O724" s="117"/>
    </row>
    <row r="725" spans="10:15" ht="13">
      <c r="J725" s="116"/>
      <c r="K725" s="116"/>
      <c r="L725" s="116"/>
      <c r="M725" s="116"/>
      <c r="N725" s="116"/>
      <c r="O725" s="117"/>
    </row>
    <row r="726" spans="10:15" ht="13">
      <c r="J726" s="116"/>
      <c r="K726" s="116"/>
      <c r="L726" s="116"/>
      <c r="M726" s="116"/>
      <c r="N726" s="116"/>
      <c r="O726" s="117"/>
    </row>
    <row r="727" spans="10:15" ht="13">
      <c r="J727" s="116"/>
      <c r="K727" s="116"/>
      <c r="L727" s="116"/>
      <c r="M727" s="116"/>
      <c r="N727" s="116"/>
      <c r="O727" s="117"/>
    </row>
    <row r="728" spans="10:15" ht="13">
      <c r="J728" s="116"/>
      <c r="K728" s="116"/>
      <c r="L728" s="116"/>
      <c r="M728" s="116"/>
      <c r="N728" s="116"/>
      <c r="O728" s="117"/>
    </row>
    <row r="729" spans="10:15" ht="13">
      <c r="J729" s="116"/>
      <c r="K729" s="116"/>
      <c r="L729" s="116"/>
      <c r="M729" s="116"/>
      <c r="N729" s="116"/>
      <c r="O729" s="117"/>
    </row>
    <row r="730" spans="10:15" ht="13">
      <c r="J730" s="116"/>
      <c r="K730" s="116"/>
      <c r="L730" s="116"/>
      <c r="M730" s="116"/>
      <c r="N730" s="116"/>
      <c r="O730" s="117"/>
    </row>
    <row r="731" spans="10:15" ht="13">
      <c r="J731" s="116"/>
      <c r="K731" s="116"/>
      <c r="L731" s="116"/>
      <c r="M731" s="116"/>
      <c r="N731" s="116"/>
      <c r="O731" s="117"/>
    </row>
    <row r="732" spans="10:15" ht="13">
      <c r="J732" s="116"/>
      <c r="K732" s="116"/>
      <c r="L732" s="116"/>
      <c r="M732" s="116"/>
      <c r="N732" s="116"/>
      <c r="O732" s="117"/>
    </row>
    <row r="733" spans="10:15" ht="13">
      <c r="J733" s="116"/>
      <c r="K733" s="116"/>
      <c r="L733" s="116"/>
      <c r="M733" s="116"/>
      <c r="N733" s="116"/>
      <c r="O733" s="117"/>
    </row>
    <row r="734" spans="10:15" ht="13">
      <c r="J734" s="116"/>
      <c r="K734" s="116"/>
      <c r="L734" s="116"/>
      <c r="M734" s="116"/>
      <c r="N734" s="116"/>
      <c r="O734" s="117"/>
    </row>
    <row r="735" spans="10:15" ht="13">
      <c r="J735" s="116"/>
      <c r="K735" s="116"/>
      <c r="L735" s="116"/>
      <c r="M735" s="116"/>
      <c r="N735" s="116"/>
      <c r="O735" s="117"/>
    </row>
    <row r="736" spans="10:15" ht="13">
      <c r="J736" s="116"/>
      <c r="K736" s="116"/>
      <c r="L736" s="116"/>
      <c r="M736" s="116"/>
      <c r="N736" s="116"/>
      <c r="O736" s="117"/>
    </row>
    <row r="737" spans="10:15" ht="13">
      <c r="J737" s="116"/>
      <c r="K737" s="116"/>
      <c r="L737" s="116"/>
      <c r="M737" s="116"/>
      <c r="N737" s="116"/>
      <c r="O737" s="117"/>
    </row>
    <row r="738" spans="10:15" ht="13">
      <c r="J738" s="116"/>
      <c r="K738" s="116"/>
      <c r="L738" s="116"/>
      <c r="M738" s="116"/>
      <c r="N738" s="116"/>
      <c r="O738" s="117"/>
    </row>
    <row r="739" spans="10:15" ht="13">
      <c r="J739" s="116"/>
      <c r="K739" s="116"/>
      <c r="L739" s="116"/>
      <c r="M739" s="116"/>
      <c r="N739" s="116"/>
      <c r="O739" s="117"/>
    </row>
    <row r="740" spans="10:15" ht="13">
      <c r="J740" s="116"/>
      <c r="K740" s="116"/>
      <c r="L740" s="116"/>
      <c r="M740" s="116"/>
      <c r="N740" s="116"/>
      <c r="O740" s="117"/>
    </row>
    <row r="741" spans="10:15" ht="13">
      <c r="J741" s="116"/>
      <c r="K741" s="116"/>
      <c r="L741" s="116"/>
      <c r="M741" s="116"/>
      <c r="N741" s="116"/>
      <c r="O741" s="117"/>
    </row>
    <row r="742" spans="10:15" ht="13">
      <c r="J742" s="116"/>
      <c r="K742" s="116"/>
      <c r="L742" s="116"/>
      <c r="M742" s="116"/>
      <c r="N742" s="116"/>
      <c r="O742" s="117"/>
    </row>
    <row r="743" spans="10:15" ht="13">
      <c r="J743" s="116"/>
      <c r="K743" s="116"/>
      <c r="L743" s="116"/>
      <c r="M743" s="116"/>
      <c r="N743" s="116"/>
      <c r="O743" s="117"/>
    </row>
    <row r="744" spans="10:15" ht="13">
      <c r="J744" s="116"/>
      <c r="K744" s="116"/>
      <c r="L744" s="116"/>
      <c r="M744" s="116"/>
      <c r="N744" s="116"/>
      <c r="O744" s="117"/>
    </row>
    <row r="745" spans="10:15" ht="13">
      <c r="J745" s="116"/>
      <c r="K745" s="116"/>
      <c r="L745" s="116"/>
      <c r="M745" s="116"/>
      <c r="N745" s="116"/>
      <c r="O745" s="117"/>
    </row>
    <row r="746" spans="10:15" ht="13">
      <c r="J746" s="116"/>
      <c r="K746" s="116"/>
      <c r="L746" s="116"/>
      <c r="M746" s="116"/>
      <c r="N746" s="116"/>
      <c r="O746" s="117"/>
    </row>
    <row r="747" spans="10:15" ht="13">
      <c r="J747" s="116"/>
      <c r="K747" s="116"/>
      <c r="L747" s="116"/>
      <c r="M747" s="116"/>
      <c r="N747" s="116"/>
      <c r="O747" s="117"/>
    </row>
    <row r="748" spans="10:15" ht="13">
      <c r="J748" s="116"/>
      <c r="K748" s="116"/>
      <c r="L748" s="116"/>
      <c r="M748" s="116"/>
      <c r="N748" s="116"/>
      <c r="O748" s="117"/>
    </row>
    <row r="749" spans="10:15" ht="13">
      <c r="J749" s="116"/>
      <c r="K749" s="116"/>
      <c r="L749" s="116"/>
      <c r="M749" s="116"/>
      <c r="N749" s="116"/>
      <c r="O749" s="117"/>
    </row>
    <row r="750" spans="10:15" ht="13">
      <c r="J750" s="116"/>
      <c r="K750" s="116"/>
      <c r="L750" s="116"/>
      <c r="M750" s="116"/>
      <c r="N750" s="116"/>
      <c r="O750" s="117"/>
    </row>
    <row r="751" spans="10:15" ht="13">
      <c r="J751" s="116"/>
      <c r="K751" s="116"/>
      <c r="L751" s="116"/>
      <c r="M751" s="116"/>
      <c r="N751" s="116"/>
      <c r="O751" s="117"/>
    </row>
    <row r="752" spans="10:15" ht="13">
      <c r="J752" s="116"/>
      <c r="K752" s="116"/>
      <c r="L752" s="116"/>
      <c r="M752" s="116"/>
      <c r="N752" s="116"/>
      <c r="O752" s="117"/>
    </row>
    <row r="753" spans="10:15" ht="13">
      <c r="J753" s="116"/>
      <c r="K753" s="116"/>
      <c r="L753" s="116"/>
      <c r="M753" s="116"/>
      <c r="N753" s="116"/>
      <c r="O753" s="117"/>
    </row>
    <row r="754" spans="10:15" ht="13">
      <c r="J754" s="116"/>
      <c r="K754" s="116"/>
      <c r="L754" s="116"/>
      <c r="M754" s="116"/>
      <c r="N754" s="116"/>
      <c r="O754" s="117"/>
    </row>
    <row r="755" spans="10:15" ht="13">
      <c r="J755" s="116"/>
      <c r="K755" s="116"/>
      <c r="L755" s="116"/>
      <c r="M755" s="116"/>
      <c r="N755" s="116"/>
      <c r="O755" s="117"/>
    </row>
    <row r="756" spans="10:15" ht="13">
      <c r="J756" s="116"/>
      <c r="K756" s="116"/>
      <c r="L756" s="116"/>
      <c r="M756" s="116"/>
      <c r="N756" s="116"/>
      <c r="O756" s="117"/>
    </row>
    <row r="757" spans="10:15" ht="13">
      <c r="J757" s="116"/>
      <c r="K757" s="116"/>
      <c r="L757" s="116"/>
      <c r="M757" s="116"/>
      <c r="N757" s="116"/>
      <c r="O757" s="117"/>
    </row>
    <row r="758" spans="10:15" ht="13">
      <c r="J758" s="116"/>
      <c r="K758" s="116"/>
      <c r="L758" s="116"/>
      <c r="M758" s="116"/>
      <c r="N758" s="116"/>
      <c r="O758" s="117"/>
    </row>
    <row r="759" spans="10:15" ht="13">
      <c r="J759" s="116"/>
      <c r="K759" s="116"/>
      <c r="L759" s="116"/>
      <c r="M759" s="116"/>
      <c r="N759" s="116"/>
      <c r="O759" s="117"/>
    </row>
    <row r="760" spans="10:15" ht="13">
      <c r="J760" s="116"/>
      <c r="K760" s="116"/>
      <c r="L760" s="116"/>
      <c r="M760" s="116"/>
      <c r="N760" s="116"/>
      <c r="O760" s="117"/>
    </row>
    <row r="761" spans="10:15" ht="13">
      <c r="J761" s="116"/>
      <c r="K761" s="116"/>
      <c r="L761" s="116"/>
      <c r="M761" s="116"/>
      <c r="N761" s="116"/>
      <c r="O761" s="117"/>
    </row>
    <row r="762" spans="10:15" ht="13">
      <c r="J762" s="116"/>
      <c r="K762" s="116"/>
      <c r="L762" s="116"/>
      <c r="M762" s="116"/>
      <c r="N762" s="116"/>
      <c r="O762" s="117"/>
    </row>
    <row r="763" spans="10:15" ht="13">
      <c r="J763" s="116"/>
      <c r="K763" s="116"/>
      <c r="L763" s="116"/>
      <c r="M763" s="116"/>
      <c r="N763" s="116"/>
      <c r="O763" s="117"/>
    </row>
    <row r="764" spans="10:15" ht="13">
      <c r="J764" s="116"/>
      <c r="K764" s="116"/>
      <c r="L764" s="116"/>
      <c r="M764" s="116"/>
      <c r="N764" s="116"/>
      <c r="O764" s="117"/>
    </row>
    <row r="765" spans="10:15" ht="13">
      <c r="J765" s="116"/>
      <c r="K765" s="116"/>
      <c r="L765" s="116"/>
      <c r="M765" s="116"/>
      <c r="N765" s="116"/>
      <c r="O765" s="117"/>
    </row>
    <row r="766" spans="10:15" ht="13">
      <c r="J766" s="116"/>
      <c r="K766" s="116"/>
      <c r="L766" s="116"/>
      <c r="M766" s="116"/>
      <c r="N766" s="116"/>
      <c r="O766" s="117"/>
    </row>
    <row r="767" spans="10:15" ht="13">
      <c r="J767" s="116"/>
      <c r="K767" s="116"/>
      <c r="L767" s="116"/>
      <c r="M767" s="116"/>
      <c r="N767" s="116"/>
      <c r="O767" s="117"/>
    </row>
    <row r="768" spans="10:15" ht="13">
      <c r="J768" s="116"/>
      <c r="K768" s="116"/>
      <c r="L768" s="116"/>
      <c r="M768" s="116"/>
      <c r="N768" s="116"/>
      <c r="O768" s="117"/>
    </row>
    <row r="769" spans="10:15" ht="13">
      <c r="J769" s="116"/>
      <c r="K769" s="116"/>
      <c r="L769" s="116"/>
      <c r="M769" s="116"/>
      <c r="N769" s="116"/>
      <c r="O769" s="117"/>
    </row>
    <row r="770" spans="10:15" ht="13">
      <c r="J770" s="116"/>
      <c r="K770" s="116"/>
      <c r="L770" s="116"/>
      <c r="M770" s="116"/>
      <c r="N770" s="116"/>
      <c r="O770" s="117"/>
    </row>
    <row r="771" spans="10:15" ht="13">
      <c r="J771" s="116"/>
      <c r="K771" s="116"/>
      <c r="L771" s="116"/>
      <c r="M771" s="116"/>
      <c r="N771" s="116"/>
      <c r="O771" s="117"/>
    </row>
    <row r="772" spans="10:15" ht="13">
      <c r="J772" s="116"/>
      <c r="K772" s="116"/>
      <c r="L772" s="116"/>
      <c r="M772" s="116"/>
      <c r="N772" s="116"/>
      <c r="O772" s="117"/>
    </row>
    <row r="773" spans="10:15" ht="13">
      <c r="J773" s="116"/>
      <c r="K773" s="116"/>
      <c r="L773" s="116"/>
      <c r="M773" s="116"/>
      <c r="N773" s="116"/>
      <c r="O773" s="117"/>
    </row>
    <row r="774" spans="10:15" ht="13">
      <c r="J774" s="116"/>
      <c r="K774" s="116"/>
      <c r="L774" s="116"/>
      <c r="M774" s="116"/>
      <c r="N774" s="116"/>
      <c r="O774" s="117"/>
    </row>
    <row r="775" spans="10:15" ht="13">
      <c r="J775" s="116"/>
      <c r="K775" s="116"/>
      <c r="L775" s="116"/>
      <c r="M775" s="116"/>
      <c r="N775" s="116"/>
      <c r="O775" s="117"/>
    </row>
    <row r="776" spans="10:15" ht="13">
      <c r="J776" s="116"/>
      <c r="K776" s="116"/>
      <c r="L776" s="116"/>
      <c r="M776" s="116"/>
      <c r="N776" s="116"/>
      <c r="O776" s="117"/>
    </row>
    <row r="777" spans="10:15" ht="13">
      <c r="J777" s="116"/>
      <c r="K777" s="116"/>
      <c r="L777" s="116"/>
      <c r="M777" s="116"/>
      <c r="N777" s="116"/>
      <c r="O777" s="117"/>
    </row>
    <row r="778" spans="10:15" ht="13">
      <c r="J778" s="116"/>
      <c r="K778" s="116"/>
      <c r="L778" s="116"/>
      <c r="M778" s="116"/>
      <c r="N778" s="116"/>
      <c r="O778" s="117"/>
    </row>
    <row r="779" spans="10:15" ht="13">
      <c r="J779" s="116"/>
      <c r="K779" s="116"/>
      <c r="L779" s="116"/>
      <c r="M779" s="116"/>
      <c r="N779" s="116"/>
      <c r="O779" s="117"/>
    </row>
    <row r="780" spans="10:15" ht="13">
      <c r="J780" s="116"/>
      <c r="K780" s="116"/>
      <c r="L780" s="116"/>
      <c r="M780" s="116"/>
      <c r="N780" s="116"/>
      <c r="O780" s="117"/>
    </row>
    <row r="781" spans="10:15" ht="13">
      <c r="J781" s="116"/>
      <c r="K781" s="116"/>
      <c r="L781" s="116"/>
      <c r="M781" s="116"/>
      <c r="N781" s="116"/>
      <c r="O781" s="117"/>
    </row>
    <row r="782" spans="10:15" ht="13">
      <c r="J782" s="116"/>
      <c r="K782" s="116"/>
      <c r="L782" s="116"/>
      <c r="M782" s="116"/>
      <c r="N782" s="116"/>
      <c r="O782" s="117"/>
    </row>
    <row r="783" spans="10:15" ht="13">
      <c r="J783" s="116"/>
      <c r="K783" s="116"/>
      <c r="L783" s="116"/>
      <c r="M783" s="116"/>
      <c r="N783" s="116"/>
      <c r="O783" s="117"/>
    </row>
    <row r="784" spans="10:15" ht="13">
      <c r="J784" s="116"/>
      <c r="K784" s="116"/>
      <c r="L784" s="116"/>
      <c r="M784" s="116"/>
      <c r="N784" s="116"/>
      <c r="O784" s="117"/>
    </row>
    <row r="785" spans="10:15" ht="13">
      <c r="J785" s="116"/>
      <c r="K785" s="116"/>
      <c r="L785" s="116"/>
      <c r="M785" s="116"/>
      <c r="N785" s="116"/>
      <c r="O785" s="117"/>
    </row>
    <row r="786" spans="10:15" ht="13">
      <c r="J786" s="116"/>
      <c r="K786" s="116"/>
      <c r="L786" s="116"/>
      <c r="M786" s="116"/>
      <c r="N786" s="116"/>
      <c r="O786" s="117"/>
    </row>
    <row r="787" spans="10:15" ht="13">
      <c r="J787" s="116"/>
      <c r="K787" s="116"/>
      <c r="L787" s="116"/>
      <c r="M787" s="116"/>
      <c r="N787" s="116"/>
      <c r="O787" s="117"/>
    </row>
    <row r="788" spans="10:15" ht="13">
      <c r="J788" s="116"/>
      <c r="K788" s="116"/>
      <c r="L788" s="116"/>
      <c r="M788" s="116"/>
      <c r="N788" s="116"/>
      <c r="O788" s="117"/>
    </row>
    <row r="789" spans="10:15" ht="13">
      <c r="J789" s="116"/>
      <c r="K789" s="116"/>
      <c r="L789" s="116"/>
      <c r="M789" s="116"/>
      <c r="N789" s="116"/>
      <c r="O789" s="117"/>
    </row>
    <row r="790" spans="10:15" ht="13">
      <c r="J790" s="116"/>
      <c r="K790" s="116"/>
      <c r="L790" s="116"/>
      <c r="M790" s="116"/>
      <c r="N790" s="116"/>
      <c r="O790" s="117"/>
    </row>
    <row r="791" spans="10:15" ht="13">
      <c r="J791" s="116"/>
      <c r="K791" s="116"/>
      <c r="L791" s="116"/>
      <c r="M791" s="116"/>
      <c r="N791" s="116"/>
      <c r="O791" s="117"/>
    </row>
    <row r="792" spans="10:15" ht="13">
      <c r="J792" s="116"/>
      <c r="K792" s="116"/>
      <c r="L792" s="116"/>
      <c r="M792" s="116"/>
      <c r="N792" s="116"/>
      <c r="O792" s="117"/>
    </row>
    <row r="793" spans="10:15" ht="13">
      <c r="J793" s="116"/>
      <c r="K793" s="116"/>
      <c r="L793" s="116"/>
      <c r="M793" s="116"/>
      <c r="N793" s="116"/>
      <c r="O793" s="117"/>
    </row>
    <row r="794" spans="10:15" ht="13">
      <c r="J794" s="116"/>
      <c r="K794" s="116"/>
      <c r="L794" s="116"/>
      <c r="M794" s="116"/>
      <c r="N794" s="116"/>
      <c r="O794" s="117"/>
    </row>
    <row r="795" spans="10:15" ht="13">
      <c r="J795" s="116"/>
      <c r="K795" s="116"/>
      <c r="L795" s="116"/>
      <c r="M795" s="116"/>
      <c r="N795" s="116"/>
      <c r="O795" s="117"/>
    </row>
    <row r="796" spans="10:15" ht="13">
      <c r="J796" s="116"/>
      <c r="K796" s="116"/>
      <c r="L796" s="116"/>
      <c r="M796" s="116"/>
      <c r="N796" s="116"/>
      <c r="O796" s="117"/>
    </row>
    <row r="797" spans="10:15" ht="13">
      <c r="J797" s="116"/>
      <c r="K797" s="116"/>
      <c r="L797" s="116"/>
      <c r="M797" s="116"/>
      <c r="N797" s="116"/>
      <c r="O797" s="117"/>
    </row>
    <row r="798" spans="10:15" ht="13">
      <c r="J798" s="116"/>
      <c r="K798" s="116"/>
      <c r="L798" s="116"/>
      <c r="M798" s="116"/>
      <c r="N798" s="116"/>
      <c r="O798" s="117"/>
    </row>
    <row r="799" spans="10:15" ht="13">
      <c r="J799" s="116"/>
      <c r="K799" s="116"/>
      <c r="L799" s="116"/>
      <c r="M799" s="116"/>
      <c r="N799" s="116"/>
      <c r="O799" s="117"/>
    </row>
    <row r="800" spans="10:15" ht="13">
      <c r="J800" s="116"/>
      <c r="K800" s="116"/>
      <c r="L800" s="116"/>
      <c r="M800" s="116"/>
      <c r="N800" s="116"/>
      <c r="O800" s="117"/>
    </row>
    <row r="801" spans="10:15" ht="13">
      <c r="J801" s="116"/>
      <c r="K801" s="116"/>
      <c r="L801" s="116"/>
      <c r="M801" s="116"/>
      <c r="N801" s="116"/>
      <c r="O801" s="117"/>
    </row>
    <row r="802" spans="10:15" ht="13">
      <c r="J802" s="116"/>
      <c r="K802" s="116"/>
      <c r="L802" s="116"/>
      <c r="M802" s="116"/>
      <c r="N802" s="116"/>
      <c r="O802" s="117"/>
    </row>
    <row r="803" spans="10:15" ht="13">
      <c r="J803" s="116"/>
      <c r="K803" s="116"/>
      <c r="L803" s="116"/>
      <c r="M803" s="116"/>
      <c r="N803" s="116"/>
      <c r="O803" s="117"/>
    </row>
    <row r="804" spans="10:15" ht="13">
      <c r="J804" s="116"/>
      <c r="K804" s="116"/>
      <c r="L804" s="116"/>
      <c r="M804" s="116"/>
      <c r="N804" s="116"/>
      <c r="O804" s="117"/>
    </row>
    <row r="805" spans="10:15" ht="13">
      <c r="J805" s="116"/>
      <c r="K805" s="116"/>
      <c r="L805" s="116"/>
      <c r="M805" s="116"/>
      <c r="N805" s="116"/>
      <c r="O805" s="117"/>
    </row>
    <row r="806" spans="10:15" ht="13">
      <c r="J806" s="116"/>
      <c r="K806" s="116"/>
      <c r="L806" s="116"/>
      <c r="M806" s="116"/>
      <c r="N806" s="116"/>
      <c r="O806" s="117"/>
    </row>
    <row r="807" spans="10:15" ht="13">
      <c r="J807" s="116"/>
      <c r="K807" s="116"/>
      <c r="L807" s="116"/>
      <c r="M807" s="116"/>
      <c r="N807" s="116"/>
      <c r="O807" s="117"/>
    </row>
    <row r="808" spans="10:15" ht="13">
      <c r="J808" s="116"/>
      <c r="K808" s="116"/>
      <c r="L808" s="116"/>
      <c r="M808" s="116"/>
      <c r="N808" s="116"/>
      <c r="O808" s="117"/>
    </row>
    <row r="809" spans="10:15" ht="13">
      <c r="J809" s="116"/>
      <c r="K809" s="116"/>
      <c r="L809" s="116"/>
      <c r="M809" s="116"/>
      <c r="N809" s="116"/>
      <c r="O809" s="117"/>
    </row>
    <row r="810" spans="10:15" ht="13">
      <c r="J810" s="116"/>
      <c r="K810" s="116"/>
      <c r="L810" s="116"/>
      <c r="M810" s="116"/>
      <c r="N810" s="116"/>
      <c r="O810" s="117"/>
    </row>
    <row r="811" spans="10:15" ht="13">
      <c r="J811" s="116"/>
      <c r="K811" s="116"/>
      <c r="L811" s="116"/>
      <c r="M811" s="116"/>
      <c r="N811" s="116"/>
      <c r="O811" s="117"/>
    </row>
    <row r="812" spans="10:15" ht="13">
      <c r="J812" s="116"/>
      <c r="K812" s="116"/>
      <c r="L812" s="116"/>
      <c r="M812" s="116"/>
      <c r="N812" s="116"/>
      <c r="O812" s="117"/>
    </row>
    <row r="813" spans="10:15" ht="13">
      <c r="J813" s="116"/>
      <c r="K813" s="116"/>
      <c r="L813" s="116"/>
      <c r="M813" s="116"/>
      <c r="N813" s="116"/>
      <c r="O813" s="117"/>
    </row>
    <row r="814" spans="10:15" ht="13">
      <c r="J814" s="116"/>
      <c r="K814" s="116"/>
      <c r="L814" s="116"/>
      <c r="M814" s="116"/>
      <c r="N814" s="116"/>
      <c r="O814" s="117"/>
    </row>
    <row r="815" spans="10:15" ht="13">
      <c r="J815" s="116"/>
      <c r="K815" s="116"/>
      <c r="L815" s="116"/>
      <c r="M815" s="116"/>
      <c r="N815" s="116"/>
      <c r="O815" s="117"/>
    </row>
    <row r="816" spans="10:15" ht="13">
      <c r="J816" s="116"/>
      <c r="K816" s="116"/>
      <c r="L816" s="116"/>
      <c r="M816" s="116"/>
      <c r="N816" s="116"/>
      <c r="O816" s="117"/>
    </row>
    <row r="817" spans="10:15" ht="13">
      <c r="J817" s="116"/>
      <c r="K817" s="116"/>
      <c r="L817" s="116"/>
      <c r="M817" s="116"/>
      <c r="N817" s="116"/>
      <c r="O817" s="117"/>
    </row>
    <row r="818" spans="10:15" ht="13">
      <c r="J818" s="116"/>
      <c r="K818" s="116"/>
      <c r="L818" s="116"/>
      <c r="M818" s="116"/>
      <c r="N818" s="116"/>
      <c r="O818" s="117"/>
    </row>
    <row r="819" spans="10:15" ht="13">
      <c r="J819" s="116"/>
      <c r="K819" s="116"/>
      <c r="L819" s="116"/>
      <c r="M819" s="116"/>
      <c r="N819" s="116"/>
      <c r="O819" s="117"/>
    </row>
    <row r="820" spans="10:15" ht="13">
      <c r="J820" s="116"/>
      <c r="K820" s="116"/>
      <c r="L820" s="116"/>
      <c r="M820" s="116"/>
      <c r="N820" s="116"/>
      <c r="O820" s="117"/>
    </row>
    <row r="821" spans="10:15" ht="13">
      <c r="J821" s="116"/>
      <c r="K821" s="116"/>
      <c r="L821" s="116"/>
      <c r="M821" s="116"/>
      <c r="N821" s="116"/>
      <c r="O821" s="117"/>
    </row>
    <row r="822" spans="10:15" ht="13">
      <c r="J822" s="116"/>
      <c r="K822" s="116"/>
      <c r="L822" s="116"/>
      <c r="M822" s="116"/>
      <c r="N822" s="116"/>
      <c r="O822" s="117"/>
    </row>
    <row r="823" spans="10:15" ht="13">
      <c r="J823" s="116"/>
      <c r="K823" s="116"/>
      <c r="L823" s="116"/>
      <c r="M823" s="116"/>
      <c r="N823" s="116"/>
      <c r="O823" s="117"/>
    </row>
    <row r="824" spans="10:15" ht="13">
      <c r="J824" s="116"/>
      <c r="K824" s="116"/>
      <c r="L824" s="116"/>
      <c r="M824" s="116"/>
      <c r="N824" s="116"/>
      <c r="O824" s="117"/>
    </row>
    <row r="825" spans="10:15" ht="13">
      <c r="J825" s="116"/>
      <c r="K825" s="116"/>
      <c r="L825" s="116"/>
      <c r="M825" s="116"/>
      <c r="N825" s="116"/>
      <c r="O825" s="117"/>
    </row>
    <row r="826" spans="10:15" ht="13">
      <c r="J826" s="116"/>
      <c r="K826" s="116"/>
      <c r="L826" s="116"/>
      <c r="M826" s="116"/>
      <c r="N826" s="116"/>
      <c r="O826" s="117"/>
    </row>
    <row r="827" spans="10:15" ht="13">
      <c r="J827" s="116"/>
      <c r="K827" s="116"/>
      <c r="L827" s="116"/>
      <c r="M827" s="116"/>
      <c r="N827" s="116"/>
      <c r="O827" s="117"/>
    </row>
    <row r="828" spans="10:15" ht="13">
      <c r="J828" s="116"/>
      <c r="K828" s="116"/>
      <c r="L828" s="116"/>
      <c r="M828" s="116"/>
      <c r="N828" s="116"/>
      <c r="O828" s="117"/>
    </row>
    <row r="829" spans="10:15" ht="13">
      <c r="J829" s="116"/>
      <c r="K829" s="116"/>
      <c r="L829" s="116"/>
      <c r="M829" s="116"/>
      <c r="N829" s="116"/>
      <c r="O829" s="117"/>
    </row>
    <row r="830" spans="10:15" ht="13">
      <c r="J830" s="116"/>
      <c r="K830" s="116"/>
      <c r="L830" s="116"/>
      <c r="M830" s="116"/>
      <c r="N830" s="116"/>
      <c r="O830" s="117"/>
    </row>
    <row r="831" spans="10:15" ht="13">
      <c r="J831" s="116"/>
      <c r="K831" s="116"/>
      <c r="L831" s="116"/>
      <c r="M831" s="116"/>
      <c r="N831" s="116"/>
      <c r="O831" s="117"/>
    </row>
    <row r="832" spans="10:15" ht="13">
      <c r="J832" s="116"/>
      <c r="K832" s="116"/>
      <c r="L832" s="116"/>
      <c r="M832" s="116"/>
      <c r="N832" s="116"/>
      <c r="O832" s="117"/>
    </row>
    <row r="833" spans="10:15" ht="13">
      <c r="J833" s="116"/>
      <c r="K833" s="116"/>
      <c r="L833" s="116"/>
      <c r="M833" s="116"/>
      <c r="N833" s="116"/>
      <c r="O833" s="117"/>
    </row>
    <row r="834" spans="10:15" ht="13">
      <c r="J834" s="116"/>
      <c r="K834" s="116"/>
      <c r="L834" s="116"/>
      <c r="M834" s="116"/>
      <c r="N834" s="116"/>
      <c r="O834" s="117"/>
    </row>
    <row r="835" spans="10:15" ht="13">
      <c r="J835" s="116"/>
      <c r="K835" s="116"/>
      <c r="L835" s="116"/>
      <c r="M835" s="116"/>
      <c r="N835" s="116"/>
      <c r="O835" s="117"/>
    </row>
    <row r="836" spans="10:15" ht="13">
      <c r="J836" s="116"/>
      <c r="K836" s="116"/>
      <c r="L836" s="116"/>
      <c r="M836" s="116"/>
      <c r="N836" s="116"/>
      <c r="O836" s="117"/>
    </row>
    <row r="837" spans="10:15" ht="13">
      <c r="J837" s="116"/>
      <c r="K837" s="116"/>
      <c r="L837" s="116"/>
      <c r="M837" s="116"/>
      <c r="N837" s="116"/>
      <c r="O837" s="117"/>
    </row>
    <row r="838" spans="10:15" ht="13">
      <c r="J838" s="116"/>
      <c r="K838" s="116"/>
      <c r="L838" s="116"/>
      <c r="M838" s="116"/>
      <c r="N838" s="116"/>
      <c r="O838" s="117"/>
    </row>
    <row r="839" spans="10:15" ht="13">
      <c r="J839" s="116"/>
      <c r="K839" s="116"/>
      <c r="L839" s="116"/>
      <c r="M839" s="116"/>
      <c r="N839" s="116"/>
      <c r="O839" s="117"/>
    </row>
    <row r="840" spans="10:15" ht="13">
      <c r="J840" s="116"/>
      <c r="K840" s="116"/>
      <c r="L840" s="116"/>
      <c r="M840" s="116"/>
      <c r="N840" s="116"/>
      <c r="O840" s="117"/>
    </row>
    <row r="841" spans="10:15" ht="13">
      <c r="J841" s="116"/>
      <c r="K841" s="116"/>
      <c r="L841" s="116"/>
      <c r="M841" s="116"/>
      <c r="N841" s="116"/>
      <c r="O841" s="117"/>
    </row>
    <row r="842" spans="10:15" ht="13">
      <c r="J842" s="116"/>
      <c r="K842" s="116"/>
      <c r="L842" s="116"/>
      <c r="M842" s="116"/>
      <c r="N842" s="116"/>
      <c r="O842" s="117"/>
    </row>
    <row r="843" spans="10:15" ht="13">
      <c r="J843" s="116"/>
      <c r="K843" s="116"/>
      <c r="L843" s="116"/>
      <c r="M843" s="116"/>
      <c r="N843" s="116"/>
      <c r="O843" s="117"/>
    </row>
    <row r="844" spans="10:15" ht="13">
      <c r="J844" s="116"/>
      <c r="K844" s="116"/>
      <c r="L844" s="116"/>
      <c r="M844" s="116"/>
      <c r="N844" s="116"/>
      <c r="O844" s="117"/>
    </row>
    <row r="845" spans="10:15" ht="13">
      <c r="J845" s="116"/>
      <c r="K845" s="116"/>
      <c r="L845" s="116"/>
      <c r="M845" s="116"/>
      <c r="N845" s="116"/>
      <c r="O845" s="117"/>
    </row>
    <row r="846" spans="10:15" ht="13">
      <c r="J846" s="116"/>
      <c r="K846" s="116"/>
      <c r="L846" s="116"/>
      <c r="M846" s="116"/>
      <c r="N846" s="116"/>
      <c r="O846" s="117"/>
    </row>
    <row r="847" spans="10:15" ht="13">
      <c r="J847" s="116"/>
      <c r="K847" s="116"/>
      <c r="L847" s="116"/>
      <c r="M847" s="116"/>
      <c r="N847" s="116"/>
      <c r="O847" s="117"/>
    </row>
    <row r="848" spans="10:15" ht="13">
      <c r="J848" s="116"/>
      <c r="K848" s="116"/>
      <c r="L848" s="116"/>
      <c r="M848" s="116"/>
      <c r="N848" s="116"/>
      <c r="O848" s="117"/>
    </row>
    <row r="849" spans="10:15" ht="13">
      <c r="J849" s="116"/>
      <c r="K849" s="116"/>
      <c r="L849" s="116"/>
      <c r="M849" s="116"/>
      <c r="N849" s="116"/>
      <c r="O849" s="117"/>
    </row>
    <row r="850" spans="10:15" ht="13">
      <c r="J850" s="116"/>
      <c r="K850" s="116"/>
      <c r="L850" s="116"/>
      <c r="M850" s="116"/>
      <c r="N850" s="116"/>
      <c r="O850" s="117"/>
    </row>
    <row r="851" spans="10:15" ht="13">
      <c r="J851" s="116"/>
      <c r="K851" s="116"/>
      <c r="L851" s="116"/>
      <c r="M851" s="116"/>
      <c r="N851" s="116"/>
      <c r="O851" s="117"/>
    </row>
    <row r="852" spans="10:15" ht="13">
      <c r="J852" s="116"/>
      <c r="K852" s="116"/>
      <c r="L852" s="116"/>
      <c r="M852" s="116"/>
      <c r="N852" s="116"/>
      <c r="O852" s="117"/>
    </row>
    <row r="853" spans="10:15" ht="13">
      <c r="J853" s="116"/>
      <c r="K853" s="116"/>
      <c r="L853" s="116"/>
      <c r="M853" s="116"/>
      <c r="N853" s="116"/>
      <c r="O853" s="117"/>
    </row>
    <row r="854" spans="10:15" ht="13">
      <c r="J854" s="116"/>
      <c r="K854" s="116"/>
      <c r="L854" s="116"/>
      <c r="M854" s="116"/>
      <c r="N854" s="116"/>
      <c r="O854" s="117"/>
    </row>
    <row r="855" spans="10:15" ht="13">
      <c r="J855" s="116"/>
      <c r="K855" s="116"/>
      <c r="L855" s="116"/>
      <c r="M855" s="116"/>
      <c r="N855" s="116"/>
      <c r="O855" s="117"/>
    </row>
    <row r="856" spans="10:15" ht="13">
      <c r="J856" s="116"/>
      <c r="K856" s="116"/>
      <c r="L856" s="116"/>
      <c r="M856" s="116"/>
      <c r="N856" s="116"/>
      <c r="O856" s="117"/>
    </row>
    <row r="857" spans="10:15" ht="13">
      <c r="J857" s="116"/>
      <c r="K857" s="116"/>
      <c r="L857" s="116"/>
      <c r="M857" s="116"/>
      <c r="N857" s="116"/>
      <c r="O857" s="117"/>
    </row>
    <row r="858" spans="10:15" ht="13">
      <c r="J858" s="116"/>
      <c r="K858" s="116"/>
      <c r="L858" s="116"/>
      <c r="M858" s="116"/>
      <c r="N858" s="116"/>
      <c r="O858" s="117"/>
    </row>
    <row r="859" spans="10:15" ht="13">
      <c r="J859" s="116"/>
      <c r="K859" s="116"/>
      <c r="L859" s="116"/>
      <c r="M859" s="116"/>
      <c r="N859" s="116"/>
      <c r="O859" s="117"/>
    </row>
    <row r="860" spans="10:15" ht="13">
      <c r="J860" s="116"/>
      <c r="K860" s="116"/>
      <c r="L860" s="116"/>
      <c r="M860" s="116"/>
      <c r="N860" s="116"/>
      <c r="O860" s="117"/>
    </row>
    <row r="861" spans="10:15" ht="13">
      <c r="J861" s="116"/>
      <c r="K861" s="116"/>
      <c r="L861" s="116"/>
      <c r="M861" s="116"/>
      <c r="N861" s="116"/>
      <c r="O861" s="117"/>
    </row>
    <row r="862" spans="10:15" ht="13">
      <c r="J862" s="116"/>
      <c r="K862" s="116"/>
      <c r="L862" s="116"/>
      <c r="M862" s="116"/>
      <c r="N862" s="116"/>
      <c r="O862" s="117"/>
    </row>
    <row r="863" spans="10:15" ht="13">
      <c r="J863" s="116"/>
      <c r="K863" s="116"/>
      <c r="L863" s="116"/>
      <c r="M863" s="116"/>
      <c r="N863" s="116"/>
      <c r="O863" s="117"/>
    </row>
    <row r="864" spans="10:15" ht="13">
      <c r="J864" s="116"/>
      <c r="K864" s="116"/>
      <c r="L864" s="116"/>
      <c r="M864" s="116"/>
      <c r="N864" s="116"/>
      <c r="O864" s="117"/>
    </row>
    <row r="865" spans="10:15" ht="13">
      <c r="J865" s="116"/>
      <c r="K865" s="116"/>
      <c r="L865" s="116"/>
      <c r="M865" s="116"/>
      <c r="N865" s="116"/>
      <c r="O865" s="117"/>
    </row>
    <row r="866" spans="10:15" ht="13">
      <c r="J866" s="116"/>
      <c r="K866" s="116"/>
      <c r="L866" s="116"/>
      <c r="M866" s="116"/>
      <c r="N866" s="116"/>
      <c r="O866" s="117"/>
    </row>
    <row r="867" spans="10:15" ht="13">
      <c r="J867" s="116"/>
      <c r="K867" s="116"/>
      <c r="L867" s="116"/>
      <c r="M867" s="116"/>
      <c r="N867" s="116"/>
      <c r="O867" s="117"/>
    </row>
    <row r="868" spans="10:15" ht="13">
      <c r="J868" s="116"/>
      <c r="K868" s="116"/>
      <c r="L868" s="116"/>
      <c r="M868" s="116"/>
      <c r="N868" s="116"/>
      <c r="O868" s="117"/>
    </row>
    <row r="869" spans="10:15" ht="13">
      <c r="J869" s="116"/>
      <c r="K869" s="116"/>
      <c r="L869" s="116"/>
      <c r="M869" s="116"/>
      <c r="N869" s="116"/>
      <c r="O869" s="117"/>
    </row>
    <row r="870" spans="10:15" ht="13">
      <c r="J870" s="116"/>
      <c r="K870" s="116"/>
      <c r="L870" s="116"/>
      <c r="M870" s="116"/>
      <c r="N870" s="116"/>
      <c r="O870" s="117"/>
    </row>
    <row r="871" spans="10:15" ht="13">
      <c r="J871" s="116"/>
      <c r="K871" s="116"/>
      <c r="L871" s="116"/>
      <c r="M871" s="116"/>
      <c r="N871" s="116"/>
      <c r="O871" s="117"/>
    </row>
    <row r="872" spans="10:15" ht="13">
      <c r="J872" s="116"/>
      <c r="K872" s="116"/>
      <c r="L872" s="116"/>
      <c r="M872" s="116"/>
      <c r="N872" s="116"/>
      <c r="O872" s="117"/>
    </row>
    <row r="873" spans="10:15" ht="13">
      <c r="J873" s="116"/>
      <c r="K873" s="116"/>
      <c r="L873" s="116"/>
      <c r="M873" s="116"/>
      <c r="N873" s="116"/>
      <c r="O873" s="117"/>
    </row>
    <row r="874" spans="10:15" ht="13">
      <c r="J874" s="116"/>
      <c r="K874" s="116"/>
      <c r="L874" s="116"/>
      <c r="M874" s="116"/>
      <c r="N874" s="116"/>
      <c r="O874" s="117"/>
    </row>
    <row r="875" spans="10:15" ht="13">
      <c r="J875" s="116"/>
      <c r="K875" s="116"/>
      <c r="L875" s="116"/>
      <c r="M875" s="116"/>
      <c r="N875" s="116"/>
      <c r="O875" s="117"/>
    </row>
    <row r="876" spans="10:15" ht="13">
      <c r="J876" s="116"/>
      <c r="K876" s="116"/>
      <c r="L876" s="116"/>
      <c r="M876" s="116"/>
      <c r="N876" s="116"/>
      <c r="O876" s="117"/>
    </row>
    <row r="877" spans="10:15" ht="13">
      <c r="J877" s="116"/>
      <c r="K877" s="116"/>
      <c r="L877" s="116"/>
      <c r="M877" s="116"/>
      <c r="N877" s="116"/>
      <c r="O877" s="117"/>
    </row>
    <row r="878" spans="10:15" ht="13">
      <c r="J878" s="116"/>
      <c r="K878" s="116"/>
      <c r="L878" s="116"/>
      <c r="M878" s="116"/>
      <c r="N878" s="116"/>
      <c r="O878" s="117"/>
    </row>
    <row r="879" spans="10:15" ht="13">
      <c r="J879" s="116"/>
      <c r="K879" s="116"/>
      <c r="L879" s="116"/>
      <c r="M879" s="116"/>
      <c r="N879" s="116"/>
      <c r="O879" s="117"/>
    </row>
    <row r="880" spans="10:15" ht="13">
      <c r="J880" s="116"/>
      <c r="K880" s="116"/>
      <c r="L880" s="116"/>
      <c r="M880" s="116"/>
      <c r="N880" s="116"/>
      <c r="O880" s="117"/>
    </row>
    <row r="881" spans="10:15" ht="13">
      <c r="J881" s="116"/>
      <c r="K881" s="116"/>
      <c r="L881" s="116"/>
      <c r="M881" s="116"/>
      <c r="N881" s="116"/>
      <c r="O881" s="117"/>
    </row>
    <row r="882" spans="10:15" ht="13">
      <c r="J882" s="116"/>
      <c r="K882" s="116"/>
      <c r="L882" s="116"/>
      <c r="M882" s="116"/>
      <c r="N882" s="116"/>
      <c r="O882" s="117"/>
    </row>
    <row r="883" spans="10:15" ht="13">
      <c r="J883" s="116"/>
      <c r="K883" s="116"/>
      <c r="L883" s="116"/>
      <c r="M883" s="116"/>
      <c r="N883" s="116"/>
      <c r="O883" s="117"/>
    </row>
    <row r="884" spans="10:15" ht="13">
      <c r="J884" s="116"/>
      <c r="K884" s="116"/>
      <c r="L884" s="116"/>
      <c r="M884" s="116"/>
      <c r="N884" s="116"/>
      <c r="O884" s="117"/>
    </row>
    <row r="885" spans="10:15" ht="13">
      <c r="J885" s="116"/>
      <c r="K885" s="116"/>
      <c r="L885" s="116"/>
      <c r="M885" s="116"/>
      <c r="N885" s="116"/>
      <c r="O885" s="117"/>
    </row>
    <row r="886" spans="10:15" ht="13">
      <c r="J886" s="116"/>
      <c r="K886" s="116"/>
      <c r="L886" s="116"/>
      <c r="M886" s="116"/>
      <c r="N886" s="116"/>
      <c r="O886" s="117"/>
    </row>
    <row r="887" spans="10:15" ht="13">
      <c r="J887" s="116"/>
      <c r="K887" s="116"/>
      <c r="L887" s="116"/>
      <c r="M887" s="116"/>
      <c r="N887" s="116"/>
      <c r="O887" s="117"/>
    </row>
    <row r="888" spans="10:15" ht="13">
      <c r="J888" s="116"/>
      <c r="K888" s="116"/>
      <c r="L888" s="116"/>
      <c r="M888" s="116"/>
      <c r="N888" s="116"/>
      <c r="O888" s="117"/>
    </row>
    <row r="889" spans="10:15" ht="13">
      <c r="J889" s="116"/>
      <c r="K889" s="116"/>
      <c r="L889" s="116"/>
      <c r="M889" s="116"/>
      <c r="N889" s="116"/>
      <c r="O889" s="117"/>
    </row>
    <row r="890" spans="10:15" ht="13">
      <c r="J890" s="116"/>
      <c r="K890" s="116"/>
      <c r="L890" s="116"/>
      <c r="M890" s="116"/>
      <c r="N890" s="116"/>
      <c r="O890" s="117"/>
    </row>
    <row r="891" spans="10:15" ht="13">
      <c r="J891" s="116"/>
      <c r="K891" s="116"/>
      <c r="L891" s="116"/>
      <c r="M891" s="116"/>
      <c r="N891" s="116"/>
      <c r="O891" s="117"/>
    </row>
    <row r="892" spans="10:15" ht="13">
      <c r="J892" s="116"/>
      <c r="K892" s="116"/>
      <c r="L892" s="116"/>
      <c r="M892" s="116"/>
      <c r="N892" s="116"/>
      <c r="O892" s="117"/>
    </row>
    <row r="893" spans="10:15" ht="13">
      <c r="J893" s="116"/>
      <c r="K893" s="116"/>
      <c r="L893" s="116"/>
      <c r="M893" s="116"/>
      <c r="N893" s="116"/>
      <c r="O893" s="117"/>
    </row>
    <row r="894" spans="10:15" ht="13">
      <c r="J894" s="116"/>
      <c r="K894" s="116"/>
      <c r="L894" s="116"/>
      <c r="M894" s="116"/>
      <c r="N894" s="116"/>
      <c r="O894" s="117"/>
    </row>
    <row r="895" spans="10:15" ht="13">
      <c r="J895" s="116"/>
      <c r="K895" s="116"/>
      <c r="L895" s="116"/>
      <c r="M895" s="116"/>
      <c r="N895" s="116"/>
      <c r="O895" s="117"/>
    </row>
    <row r="896" spans="10:15" ht="13">
      <c r="J896" s="116"/>
      <c r="K896" s="116"/>
      <c r="L896" s="116"/>
      <c r="M896" s="116"/>
      <c r="N896" s="116"/>
      <c r="O896" s="117"/>
    </row>
    <row r="897" spans="10:15" ht="13">
      <c r="J897" s="116"/>
      <c r="K897" s="116"/>
      <c r="L897" s="116"/>
      <c r="M897" s="116"/>
      <c r="N897" s="116"/>
      <c r="O897" s="117"/>
    </row>
    <row r="898" spans="10:15" ht="13">
      <c r="J898" s="116"/>
      <c r="K898" s="116"/>
      <c r="L898" s="116"/>
      <c r="M898" s="116"/>
      <c r="N898" s="116"/>
      <c r="O898" s="117"/>
    </row>
    <row r="899" spans="10:15" ht="13">
      <c r="J899" s="116"/>
      <c r="K899" s="116"/>
      <c r="L899" s="116"/>
      <c r="M899" s="116"/>
      <c r="N899" s="116"/>
      <c r="O899" s="117"/>
    </row>
    <row r="900" spans="10:15" ht="13">
      <c r="J900" s="116"/>
      <c r="K900" s="116"/>
      <c r="L900" s="116"/>
      <c r="M900" s="116"/>
      <c r="N900" s="116"/>
      <c r="O900" s="117"/>
    </row>
    <row r="901" spans="10:15" ht="13">
      <c r="J901" s="116"/>
      <c r="K901" s="116"/>
      <c r="L901" s="116"/>
      <c r="M901" s="116"/>
      <c r="N901" s="116"/>
      <c r="O901" s="117"/>
    </row>
    <row r="902" spans="10:15" ht="13">
      <c r="J902" s="116"/>
      <c r="K902" s="116"/>
      <c r="L902" s="116"/>
      <c r="M902" s="116"/>
      <c r="N902" s="116"/>
      <c r="O902" s="117"/>
    </row>
    <row r="903" spans="10:15" ht="13">
      <c r="J903" s="116"/>
      <c r="K903" s="116"/>
      <c r="L903" s="116"/>
      <c r="M903" s="116"/>
      <c r="N903" s="116"/>
      <c r="O903" s="117"/>
    </row>
    <row r="904" spans="10:15" ht="13">
      <c r="J904" s="116"/>
      <c r="K904" s="116"/>
      <c r="L904" s="116"/>
      <c r="M904" s="116"/>
      <c r="N904" s="116"/>
      <c r="O904" s="117"/>
    </row>
    <row r="905" spans="10:15" ht="13">
      <c r="J905" s="116"/>
      <c r="K905" s="116"/>
      <c r="L905" s="116"/>
      <c r="M905" s="116"/>
      <c r="N905" s="116"/>
      <c r="O905" s="117"/>
    </row>
    <row r="906" spans="10:15" ht="13">
      <c r="J906" s="116"/>
      <c r="K906" s="116"/>
      <c r="L906" s="116"/>
      <c r="M906" s="116"/>
      <c r="N906" s="116"/>
      <c r="O906" s="117"/>
    </row>
    <row r="907" spans="10:15" ht="13">
      <c r="J907" s="116"/>
      <c r="K907" s="116"/>
      <c r="L907" s="116"/>
      <c r="M907" s="116"/>
      <c r="N907" s="116"/>
      <c r="O907" s="117"/>
    </row>
    <row r="908" spans="10:15" ht="13">
      <c r="J908" s="116"/>
      <c r="K908" s="116"/>
      <c r="L908" s="116"/>
      <c r="M908" s="116"/>
      <c r="N908" s="116"/>
      <c r="O908" s="117"/>
    </row>
    <row r="909" spans="10:15" ht="13">
      <c r="J909" s="116"/>
      <c r="K909" s="116"/>
      <c r="L909" s="116"/>
      <c r="M909" s="116"/>
      <c r="N909" s="116"/>
      <c r="O909" s="117"/>
    </row>
    <row r="910" spans="10:15" ht="13">
      <c r="J910" s="116"/>
      <c r="K910" s="116"/>
      <c r="L910" s="116"/>
      <c r="M910" s="116"/>
      <c r="N910" s="116"/>
      <c r="O910" s="117"/>
    </row>
    <row r="911" spans="10:15" ht="13">
      <c r="J911" s="116"/>
      <c r="K911" s="116"/>
      <c r="L911" s="116"/>
      <c r="M911" s="116"/>
      <c r="N911" s="116"/>
      <c r="O911" s="117"/>
    </row>
    <row r="912" spans="10:15" ht="13">
      <c r="J912" s="116"/>
      <c r="K912" s="116"/>
      <c r="L912" s="116"/>
      <c r="M912" s="116"/>
      <c r="N912" s="116"/>
      <c r="O912" s="117"/>
    </row>
    <row r="913" spans="10:15" ht="13">
      <c r="J913" s="116"/>
      <c r="K913" s="116"/>
      <c r="L913" s="116"/>
      <c r="M913" s="116"/>
      <c r="N913" s="116"/>
      <c r="O913" s="117"/>
    </row>
    <row r="914" spans="10:15" ht="13">
      <c r="J914" s="116"/>
      <c r="K914" s="116"/>
      <c r="L914" s="116"/>
      <c r="M914" s="116"/>
      <c r="N914" s="116"/>
      <c r="O914" s="117"/>
    </row>
    <row r="915" spans="10:15" ht="13">
      <c r="J915" s="116"/>
      <c r="K915" s="116"/>
      <c r="L915" s="116"/>
      <c r="M915" s="116"/>
      <c r="N915" s="116"/>
      <c r="O915" s="117"/>
    </row>
    <row r="916" spans="10:15" ht="13">
      <c r="J916" s="116"/>
      <c r="K916" s="116"/>
      <c r="L916" s="116"/>
      <c r="M916" s="116"/>
      <c r="N916" s="116"/>
      <c r="O916" s="117"/>
    </row>
    <row r="917" spans="10:15" ht="13">
      <c r="J917" s="116"/>
      <c r="K917" s="116"/>
      <c r="L917" s="116"/>
      <c r="M917" s="116"/>
      <c r="N917" s="116"/>
      <c r="O917" s="117"/>
    </row>
    <row r="918" spans="10:15" ht="13">
      <c r="J918" s="116"/>
      <c r="K918" s="116"/>
      <c r="L918" s="116"/>
      <c r="M918" s="116"/>
      <c r="N918" s="116"/>
      <c r="O918" s="117"/>
    </row>
    <row r="919" spans="10:15" ht="13">
      <c r="J919" s="116"/>
      <c r="K919" s="116"/>
      <c r="L919" s="116"/>
      <c r="M919" s="116"/>
      <c r="N919" s="116"/>
      <c r="O919" s="117"/>
    </row>
    <row r="920" spans="10:15" ht="13">
      <c r="J920" s="116"/>
      <c r="K920" s="116"/>
      <c r="L920" s="116"/>
      <c r="M920" s="116"/>
      <c r="N920" s="116"/>
      <c r="O920" s="117"/>
    </row>
    <row r="921" spans="10:15" ht="13">
      <c r="J921" s="116"/>
      <c r="K921" s="116"/>
      <c r="L921" s="116"/>
      <c r="M921" s="116"/>
      <c r="N921" s="116"/>
      <c r="O921" s="117"/>
    </row>
    <row r="922" spans="10:15" ht="13">
      <c r="J922" s="116"/>
      <c r="K922" s="116"/>
      <c r="L922" s="116"/>
      <c r="M922" s="116"/>
      <c r="N922" s="116"/>
      <c r="O922" s="117"/>
    </row>
    <row r="923" spans="10:15" ht="13">
      <c r="J923" s="116"/>
      <c r="K923" s="116"/>
      <c r="L923" s="116"/>
      <c r="M923" s="116"/>
      <c r="N923" s="116"/>
      <c r="O923" s="117"/>
    </row>
    <row r="924" spans="10:15" ht="13">
      <c r="J924" s="116"/>
      <c r="K924" s="116"/>
      <c r="L924" s="116"/>
      <c r="M924" s="116"/>
      <c r="N924" s="116"/>
      <c r="O924" s="117"/>
    </row>
    <row r="925" spans="10:15" ht="13">
      <c r="J925" s="116"/>
      <c r="K925" s="116"/>
      <c r="L925" s="116"/>
      <c r="M925" s="116"/>
      <c r="N925" s="116"/>
      <c r="O925" s="117"/>
    </row>
    <row r="926" spans="10:15" ht="13">
      <c r="J926" s="116"/>
      <c r="K926" s="116"/>
      <c r="L926" s="116"/>
      <c r="M926" s="116"/>
      <c r="N926" s="116"/>
      <c r="O926" s="117"/>
    </row>
    <row r="927" spans="10:15" ht="13">
      <c r="J927" s="116"/>
      <c r="K927" s="116"/>
      <c r="L927" s="116"/>
      <c r="M927" s="116"/>
      <c r="N927" s="116"/>
      <c r="O927" s="117"/>
    </row>
    <row r="928" spans="10:15" ht="13">
      <c r="J928" s="116"/>
      <c r="K928" s="116"/>
      <c r="L928" s="116"/>
      <c r="M928" s="116"/>
      <c r="N928" s="116"/>
      <c r="O928" s="117"/>
    </row>
    <row r="929" spans="10:15" ht="13">
      <c r="J929" s="116"/>
      <c r="K929" s="116"/>
      <c r="L929" s="116"/>
      <c r="M929" s="116"/>
      <c r="N929" s="116"/>
      <c r="O929" s="117"/>
    </row>
    <row r="930" spans="10:15" ht="13">
      <c r="J930" s="116"/>
      <c r="K930" s="116"/>
      <c r="L930" s="116"/>
      <c r="M930" s="116"/>
      <c r="N930" s="116"/>
      <c r="O930" s="117"/>
    </row>
    <row r="931" spans="10:15" ht="13">
      <c r="J931" s="116"/>
      <c r="K931" s="116"/>
      <c r="L931" s="116"/>
      <c r="M931" s="116"/>
      <c r="N931" s="116"/>
      <c r="O931" s="117"/>
    </row>
    <row r="932" spans="10:15" ht="13">
      <c r="J932" s="116"/>
      <c r="K932" s="116"/>
      <c r="L932" s="116"/>
      <c r="M932" s="116"/>
      <c r="N932" s="116"/>
      <c r="O932" s="117"/>
    </row>
    <row r="933" spans="10:15" ht="13">
      <c r="J933" s="116"/>
      <c r="K933" s="116"/>
      <c r="L933" s="116"/>
      <c r="M933" s="116"/>
      <c r="N933" s="116"/>
      <c r="O933" s="117"/>
    </row>
    <row r="934" spans="10:15" ht="13">
      <c r="J934" s="116"/>
      <c r="K934" s="116"/>
      <c r="L934" s="116"/>
      <c r="M934" s="116"/>
      <c r="N934" s="116"/>
      <c r="O934" s="117"/>
    </row>
    <row r="935" spans="10:15" ht="13">
      <c r="J935" s="116"/>
      <c r="K935" s="116"/>
      <c r="L935" s="116"/>
      <c r="M935" s="116"/>
      <c r="N935" s="116"/>
      <c r="O935" s="117"/>
    </row>
    <row r="936" spans="10:15" ht="13">
      <c r="J936" s="116"/>
      <c r="K936" s="116"/>
      <c r="L936" s="116"/>
      <c r="M936" s="116"/>
      <c r="N936" s="116"/>
      <c r="O936" s="117"/>
    </row>
    <row r="937" spans="10:15" ht="13">
      <c r="J937" s="116"/>
      <c r="K937" s="116"/>
      <c r="L937" s="116"/>
      <c r="M937" s="116"/>
      <c r="N937" s="116"/>
      <c r="O937" s="117"/>
    </row>
    <row r="938" spans="10:15" ht="13">
      <c r="J938" s="116"/>
      <c r="K938" s="116"/>
      <c r="L938" s="116"/>
      <c r="M938" s="116"/>
      <c r="N938" s="116"/>
      <c r="O938" s="117"/>
    </row>
    <row r="939" spans="10:15" ht="13">
      <c r="J939" s="116"/>
      <c r="K939" s="116"/>
      <c r="L939" s="116"/>
      <c r="M939" s="116"/>
      <c r="N939" s="116"/>
      <c r="O939" s="117"/>
    </row>
    <row r="940" spans="10:15" ht="13">
      <c r="J940" s="116"/>
      <c r="K940" s="116"/>
      <c r="L940" s="116"/>
      <c r="M940" s="116"/>
      <c r="N940" s="116"/>
      <c r="O940" s="117"/>
    </row>
    <row r="941" spans="10:15" ht="13">
      <c r="J941" s="116"/>
      <c r="K941" s="116"/>
      <c r="L941" s="116"/>
      <c r="M941" s="116"/>
      <c r="N941" s="116"/>
      <c r="O941" s="117"/>
    </row>
    <row r="942" spans="10:15" ht="13">
      <c r="J942" s="116"/>
      <c r="K942" s="116"/>
      <c r="L942" s="116"/>
      <c r="M942" s="116"/>
      <c r="N942" s="116"/>
      <c r="O942" s="117"/>
    </row>
    <row r="943" spans="10:15" ht="13">
      <c r="J943" s="116"/>
      <c r="K943" s="116"/>
      <c r="L943" s="116"/>
      <c r="M943" s="116"/>
      <c r="N943" s="116"/>
      <c r="O943" s="117"/>
    </row>
    <row r="944" spans="10:15" ht="13">
      <c r="J944" s="116"/>
      <c r="K944" s="116"/>
      <c r="L944" s="116"/>
      <c r="M944" s="116"/>
      <c r="N944" s="116"/>
      <c r="O944" s="117"/>
    </row>
    <row r="945" spans="10:15" ht="13">
      <c r="J945" s="116"/>
      <c r="K945" s="116"/>
      <c r="L945" s="116"/>
      <c r="M945" s="116"/>
      <c r="N945" s="116"/>
      <c r="O945" s="117"/>
    </row>
    <row r="946" spans="10:15" ht="13">
      <c r="J946" s="116"/>
      <c r="K946" s="116"/>
      <c r="L946" s="116"/>
      <c r="M946" s="116"/>
      <c r="N946" s="116"/>
      <c r="O946" s="117"/>
    </row>
    <row r="947" spans="10:15" ht="13">
      <c r="J947" s="116"/>
      <c r="K947" s="116"/>
      <c r="L947" s="116"/>
      <c r="M947" s="116"/>
      <c r="N947" s="116"/>
      <c r="O947" s="117"/>
    </row>
    <row r="948" spans="10:15" ht="13">
      <c r="J948" s="116"/>
      <c r="K948" s="116"/>
      <c r="L948" s="116"/>
      <c r="M948" s="116"/>
      <c r="N948" s="116"/>
      <c r="O948" s="117"/>
    </row>
    <row r="949" spans="10:15" ht="13">
      <c r="J949" s="116"/>
      <c r="K949" s="116"/>
      <c r="L949" s="116"/>
      <c r="M949" s="116"/>
      <c r="N949" s="116"/>
      <c r="O949" s="117"/>
    </row>
    <row r="950" spans="10:15" ht="13">
      <c r="J950" s="116"/>
      <c r="K950" s="116"/>
      <c r="L950" s="116"/>
      <c r="M950" s="116"/>
      <c r="N950" s="116"/>
      <c r="O950" s="117"/>
    </row>
    <row r="951" spans="10:15" ht="13">
      <c r="J951" s="116"/>
      <c r="K951" s="116"/>
      <c r="L951" s="116"/>
      <c r="M951" s="116"/>
      <c r="N951" s="116"/>
      <c r="O951" s="117"/>
    </row>
    <row r="952" spans="10:15" ht="13">
      <c r="J952" s="116"/>
      <c r="K952" s="116"/>
      <c r="L952" s="116"/>
      <c r="M952" s="116"/>
      <c r="N952" s="116"/>
      <c r="O952" s="117"/>
    </row>
    <row r="953" spans="10:15" ht="13">
      <c r="J953" s="116"/>
      <c r="K953" s="116"/>
      <c r="L953" s="116"/>
      <c r="M953" s="116"/>
      <c r="N953" s="116"/>
      <c r="O953" s="117"/>
    </row>
    <row r="954" spans="10:15" ht="13">
      <c r="J954" s="116"/>
      <c r="K954" s="116"/>
      <c r="L954" s="116"/>
      <c r="M954" s="116"/>
      <c r="N954" s="116"/>
      <c r="O954" s="117"/>
    </row>
    <row r="955" spans="10:15" ht="13">
      <c r="J955" s="116"/>
      <c r="K955" s="116"/>
      <c r="L955" s="116"/>
      <c r="M955" s="116"/>
      <c r="N955" s="116"/>
      <c r="O955" s="117"/>
    </row>
    <row r="956" spans="10:15" ht="13">
      <c r="J956" s="116"/>
      <c r="K956" s="116"/>
      <c r="L956" s="116"/>
      <c r="M956" s="116"/>
      <c r="N956" s="116"/>
      <c r="O956" s="117"/>
    </row>
    <row r="957" spans="10:15" ht="13">
      <c r="J957" s="116"/>
      <c r="K957" s="116"/>
      <c r="L957" s="116"/>
      <c r="M957" s="116"/>
      <c r="N957" s="116"/>
      <c r="O957" s="117"/>
    </row>
    <row r="958" spans="10:15" ht="13">
      <c r="J958" s="116"/>
      <c r="K958" s="116"/>
      <c r="L958" s="116"/>
      <c r="M958" s="116"/>
      <c r="N958" s="116"/>
      <c r="O958" s="117"/>
    </row>
    <row r="959" spans="10:15" ht="13">
      <c r="J959" s="116"/>
      <c r="K959" s="116"/>
      <c r="L959" s="116"/>
      <c r="M959" s="116"/>
      <c r="N959" s="116"/>
      <c r="O959" s="117"/>
    </row>
    <row r="960" spans="10:15" ht="13">
      <c r="J960" s="116"/>
      <c r="K960" s="116"/>
      <c r="L960" s="116"/>
      <c r="M960" s="116"/>
      <c r="N960" s="116"/>
      <c r="O960" s="117"/>
    </row>
    <row r="961" spans="10:15" ht="13">
      <c r="J961" s="116"/>
      <c r="K961" s="116"/>
      <c r="L961" s="116"/>
      <c r="M961" s="116"/>
      <c r="N961" s="116"/>
      <c r="O961" s="117"/>
    </row>
    <row r="962" spans="10:15" ht="13">
      <c r="J962" s="116"/>
      <c r="K962" s="116"/>
      <c r="L962" s="116"/>
      <c r="M962" s="116"/>
      <c r="N962" s="116"/>
      <c r="O962" s="117"/>
    </row>
    <row r="963" spans="10:15" ht="13">
      <c r="J963" s="116"/>
      <c r="K963" s="116"/>
      <c r="L963" s="116"/>
      <c r="M963" s="116"/>
      <c r="N963" s="116"/>
      <c r="O963" s="117"/>
    </row>
    <row r="964" spans="10:15" ht="13">
      <c r="J964" s="116"/>
      <c r="K964" s="116"/>
      <c r="L964" s="116"/>
      <c r="M964" s="116"/>
      <c r="N964" s="116"/>
      <c r="O964" s="117"/>
    </row>
    <row r="965" spans="10:15" ht="13">
      <c r="J965" s="116"/>
      <c r="K965" s="116"/>
      <c r="L965" s="116"/>
      <c r="M965" s="116"/>
      <c r="N965" s="116"/>
      <c r="O965" s="117"/>
    </row>
    <row r="966" spans="10:15" ht="13">
      <c r="J966" s="116"/>
      <c r="K966" s="116"/>
      <c r="L966" s="116"/>
      <c r="M966" s="116"/>
      <c r="N966" s="116"/>
      <c r="O966" s="117"/>
    </row>
    <row r="967" spans="10:15" ht="13">
      <c r="J967" s="116"/>
      <c r="K967" s="116"/>
      <c r="L967" s="116"/>
      <c r="M967" s="116"/>
      <c r="N967" s="116"/>
      <c r="O967" s="117"/>
    </row>
    <row r="968" spans="10:15" ht="13">
      <c r="J968" s="116"/>
      <c r="K968" s="116"/>
      <c r="L968" s="116"/>
      <c r="M968" s="116"/>
      <c r="N968" s="116"/>
      <c r="O968" s="117"/>
    </row>
    <row r="969" spans="10:15" ht="13">
      <c r="J969" s="116"/>
      <c r="K969" s="116"/>
      <c r="L969" s="116"/>
      <c r="M969" s="116"/>
      <c r="N969" s="116"/>
      <c r="O969" s="117"/>
    </row>
    <row r="970" spans="10:15" ht="13">
      <c r="J970" s="116"/>
      <c r="K970" s="116"/>
      <c r="L970" s="116"/>
      <c r="M970" s="116"/>
      <c r="N970" s="116"/>
      <c r="O970" s="117"/>
    </row>
    <row r="971" spans="10:15" ht="13">
      <c r="J971" s="116"/>
      <c r="K971" s="116"/>
      <c r="L971" s="116"/>
      <c r="M971" s="116"/>
      <c r="N971" s="116"/>
      <c r="O971" s="117"/>
    </row>
    <row r="972" spans="10:15" ht="13">
      <c r="J972" s="116"/>
      <c r="K972" s="116"/>
      <c r="L972" s="116"/>
      <c r="M972" s="116"/>
      <c r="N972" s="116"/>
      <c r="O972" s="117"/>
    </row>
    <row r="973" spans="10:15" ht="13">
      <c r="J973" s="116"/>
      <c r="K973" s="116"/>
      <c r="L973" s="116"/>
      <c r="M973" s="116"/>
      <c r="N973" s="116"/>
      <c r="O973" s="117"/>
    </row>
    <row r="974" spans="10:15" ht="13">
      <c r="J974" s="116"/>
      <c r="K974" s="116"/>
      <c r="L974" s="116"/>
      <c r="M974" s="116"/>
      <c r="N974" s="116"/>
      <c r="O974" s="117"/>
    </row>
    <row r="975" spans="10:15" ht="13">
      <c r="J975" s="116"/>
      <c r="K975" s="116"/>
      <c r="L975" s="116"/>
      <c r="M975" s="116"/>
      <c r="N975" s="116"/>
      <c r="O975" s="117"/>
    </row>
    <row r="976" spans="10:15" ht="13">
      <c r="J976" s="116"/>
      <c r="K976" s="116"/>
      <c r="L976" s="116"/>
      <c r="M976" s="116"/>
      <c r="N976" s="116"/>
      <c r="O976" s="117"/>
    </row>
    <row r="977" spans="10:15" ht="13">
      <c r="J977" s="116"/>
      <c r="K977" s="116"/>
      <c r="L977" s="116"/>
      <c r="M977" s="116"/>
      <c r="N977" s="116"/>
      <c r="O977" s="117"/>
    </row>
    <row r="978" spans="10:15" ht="13">
      <c r="J978" s="116"/>
      <c r="K978" s="116"/>
      <c r="L978" s="116"/>
      <c r="M978" s="116"/>
      <c r="N978" s="116"/>
      <c r="O978" s="117"/>
    </row>
    <row r="979" spans="10:15" ht="13">
      <c r="J979" s="116"/>
      <c r="K979" s="116"/>
      <c r="L979" s="116"/>
      <c r="M979" s="116"/>
      <c r="N979" s="116"/>
      <c r="O979" s="117"/>
    </row>
    <row r="980" spans="10:15" ht="13">
      <c r="J980" s="116"/>
      <c r="K980" s="116"/>
      <c r="L980" s="116"/>
      <c r="M980" s="116"/>
      <c r="N980" s="116"/>
      <c r="O980" s="117"/>
    </row>
    <row r="981" spans="10:15" ht="13">
      <c r="J981" s="116"/>
      <c r="K981" s="116"/>
      <c r="L981" s="116"/>
      <c r="M981" s="116"/>
      <c r="N981" s="116"/>
      <c r="O981" s="117"/>
    </row>
    <row r="982" spans="10:15" ht="13">
      <c r="J982" s="116"/>
      <c r="K982" s="116"/>
      <c r="L982" s="116"/>
      <c r="M982" s="116"/>
      <c r="N982" s="116"/>
      <c r="O982" s="117"/>
    </row>
    <row r="983" spans="10:15" ht="13">
      <c r="J983" s="116"/>
      <c r="K983" s="116"/>
      <c r="L983" s="116"/>
      <c r="M983" s="116"/>
      <c r="N983" s="116"/>
      <c r="O983" s="117"/>
    </row>
    <row r="984" spans="10:15" ht="13">
      <c r="J984" s="116"/>
      <c r="K984" s="116"/>
      <c r="L984" s="116"/>
      <c r="M984" s="116"/>
      <c r="N984" s="116"/>
      <c r="O984" s="117"/>
    </row>
    <row r="985" spans="10:15" ht="13">
      <c r="J985" s="116"/>
      <c r="K985" s="116"/>
      <c r="L985" s="116"/>
      <c r="M985" s="116"/>
      <c r="N985" s="116"/>
      <c r="O985" s="117"/>
    </row>
    <row r="986" spans="10:15" ht="13">
      <c r="J986" s="116"/>
      <c r="K986" s="116"/>
      <c r="L986" s="116"/>
      <c r="M986" s="116"/>
      <c r="N986" s="116"/>
      <c r="O986" s="117"/>
    </row>
    <row r="987" spans="10:15" ht="13">
      <c r="J987" s="116"/>
      <c r="K987" s="116"/>
      <c r="L987" s="116"/>
      <c r="M987" s="116"/>
      <c r="N987" s="116"/>
      <c r="O987" s="117"/>
    </row>
    <row r="988" spans="10:15" ht="13">
      <c r="J988" s="116"/>
      <c r="K988" s="116"/>
      <c r="L988" s="116"/>
      <c r="M988" s="116"/>
      <c r="N988" s="116"/>
      <c r="O988" s="117"/>
    </row>
    <row r="989" spans="10:15" ht="13">
      <c r="J989" s="116"/>
      <c r="K989" s="116"/>
      <c r="L989" s="116"/>
      <c r="M989" s="116"/>
      <c r="N989" s="116"/>
      <c r="O989" s="117"/>
    </row>
    <row r="990" spans="10:15" ht="13">
      <c r="J990" s="116"/>
      <c r="K990" s="116"/>
      <c r="L990" s="116"/>
      <c r="M990" s="116"/>
      <c r="N990" s="116"/>
      <c r="O990" s="117"/>
    </row>
    <row r="991" spans="10:15" ht="13">
      <c r="J991" s="116"/>
      <c r="K991" s="116"/>
      <c r="L991" s="116"/>
      <c r="M991" s="116"/>
      <c r="N991" s="116"/>
      <c r="O991" s="117"/>
    </row>
    <row r="992" spans="10:15" ht="13">
      <c r="J992" s="116"/>
      <c r="K992" s="116"/>
      <c r="L992" s="116"/>
      <c r="M992" s="116"/>
      <c r="N992" s="116"/>
      <c r="O992" s="117"/>
    </row>
    <row r="993" spans="10:15" ht="13">
      <c r="J993" s="116"/>
      <c r="K993" s="116"/>
      <c r="L993" s="116"/>
      <c r="M993" s="116"/>
      <c r="N993" s="116"/>
      <c r="O993" s="117"/>
    </row>
    <row r="994" spans="10:15" ht="13">
      <c r="J994" s="116"/>
      <c r="K994" s="116"/>
      <c r="L994" s="116"/>
      <c r="M994" s="116"/>
      <c r="N994" s="116"/>
      <c r="O994" s="117"/>
    </row>
    <row r="995" spans="10:15" ht="13">
      <c r="J995" s="116"/>
      <c r="K995" s="116"/>
      <c r="L995" s="116"/>
      <c r="M995" s="116"/>
      <c r="N995" s="116"/>
      <c r="O995" s="117"/>
    </row>
    <row r="996" spans="10:15" ht="13">
      <c r="J996" s="116"/>
      <c r="K996" s="116"/>
      <c r="L996" s="116"/>
      <c r="M996" s="116"/>
      <c r="N996" s="116"/>
      <c r="O996" s="117"/>
    </row>
    <row r="997" spans="10:15" ht="13">
      <c r="J997" s="116"/>
      <c r="K997" s="116"/>
      <c r="L997" s="116"/>
      <c r="M997" s="116"/>
      <c r="N997" s="116"/>
      <c r="O997" s="117"/>
    </row>
    <row r="998" spans="10:15" ht="13">
      <c r="J998" s="116"/>
      <c r="K998" s="116"/>
      <c r="L998" s="116"/>
      <c r="M998" s="116"/>
      <c r="N998" s="116"/>
      <c r="O998" s="117"/>
    </row>
    <row r="999" spans="10:15" ht="13">
      <c r="J999" s="116"/>
      <c r="K999" s="116"/>
      <c r="L999" s="116"/>
      <c r="M999" s="116"/>
      <c r="N999" s="116"/>
      <c r="O999" s="117"/>
    </row>
    <row r="1000" spans="10:15" ht="13">
      <c r="J1000" s="116"/>
      <c r="K1000" s="116"/>
      <c r="L1000" s="116"/>
      <c r="M1000" s="116"/>
      <c r="N1000" s="116"/>
      <c r="O1000" s="117"/>
    </row>
    <row r="1001" spans="10:15" ht="13">
      <c r="J1001" s="116"/>
      <c r="K1001" s="116"/>
      <c r="L1001" s="116"/>
      <c r="M1001" s="116"/>
      <c r="N1001" s="116"/>
      <c r="O1001" s="117"/>
    </row>
    <row r="1002" spans="10:15" ht="13">
      <c r="J1002" s="116"/>
      <c r="K1002" s="116"/>
      <c r="L1002" s="116"/>
      <c r="M1002" s="116"/>
      <c r="N1002" s="116"/>
      <c r="O1002" s="117"/>
    </row>
    <row r="1003" spans="10:15" ht="13">
      <c r="J1003" s="116"/>
      <c r="K1003" s="116"/>
      <c r="L1003" s="116"/>
      <c r="M1003" s="116"/>
      <c r="N1003" s="116"/>
      <c r="O1003" s="117"/>
    </row>
    <row r="1004" spans="10:15" ht="13">
      <c r="J1004" s="116"/>
      <c r="K1004" s="116"/>
      <c r="L1004" s="116"/>
      <c r="M1004" s="116"/>
      <c r="N1004" s="116"/>
      <c r="O1004" s="117"/>
    </row>
    <row r="1005" spans="10:15" ht="13">
      <c r="J1005" s="116"/>
      <c r="K1005" s="116"/>
      <c r="L1005" s="116"/>
      <c r="M1005" s="116"/>
      <c r="N1005" s="116"/>
      <c r="O1005" s="117"/>
    </row>
  </sheetData>
  <hyperlinks>
    <hyperlink ref="A8" r:id="rId1" xr:uid="{00000000-0004-0000-0500-000000000000}"/>
    <hyperlink ref="E8" r:id="rId2" xr:uid="{00000000-0004-0000-0500-000001000000}"/>
    <hyperlink ref="F8" r:id="rId3" xr:uid="{00000000-0004-0000-0500-000002000000}"/>
    <hyperlink ref="G8" r:id="rId4" xr:uid="{00000000-0004-0000-0500-000003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AX43"/>
  <sheetViews>
    <sheetView showGridLines="0" workbookViewId="0"/>
  </sheetViews>
  <sheetFormatPr baseColWidth="10" defaultColWidth="14.5" defaultRowHeight="15.75" customHeight="1" outlineLevelCol="1"/>
  <cols>
    <col min="8" max="8" width="7.1640625" customWidth="1"/>
    <col min="9" max="40" width="7.1640625" customWidth="1" outlineLevel="1"/>
  </cols>
  <sheetData>
    <row r="1" spans="1:50" ht="15.75" customHeight="1">
      <c r="A1" s="43"/>
      <c r="B1" s="496" t="s">
        <v>150</v>
      </c>
      <c r="C1" s="519">
        <v>0</v>
      </c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</row>
    <row r="2" spans="1:50" ht="15.75" customHeight="1"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</row>
    <row r="3" spans="1:50" ht="15.75" customHeight="1">
      <c r="B3" s="491" t="s">
        <v>105</v>
      </c>
      <c r="C3" s="491" t="s">
        <v>103</v>
      </c>
      <c r="D3" s="491" t="s">
        <v>102</v>
      </c>
      <c r="E3" s="491" t="s">
        <v>106</v>
      </c>
      <c r="F3" s="491" t="s">
        <v>108</v>
      </c>
      <c r="G3" s="491" t="s">
        <v>109</v>
      </c>
      <c r="H3" s="491" t="s">
        <v>110</v>
      </c>
      <c r="I3" s="491" t="s">
        <v>111</v>
      </c>
      <c r="J3" s="491" t="s">
        <v>112</v>
      </c>
      <c r="K3" s="491" t="s">
        <v>113</v>
      </c>
      <c r="L3" s="491" t="s">
        <v>114</v>
      </c>
      <c r="M3" s="491" t="s">
        <v>115</v>
      </c>
      <c r="N3" s="491" t="s">
        <v>118</v>
      </c>
      <c r="O3" s="491" t="s">
        <v>119</v>
      </c>
      <c r="P3" s="491" t="s">
        <v>120</v>
      </c>
      <c r="Q3" s="491" t="s">
        <v>121</v>
      </c>
      <c r="R3" s="491" t="s">
        <v>122</v>
      </c>
      <c r="S3" s="491" t="s">
        <v>123</v>
      </c>
      <c r="T3" s="491" t="s">
        <v>124</v>
      </c>
      <c r="U3" s="491" t="s">
        <v>125</v>
      </c>
      <c r="V3" s="491" t="s">
        <v>126</v>
      </c>
      <c r="W3" s="491" t="s">
        <v>127</v>
      </c>
      <c r="X3" s="491" t="s">
        <v>128</v>
      </c>
      <c r="Y3" s="491" t="s">
        <v>129</v>
      </c>
      <c r="Z3" s="491" t="s">
        <v>130</v>
      </c>
      <c r="AA3" s="491" t="s">
        <v>131</v>
      </c>
      <c r="AB3" s="491" t="s">
        <v>132</v>
      </c>
      <c r="AC3" s="491" t="s">
        <v>133</v>
      </c>
      <c r="AD3" s="491" t="s">
        <v>134</v>
      </c>
      <c r="AE3" s="491" t="s">
        <v>135</v>
      </c>
      <c r="AF3" s="491" t="s">
        <v>136</v>
      </c>
      <c r="AG3" s="491" t="s">
        <v>137</v>
      </c>
      <c r="AH3" s="491" t="s">
        <v>138</v>
      </c>
      <c r="AI3" s="491" t="s">
        <v>139</v>
      </c>
      <c r="AJ3" s="491" t="s">
        <v>140</v>
      </c>
      <c r="AK3" s="491" t="s">
        <v>141</v>
      </c>
      <c r="AL3" s="491" t="s">
        <v>142</v>
      </c>
      <c r="AM3" s="491" t="s">
        <v>143</v>
      </c>
      <c r="AN3" s="491" t="s">
        <v>61</v>
      </c>
      <c r="AO3" s="492" t="s">
        <v>144</v>
      </c>
      <c r="AQ3" s="44"/>
      <c r="AR3" s="44"/>
      <c r="AS3" s="44"/>
      <c r="AT3" s="44"/>
      <c r="AU3" s="44"/>
      <c r="AV3" s="44"/>
      <c r="AW3" s="44"/>
      <c r="AX3" s="44"/>
    </row>
    <row r="4" spans="1:50" ht="15.75" customHeight="1">
      <c r="B4" s="515">
        <v>44561000005</v>
      </c>
      <c r="C4" s="493" t="s">
        <v>183</v>
      </c>
      <c r="D4" s="493" t="s">
        <v>80</v>
      </c>
      <c r="E4" s="516">
        <v>44561</v>
      </c>
      <c r="F4" s="493" t="s">
        <v>17</v>
      </c>
      <c r="G4" s="493" t="s">
        <v>64</v>
      </c>
      <c r="H4" s="493" t="s">
        <v>64</v>
      </c>
      <c r="I4" s="493" t="s">
        <v>867</v>
      </c>
      <c r="J4" s="493" t="s">
        <v>867</v>
      </c>
      <c r="K4" s="493" t="s">
        <v>867</v>
      </c>
      <c r="L4" s="493">
        <v>500000</v>
      </c>
      <c r="M4" s="493" t="s">
        <v>867</v>
      </c>
      <c r="N4" s="493" t="s">
        <v>867</v>
      </c>
      <c r="O4" s="493" t="s">
        <v>39</v>
      </c>
      <c r="P4" s="493" t="s">
        <v>867</v>
      </c>
      <c r="Q4" s="493" t="s">
        <v>867</v>
      </c>
      <c r="R4" s="493" t="s">
        <v>867</v>
      </c>
      <c r="S4" s="493" t="s">
        <v>867</v>
      </c>
      <c r="T4" s="493" t="s">
        <v>867</v>
      </c>
      <c r="U4" s="493" t="s">
        <v>867</v>
      </c>
      <c r="V4" s="493" t="s">
        <v>867</v>
      </c>
      <c r="W4" s="493" t="s">
        <v>867</v>
      </c>
      <c r="X4" s="493" t="s">
        <v>867</v>
      </c>
      <c r="Y4" s="493" t="s">
        <v>867</v>
      </c>
      <c r="Z4" s="493" t="s">
        <v>867</v>
      </c>
      <c r="AA4" s="493" t="s">
        <v>867</v>
      </c>
      <c r="AB4" s="493" t="s">
        <v>867</v>
      </c>
      <c r="AC4" s="493" t="s">
        <v>867</v>
      </c>
      <c r="AD4" s="493" t="s">
        <v>867</v>
      </c>
      <c r="AE4" s="493" t="s">
        <v>867</v>
      </c>
      <c r="AF4" s="493" t="s">
        <v>867</v>
      </c>
      <c r="AG4" s="493" t="s">
        <v>867</v>
      </c>
      <c r="AH4" s="493" t="s">
        <v>867</v>
      </c>
      <c r="AI4" s="493" t="s">
        <v>867</v>
      </c>
      <c r="AJ4" s="493" t="s">
        <v>867</v>
      </c>
      <c r="AK4" s="493" t="s">
        <v>867</v>
      </c>
      <c r="AL4" s="493" t="s">
        <v>867</v>
      </c>
      <c r="AM4" s="493" t="s">
        <v>867</v>
      </c>
      <c r="AN4" s="493" t="s">
        <v>867</v>
      </c>
      <c r="AO4" s="494" t="s">
        <v>867</v>
      </c>
    </row>
    <row r="5" spans="1:50" ht="15.75" customHeight="1">
      <c r="B5" s="515">
        <v>44561000006</v>
      </c>
      <c r="C5" s="493" t="s">
        <v>184</v>
      </c>
      <c r="D5" s="493" t="s">
        <v>82</v>
      </c>
      <c r="E5" s="516">
        <v>44561</v>
      </c>
      <c r="F5" s="493" t="s">
        <v>17</v>
      </c>
      <c r="G5" s="493" t="s">
        <v>64</v>
      </c>
      <c r="H5" s="493" t="s">
        <v>64</v>
      </c>
      <c r="I5" s="493" t="s">
        <v>867</v>
      </c>
      <c r="J5" s="493" t="s">
        <v>867</v>
      </c>
      <c r="K5" s="493" t="s">
        <v>867</v>
      </c>
      <c r="L5" s="493">
        <v>500000</v>
      </c>
      <c r="M5" s="493" t="s">
        <v>867</v>
      </c>
      <c r="N5" s="493" t="s">
        <v>867</v>
      </c>
      <c r="O5" s="493" t="s">
        <v>39</v>
      </c>
      <c r="P5" s="493" t="s">
        <v>867</v>
      </c>
      <c r="Q5" s="493" t="s">
        <v>867</v>
      </c>
      <c r="R5" s="493" t="s">
        <v>867</v>
      </c>
      <c r="S5" s="493" t="s">
        <v>867</v>
      </c>
      <c r="T5" s="493" t="s">
        <v>867</v>
      </c>
      <c r="U5" s="493" t="s">
        <v>867</v>
      </c>
      <c r="V5" s="493" t="s">
        <v>867</v>
      </c>
      <c r="W5" s="493" t="s">
        <v>867</v>
      </c>
      <c r="X5" s="493" t="s">
        <v>867</v>
      </c>
      <c r="Y5" s="493" t="s">
        <v>867</v>
      </c>
      <c r="Z5" s="493" t="s">
        <v>867</v>
      </c>
      <c r="AA5" s="493" t="s">
        <v>867</v>
      </c>
      <c r="AB5" s="493" t="s">
        <v>867</v>
      </c>
      <c r="AC5" s="493" t="s">
        <v>867</v>
      </c>
      <c r="AD5" s="493" t="s">
        <v>867</v>
      </c>
      <c r="AE5" s="493" t="s">
        <v>867</v>
      </c>
      <c r="AF5" s="493" t="s">
        <v>867</v>
      </c>
      <c r="AG5" s="493" t="s">
        <v>867</v>
      </c>
      <c r="AH5" s="493" t="s">
        <v>867</v>
      </c>
      <c r="AI5" s="493" t="s">
        <v>867</v>
      </c>
      <c r="AJ5" s="493" t="s">
        <v>867</v>
      </c>
      <c r="AK5" s="493" t="s">
        <v>867</v>
      </c>
      <c r="AL5" s="493" t="s">
        <v>867</v>
      </c>
      <c r="AM5" s="493" t="s">
        <v>867</v>
      </c>
      <c r="AN5" s="493" t="s">
        <v>867</v>
      </c>
      <c r="AO5" s="494" t="s">
        <v>867</v>
      </c>
    </row>
    <row r="6" spans="1:50" ht="15.75" customHeight="1">
      <c r="B6" s="515">
        <v>44561000007</v>
      </c>
      <c r="C6" s="493" t="s">
        <v>185</v>
      </c>
      <c r="D6" s="493" t="s">
        <v>84</v>
      </c>
      <c r="E6" s="516">
        <v>44561</v>
      </c>
      <c r="F6" s="493" t="s">
        <v>17</v>
      </c>
      <c r="G6" s="493" t="s">
        <v>64</v>
      </c>
      <c r="H6" s="493" t="s">
        <v>64</v>
      </c>
      <c r="I6" s="493" t="s">
        <v>867</v>
      </c>
      <c r="J6" s="493" t="s">
        <v>867</v>
      </c>
      <c r="K6" s="493" t="s">
        <v>867</v>
      </c>
      <c r="L6" s="493">
        <v>500000</v>
      </c>
      <c r="M6" s="493" t="s">
        <v>867</v>
      </c>
      <c r="N6" s="493" t="s">
        <v>867</v>
      </c>
      <c r="O6" s="493" t="s">
        <v>39</v>
      </c>
      <c r="P6" s="493" t="s">
        <v>867</v>
      </c>
      <c r="Q6" s="493" t="s">
        <v>867</v>
      </c>
      <c r="R6" s="493" t="s">
        <v>867</v>
      </c>
      <c r="S6" s="493" t="s">
        <v>867</v>
      </c>
      <c r="T6" s="493" t="s">
        <v>867</v>
      </c>
      <c r="U6" s="493" t="s">
        <v>867</v>
      </c>
      <c r="V6" s="493" t="s">
        <v>867</v>
      </c>
      <c r="W6" s="493" t="s">
        <v>867</v>
      </c>
      <c r="X6" s="493" t="s">
        <v>867</v>
      </c>
      <c r="Y6" s="493" t="s">
        <v>867</v>
      </c>
      <c r="Z6" s="493" t="s">
        <v>867</v>
      </c>
      <c r="AA6" s="493" t="s">
        <v>867</v>
      </c>
      <c r="AB6" s="493" t="s">
        <v>867</v>
      </c>
      <c r="AC6" s="493" t="s">
        <v>867</v>
      </c>
      <c r="AD6" s="493" t="s">
        <v>867</v>
      </c>
      <c r="AE6" s="493" t="s">
        <v>867</v>
      </c>
      <c r="AF6" s="493" t="s">
        <v>867</v>
      </c>
      <c r="AG6" s="493" t="s">
        <v>867</v>
      </c>
      <c r="AH6" s="493" t="s">
        <v>867</v>
      </c>
      <c r="AI6" s="493" t="s">
        <v>867</v>
      </c>
      <c r="AJ6" s="493" t="s">
        <v>867</v>
      </c>
      <c r="AK6" s="493" t="s">
        <v>867</v>
      </c>
      <c r="AL6" s="493" t="s">
        <v>867</v>
      </c>
      <c r="AM6" s="493" t="s">
        <v>867</v>
      </c>
      <c r="AN6" s="493" t="s">
        <v>867</v>
      </c>
      <c r="AO6" s="494" t="s">
        <v>867</v>
      </c>
    </row>
    <row r="7" spans="1:50" ht="15.75" customHeight="1">
      <c r="B7" s="515">
        <v>44561000008</v>
      </c>
      <c r="C7" s="493" t="s">
        <v>186</v>
      </c>
      <c r="D7" s="493" t="s">
        <v>86</v>
      </c>
      <c r="E7" s="516">
        <v>44561</v>
      </c>
      <c r="F7" s="493" t="s">
        <v>17</v>
      </c>
      <c r="G7" s="493" t="s">
        <v>64</v>
      </c>
      <c r="H7" s="493" t="s">
        <v>64</v>
      </c>
      <c r="I7" s="493" t="s">
        <v>867</v>
      </c>
      <c r="J7" s="493" t="s">
        <v>867</v>
      </c>
      <c r="K7" s="493" t="s">
        <v>867</v>
      </c>
      <c r="L7" s="493">
        <v>500000</v>
      </c>
      <c r="M7" s="493" t="s">
        <v>867</v>
      </c>
      <c r="N7" s="493" t="s">
        <v>867</v>
      </c>
      <c r="O7" s="493" t="s">
        <v>39</v>
      </c>
      <c r="P7" s="493" t="s">
        <v>867</v>
      </c>
      <c r="Q7" s="493" t="s">
        <v>867</v>
      </c>
      <c r="R7" s="493" t="s">
        <v>867</v>
      </c>
      <c r="S7" s="493" t="s">
        <v>867</v>
      </c>
      <c r="T7" s="493" t="s">
        <v>867</v>
      </c>
      <c r="U7" s="493" t="s">
        <v>867</v>
      </c>
      <c r="V7" s="493" t="s">
        <v>867</v>
      </c>
      <c r="W7" s="493" t="s">
        <v>867</v>
      </c>
      <c r="X7" s="493" t="s">
        <v>867</v>
      </c>
      <c r="Y7" s="493" t="s">
        <v>867</v>
      </c>
      <c r="Z7" s="493" t="s">
        <v>867</v>
      </c>
      <c r="AA7" s="493" t="s">
        <v>867</v>
      </c>
      <c r="AB7" s="493" t="s">
        <v>867</v>
      </c>
      <c r="AC7" s="493" t="s">
        <v>867</v>
      </c>
      <c r="AD7" s="493" t="s">
        <v>867</v>
      </c>
      <c r="AE7" s="493" t="s">
        <v>867</v>
      </c>
      <c r="AF7" s="493" t="s">
        <v>867</v>
      </c>
      <c r="AG7" s="493" t="s">
        <v>867</v>
      </c>
      <c r="AH7" s="493" t="s">
        <v>867</v>
      </c>
      <c r="AI7" s="493" t="s">
        <v>867</v>
      </c>
      <c r="AJ7" s="493" t="s">
        <v>867</v>
      </c>
      <c r="AK7" s="493" t="s">
        <v>867</v>
      </c>
      <c r="AL7" s="493" t="s">
        <v>867</v>
      </c>
      <c r="AM7" s="493" t="s">
        <v>867</v>
      </c>
      <c r="AN7" s="493" t="s">
        <v>867</v>
      </c>
      <c r="AO7" s="494" t="s">
        <v>867</v>
      </c>
    </row>
    <row r="8" spans="1:50" ht="15.75" customHeight="1">
      <c r="B8" s="515">
        <v>44561000009</v>
      </c>
      <c r="C8" s="493" t="s">
        <v>187</v>
      </c>
      <c r="D8" s="493" t="s">
        <v>88</v>
      </c>
      <c r="E8" s="516">
        <v>44561</v>
      </c>
      <c r="F8" s="493" t="s">
        <v>17</v>
      </c>
      <c r="G8" s="493" t="s">
        <v>64</v>
      </c>
      <c r="H8" s="493" t="s">
        <v>64</v>
      </c>
      <c r="I8" s="493" t="s">
        <v>867</v>
      </c>
      <c r="J8" s="493" t="s">
        <v>867</v>
      </c>
      <c r="K8" s="493" t="s">
        <v>867</v>
      </c>
      <c r="L8" s="493">
        <v>500000</v>
      </c>
      <c r="M8" s="493" t="s">
        <v>867</v>
      </c>
      <c r="N8" s="493" t="s">
        <v>867</v>
      </c>
      <c r="O8" s="493" t="s">
        <v>39</v>
      </c>
      <c r="P8" s="493" t="s">
        <v>867</v>
      </c>
      <c r="Q8" s="493" t="s">
        <v>867</v>
      </c>
      <c r="R8" s="493" t="s">
        <v>867</v>
      </c>
      <c r="S8" s="493" t="s">
        <v>867</v>
      </c>
      <c r="T8" s="493" t="s">
        <v>867</v>
      </c>
      <c r="U8" s="493" t="s">
        <v>867</v>
      </c>
      <c r="V8" s="493" t="s">
        <v>867</v>
      </c>
      <c r="W8" s="493" t="s">
        <v>867</v>
      </c>
      <c r="X8" s="493" t="s">
        <v>867</v>
      </c>
      <c r="Y8" s="493" t="s">
        <v>867</v>
      </c>
      <c r="Z8" s="493" t="s">
        <v>867</v>
      </c>
      <c r="AA8" s="493" t="s">
        <v>867</v>
      </c>
      <c r="AB8" s="493" t="s">
        <v>867</v>
      </c>
      <c r="AC8" s="493" t="s">
        <v>867</v>
      </c>
      <c r="AD8" s="493" t="s">
        <v>867</v>
      </c>
      <c r="AE8" s="493" t="s">
        <v>867</v>
      </c>
      <c r="AF8" s="493" t="s">
        <v>867</v>
      </c>
      <c r="AG8" s="493" t="s">
        <v>867</v>
      </c>
      <c r="AH8" s="493" t="s">
        <v>867</v>
      </c>
      <c r="AI8" s="493" t="s">
        <v>867</v>
      </c>
      <c r="AJ8" s="493" t="s">
        <v>867</v>
      </c>
      <c r="AK8" s="493" t="s">
        <v>867</v>
      </c>
      <c r="AL8" s="493" t="s">
        <v>867</v>
      </c>
      <c r="AM8" s="493" t="s">
        <v>867</v>
      </c>
      <c r="AN8" s="493" t="s">
        <v>867</v>
      </c>
      <c r="AO8" s="494" t="s">
        <v>867</v>
      </c>
    </row>
    <row r="9" spans="1:50" ht="15.75" customHeight="1">
      <c r="B9" s="515">
        <v>44561000010</v>
      </c>
      <c r="C9" s="493" t="s">
        <v>188</v>
      </c>
      <c r="D9" s="493" t="s">
        <v>91</v>
      </c>
      <c r="E9" s="516">
        <v>44561</v>
      </c>
      <c r="F9" s="493" t="s">
        <v>17</v>
      </c>
      <c r="G9" s="493" t="s">
        <v>64</v>
      </c>
      <c r="H9" s="493" t="s">
        <v>64</v>
      </c>
      <c r="I9" s="493" t="s">
        <v>867</v>
      </c>
      <c r="J9" s="493" t="s">
        <v>867</v>
      </c>
      <c r="K9" s="493" t="s">
        <v>867</v>
      </c>
      <c r="L9" s="493">
        <v>500000</v>
      </c>
      <c r="M9" s="493" t="s">
        <v>867</v>
      </c>
      <c r="N9" s="493" t="s">
        <v>867</v>
      </c>
      <c r="O9" s="493" t="s">
        <v>39</v>
      </c>
      <c r="P9" s="493" t="s">
        <v>867</v>
      </c>
      <c r="Q9" s="493" t="s">
        <v>867</v>
      </c>
      <c r="R9" s="493" t="s">
        <v>867</v>
      </c>
      <c r="S9" s="493" t="s">
        <v>867</v>
      </c>
      <c r="T9" s="493" t="s">
        <v>867</v>
      </c>
      <c r="U9" s="493" t="s">
        <v>867</v>
      </c>
      <c r="V9" s="493" t="s">
        <v>867</v>
      </c>
      <c r="W9" s="493" t="s">
        <v>867</v>
      </c>
      <c r="X9" s="493" t="s">
        <v>867</v>
      </c>
      <c r="Y9" s="493" t="s">
        <v>867</v>
      </c>
      <c r="Z9" s="493" t="s">
        <v>867</v>
      </c>
      <c r="AA9" s="493" t="s">
        <v>867</v>
      </c>
      <c r="AB9" s="493" t="s">
        <v>867</v>
      </c>
      <c r="AC9" s="493" t="s">
        <v>867</v>
      </c>
      <c r="AD9" s="493" t="s">
        <v>867</v>
      </c>
      <c r="AE9" s="493" t="s">
        <v>867</v>
      </c>
      <c r="AF9" s="493" t="s">
        <v>867</v>
      </c>
      <c r="AG9" s="493" t="s">
        <v>867</v>
      </c>
      <c r="AH9" s="493" t="s">
        <v>867</v>
      </c>
      <c r="AI9" s="493" t="s">
        <v>867</v>
      </c>
      <c r="AJ9" s="493" t="s">
        <v>867</v>
      </c>
      <c r="AK9" s="493" t="s">
        <v>867</v>
      </c>
      <c r="AL9" s="493" t="s">
        <v>867</v>
      </c>
      <c r="AM9" s="493" t="s">
        <v>867</v>
      </c>
      <c r="AN9" s="493" t="s">
        <v>867</v>
      </c>
      <c r="AO9" s="494" t="s">
        <v>867</v>
      </c>
    </row>
    <row r="10" spans="1:50" ht="15.75" customHeight="1">
      <c r="B10" s="515">
        <v>44562000011</v>
      </c>
      <c r="C10" s="493" t="s">
        <v>183</v>
      </c>
      <c r="D10" s="493" t="s">
        <v>80</v>
      </c>
      <c r="E10" s="516">
        <v>44562</v>
      </c>
      <c r="F10" s="493" t="s">
        <v>17</v>
      </c>
      <c r="G10" s="493" t="s">
        <v>42</v>
      </c>
      <c r="H10" s="493" t="s">
        <v>16</v>
      </c>
      <c r="I10" s="493">
        <v>2</v>
      </c>
      <c r="J10" s="493">
        <v>0</v>
      </c>
      <c r="K10" s="493">
        <v>0</v>
      </c>
      <c r="L10" s="493">
        <v>0</v>
      </c>
      <c r="M10" s="493">
        <v>3360</v>
      </c>
      <c r="N10" s="493" t="s">
        <v>867</v>
      </c>
      <c r="O10" s="493" t="s">
        <v>41</v>
      </c>
      <c r="P10" s="493" t="s">
        <v>42</v>
      </c>
      <c r="Q10" s="493">
        <v>2895</v>
      </c>
      <c r="R10" s="493">
        <v>2903.7</v>
      </c>
      <c r="S10" s="493">
        <v>2746.37</v>
      </c>
      <c r="T10" s="493">
        <v>2799.72</v>
      </c>
      <c r="U10" s="493">
        <v>4780085</v>
      </c>
      <c r="V10" s="493" t="s">
        <v>867</v>
      </c>
      <c r="W10" s="493" t="s">
        <v>867</v>
      </c>
      <c r="X10" s="493" t="s">
        <v>867</v>
      </c>
      <c r="Y10" s="493" t="s">
        <v>867</v>
      </c>
      <c r="Z10" s="493" t="s">
        <v>867</v>
      </c>
      <c r="AA10" s="493" t="s">
        <v>867</v>
      </c>
      <c r="AB10" s="493" t="s">
        <v>867</v>
      </c>
      <c r="AC10" s="493" t="s">
        <v>867</v>
      </c>
      <c r="AD10" s="493" t="s">
        <v>867</v>
      </c>
      <c r="AE10" s="493" t="s">
        <v>867</v>
      </c>
      <c r="AF10" s="493" t="s">
        <v>867</v>
      </c>
      <c r="AG10" s="493" t="s">
        <v>867</v>
      </c>
      <c r="AH10" s="493" t="s">
        <v>867</v>
      </c>
      <c r="AI10" s="493" t="s">
        <v>867</v>
      </c>
      <c r="AJ10" s="493" t="s">
        <v>867</v>
      </c>
      <c r="AK10" s="493" t="s">
        <v>867</v>
      </c>
      <c r="AL10" s="493" t="s">
        <v>867</v>
      </c>
      <c r="AM10" s="493" t="s">
        <v>867</v>
      </c>
      <c r="AN10" s="493" t="s">
        <v>867</v>
      </c>
      <c r="AO10" s="494" t="s">
        <v>867</v>
      </c>
    </row>
    <row r="11" spans="1:50" ht="15.75" customHeight="1">
      <c r="B11" s="515">
        <v>44562000029</v>
      </c>
      <c r="C11" s="493" t="s">
        <v>185</v>
      </c>
      <c r="D11" s="493" t="s">
        <v>84</v>
      </c>
      <c r="E11" s="516">
        <v>44562</v>
      </c>
      <c r="F11" s="493" t="s">
        <v>17</v>
      </c>
      <c r="G11" s="493" t="s">
        <v>63</v>
      </c>
      <c r="H11" s="493" t="s">
        <v>61</v>
      </c>
      <c r="I11" s="493">
        <v>0</v>
      </c>
      <c r="J11" s="493">
        <v>0</v>
      </c>
      <c r="K11" s="493">
        <v>0</v>
      </c>
      <c r="L11" s="493">
        <v>10000</v>
      </c>
      <c r="M11" s="493">
        <v>0</v>
      </c>
      <c r="N11" s="493" t="s">
        <v>867</v>
      </c>
      <c r="O11" s="493" t="s">
        <v>39</v>
      </c>
      <c r="P11" s="493" t="s">
        <v>867</v>
      </c>
      <c r="Q11" s="493" t="s">
        <v>867</v>
      </c>
      <c r="R11" s="493" t="s">
        <v>867</v>
      </c>
      <c r="S11" s="493" t="s">
        <v>867</v>
      </c>
      <c r="T11" s="493" t="s">
        <v>867</v>
      </c>
      <c r="U11" s="493" t="s">
        <v>867</v>
      </c>
      <c r="V11" s="493" t="s">
        <v>867</v>
      </c>
      <c r="W11" s="493" t="s">
        <v>867</v>
      </c>
      <c r="X11" s="493" t="s">
        <v>867</v>
      </c>
      <c r="Y11" s="493" t="s">
        <v>867</v>
      </c>
      <c r="Z11" s="493" t="s">
        <v>867</v>
      </c>
      <c r="AA11" s="493" t="s">
        <v>867</v>
      </c>
      <c r="AB11" s="493" t="s">
        <v>867</v>
      </c>
      <c r="AC11" s="493" t="s">
        <v>867</v>
      </c>
      <c r="AD11" s="493" t="s">
        <v>867</v>
      </c>
      <c r="AE11" s="493" t="s">
        <v>867</v>
      </c>
      <c r="AF11" s="493" t="s">
        <v>867</v>
      </c>
      <c r="AG11" s="493" t="s">
        <v>867</v>
      </c>
      <c r="AH11" s="493" t="s">
        <v>867</v>
      </c>
      <c r="AI11" s="493" t="s">
        <v>867</v>
      </c>
      <c r="AJ11" s="493" t="s">
        <v>867</v>
      </c>
      <c r="AK11" s="493" t="s">
        <v>867</v>
      </c>
      <c r="AL11" s="493" t="s">
        <v>867</v>
      </c>
      <c r="AM11" s="493" t="s">
        <v>867</v>
      </c>
      <c r="AN11" s="493" t="s">
        <v>867</v>
      </c>
      <c r="AO11" s="494" t="s">
        <v>867</v>
      </c>
    </row>
    <row r="12" spans="1:50" ht="15.75" customHeight="1">
      <c r="B12" s="515">
        <v>44562000030</v>
      </c>
      <c r="C12" s="493" t="s">
        <v>185</v>
      </c>
      <c r="D12" s="493" t="s">
        <v>84</v>
      </c>
      <c r="E12" s="516">
        <v>44562</v>
      </c>
      <c r="F12" s="493" t="s">
        <v>17</v>
      </c>
      <c r="G12" s="493" t="s">
        <v>7</v>
      </c>
      <c r="H12" s="493" t="s">
        <v>18</v>
      </c>
      <c r="I12" s="493">
        <v>0</v>
      </c>
      <c r="J12" s="493">
        <v>40</v>
      </c>
      <c r="K12" s="493">
        <v>0</v>
      </c>
      <c r="L12" s="493">
        <v>0</v>
      </c>
      <c r="M12" s="493">
        <v>25</v>
      </c>
      <c r="N12" s="493" t="s">
        <v>867</v>
      </c>
      <c r="O12" s="493" t="s">
        <v>41</v>
      </c>
      <c r="P12" s="493" t="s">
        <v>157</v>
      </c>
      <c r="Q12" s="493" t="s">
        <v>157</v>
      </c>
      <c r="R12" s="493" t="s">
        <v>157</v>
      </c>
      <c r="S12" s="493" t="s">
        <v>157</v>
      </c>
      <c r="T12" s="493" t="s">
        <v>157</v>
      </c>
      <c r="U12" s="493" t="s">
        <v>157</v>
      </c>
      <c r="V12" s="493" t="s">
        <v>158</v>
      </c>
      <c r="W12" s="493">
        <v>10.79</v>
      </c>
      <c r="X12" s="493">
        <v>13.21</v>
      </c>
      <c r="Y12" s="493">
        <v>0.115</v>
      </c>
      <c r="Z12" s="502">
        <v>44948</v>
      </c>
      <c r="AA12" s="493" t="s">
        <v>159</v>
      </c>
      <c r="AB12" s="493">
        <v>0.98499999999999999</v>
      </c>
      <c r="AC12" s="493" t="s">
        <v>160</v>
      </c>
      <c r="AD12" s="493" t="s">
        <v>161</v>
      </c>
      <c r="AE12" s="493" t="s">
        <v>867</v>
      </c>
      <c r="AF12" s="493" t="s">
        <v>867</v>
      </c>
      <c r="AG12" s="493" t="s">
        <v>867</v>
      </c>
      <c r="AH12" s="493" t="s">
        <v>867</v>
      </c>
      <c r="AI12" s="493" t="s">
        <v>867</v>
      </c>
      <c r="AJ12" s="493" t="s">
        <v>867</v>
      </c>
      <c r="AK12" s="493" t="s">
        <v>867</v>
      </c>
      <c r="AL12" s="493" t="s">
        <v>867</v>
      </c>
      <c r="AM12" s="493" t="s">
        <v>867</v>
      </c>
      <c r="AN12" s="493" t="s">
        <v>867</v>
      </c>
      <c r="AO12" s="494" t="s">
        <v>867</v>
      </c>
    </row>
    <row r="13" spans="1:50" ht="15.75" customHeight="1">
      <c r="B13" s="515">
        <v>44562000031</v>
      </c>
      <c r="C13" s="493" t="s">
        <v>185</v>
      </c>
      <c r="D13" s="493" t="s">
        <v>84</v>
      </c>
      <c r="E13" s="516">
        <v>44562</v>
      </c>
      <c r="F13" s="493" t="s">
        <v>17</v>
      </c>
      <c r="G13" s="493" t="s">
        <v>63</v>
      </c>
      <c r="H13" s="493" t="s">
        <v>61</v>
      </c>
      <c r="I13" s="493">
        <v>0</v>
      </c>
      <c r="J13" s="493">
        <v>0</v>
      </c>
      <c r="K13" s="493">
        <v>0</v>
      </c>
      <c r="L13" s="493">
        <v>20000</v>
      </c>
      <c r="M13" s="493">
        <v>0</v>
      </c>
      <c r="N13" s="493" t="s">
        <v>867</v>
      </c>
      <c r="O13" s="493" t="s">
        <v>39</v>
      </c>
      <c r="P13" s="493" t="s">
        <v>867</v>
      </c>
      <c r="Q13" s="493" t="s">
        <v>867</v>
      </c>
      <c r="R13" s="493" t="s">
        <v>867</v>
      </c>
      <c r="S13" s="493" t="s">
        <v>867</v>
      </c>
      <c r="T13" s="493" t="s">
        <v>867</v>
      </c>
      <c r="U13" s="493" t="s">
        <v>867</v>
      </c>
      <c r="V13" s="493" t="s">
        <v>867</v>
      </c>
      <c r="W13" s="493" t="s">
        <v>867</v>
      </c>
      <c r="X13" s="493" t="s">
        <v>867</v>
      </c>
      <c r="Y13" s="493" t="s">
        <v>867</v>
      </c>
      <c r="Z13" s="493" t="s">
        <v>867</v>
      </c>
      <c r="AA13" s="493" t="s">
        <v>867</v>
      </c>
      <c r="AB13" s="493" t="s">
        <v>867</v>
      </c>
      <c r="AC13" s="493" t="s">
        <v>867</v>
      </c>
      <c r="AD13" s="493" t="s">
        <v>867</v>
      </c>
      <c r="AE13" s="493" t="s">
        <v>867</v>
      </c>
      <c r="AF13" s="493" t="s">
        <v>867</v>
      </c>
      <c r="AG13" s="493" t="s">
        <v>867</v>
      </c>
      <c r="AH13" s="493" t="s">
        <v>867</v>
      </c>
      <c r="AI13" s="493" t="s">
        <v>867</v>
      </c>
      <c r="AJ13" s="493" t="s">
        <v>867</v>
      </c>
      <c r="AK13" s="493" t="s">
        <v>867</v>
      </c>
      <c r="AL13" s="493" t="s">
        <v>867</v>
      </c>
      <c r="AM13" s="493" t="s">
        <v>867</v>
      </c>
      <c r="AN13" s="493" t="s">
        <v>867</v>
      </c>
      <c r="AO13" s="494" t="s">
        <v>867</v>
      </c>
    </row>
    <row r="14" spans="1:50" ht="15.75" customHeight="1">
      <c r="B14" s="515">
        <v>44562000035</v>
      </c>
      <c r="C14" s="493" t="s">
        <v>185</v>
      </c>
      <c r="D14" s="493" t="s">
        <v>84</v>
      </c>
      <c r="E14" s="516">
        <v>44562</v>
      </c>
      <c r="F14" s="493" t="s">
        <v>17</v>
      </c>
      <c r="G14" s="493" t="s">
        <v>38</v>
      </c>
      <c r="H14" s="493" t="s">
        <v>16</v>
      </c>
      <c r="I14" s="493">
        <v>10</v>
      </c>
      <c r="J14" s="493">
        <v>0</v>
      </c>
      <c r="K14" s="493">
        <v>0</v>
      </c>
      <c r="L14" s="493">
        <v>0</v>
      </c>
      <c r="M14" s="493">
        <v>460</v>
      </c>
      <c r="N14" s="493" t="s">
        <v>867</v>
      </c>
      <c r="O14" s="493" t="s">
        <v>39</v>
      </c>
      <c r="P14" s="493" t="s">
        <v>38</v>
      </c>
      <c r="Q14" s="493">
        <v>465</v>
      </c>
      <c r="R14" s="493">
        <v>467</v>
      </c>
      <c r="S14" s="493">
        <v>457.8</v>
      </c>
      <c r="T14" s="493">
        <v>473.6</v>
      </c>
      <c r="U14" s="493">
        <v>16061367</v>
      </c>
      <c r="V14" s="493" t="s">
        <v>867</v>
      </c>
      <c r="W14" s="493" t="s">
        <v>867</v>
      </c>
      <c r="X14" s="493" t="s">
        <v>867</v>
      </c>
      <c r="Y14" s="493" t="s">
        <v>867</v>
      </c>
      <c r="Z14" s="493" t="s">
        <v>867</v>
      </c>
      <c r="AA14" s="493" t="s">
        <v>867</v>
      </c>
      <c r="AB14" s="493" t="s">
        <v>867</v>
      </c>
      <c r="AC14" s="493" t="s">
        <v>867</v>
      </c>
      <c r="AD14" s="493" t="s">
        <v>867</v>
      </c>
      <c r="AE14" s="493" t="s">
        <v>867</v>
      </c>
      <c r="AF14" s="493" t="s">
        <v>867</v>
      </c>
      <c r="AG14" s="493" t="s">
        <v>867</v>
      </c>
      <c r="AH14" s="493" t="s">
        <v>867</v>
      </c>
      <c r="AI14" s="493" t="s">
        <v>867</v>
      </c>
      <c r="AJ14" s="493" t="s">
        <v>867</v>
      </c>
      <c r="AK14" s="493" t="s">
        <v>867</v>
      </c>
      <c r="AL14" s="493" t="s">
        <v>867</v>
      </c>
      <c r="AM14" s="493" t="s">
        <v>867</v>
      </c>
      <c r="AN14" s="493" t="s">
        <v>867</v>
      </c>
      <c r="AO14" s="494" t="s">
        <v>867</v>
      </c>
    </row>
    <row r="15" spans="1:50" ht="15.75" customHeight="1">
      <c r="B15" s="515">
        <v>44563000012</v>
      </c>
      <c r="C15" s="493" t="s">
        <v>183</v>
      </c>
      <c r="D15" s="493" t="s">
        <v>80</v>
      </c>
      <c r="E15" s="516">
        <v>44563</v>
      </c>
      <c r="F15" s="493" t="s">
        <v>17</v>
      </c>
      <c r="G15" s="493" t="s">
        <v>38</v>
      </c>
      <c r="H15" s="493" t="s">
        <v>16</v>
      </c>
      <c r="I15" s="493">
        <v>10</v>
      </c>
      <c r="J15" s="493">
        <v>0</v>
      </c>
      <c r="K15" s="493">
        <v>0</v>
      </c>
      <c r="L15" s="493">
        <v>0</v>
      </c>
      <c r="M15" s="493">
        <v>460</v>
      </c>
      <c r="N15" s="493" t="s">
        <v>867</v>
      </c>
      <c r="O15" s="493" t="s">
        <v>39</v>
      </c>
      <c r="P15" s="493" t="s">
        <v>38</v>
      </c>
      <c r="Q15" s="493">
        <v>465</v>
      </c>
      <c r="R15" s="493">
        <v>467</v>
      </c>
      <c r="S15" s="493">
        <v>457.8</v>
      </c>
      <c r="T15" s="493">
        <v>473.6</v>
      </c>
      <c r="U15" s="493">
        <v>16061367</v>
      </c>
      <c r="V15" s="493" t="s">
        <v>867</v>
      </c>
      <c r="W15" s="493" t="s">
        <v>867</v>
      </c>
      <c r="X15" s="493" t="s">
        <v>867</v>
      </c>
      <c r="Y15" s="493" t="s">
        <v>867</v>
      </c>
      <c r="Z15" s="493" t="s">
        <v>867</v>
      </c>
      <c r="AA15" s="493" t="s">
        <v>867</v>
      </c>
      <c r="AB15" s="493" t="s">
        <v>867</v>
      </c>
      <c r="AC15" s="493" t="s">
        <v>867</v>
      </c>
      <c r="AD15" s="493" t="s">
        <v>867</v>
      </c>
      <c r="AE15" s="493" t="s">
        <v>867</v>
      </c>
      <c r="AF15" s="493" t="s">
        <v>867</v>
      </c>
      <c r="AG15" s="493" t="s">
        <v>867</v>
      </c>
      <c r="AH15" s="493" t="s">
        <v>867</v>
      </c>
      <c r="AI15" s="493" t="s">
        <v>867</v>
      </c>
      <c r="AJ15" s="493" t="s">
        <v>867</v>
      </c>
      <c r="AK15" s="493" t="s">
        <v>867</v>
      </c>
      <c r="AL15" s="493" t="s">
        <v>867</v>
      </c>
      <c r="AM15" s="493" t="s">
        <v>867</v>
      </c>
      <c r="AN15" s="493" t="s">
        <v>867</v>
      </c>
      <c r="AO15" s="494" t="s">
        <v>867</v>
      </c>
    </row>
    <row r="16" spans="1:50" ht="15.75" customHeight="1">
      <c r="B16" s="515">
        <v>44563000013</v>
      </c>
      <c r="C16" s="493" t="s">
        <v>183</v>
      </c>
      <c r="D16" s="493" t="s">
        <v>80</v>
      </c>
      <c r="E16" s="516">
        <v>44563</v>
      </c>
      <c r="F16" s="493" t="s">
        <v>19</v>
      </c>
      <c r="G16" s="493" t="s">
        <v>40</v>
      </c>
      <c r="H16" s="493" t="s">
        <v>16</v>
      </c>
      <c r="I16" s="493">
        <v>15</v>
      </c>
      <c r="J16" s="493">
        <v>0</v>
      </c>
      <c r="K16" s="493">
        <v>0</v>
      </c>
      <c r="L16" s="493">
        <v>0</v>
      </c>
      <c r="M16" s="493">
        <v>2050</v>
      </c>
      <c r="N16" s="493" t="s">
        <v>867</v>
      </c>
      <c r="O16" s="493" t="s">
        <v>29</v>
      </c>
      <c r="P16" s="493" t="s">
        <v>40</v>
      </c>
      <c r="Q16" s="493">
        <v>2001.01</v>
      </c>
      <c r="R16" s="493">
        <v>2010.82</v>
      </c>
      <c r="S16" s="493">
        <v>1952</v>
      </c>
      <c r="T16" s="493">
        <v>1955</v>
      </c>
      <c r="U16" s="493">
        <v>4266516</v>
      </c>
      <c r="V16" s="493" t="s">
        <v>867</v>
      </c>
      <c r="W16" s="493" t="s">
        <v>867</v>
      </c>
      <c r="X16" s="493" t="s">
        <v>867</v>
      </c>
      <c r="Y16" s="493" t="s">
        <v>867</v>
      </c>
      <c r="Z16" s="493" t="s">
        <v>867</v>
      </c>
      <c r="AA16" s="493" t="s">
        <v>867</v>
      </c>
      <c r="AB16" s="493" t="s">
        <v>867</v>
      </c>
      <c r="AC16" s="493" t="s">
        <v>867</v>
      </c>
      <c r="AD16" s="493" t="s">
        <v>867</v>
      </c>
      <c r="AE16" s="493" t="s">
        <v>867</v>
      </c>
      <c r="AF16" s="493" t="s">
        <v>867</v>
      </c>
      <c r="AG16" s="493" t="s">
        <v>867</v>
      </c>
      <c r="AH16" s="493" t="s">
        <v>867</v>
      </c>
      <c r="AI16" s="493" t="s">
        <v>867</v>
      </c>
      <c r="AJ16" s="493" t="s">
        <v>867</v>
      </c>
      <c r="AK16" s="493" t="s">
        <v>867</v>
      </c>
      <c r="AL16" s="493" t="s">
        <v>867</v>
      </c>
      <c r="AM16" s="493" t="s">
        <v>867</v>
      </c>
      <c r="AN16" s="493" t="s">
        <v>867</v>
      </c>
      <c r="AO16" s="494" t="s">
        <v>867</v>
      </c>
    </row>
    <row r="17" spans="2:41" ht="15.75" customHeight="1">
      <c r="B17" s="515">
        <v>44563000014</v>
      </c>
      <c r="C17" s="493" t="s">
        <v>183</v>
      </c>
      <c r="D17" s="493" t="s">
        <v>80</v>
      </c>
      <c r="E17" s="516">
        <v>44563</v>
      </c>
      <c r="F17" s="493" t="s">
        <v>17</v>
      </c>
      <c r="G17" s="493" t="s">
        <v>36</v>
      </c>
      <c r="H17" s="493" t="s">
        <v>16</v>
      </c>
      <c r="I17" s="493">
        <v>10</v>
      </c>
      <c r="J17" s="493">
        <v>0</v>
      </c>
      <c r="K17" s="493">
        <v>0</v>
      </c>
      <c r="L17" s="493">
        <v>0</v>
      </c>
      <c r="M17" s="493">
        <v>730</v>
      </c>
      <c r="N17" s="493" t="s">
        <v>867</v>
      </c>
      <c r="O17" s="493" t="s">
        <v>37</v>
      </c>
      <c r="P17" s="493" t="s">
        <v>36</v>
      </c>
      <c r="Q17" s="493">
        <v>673.7</v>
      </c>
      <c r="R17" s="493">
        <v>687.9</v>
      </c>
      <c r="S17" s="493">
        <v>671.7</v>
      </c>
      <c r="T17" s="493">
        <v>667</v>
      </c>
      <c r="U17" s="493">
        <v>439855</v>
      </c>
      <c r="V17" s="493" t="s">
        <v>867</v>
      </c>
      <c r="W17" s="493" t="s">
        <v>867</v>
      </c>
      <c r="X17" s="493" t="s">
        <v>867</v>
      </c>
      <c r="Y17" s="493" t="s">
        <v>867</v>
      </c>
      <c r="Z17" s="493" t="s">
        <v>867</v>
      </c>
      <c r="AA17" s="493" t="s">
        <v>867</v>
      </c>
      <c r="AB17" s="493" t="s">
        <v>867</v>
      </c>
      <c r="AC17" s="493" t="s">
        <v>867</v>
      </c>
      <c r="AD17" s="493" t="s">
        <v>867</v>
      </c>
      <c r="AE17" s="493" t="s">
        <v>867</v>
      </c>
      <c r="AF17" s="493" t="s">
        <v>867</v>
      </c>
      <c r="AG17" s="493" t="s">
        <v>867</v>
      </c>
      <c r="AH17" s="493" t="s">
        <v>867</v>
      </c>
      <c r="AI17" s="493" t="s">
        <v>867</v>
      </c>
      <c r="AJ17" s="493" t="s">
        <v>867</v>
      </c>
      <c r="AK17" s="493" t="s">
        <v>867</v>
      </c>
      <c r="AL17" s="493" t="s">
        <v>867</v>
      </c>
      <c r="AM17" s="493" t="s">
        <v>867</v>
      </c>
      <c r="AN17" s="493" t="s">
        <v>867</v>
      </c>
      <c r="AO17" s="494" t="s">
        <v>867</v>
      </c>
    </row>
    <row r="18" spans="2:41" ht="15.75" customHeight="1">
      <c r="B18" s="515">
        <v>44563000025</v>
      </c>
      <c r="C18" s="493" t="s">
        <v>184</v>
      </c>
      <c r="D18" s="493" t="s">
        <v>82</v>
      </c>
      <c r="E18" s="516">
        <v>44563</v>
      </c>
      <c r="F18" s="493" t="s">
        <v>17</v>
      </c>
      <c r="G18" s="493" t="s">
        <v>40</v>
      </c>
      <c r="H18" s="493" t="s">
        <v>16</v>
      </c>
      <c r="I18" s="493">
        <v>20</v>
      </c>
      <c r="J18" s="493">
        <v>0</v>
      </c>
      <c r="K18" s="493">
        <v>0</v>
      </c>
      <c r="L18" s="493">
        <v>0</v>
      </c>
      <c r="M18" s="493">
        <v>2030</v>
      </c>
      <c r="N18" s="493" t="s">
        <v>867</v>
      </c>
      <c r="O18" s="493" t="s">
        <v>29</v>
      </c>
      <c r="P18" s="493" t="s">
        <v>40</v>
      </c>
      <c r="Q18" s="493">
        <v>2001.01</v>
      </c>
      <c r="R18" s="493">
        <v>2010.82</v>
      </c>
      <c r="S18" s="493">
        <v>1952</v>
      </c>
      <c r="T18" s="493">
        <v>1955</v>
      </c>
      <c r="U18" s="493">
        <v>4266516</v>
      </c>
      <c r="V18" s="493" t="s">
        <v>867</v>
      </c>
      <c r="W18" s="493" t="s">
        <v>867</v>
      </c>
      <c r="X18" s="493" t="s">
        <v>867</v>
      </c>
      <c r="Y18" s="493" t="s">
        <v>867</v>
      </c>
      <c r="Z18" s="493" t="s">
        <v>867</v>
      </c>
      <c r="AA18" s="493" t="s">
        <v>867</v>
      </c>
      <c r="AB18" s="493" t="s">
        <v>867</v>
      </c>
      <c r="AC18" s="493" t="s">
        <v>867</v>
      </c>
      <c r="AD18" s="493" t="s">
        <v>867</v>
      </c>
      <c r="AE18" s="493" t="s">
        <v>867</v>
      </c>
      <c r="AF18" s="493" t="s">
        <v>867</v>
      </c>
      <c r="AG18" s="493" t="s">
        <v>867</v>
      </c>
      <c r="AH18" s="493" t="s">
        <v>867</v>
      </c>
      <c r="AI18" s="493" t="s">
        <v>867</v>
      </c>
      <c r="AJ18" s="493" t="s">
        <v>867</v>
      </c>
      <c r="AK18" s="493" t="s">
        <v>867</v>
      </c>
      <c r="AL18" s="493" t="s">
        <v>867</v>
      </c>
      <c r="AM18" s="493" t="s">
        <v>867</v>
      </c>
      <c r="AN18" s="493" t="s">
        <v>867</v>
      </c>
      <c r="AO18" s="494" t="s">
        <v>867</v>
      </c>
    </row>
    <row r="19" spans="2:41" ht="15.75" customHeight="1">
      <c r="B19" s="515">
        <v>44563000026</v>
      </c>
      <c r="C19" s="493" t="s">
        <v>184</v>
      </c>
      <c r="D19" s="493" t="s">
        <v>82</v>
      </c>
      <c r="E19" s="516">
        <v>44563</v>
      </c>
      <c r="F19" s="493" t="s">
        <v>19</v>
      </c>
      <c r="G19" s="493" t="s">
        <v>38</v>
      </c>
      <c r="H19" s="493" t="s">
        <v>16</v>
      </c>
      <c r="I19" s="493">
        <v>5</v>
      </c>
      <c r="J19" s="493">
        <v>0</v>
      </c>
      <c r="K19" s="493">
        <v>0</v>
      </c>
      <c r="L19" s="493">
        <v>0</v>
      </c>
      <c r="M19" s="493">
        <v>460</v>
      </c>
      <c r="N19" s="493" t="s">
        <v>867</v>
      </c>
      <c r="O19" s="493" t="s">
        <v>39</v>
      </c>
      <c r="P19" s="493" t="s">
        <v>38</v>
      </c>
      <c r="Q19" s="493">
        <v>465</v>
      </c>
      <c r="R19" s="493">
        <v>467</v>
      </c>
      <c r="S19" s="493">
        <v>457.8</v>
      </c>
      <c r="T19" s="493">
        <v>473.6</v>
      </c>
      <c r="U19" s="493">
        <v>16061367</v>
      </c>
      <c r="V19" s="493" t="s">
        <v>867</v>
      </c>
      <c r="W19" s="493" t="s">
        <v>867</v>
      </c>
      <c r="X19" s="493" t="s">
        <v>867</v>
      </c>
      <c r="Y19" s="493" t="s">
        <v>867</v>
      </c>
      <c r="Z19" s="493" t="s">
        <v>867</v>
      </c>
      <c r="AA19" s="493" t="s">
        <v>867</v>
      </c>
      <c r="AB19" s="493" t="s">
        <v>867</v>
      </c>
      <c r="AC19" s="493" t="s">
        <v>867</v>
      </c>
      <c r="AD19" s="493" t="s">
        <v>867</v>
      </c>
      <c r="AE19" s="493" t="s">
        <v>867</v>
      </c>
      <c r="AF19" s="493" t="s">
        <v>867</v>
      </c>
      <c r="AG19" s="493" t="s">
        <v>867</v>
      </c>
      <c r="AH19" s="493" t="s">
        <v>867</v>
      </c>
      <c r="AI19" s="493" t="s">
        <v>867</v>
      </c>
      <c r="AJ19" s="493" t="s">
        <v>867</v>
      </c>
      <c r="AK19" s="493" t="s">
        <v>867</v>
      </c>
      <c r="AL19" s="493" t="s">
        <v>867</v>
      </c>
      <c r="AM19" s="493" t="s">
        <v>867</v>
      </c>
      <c r="AN19" s="493" t="s">
        <v>867</v>
      </c>
      <c r="AO19" s="494" t="s">
        <v>867</v>
      </c>
    </row>
    <row r="20" spans="2:41" ht="15.75" customHeight="1">
      <c r="B20" s="515">
        <v>44563000032</v>
      </c>
      <c r="C20" s="493" t="s">
        <v>185</v>
      </c>
      <c r="D20" s="493" t="s">
        <v>84</v>
      </c>
      <c r="E20" s="516">
        <v>44563</v>
      </c>
      <c r="F20" s="493" t="s">
        <v>19</v>
      </c>
      <c r="G20" s="493" t="s">
        <v>63</v>
      </c>
      <c r="H20" s="493" t="s">
        <v>61</v>
      </c>
      <c r="I20" s="493">
        <v>0</v>
      </c>
      <c r="J20" s="493">
        <v>0</v>
      </c>
      <c r="K20" s="493">
        <v>0</v>
      </c>
      <c r="L20" s="493">
        <v>35000</v>
      </c>
      <c r="M20" s="493">
        <v>0</v>
      </c>
      <c r="N20" s="493" t="s">
        <v>867</v>
      </c>
      <c r="O20" s="493" t="s">
        <v>39</v>
      </c>
      <c r="P20" s="493" t="s">
        <v>867</v>
      </c>
      <c r="Q20" s="493" t="s">
        <v>867</v>
      </c>
      <c r="R20" s="493" t="s">
        <v>867</v>
      </c>
      <c r="S20" s="493" t="s">
        <v>867</v>
      </c>
      <c r="T20" s="493" t="s">
        <v>867</v>
      </c>
      <c r="U20" s="493" t="s">
        <v>867</v>
      </c>
      <c r="V20" s="493" t="s">
        <v>867</v>
      </c>
      <c r="W20" s="493" t="s">
        <v>867</v>
      </c>
      <c r="X20" s="493" t="s">
        <v>867</v>
      </c>
      <c r="Y20" s="493" t="s">
        <v>867</v>
      </c>
      <c r="Z20" s="493" t="s">
        <v>867</v>
      </c>
      <c r="AA20" s="493" t="s">
        <v>867</v>
      </c>
      <c r="AB20" s="493" t="s">
        <v>867</v>
      </c>
      <c r="AC20" s="493" t="s">
        <v>867</v>
      </c>
      <c r="AD20" s="493" t="s">
        <v>867</v>
      </c>
      <c r="AE20" s="493" t="s">
        <v>867</v>
      </c>
      <c r="AF20" s="493" t="s">
        <v>867</v>
      </c>
      <c r="AG20" s="493" t="s">
        <v>867</v>
      </c>
      <c r="AH20" s="493" t="s">
        <v>867</v>
      </c>
      <c r="AI20" s="493" t="s">
        <v>867</v>
      </c>
      <c r="AJ20" s="493" t="s">
        <v>867</v>
      </c>
      <c r="AK20" s="493" t="s">
        <v>867</v>
      </c>
      <c r="AL20" s="493" t="s">
        <v>867</v>
      </c>
      <c r="AM20" s="493" t="s">
        <v>867</v>
      </c>
      <c r="AN20" s="493" t="s">
        <v>867</v>
      </c>
      <c r="AO20" s="494" t="s">
        <v>867</v>
      </c>
    </row>
    <row r="21" spans="2:41" ht="15.75" customHeight="1">
      <c r="B21" s="515">
        <v>44563000037</v>
      </c>
      <c r="C21" s="493" t="s">
        <v>186</v>
      </c>
      <c r="D21" s="493" t="s">
        <v>86</v>
      </c>
      <c r="E21" s="516">
        <v>44563</v>
      </c>
      <c r="F21" s="493" t="s">
        <v>17</v>
      </c>
      <c r="G21" s="493" t="s">
        <v>0</v>
      </c>
      <c r="H21" s="493" t="s">
        <v>16</v>
      </c>
      <c r="I21" s="493">
        <v>30</v>
      </c>
      <c r="J21" s="493">
        <v>0</v>
      </c>
      <c r="K21" s="493">
        <v>0</v>
      </c>
      <c r="L21" s="493">
        <v>0</v>
      </c>
      <c r="M21" s="493">
        <v>385</v>
      </c>
      <c r="N21" s="493" t="s">
        <v>867</v>
      </c>
      <c r="O21" s="493" t="s">
        <v>41</v>
      </c>
      <c r="P21" s="493" t="s">
        <v>0</v>
      </c>
      <c r="Q21" s="493">
        <v>346.6</v>
      </c>
      <c r="R21" s="493">
        <v>350.48</v>
      </c>
      <c r="S21" s="493">
        <v>338.41</v>
      </c>
      <c r="T21" s="493">
        <v>341.55</v>
      </c>
      <c r="U21" s="493">
        <v>3705887</v>
      </c>
      <c r="V21" s="493" t="s">
        <v>867</v>
      </c>
      <c r="W21" s="493" t="s">
        <v>867</v>
      </c>
      <c r="X21" s="493" t="s">
        <v>867</v>
      </c>
      <c r="Y21" s="493" t="s">
        <v>867</v>
      </c>
      <c r="Z21" s="493" t="s">
        <v>867</v>
      </c>
      <c r="AA21" s="493" t="s">
        <v>867</v>
      </c>
      <c r="AB21" s="493" t="s">
        <v>867</v>
      </c>
      <c r="AC21" s="493" t="s">
        <v>867</v>
      </c>
      <c r="AD21" s="493" t="s">
        <v>867</v>
      </c>
      <c r="AE21" s="493" t="s">
        <v>867</v>
      </c>
      <c r="AF21" s="493" t="s">
        <v>867</v>
      </c>
      <c r="AG21" s="493" t="s">
        <v>867</v>
      </c>
      <c r="AH21" s="493" t="s">
        <v>867</v>
      </c>
      <c r="AI21" s="493" t="s">
        <v>867</v>
      </c>
      <c r="AJ21" s="493" t="s">
        <v>867</v>
      </c>
      <c r="AK21" s="493" t="s">
        <v>867</v>
      </c>
      <c r="AL21" s="493" t="s">
        <v>867</v>
      </c>
      <c r="AM21" s="493" t="s">
        <v>867</v>
      </c>
      <c r="AN21" s="493" t="s">
        <v>867</v>
      </c>
      <c r="AO21" s="494" t="s">
        <v>867</v>
      </c>
    </row>
    <row r="22" spans="2:41" ht="15.75" customHeight="1">
      <c r="B22" s="515">
        <v>44563000038</v>
      </c>
      <c r="C22" s="493" t="s">
        <v>186</v>
      </c>
      <c r="D22" s="493" t="s">
        <v>86</v>
      </c>
      <c r="E22" s="516">
        <v>44563</v>
      </c>
      <c r="F22" s="493" t="s">
        <v>17</v>
      </c>
      <c r="G22" s="493" t="s">
        <v>38</v>
      </c>
      <c r="H22" s="493" t="s">
        <v>16</v>
      </c>
      <c r="I22" s="493">
        <v>30</v>
      </c>
      <c r="J22" s="493">
        <v>0</v>
      </c>
      <c r="K22" s="493">
        <v>0</v>
      </c>
      <c r="L22" s="493">
        <v>0</v>
      </c>
      <c r="M22" s="493">
        <v>460</v>
      </c>
      <c r="N22" s="493" t="s">
        <v>867</v>
      </c>
      <c r="O22" s="493" t="s">
        <v>39</v>
      </c>
      <c r="P22" s="493" t="s">
        <v>38</v>
      </c>
      <c r="Q22" s="493">
        <v>465</v>
      </c>
      <c r="R22" s="493">
        <v>467</v>
      </c>
      <c r="S22" s="493">
        <v>457.8</v>
      </c>
      <c r="T22" s="493">
        <v>473.6</v>
      </c>
      <c r="U22" s="493">
        <v>16061367</v>
      </c>
      <c r="V22" s="493" t="s">
        <v>867</v>
      </c>
      <c r="W22" s="493" t="s">
        <v>867</v>
      </c>
      <c r="X22" s="493" t="s">
        <v>867</v>
      </c>
      <c r="Y22" s="493" t="s">
        <v>867</v>
      </c>
      <c r="Z22" s="493" t="s">
        <v>867</v>
      </c>
      <c r="AA22" s="493" t="s">
        <v>867</v>
      </c>
      <c r="AB22" s="493" t="s">
        <v>867</v>
      </c>
      <c r="AC22" s="493" t="s">
        <v>867</v>
      </c>
      <c r="AD22" s="493" t="s">
        <v>867</v>
      </c>
      <c r="AE22" s="493" t="s">
        <v>867</v>
      </c>
      <c r="AF22" s="493" t="s">
        <v>867</v>
      </c>
      <c r="AG22" s="493" t="s">
        <v>867</v>
      </c>
      <c r="AH22" s="493" t="s">
        <v>867</v>
      </c>
      <c r="AI22" s="493" t="s">
        <v>867</v>
      </c>
      <c r="AJ22" s="493" t="s">
        <v>867</v>
      </c>
      <c r="AK22" s="493" t="s">
        <v>867</v>
      </c>
      <c r="AL22" s="493" t="s">
        <v>867</v>
      </c>
      <c r="AM22" s="493" t="s">
        <v>867</v>
      </c>
      <c r="AN22" s="493" t="s">
        <v>867</v>
      </c>
      <c r="AO22" s="494" t="s">
        <v>867</v>
      </c>
    </row>
    <row r="23" spans="2:41" ht="15.75" customHeight="1">
      <c r="B23" s="515">
        <v>44563000039</v>
      </c>
      <c r="C23" s="493" t="s">
        <v>186</v>
      </c>
      <c r="D23" s="493" t="s">
        <v>86</v>
      </c>
      <c r="E23" s="516">
        <v>44563</v>
      </c>
      <c r="F23" s="493" t="s">
        <v>19</v>
      </c>
      <c r="G23" s="493" t="s">
        <v>38</v>
      </c>
      <c r="H23" s="493" t="s">
        <v>16</v>
      </c>
      <c r="I23" s="493">
        <v>20</v>
      </c>
      <c r="J23" s="493">
        <v>0</v>
      </c>
      <c r="K23" s="493">
        <v>0</v>
      </c>
      <c r="L23" s="493">
        <v>0</v>
      </c>
      <c r="M23" s="493">
        <v>460</v>
      </c>
      <c r="N23" s="493" t="s">
        <v>867</v>
      </c>
      <c r="O23" s="493" t="s">
        <v>39</v>
      </c>
      <c r="P23" s="493" t="s">
        <v>38</v>
      </c>
      <c r="Q23" s="493">
        <v>465</v>
      </c>
      <c r="R23" s="493">
        <v>467</v>
      </c>
      <c r="S23" s="493">
        <v>457.8</v>
      </c>
      <c r="T23" s="493">
        <v>473.6</v>
      </c>
      <c r="U23" s="493">
        <v>16061367</v>
      </c>
      <c r="V23" s="493" t="s">
        <v>867</v>
      </c>
      <c r="W23" s="493" t="s">
        <v>867</v>
      </c>
      <c r="X23" s="493" t="s">
        <v>867</v>
      </c>
      <c r="Y23" s="493" t="s">
        <v>867</v>
      </c>
      <c r="Z23" s="493" t="s">
        <v>867</v>
      </c>
      <c r="AA23" s="493" t="s">
        <v>867</v>
      </c>
      <c r="AB23" s="493" t="s">
        <v>867</v>
      </c>
      <c r="AC23" s="493" t="s">
        <v>867</v>
      </c>
      <c r="AD23" s="493" t="s">
        <v>867</v>
      </c>
      <c r="AE23" s="493" t="s">
        <v>867</v>
      </c>
      <c r="AF23" s="493" t="s">
        <v>867</v>
      </c>
      <c r="AG23" s="493" t="s">
        <v>867</v>
      </c>
      <c r="AH23" s="493" t="s">
        <v>867</v>
      </c>
      <c r="AI23" s="493" t="s">
        <v>867</v>
      </c>
      <c r="AJ23" s="493" t="s">
        <v>867</v>
      </c>
      <c r="AK23" s="493" t="s">
        <v>867</v>
      </c>
      <c r="AL23" s="493" t="s">
        <v>867</v>
      </c>
      <c r="AM23" s="493" t="s">
        <v>867</v>
      </c>
      <c r="AN23" s="493" t="s">
        <v>867</v>
      </c>
      <c r="AO23" s="494" t="s">
        <v>867</v>
      </c>
    </row>
    <row r="24" spans="2:41" ht="15.75" customHeight="1">
      <c r="B24" s="515">
        <v>44564000027</v>
      </c>
      <c r="C24" s="493" t="s">
        <v>184</v>
      </c>
      <c r="D24" s="493" t="s">
        <v>82</v>
      </c>
      <c r="E24" s="516">
        <v>44564</v>
      </c>
      <c r="F24" s="493" t="s">
        <v>19</v>
      </c>
      <c r="G24" s="493" t="s">
        <v>40</v>
      </c>
      <c r="H24" s="493" t="s">
        <v>16</v>
      </c>
      <c r="I24" s="493">
        <v>10</v>
      </c>
      <c r="J24" s="493">
        <v>0</v>
      </c>
      <c r="K24" s="493">
        <v>0</v>
      </c>
      <c r="L24" s="493">
        <v>0</v>
      </c>
      <c r="M24" s="493">
        <v>2050</v>
      </c>
      <c r="N24" s="493" t="s">
        <v>867</v>
      </c>
      <c r="O24" s="493" t="s">
        <v>29</v>
      </c>
      <c r="P24" s="493" t="s">
        <v>40</v>
      </c>
      <c r="Q24" s="493">
        <v>2001.01</v>
      </c>
      <c r="R24" s="493">
        <v>2010.82</v>
      </c>
      <c r="S24" s="493">
        <v>1952</v>
      </c>
      <c r="T24" s="493">
        <v>1955</v>
      </c>
      <c r="U24" s="493">
        <v>4266516</v>
      </c>
      <c r="V24" s="493" t="s">
        <v>867</v>
      </c>
      <c r="W24" s="493" t="s">
        <v>867</v>
      </c>
      <c r="X24" s="493" t="s">
        <v>867</v>
      </c>
      <c r="Y24" s="493" t="s">
        <v>867</v>
      </c>
      <c r="Z24" s="493" t="s">
        <v>867</v>
      </c>
      <c r="AA24" s="493" t="s">
        <v>867</v>
      </c>
      <c r="AB24" s="493" t="s">
        <v>867</v>
      </c>
      <c r="AC24" s="493" t="s">
        <v>867</v>
      </c>
      <c r="AD24" s="493" t="s">
        <v>867</v>
      </c>
      <c r="AE24" s="493" t="s">
        <v>867</v>
      </c>
      <c r="AF24" s="493" t="s">
        <v>867</v>
      </c>
      <c r="AG24" s="493" t="s">
        <v>867</v>
      </c>
      <c r="AH24" s="493" t="s">
        <v>867</v>
      </c>
      <c r="AI24" s="493" t="s">
        <v>867</v>
      </c>
      <c r="AJ24" s="493" t="s">
        <v>867</v>
      </c>
      <c r="AK24" s="493" t="s">
        <v>867</v>
      </c>
      <c r="AL24" s="493" t="s">
        <v>867</v>
      </c>
      <c r="AM24" s="493" t="s">
        <v>867</v>
      </c>
      <c r="AN24" s="493" t="s">
        <v>867</v>
      </c>
      <c r="AO24" s="494" t="s">
        <v>867</v>
      </c>
    </row>
    <row r="25" spans="2:41" ht="15.75" customHeight="1">
      <c r="B25" s="515">
        <v>44564000028</v>
      </c>
      <c r="C25" s="493" t="s">
        <v>184</v>
      </c>
      <c r="D25" s="493" t="s">
        <v>82</v>
      </c>
      <c r="E25" s="516">
        <v>44564</v>
      </c>
      <c r="F25" s="493" t="s">
        <v>17</v>
      </c>
      <c r="G25" s="493" t="s">
        <v>38</v>
      </c>
      <c r="H25" s="493" t="s">
        <v>16</v>
      </c>
      <c r="I25" s="493">
        <v>15</v>
      </c>
      <c r="J25" s="493">
        <v>0</v>
      </c>
      <c r="K25" s="493">
        <v>0</v>
      </c>
      <c r="L25" s="493">
        <v>0</v>
      </c>
      <c r="M25" s="493">
        <v>460</v>
      </c>
      <c r="N25" s="493" t="s">
        <v>867</v>
      </c>
      <c r="O25" s="493" t="s">
        <v>39</v>
      </c>
      <c r="P25" s="493" t="s">
        <v>38</v>
      </c>
      <c r="Q25" s="493">
        <v>465</v>
      </c>
      <c r="R25" s="493">
        <v>467</v>
      </c>
      <c r="S25" s="493">
        <v>457.8</v>
      </c>
      <c r="T25" s="493">
        <v>473.6</v>
      </c>
      <c r="U25" s="493">
        <v>16061367</v>
      </c>
      <c r="V25" s="493" t="s">
        <v>867</v>
      </c>
      <c r="W25" s="493" t="s">
        <v>867</v>
      </c>
      <c r="X25" s="493" t="s">
        <v>867</v>
      </c>
      <c r="Y25" s="493" t="s">
        <v>867</v>
      </c>
      <c r="Z25" s="493" t="s">
        <v>867</v>
      </c>
      <c r="AA25" s="493" t="s">
        <v>867</v>
      </c>
      <c r="AB25" s="493" t="s">
        <v>867</v>
      </c>
      <c r="AC25" s="493" t="s">
        <v>867</v>
      </c>
      <c r="AD25" s="493" t="s">
        <v>867</v>
      </c>
      <c r="AE25" s="493" t="s">
        <v>867</v>
      </c>
      <c r="AF25" s="493" t="s">
        <v>867</v>
      </c>
      <c r="AG25" s="493" t="s">
        <v>867</v>
      </c>
      <c r="AH25" s="493" t="s">
        <v>867</v>
      </c>
      <c r="AI25" s="493" t="s">
        <v>867</v>
      </c>
      <c r="AJ25" s="493" t="s">
        <v>867</v>
      </c>
      <c r="AK25" s="493" t="s">
        <v>867</v>
      </c>
      <c r="AL25" s="493" t="s">
        <v>867</v>
      </c>
      <c r="AM25" s="493" t="s">
        <v>867</v>
      </c>
      <c r="AN25" s="493" t="s">
        <v>867</v>
      </c>
      <c r="AO25" s="494" t="s">
        <v>867</v>
      </c>
    </row>
    <row r="26" spans="2:41" ht="15.75" customHeight="1">
      <c r="B26" s="515">
        <v>44564000045</v>
      </c>
      <c r="C26" s="493" t="s">
        <v>186</v>
      </c>
      <c r="D26" s="493" t="s">
        <v>86</v>
      </c>
      <c r="E26" s="516">
        <v>44564</v>
      </c>
      <c r="F26" s="493" t="s">
        <v>17</v>
      </c>
      <c r="G26" s="493" t="s">
        <v>7</v>
      </c>
      <c r="H26" s="493" t="s">
        <v>18</v>
      </c>
      <c r="I26" s="493">
        <v>0</v>
      </c>
      <c r="J26" s="493">
        <v>30</v>
      </c>
      <c r="K26" s="493">
        <v>0</v>
      </c>
      <c r="L26" s="493">
        <v>0</v>
      </c>
      <c r="M26" s="493">
        <v>23</v>
      </c>
      <c r="N26" s="493" t="s">
        <v>867</v>
      </c>
      <c r="O26" s="493" t="s">
        <v>41</v>
      </c>
      <c r="P26" s="493" t="s">
        <v>157</v>
      </c>
      <c r="Q26" s="493" t="s">
        <v>157</v>
      </c>
      <c r="R26" s="493" t="s">
        <v>157</v>
      </c>
      <c r="S26" s="493" t="s">
        <v>157</v>
      </c>
      <c r="T26" s="493" t="s">
        <v>157</v>
      </c>
      <c r="U26" s="493" t="s">
        <v>157</v>
      </c>
      <c r="V26" s="493" t="s">
        <v>158</v>
      </c>
      <c r="W26" s="493">
        <v>10.79</v>
      </c>
      <c r="X26" s="493">
        <v>13.21</v>
      </c>
      <c r="Y26" s="493">
        <v>0.115</v>
      </c>
      <c r="Z26" s="502">
        <v>44948</v>
      </c>
      <c r="AA26" s="493" t="s">
        <v>159</v>
      </c>
      <c r="AB26" s="493">
        <v>0.98499999999999999</v>
      </c>
      <c r="AC26" s="493" t="s">
        <v>160</v>
      </c>
      <c r="AD26" s="493" t="s">
        <v>161</v>
      </c>
      <c r="AE26" s="493" t="s">
        <v>867</v>
      </c>
      <c r="AF26" s="493" t="s">
        <v>867</v>
      </c>
      <c r="AG26" s="493" t="s">
        <v>867</v>
      </c>
      <c r="AH26" s="493" t="s">
        <v>867</v>
      </c>
      <c r="AI26" s="493" t="s">
        <v>867</v>
      </c>
      <c r="AJ26" s="493" t="s">
        <v>867</v>
      </c>
      <c r="AK26" s="493" t="s">
        <v>867</v>
      </c>
      <c r="AL26" s="493" t="s">
        <v>867</v>
      </c>
      <c r="AM26" s="493" t="s">
        <v>867</v>
      </c>
      <c r="AN26" s="493" t="s">
        <v>867</v>
      </c>
      <c r="AO26" s="494" t="s">
        <v>867</v>
      </c>
    </row>
    <row r="27" spans="2:41" ht="15.75" customHeight="1">
      <c r="B27" s="515">
        <v>44565000016</v>
      </c>
      <c r="C27" s="493" t="s">
        <v>183</v>
      </c>
      <c r="D27" s="493" t="s">
        <v>80</v>
      </c>
      <c r="E27" s="516">
        <v>44565</v>
      </c>
      <c r="F27" s="493" t="s">
        <v>19</v>
      </c>
      <c r="G27" s="493" t="s">
        <v>36</v>
      </c>
      <c r="H27" s="493" t="s">
        <v>16</v>
      </c>
      <c r="I27" s="493">
        <v>5</v>
      </c>
      <c r="J27" s="493">
        <v>0</v>
      </c>
      <c r="K27" s="493">
        <v>0</v>
      </c>
      <c r="L27" s="493">
        <v>0</v>
      </c>
      <c r="M27" s="493">
        <v>740</v>
      </c>
      <c r="N27" s="493" t="s">
        <v>867</v>
      </c>
      <c r="O27" s="493" t="s">
        <v>37</v>
      </c>
      <c r="P27" s="493" t="s">
        <v>36</v>
      </c>
      <c r="Q27" s="493">
        <v>673.7</v>
      </c>
      <c r="R27" s="493">
        <v>687.9</v>
      </c>
      <c r="S27" s="493">
        <v>671.7</v>
      </c>
      <c r="T27" s="493">
        <v>667</v>
      </c>
      <c r="U27" s="493">
        <v>439855</v>
      </c>
      <c r="V27" s="493" t="s">
        <v>867</v>
      </c>
      <c r="W27" s="493" t="s">
        <v>867</v>
      </c>
      <c r="X27" s="493" t="s">
        <v>867</v>
      </c>
      <c r="Y27" s="493" t="s">
        <v>867</v>
      </c>
      <c r="Z27" s="493" t="s">
        <v>867</v>
      </c>
      <c r="AA27" s="493" t="s">
        <v>867</v>
      </c>
      <c r="AB27" s="493" t="s">
        <v>867</v>
      </c>
      <c r="AC27" s="493" t="s">
        <v>867</v>
      </c>
      <c r="AD27" s="493" t="s">
        <v>867</v>
      </c>
      <c r="AE27" s="493" t="s">
        <v>867</v>
      </c>
      <c r="AF27" s="493" t="s">
        <v>867</v>
      </c>
      <c r="AG27" s="493" t="s">
        <v>867</v>
      </c>
      <c r="AH27" s="493" t="s">
        <v>867</v>
      </c>
      <c r="AI27" s="493" t="s">
        <v>867</v>
      </c>
      <c r="AJ27" s="493" t="s">
        <v>867</v>
      </c>
      <c r="AK27" s="493" t="s">
        <v>867</v>
      </c>
      <c r="AL27" s="493" t="s">
        <v>867</v>
      </c>
      <c r="AM27" s="493" t="s">
        <v>867</v>
      </c>
      <c r="AN27" s="493" t="s">
        <v>867</v>
      </c>
      <c r="AO27" s="494" t="s">
        <v>867</v>
      </c>
    </row>
    <row r="28" spans="2:41" ht="15.75" customHeight="1">
      <c r="B28" s="515">
        <v>44565000036</v>
      </c>
      <c r="C28" s="493" t="s">
        <v>185</v>
      </c>
      <c r="D28" s="493" t="s">
        <v>84</v>
      </c>
      <c r="E28" s="516">
        <v>44565</v>
      </c>
      <c r="F28" s="493" t="s">
        <v>17</v>
      </c>
      <c r="G28" s="493" t="s">
        <v>38</v>
      </c>
      <c r="H28" s="493" t="s">
        <v>16</v>
      </c>
      <c r="I28" s="493">
        <v>380</v>
      </c>
      <c r="J28" s="493">
        <v>0</v>
      </c>
      <c r="K28" s="493">
        <v>0</v>
      </c>
      <c r="L28" s="493">
        <v>0</v>
      </c>
      <c r="M28" s="493">
        <v>450</v>
      </c>
      <c r="N28" s="493" t="s">
        <v>867</v>
      </c>
      <c r="O28" s="493" t="s">
        <v>39</v>
      </c>
      <c r="P28" s="493" t="s">
        <v>38</v>
      </c>
      <c r="Q28" s="493">
        <v>465</v>
      </c>
      <c r="R28" s="493">
        <v>467</v>
      </c>
      <c r="S28" s="493">
        <v>457.8</v>
      </c>
      <c r="T28" s="493">
        <v>473.6</v>
      </c>
      <c r="U28" s="493">
        <v>16061367</v>
      </c>
      <c r="V28" s="493" t="s">
        <v>867</v>
      </c>
      <c r="W28" s="493" t="s">
        <v>867</v>
      </c>
      <c r="X28" s="493" t="s">
        <v>867</v>
      </c>
      <c r="Y28" s="493" t="s">
        <v>867</v>
      </c>
      <c r="Z28" s="493" t="s">
        <v>867</v>
      </c>
      <c r="AA28" s="493" t="s">
        <v>867</v>
      </c>
      <c r="AB28" s="493" t="s">
        <v>867</v>
      </c>
      <c r="AC28" s="493" t="s">
        <v>867</v>
      </c>
      <c r="AD28" s="493" t="s">
        <v>867</v>
      </c>
      <c r="AE28" s="493" t="s">
        <v>867</v>
      </c>
      <c r="AF28" s="493" t="s">
        <v>867</v>
      </c>
      <c r="AG28" s="493" t="s">
        <v>867</v>
      </c>
      <c r="AH28" s="493" t="s">
        <v>867</v>
      </c>
      <c r="AI28" s="493" t="s">
        <v>867</v>
      </c>
      <c r="AJ28" s="493" t="s">
        <v>867</v>
      </c>
      <c r="AK28" s="493" t="s">
        <v>867</v>
      </c>
      <c r="AL28" s="493" t="s">
        <v>867</v>
      </c>
      <c r="AM28" s="493" t="s">
        <v>867</v>
      </c>
      <c r="AN28" s="493" t="s">
        <v>867</v>
      </c>
      <c r="AO28" s="494" t="s">
        <v>867</v>
      </c>
    </row>
    <row r="29" spans="2:41" ht="15.75" customHeight="1">
      <c r="B29" s="515">
        <v>44565000046</v>
      </c>
      <c r="C29" s="493" t="s">
        <v>186</v>
      </c>
      <c r="D29" s="493" t="s">
        <v>86</v>
      </c>
      <c r="E29" s="516">
        <v>44565</v>
      </c>
      <c r="F29" s="493" t="s">
        <v>19</v>
      </c>
      <c r="G29" s="493" t="s">
        <v>7</v>
      </c>
      <c r="H29" s="493" t="s">
        <v>18</v>
      </c>
      <c r="I29" s="493">
        <v>0</v>
      </c>
      <c r="J29" s="493">
        <v>20</v>
      </c>
      <c r="K29" s="493">
        <v>0</v>
      </c>
      <c r="L29" s="493">
        <v>0</v>
      </c>
      <c r="M29" s="493">
        <v>22</v>
      </c>
      <c r="N29" s="493" t="s">
        <v>867</v>
      </c>
      <c r="O29" s="493" t="s">
        <v>41</v>
      </c>
      <c r="P29" s="493" t="s">
        <v>157</v>
      </c>
      <c r="Q29" s="493" t="s">
        <v>157</v>
      </c>
      <c r="R29" s="493" t="s">
        <v>157</v>
      </c>
      <c r="S29" s="493" t="s">
        <v>157</v>
      </c>
      <c r="T29" s="493" t="s">
        <v>157</v>
      </c>
      <c r="U29" s="493" t="s">
        <v>157</v>
      </c>
      <c r="V29" s="493" t="s">
        <v>158</v>
      </c>
      <c r="W29" s="493">
        <v>10.79</v>
      </c>
      <c r="X29" s="493">
        <v>13.21</v>
      </c>
      <c r="Y29" s="493">
        <v>0.115</v>
      </c>
      <c r="Z29" s="502">
        <v>44948</v>
      </c>
      <c r="AA29" s="493" t="s">
        <v>159</v>
      </c>
      <c r="AB29" s="493">
        <v>0.98499999999999999</v>
      </c>
      <c r="AC29" s="493" t="s">
        <v>160</v>
      </c>
      <c r="AD29" s="493" t="s">
        <v>161</v>
      </c>
      <c r="AE29" s="493" t="s">
        <v>867</v>
      </c>
      <c r="AF29" s="493" t="s">
        <v>867</v>
      </c>
      <c r="AG29" s="493" t="s">
        <v>867</v>
      </c>
      <c r="AH29" s="493" t="s">
        <v>867</v>
      </c>
      <c r="AI29" s="493" t="s">
        <v>867</v>
      </c>
      <c r="AJ29" s="493" t="s">
        <v>867</v>
      </c>
      <c r="AK29" s="493" t="s">
        <v>867</v>
      </c>
      <c r="AL29" s="493" t="s">
        <v>867</v>
      </c>
      <c r="AM29" s="493" t="s">
        <v>867</v>
      </c>
      <c r="AN29" s="493" t="s">
        <v>867</v>
      </c>
      <c r="AO29" s="494" t="s">
        <v>867</v>
      </c>
    </row>
    <row r="30" spans="2:41" ht="15.75" customHeight="1">
      <c r="B30" s="515">
        <v>44566000017</v>
      </c>
      <c r="C30" s="493" t="s">
        <v>183</v>
      </c>
      <c r="D30" s="493" t="s">
        <v>80</v>
      </c>
      <c r="E30" s="516">
        <v>44566</v>
      </c>
      <c r="F30" s="493" t="s">
        <v>17</v>
      </c>
      <c r="G30" s="493" t="s">
        <v>36</v>
      </c>
      <c r="H30" s="493" t="s">
        <v>16</v>
      </c>
      <c r="I30" s="493">
        <v>4</v>
      </c>
      <c r="J30" s="493">
        <v>0</v>
      </c>
      <c r="K30" s="493">
        <v>0</v>
      </c>
      <c r="L30" s="493">
        <v>0</v>
      </c>
      <c r="M30" s="493">
        <v>740</v>
      </c>
      <c r="N30" s="493" t="s">
        <v>867</v>
      </c>
      <c r="O30" s="493" t="s">
        <v>37</v>
      </c>
      <c r="P30" s="493" t="s">
        <v>36</v>
      </c>
      <c r="Q30" s="493">
        <v>673.7</v>
      </c>
      <c r="R30" s="493">
        <v>687.9</v>
      </c>
      <c r="S30" s="493">
        <v>671.7</v>
      </c>
      <c r="T30" s="493">
        <v>667</v>
      </c>
      <c r="U30" s="493">
        <v>439855</v>
      </c>
      <c r="V30" s="493" t="s">
        <v>867</v>
      </c>
      <c r="W30" s="493" t="s">
        <v>867</v>
      </c>
      <c r="X30" s="493" t="s">
        <v>867</v>
      </c>
      <c r="Y30" s="493" t="s">
        <v>867</v>
      </c>
      <c r="Z30" s="493" t="s">
        <v>867</v>
      </c>
      <c r="AA30" s="493" t="s">
        <v>867</v>
      </c>
      <c r="AB30" s="493" t="s">
        <v>867</v>
      </c>
      <c r="AC30" s="493" t="s">
        <v>867</v>
      </c>
      <c r="AD30" s="493" t="s">
        <v>867</v>
      </c>
      <c r="AE30" s="493" t="s">
        <v>867</v>
      </c>
      <c r="AF30" s="493" t="s">
        <v>867</v>
      </c>
      <c r="AG30" s="493" t="s">
        <v>867</v>
      </c>
      <c r="AH30" s="493" t="s">
        <v>867</v>
      </c>
      <c r="AI30" s="493" t="s">
        <v>867</v>
      </c>
      <c r="AJ30" s="493" t="s">
        <v>867</v>
      </c>
      <c r="AK30" s="493" t="s">
        <v>867</v>
      </c>
      <c r="AL30" s="493" t="s">
        <v>867</v>
      </c>
      <c r="AM30" s="493" t="s">
        <v>867</v>
      </c>
      <c r="AN30" s="493" t="s">
        <v>867</v>
      </c>
      <c r="AO30" s="494" t="s">
        <v>867</v>
      </c>
    </row>
    <row r="31" spans="2:41" ht="15.75" customHeight="1">
      <c r="B31" s="515">
        <v>44566000040</v>
      </c>
      <c r="C31" s="493" t="s">
        <v>187</v>
      </c>
      <c r="D31" s="493" t="s">
        <v>88</v>
      </c>
      <c r="E31" s="516">
        <v>44566</v>
      </c>
      <c r="F31" s="493" t="s">
        <v>19</v>
      </c>
      <c r="G31" s="493" t="s">
        <v>4</v>
      </c>
      <c r="H31" s="493" t="s">
        <v>21</v>
      </c>
      <c r="I31" s="493">
        <v>0</v>
      </c>
      <c r="J31" s="493">
        <v>0</v>
      </c>
      <c r="K31" s="493">
        <v>10</v>
      </c>
      <c r="L31" s="493">
        <v>0</v>
      </c>
      <c r="M31" s="493">
        <v>3.5</v>
      </c>
      <c r="N31" s="493" t="s">
        <v>867</v>
      </c>
      <c r="O31" s="493" t="s">
        <v>41</v>
      </c>
      <c r="P31" s="493" t="s">
        <v>157</v>
      </c>
      <c r="Q31" s="493" t="s">
        <v>157</v>
      </c>
      <c r="R31" s="493" t="s">
        <v>157</v>
      </c>
      <c r="S31" s="493" t="s">
        <v>157</v>
      </c>
      <c r="T31" s="493" t="s">
        <v>157</v>
      </c>
      <c r="U31" s="493" t="s">
        <v>157</v>
      </c>
      <c r="V31" s="493" t="s">
        <v>157</v>
      </c>
      <c r="W31" s="493" t="s">
        <v>157</v>
      </c>
      <c r="X31" s="493" t="s">
        <v>157</v>
      </c>
      <c r="Y31" s="493" t="s">
        <v>157</v>
      </c>
      <c r="Z31" s="493" t="s">
        <v>157</v>
      </c>
      <c r="AA31" s="493" t="s">
        <v>157</v>
      </c>
      <c r="AB31" s="493" t="s">
        <v>157</v>
      </c>
      <c r="AC31" s="493" t="s">
        <v>157</v>
      </c>
      <c r="AD31" s="493" t="s">
        <v>157</v>
      </c>
      <c r="AE31" s="493" t="s">
        <v>4</v>
      </c>
      <c r="AF31" s="493">
        <v>2.5</v>
      </c>
      <c r="AG31" s="493">
        <v>2.5</v>
      </c>
      <c r="AH31" s="493">
        <v>2.5</v>
      </c>
      <c r="AI31" s="493">
        <v>2.5</v>
      </c>
      <c r="AJ31" s="493">
        <v>45</v>
      </c>
      <c r="AK31" s="502">
        <v>44665</v>
      </c>
      <c r="AL31" s="493" t="s">
        <v>166</v>
      </c>
      <c r="AM31" s="493" t="s">
        <v>167</v>
      </c>
      <c r="AN31" s="493" t="s">
        <v>867</v>
      </c>
      <c r="AO31" s="494" t="s">
        <v>867</v>
      </c>
    </row>
    <row r="32" spans="2:41" ht="15.75" customHeight="1">
      <c r="B32" s="515">
        <v>44566000041</v>
      </c>
      <c r="C32" s="493" t="s">
        <v>187</v>
      </c>
      <c r="D32" s="493" t="s">
        <v>88</v>
      </c>
      <c r="E32" s="516">
        <v>44566</v>
      </c>
      <c r="F32" s="493" t="s">
        <v>17</v>
      </c>
      <c r="G32" s="493" t="s">
        <v>5</v>
      </c>
      <c r="H32" s="493" t="s">
        <v>21</v>
      </c>
      <c r="I32" s="493">
        <v>0</v>
      </c>
      <c r="J32" s="493">
        <v>0</v>
      </c>
      <c r="K32" s="493">
        <v>10</v>
      </c>
      <c r="L32" s="493">
        <v>0</v>
      </c>
      <c r="M32" s="493">
        <v>2.5</v>
      </c>
      <c r="N32" s="493" t="s">
        <v>867</v>
      </c>
      <c r="O32" s="493" t="s">
        <v>41</v>
      </c>
      <c r="P32" s="493" t="s">
        <v>157</v>
      </c>
      <c r="Q32" s="493" t="s">
        <v>157</v>
      </c>
      <c r="R32" s="493" t="s">
        <v>157</v>
      </c>
      <c r="S32" s="493" t="s">
        <v>157</v>
      </c>
      <c r="T32" s="493" t="s">
        <v>157</v>
      </c>
      <c r="U32" s="493" t="s">
        <v>157</v>
      </c>
      <c r="V32" s="493" t="s">
        <v>157</v>
      </c>
      <c r="W32" s="493" t="s">
        <v>157</v>
      </c>
      <c r="X32" s="493" t="s">
        <v>157</v>
      </c>
      <c r="Y32" s="493" t="s">
        <v>157</v>
      </c>
      <c r="Z32" s="493" t="s">
        <v>157</v>
      </c>
      <c r="AA32" s="493" t="s">
        <v>157</v>
      </c>
      <c r="AB32" s="493" t="s">
        <v>157</v>
      </c>
      <c r="AC32" s="493" t="s">
        <v>157</v>
      </c>
      <c r="AD32" s="493" t="s">
        <v>157</v>
      </c>
      <c r="AE32" s="493" t="s">
        <v>5</v>
      </c>
      <c r="AF32" s="493">
        <v>0.7</v>
      </c>
      <c r="AG32" s="493">
        <v>0.7</v>
      </c>
      <c r="AH32" s="493">
        <v>0.7</v>
      </c>
      <c r="AI32" s="493">
        <v>0.7</v>
      </c>
      <c r="AJ32" s="493">
        <v>40</v>
      </c>
      <c r="AK32" s="502">
        <v>44665</v>
      </c>
      <c r="AL32" s="493" t="s">
        <v>166</v>
      </c>
      <c r="AM32" s="493" t="s">
        <v>167</v>
      </c>
      <c r="AN32" s="493" t="s">
        <v>867</v>
      </c>
      <c r="AO32" s="494" t="s">
        <v>867</v>
      </c>
    </row>
    <row r="33" spans="2:41" ht="15.75" customHeight="1">
      <c r="B33" s="515">
        <v>44567000018</v>
      </c>
      <c r="C33" s="493" t="s">
        <v>183</v>
      </c>
      <c r="D33" s="493" t="s">
        <v>80</v>
      </c>
      <c r="E33" s="516">
        <v>44567</v>
      </c>
      <c r="F33" s="493" t="s">
        <v>17</v>
      </c>
      <c r="G33" s="493" t="s">
        <v>36</v>
      </c>
      <c r="H33" s="493" t="s">
        <v>16</v>
      </c>
      <c r="I33" s="493">
        <v>12</v>
      </c>
      <c r="J33" s="493">
        <v>0</v>
      </c>
      <c r="K33" s="493">
        <v>0</v>
      </c>
      <c r="L33" s="493">
        <v>0</v>
      </c>
      <c r="M33" s="493">
        <v>740</v>
      </c>
      <c r="N33" s="493" t="s">
        <v>867</v>
      </c>
      <c r="O33" s="493" t="s">
        <v>37</v>
      </c>
      <c r="P33" s="493" t="s">
        <v>36</v>
      </c>
      <c r="Q33" s="493">
        <v>673.7</v>
      </c>
      <c r="R33" s="493">
        <v>687.9</v>
      </c>
      <c r="S33" s="493">
        <v>671.7</v>
      </c>
      <c r="T33" s="493">
        <v>667</v>
      </c>
      <c r="U33" s="493">
        <v>439855</v>
      </c>
      <c r="V33" s="493" t="s">
        <v>867</v>
      </c>
      <c r="W33" s="493" t="s">
        <v>867</v>
      </c>
      <c r="X33" s="493" t="s">
        <v>867</v>
      </c>
      <c r="Y33" s="493" t="s">
        <v>867</v>
      </c>
      <c r="Z33" s="493" t="s">
        <v>867</v>
      </c>
      <c r="AA33" s="493" t="s">
        <v>867</v>
      </c>
      <c r="AB33" s="493" t="s">
        <v>867</v>
      </c>
      <c r="AC33" s="493" t="s">
        <v>867</v>
      </c>
      <c r="AD33" s="493" t="s">
        <v>867</v>
      </c>
      <c r="AE33" s="493" t="s">
        <v>867</v>
      </c>
      <c r="AF33" s="493" t="s">
        <v>867</v>
      </c>
      <c r="AG33" s="493" t="s">
        <v>867</v>
      </c>
      <c r="AH33" s="493" t="s">
        <v>867</v>
      </c>
      <c r="AI33" s="493" t="s">
        <v>867</v>
      </c>
      <c r="AJ33" s="493" t="s">
        <v>867</v>
      </c>
      <c r="AK33" s="493" t="s">
        <v>867</v>
      </c>
      <c r="AL33" s="493" t="s">
        <v>867</v>
      </c>
      <c r="AM33" s="493" t="s">
        <v>867</v>
      </c>
      <c r="AN33" s="493" t="s">
        <v>867</v>
      </c>
      <c r="AO33" s="494" t="s">
        <v>867</v>
      </c>
    </row>
    <row r="34" spans="2:41" ht="15.75" customHeight="1">
      <c r="B34" s="515">
        <v>44567000019</v>
      </c>
      <c r="C34" s="493" t="s">
        <v>183</v>
      </c>
      <c r="D34" s="493" t="s">
        <v>80</v>
      </c>
      <c r="E34" s="516">
        <v>44567</v>
      </c>
      <c r="F34" s="493" t="s">
        <v>19</v>
      </c>
      <c r="G34" s="493" t="s">
        <v>36</v>
      </c>
      <c r="H34" s="493" t="s">
        <v>16</v>
      </c>
      <c r="I34" s="493">
        <v>1</v>
      </c>
      <c r="J34" s="493">
        <v>0</v>
      </c>
      <c r="K34" s="493">
        <v>0</v>
      </c>
      <c r="L34" s="493">
        <v>0</v>
      </c>
      <c r="M34" s="493">
        <v>740</v>
      </c>
      <c r="N34" s="493" t="s">
        <v>867</v>
      </c>
      <c r="O34" s="493" t="s">
        <v>37</v>
      </c>
      <c r="P34" s="493" t="s">
        <v>36</v>
      </c>
      <c r="Q34" s="493">
        <v>673.7</v>
      </c>
      <c r="R34" s="493">
        <v>687.9</v>
      </c>
      <c r="S34" s="493">
        <v>671.7</v>
      </c>
      <c r="T34" s="493">
        <v>667</v>
      </c>
      <c r="U34" s="493">
        <v>439855</v>
      </c>
      <c r="V34" s="493" t="s">
        <v>867</v>
      </c>
      <c r="W34" s="493" t="s">
        <v>867</v>
      </c>
      <c r="X34" s="493" t="s">
        <v>867</v>
      </c>
      <c r="Y34" s="493" t="s">
        <v>867</v>
      </c>
      <c r="Z34" s="493" t="s">
        <v>867</v>
      </c>
      <c r="AA34" s="493" t="s">
        <v>867</v>
      </c>
      <c r="AB34" s="493" t="s">
        <v>867</v>
      </c>
      <c r="AC34" s="493" t="s">
        <v>867</v>
      </c>
      <c r="AD34" s="493" t="s">
        <v>867</v>
      </c>
      <c r="AE34" s="493" t="s">
        <v>867</v>
      </c>
      <c r="AF34" s="493" t="s">
        <v>867</v>
      </c>
      <c r="AG34" s="493" t="s">
        <v>867</v>
      </c>
      <c r="AH34" s="493" t="s">
        <v>867</v>
      </c>
      <c r="AI34" s="493" t="s">
        <v>867</v>
      </c>
      <c r="AJ34" s="493" t="s">
        <v>867</v>
      </c>
      <c r="AK34" s="493" t="s">
        <v>867</v>
      </c>
      <c r="AL34" s="493" t="s">
        <v>867</v>
      </c>
      <c r="AM34" s="493" t="s">
        <v>867</v>
      </c>
      <c r="AN34" s="493" t="s">
        <v>867</v>
      </c>
      <c r="AO34" s="494" t="s">
        <v>867</v>
      </c>
    </row>
    <row r="35" spans="2:41" ht="15.75" customHeight="1">
      <c r="B35" s="515">
        <v>44567000020</v>
      </c>
      <c r="C35" s="493" t="s">
        <v>183</v>
      </c>
      <c r="D35" s="493" t="s">
        <v>80</v>
      </c>
      <c r="E35" s="516">
        <v>44567</v>
      </c>
      <c r="F35" s="493" t="s">
        <v>17</v>
      </c>
      <c r="G35" s="493" t="s">
        <v>36</v>
      </c>
      <c r="H35" s="493" t="s">
        <v>16</v>
      </c>
      <c r="I35" s="493">
        <v>3</v>
      </c>
      <c r="J35" s="493">
        <v>0</v>
      </c>
      <c r="K35" s="493">
        <v>0</v>
      </c>
      <c r="L35" s="493">
        <v>0</v>
      </c>
      <c r="M35" s="493">
        <v>740</v>
      </c>
      <c r="N35" s="493" t="s">
        <v>867</v>
      </c>
      <c r="O35" s="493" t="s">
        <v>37</v>
      </c>
      <c r="P35" s="493" t="s">
        <v>36</v>
      </c>
      <c r="Q35" s="493">
        <v>673.7</v>
      </c>
      <c r="R35" s="493">
        <v>687.9</v>
      </c>
      <c r="S35" s="493">
        <v>671.7</v>
      </c>
      <c r="T35" s="493">
        <v>667</v>
      </c>
      <c r="U35" s="493">
        <v>439855</v>
      </c>
      <c r="V35" s="493" t="s">
        <v>867</v>
      </c>
      <c r="W35" s="493" t="s">
        <v>867</v>
      </c>
      <c r="X35" s="493" t="s">
        <v>867</v>
      </c>
      <c r="Y35" s="493" t="s">
        <v>867</v>
      </c>
      <c r="Z35" s="493" t="s">
        <v>867</v>
      </c>
      <c r="AA35" s="493" t="s">
        <v>867</v>
      </c>
      <c r="AB35" s="493" t="s">
        <v>867</v>
      </c>
      <c r="AC35" s="493" t="s">
        <v>867</v>
      </c>
      <c r="AD35" s="493" t="s">
        <v>867</v>
      </c>
      <c r="AE35" s="493" t="s">
        <v>867</v>
      </c>
      <c r="AF35" s="493" t="s">
        <v>867</v>
      </c>
      <c r="AG35" s="493" t="s">
        <v>867</v>
      </c>
      <c r="AH35" s="493" t="s">
        <v>867</v>
      </c>
      <c r="AI35" s="493" t="s">
        <v>867</v>
      </c>
      <c r="AJ35" s="493" t="s">
        <v>867</v>
      </c>
      <c r="AK35" s="493" t="s">
        <v>867</v>
      </c>
      <c r="AL35" s="493" t="s">
        <v>867</v>
      </c>
      <c r="AM35" s="493" t="s">
        <v>867</v>
      </c>
      <c r="AN35" s="493" t="s">
        <v>867</v>
      </c>
      <c r="AO35" s="494" t="s">
        <v>867</v>
      </c>
    </row>
    <row r="36" spans="2:41" ht="15.75" customHeight="1">
      <c r="B36" s="515">
        <v>44567000042</v>
      </c>
      <c r="C36" s="493" t="s">
        <v>187</v>
      </c>
      <c r="D36" s="493" t="s">
        <v>88</v>
      </c>
      <c r="E36" s="516">
        <v>44567</v>
      </c>
      <c r="F36" s="493" t="s">
        <v>17</v>
      </c>
      <c r="G36" s="493" t="s">
        <v>38</v>
      </c>
      <c r="H36" s="493" t="s">
        <v>16</v>
      </c>
      <c r="I36" s="493">
        <v>40</v>
      </c>
      <c r="J36" s="493">
        <v>0</v>
      </c>
      <c r="K36" s="493">
        <v>0</v>
      </c>
      <c r="L36" s="493">
        <v>0</v>
      </c>
      <c r="M36" s="493">
        <v>430</v>
      </c>
      <c r="N36" s="493" t="s">
        <v>867</v>
      </c>
      <c r="O36" s="493" t="s">
        <v>39</v>
      </c>
      <c r="P36" s="493" t="s">
        <v>38</v>
      </c>
      <c r="Q36" s="493">
        <v>465</v>
      </c>
      <c r="R36" s="493">
        <v>467</v>
      </c>
      <c r="S36" s="493">
        <v>457.8</v>
      </c>
      <c r="T36" s="493">
        <v>473.6</v>
      </c>
      <c r="U36" s="493">
        <v>16061367</v>
      </c>
      <c r="V36" s="493" t="s">
        <v>867</v>
      </c>
      <c r="W36" s="493" t="s">
        <v>867</v>
      </c>
      <c r="X36" s="493" t="s">
        <v>867</v>
      </c>
      <c r="Y36" s="493" t="s">
        <v>867</v>
      </c>
      <c r="Z36" s="493" t="s">
        <v>867</v>
      </c>
      <c r="AA36" s="493" t="s">
        <v>867</v>
      </c>
      <c r="AB36" s="493" t="s">
        <v>867</v>
      </c>
      <c r="AC36" s="493" t="s">
        <v>867</v>
      </c>
      <c r="AD36" s="493" t="s">
        <v>867</v>
      </c>
      <c r="AE36" s="493" t="s">
        <v>867</v>
      </c>
      <c r="AF36" s="493" t="s">
        <v>867</v>
      </c>
      <c r="AG36" s="493" t="s">
        <v>867</v>
      </c>
      <c r="AH36" s="493" t="s">
        <v>867</v>
      </c>
      <c r="AI36" s="493" t="s">
        <v>867</v>
      </c>
      <c r="AJ36" s="493" t="s">
        <v>867</v>
      </c>
      <c r="AK36" s="493" t="s">
        <v>867</v>
      </c>
      <c r="AL36" s="493" t="s">
        <v>867</v>
      </c>
      <c r="AM36" s="493" t="s">
        <v>867</v>
      </c>
      <c r="AN36" s="493" t="s">
        <v>867</v>
      </c>
      <c r="AO36" s="494" t="s">
        <v>867</v>
      </c>
    </row>
    <row r="37" spans="2:41" ht="15.75" customHeight="1">
      <c r="B37" s="515">
        <v>44568000021</v>
      </c>
      <c r="C37" s="493" t="s">
        <v>183</v>
      </c>
      <c r="D37" s="493" t="s">
        <v>80</v>
      </c>
      <c r="E37" s="516">
        <v>44568</v>
      </c>
      <c r="F37" s="493" t="s">
        <v>19</v>
      </c>
      <c r="G37" s="493" t="s">
        <v>36</v>
      </c>
      <c r="H37" s="493" t="s">
        <v>16</v>
      </c>
      <c r="I37" s="493">
        <v>13</v>
      </c>
      <c r="J37" s="493">
        <v>0</v>
      </c>
      <c r="K37" s="493">
        <v>0</v>
      </c>
      <c r="L37" s="493">
        <v>0</v>
      </c>
      <c r="M37" s="493">
        <v>720</v>
      </c>
      <c r="N37" s="493" t="s">
        <v>867</v>
      </c>
      <c r="O37" s="493" t="s">
        <v>37</v>
      </c>
      <c r="P37" s="493" t="s">
        <v>36</v>
      </c>
      <c r="Q37" s="493">
        <v>673.7</v>
      </c>
      <c r="R37" s="493">
        <v>687.9</v>
      </c>
      <c r="S37" s="493">
        <v>671.7</v>
      </c>
      <c r="T37" s="493">
        <v>667</v>
      </c>
      <c r="U37" s="493">
        <v>439855</v>
      </c>
      <c r="V37" s="493" t="s">
        <v>867</v>
      </c>
      <c r="W37" s="493" t="s">
        <v>867</v>
      </c>
      <c r="X37" s="493" t="s">
        <v>867</v>
      </c>
      <c r="Y37" s="493" t="s">
        <v>867</v>
      </c>
      <c r="Z37" s="493" t="s">
        <v>867</v>
      </c>
      <c r="AA37" s="493" t="s">
        <v>867</v>
      </c>
      <c r="AB37" s="493" t="s">
        <v>867</v>
      </c>
      <c r="AC37" s="493" t="s">
        <v>867</v>
      </c>
      <c r="AD37" s="493" t="s">
        <v>867</v>
      </c>
      <c r="AE37" s="493" t="s">
        <v>867</v>
      </c>
      <c r="AF37" s="493" t="s">
        <v>867</v>
      </c>
      <c r="AG37" s="493" t="s">
        <v>867</v>
      </c>
      <c r="AH37" s="493" t="s">
        <v>867</v>
      </c>
      <c r="AI37" s="493" t="s">
        <v>867</v>
      </c>
      <c r="AJ37" s="493" t="s">
        <v>867</v>
      </c>
      <c r="AK37" s="493" t="s">
        <v>867</v>
      </c>
      <c r="AL37" s="493" t="s">
        <v>867</v>
      </c>
      <c r="AM37" s="493" t="s">
        <v>867</v>
      </c>
      <c r="AN37" s="493" t="s">
        <v>867</v>
      </c>
      <c r="AO37" s="494" t="s">
        <v>867</v>
      </c>
    </row>
    <row r="38" spans="2:41" ht="15.75" customHeight="1">
      <c r="B38" s="515">
        <v>44568000043</v>
      </c>
      <c r="C38" s="493" t="s">
        <v>187</v>
      </c>
      <c r="D38" s="493" t="s">
        <v>88</v>
      </c>
      <c r="E38" s="516">
        <v>44568</v>
      </c>
      <c r="F38" s="493" t="s">
        <v>19</v>
      </c>
      <c r="G38" s="493" t="s">
        <v>38</v>
      </c>
      <c r="H38" s="493" t="s">
        <v>16</v>
      </c>
      <c r="I38" s="493">
        <v>50</v>
      </c>
      <c r="J38" s="493">
        <v>0</v>
      </c>
      <c r="K38" s="493">
        <v>0</v>
      </c>
      <c r="L38" s="493">
        <v>0</v>
      </c>
      <c r="M38" s="493">
        <v>440</v>
      </c>
      <c r="N38" s="493" t="s">
        <v>867</v>
      </c>
      <c r="O38" s="493" t="s">
        <v>39</v>
      </c>
      <c r="P38" s="493" t="s">
        <v>38</v>
      </c>
      <c r="Q38" s="493">
        <v>465</v>
      </c>
      <c r="R38" s="493">
        <v>467</v>
      </c>
      <c r="S38" s="493">
        <v>457.8</v>
      </c>
      <c r="T38" s="493">
        <v>473.6</v>
      </c>
      <c r="U38" s="493">
        <v>16061367</v>
      </c>
      <c r="V38" s="493" t="s">
        <v>867</v>
      </c>
      <c r="W38" s="493" t="s">
        <v>867</v>
      </c>
      <c r="X38" s="493" t="s">
        <v>867</v>
      </c>
      <c r="Y38" s="493" t="s">
        <v>867</v>
      </c>
      <c r="Z38" s="493" t="s">
        <v>867</v>
      </c>
      <c r="AA38" s="493" t="s">
        <v>867</v>
      </c>
      <c r="AB38" s="493" t="s">
        <v>867</v>
      </c>
      <c r="AC38" s="493" t="s">
        <v>867</v>
      </c>
      <c r="AD38" s="493" t="s">
        <v>867</v>
      </c>
      <c r="AE38" s="493" t="s">
        <v>867</v>
      </c>
      <c r="AF38" s="493" t="s">
        <v>867</v>
      </c>
      <c r="AG38" s="493" t="s">
        <v>867</v>
      </c>
      <c r="AH38" s="493" t="s">
        <v>867</v>
      </c>
      <c r="AI38" s="493" t="s">
        <v>867</v>
      </c>
      <c r="AJ38" s="493" t="s">
        <v>867</v>
      </c>
      <c r="AK38" s="493" t="s">
        <v>867</v>
      </c>
      <c r="AL38" s="493" t="s">
        <v>867</v>
      </c>
      <c r="AM38" s="493" t="s">
        <v>867</v>
      </c>
      <c r="AN38" s="493" t="s">
        <v>867</v>
      </c>
      <c r="AO38" s="494" t="s">
        <v>867</v>
      </c>
    </row>
    <row r="39" spans="2:41" ht="15.75" customHeight="1">
      <c r="B39" s="515">
        <v>44568000044</v>
      </c>
      <c r="C39" s="493" t="s">
        <v>187</v>
      </c>
      <c r="D39" s="493" t="s">
        <v>88</v>
      </c>
      <c r="E39" s="516">
        <v>44568</v>
      </c>
      <c r="F39" s="493" t="s">
        <v>19</v>
      </c>
      <c r="G39" s="493" t="s">
        <v>7</v>
      </c>
      <c r="H39" s="493" t="s">
        <v>18</v>
      </c>
      <c r="I39" s="493">
        <v>0</v>
      </c>
      <c r="J39" s="493">
        <v>20</v>
      </c>
      <c r="K39" s="493">
        <v>0</v>
      </c>
      <c r="L39" s="493">
        <v>0</v>
      </c>
      <c r="M39" s="493">
        <v>19</v>
      </c>
      <c r="N39" s="493" t="s">
        <v>867</v>
      </c>
      <c r="O39" s="493" t="s">
        <v>41</v>
      </c>
      <c r="P39" s="493" t="s">
        <v>157</v>
      </c>
      <c r="Q39" s="493" t="s">
        <v>157</v>
      </c>
      <c r="R39" s="493" t="s">
        <v>157</v>
      </c>
      <c r="S39" s="493" t="s">
        <v>157</v>
      </c>
      <c r="T39" s="493" t="s">
        <v>157</v>
      </c>
      <c r="U39" s="493" t="s">
        <v>157</v>
      </c>
      <c r="V39" s="493" t="s">
        <v>158</v>
      </c>
      <c r="W39" s="493">
        <v>10.79</v>
      </c>
      <c r="X39" s="493">
        <v>13.21</v>
      </c>
      <c r="Y39" s="493">
        <v>0.115</v>
      </c>
      <c r="Z39" s="502">
        <v>44948</v>
      </c>
      <c r="AA39" s="493" t="s">
        <v>159</v>
      </c>
      <c r="AB39" s="493">
        <v>0.98499999999999999</v>
      </c>
      <c r="AC39" s="493" t="s">
        <v>160</v>
      </c>
      <c r="AD39" s="493" t="s">
        <v>161</v>
      </c>
      <c r="AE39" s="493" t="s">
        <v>867</v>
      </c>
      <c r="AF39" s="493" t="s">
        <v>867</v>
      </c>
      <c r="AG39" s="493" t="s">
        <v>867</v>
      </c>
      <c r="AH39" s="493" t="s">
        <v>867</v>
      </c>
      <c r="AI39" s="493" t="s">
        <v>867</v>
      </c>
      <c r="AJ39" s="493" t="s">
        <v>867</v>
      </c>
      <c r="AK39" s="493" t="s">
        <v>867</v>
      </c>
      <c r="AL39" s="493" t="s">
        <v>867</v>
      </c>
      <c r="AM39" s="493" t="s">
        <v>867</v>
      </c>
      <c r="AN39" s="493" t="s">
        <v>867</v>
      </c>
      <c r="AO39" s="494" t="s">
        <v>867</v>
      </c>
    </row>
    <row r="40" spans="2:41" ht="15.75" customHeight="1">
      <c r="B40" s="515">
        <v>44569000022</v>
      </c>
      <c r="C40" s="493" t="s">
        <v>183</v>
      </c>
      <c r="D40" s="493" t="s">
        <v>80</v>
      </c>
      <c r="E40" s="516">
        <v>44569</v>
      </c>
      <c r="F40" s="493" t="s">
        <v>19</v>
      </c>
      <c r="G40" s="493" t="s">
        <v>36</v>
      </c>
      <c r="H40" s="493" t="s">
        <v>16</v>
      </c>
      <c r="I40" s="493">
        <v>51</v>
      </c>
      <c r="J40" s="493">
        <v>0</v>
      </c>
      <c r="K40" s="493">
        <v>0</v>
      </c>
      <c r="L40" s="493">
        <v>0</v>
      </c>
      <c r="M40" s="493">
        <v>720</v>
      </c>
      <c r="N40" s="493" t="s">
        <v>867</v>
      </c>
      <c r="O40" s="493" t="s">
        <v>37</v>
      </c>
      <c r="P40" s="493" t="s">
        <v>36</v>
      </c>
      <c r="Q40" s="493">
        <v>673.7</v>
      </c>
      <c r="R40" s="493">
        <v>687.9</v>
      </c>
      <c r="S40" s="493">
        <v>671.7</v>
      </c>
      <c r="T40" s="493">
        <v>667</v>
      </c>
      <c r="U40" s="493">
        <v>439855</v>
      </c>
      <c r="V40" s="493" t="s">
        <v>867</v>
      </c>
      <c r="W40" s="493" t="s">
        <v>867</v>
      </c>
      <c r="X40" s="493" t="s">
        <v>867</v>
      </c>
      <c r="Y40" s="493" t="s">
        <v>867</v>
      </c>
      <c r="Z40" s="493" t="s">
        <v>867</v>
      </c>
      <c r="AA40" s="493" t="s">
        <v>867</v>
      </c>
      <c r="AB40" s="493" t="s">
        <v>867</v>
      </c>
      <c r="AC40" s="493" t="s">
        <v>867</v>
      </c>
      <c r="AD40" s="493" t="s">
        <v>867</v>
      </c>
      <c r="AE40" s="493" t="s">
        <v>867</v>
      </c>
      <c r="AF40" s="493" t="s">
        <v>867</v>
      </c>
      <c r="AG40" s="493" t="s">
        <v>867</v>
      </c>
      <c r="AH40" s="493" t="s">
        <v>867</v>
      </c>
      <c r="AI40" s="493" t="s">
        <v>867</v>
      </c>
      <c r="AJ40" s="493" t="s">
        <v>867</v>
      </c>
      <c r="AK40" s="493" t="s">
        <v>867</v>
      </c>
      <c r="AL40" s="493" t="s">
        <v>867</v>
      </c>
      <c r="AM40" s="493" t="s">
        <v>867</v>
      </c>
      <c r="AN40" s="493" t="s">
        <v>867</v>
      </c>
      <c r="AO40" s="494" t="s">
        <v>867</v>
      </c>
    </row>
    <row r="41" spans="2:41" ht="15.75" customHeight="1">
      <c r="B41" s="515">
        <v>44570000023</v>
      </c>
      <c r="C41" s="493" t="s">
        <v>183</v>
      </c>
      <c r="D41" s="493" t="s">
        <v>80</v>
      </c>
      <c r="E41" s="516">
        <v>44570</v>
      </c>
      <c r="F41" s="493" t="s">
        <v>19</v>
      </c>
      <c r="G41" s="493" t="s">
        <v>38</v>
      </c>
      <c r="H41" s="493" t="s">
        <v>16</v>
      </c>
      <c r="I41" s="493">
        <v>15</v>
      </c>
      <c r="J41" s="493">
        <v>0</v>
      </c>
      <c r="K41" s="493">
        <v>0</v>
      </c>
      <c r="L41" s="493">
        <v>0</v>
      </c>
      <c r="M41" s="493">
        <v>445</v>
      </c>
      <c r="N41" s="493" t="s">
        <v>867</v>
      </c>
      <c r="O41" s="493" t="s">
        <v>39</v>
      </c>
      <c r="P41" s="493" t="s">
        <v>38</v>
      </c>
      <c r="Q41" s="493">
        <v>465</v>
      </c>
      <c r="R41" s="493">
        <v>467</v>
      </c>
      <c r="S41" s="493">
        <v>457.8</v>
      </c>
      <c r="T41" s="493">
        <v>473.6</v>
      </c>
      <c r="U41" s="493">
        <v>16061367</v>
      </c>
      <c r="V41" s="493" t="s">
        <v>867</v>
      </c>
      <c r="W41" s="493" t="s">
        <v>867</v>
      </c>
      <c r="X41" s="493" t="s">
        <v>867</v>
      </c>
      <c r="Y41" s="493" t="s">
        <v>867</v>
      </c>
      <c r="Z41" s="493" t="s">
        <v>867</v>
      </c>
      <c r="AA41" s="493" t="s">
        <v>867</v>
      </c>
      <c r="AB41" s="493" t="s">
        <v>867</v>
      </c>
      <c r="AC41" s="493" t="s">
        <v>867</v>
      </c>
      <c r="AD41" s="493" t="s">
        <v>867</v>
      </c>
      <c r="AE41" s="493" t="s">
        <v>867</v>
      </c>
      <c r="AF41" s="493" t="s">
        <v>867</v>
      </c>
      <c r="AG41" s="493" t="s">
        <v>867</v>
      </c>
      <c r="AH41" s="493" t="s">
        <v>867</v>
      </c>
      <c r="AI41" s="493" t="s">
        <v>867</v>
      </c>
      <c r="AJ41" s="493" t="s">
        <v>867</v>
      </c>
      <c r="AK41" s="493" t="s">
        <v>867</v>
      </c>
      <c r="AL41" s="493" t="s">
        <v>867</v>
      </c>
      <c r="AM41" s="493" t="s">
        <v>867</v>
      </c>
      <c r="AN41" s="493" t="s">
        <v>867</v>
      </c>
      <c r="AO41" s="494" t="s">
        <v>867</v>
      </c>
    </row>
    <row r="42" spans="2:41" ht="15.75" customHeight="1">
      <c r="B42" s="515">
        <v>44571000024</v>
      </c>
      <c r="C42" s="493" t="s">
        <v>184</v>
      </c>
      <c r="D42" s="493" t="s">
        <v>82</v>
      </c>
      <c r="E42" s="516">
        <v>44571</v>
      </c>
      <c r="F42" s="493" t="s">
        <v>19</v>
      </c>
      <c r="G42" s="493" t="s">
        <v>38</v>
      </c>
      <c r="H42" s="493" t="s">
        <v>16</v>
      </c>
      <c r="I42" s="493">
        <v>1500</v>
      </c>
      <c r="J42" s="493">
        <v>0</v>
      </c>
      <c r="K42" s="493">
        <v>0</v>
      </c>
      <c r="L42" s="493">
        <v>0</v>
      </c>
      <c r="M42" s="493">
        <v>445</v>
      </c>
      <c r="N42" s="493" t="s">
        <v>867</v>
      </c>
      <c r="O42" s="493" t="s">
        <v>39</v>
      </c>
      <c r="P42" s="493" t="s">
        <v>38</v>
      </c>
      <c r="Q42" s="493">
        <v>465</v>
      </c>
      <c r="R42" s="493">
        <v>467</v>
      </c>
      <c r="S42" s="493">
        <v>457.8</v>
      </c>
      <c r="T42" s="493">
        <v>473.6</v>
      </c>
      <c r="U42" s="493">
        <v>16061367</v>
      </c>
      <c r="V42" s="493" t="s">
        <v>867</v>
      </c>
      <c r="W42" s="493" t="s">
        <v>867</v>
      </c>
      <c r="X42" s="493" t="s">
        <v>867</v>
      </c>
      <c r="Y42" s="493" t="s">
        <v>867</v>
      </c>
      <c r="Z42" s="493" t="s">
        <v>867</v>
      </c>
      <c r="AA42" s="493" t="s">
        <v>867</v>
      </c>
      <c r="AB42" s="493" t="s">
        <v>867</v>
      </c>
      <c r="AC42" s="493" t="s">
        <v>867</v>
      </c>
      <c r="AD42" s="493" t="s">
        <v>867</v>
      </c>
      <c r="AE42" s="493" t="s">
        <v>867</v>
      </c>
      <c r="AF42" s="493" t="s">
        <v>867</v>
      </c>
      <c r="AG42" s="493" t="s">
        <v>867</v>
      </c>
      <c r="AH42" s="493" t="s">
        <v>867</v>
      </c>
      <c r="AI42" s="493" t="s">
        <v>867</v>
      </c>
      <c r="AJ42" s="493" t="s">
        <v>867</v>
      </c>
      <c r="AK42" s="493" t="s">
        <v>867</v>
      </c>
      <c r="AL42" s="493" t="s">
        <v>867</v>
      </c>
      <c r="AM42" s="493" t="s">
        <v>867</v>
      </c>
      <c r="AN42" s="493" t="s">
        <v>867</v>
      </c>
      <c r="AO42" s="494" t="s">
        <v>867</v>
      </c>
    </row>
    <row r="43" spans="2:41" ht="15.75" customHeight="1">
      <c r="B43" s="517">
        <v>44572000047</v>
      </c>
      <c r="C43" s="495" t="s">
        <v>188</v>
      </c>
      <c r="D43" s="495" t="s">
        <v>91</v>
      </c>
      <c r="E43" s="518">
        <v>44572</v>
      </c>
      <c r="F43" s="495" t="s">
        <v>17</v>
      </c>
      <c r="G43" s="495" t="s">
        <v>89</v>
      </c>
      <c r="H43" s="495" t="s">
        <v>16</v>
      </c>
      <c r="I43" s="495">
        <v>10</v>
      </c>
      <c r="J43" s="495">
        <v>0</v>
      </c>
      <c r="K43" s="495">
        <v>0</v>
      </c>
      <c r="L43" s="495">
        <v>0</v>
      </c>
      <c r="M43" s="495">
        <v>1050</v>
      </c>
      <c r="N43" s="495" t="s">
        <v>867</v>
      </c>
      <c r="O43" s="495" t="s">
        <v>41</v>
      </c>
      <c r="P43" s="495" t="s">
        <v>89</v>
      </c>
      <c r="Q43" s="495">
        <v>952.43</v>
      </c>
      <c r="R43" s="495">
        <v>987.54</v>
      </c>
      <c r="S43" s="495">
        <v>906.04</v>
      </c>
      <c r="T43" s="495">
        <v>918.4</v>
      </c>
      <c r="U43" s="495">
        <v>34955761</v>
      </c>
      <c r="V43" s="495" t="s">
        <v>867</v>
      </c>
      <c r="W43" s="495" t="s">
        <v>867</v>
      </c>
      <c r="X43" s="495" t="s">
        <v>867</v>
      </c>
      <c r="Y43" s="495" t="s">
        <v>867</v>
      </c>
      <c r="Z43" s="495" t="s">
        <v>867</v>
      </c>
      <c r="AA43" s="495" t="s">
        <v>867</v>
      </c>
      <c r="AB43" s="495" t="s">
        <v>867</v>
      </c>
      <c r="AC43" s="495" t="s">
        <v>867</v>
      </c>
      <c r="AD43" s="495" t="s">
        <v>867</v>
      </c>
      <c r="AE43" s="495" t="s">
        <v>867</v>
      </c>
      <c r="AF43" s="495" t="s">
        <v>867</v>
      </c>
      <c r="AG43" s="495" t="s">
        <v>867</v>
      </c>
      <c r="AH43" s="495" t="s">
        <v>867</v>
      </c>
      <c r="AI43" s="495" t="s">
        <v>867</v>
      </c>
      <c r="AJ43" s="495" t="s">
        <v>867</v>
      </c>
      <c r="AK43" s="495" t="s">
        <v>867</v>
      </c>
      <c r="AL43" s="495" t="s">
        <v>867</v>
      </c>
      <c r="AM43" s="495" t="s">
        <v>867</v>
      </c>
      <c r="AN43" s="495" t="s">
        <v>867</v>
      </c>
      <c r="AO43" s="490" t="s">
        <v>867</v>
      </c>
    </row>
  </sheetData>
  <hyperlinks>
    <hyperlink ref="G14" r:id="rId2" display="http://0700.hk/" xr:uid="{00000000-0004-0000-0600-000000000000}"/>
    <hyperlink ref="P14" r:id="rId3" display="http://0700.hk/" xr:uid="{00000000-0004-0000-0600-000001000000}"/>
    <hyperlink ref="G15" r:id="rId4" display="http://0700.hk/" xr:uid="{00000000-0004-0000-0600-000002000000}"/>
    <hyperlink ref="P15" r:id="rId5" display="http://0700.hk/" xr:uid="{00000000-0004-0000-0600-000003000000}"/>
    <hyperlink ref="G16" r:id="rId6" display="http://600519.ss/" xr:uid="{00000000-0004-0000-0600-000004000000}"/>
    <hyperlink ref="P16" r:id="rId7" display="http://600519.ss/" xr:uid="{00000000-0004-0000-0600-000005000000}"/>
    <hyperlink ref="G17" r:id="rId8" display="http://mc.pa/" xr:uid="{00000000-0004-0000-0600-000006000000}"/>
    <hyperlink ref="P17" r:id="rId9" display="http://mc.pa/" xr:uid="{00000000-0004-0000-0600-000007000000}"/>
    <hyperlink ref="G18" r:id="rId10" display="http://600519.ss/" xr:uid="{00000000-0004-0000-0600-000008000000}"/>
    <hyperlink ref="P18" r:id="rId11" display="http://600519.ss/" xr:uid="{00000000-0004-0000-0600-000009000000}"/>
    <hyperlink ref="G19" r:id="rId12" display="http://0700.hk/" xr:uid="{00000000-0004-0000-0600-00000A000000}"/>
    <hyperlink ref="P19" r:id="rId13" display="http://0700.hk/" xr:uid="{00000000-0004-0000-0600-00000B000000}"/>
    <hyperlink ref="G22" r:id="rId14" display="http://0700.hk/" xr:uid="{00000000-0004-0000-0600-00000C000000}"/>
    <hyperlink ref="P22" r:id="rId15" display="http://0700.hk/" xr:uid="{00000000-0004-0000-0600-00000D000000}"/>
    <hyperlink ref="G23" r:id="rId16" display="http://0700.hk/" xr:uid="{00000000-0004-0000-0600-00000E000000}"/>
    <hyperlink ref="P23" r:id="rId17" display="http://0700.hk/" xr:uid="{00000000-0004-0000-0600-00000F000000}"/>
    <hyperlink ref="G24" r:id="rId18" display="http://600519.ss/" xr:uid="{00000000-0004-0000-0600-000010000000}"/>
    <hyperlink ref="P24" r:id="rId19" display="http://600519.ss/" xr:uid="{00000000-0004-0000-0600-000011000000}"/>
    <hyperlink ref="G25" r:id="rId20" display="http://0700.hk/" xr:uid="{00000000-0004-0000-0600-000012000000}"/>
    <hyperlink ref="P25" r:id="rId21" display="http://0700.hk/" xr:uid="{00000000-0004-0000-0600-000013000000}"/>
    <hyperlink ref="G27" r:id="rId22" display="http://mc.pa/" xr:uid="{00000000-0004-0000-0600-000014000000}"/>
    <hyperlink ref="P27" r:id="rId23" display="http://mc.pa/" xr:uid="{00000000-0004-0000-0600-000015000000}"/>
    <hyperlink ref="G28" r:id="rId24" display="http://0700.hk/" xr:uid="{00000000-0004-0000-0600-000016000000}"/>
    <hyperlink ref="P28" r:id="rId25" display="http://0700.hk/" xr:uid="{00000000-0004-0000-0600-000017000000}"/>
    <hyperlink ref="G30" r:id="rId26" display="http://mc.pa/" xr:uid="{00000000-0004-0000-0600-000018000000}"/>
    <hyperlink ref="P30" r:id="rId27" display="http://mc.pa/" xr:uid="{00000000-0004-0000-0600-000019000000}"/>
    <hyperlink ref="G33" r:id="rId28" display="http://mc.pa/" xr:uid="{00000000-0004-0000-0600-00001A000000}"/>
    <hyperlink ref="P33" r:id="rId29" display="http://mc.pa/" xr:uid="{00000000-0004-0000-0600-00001B000000}"/>
    <hyperlink ref="G34" r:id="rId30" display="http://mc.pa/" xr:uid="{00000000-0004-0000-0600-00001C000000}"/>
    <hyperlink ref="P34" r:id="rId31" display="http://mc.pa/" xr:uid="{00000000-0004-0000-0600-00001D000000}"/>
    <hyperlink ref="G35" r:id="rId32" display="http://mc.pa/" xr:uid="{00000000-0004-0000-0600-00001E000000}"/>
    <hyperlink ref="P35" r:id="rId33" display="http://mc.pa/" xr:uid="{00000000-0004-0000-0600-00001F000000}"/>
    <hyperlink ref="G36" r:id="rId34" display="http://0700.hk/" xr:uid="{00000000-0004-0000-0600-000020000000}"/>
    <hyperlink ref="P36" r:id="rId35" display="http://0700.hk/" xr:uid="{00000000-0004-0000-0600-000021000000}"/>
    <hyperlink ref="G37" r:id="rId36" display="http://mc.pa/" xr:uid="{00000000-0004-0000-0600-000022000000}"/>
    <hyperlink ref="P37" r:id="rId37" display="http://mc.pa/" xr:uid="{00000000-0004-0000-0600-000023000000}"/>
    <hyperlink ref="G38" r:id="rId38" display="http://0700.hk/" xr:uid="{00000000-0004-0000-0600-000024000000}"/>
    <hyperlink ref="P38" r:id="rId39" display="http://0700.hk/" xr:uid="{00000000-0004-0000-0600-000025000000}"/>
    <hyperlink ref="G40" r:id="rId40" display="http://mc.pa/" xr:uid="{00000000-0004-0000-0600-000026000000}"/>
    <hyperlink ref="P40" r:id="rId41" display="http://mc.pa/" xr:uid="{00000000-0004-0000-0600-000027000000}"/>
    <hyperlink ref="G41" r:id="rId42" display="http://0700.hk/" xr:uid="{00000000-0004-0000-0600-000028000000}"/>
    <hyperlink ref="P41" r:id="rId43" display="http://0700.hk/" xr:uid="{00000000-0004-0000-0600-000029000000}"/>
    <hyperlink ref="G42" r:id="rId44" display="http://0700.hk/" xr:uid="{00000000-0004-0000-0600-00002A000000}"/>
    <hyperlink ref="P42" r:id="rId45" display="http://0700.hk/" xr:uid="{00000000-0004-0000-0600-00002B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  <pageSetUpPr fitToPage="1"/>
  </sheetPr>
  <dimension ref="A1:FI1009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baseColWidth="10" defaultColWidth="14.5" defaultRowHeight="15.75" customHeight="1" outlineLevelCol="1"/>
  <cols>
    <col min="1" max="1" width="8.1640625" customWidth="1"/>
    <col min="2" max="2" width="13.83203125" customWidth="1"/>
    <col min="3" max="3" width="7.83203125" customWidth="1"/>
    <col min="4" max="4" width="12.5" customWidth="1"/>
    <col min="5" max="5" width="11.1640625" customWidth="1"/>
    <col min="6" max="6" width="17.83203125" customWidth="1" outlineLevel="1"/>
    <col min="7" max="7" width="8.1640625" customWidth="1" outlineLevel="1"/>
    <col min="8" max="8" width="21" customWidth="1" outlineLevel="1"/>
    <col min="9" max="16" width="14.5" outlineLevel="1"/>
    <col min="17" max="19" width="5" customWidth="1"/>
    <col min="20" max="48" width="8.83203125" customWidth="1"/>
    <col min="49" max="49" width="7" customWidth="1"/>
    <col min="50" max="50" width="30.5" customWidth="1"/>
    <col min="51" max="51" width="2.1640625" customWidth="1"/>
    <col min="52" max="52" width="6.6640625" customWidth="1"/>
    <col min="53" max="55" width="7.83203125" customWidth="1"/>
    <col min="56" max="59" width="9.1640625" customWidth="1"/>
    <col min="60" max="60" width="8.5" customWidth="1"/>
    <col min="61" max="63" width="7.5" customWidth="1"/>
    <col min="64" max="64" width="6.83203125" customWidth="1"/>
    <col min="65" max="65" width="9" customWidth="1"/>
    <col min="66" max="68" width="9.33203125" customWidth="1"/>
    <col min="69" max="69" width="8.1640625" customWidth="1"/>
    <col min="70" max="70" width="9.33203125" customWidth="1"/>
    <col min="71" max="71" width="9.6640625" customWidth="1"/>
    <col min="72" max="72" width="8.1640625" customWidth="1"/>
    <col min="73" max="73" width="8" customWidth="1"/>
    <col min="74" max="74" width="6.83203125" customWidth="1"/>
    <col min="75" max="75" width="10.5" customWidth="1"/>
    <col min="76" max="77" width="8.5" customWidth="1"/>
    <col min="78" max="78" width="7.5" customWidth="1"/>
    <col min="79" max="79" width="7.83203125" customWidth="1"/>
    <col min="80" max="80" width="7.33203125" customWidth="1"/>
    <col min="81" max="81" width="7.6640625" customWidth="1"/>
    <col min="82" max="84" width="9.1640625" customWidth="1"/>
    <col min="85" max="85" width="8.5" customWidth="1"/>
    <col min="86" max="86" width="10.5" customWidth="1"/>
    <col min="87" max="87" width="12" customWidth="1"/>
    <col min="88" max="89" width="11.83203125" customWidth="1"/>
    <col min="91" max="91" width="12.5" customWidth="1"/>
    <col min="92" max="114" width="9.5" customWidth="1"/>
    <col min="115" max="115" width="2.1640625" customWidth="1"/>
    <col min="116" max="123" width="9.5" customWidth="1"/>
    <col min="124" max="126" width="11.5" customWidth="1"/>
    <col min="127" max="135" width="9.5" customWidth="1"/>
    <col min="136" max="136" width="12" customWidth="1"/>
    <col min="137" max="137" width="12.6640625" customWidth="1"/>
    <col min="138" max="140" width="11.5" customWidth="1"/>
    <col min="141" max="141" width="9.5" customWidth="1"/>
    <col min="142" max="142" width="2" customWidth="1"/>
    <col min="143" max="145" width="9.5" customWidth="1"/>
    <col min="146" max="146" width="2.5" customWidth="1"/>
    <col min="147" max="150" width="12.5" customWidth="1"/>
    <col min="151" max="151" width="13.83203125" customWidth="1"/>
    <col min="152" max="152" width="8.6640625" customWidth="1"/>
    <col min="153" max="153" width="2" customWidth="1"/>
    <col min="154" max="158" width="10.83203125" customWidth="1"/>
    <col min="159" max="159" width="1.83203125" customWidth="1"/>
    <col min="160" max="165" width="9.5" customWidth="1"/>
  </cols>
  <sheetData>
    <row r="1" spans="1:165" ht="27.75" customHeight="1">
      <c r="A1" s="62"/>
      <c r="B1" s="62"/>
      <c r="C1" s="154" t="s">
        <v>189</v>
      </c>
      <c r="F1" s="64" t="s">
        <v>65</v>
      </c>
      <c r="G1" s="44" t="s">
        <v>66</v>
      </c>
      <c r="H1" s="44" t="s">
        <v>67</v>
      </c>
      <c r="I1" s="44" t="s">
        <v>68</v>
      </c>
      <c r="J1" s="44" t="s">
        <v>69</v>
      </c>
      <c r="K1" s="44" t="s">
        <v>97</v>
      </c>
      <c r="L1" s="44" t="s">
        <v>98</v>
      </c>
      <c r="M1" s="44" t="s">
        <v>72</v>
      </c>
      <c r="N1" s="44" t="s">
        <v>73</v>
      </c>
      <c r="O1" s="43" t="s">
        <v>74</v>
      </c>
      <c r="P1" s="43" t="s">
        <v>75</v>
      </c>
      <c r="V1" s="10">
        <f>MATCH(V$4,After1stCHK!$B$3:$AO$3,0)</f>
        <v>14</v>
      </c>
      <c r="AY1" s="65"/>
      <c r="AZ1" s="3"/>
      <c r="BA1" s="3"/>
      <c r="BC1" s="3"/>
      <c r="BD1" s="3" t="s">
        <v>190</v>
      </c>
      <c r="BE1" s="8">
        <v>0</v>
      </c>
      <c r="BF1" s="3" t="s">
        <v>190</v>
      </c>
      <c r="BG1" s="8">
        <v>1</v>
      </c>
      <c r="BN1" s="8" t="s">
        <v>191</v>
      </c>
      <c r="BP1" s="8" t="s">
        <v>192</v>
      </c>
      <c r="BU1" s="8" t="s">
        <v>191</v>
      </c>
      <c r="BZ1" s="8" t="s">
        <v>191</v>
      </c>
      <c r="CB1" s="8" t="s">
        <v>193</v>
      </c>
      <c r="CO1" s="3" t="s">
        <v>194</v>
      </c>
      <c r="CP1" s="3"/>
      <c r="CQ1" s="3"/>
      <c r="CR1" s="3"/>
      <c r="CS1" s="73"/>
      <c r="CT1" s="73"/>
      <c r="CU1" s="73"/>
      <c r="CW1" s="155"/>
      <c r="CX1" s="156"/>
      <c r="CY1" s="157" t="s">
        <v>195</v>
      </c>
      <c r="CZ1" s="156"/>
      <c r="DA1" s="156"/>
      <c r="DB1" s="156"/>
      <c r="DC1" s="156"/>
      <c r="DD1" s="156"/>
      <c r="DE1" s="156"/>
      <c r="DF1" s="156"/>
      <c r="DI1" s="73" t="s">
        <v>196</v>
      </c>
      <c r="DJ1" s="8">
        <v>0</v>
      </c>
      <c r="DK1" s="3"/>
      <c r="DL1" s="8" t="s">
        <v>197</v>
      </c>
      <c r="DM1" s="52"/>
      <c r="DN1" s="52"/>
      <c r="DO1" s="52"/>
      <c r="DT1" s="158" t="s">
        <v>198</v>
      </c>
      <c r="EB1" s="8" t="s">
        <v>191</v>
      </c>
      <c r="EE1" s="3"/>
      <c r="EF1" s="3"/>
      <c r="EG1" s="3">
        <v>2</v>
      </c>
      <c r="EH1" s="32"/>
      <c r="EI1" s="32"/>
      <c r="EJ1" s="159">
        <v>0.5</v>
      </c>
      <c r="EU1" s="3" t="s">
        <v>190</v>
      </c>
      <c r="EV1" s="8">
        <v>1</v>
      </c>
    </row>
    <row r="2" spans="1:165" ht="13">
      <c r="A2" s="66"/>
      <c r="B2" s="66"/>
      <c r="C2" s="66"/>
      <c r="D2" s="66"/>
      <c r="E2" s="66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9"/>
      <c r="AY2" s="65"/>
      <c r="AZ2" s="3"/>
      <c r="BA2" s="3"/>
      <c r="BD2" s="3"/>
      <c r="BE2" s="3"/>
      <c r="BF2" s="3"/>
      <c r="BG2" s="3"/>
      <c r="BH2" s="3"/>
      <c r="BN2" s="82"/>
      <c r="BO2" s="82"/>
      <c r="BP2" s="82"/>
      <c r="BQ2" s="82"/>
      <c r="BR2" s="82"/>
      <c r="BS2" s="82"/>
      <c r="BT2" s="82"/>
      <c r="BU2" s="110"/>
      <c r="BV2" s="110"/>
      <c r="BW2" s="110"/>
      <c r="BX2" s="110"/>
      <c r="BY2" s="110"/>
      <c r="BZ2" s="54"/>
      <c r="CA2" s="54"/>
      <c r="CB2" s="54"/>
      <c r="CC2" s="54"/>
      <c r="CD2" s="54"/>
      <c r="CE2" s="54"/>
      <c r="CF2" s="54"/>
      <c r="CG2" s="85"/>
      <c r="CH2" s="85"/>
      <c r="CI2" s="85"/>
      <c r="CJ2" s="85"/>
      <c r="CK2" s="85"/>
      <c r="CL2" s="3"/>
      <c r="CO2" s="3" t="str">
        <f>ADDRESS(1,COLUMN(BQ4))</f>
        <v>$BQ$1</v>
      </c>
      <c r="CP2" s="3" t="str">
        <f>ADDRESS(1,COLUMN(BV4))</f>
        <v>$BV$1</v>
      </c>
      <c r="CQ2" s="3" t="str">
        <f>ADDRESS(1,COLUMN(CC4))</f>
        <v>$CC$1</v>
      </c>
      <c r="CR2" s="3" t="str">
        <f>ADDRESS(1,COLUMN(CJ4))</f>
        <v>$CJ$1</v>
      </c>
      <c r="DB2" s="160" t="s">
        <v>199</v>
      </c>
      <c r="DC2" s="161"/>
      <c r="DD2" s="161"/>
      <c r="DE2" s="161"/>
      <c r="DK2" s="3"/>
      <c r="DL2" s="3" t="s">
        <v>200</v>
      </c>
      <c r="DM2" s="3" t="s">
        <v>201</v>
      </c>
      <c r="DN2" s="121" t="s">
        <v>202</v>
      </c>
      <c r="DO2" s="52"/>
      <c r="DP2" s="52"/>
      <c r="DQ2" s="52"/>
      <c r="DR2" s="52"/>
      <c r="DS2" s="52"/>
      <c r="DT2" s="3"/>
      <c r="DU2" s="3"/>
      <c r="DV2" s="3"/>
      <c r="DW2" s="52"/>
      <c r="EE2" s="3"/>
      <c r="EF2" s="3"/>
      <c r="EG2" s="162" t="s">
        <v>203</v>
      </c>
      <c r="EH2" s="161"/>
      <c r="EI2" s="161"/>
      <c r="EJ2" s="161"/>
      <c r="EK2" s="161"/>
      <c r="EL2" s="161"/>
      <c r="EM2" s="161"/>
      <c r="EN2" s="161"/>
      <c r="EV2" s="159">
        <v>0.5</v>
      </c>
    </row>
    <row r="3" spans="1:165" ht="13">
      <c r="A3" s="66"/>
      <c r="B3" s="163"/>
      <c r="C3" s="66"/>
      <c r="D3" s="66"/>
      <c r="E3" s="66"/>
      <c r="F3" s="483" t="s">
        <v>99</v>
      </c>
      <c r="G3" s="484"/>
      <c r="H3" s="484"/>
      <c r="I3" s="484"/>
      <c r="J3" s="484"/>
      <c r="K3" s="484"/>
      <c r="L3" s="484"/>
      <c r="M3" s="484"/>
      <c r="N3" s="484"/>
      <c r="O3" s="484"/>
      <c r="P3" s="485"/>
      <c r="T3" s="486" t="s">
        <v>100</v>
      </c>
      <c r="U3" s="487"/>
      <c r="V3" s="487"/>
      <c r="W3" s="487"/>
      <c r="X3" s="487"/>
      <c r="Y3" s="487"/>
      <c r="Z3" s="487"/>
      <c r="AA3" s="487"/>
      <c r="AB3" s="487"/>
      <c r="AC3" s="487"/>
      <c r="AD3" s="487"/>
      <c r="AE3" s="487"/>
      <c r="AF3" s="487"/>
      <c r="AG3" s="487"/>
      <c r="AH3" s="487"/>
      <c r="AI3" s="487"/>
      <c r="AJ3" s="487"/>
      <c r="AK3" s="487"/>
      <c r="AL3" s="487"/>
      <c r="AM3" s="487"/>
      <c r="AN3" s="487"/>
      <c r="AO3" s="487"/>
      <c r="AP3" s="487"/>
      <c r="AQ3" s="487"/>
      <c r="AR3" s="487"/>
      <c r="AS3" s="487"/>
      <c r="AT3" s="487"/>
      <c r="AU3" s="487"/>
      <c r="AV3" s="487"/>
      <c r="AW3" s="69" t="s">
        <v>101</v>
      </c>
      <c r="AY3" s="65"/>
      <c r="AZ3" s="3"/>
      <c r="BA3" s="3"/>
      <c r="BB3" s="3"/>
      <c r="BC3" s="3"/>
      <c r="BD3" s="3"/>
      <c r="BE3" s="3"/>
      <c r="BF3" s="3"/>
      <c r="BG3" s="3"/>
      <c r="BH3" s="3" t="s">
        <v>204</v>
      </c>
      <c r="BN3" s="82" t="s">
        <v>16</v>
      </c>
      <c r="BO3" s="82"/>
      <c r="BP3" s="82"/>
      <c r="BQ3" s="82"/>
      <c r="BR3" s="82"/>
      <c r="BS3" s="82"/>
      <c r="BT3" s="82"/>
      <c r="BU3" s="110" t="s">
        <v>18</v>
      </c>
      <c r="BV3" s="110"/>
      <c r="BW3" s="110"/>
      <c r="BX3" s="110"/>
      <c r="BY3" s="110"/>
      <c r="BZ3" s="54" t="s">
        <v>21</v>
      </c>
      <c r="CA3" s="54"/>
      <c r="CB3" s="54"/>
      <c r="CC3" s="54"/>
      <c r="CD3" s="54"/>
      <c r="CE3" s="54"/>
      <c r="CF3" s="54"/>
      <c r="CG3" s="85" t="s">
        <v>61</v>
      </c>
      <c r="CH3" s="85"/>
      <c r="CI3" s="85"/>
      <c r="CJ3" s="85"/>
      <c r="CK3" s="85"/>
      <c r="CL3" s="3" t="s">
        <v>205</v>
      </c>
      <c r="CO3" s="164"/>
      <c r="CP3" s="165" t="s">
        <v>206</v>
      </c>
      <c r="CQ3" s="165"/>
      <c r="CR3" s="166"/>
      <c r="CS3" s="167"/>
      <c r="CT3" s="165" t="s">
        <v>207</v>
      </c>
      <c r="CU3" s="167"/>
      <c r="CV3" s="167"/>
      <c r="CW3" s="167"/>
      <c r="CX3" s="165" t="s">
        <v>208</v>
      </c>
      <c r="CY3" s="167"/>
      <c r="CZ3" s="167"/>
      <c r="DA3" s="167"/>
      <c r="DB3" s="168" t="s">
        <v>209</v>
      </c>
      <c r="DC3" s="165"/>
      <c r="DD3" s="165"/>
      <c r="DE3" s="165"/>
      <c r="DF3" s="165" t="s">
        <v>210</v>
      </c>
      <c r="DG3" s="167"/>
      <c r="DH3" s="167"/>
      <c r="DI3" s="167"/>
      <c r="DJ3" s="169"/>
      <c r="DK3" s="3"/>
      <c r="DL3" s="164"/>
      <c r="DM3" s="165"/>
      <c r="DN3" s="165"/>
      <c r="DO3" s="165"/>
      <c r="DP3" s="165"/>
      <c r="DQ3" s="165"/>
      <c r="DR3" s="165"/>
      <c r="DS3" s="165" t="s">
        <v>211</v>
      </c>
      <c r="DT3" s="165"/>
      <c r="DU3" s="165"/>
      <c r="DV3" s="165"/>
      <c r="DW3" s="166"/>
      <c r="DX3" s="167"/>
      <c r="DY3" s="167"/>
      <c r="DZ3" s="167"/>
      <c r="EA3" s="167"/>
      <c r="EB3" s="169"/>
      <c r="EE3" s="3"/>
      <c r="EF3" s="3"/>
      <c r="EG3" s="164"/>
      <c r="EH3" s="165" t="s">
        <v>212</v>
      </c>
      <c r="EI3" s="165"/>
      <c r="EJ3" s="165"/>
      <c r="EK3" s="165"/>
      <c r="EL3" s="165"/>
      <c r="EM3" s="165" t="s">
        <v>213</v>
      </c>
      <c r="EN3" s="166"/>
      <c r="EO3" s="167"/>
      <c r="EP3" s="167"/>
      <c r="EQ3" s="165" t="s">
        <v>214</v>
      </c>
      <c r="ER3" s="167"/>
      <c r="ES3" s="167"/>
      <c r="ET3" s="167"/>
      <c r="EU3" s="167"/>
      <c r="EV3" s="170"/>
      <c r="EW3" s="165"/>
      <c r="EX3" s="165" t="s">
        <v>215</v>
      </c>
      <c r="EY3" s="167"/>
      <c r="EZ3" s="167"/>
      <c r="FA3" s="167"/>
      <c r="FB3" s="167"/>
      <c r="FC3" s="171"/>
    </row>
    <row r="4" spans="1:165" ht="34.5" customHeight="1">
      <c r="A4" s="45" t="s">
        <v>216</v>
      </c>
      <c r="B4" s="45" t="s">
        <v>105</v>
      </c>
      <c r="C4" s="45" t="s">
        <v>103</v>
      </c>
      <c r="D4" s="45" t="s">
        <v>102</v>
      </c>
      <c r="E4" s="70" t="s">
        <v>106</v>
      </c>
      <c r="F4" s="45" t="s">
        <v>107</v>
      </c>
      <c r="G4" s="45" t="s">
        <v>108</v>
      </c>
      <c r="H4" s="45" t="s">
        <v>109</v>
      </c>
      <c r="I4" s="45" t="s">
        <v>110</v>
      </c>
      <c r="J4" s="45" t="s">
        <v>111</v>
      </c>
      <c r="K4" s="71" t="s">
        <v>112</v>
      </c>
      <c r="L4" s="71" t="s">
        <v>113</v>
      </c>
      <c r="M4" s="45" t="s">
        <v>114</v>
      </c>
      <c r="N4" s="45" t="s">
        <v>115</v>
      </c>
      <c r="O4" s="3" t="s">
        <v>116</v>
      </c>
      <c r="P4" s="3" t="s">
        <v>117</v>
      </c>
      <c r="Q4" s="3" t="s">
        <v>15</v>
      </c>
      <c r="R4" s="3" t="s">
        <v>15</v>
      </c>
      <c r="S4" s="3" t="s">
        <v>15</v>
      </c>
      <c r="T4" s="71" t="s">
        <v>8</v>
      </c>
      <c r="U4" s="71" t="s">
        <v>118</v>
      </c>
      <c r="V4" s="71" t="s">
        <v>119</v>
      </c>
      <c r="W4" s="71" t="s">
        <v>120</v>
      </c>
      <c r="X4" s="71" t="s">
        <v>121</v>
      </c>
      <c r="Y4" s="71" t="s">
        <v>122</v>
      </c>
      <c r="Z4" s="71" t="s">
        <v>123</v>
      </c>
      <c r="AA4" s="71" t="s">
        <v>124</v>
      </c>
      <c r="AB4" s="71" t="s">
        <v>125</v>
      </c>
      <c r="AC4" s="71" t="s">
        <v>126</v>
      </c>
      <c r="AD4" s="72" t="s">
        <v>127</v>
      </c>
      <c r="AE4" s="72" t="s">
        <v>128</v>
      </c>
      <c r="AF4" s="71" t="s">
        <v>129</v>
      </c>
      <c r="AG4" s="71" t="s">
        <v>130</v>
      </c>
      <c r="AH4" s="71" t="s">
        <v>131</v>
      </c>
      <c r="AI4" s="72" t="s">
        <v>132</v>
      </c>
      <c r="AJ4" s="71" t="s">
        <v>133</v>
      </c>
      <c r="AK4" s="71" t="s">
        <v>134</v>
      </c>
      <c r="AL4" s="71" t="s">
        <v>135</v>
      </c>
      <c r="AM4" s="71" t="s">
        <v>136</v>
      </c>
      <c r="AN4" s="71" t="s">
        <v>137</v>
      </c>
      <c r="AO4" s="71" t="s">
        <v>138</v>
      </c>
      <c r="AP4" s="71" t="s">
        <v>139</v>
      </c>
      <c r="AQ4" s="71" t="s">
        <v>140</v>
      </c>
      <c r="AR4" s="71" t="s">
        <v>141</v>
      </c>
      <c r="AS4" s="71" t="s">
        <v>142</v>
      </c>
      <c r="AT4" s="71" t="s">
        <v>143</v>
      </c>
      <c r="AU4" s="71" t="s">
        <v>61</v>
      </c>
      <c r="AV4" s="71" t="s">
        <v>217</v>
      </c>
      <c r="AW4" s="45" t="s">
        <v>145</v>
      </c>
      <c r="AX4" s="45" t="s">
        <v>146</v>
      </c>
      <c r="AY4" s="91"/>
      <c r="AZ4" s="45"/>
      <c r="BA4" s="74"/>
      <c r="BB4" s="74"/>
      <c r="BC4" s="75"/>
      <c r="BD4" s="74" t="s">
        <v>218</v>
      </c>
      <c r="BE4" s="74" t="s">
        <v>219</v>
      </c>
      <c r="BF4" s="74" t="s">
        <v>220</v>
      </c>
      <c r="BG4" s="172" t="s">
        <v>221</v>
      </c>
      <c r="BH4" s="74" t="s">
        <v>222</v>
      </c>
      <c r="BI4" s="74" t="s">
        <v>223</v>
      </c>
      <c r="BJ4" s="45" t="s">
        <v>224</v>
      </c>
      <c r="BK4" s="45" t="s">
        <v>225</v>
      </c>
      <c r="BL4" s="73" t="s">
        <v>226</v>
      </c>
      <c r="BM4" s="73" t="s">
        <v>109</v>
      </c>
      <c r="BN4" s="173" t="s">
        <v>227</v>
      </c>
      <c r="BO4" s="73" t="s">
        <v>228</v>
      </c>
      <c r="BP4" s="174" t="s">
        <v>229</v>
      </c>
      <c r="BQ4" s="175" t="s">
        <v>230</v>
      </c>
      <c r="BR4" s="176" t="s">
        <v>231</v>
      </c>
      <c r="BS4" s="73" t="s">
        <v>232</v>
      </c>
      <c r="BT4" s="177" t="s">
        <v>15</v>
      </c>
      <c r="BU4" s="73" t="s">
        <v>233</v>
      </c>
      <c r="BV4" s="73" t="s">
        <v>234</v>
      </c>
      <c r="BW4" s="176" t="s">
        <v>235</v>
      </c>
      <c r="BX4" s="73" t="s">
        <v>236</v>
      </c>
      <c r="BY4" s="177" t="s">
        <v>15</v>
      </c>
      <c r="BZ4" s="173" t="s">
        <v>237</v>
      </c>
      <c r="CA4" s="73" t="s">
        <v>238</v>
      </c>
      <c r="CB4" s="174" t="s">
        <v>239</v>
      </c>
      <c r="CC4" s="175" t="s">
        <v>240</v>
      </c>
      <c r="CD4" s="176" t="s">
        <v>241</v>
      </c>
      <c r="CE4" s="73" t="s">
        <v>242</v>
      </c>
      <c r="CF4" s="177" t="s">
        <v>15</v>
      </c>
      <c r="CG4" s="173" t="s">
        <v>243</v>
      </c>
      <c r="CH4" s="175" t="s">
        <v>244</v>
      </c>
      <c r="CI4" s="176" t="s">
        <v>245</v>
      </c>
      <c r="CJ4" s="73" t="s">
        <v>246</v>
      </c>
      <c r="CK4" s="177" t="s">
        <v>15</v>
      </c>
      <c r="CL4" s="73" t="s">
        <v>247</v>
      </c>
      <c r="CM4" s="73" t="s">
        <v>248</v>
      </c>
      <c r="CN4" s="73" t="s">
        <v>15</v>
      </c>
      <c r="CO4" s="73" t="s">
        <v>15</v>
      </c>
      <c r="CP4" s="178" t="s">
        <v>249</v>
      </c>
      <c r="CQ4" s="73" t="s">
        <v>250</v>
      </c>
      <c r="CR4" s="73" t="s">
        <v>251</v>
      </c>
      <c r="CS4" s="73" t="s">
        <v>252</v>
      </c>
      <c r="CT4" s="179" t="s">
        <v>253</v>
      </c>
      <c r="CU4" s="73" t="s">
        <v>254</v>
      </c>
      <c r="CV4" s="73" t="s">
        <v>255</v>
      </c>
      <c r="CW4" s="73" t="s">
        <v>256</v>
      </c>
      <c r="CX4" s="73" t="s">
        <v>257</v>
      </c>
      <c r="CY4" s="73" t="s">
        <v>258</v>
      </c>
      <c r="CZ4" s="73" t="s">
        <v>259</v>
      </c>
      <c r="DA4" s="73" t="s">
        <v>260</v>
      </c>
      <c r="DB4" s="73" t="s">
        <v>261</v>
      </c>
      <c r="DC4" s="73" t="s">
        <v>262</v>
      </c>
      <c r="DD4" s="73" t="s">
        <v>263</v>
      </c>
      <c r="DE4" s="73" t="s">
        <v>264</v>
      </c>
      <c r="DF4" s="73" t="s">
        <v>265</v>
      </c>
      <c r="DG4" s="73" t="s">
        <v>266</v>
      </c>
      <c r="DH4" s="73" t="s">
        <v>267</v>
      </c>
      <c r="DI4" s="73" t="s">
        <v>268</v>
      </c>
      <c r="DJ4" s="73" t="s">
        <v>269</v>
      </c>
      <c r="DK4" s="73" t="s">
        <v>15</v>
      </c>
      <c r="DL4" s="180" t="s">
        <v>270</v>
      </c>
      <c r="DM4" s="73" t="s">
        <v>271</v>
      </c>
      <c r="DN4" s="73" t="s">
        <v>272</v>
      </c>
      <c r="DO4" s="73" t="s">
        <v>273</v>
      </c>
      <c r="DP4" s="73" t="s">
        <v>274</v>
      </c>
      <c r="DQ4" s="181" t="s">
        <v>275</v>
      </c>
      <c r="DR4" s="181" t="s">
        <v>276</v>
      </c>
      <c r="DS4" s="181" t="s">
        <v>277</v>
      </c>
      <c r="DT4" s="182" t="s">
        <v>278</v>
      </c>
      <c r="DU4" s="182" t="s">
        <v>279</v>
      </c>
      <c r="DV4" s="182" t="s">
        <v>280</v>
      </c>
      <c r="DW4" s="183" t="s">
        <v>281</v>
      </c>
      <c r="DX4" s="73" t="s">
        <v>248</v>
      </c>
      <c r="DY4" s="73" t="s">
        <v>282</v>
      </c>
      <c r="DZ4" s="184" t="s">
        <v>283</v>
      </c>
      <c r="EA4" s="184" t="s">
        <v>284</v>
      </c>
      <c r="EB4" s="184" t="s">
        <v>285</v>
      </c>
      <c r="EC4" s="185" t="s">
        <v>286</v>
      </c>
      <c r="ED4" s="185" t="s">
        <v>287</v>
      </c>
      <c r="EE4" s="184" t="s">
        <v>288</v>
      </c>
      <c r="EF4" s="186" t="s">
        <v>289</v>
      </c>
      <c r="EG4" s="187" t="s">
        <v>290</v>
      </c>
      <c r="EH4" s="73" t="s">
        <v>291</v>
      </c>
      <c r="EI4" s="73" t="s">
        <v>292</v>
      </c>
      <c r="EJ4" s="73" t="s">
        <v>293</v>
      </c>
      <c r="EK4" s="188" t="s">
        <v>294</v>
      </c>
      <c r="EL4" s="73" t="s">
        <v>15</v>
      </c>
      <c r="EM4" s="73" t="s">
        <v>295</v>
      </c>
      <c r="EN4" s="73" t="s">
        <v>296</v>
      </c>
      <c r="EO4" s="188"/>
      <c r="EP4" s="73" t="s">
        <v>15</v>
      </c>
      <c r="EQ4" s="73" t="s">
        <v>297</v>
      </c>
      <c r="ER4" s="73" t="s">
        <v>298</v>
      </c>
      <c r="ES4" s="73" t="s">
        <v>299</v>
      </c>
      <c r="ET4" s="73" t="s">
        <v>300</v>
      </c>
      <c r="EU4" s="188" t="s">
        <v>301</v>
      </c>
      <c r="EV4" s="73" t="s">
        <v>302</v>
      </c>
      <c r="EW4" s="73" t="s">
        <v>15</v>
      </c>
      <c r="EX4" s="73" t="s">
        <v>303</v>
      </c>
      <c r="EY4" s="73" t="s">
        <v>304</v>
      </c>
      <c r="EZ4" s="73" t="s">
        <v>305</v>
      </c>
      <c r="FA4" s="73" t="s">
        <v>306</v>
      </c>
      <c r="FB4" s="73" t="s">
        <v>307</v>
      </c>
      <c r="FC4" s="189"/>
      <c r="FE4" s="52"/>
      <c r="FF4" s="52"/>
      <c r="FG4" s="52"/>
      <c r="FH4" s="73"/>
      <c r="FI4" s="73"/>
    </row>
    <row r="5" spans="1:165" ht="13">
      <c r="A5" s="10">
        <f>IF(E5&lt;=HistSecRecord!$E$1,1,0)</f>
        <v>1</v>
      </c>
      <c r="B5" s="190">
        <f>After1stCHK!B4</f>
        <v>44561000005</v>
      </c>
      <c r="C5" s="3" t="str">
        <f>After1stCHK!C4</f>
        <v>D0001</v>
      </c>
      <c r="D5" s="29" t="str">
        <f>After1stCHK!D4</f>
        <v>sABCD0001@hkmu.edu.hk</v>
      </c>
      <c r="E5" s="4">
        <f>After1stCHK!E4</f>
        <v>44561</v>
      </c>
      <c r="F5" s="78"/>
      <c r="G5" s="79" t="str">
        <f>After1stCHK!F4</f>
        <v>BUY (LONG)</v>
      </c>
      <c r="H5" s="80" t="s">
        <v>64</v>
      </c>
      <c r="I5" s="81" t="str">
        <f>After1stCHK!H4</f>
        <v>Cash</v>
      </c>
      <c r="J5" s="82" t="str">
        <f>After1stCHK!I4</f>
        <v>(blank)</v>
      </c>
      <c r="K5" s="83" t="str">
        <f>After1stCHK!J4</f>
        <v>(blank)</v>
      </c>
      <c r="L5" s="84" t="str">
        <f>After1stCHK!K4</f>
        <v>(blank)</v>
      </c>
      <c r="M5" s="85">
        <f>After1stCHK!L4</f>
        <v>500000</v>
      </c>
      <c r="N5" s="82" t="str">
        <f>After1stCHK!M4</f>
        <v>(blank)</v>
      </c>
      <c r="O5" s="82"/>
      <c r="P5" s="86"/>
      <c r="Q5" s="43"/>
      <c r="T5" s="87">
        <f t="shared" ref="T5:T43" si="0">DATE(YEAR(E5),MONTH(E5),DAY(E5))</f>
        <v>44561</v>
      </c>
      <c r="U5" s="79"/>
      <c r="V5" s="81" t="str">
        <f>VLOOKUP($B5,After1stCHK!$B$3:$AO$87840,MATCH(V$4,After1stCHK!$B$3:$AO$3,0),FALSE)</f>
        <v>HKD</v>
      </c>
      <c r="W5" s="88" t="str">
        <f>VLOOKUP($B5,After1stCHK!$B$3:$AO$87840,MATCH(W$4,After1stCHK!$B$3:$AO$3,0),FALSE)</f>
        <v>(blank)</v>
      </c>
      <c r="X5" s="88" t="str">
        <f>VLOOKUP($B5,After1stCHK!$B$3:$AO$87840,MATCH(X$4,After1stCHK!$B$3:$AO$3,0),FALSE)</f>
        <v>(blank)</v>
      </c>
      <c r="Y5" s="88" t="str">
        <f>VLOOKUP($B5,After1stCHK!$B$3:$AO$87840,MATCH(Y$4,After1stCHK!$B$3:$AO$3,0),FALSE)</f>
        <v>(blank)</v>
      </c>
      <c r="Z5" s="88" t="str">
        <f>VLOOKUP($B5,After1stCHK!$B$3:$AO$87840,MATCH(Z$4,After1stCHK!$B$3:$AO$3,0),FALSE)</f>
        <v>(blank)</v>
      </c>
      <c r="AA5" s="88" t="str">
        <f>VLOOKUP($B5,After1stCHK!$B$3:$AO$87840,MATCH(AA$4,After1stCHK!$B$3:$AO$3,0),FALSE)</f>
        <v>(blank)</v>
      </c>
      <c r="AB5" s="88" t="str">
        <f>VLOOKUP($B5,After1stCHK!$B$3:$AO$87840,MATCH(AB$4,After1stCHK!$B$3:$AO$3,0),FALSE)</f>
        <v>(blank)</v>
      </c>
      <c r="AC5" s="83" t="str">
        <f>VLOOKUP($B5,After1stCHK!$B$3:$AO$87840,MATCH(AC$4,After1stCHK!$B$3:$AO$3,0),FALSE)</f>
        <v>(blank)</v>
      </c>
      <c r="AD5" s="83" t="str">
        <f>VLOOKUP($B5,After1stCHK!$B$3:$AO$87840,MATCH(AD$4,After1stCHK!$B$3:$AO$3,0),FALSE)</f>
        <v>(blank)</v>
      </c>
      <c r="AE5" s="83" t="str">
        <f>VLOOKUP($B5,After1stCHK!$B$3:$AO$87840,MATCH(AE$4,After1stCHK!$B$3:$AO$3,0),FALSE)</f>
        <v>(blank)</v>
      </c>
      <c r="AF5" s="83" t="str">
        <f>VLOOKUP($B5,After1stCHK!$B$3:$AO$87840,MATCH(AF$4,After1stCHK!$B$3:$AO$3,0),FALSE)</f>
        <v>(blank)</v>
      </c>
      <c r="AG5" s="83" t="str">
        <f>VLOOKUP($B5,After1stCHK!$B$3:$AO$87840,MATCH(AG$4,After1stCHK!$B$3:$AO$3,0),FALSE)</f>
        <v>(blank)</v>
      </c>
      <c r="AH5" s="83" t="str">
        <f>VLOOKUP($B5,After1stCHK!$B$3:$AO$87840,MATCH(AH$4,After1stCHK!$B$3:$AO$3,0),FALSE)</f>
        <v>(blank)</v>
      </c>
      <c r="AI5" s="83" t="str">
        <f>VLOOKUP($B5,After1stCHK!$B$3:$AO$87840,MATCH(AI$4,After1stCHK!$B$3:$AO$3,0),FALSE)</f>
        <v>(blank)</v>
      </c>
      <c r="AJ5" s="83" t="str">
        <f>VLOOKUP($B5,After1stCHK!$B$3:$AO$87840,MATCH(AJ$4,After1stCHK!$B$3:$AO$3,0),FALSE)</f>
        <v>(blank)</v>
      </c>
      <c r="AK5" s="83" t="str">
        <f>VLOOKUP($B5,After1stCHK!$B$3:$AO$87840,MATCH(AK$4,After1stCHK!$B$3:$AO$3,0),FALSE)</f>
        <v>(blank)</v>
      </c>
      <c r="AL5" s="84" t="str">
        <f>VLOOKUP($B5,After1stCHK!$B$3:$AO$87840,MATCH(AL$4,After1stCHK!$B$3:$AO$3,0),FALSE)</f>
        <v>(blank)</v>
      </c>
      <c r="AM5" s="84" t="str">
        <f>VLOOKUP($B5,After1stCHK!$B$3:$AO$87840,MATCH(AM$4,After1stCHK!$B$3:$AO$3,0),FALSE)</f>
        <v>(blank)</v>
      </c>
      <c r="AN5" s="84" t="str">
        <f>VLOOKUP($B5,After1stCHK!$B$3:$AO$87840,MATCH(AN$4,After1stCHK!$B$3:$AO$3,0),FALSE)</f>
        <v>(blank)</v>
      </c>
      <c r="AO5" s="84" t="str">
        <f>VLOOKUP($B5,After1stCHK!$B$3:$AO$87840,MATCH(AO$4,After1stCHK!$B$3:$AO$3,0),FALSE)</f>
        <v>(blank)</v>
      </c>
      <c r="AP5" s="84" t="str">
        <f>VLOOKUP($B5,After1stCHK!$B$3:$AO$87840,MATCH(AP$4,After1stCHK!$B$3:$AO$3,0),FALSE)</f>
        <v>(blank)</v>
      </c>
      <c r="AQ5" s="84" t="str">
        <f>VLOOKUP($B5,After1stCHK!$B$3:$AO$87840,MATCH(AQ$4,After1stCHK!$B$3:$AO$3,0),FALSE)</f>
        <v>(blank)</v>
      </c>
      <c r="AR5" s="84" t="str">
        <f>VLOOKUP($B5,After1stCHK!$B$3:$AO$87840,MATCH(AR$4,After1stCHK!$B$3:$AO$3,0),FALSE)</f>
        <v>(blank)</v>
      </c>
      <c r="AS5" s="84" t="str">
        <f>VLOOKUP($B5,After1stCHK!$B$3:$AO$87840,MATCH(AS$4,After1stCHK!$B$3:$AO$3,0),FALSE)</f>
        <v>(blank)</v>
      </c>
      <c r="AT5" s="84" t="str">
        <f>VLOOKUP($B5,After1stCHK!$B$3:$AO$87840,MATCH(AT$4,After1stCHK!$B$3:$AO$3,0),FALSE)</f>
        <v>(blank)</v>
      </c>
      <c r="AU5" s="89" t="str">
        <f>VLOOKUP($B5,After1stCHK!$B$3:$AO$87840,MATCH(AU$4,After1stCHK!$B$3:$AO$3,0),FALSE)</f>
        <v>(blank)</v>
      </c>
      <c r="AV5" s="191" t="str">
        <f t="shared" ref="AV5:AV43" si="1">IF(I5="Bond",AG5,IF(I5="Option",AR5,IF(I5="TD",IF(H5="3m",T5+90,T5+30),"")))</f>
        <v/>
      </c>
      <c r="AX5" s="90"/>
      <c r="AY5" s="91"/>
      <c r="AZ5" s="24"/>
      <c r="BA5" s="92"/>
      <c r="BB5" s="192"/>
      <c r="BC5" s="94"/>
      <c r="BD5" s="193">
        <f t="shared" ref="BD5:BD43" si="2">CR5</f>
        <v>0</v>
      </c>
      <c r="BE5" s="193" t="str">
        <f t="shared" ref="BE5:BE43" si="3">IF($BE$1=1,IF(BP5=0,1,""),"")</f>
        <v/>
      </c>
      <c r="BF5" s="193">
        <f t="shared" ref="BF5:BF43" ca="1" si="4">EV5</f>
        <v>0</v>
      </c>
      <c r="BG5" s="194" t="e">
        <f t="shared" ref="BG5:BG43" ca="1" si="5">IF(BG$1=0,0,IF(SUM(BE5+BF5+BD5)&gt;0,1,0))</f>
        <v>#VALUE!</v>
      </c>
      <c r="BH5" s="195" t="str">
        <f t="shared" ref="BH5:BH43" si="6">IF(I5="Stock",1,IF(I5="Bond",2,IF(I5="Option",3,IF(I5="TD",4,""))))</f>
        <v/>
      </c>
      <c r="BI5" s="195">
        <f t="shared" ref="BI5:BI43" si="7">IF(LEFT(G5,3)="BUY",1,-1)</f>
        <v>1</v>
      </c>
      <c r="BJ5" s="3" t="str">
        <f t="shared" ref="BJ5:BJ43" si="8">IF(BH5=1,J5,IF(BH5=2,K5,IF(BH5=3,L5,IF(BH5=4,M5,""))))</f>
        <v/>
      </c>
      <c r="BK5" s="3" t="str">
        <f t="shared" ref="BK5:BK43" si="9">V5</f>
        <v>HKD</v>
      </c>
      <c r="BL5" s="196">
        <f ca="1">IF(V5="HKD",1,OFFSET(FX!$A$5,MATCH(E5,FX!A:A,0)-ROW(FX!$A$5),MATCH(V5,FX!$A$5:$AM$5,0)-1,1,1))</f>
        <v>1</v>
      </c>
      <c r="BM5" s="197" t="str">
        <f t="shared" ref="BM5:BM43" si="10">H5</f>
        <v>Cash</v>
      </c>
      <c r="BN5" s="198">
        <f t="shared" ref="BN5:BN43" si="11">IF(N5="",0,IF(I5="Stock",N5,0))</f>
        <v>0</v>
      </c>
      <c r="BO5" s="199"/>
      <c r="BP5" s="200">
        <f t="shared" ref="BP5:BP43" si="12">IF($BE$1=0,BN5, IF(BN5&lt;&gt;"",IF(AND(BN5&lt;Y5,BN5&gt;Z5),BN5,0),BN5))</f>
        <v>0</v>
      </c>
      <c r="BQ5" s="201">
        <f t="shared" ref="BQ5:BQ43" si="13">IF(BH5=1,BJ5*BI5,0)</f>
        <v>0</v>
      </c>
      <c r="BR5" s="202">
        <f t="shared" ref="BR5:BR43" si="14">IF(BP5="",0,BP5*BQ5)</f>
        <v>0</v>
      </c>
      <c r="BS5" s="203">
        <f t="shared" ref="BS5:BS43" ca="1" si="15">IF(BR5="",0,BR5)*BL5</f>
        <v>0</v>
      </c>
      <c r="BT5" s="204"/>
      <c r="BU5" s="199">
        <f t="shared" ref="BU5:BU43" si="16">IF(AND(BI5=1,BH5=2),AE5,IF(AND(BI5=-1,BH5=2),AD5,0))</f>
        <v>0</v>
      </c>
      <c r="BV5" s="201">
        <f t="shared" ref="BV5:BV43" si="17">IF(BH5=2,BJ5*BI5,0)</f>
        <v>0</v>
      </c>
      <c r="BW5" s="202">
        <f t="shared" ref="BW5:BW43" si="18">IF(BU5="",0,BU5*BV5*10)</f>
        <v>0</v>
      </c>
      <c r="BX5" s="203">
        <f t="shared" ref="BX5:BX43" ca="1" si="19">IF(BW5="",0,BW5)*BL5</f>
        <v>0</v>
      </c>
      <c r="BY5" s="204"/>
      <c r="BZ5" s="198">
        <f t="shared" ref="BZ5:BZ43" si="20">IF(N5="",0,IF(BH5=3,N5,0))</f>
        <v>0</v>
      </c>
      <c r="CA5" s="199"/>
      <c r="CB5" s="200">
        <f t="shared" ref="CB5:CB43" si="21">BZ5</f>
        <v>0</v>
      </c>
      <c r="CC5" s="201">
        <f t="shared" ref="CC5:CC43" si="22">IF(BH5=3,BJ5*BI5,0)</f>
        <v>0</v>
      </c>
      <c r="CD5" s="202">
        <f t="shared" ref="CD5:CD43" si="23">IF(BZ5="",0,BZ5*CC5*100)</f>
        <v>0</v>
      </c>
      <c r="CE5" s="203">
        <f t="shared" ref="CE5:CE43" ca="1" si="24">IF(CD5="",0,CD5)*BL5</f>
        <v>0</v>
      </c>
      <c r="CF5" s="204"/>
      <c r="CG5" s="205">
        <f t="shared" ref="CG5:CG43" si="25">IF(BH5&lt;&gt;4,0,IF(H5="1m",0.02%,IF(H5="3m",0.15%,0)))</f>
        <v>0</v>
      </c>
      <c r="CH5" s="206">
        <f t="shared" ref="CH5:CH43" si="26">IF(BH5=4,BJ5*BI5,0)</f>
        <v>0</v>
      </c>
      <c r="CI5" s="207">
        <f t="shared" ref="CI5:CI43" si="27">IF(CG5="",0,CH5)</f>
        <v>0</v>
      </c>
      <c r="CJ5" s="203">
        <f t="shared" ref="CJ5:CJ43" ca="1" si="28">IF(CI5="",0,CI5)*BL5</f>
        <v>0</v>
      </c>
      <c r="CK5" s="204"/>
      <c r="CL5" s="208">
        <f t="shared" ref="CL5:CL43" si="29">IF(I5="Cash",M5,(BS5+BX5+CE5+CJ5)*-1)</f>
        <v>500000</v>
      </c>
      <c r="CM5" s="209" t="str">
        <f t="shared" ref="CM5:CM43" si="30">IF(I5="Option",LEFT(CN5,LEN(CN5)-8),"")</f>
        <v/>
      </c>
      <c r="CN5" s="210" t="str">
        <f t="shared" ref="CN5:CN43" si="31">BM5</f>
        <v>Cash</v>
      </c>
      <c r="CO5" s="153">
        <f t="shared" ref="CO5:CO43" si="32">E5</f>
        <v>44561</v>
      </c>
      <c r="CP5" s="211">
        <f t="shared" ref="CP5:CQ5" si="33">AZ5</f>
        <v>0</v>
      </c>
      <c r="CQ5" s="212">
        <f t="shared" si="33"/>
        <v>0</v>
      </c>
      <c r="CR5" s="213">
        <f t="shared" ref="CR5:CR43" si="34">COUNTIFS(E$4:E4,E5,C$4:C4,C5,BI$4:BI4,-BI5,BM$4:BM4,BM5,BG$4:BG4,0)</f>
        <v>0</v>
      </c>
      <c r="CS5" s="213">
        <f t="shared" ref="CS5:CS43" si="35">IF(SUM(CP5:CR5)&gt;0,1,0)</f>
        <v>0</v>
      </c>
      <c r="CT5" s="214">
        <f>SUMIFS('1HistTrade'!DF:DF,'1HistTrade'!$D:$D,$D5,'1HistTrade'!$BM:$BM,$BM5,'1HistTrade'!$B:$B,"&lt;"&amp;$B5)</f>
        <v>0</v>
      </c>
      <c r="CU5" s="215">
        <f>SUMIFS('1HistTrade'!DG:DG,'1HistTrade'!$D:$D,$D5,'1HistTrade'!$BM:$BM,$BM5,'1HistTrade'!$B:$B,"&lt;"&amp;$B5)</f>
        <v>0</v>
      </c>
      <c r="CV5" s="215">
        <f>SUMIFS('1HistTrade'!DH:DH,'1HistTrade'!$D:$D,$D5,'1HistTrade'!$BM:$BM,$BM5,'1HistTrade'!$B:$B,"&lt;"&amp;$B5)</f>
        <v>0</v>
      </c>
      <c r="CW5" s="215">
        <f>SUMIFS('1HistTrade'!DI:DI,'1HistTrade'!$D:$D,$D5,'1HistTrade'!$BM:$BM,$BM5,'1HistTrade'!$B:$B,"&lt;"&amp;$B5)</f>
        <v>0</v>
      </c>
      <c r="CX5" s="216">
        <f t="shared" ref="CX5:CX43" si="36">CT5+BQ5</f>
        <v>0</v>
      </c>
      <c r="CY5" s="216">
        <f t="shared" ref="CY5:CY43" si="37">CU5+BV5</f>
        <v>0</v>
      </c>
      <c r="CZ5" s="216">
        <f t="shared" ref="CZ5:CZ43" si="38">CV5+CC5</f>
        <v>0</v>
      </c>
      <c r="DA5" s="216">
        <f t="shared" ref="DA5:DA43" ca="1" si="39">CW5+CJ5</f>
        <v>0</v>
      </c>
      <c r="DB5" s="21" t="str">
        <f t="shared" ref="DB5:DB43" si="40">IF(OR(CX5=0,CT5=0,SIGN(CT5)=SIGN(CX5)),IF($BH5&lt;&gt;1,"",IF(CX5-CT5&gt;0,IF(CX5&gt;0,"B","BC"),IF(CX5&lt;0,"SS","S"))),IF(AND(CT5&gt;0,CX5&lt;0),"OFSS",IF(AND(CT5&lt;0,CX5&gt;0),"OFB","chk")))</f>
        <v/>
      </c>
      <c r="DC5" s="21" t="str">
        <f t="shared" ref="DC5:DC43" si="41">IF(OR(CY5=0,CU5=0,SIGN(CU5)=SIGN(CY5)),IF($BH5&lt;&gt;2,"",IF(CY5-CU5&gt;0,IF(CY5&gt;0,"B","BC"),IF(CY5&lt;0,"SS","S"))),IF(AND(CU5&gt;0,CY5&lt;0),"OFSS",IF(AND(CU5&lt;0,CY5&gt;0),"OFB","chk")))</f>
        <v/>
      </c>
      <c r="DD5" s="21" t="str">
        <f t="shared" ref="DD5:DD43" si="42">IF(OR(CZ5=0,CV5=0,SIGN(CV5)=SIGN(CZ5)),IF($BH5&lt;&gt;3,"",IF(CZ5-CV5&gt;0,IF(CZ5&gt;0,"B","BC"),IF(CZ5&lt;0,"SS","S"))),IF(AND(CV5&gt;0,CZ5&lt;0),"OFSS",IF(AND(CV5&lt;0,CZ5&gt;0),"OFB","chk")))</f>
        <v/>
      </c>
      <c r="DE5" s="21" t="str">
        <f t="shared" ref="DE5:DE43" ca="1" si="43">IF(OR(DA5=0,CW5=0,SIGN(CW5)=SIGN(DA5)),IF($BH5&lt;&gt;4,"",IF(DA5-CW5&gt;0,IF(DA5&gt;0,"B","BC"),IF(DA5&lt;0,"SS","S"))),IF(AND(CW5&gt;0,DA5&lt;0),"OFSS",IF(AND(CW5&lt;0,DA5&gt;0),"OFB","chk")))</f>
        <v/>
      </c>
      <c r="DF5" s="215">
        <f t="shared" ref="DF5:DF43" si="44">IF(AND(DB5&lt;&gt;"Reject"),BQ5,0)</f>
        <v>0</v>
      </c>
      <c r="DG5" s="215">
        <f t="shared" ref="DG5:DG43" si="45">IF(AND(DC5&lt;&gt;"Reject"),BV5,0)</f>
        <v>0</v>
      </c>
      <c r="DH5" s="215">
        <f t="shared" ref="DH5:DH43" si="46">IF(AND(DD5&lt;&gt;"Reject"),CC5,0)</f>
        <v>0</v>
      </c>
      <c r="DI5" s="215">
        <f t="shared" ref="DI5:DI43" ca="1" si="47">IF(AND(DE5&lt;&gt;"Reject"),CJ5,0)</f>
        <v>0</v>
      </c>
      <c r="DJ5" s="215" t="str">
        <f t="shared" ref="DJ5:DJ43" si="48">IF(ISERROR(CHOOSE(BH5,DB5,DC5,DD5,DE5)),"CD/CW",CHOOSE(BH5,DB5,DC5,DD5,DE5))</f>
        <v>CD/CW</v>
      </c>
      <c r="DK5" s="116"/>
      <c r="DL5" s="116">
        <f t="shared" ref="DL5:DL43" si="49">IF(OR(DB5=""),0,BP5*BL5)</f>
        <v>0</v>
      </c>
      <c r="DM5" s="116">
        <f t="shared" ref="DM5:DM43" si="50">IF(OR(DB5=""),0,DF5*DL5)</f>
        <v>0</v>
      </c>
      <c r="DN5" s="116">
        <f t="shared" ref="DN5:DN43" ca="1" si="51">IF(DF5="",0,-(ABS(CX5)-ABS(CT5))*BP5*BL5)</f>
        <v>0</v>
      </c>
      <c r="DO5" s="217">
        <f t="shared" ref="DO5:DO43" si="52">IF(DM5&gt;0,DM5,0)</f>
        <v>0</v>
      </c>
      <c r="DP5" s="217">
        <f t="shared" ref="DP5:DP43" si="53">IF(DM5&lt;0,DM5,0)</f>
        <v>0</v>
      </c>
      <c r="DQ5" s="116">
        <f>IF($DT$1="Delete",0,IF(OR(DG5="",DG5=0),0,SUMIFS('1HistTrade'!$ED:$ED,'1HistTrade'!$D:$D,D5,'1HistTrade'!$H:$H,H5,'1HistTrade'!$B:$B,"&lt;"&amp;B5)))</f>
        <v>0</v>
      </c>
      <c r="DR5" s="116">
        <f t="shared" ref="DR5:DR43" ca="1" si="54">IF(AND(DG5&lt;&gt;"",DJ5&lt;&gt;"Reject"),BX5,0)</f>
        <v>0</v>
      </c>
      <c r="DS5" s="116">
        <f t="shared" ref="DS5:DS43" ca="1" si="55">IF(AND(DG5&lt;&gt;"",DJ5&lt;&gt;"Reject"),-(ABS(CY5)-ABS(CU5))*10*BU5*BL5,0)</f>
        <v>0</v>
      </c>
      <c r="DT5" s="116">
        <f>IF($DT$1="Delete",0,IF(OR(DI5="",DI5=0),0,SUMIFS('1HistTrade'!$ED:$ED,'1HistTrade'!$D:$D,D5,'1HistTrade'!$H:$H,H5,'1HistTrade'!$B:$B,"&lt;"&amp;B5)))</f>
        <v>0</v>
      </c>
      <c r="DU5" s="116">
        <f t="shared" ref="DU5:DU43" ca="1" si="56">IF(AND(DI5&lt;&gt;"",DJ5&lt;&gt;"Reject"),CJ5,0)</f>
        <v>0</v>
      </c>
      <c r="DV5" s="116">
        <f t="shared" ref="DV5:DV43" ca="1" si="57">IF(OR(DI5&lt;&gt;0),-(ABS(DA5)-ABS(CW5)),0)</f>
        <v>0</v>
      </c>
      <c r="DW5" s="218">
        <f t="shared" ref="DW5:DW43" si="58">CC5</f>
        <v>0</v>
      </c>
      <c r="DX5" s="219"/>
      <c r="DY5" s="219">
        <f t="shared" ref="DY5:DY43" si="59">IF(BH5&lt;&gt;3,0,RIGHT(H5,8)/1000)</f>
        <v>0</v>
      </c>
      <c r="DZ5" s="220">
        <f t="shared" ref="DZ5:DZ43" ca="1" si="60">IF(CB5="",0,(CB5*CC5*100*BL5))</f>
        <v>0</v>
      </c>
      <c r="EA5" s="220">
        <f t="shared" ref="EA5:EA43" si="61">IF(DY5="",0,DY5*DW5*100)</f>
        <v>0</v>
      </c>
      <c r="EB5" s="221">
        <f t="shared" ref="EB5:EB43" ca="1" si="62">EA5*BL5</f>
        <v>0</v>
      </c>
      <c r="EC5" s="116">
        <f t="shared" ref="EC5:EC43" ca="1" si="63">SUM(DM5,DR5,DU5,DZ5)*-1+IF(DJ5="CD/CW",CL5,0)</f>
        <v>500000</v>
      </c>
      <c r="ED5" s="116">
        <f t="shared" ref="ED5:ED43" ca="1" si="64">SUM(DN5,DS5,DV5,EB5)+IF(DJ5="CD/CW",CL5,0)</f>
        <v>500000</v>
      </c>
      <c r="EE5" s="222" t="str">
        <f t="shared" ref="EE5:EE43" si="65">IF(I5&lt;&gt;"Option","",IF(B5&lt;&gt;_xludf.maxifs(B:B,C:C,C5,CM:CM,CM5),0,IF(SUMIFS(ED:ED,C:C,C5,CM:CM,CM5)&gt;0,0,SUMIFS(ED:ED,C:C,C5,CM:CM,CM5))))</f>
        <v/>
      </c>
      <c r="EF5" s="116">
        <f t="shared" ref="EF5:EF43" si="66">IF(BH5=1,-(ABS(CX5)-ABS(CT5)),IF(BH5=2,-(ABS(CY5)-ABS(CU5)),IF(BH5=4,-(ABS(DA5)-ABS(CW5)),IF(BH5=3,IF(DW5&gt;0,0,SUMIFS(DW:DW,C:C,C5,CM:CM,CM5)),0))))</f>
        <v>0</v>
      </c>
      <c r="EG5" s="223">
        <f ca="1">IF(ISERROR(VLOOKUP(_xludf.maxifs(DbyD!C:C,DbyD!B:B,C5,DbyD!F:F,"&lt;=" &amp; E5,DbyD!C:C,"&lt;"&amp;B5),DbyD!C:BE,MATCH(DbyD!$BB$9,DbyD!$9:$9,0)-2,FALSE)),0,VLOOKUP(_xludf.maxifs(DbyD!C:C,DbyD!B:B,C5,DbyD!F:F,"&lt;=" &amp; E5,DbyD!C:C,"&lt;"&amp;B5),DbyD!C:BE,MATCH(DbyD!$BB$9,DbyD!$9:$9,0)-2,FALSE))</f>
        <v>0</v>
      </c>
      <c r="EH5" s="116">
        <f>SUMIFS('1HistTrade'!$EM:$EM,'1HistTrade'!$D:$D,D5,'1HistTrade'!$B:$B,"&lt;"&amp;B5,'1HistTrade'!$DJ:$DJ,"&lt;&gt;"&amp;"CD/CW")*-1</f>
        <v>0</v>
      </c>
      <c r="EI5" s="116">
        <f t="shared" ref="EI5:EI43" ca="1" si="67">EG5+EH5</f>
        <v>0</v>
      </c>
      <c r="EJ5" s="116">
        <f>SUMIFS('1HistTrade'!$EN:$EN,'1HistTrade'!$D:$D,D5,'1HistTrade'!$B:$B,"&lt;"&amp;B5)</f>
        <v>0</v>
      </c>
      <c r="EK5" s="224">
        <f>SUMIFS('1HistTrade'!$EU:$EU,'1HistTrade'!$D:$D,D5,'1HistTrade'!$B:$B,"&lt;"&amp;B5)</f>
        <v>0</v>
      </c>
      <c r="EL5" s="116"/>
      <c r="EM5" s="116">
        <f t="shared" ref="EM5:EN5" ca="1" si="68">EC5</f>
        <v>500000</v>
      </c>
      <c r="EN5" s="116">
        <f t="shared" ca="1" si="68"/>
        <v>500000</v>
      </c>
      <c r="EO5" s="224"/>
      <c r="EP5" s="116"/>
      <c r="EQ5" s="116">
        <f t="shared" ref="EQ5:EQ43" ca="1" si="69">EM5+EG5</f>
        <v>500000</v>
      </c>
      <c r="ER5" s="116">
        <f t="shared" ref="ER5:ER43" si="70">EH5+IF(OR(DJ5="CD/CW"),0,EC5*-1)</f>
        <v>0</v>
      </c>
      <c r="ES5" s="116">
        <f t="shared" ref="ES5:ES43" ca="1" si="71">EQ5+ER5</f>
        <v>500000</v>
      </c>
      <c r="ET5" s="116">
        <f t="shared" ref="ET5:ET43" si="72">EJ5+IF(OR(DJ5="CD/CW"),0,ED5)</f>
        <v>0</v>
      </c>
      <c r="EU5" s="224">
        <f t="shared" ref="EU5:EU43" si="73">IF(ET5&lt;0,MIN(ES5*$EV$2,-ET5),0)</f>
        <v>0</v>
      </c>
      <c r="EV5" s="213">
        <f t="shared" ref="EV5:EV43" ca="1" si="74">IF(-ET5&gt;ES5*($EV$2),1,0)</f>
        <v>0</v>
      </c>
      <c r="EX5" s="116">
        <f t="shared" ref="EX5:EX43" ca="1" si="75">IF(EV5=1,EG5,EQ5)</f>
        <v>500000</v>
      </c>
      <c r="EY5" s="116">
        <f t="shared" ref="EY5:EY43" ca="1" si="76">IF(EV5=1,EH5,ER5)</f>
        <v>0</v>
      </c>
      <c r="EZ5" s="116">
        <f t="shared" ref="EZ5:EZ43" ca="1" si="77">EX5+EY5</f>
        <v>500000</v>
      </c>
      <c r="FA5" s="116">
        <f t="shared" ref="FA5:FA43" ca="1" si="78">IF(EV5=1,EJ5,ET5)</f>
        <v>0</v>
      </c>
      <c r="FB5" s="116">
        <f t="shared" ref="FB5:FB43" ca="1" si="79">IF(EV5=1,EK5,EU5)</f>
        <v>0</v>
      </c>
      <c r="FC5" s="189"/>
      <c r="FE5" s="31"/>
      <c r="FG5" s="31"/>
    </row>
    <row r="6" spans="1:165" ht="13">
      <c r="A6" s="10">
        <f>IF(E6&lt;=HistSecRecord!$E$1,1,0)</f>
        <v>1</v>
      </c>
      <c r="B6" s="190">
        <f>After1stCHK!B5</f>
        <v>44561000006</v>
      </c>
      <c r="C6" s="3" t="str">
        <f>After1stCHK!C5</f>
        <v>D0002</v>
      </c>
      <c r="D6" s="29" t="str">
        <f>After1stCHK!D5</f>
        <v>sABCD0002@hkmu.edu.hk</v>
      </c>
      <c r="E6" s="4">
        <f>After1stCHK!E5</f>
        <v>44561</v>
      </c>
      <c r="F6" s="78"/>
      <c r="G6" s="79" t="str">
        <f>After1stCHK!F5</f>
        <v>BUY (LONG)</v>
      </c>
      <c r="H6" s="80" t="str">
        <f>After1stCHK!G5</f>
        <v>Cash</v>
      </c>
      <c r="I6" s="81" t="str">
        <f>After1stCHK!H5</f>
        <v>Cash</v>
      </c>
      <c r="J6" s="82" t="str">
        <f>After1stCHK!I5</f>
        <v>(blank)</v>
      </c>
      <c r="K6" s="83" t="str">
        <f>After1stCHK!J5</f>
        <v>(blank)</v>
      </c>
      <c r="L6" s="84" t="str">
        <f>After1stCHK!K5</f>
        <v>(blank)</v>
      </c>
      <c r="M6" s="89">
        <f>After1stCHK!L5</f>
        <v>500000</v>
      </c>
      <c r="N6" s="82" t="str">
        <f>After1stCHK!M5</f>
        <v>(blank)</v>
      </c>
      <c r="O6" s="82"/>
      <c r="P6" s="86"/>
      <c r="Q6" s="43"/>
      <c r="T6" s="87">
        <f t="shared" si="0"/>
        <v>44561</v>
      </c>
      <c r="U6" s="79"/>
      <c r="V6" s="81" t="str">
        <f>VLOOKUP($B6,After1stCHK!$B$3:$AO$87840,MATCH(V$4,After1stCHK!$B$3:$AO$3,0),FALSE)</f>
        <v>HKD</v>
      </c>
      <c r="W6" s="88" t="str">
        <f>VLOOKUP($B6,After1stCHK!$B$3:$AO$87840,MATCH(W$4,After1stCHK!$B$3:$AO$3,0),FALSE)</f>
        <v>(blank)</v>
      </c>
      <c r="X6" s="88" t="str">
        <f>VLOOKUP($B6,After1stCHK!$B$3:$AO$87840,MATCH(X$4,After1stCHK!$B$3:$AO$3,0),FALSE)</f>
        <v>(blank)</v>
      </c>
      <c r="Y6" s="88" t="str">
        <f>VLOOKUP($B6,After1stCHK!$B$3:$AO$87840,MATCH(Y$4,After1stCHK!$B$3:$AO$3,0),FALSE)</f>
        <v>(blank)</v>
      </c>
      <c r="Z6" s="88" t="str">
        <f>VLOOKUP($B6,After1stCHK!$B$3:$AO$87840,MATCH(Z$4,After1stCHK!$B$3:$AO$3,0),FALSE)</f>
        <v>(blank)</v>
      </c>
      <c r="AA6" s="88" t="str">
        <f>VLOOKUP($B6,After1stCHK!$B$3:$AO$87840,MATCH(AA$4,After1stCHK!$B$3:$AO$3,0),FALSE)</f>
        <v>(blank)</v>
      </c>
      <c r="AB6" s="88" t="str">
        <f>VLOOKUP($B6,After1stCHK!$B$3:$AO$87840,MATCH(AB$4,After1stCHK!$B$3:$AO$3,0),FALSE)</f>
        <v>(blank)</v>
      </c>
      <c r="AC6" s="83" t="str">
        <f>VLOOKUP($B6,After1stCHK!$B$3:$AO$87840,MATCH(AC$4,After1stCHK!$B$3:$AO$3,0),FALSE)</f>
        <v>(blank)</v>
      </c>
      <c r="AD6" s="83" t="str">
        <f>VLOOKUP($B6,After1stCHK!$B$3:$AO$87840,MATCH(AD$4,After1stCHK!$B$3:$AO$3,0),FALSE)</f>
        <v>(blank)</v>
      </c>
      <c r="AE6" s="83" t="str">
        <f>VLOOKUP($B6,After1stCHK!$B$3:$AO$87840,MATCH(AE$4,After1stCHK!$B$3:$AO$3,0),FALSE)</f>
        <v>(blank)</v>
      </c>
      <c r="AF6" s="83" t="str">
        <f>VLOOKUP($B6,After1stCHK!$B$3:$AO$87840,MATCH(AF$4,After1stCHK!$B$3:$AO$3,0),FALSE)</f>
        <v>(blank)</v>
      </c>
      <c r="AG6" s="83" t="str">
        <f>VLOOKUP($B6,After1stCHK!$B$3:$AO$87840,MATCH(AG$4,After1stCHK!$B$3:$AO$3,0),FALSE)</f>
        <v>(blank)</v>
      </c>
      <c r="AH6" s="83" t="str">
        <f>VLOOKUP($B6,After1stCHK!$B$3:$AO$87840,MATCH(AH$4,After1stCHK!$B$3:$AO$3,0),FALSE)</f>
        <v>(blank)</v>
      </c>
      <c r="AI6" s="83" t="str">
        <f>VLOOKUP($B6,After1stCHK!$B$3:$AO$87840,MATCH(AI$4,After1stCHK!$B$3:$AO$3,0),FALSE)</f>
        <v>(blank)</v>
      </c>
      <c r="AJ6" s="83" t="str">
        <f>VLOOKUP($B6,After1stCHK!$B$3:$AO$87840,MATCH(AJ$4,After1stCHK!$B$3:$AO$3,0),FALSE)</f>
        <v>(blank)</v>
      </c>
      <c r="AK6" s="83" t="str">
        <f>VLOOKUP($B6,After1stCHK!$B$3:$AO$87840,MATCH(AK$4,After1stCHK!$B$3:$AO$3,0),FALSE)</f>
        <v>(blank)</v>
      </c>
      <c r="AL6" s="84" t="str">
        <f>VLOOKUP($B6,After1stCHK!$B$3:$AO$87840,MATCH(AL$4,After1stCHK!$B$3:$AO$3,0),FALSE)</f>
        <v>(blank)</v>
      </c>
      <c r="AM6" s="84" t="str">
        <f>VLOOKUP($B6,After1stCHK!$B$3:$AO$87840,MATCH(AM$4,After1stCHK!$B$3:$AO$3,0),FALSE)</f>
        <v>(blank)</v>
      </c>
      <c r="AN6" s="84" t="str">
        <f>VLOOKUP($B6,After1stCHK!$B$3:$AO$87840,MATCH(AN$4,After1stCHK!$B$3:$AO$3,0),FALSE)</f>
        <v>(blank)</v>
      </c>
      <c r="AO6" s="84" t="str">
        <f>VLOOKUP($B6,After1stCHK!$B$3:$AO$87840,MATCH(AO$4,After1stCHK!$B$3:$AO$3,0),FALSE)</f>
        <v>(blank)</v>
      </c>
      <c r="AP6" s="84" t="str">
        <f>VLOOKUP($B6,After1stCHK!$B$3:$AO$87840,MATCH(AP$4,After1stCHK!$B$3:$AO$3,0),FALSE)</f>
        <v>(blank)</v>
      </c>
      <c r="AQ6" s="84" t="str">
        <f>VLOOKUP($B6,After1stCHK!$B$3:$AO$87840,MATCH(AQ$4,After1stCHK!$B$3:$AO$3,0),FALSE)</f>
        <v>(blank)</v>
      </c>
      <c r="AR6" s="84" t="str">
        <f>VLOOKUP($B6,After1stCHK!$B$3:$AO$87840,MATCH(AR$4,After1stCHK!$B$3:$AO$3,0),FALSE)</f>
        <v>(blank)</v>
      </c>
      <c r="AS6" s="84" t="str">
        <f>VLOOKUP($B6,After1stCHK!$B$3:$AO$87840,MATCH(AS$4,After1stCHK!$B$3:$AO$3,0),FALSE)</f>
        <v>(blank)</v>
      </c>
      <c r="AT6" s="84" t="str">
        <f>VLOOKUP($B6,After1stCHK!$B$3:$AO$87840,MATCH(AT$4,After1stCHK!$B$3:$AO$3,0),FALSE)</f>
        <v>(blank)</v>
      </c>
      <c r="AU6" s="89" t="str">
        <f>VLOOKUP($B6,After1stCHK!$B$3:$AO$87840,MATCH(AU$4,After1stCHK!$B$3:$AO$3,0),FALSE)</f>
        <v>(blank)</v>
      </c>
      <c r="AV6" s="191" t="str">
        <f t="shared" si="1"/>
        <v/>
      </c>
      <c r="AX6" s="90"/>
      <c r="AY6" s="91"/>
      <c r="AZ6" s="24"/>
      <c r="BA6" s="92"/>
      <c r="BB6" s="192"/>
      <c r="BC6" s="94"/>
      <c r="BD6" s="193">
        <f t="shared" si="2"/>
        <v>0</v>
      </c>
      <c r="BE6" s="193" t="str">
        <f t="shared" si="3"/>
        <v/>
      </c>
      <c r="BF6" s="193">
        <f t="shared" ca="1" si="4"/>
        <v>0</v>
      </c>
      <c r="BG6" s="194" t="e">
        <f t="shared" ca="1" si="5"/>
        <v>#VALUE!</v>
      </c>
      <c r="BH6" s="195" t="str">
        <f t="shared" si="6"/>
        <v/>
      </c>
      <c r="BI6" s="195">
        <f t="shared" si="7"/>
        <v>1</v>
      </c>
      <c r="BJ6" s="3" t="str">
        <f t="shared" si="8"/>
        <v/>
      </c>
      <c r="BK6" s="3" t="str">
        <f t="shared" si="9"/>
        <v>HKD</v>
      </c>
      <c r="BL6" s="196">
        <f ca="1">IF(V6="HKD",1,OFFSET(FX!$A$5,MATCH(E6,FX!A:A,0)-ROW(FX!$A$5),MATCH(V6,FX!$A$5:$AM$5,0)-1,1,1))</f>
        <v>1</v>
      </c>
      <c r="BM6" s="197" t="str">
        <f t="shared" si="10"/>
        <v>Cash</v>
      </c>
      <c r="BN6" s="198">
        <f t="shared" si="11"/>
        <v>0</v>
      </c>
      <c r="BO6" s="199"/>
      <c r="BP6" s="200">
        <f t="shared" si="12"/>
        <v>0</v>
      </c>
      <c r="BQ6" s="201">
        <f t="shared" si="13"/>
        <v>0</v>
      </c>
      <c r="BR6" s="202">
        <f t="shared" si="14"/>
        <v>0</v>
      </c>
      <c r="BS6" s="203">
        <f t="shared" ca="1" si="15"/>
        <v>0</v>
      </c>
      <c r="BT6" s="204"/>
      <c r="BU6" s="199">
        <f t="shared" si="16"/>
        <v>0</v>
      </c>
      <c r="BV6" s="201">
        <f t="shared" si="17"/>
        <v>0</v>
      </c>
      <c r="BW6" s="202">
        <f t="shared" si="18"/>
        <v>0</v>
      </c>
      <c r="BX6" s="203">
        <f t="shared" ca="1" si="19"/>
        <v>0</v>
      </c>
      <c r="BY6" s="204"/>
      <c r="BZ6" s="198">
        <f t="shared" si="20"/>
        <v>0</v>
      </c>
      <c r="CA6" s="199"/>
      <c r="CB6" s="200">
        <f t="shared" si="21"/>
        <v>0</v>
      </c>
      <c r="CC6" s="201">
        <f t="shared" si="22"/>
        <v>0</v>
      </c>
      <c r="CD6" s="202">
        <f t="shared" si="23"/>
        <v>0</v>
      </c>
      <c r="CE6" s="203">
        <f t="shared" ca="1" si="24"/>
        <v>0</v>
      </c>
      <c r="CF6" s="204"/>
      <c r="CG6" s="205">
        <f t="shared" si="25"/>
        <v>0</v>
      </c>
      <c r="CH6" s="206">
        <f t="shared" si="26"/>
        <v>0</v>
      </c>
      <c r="CI6" s="207">
        <f t="shared" si="27"/>
        <v>0</v>
      </c>
      <c r="CJ6" s="203">
        <f t="shared" ca="1" si="28"/>
        <v>0</v>
      </c>
      <c r="CK6" s="204"/>
      <c r="CL6" s="208">
        <f t="shared" si="29"/>
        <v>500000</v>
      </c>
      <c r="CM6" s="209" t="str">
        <f t="shared" si="30"/>
        <v/>
      </c>
      <c r="CN6" s="210" t="str">
        <f t="shared" si="31"/>
        <v>Cash</v>
      </c>
      <c r="CO6" s="153">
        <f t="shared" si="32"/>
        <v>44561</v>
      </c>
      <c r="CP6" s="211">
        <f t="shared" ref="CP6:CQ6" si="80">AZ6</f>
        <v>0</v>
      </c>
      <c r="CQ6" s="212">
        <f t="shared" si="80"/>
        <v>0</v>
      </c>
      <c r="CR6" s="213">
        <f t="shared" si="34"/>
        <v>0</v>
      </c>
      <c r="CS6" s="213">
        <f t="shared" si="35"/>
        <v>0</v>
      </c>
      <c r="CT6" s="214">
        <f>SUMIFS('1HistTrade'!DF:DF,'1HistTrade'!$D:$D,$D6,'1HistTrade'!$BM:$BM,$BM6,'1HistTrade'!$B:$B,"&lt;"&amp;$B6)</f>
        <v>0</v>
      </c>
      <c r="CU6" s="215">
        <f>SUMIFS('1HistTrade'!DG:DG,'1HistTrade'!$D:$D,$D6,'1HistTrade'!$BM:$BM,$BM6,'1HistTrade'!$B:$B,"&lt;"&amp;$B6)</f>
        <v>0</v>
      </c>
      <c r="CV6" s="215">
        <f>SUMIFS('1HistTrade'!DH:DH,'1HistTrade'!$D:$D,$D6,'1HistTrade'!$BM:$BM,$BM6,'1HistTrade'!$B:$B,"&lt;"&amp;$B6)</f>
        <v>0</v>
      </c>
      <c r="CW6" s="215">
        <f>SUMIFS('1HistTrade'!DI:DI,'1HistTrade'!$D:$D,$D6,'1HistTrade'!$BM:$BM,$BM6,'1HistTrade'!$B:$B,"&lt;"&amp;$B6)</f>
        <v>0</v>
      </c>
      <c r="CX6" s="216">
        <f t="shared" si="36"/>
        <v>0</v>
      </c>
      <c r="CY6" s="216">
        <f t="shared" si="37"/>
        <v>0</v>
      </c>
      <c r="CZ6" s="216">
        <f t="shared" si="38"/>
        <v>0</v>
      </c>
      <c r="DA6" s="216">
        <f t="shared" ca="1" si="39"/>
        <v>0</v>
      </c>
      <c r="DB6" s="21" t="str">
        <f t="shared" si="40"/>
        <v/>
      </c>
      <c r="DC6" s="21" t="str">
        <f t="shared" si="41"/>
        <v/>
      </c>
      <c r="DD6" s="21" t="str">
        <f t="shared" si="42"/>
        <v/>
      </c>
      <c r="DE6" s="21" t="str">
        <f t="shared" ca="1" si="43"/>
        <v/>
      </c>
      <c r="DF6" s="215">
        <f t="shared" si="44"/>
        <v>0</v>
      </c>
      <c r="DG6" s="215">
        <f t="shared" si="45"/>
        <v>0</v>
      </c>
      <c r="DH6" s="215">
        <f t="shared" si="46"/>
        <v>0</v>
      </c>
      <c r="DI6" s="215">
        <f t="shared" ca="1" si="47"/>
        <v>0</v>
      </c>
      <c r="DJ6" s="215" t="str">
        <f t="shared" si="48"/>
        <v>CD/CW</v>
      </c>
      <c r="DK6" s="116"/>
      <c r="DL6" s="116">
        <f t="shared" si="49"/>
        <v>0</v>
      </c>
      <c r="DM6" s="116">
        <f t="shared" si="50"/>
        <v>0</v>
      </c>
      <c r="DN6" s="116">
        <f t="shared" ca="1" si="51"/>
        <v>0</v>
      </c>
      <c r="DO6" s="217">
        <f t="shared" si="52"/>
        <v>0</v>
      </c>
      <c r="DP6" s="217">
        <f t="shared" si="53"/>
        <v>0</v>
      </c>
      <c r="DQ6" s="116">
        <f>IF($DT$1="Delete",0,IF(OR(DG6="",DG6=0),0,SUMIFS('1HistTrade'!$ED:$ED,'1HistTrade'!$D:$D,D6,'1HistTrade'!$H:$H,H6,'1HistTrade'!$B:$B,"&lt;"&amp;B6)))</f>
        <v>0</v>
      </c>
      <c r="DR6" s="116">
        <f t="shared" ca="1" si="54"/>
        <v>0</v>
      </c>
      <c r="DS6" s="116">
        <f t="shared" ca="1" si="55"/>
        <v>0</v>
      </c>
      <c r="DT6" s="116">
        <f>IF($DT$1="Delete",0,IF(OR(DI6="",DI6=0),0,SUMIFS('1HistTrade'!$ED:$ED,'1HistTrade'!$D:$D,D6,'1HistTrade'!$H:$H,H6,'1HistTrade'!$B:$B,"&lt;"&amp;B6)))</f>
        <v>0</v>
      </c>
      <c r="DU6" s="116">
        <f t="shared" ca="1" si="56"/>
        <v>0</v>
      </c>
      <c r="DV6" s="116">
        <f t="shared" ca="1" si="57"/>
        <v>0</v>
      </c>
      <c r="DW6" s="218">
        <f t="shared" si="58"/>
        <v>0</v>
      </c>
      <c r="DX6" s="219"/>
      <c r="DY6" s="219">
        <f t="shared" si="59"/>
        <v>0</v>
      </c>
      <c r="DZ6" s="220">
        <f t="shared" ca="1" si="60"/>
        <v>0</v>
      </c>
      <c r="EA6" s="220">
        <f t="shared" si="61"/>
        <v>0</v>
      </c>
      <c r="EB6" s="221">
        <f t="shared" ca="1" si="62"/>
        <v>0</v>
      </c>
      <c r="EC6" s="116">
        <f t="shared" ca="1" si="63"/>
        <v>500000</v>
      </c>
      <c r="ED6" s="116">
        <f t="shared" ca="1" si="64"/>
        <v>500000</v>
      </c>
      <c r="EE6" s="222" t="str">
        <f t="shared" si="65"/>
        <v/>
      </c>
      <c r="EF6" s="116">
        <f t="shared" si="66"/>
        <v>0</v>
      </c>
      <c r="EG6" s="223">
        <f ca="1">IF(ISERROR(VLOOKUP(_xludf.maxifs(DbyD!C:C,DbyD!B:B,C6,DbyD!F:F,"&lt;=" &amp; E6,DbyD!C:C,"&lt;"&amp;B6),DbyD!C:BE,MATCH(DbyD!$BB$9,DbyD!$9:$9,0)-2,FALSE)),0,VLOOKUP(_xludf.maxifs(DbyD!C:C,DbyD!B:B,C6,DbyD!F:F,"&lt;=" &amp; E6,DbyD!C:C,"&lt;"&amp;B6),DbyD!C:BE,MATCH(DbyD!$BB$9,DbyD!$9:$9,0)-2,FALSE))</f>
        <v>0</v>
      </c>
      <c r="EH6" s="116">
        <f>SUMIFS('1HistTrade'!$EM:$EM,'1HistTrade'!$D:$D,D6,'1HistTrade'!$B:$B,"&lt;"&amp;B6,'1HistTrade'!$DJ:$DJ,"&lt;&gt;"&amp;"CD/CW")*-1</f>
        <v>0</v>
      </c>
      <c r="EI6" s="116">
        <f t="shared" ca="1" si="67"/>
        <v>0</v>
      </c>
      <c r="EJ6" s="116">
        <f>SUMIFS('1HistTrade'!$EN:$EN,'1HistTrade'!$D:$D,D6,'1HistTrade'!$B:$B,"&lt;"&amp;B6)</f>
        <v>0</v>
      </c>
      <c r="EK6" s="224">
        <f>SUMIFS('1HistTrade'!$EU:$EU,'1HistTrade'!$D:$D,D6,'1HistTrade'!$B:$B,"&lt;"&amp;B6)</f>
        <v>0</v>
      </c>
      <c r="EL6" s="116"/>
      <c r="EM6" s="116">
        <f t="shared" ref="EM6:EN6" ca="1" si="81">EC6</f>
        <v>500000</v>
      </c>
      <c r="EN6" s="116">
        <f t="shared" ca="1" si="81"/>
        <v>500000</v>
      </c>
      <c r="EO6" s="224"/>
      <c r="EP6" s="116"/>
      <c r="EQ6" s="116">
        <f t="shared" ca="1" si="69"/>
        <v>500000</v>
      </c>
      <c r="ER6" s="116">
        <f t="shared" si="70"/>
        <v>0</v>
      </c>
      <c r="ES6" s="116">
        <f t="shared" ca="1" si="71"/>
        <v>500000</v>
      </c>
      <c r="ET6" s="116">
        <f t="shared" si="72"/>
        <v>0</v>
      </c>
      <c r="EU6" s="224">
        <f t="shared" si="73"/>
        <v>0</v>
      </c>
      <c r="EV6" s="213">
        <f t="shared" ca="1" si="74"/>
        <v>0</v>
      </c>
      <c r="EX6" s="116">
        <f t="shared" ca="1" si="75"/>
        <v>500000</v>
      </c>
      <c r="EY6" s="116">
        <f t="shared" ca="1" si="76"/>
        <v>0</v>
      </c>
      <c r="EZ6" s="116">
        <f t="shared" ca="1" si="77"/>
        <v>500000</v>
      </c>
      <c r="FA6" s="116">
        <f t="shared" ca="1" si="78"/>
        <v>0</v>
      </c>
      <c r="FB6" s="116">
        <f t="shared" ca="1" si="79"/>
        <v>0</v>
      </c>
      <c r="FC6" s="189"/>
      <c r="FE6" s="31"/>
      <c r="FG6" s="31"/>
    </row>
    <row r="7" spans="1:165" ht="13">
      <c r="A7" s="10">
        <f>IF(E7&lt;=HistSecRecord!$E$1,1,0)</f>
        <v>1</v>
      </c>
      <c r="B7" s="190">
        <f>After1stCHK!B6</f>
        <v>44561000007</v>
      </c>
      <c r="C7" s="3" t="str">
        <f>After1stCHK!C6</f>
        <v>D0003</v>
      </c>
      <c r="D7" s="29" t="str">
        <f>After1stCHK!D6</f>
        <v>sABCD0003@hkmu.edu.hk</v>
      </c>
      <c r="E7" s="4">
        <f>After1stCHK!E6</f>
        <v>44561</v>
      </c>
      <c r="F7" s="78"/>
      <c r="G7" s="79" t="str">
        <f>After1stCHK!F6</f>
        <v>BUY (LONG)</v>
      </c>
      <c r="H7" s="80" t="str">
        <f>After1stCHK!G6</f>
        <v>Cash</v>
      </c>
      <c r="I7" s="81" t="str">
        <f>After1stCHK!H6</f>
        <v>Cash</v>
      </c>
      <c r="J7" s="82" t="str">
        <f>After1stCHK!I6</f>
        <v>(blank)</v>
      </c>
      <c r="K7" s="83" t="str">
        <f>After1stCHK!J6</f>
        <v>(blank)</v>
      </c>
      <c r="L7" s="84" t="str">
        <f>After1stCHK!K6</f>
        <v>(blank)</v>
      </c>
      <c r="M7" s="89">
        <f>After1stCHK!L6</f>
        <v>500000</v>
      </c>
      <c r="N7" s="82" t="str">
        <f>After1stCHK!M6</f>
        <v>(blank)</v>
      </c>
      <c r="O7" s="82"/>
      <c r="P7" s="86"/>
      <c r="Q7" s="43"/>
      <c r="T7" s="87">
        <f t="shared" si="0"/>
        <v>44561</v>
      </c>
      <c r="U7" s="79"/>
      <c r="V7" s="81" t="str">
        <f>VLOOKUP($B7,After1stCHK!$B$3:$AO$87840,MATCH(V$4,After1stCHK!$B$3:$AO$3,0),FALSE)</f>
        <v>HKD</v>
      </c>
      <c r="W7" s="88" t="str">
        <f>VLOOKUP($B7,After1stCHK!$B$3:$AO$87840,MATCH(W$4,After1stCHK!$B$3:$AO$3,0),FALSE)</f>
        <v>(blank)</v>
      </c>
      <c r="X7" s="88" t="str">
        <f>VLOOKUP($B7,After1stCHK!$B$3:$AO$87840,MATCH(X$4,After1stCHK!$B$3:$AO$3,0),FALSE)</f>
        <v>(blank)</v>
      </c>
      <c r="Y7" s="88" t="str">
        <f>VLOOKUP($B7,After1stCHK!$B$3:$AO$87840,MATCH(Y$4,After1stCHK!$B$3:$AO$3,0),FALSE)</f>
        <v>(blank)</v>
      </c>
      <c r="Z7" s="88" t="str">
        <f>VLOOKUP($B7,After1stCHK!$B$3:$AO$87840,MATCH(Z$4,After1stCHK!$B$3:$AO$3,0),FALSE)</f>
        <v>(blank)</v>
      </c>
      <c r="AA7" s="88" t="str">
        <f>VLOOKUP($B7,After1stCHK!$B$3:$AO$87840,MATCH(AA$4,After1stCHK!$B$3:$AO$3,0),FALSE)</f>
        <v>(blank)</v>
      </c>
      <c r="AB7" s="88" t="str">
        <f>VLOOKUP($B7,After1stCHK!$B$3:$AO$87840,MATCH(AB$4,After1stCHK!$B$3:$AO$3,0),FALSE)</f>
        <v>(blank)</v>
      </c>
      <c r="AC7" s="83" t="str">
        <f>VLOOKUP($B7,After1stCHK!$B$3:$AO$87840,MATCH(AC$4,After1stCHK!$B$3:$AO$3,0),FALSE)</f>
        <v>(blank)</v>
      </c>
      <c r="AD7" s="83" t="str">
        <f>VLOOKUP($B7,After1stCHK!$B$3:$AO$87840,MATCH(AD$4,After1stCHK!$B$3:$AO$3,0),FALSE)</f>
        <v>(blank)</v>
      </c>
      <c r="AE7" s="83" t="str">
        <f>VLOOKUP($B7,After1stCHK!$B$3:$AO$87840,MATCH(AE$4,After1stCHK!$B$3:$AO$3,0),FALSE)</f>
        <v>(blank)</v>
      </c>
      <c r="AF7" s="83" t="str">
        <f>VLOOKUP($B7,After1stCHK!$B$3:$AO$87840,MATCH(AF$4,After1stCHK!$B$3:$AO$3,0),FALSE)</f>
        <v>(blank)</v>
      </c>
      <c r="AG7" s="83" t="str">
        <f>VLOOKUP($B7,After1stCHK!$B$3:$AO$87840,MATCH(AG$4,After1stCHK!$B$3:$AO$3,0),FALSE)</f>
        <v>(blank)</v>
      </c>
      <c r="AH7" s="83" t="str">
        <f>VLOOKUP($B7,After1stCHK!$B$3:$AO$87840,MATCH(AH$4,After1stCHK!$B$3:$AO$3,0),FALSE)</f>
        <v>(blank)</v>
      </c>
      <c r="AI7" s="83" t="str">
        <f>VLOOKUP($B7,After1stCHK!$B$3:$AO$87840,MATCH(AI$4,After1stCHK!$B$3:$AO$3,0),FALSE)</f>
        <v>(blank)</v>
      </c>
      <c r="AJ7" s="83" t="str">
        <f>VLOOKUP($B7,After1stCHK!$B$3:$AO$87840,MATCH(AJ$4,After1stCHK!$B$3:$AO$3,0),FALSE)</f>
        <v>(blank)</v>
      </c>
      <c r="AK7" s="83" t="str">
        <f>VLOOKUP($B7,After1stCHK!$B$3:$AO$87840,MATCH(AK$4,After1stCHK!$B$3:$AO$3,0),FALSE)</f>
        <v>(blank)</v>
      </c>
      <c r="AL7" s="84" t="str">
        <f>VLOOKUP($B7,After1stCHK!$B$3:$AO$87840,MATCH(AL$4,After1stCHK!$B$3:$AO$3,0),FALSE)</f>
        <v>(blank)</v>
      </c>
      <c r="AM7" s="84" t="str">
        <f>VLOOKUP($B7,After1stCHK!$B$3:$AO$87840,MATCH(AM$4,After1stCHK!$B$3:$AO$3,0),FALSE)</f>
        <v>(blank)</v>
      </c>
      <c r="AN7" s="84" t="str">
        <f>VLOOKUP($B7,After1stCHK!$B$3:$AO$87840,MATCH(AN$4,After1stCHK!$B$3:$AO$3,0),FALSE)</f>
        <v>(blank)</v>
      </c>
      <c r="AO7" s="84" t="str">
        <f>VLOOKUP($B7,After1stCHK!$B$3:$AO$87840,MATCH(AO$4,After1stCHK!$B$3:$AO$3,0),FALSE)</f>
        <v>(blank)</v>
      </c>
      <c r="AP7" s="84" t="str">
        <f>VLOOKUP($B7,After1stCHK!$B$3:$AO$87840,MATCH(AP$4,After1stCHK!$B$3:$AO$3,0),FALSE)</f>
        <v>(blank)</v>
      </c>
      <c r="AQ7" s="84" t="str">
        <f>VLOOKUP($B7,After1stCHK!$B$3:$AO$87840,MATCH(AQ$4,After1stCHK!$B$3:$AO$3,0),FALSE)</f>
        <v>(blank)</v>
      </c>
      <c r="AR7" s="84" t="str">
        <f>VLOOKUP($B7,After1stCHK!$B$3:$AO$87840,MATCH(AR$4,After1stCHK!$B$3:$AO$3,0),FALSE)</f>
        <v>(blank)</v>
      </c>
      <c r="AS7" s="84" t="str">
        <f>VLOOKUP($B7,After1stCHK!$B$3:$AO$87840,MATCH(AS$4,After1stCHK!$B$3:$AO$3,0),FALSE)</f>
        <v>(blank)</v>
      </c>
      <c r="AT7" s="84" t="str">
        <f>VLOOKUP($B7,After1stCHK!$B$3:$AO$87840,MATCH(AT$4,After1stCHK!$B$3:$AO$3,0),FALSE)</f>
        <v>(blank)</v>
      </c>
      <c r="AU7" s="89" t="str">
        <f>VLOOKUP($B7,After1stCHK!$B$3:$AO$87840,MATCH(AU$4,After1stCHK!$B$3:$AO$3,0),FALSE)</f>
        <v>(blank)</v>
      </c>
      <c r="AV7" s="191" t="str">
        <f t="shared" si="1"/>
        <v/>
      </c>
      <c r="AX7" s="90"/>
      <c r="AY7" s="91"/>
      <c r="AZ7" s="24"/>
      <c r="BA7" s="92"/>
      <c r="BB7" s="192"/>
      <c r="BC7" s="94"/>
      <c r="BD7" s="193">
        <f t="shared" si="2"/>
        <v>0</v>
      </c>
      <c r="BE7" s="193" t="str">
        <f t="shared" si="3"/>
        <v/>
      </c>
      <c r="BF7" s="193">
        <f t="shared" ca="1" si="4"/>
        <v>0</v>
      </c>
      <c r="BG7" s="194" t="e">
        <f t="shared" ca="1" si="5"/>
        <v>#VALUE!</v>
      </c>
      <c r="BH7" s="195" t="str">
        <f t="shared" si="6"/>
        <v/>
      </c>
      <c r="BI7" s="195">
        <f t="shared" si="7"/>
        <v>1</v>
      </c>
      <c r="BJ7" s="3" t="str">
        <f t="shared" si="8"/>
        <v/>
      </c>
      <c r="BK7" s="3" t="str">
        <f t="shared" si="9"/>
        <v>HKD</v>
      </c>
      <c r="BL7" s="196">
        <f ca="1">IF(V7="HKD",1,OFFSET(FX!$A$5,MATCH(E7,FX!A:A,0)-ROW(FX!$A$5),MATCH(V7,FX!$A$5:$AM$5,0)-1,1,1))</f>
        <v>1</v>
      </c>
      <c r="BM7" s="197" t="str">
        <f t="shared" si="10"/>
        <v>Cash</v>
      </c>
      <c r="BN7" s="198">
        <f t="shared" si="11"/>
        <v>0</v>
      </c>
      <c r="BO7" s="199"/>
      <c r="BP7" s="200">
        <f t="shared" si="12"/>
        <v>0</v>
      </c>
      <c r="BQ7" s="201">
        <f t="shared" si="13"/>
        <v>0</v>
      </c>
      <c r="BR7" s="202">
        <f t="shared" si="14"/>
        <v>0</v>
      </c>
      <c r="BS7" s="203">
        <f t="shared" ca="1" si="15"/>
        <v>0</v>
      </c>
      <c r="BT7" s="204"/>
      <c r="BU7" s="199">
        <f t="shared" si="16"/>
        <v>0</v>
      </c>
      <c r="BV7" s="201">
        <f t="shared" si="17"/>
        <v>0</v>
      </c>
      <c r="BW7" s="202">
        <f t="shared" si="18"/>
        <v>0</v>
      </c>
      <c r="BX7" s="203">
        <f t="shared" ca="1" si="19"/>
        <v>0</v>
      </c>
      <c r="BY7" s="204"/>
      <c r="BZ7" s="198">
        <f t="shared" si="20"/>
        <v>0</v>
      </c>
      <c r="CA7" s="199"/>
      <c r="CB7" s="200">
        <f t="shared" si="21"/>
        <v>0</v>
      </c>
      <c r="CC7" s="201">
        <f t="shared" si="22"/>
        <v>0</v>
      </c>
      <c r="CD7" s="202">
        <f t="shared" si="23"/>
        <v>0</v>
      </c>
      <c r="CE7" s="203">
        <f t="shared" ca="1" si="24"/>
        <v>0</v>
      </c>
      <c r="CF7" s="204"/>
      <c r="CG7" s="205">
        <f t="shared" si="25"/>
        <v>0</v>
      </c>
      <c r="CH7" s="206">
        <f t="shared" si="26"/>
        <v>0</v>
      </c>
      <c r="CI7" s="207">
        <f t="shared" si="27"/>
        <v>0</v>
      </c>
      <c r="CJ7" s="203">
        <f t="shared" ca="1" si="28"/>
        <v>0</v>
      </c>
      <c r="CK7" s="204"/>
      <c r="CL7" s="208">
        <f t="shared" si="29"/>
        <v>500000</v>
      </c>
      <c r="CM7" s="209" t="str">
        <f t="shared" si="30"/>
        <v/>
      </c>
      <c r="CN7" s="210" t="str">
        <f t="shared" si="31"/>
        <v>Cash</v>
      </c>
      <c r="CO7" s="153">
        <f t="shared" si="32"/>
        <v>44561</v>
      </c>
      <c r="CP7" s="211">
        <f t="shared" ref="CP7:CQ7" si="82">AZ7</f>
        <v>0</v>
      </c>
      <c r="CQ7" s="212">
        <f t="shared" si="82"/>
        <v>0</v>
      </c>
      <c r="CR7" s="213">
        <f t="shared" si="34"/>
        <v>0</v>
      </c>
      <c r="CS7" s="213">
        <f t="shared" si="35"/>
        <v>0</v>
      </c>
      <c r="CT7" s="214">
        <f>SUMIFS('1HistTrade'!DF:DF,'1HistTrade'!$D:$D,$D7,'1HistTrade'!$BM:$BM,$BM7,'1HistTrade'!$B:$B,"&lt;"&amp;$B7)</f>
        <v>0</v>
      </c>
      <c r="CU7" s="215">
        <f>SUMIFS('1HistTrade'!DG:DG,'1HistTrade'!$D:$D,$D7,'1HistTrade'!$BM:$BM,$BM7,'1HistTrade'!$B:$B,"&lt;"&amp;$B7)</f>
        <v>0</v>
      </c>
      <c r="CV7" s="215">
        <f>SUMIFS('1HistTrade'!DH:DH,'1HistTrade'!$D:$D,$D7,'1HistTrade'!$BM:$BM,$BM7,'1HistTrade'!$B:$B,"&lt;"&amp;$B7)</f>
        <v>0</v>
      </c>
      <c r="CW7" s="215">
        <f>SUMIFS('1HistTrade'!DI:DI,'1HistTrade'!$D:$D,$D7,'1HistTrade'!$BM:$BM,$BM7,'1HistTrade'!$B:$B,"&lt;"&amp;$B7)</f>
        <v>0</v>
      </c>
      <c r="CX7" s="216">
        <f t="shared" si="36"/>
        <v>0</v>
      </c>
      <c r="CY7" s="216">
        <f t="shared" si="37"/>
        <v>0</v>
      </c>
      <c r="CZ7" s="216">
        <f t="shared" si="38"/>
        <v>0</v>
      </c>
      <c r="DA7" s="216">
        <f t="shared" ca="1" si="39"/>
        <v>0</v>
      </c>
      <c r="DB7" s="21" t="str">
        <f t="shared" si="40"/>
        <v/>
      </c>
      <c r="DC7" s="21" t="str">
        <f t="shared" si="41"/>
        <v/>
      </c>
      <c r="DD7" s="21" t="str">
        <f t="shared" si="42"/>
        <v/>
      </c>
      <c r="DE7" s="21" t="str">
        <f t="shared" ca="1" si="43"/>
        <v/>
      </c>
      <c r="DF7" s="215">
        <f t="shared" si="44"/>
        <v>0</v>
      </c>
      <c r="DG7" s="215">
        <f t="shared" si="45"/>
        <v>0</v>
      </c>
      <c r="DH7" s="215">
        <f t="shared" si="46"/>
        <v>0</v>
      </c>
      <c r="DI7" s="215">
        <f t="shared" ca="1" si="47"/>
        <v>0</v>
      </c>
      <c r="DJ7" s="215" t="str">
        <f t="shared" si="48"/>
        <v>CD/CW</v>
      </c>
      <c r="DK7" s="116"/>
      <c r="DL7" s="116">
        <f t="shared" si="49"/>
        <v>0</v>
      </c>
      <c r="DM7" s="116">
        <f t="shared" si="50"/>
        <v>0</v>
      </c>
      <c r="DN7" s="116">
        <f t="shared" ca="1" si="51"/>
        <v>0</v>
      </c>
      <c r="DO7" s="217">
        <f t="shared" si="52"/>
        <v>0</v>
      </c>
      <c r="DP7" s="217">
        <f t="shared" si="53"/>
        <v>0</v>
      </c>
      <c r="DQ7" s="116">
        <f>IF($DT$1="Delete",0,IF(OR(DG7="",DG7=0),0,SUMIFS('1HistTrade'!$ED:$ED,'1HistTrade'!$D:$D,D7,'1HistTrade'!$H:$H,H7,'1HistTrade'!$B:$B,"&lt;"&amp;B7)))</f>
        <v>0</v>
      </c>
      <c r="DR7" s="116">
        <f t="shared" ca="1" si="54"/>
        <v>0</v>
      </c>
      <c r="DS7" s="116">
        <f t="shared" ca="1" si="55"/>
        <v>0</v>
      </c>
      <c r="DT7" s="116">
        <f>IF($DT$1="Delete",0,IF(OR(DI7="",DI7=0),0,SUMIFS('1HistTrade'!$ED:$ED,'1HistTrade'!$D:$D,D7,'1HistTrade'!$H:$H,H7,'1HistTrade'!$B:$B,"&lt;"&amp;B7)))</f>
        <v>0</v>
      </c>
      <c r="DU7" s="116">
        <f t="shared" ca="1" si="56"/>
        <v>0</v>
      </c>
      <c r="DV7" s="116">
        <f t="shared" ca="1" si="57"/>
        <v>0</v>
      </c>
      <c r="DW7" s="218">
        <f t="shared" si="58"/>
        <v>0</v>
      </c>
      <c r="DX7" s="219"/>
      <c r="DY7" s="219">
        <f t="shared" si="59"/>
        <v>0</v>
      </c>
      <c r="DZ7" s="220">
        <f t="shared" ca="1" si="60"/>
        <v>0</v>
      </c>
      <c r="EA7" s="220">
        <f t="shared" si="61"/>
        <v>0</v>
      </c>
      <c r="EB7" s="221">
        <f t="shared" ca="1" si="62"/>
        <v>0</v>
      </c>
      <c r="EC7" s="116">
        <f t="shared" ca="1" si="63"/>
        <v>500000</v>
      </c>
      <c r="ED7" s="116">
        <f t="shared" ca="1" si="64"/>
        <v>500000</v>
      </c>
      <c r="EE7" s="222" t="str">
        <f t="shared" si="65"/>
        <v/>
      </c>
      <c r="EF7" s="116">
        <f t="shared" si="66"/>
        <v>0</v>
      </c>
      <c r="EG7" s="223">
        <f ca="1">IF(ISERROR(VLOOKUP(_xludf.maxifs(DbyD!C:C,DbyD!B:B,C7,DbyD!F:F,"&lt;=" &amp; E7,DbyD!C:C,"&lt;"&amp;B7),DbyD!C:BE,MATCH(DbyD!$BB$9,DbyD!$9:$9,0)-2,FALSE)),0,VLOOKUP(_xludf.maxifs(DbyD!C:C,DbyD!B:B,C7,DbyD!F:F,"&lt;=" &amp; E7,DbyD!C:C,"&lt;"&amp;B7),DbyD!C:BE,MATCH(DbyD!$BB$9,DbyD!$9:$9,0)-2,FALSE))</f>
        <v>0</v>
      </c>
      <c r="EH7" s="116">
        <f>SUMIFS('1HistTrade'!$EM:$EM,'1HistTrade'!$D:$D,D7,'1HistTrade'!$B:$B,"&lt;"&amp;B7,'1HistTrade'!$DJ:$DJ,"&lt;&gt;"&amp;"CD/CW")*-1</f>
        <v>0</v>
      </c>
      <c r="EI7" s="116">
        <f t="shared" ca="1" si="67"/>
        <v>0</v>
      </c>
      <c r="EJ7" s="116">
        <f>SUMIFS('1HistTrade'!$EN:$EN,'1HistTrade'!$D:$D,D7,'1HistTrade'!$B:$B,"&lt;"&amp;B7)</f>
        <v>0</v>
      </c>
      <c r="EK7" s="224">
        <f>SUMIFS('1HistTrade'!$EU:$EU,'1HistTrade'!$D:$D,D7,'1HistTrade'!$B:$B,"&lt;"&amp;B7)</f>
        <v>0</v>
      </c>
      <c r="EL7" s="116"/>
      <c r="EM7" s="116">
        <f t="shared" ref="EM7:EN7" ca="1" si="83">EC7</f>
        <v>500000</v>
      </c>
      <c r="EN7" s="116">
        <f t="shared" ca="1" si="83"/>
        <v>500000</v>
      </c>
      <c r="EO7" s="224"/>
      <c r="EP7" s="116"/>
      <c r="EQ7" s="116">
        <f t="shared" ca="1" si="69"/>
        <v>500000</v>
      </c>
      <c r="ER7" s="116">
        <f t="shared" si="70"/>
        <v>0</v>
      </c>
      <c r="ES7" s="116">
        <f t="shared" ca="1" si="71"/>
        <v>500000</v>
      </c>
      <c r="ET7" s="116">
        <f t="shared" si="72"/>
        <v>0</v>
      </c>
      <c r="EU7" s="224">
        <f t="shared" si="73"/>
        <v>0</v>
      </c>
      <c r="EV7" s="213">
        <f t="shared" ca="1" si="74"/>
        <v>0</v>
      </c>
      <c r="EX7" s="116">
        <f t="shared" ca="1" si="75"/>
        <v>500000</v>
      </c>
      <c r="EY7" s="116">
        <f t="shared" ca="1" si="76"/>
        <v>0</v>
      </c>
      <c r="EZ7" s="116">
        <f t="shared" ca="1" si="77"/>
        <v>500000</v>
      </c>
      <c r="FA7" s="116">
        <f t="shared" ca="1" si="78"/>
        <v>0</v>
      </c>
      <c r="FB7" s="116">
        <f t="shared" ca="1" si="79"/>
        <v>0</v>
      </c>
      <c r="FC7" s="189"/>
      <c r="FE7" s="31"/>
      <c r="FG7" s="31"/>
    </row>
    <row r="8" spans="1:165" ht="13">
      <c r="A8" s="10">
        <f>IF(E8&lt;=HistSecRecord!$E$1,1,0)</f>
        <v>1</v>
      </c>
      <c r="B8" s="190">
        <f>After1stCHK!B7</f>
        <v>44561000008</v>
      </c>
      <c r="C8" s="3" t="str">
        <f>After1stCHK!C7</f>
        <v>D0004</v>
      </c>
      <c r="D8" s="29" t="str">
        <f>After1stCHK!D7</f>
        <v>sABCD0004@hkmu.edu.hk</v>
      </c>
      <c r="E8" s="4">
        <f>After1stCHK!E7</f>
        <v>44561</v>
      </c>
      <c r="F8" s="78"/>
      <c r="G8" s="79" t="str">
        <f>After1stCHK!F7</f>
        <v>BUY (LONG)</v>
      </c>
      <c r="H8" s="80" t="str">
        <f>After1stCHK!G7</f>
        <v>Cash</v>
      </c>
      <c r="I8" s="81" t="str">
        <f>After1stCHK!H7</f>
        <v>Cash</v>
      </c>
      <c r="J8" s="82" t="str">
        <f>After1stCHK!I7</f>
        <v>(blank)</v>
      </c>
      <c r="K8" s="83" t="str">
        <f>After1stCHK!J7</f>
        <v>(blank)</v>
      </c>
      <c r="L8" s="84" t="str">
        <f>After1stCHK!K7</f>
        <v>(blank)</v>
      </c>
      <c r="M8" s="89">
        <f>After1stCHK!L7</f>
        <v>500000</v>
      </c>
      <c r="N8" s="82" t="str">
        <f>After1stCHK!M7</f>
        <v>(blank)</v>
      </c>
      <c r="O8" s="82"/>
      <c r="P8" s="86"/>
      <c r="Q8" s="43"/>
      <c r="T8" s="87">
        <f t="shared" si="0"/>
        <v>44561</v>
      </c>
      <c r="U8" s="79"/>
      <c r="V8" s="81" t="str">
        <f>VLOOKUP($B8,After1stCHK!$B$3:$AO$87840,MATCH(V$4,After1stCHK!$B$3:$AO$3,0),FALSE)</f>
        <v>HKD</v>
      </c>
      <c r="W8" s="88" t="str">
        <f>VLOOKUP($B8,After1stCHK!$B$3:$AO$87840,MATCH(W$4,After1stCHK!$B$3:$AO$3,0),FALSE)</f>
        <v>(blank)</v>
      </c>
      <c r="X8" s="88" t="str">
        <f>VLOOKUP($B8,After1stCHK!$B$3:$AO$87840,MATCH(X$4,After1stCHK!$B$3:$AO$3,0),FALSE)</f>
        <v>(blank)</v>
      </c>
      <c r="Y8" s="88" t="str">
        <f>VLOOKUP($B8,After1stCHK!$B$3:$AO$87840,MATCH(Y$4,After1stCHK!$B$3:$AO$3,0),FALSE)</f>
        <v>(blank)</v>
      </c>
      <c r="Z8" s="88" t="str">
        <f>VLOOKUP($B8,After1stCHK!$B$3:$AO$87840,MATCH(Z$4,After1stCHK!$B$3:$AO$3,0),FALSE)</f>
        <v>(blank)</v>
      </c>
      <c r="AA8" s="88" t="str">
        <f>VLOOKUP($B8,After1stCHK!$B$3:$AO$87840,MATCH(AA$4,After1stCHK!$B$3:$AO$3,0),FALSE)</f>
        <v>(blank)</v>
      </c>
      <c r="AB8" s="88" t="str">
        <f>VLOOKUP($B8,After1stCHK!$B$3:$AO$87840,MATCH(AB$4,After1stCHK!$B$3:$AO$3,0),FALSE)</f>
        <v>(blank)</v>
      </c>
      <c r="AC8" s="83" t="str">
        <f>VLOOKUP($B8,After1stCHK!$B$3:$AO$87840,MATCH(AC$4,After1stCHK!$B$3:$AO$3,0),FALSE)</f>
        <v>(blank)</v>
      </c>
      <c r="AD8" s="83" t="str">
        <f>VLOOKUP($B8,After1stCHK!$B$3:$AO$87840,MATCH(AD$4,After1stCHK!$B$3:$AO$3,0),FALSE)</f>
        <v>(blank)</v>
      </c>
      <c r="AE8" s="83" t="str">
        <f>VLOOKUP($B8,After1stCHK!$B$3:$AO$87840,MATCH(AE$4,After1stCHK!$B$3:$AO$3,0),FALSE)</f>
        <v>(blank)</v>
      </c>
      <c r="AF8" s="83" t="str">
        <f>VLOOKUP($B8,After1stCHK!$B$3:$AO$87840,MATCH(AF$4,After1stCHK!$B$3:$AO$3,0),FALSE)</f>
        <v>(blank)</v>
      </c>
      <c r="AG8" s="83" t="str">
        <f>VLOOKUP($B8,After1stCHK!$B$3:$AO$87840,MATCH(AG$4,After1stCHK!$B$3:$AO$3,0),FALSE)</f>
        <v>(blank)</v>
      </c>
      <c r="AH8" s="83" t="str">
        <f>VLOOKUP($B8,After1stCHK!$B$3:$AO$87840,MATCH(AH$4,After1stCHK!$B$3:$AO$3,0),FALSE)</f>
        <v>(blank)</v>
      </c>
      <c r="AI8" s="83" t="str">
        <f>VLOOKUP($B8,After1stCHK!$B$3:$AO$87840,MATCH(AI$4,After1stCHK!$B$3:$AO$3,0),FALSE)</f>
        <v>(blank)</v>
      </c>
      <c r="AJ8" s="83" t="str">
        <f>VLOOKUP($B8,After1stCHK!$B$3:$AO$87840,MATCH(AJ$4,After1stCHK!$B$3:$AO$3,0),FALSE)</f>
        <v>(blank)</v>
      </c>
      <c r="AK8" s="83" t="str">
        <f>VLOOKUP($B8,After1stCHK!$B$3:$AO$87840,MATCH(AK$4,After1stCHK!$B$3:$AO$3,0),FALSE)</f>
        <v>(blank)</v>
      </c>
      <c r="AL8" s="84" t="str">
        <f>VLOOKUP($B8,After1stCHK!$B$3:$AO$87840,MATCH(AL$4,After1stCHK!$B$3:$AO$3,0),FALSE)</f>
        <v>(blank)</v>
      </c>
      <c r="AM8" s="84" t="str">
        <f>VLOOKUP($B8,After1stCHK!$B$3:$AO$87840,MATCH(AM$4,After1stCHK!$B$3:$AO$3,0),FALSE)</f>
        <v>(blank)</v>
      </c>
      <c r="AN8" s="84" t="str">
        <f>VLOOKUP($B8,After1stCHK!$B$3:$AO$87840,MATCH(AN$4,After1stCHK!$B$3:$AO$3,0),FALSE)</f>
        <v>(blank)</v>
      </c>
      <c r="AO8" s="84" t="str">
        <f>VLOOKUP($B8,After1stCHK!$B$3:$AO$87840,MATCH(AO$4,After1stCHK!$B$3:$AO$3,0),FALSE)</f>
        <v>(blank)</v>
      </c>
      <c r="AP8" s="84" t="str">
        <f>VLOOKUP($B8,After1stCHK!$B$3:$AO$87840,MATCH(AP$4,After1stCHK!$B$3:$AO$3,0),FALSE)</f>
        <v>(blank)</v>
      </c>
      <c r="AQ8" s="84" t="str">
        <f>VLOOKUP($B8,After1stCHK!$B$3:$AO$87840,MATCH(AQ$4,After1stCHK!$B$3:$AO$3,0),FALSE)</f>
        <v>(blank)</v>
      </c>
      <c r="AR8" s="84" t="str">
        <f>VLOOKUP($B8,After1stCHK!$B$3:$AO$87840,MATCH(AR$4,After1stCHK!$B$3:$AO$3,0),FALSE)</f>
        <v>(blank)</v>
      </c>
      <c r="AS8" s="84" t="str">
        <f>VLOOKUP($B8,After1stCHK!$B$3:$AO$87840,MATCH(AS$4,After1stCHK!$B$3:$AO$3,0),FALSE)</f>
        <v>(blank)</v>
      </c>
      <c r="AT8" s="84" t="str">
        <f>VLOOKUP($B8,After1stCHK!$B$3:$AO$87840,MATCH(AT$4,After1stCHK!$B$3:$AO$3,0),FALSE)</f>
        <v>(blank)</v>
      </c>
      <c r="AU8" s="89" t="str">
        <f>VLOOKUP($B8,After1stCHK!$B$3:$AO$87840,MATCH(AU$4,After1stCHK!$B$3:$AO$3,0),FALSE)</f>
        <v>(blank)</v>
      </c>
      <c r="AV8" s="191" t="str">
        <f t="shared" si="1"/>
        <v/>
      </c>
      <c r="AX8" s="90"/>
      <c r="AY8" s="91"/>
      <c r="AZ8" s="24"/>
      <c r="BA8" s="92"/>
      <c r="BB8" s="192"/>
      <c r="BC8" s="94"/>
      <c r="BD8" s="193">
        <f t="shared" si="2"/>
        <v>0</v>
      </c>
      <c r="BE8" s="193" t="str">
        <f t="shared" si="3"/>
        <v/>
      </c>
      <c r="BF8" s="193">
        <f t="shared" ca="1" si="4"/>
        <v>0</v>
      </c>
      <c r="BG8" s="194" t="e">
        <f t="shared" ca="1" si="5"/>
        <v>#VALUE!</v>
      </c>
      <c r="BH8" s="195" t="str">
        <f t="shared" si="6"/>
        <v/>
      </c>
      <c r="BI8" s="195">
        <f t="shared" si="7"/>
        <v>1</v>
      </c>
      <c r="BJ8" s="3" t="str">
        <f t="shared" si="8"/>
        <v/>
      </c>
      <c r="BK8" s="3" t="str">
        <f t="shared" si="9"/>
        <v>HKD</v>
      </c>
      <c r="BL8" s="196">
        <f ca="1">IF(V8="HKD",1,OFFSET(FX!$A$5,MATCH(E8,FX!A:A,0)-ROW(FX!$A$5),MATCH(V8,FX!$A$5:$AM$5,0)-1,1,1))</f>
        <v>1</v>
      </c>
      <c r="BM8" s="197" t="str">
        <f t="shared" si="10"/>
        <v>Cash</v>
      </c>
      <c r="BN8" s="198">
        <f t="shared" si="11"/>
        <v>0</v>
      </c>
      <c r="BO8" s="199"/>
      <c r="BP8" s="200">
        <f t="shared" si="12"/>
        <v>0</v>
      </c>
      <c r="BQ8" s="201">
        <f t="shared" si="13"/>
        <v>0</v>
      </c>
      <c r="BR8" s="202">
        <f t="shared" si="14"/>
        <v>0</v>
      </c>
      <c r="BS8" s="203">
        <f t="shared" ca="1" si="15"/>
        <v>0</v>
      </c>
      <c r="BT8" s="204"/>
      <c r="BU8" s="199">
        <f t="shared" si="16"/>
        <v>0</v>
      </c>
      <c r="BV8" s="201">
        <f t="shared" si="17"/>
        <v>0</v>
      </c>
      <c r="BW8" s="202">
        <f t="shared" si="18"/>
        <v>0</v>
      </c>
      <c r="BX8" s="203">
        <f t="shared" ca="1" si="19"/>
        <v>0</v>
      </c>
      <c r="BY8" s="204"/>
      <c r="BZ8" s="198">
        <f t="shared" si="20"/>
        <v>0</v>
      </c>
      <c r="CA8" s="199"/>
      <c r="CB8" s="200">
        <f t="shared" si="21"/>
        <v>0</v>
      </c>
      <c r="CC8" s="201">
        <f t="shared" si="22"/>
        <v>0</v>
      </c>
      <c r="CD8" s="202">
        <f t="shared" si="23"/>
        <v>0</v>
      </c>
      <c r="CE8" s="203">
        <f t="shared" ca="1" si="24"/>
        <v>0</v>
      </c>
      <c r="CF8" s="204"/>
      <c r="CG8" s="205">
        <f t="shared" si="25"/>
        <v>0</v>
      </c>
      <c r="CH8" s="206">
        <f t="shared" si="26"/>
        <v>0</v>
      </c>
      <c r="CI8" s="207">
        <f t="shared" si="27"/>
        <v>0</v>
      </c>
      <c r="CJ8" s="203">
        <f t="shared" ca="1" si="28"/>
        <v>0</v>
      </c>
      <c r="CK8" s="204"/>
      <c r="CL8" s="208">
        <f t="shared" si="29"/>
        <v>500000</v>
      </c>
      <c r="CM8" s="209" t="str">
        <f t="shared" si="30"/>
        <v/>
      </c>
      <c r="CN8" s="210" t="str">
        <f t="shared" si="31"/>
        <v>Cash</v>
      </c>
      <c r="CO8" s="153">
        <f t="shared" si="32"/>
        <v>44561</v>
      </c>
      <c r="CP8" s="211">
        <f t="shared" ref="CP8:CQ8" si="84">AZ8</f>
        <v>0</v>
      </c>
      <c r="CQ8" s="212">
        <f t="shared" si="84"/>
        <v>0</v>
      </c>
      <c r="CR8" s="213">
        <f t="shared" si="34"/>
        <v>0</v>
      </c>
      <c r="CS8" s="213">
        <f t="shared" si="35"/>
        <v>0</v>
      </c>
      <c r="CT8" s="214">
        <f>SUMIFS('1HistTrade'!DF:DF,'1HistTrade'!$D:$D,$D8,'1HistTrade'!$BM:$BM,$BM8,'1HistTrade'!$B:$B,"&lt;"&amp;$B8)</f>
        <v>0</v>
      </c>
      <c r="CU8" s="215">
        <f>SUMIFS('1HistTrade'!DG:DG,'1HistTrade'!$D:$D,$D8,'1HistTrade'!$BM:$BM,$BM8,'1HistTrade'!$B:$B,"&lt;"&amp;$B8)</f>
        <v>0</v>
      </c>
      <c r="CV8" s="215">
        <f>SUMIFS('1HistTrade'!DH:DH,'1HistTrade'!$D:$D,$D8,'1HistTrade'!$BM:$BM,$BM8,'1HistTrade'!$B:$B,"&lt;"&amp;$B8)</f>
        <v>0</v>
      </c>
      <c r="CW8" s="215">
        <f>SUMIFS('1HistTrade'!DI:DI,'1HistTrade'!$D:$D,$D8,'1HistTrade'!$BM:$BM,$BM8,'1HistTrade'!$B:$B,"&lt;"&amp;$B8)</f>
        <v>0</v>
      </c>
      <c r="CX8" s="216">
        <f t="shared" si="36"/>
        <v>0</v>
      </c>
      <c r="CY8" s="216">
        <f t="shared" si="37"/>
        <v>0</v>
      </c>
      <c r="CZ8" s="216">
        <f t="shared" si="38"/>
        <v>0</v>
      </c>
      <c r="DA8" s="216">
        <f t="shared" ca="1" si="39"/>
        <v>0</v>
      </c>
      <c r="DB8" s="21" t="str">
        <f t="shared" si="40"/>
        <v/>
      </c>
      <c r="DC8" s="21" t="str">
        <f t="shared" si="41"/>
        <v/>
      </c>
      <c r="DD8" s="21" t="str">
        <f t="shared" si="42"/>
        <v/>
      </c>
      <c r="DE8" s="21" t="str">
        <f t="shared" ca="1" si="43"/>
        <v/>
      </c>
      <c r="DF8" s="215">
        <f t="shared" si="44"/>
        <v>0</v>
      </c>
      <c r="DG8" s="215">
        <f t="shared" si="45"/>
        <v>0</v>
      </c>
      <c r="DH8" s="215">
        <f t="shared" si="46"/>
        <v>0</v>
      </c>
      <c r="DI8" s="215">
        <f t="shared" ca="1" si="47"/>
        <v>0</v>
      </c>
      <c r="DJ8" s="215" t="str">
        <f t="shared" si="48"/>
        <v>CD/CW</v>
      </c>
      <c r="DK8" s="116"/>
      <c r="DL8" s="116">
        <f t="shared" si="49"/>
        <v>0</v>
      </c>
      <c r="DM8" s="116">
        <f t="shared" si="50"/>
        <v>0</v>
      </c>
      <c r="DN8" s="116">
        <f t="shared" ca="1" si="51"/>
        <v>0</v>
      </c>
      <c r="DO8" s="217">
        <f t="shared" si="52"/>
        <v>0</v>
      </c>
      <c r="DP8" s="217">
        <f t="shared" si="53"/>
        <v>0</v>
      </c>
      <c r="DQ8" s="116">
        <f>IF($DT$1="Delete",0,IF(OR(DG8="",DG8=0),0,SUMIFS('1HistTrade'!$ED:$ED,'1HistTrade'!$D:$D,D8,'1HistTrade'!$H:$H,H8,'1HistTrade'!$B:$B,"&lt;"&amp;B8)))</f>
        <v>0</v>
      </c>
      <c r="DR8" s="116">
        <f t="shared" ca="1" si="54"/>
        <v>0</v>
      </c>
      <c r="DS8" s="116">
        <f t="shared" ca="1" si="55"/>
        <v>0</v>
      </c>
      <c r="DT8" s="116">
        <f>IF($DT$1="Delete",0,IF(OR(DI8="",DI8=0),0,SUMIFS('1HistTrade'!$ED:$ED,'1HistTrade'!$D:$D,D8,'1HistTrade'!$H:$H,H8,'1HistTrade'!$B:$B,"&lt;"&amp;B8)))</f>
        <v>0</v>
      </c>
      <c r="DU8" s="116">
        <f t="shared" ca="1" si="56"/>
        <v>0</v>
      </c>
      <c r="DV8" s="116">
        <f t="shared" ca="1" si="57"/>
        <v>0</v>
      </c>
      <c r="DW8" s="218">
        <f t="shared" si="58"/>
        <v>0</v>
      </c>
      <c r="DX8" s="219"/>
      <c r="DY8" s="219">
        <f t="shared" si="59"/>
        <v>0</v>
      </c>
      <c r="DZ8" s="220">
        <f t="shared" ca="1" si="60"/>
        <v>0</v>
      </c>
      <c r="EA8" s="220">
        <f t="shared" si="61"/>
        <v>0</v>
      </c>
      <c r="EB8" s="221">
        <f t="shared" ca="1" si="62"/>
        <v>0</v>
      </c>
      <c r="EC8" s="116">
        <f t="shared" ca="1" si="63"/>
        <v>500000</v>
      </c>
      <c r="ED8" s="116">
        <f t="shared" ca="1" si="64"/>
        <v>500000</v>
      </c>
      <c r="EE8" s="222" t="str">
        <f t="shared" si="65"/>
        <v/>
      </c>
      <c r="EF8" s="116">
        <f t="shared" si="66"/>
        <v>0</v>
      </c>
      <c r="EG8" s="223">
        <f ca="1">IF(ISERROR(VLOOKUP(_xludf.maxifs(DbyD!C:C,DbyD!B:B,C8,DbyD!F:F,"&lt;=" &amp; E8,DbyD!C:C,"&lt;"&amp;B8),DbyD!C:BE,MATCH(DbyD!$BB$9,DbyD!$9:$9,0)-2,FALSE)),0,VLOOKUP(_xludf.maxifs(DbyD!C:C,DbyD!B:B,C8,DbyD!F:F,"&lt;=" &amp; E8,DbyD!C:C,"&lt;"&amp;B8),DbyD!C:BE,MATCH(DbyD!$BB$9,DbyD!$9:$9,0)-2,FALSE))</f>
        <v>0</v>
      </c>
      <c r="EH8" s="116">
        <f>SUMIFS('1HistTrade'!$EM:$EM,'1HistTrade'!$D:$D,D8,'1HistTrade'!$B:$B,"&lt;"&amp;B8,'1HistTrade'!$DJ:$DJ,"&lt;&gt;"&amp;"CD/CW")*-1</f>
        <v>0</v>
      </c>
      <c r="EI8" s="116">
        <f t="shared" ca="1" si="67"/>
        <v>0</v>
      </c>
      <c r="EJ8" s="116">
        <f>SUMIFS('1HistTrade'!$EN:$EN,'1HistTrade'!$D:$D,D8,'1HistTrade'!$B:$B,"&lt;"&amp;B8)</f>
        <v>0</v>
      </c>
      <c r="EK8" s="224">
        <f>SUMIFS('1HistTrade'!$EU:$EU,'1HistTrade'!$D:$D,D8,'1HistTrade'!$B:$B,"&lt;"&amp;B8)</f>
        <v>0</v>
      </c>
      <c r="EL8" s="116"/>
      <c r="EM8" s="116">
        <f t="shared" ref="EM8:EN8" ca="1" si="85">EC8</f>
        <v>500000</v>
      </c>
      <c r="EN8" s="116">
        <f t="shared" ca="1" si="85"/>
        <v>500000</v>
      </c>
      <c r="EO8" s="224"/>
      <c r="EP8" s="116"/>
      <c r="EQ8" s="116">
        <f t="shared" ca="1" si="69"/>
        <v>500000</v>
      </c>
      <c r="ER8" s="116">
        <f t="shared" si="70"/>
        <v>0</v>
      </c>
      <c r="ES8" s="116">
        <f t="shared" ca="1" si="71"/>
        <v>500000</v>
      </c>
      <c r="ET8" s="116">
        <f t="shared" si="72"/>
        <v>0</v>
      </c>
      <c r="EU8" s="224">
        <f t="shared" si="73"/>
        <v>0</v>
      </c>
      <c r="EV8" s="213">
        <f t="shared" ca="1" si="74"/>
        <v>0</v>
      </c>
      <c r="EX8" s="116">
        <f t="shared" ca="1" si="75"/>
        <v>500000</v>
      </c>
      <c r="EY8" s="116">
        <f t="shared" ca="1" si="76"/>
        <v>0</v>
      </c>
      <c r="EZ8" s="116">
        <f t="shared" ca="1" si="77"/>
        <v>500000</v>
      </c>
      <c r="FA8" s="116">
        <f t="shared" ca="1" si="78"/>
        <v>0</v>
      </c>
      <c r="FB8" s="116">
        <f t="shared" ca="1" si="79"/>
        <v>0</v>
      </c>
      <c r="FC8" s="189"/>
      <c r="FE8" s="31"/>
      <c r="FG8" s="31"/>
    </row>
    <row r="9" spans="1:165" ht="13">
      <c r="A9" s="10">
        <f>IF(E9&lt;=HistSecRecord!$E$1,1,0)</f>
        <v>1</v>
      </c>
      <c r="B9" s="190">
        <f>After1stCHK!B8</f>
        <v>44561000009</v>
      </c>
      <c r="C9" s="3" t="str">
        <f>After1stCHK!C8</f>
        <v>D0005</v>
      </c>
      <c r="D9" s="29" t="str">
        <f>After1stCHK!D8</f>
        <v>sABCD0005@hkmu.edu.hk</v>
      </c>
      <c r="E9" s="4">
        <f>After1stCHK!E8</f>
        <v>44561</v>
      </c>
      <c r="F9" s="78"/>
      <c r="G9" s="79" t="str">
        <f>After1stCHK!F8</f>
        <v>BUY (LONG)</v>
      </c>
      <c r="H9" s="80" t="str">
        <f>After1stCHK!G8</f>
        <v>Cash</v>
      </c>
      <c r="I9" s="81" t="str">
        <f>After1stCHK!H8</f>
        <v>Cash</v>
      </c>
      <c r="J9" s="82" t="str">
        <f>After1stCHK!I8</f>
        <v>(blank)</v>
      </c>
      <c r="K9" s="83" t="str">
        <f>After1stCHK!J8</f>
        <v>(blank)</v>
      </c>
      <c r="L9" s="84" t="str">
        <f>After1stCHK!K8</f>
        <v>(blank)</v>
      </c>
      <c r="M9" s="89">
        <f>After1stCHK!L8</f>
        <v>500000</v>
      </c>
      <c r="N9" s="82" t="str">
        <f>After1stCHK!M8</f>
        <v>(blank)</v>
      </c>
      <c r="O9" s="82"/>
      <c r="P9" s="86"/>
      <c r="Q9" s="43"/>
      <c r="T9" s="87">
        <f t="shared" si="0"/>
        <v>44561</v>
      </c>
      <c r="U9" s="79"/>
      <c r="V9" s="81" t="str">
        <f>VLOOKUP($B9,After1stCHK!$B$3:$AO$87840,MATCH(V$4,After1stCHK!$B$3:$AO$3,0),FALSE)</f>
        <v>HKD</v>
      </c>
      <c r="W9" s="88" t="str">
        <f>VLOOKUP($B9,After1stCHK!$B$3:$AO$87840,MATCH(W$4,After1stCHK!$B$3:$AO$3,0),FALSE)</f>
        <v>(blank)</v>
      </c>
      <c r="X9" s="88" t="str">
        <f>VLOOKUP($B9,After1stCHK!$B$3:$AO$87840,MATCH(X$4,After1stCHK!$B$3:$AO$3,0),FALSE)</f>
        <v>(blank)</v>
      </c>
      <c r="Y9" s="88" t="str">
        <f>VLOOKUP($B9,After1stCHK!$B$3:$AO$87840,MATCH(Y$4,After1stCHK!$B$3:$AO$3,0),FALSE)</f>
        <v>(blank)</v>
      </c>
      <c r="Z9" s="88" t="str">
        <f>VLOOKUP($B9,After1stCHK!$B$3:$AO$87840,MATCH(Z$4,After1stCHK!$B$3:$AO$3,0),FALSE)</f>
        <v>(blank)</v>
      </c>
      <c r="AA9" s="88" t="str">
        <f>VLOOKUP($B9,After1stCHK!$B$3:$AO$87840,MATCH(AA$4,After1stCHK!$B$3:$AO$3,0),FALSE)</f>
        <v>(blank)</v>
      </c>
      <c r="AB9" s="88" t="str">
        <f>VLOOKUP($B9,After1stCHK!$B$3:$AO$87840,MATCH(AB$4,After1stCHK!$B$3:$AO$3,0),FALSE)</f>
        <v>(blank)</v>
      </c>
      <c r="AC9" s="83" t="str">
        <f>VLOOKUP($B9,After1stCHK!$B$3:$AO$87840,MATCH(AC$4,After1stCHK!$B$3:$AO$3,0),FALSE)</f>
        <v>(blank)</v>
      </c>
      <c r="AD9" s="83" t="str">
        <f>VLOOKUP($B9,After1stCHK!$B$3:$AO$87840,MATCH(AD$4,After1stCHK!$B$3:$AO$3,0),FALSE)</f>
        <v>(blank)</v>
      </c>
      <c r="AE9" s="83" t="str">
        <f>VLOOKUP($B9,After1stCHK!$B$3:$AO$87840,MATCH(AE$4,After1stCHK!$B$3:$AO$3,0),FALSE)</f>
        <v>(blank)</v>
      </c>
      <c r="AF9" s="83" t="str">
        <f>VLOOKUP($B9,After1stCHK!$B$3:$AO$87840,MATCH(AF$4,After1stCHK!$B$3:$AO$3,0),FALSE)</f>
        <v>(blank)</v>
      </c>
      <c r="AG9" s="83" t="str">
        <f>VLOOKUP($B9,After1stCHK!$B$3:$AO$87840,MATCH(AG$4,After1stCHK!$B$3:$AO$3,0),FALSE)</f>
        <v>(blank)</v>
      </c>
      <c r="AH9" s="83" t="str">
        <f>VLOOKUP($B9,After1stCHK!$B$3:$AO$87840,MATCH(AH$4,After1stCHK!$B$3:$AO$3,0),FALSE)</f>
        <v>(blank)</v>
      </c>
      <c r="AI9" s="83" t="str">
        <f>VLOOKUP($B9,After1stCHK!$B$3:$AO$87840,MATCH(AI$4,After1stCHK!$B$3:$AO$3,0),FALSE)</f>
        <v>(blank)</v>
      </c>
      <c r="AJ9" s="83" t="str">
        <f>VLOOKUP($B9,After1stCHK!$B$3:$AO$87840,MATCH(AJ$4,After1stCHK!$B$3:$AO$3,0),FALSE)</f>
        <v>(blank)</v>
      </c>
      <c r="AK9" s="83" t="str">
        <f>VLOOKUP($B9,After1stCHK!$B$3:$AO$87840,MATCH(AK$4,After1stCHK!$B$3:$AO$3,0),FALSE)</f>
        <v>(blank)</v>
      </c>
      <c r="AL9" s="84" t="str">
        <f>VLOOKUP($B9,After1stCHK!$B$3:$AO$87840,MATCH(AL$4,After1stCHK!$B$3:$AO$3,0),FALSE)</f>
        <v>(blank)</v>
      </c>
      <c r="AM9" s="84" t="str">
        <f>VLOOKUP($B9,After1stCHK!$B$3:$AO$87840,MATCH(AM$4,After1stCHK!$B$3:$AO$3,0),FALSE)</f>
        <v>(blank)</v>
      </c>
      <c r="AN9" s="84" t="str">
        <f>VLOOKUP($B9,After1stCHK!$B$3:$AO$87840,MATCH(AN$4,After1stCHK!$B$3:$AO$3,0),FALSE)</f>
        <v>(blank)</v>
      </c>
      <c r="AO9" s="84" t="str">
        <f>VLOOKUP($B9,After1stCHK!$B$3:$AO$87840,MATCH(AO$4,After1stCHK!$B$3:$AO$3,0),FALSE)</f>
        <v>(blank)</v>
      </c>
      <c r="AP9" s="84" t="str">
        <f>VLOOKUP($B9,After1stCHK!$B$3:$AO$87840,MATCH(AP$4,After1stCHK!$B$3:$AO$3,0),FALSE)</f>
        <v>(blank)</v>
      </c>
      <c r="AQ9" s="84" t="str">
        <f>VLOOKUP($B9,After1stCHK!$B$3:$AO$87840,MATCH(AQ$4,After1stCHK!$B$3:$AO$3,0),FALSE)</f>
        <v>(blank)</v>
      </c>
      <c r="AR9" s="84" t="str">
        <f>VLOOKUP($B9,After1stCHK!$B$3:$AO$87840,MATCH(AR$4,After1stCHK!$B$3:$AO$3,0),FALSE)</f>
        <v>(blank)</v>
      </c>
      <c r="AS9" s="84" t="str">
        <f>VLOOKUP($B9,After1stCHK!$B$3:$AO$87840,MATCH(AS$4,After1stCHK!$B$3:$AO$3,0),FALSE)</f>
        <v>(blank)</v>
      </c>
      <c r="AT9" s="84" t="str">
        <f>VLOOKUP($B9,After1stCHK!$B$3:$AO$87840,MATCH(AT$4,After1stCHK!$B$3:$AO$3,0),FALSE)</f>
        <v>(blank)</v>
      </c>
      <c r="AU9" s="89" t="str">
        <f>VLOOKUP($B9,After1stCHK!$B$3:$AO$87840,MATCH(AU$4,After1stCHK!$B$3:$AO$3,0),FALSE)</f>
        <v>(blank)</v>
      </c>
      <c r="AV9" s="191" t="str">
        <f t="shared" si="1"/>
        <v/>
      </c>
      <c r="AX9" s="90"/>
      <c r="AY9" s="91"/>
      <c r="AZ9" s="24"/>
      <c r="BA9" s="92"/>
      <c r="BB9" s="192"/>
      <c r="BC9" s="94"/>
      <c r="BD9" s="193">
        <f t="shared" si="2"/>
        <v>0</v>
      </c>
      <c r="BE9" s="193" t="str">
        <f t="shared" si="3"/>
        <v/>
      </c>
      <c r="BF9" s="193">
        <f t="shared" ca="1" si="4"/>
        <v>0</v>
      </c>
      <c r="BG9" s="194" t="e">
        <f t="shared" ca="1" si="5"/>
        <v>#VALUE!</v>
      </c>
      <c r="BH9" s="195" t="str">
        <f t="shared" si="6"/>
        <v/>
      </c>
      <c r="BI9" s="195">
        <f t="shared" si="7"/>
        <v>1</v>
      </c>
      <c r="BJ9" s="3" t="str">
        <f t="shared" si="8"/>
        <v/>
      </c>
      <c r="BK9" s="3" t="str">
        <f t="shared" si="9"/>
        <v>HKD</v>
      </c>
      <c r="BL9" s="196">
        <f ca="1">IF(V9="HKD",1,OFFSET(FX!$A$5,MATCH(E9,FX!A:A,0)-ROW(FX!$A$5),MATCH(V9,FX!$A$5:$AM$5,0)-1,1,1))</f>
        <v>1</v>
      </c>
      <c r="BM9" s="197" t="str">
        <f t="shared" si="10"/>
        <v>Cash</v>
      </c>
      <c r="BN9" s="198">
        <f t="shared" si="11"/>
        <v>0</v>
      </c>
      <c r="BO9" s="199"/>
      <c r="BP9" s="200">
        <f t="shared" si="12"/>
        <v>0</v>
      </c>
      <c r="BQ9" s="201">
        <f t="shared" si="13"/>
        <v>0</v>
      </c>
      <c r="BR9" s="202">
        <f t="shared" si="14"/>
        <v>0</v>
      </c>
      <c r="BS9" s="203">
        <f t="shared" ca="1" si="15"/>
        <v>0</v>
      </c>
      <c r="BT9" s="204"/>
      <c r="BU9" s="199">
        <f t="shared" si="16"/>
        <v>0</v>
      </c>
      <c r="BV9" s="201">
        <f t="shared" si="17"/>
        <v>0</v>
      </c>
      <c r="BW9" s="202">
        <f t="shared" si="18"/>
        <v>0</v>
      </c>
      <c r="BX9" s="203">
        <f t="shared" ca="1" si="19"/>
        <v>0</v>
      </c>
      <c r="BY9" s="204"/>
      <c r="BZ9" s="198">
        <f t="shared" si="20"/>
        <v>0</v>
      </c>
      <c r="CA9" s="199"/>
      <c r="CB9" s="200">
        <f t="shared" si="21"/>
        <v>0</v>
      </c>
      <c r="CC9" s="201">
        <f t="shared" si="22"/>
        <v>0</v>
      </c>
      <c r="CD9" s="202">
        <f t="shared" si="23"/>
        <v>0</v>
      </c>
      <c r="CE9" s="203">
        <f t="shared" ca="1" si="24"/>
        <v>0</v>
      </c>
      <c r="CF9" s="204"/>
      <c r="CG9" s="205">
        <f t="shared" si="25"/>
        <v>0</v>
      </c>
      <c r="CH9" s="206">
        <f t="shared" si="26"/>
        <v>0</v>
      </c>
      <c r="CI9" s="207">
        <f t="shared" si="27"/>
        <v>0</v>
      </c>
      <c r="CJ9" s="203">
        <f t="shared" ca="1" si="28"/>
        <v>0</v>
      </c>
      <c r="CK9" s="204"/>
      <c r="CL9" s="208">
        <f t="shared" si="29"/>
        <v>500000</v>
      </c>
      <c r="CM9" s="209" t="str">
        <f t="shared" si="30"/>
        <v/>
      </c>
      <c r="CN9" s="210" t="str">
        <f t="shared" si="31"/>
        <v>Cash</v>
      </c>
      <c r="CO9" s="153">
        <f t="shared" si="32"/>
        <v>44561</v>
      </c>
      <c r="CP9" s="211">
        <f t="shared" ref="CP9:CQ9" si="86">AZ9</f>
        <v>0</v>
      </c>
      <c r="CQ9" s="212">
        <f t="shared" si="86"/>
        <v>0</v>
      </c>
      <c r="CR9" s="213">
        <f t="shared" si="34"/>
        <v>0</v>
      </c>
      <c r="CS9" s="213">
        <f t="shared" si="35"/>
        <v>0</v>
      </c>
      <c r="CT9" s="214">
        <f>SUMIFS('1HistTrade'!DF:DF,'1HistTrade'!$D:$D,$D9,'1HistTrade'!$BM:$BM,$BM9,'1HistTrade'!$B:$B,"&lt;"&amp;$B9)</f>
        <v>0</v>
      </c>
      <c r="CU9" s="215">
        <f>SUMIFS('1HistTrade'!DG:DG,'1HistTrade'!$D:$D,$D9,'1HistTrade'!$BM:$BM,$BM9,'1HistTrade'!$B:$B,"&lt;"&amp;$B9)</f>
        <v>0</v>
      </c>
      <c r="CV9" s="215">
        <f>SUMIFS('1HistTrade'!DH:DH,'1HistTrade'!$D:$D,$D9,'1HistTrade'!$BM:$BM,$BM9,'1HistTrade'!$B:$B,"&lt;"&amp;$B9)</f>
        <v>0</v>
      </c>
      <c r="CW9" s="215">
        <f>SUMIFS('1HistTrade'!DI:DI,'1HistTrade'!$D:$D,$D9,'1HistTrade'!$BM:$BM,$BM9,'1HistTrade'!$B:$B,"&lt;"&amp;$B9)</f>
        <v>0</v>
      </c>
      <c r="CX9" s="216">
        <f t="shared" si="36"/>
        <v>0</v>
      </c>
      <c r="CY9" s="216">
        <f t="shared" si="37"/>
        <v>0</v>
      </c>
      <c r="CZ9" s="216">
        <f t="shared" si="38"/>
        <v>0</v>
      </c>
      <c r="DA9" s="216">
        <f t="shared" ca="1" si="39"/>
        <v>0</v>
      </c>
      <c r="DB9" s="21" t="str">
        <f t="shared" si="40"/>
        <v/>
      </c>
      <c r="DC9" s="21" t="str">
        <f t="shared" si="41"/>
        <v/>
      </c>
      <c r="DD9" s="21" t="str">
        <f t="shared" si="42"/>
        <v/>
      </c>
      <c r="DE9" s="21" t="str">
        <f t="shared" ca="1" si="43"/>
        <v/>
      </c>
      <c r="DF9" s="215">
        <f t="shared" si="44"/>
        <v>0</v>
      </c>
      <c r="DG9" s="215">
        <f t="shared" si="45"/>
        <v>0</v>
      </c>
      <c r="DH9" s="215">
        <f t="shared" si="46"/>
        <v>0</v>
      </c>
      <c r="DI9" s="215">
        <f t="shared" ca="1" si="47"/>
        <v>0</v>
      </c>
      <c r="DJ9" s="215" t="str">
        <f t="shared" si="48"/>
        <v>CD/CW</v>
      </c>
      <c r="DK9" s="116"/>
      <c r="DL9" s="116">
        <f t="shared" si="49"/>
        <v>0</v>
      </c>
      <c r="DM9" s="116">
        <f t="shared" si="50"/>
        <v>0</v>
      </c>
      <c r="DN9" s="116">
        <f t="shared" ca="1" si="51"/>
        <v>0</v>
      </c>
      <c r="DO9" s="217">
        <f t="shared" si="52"/>
        <v>0</v>
      </c>
      <c r="DP9" s="217">
        <f t="shared" si="53"/>
        <v>0</v>
      </c>
      <c r="DQ9" s="116">
        <f>IF($DT$1="Delete",0,IF(OR(DG9="",DG9=0),0,SUMIFS('1HistTrade'!$ED:$ED,'1HistTrade'!$D:$D,D9,'1HistTrade'!$H:$H,H9,'1HistTrade'!$B:$B,"&lt;"&amp;B9)))</f>
        <v>0</v>
      </c>
      <c r="DR9" s="116">
        <f t="shared" ca="1" si="54"/>
        <v>0</v>
      </c>
      <c r="DS9" s="116">
        <f t="shared" ca="1" si="55"/>
        <v>0</v>
      </c>
      <c r="DT9" s="116">
        <f>IF($DT$1="Delete",0,IF(OR(DI9="",DI9=0),0,SUMIFS('1HistTrade'!$ED:$ED,'1HistTrade'!$D:$D,D9,'1HistTrade'!$H:$H,H9,'1HistTrade'!$B:$B,"&lt;"&amp;B9)))</f>
        <v>0</v>
      </c>
      <c r="DU9" s="116">
        <f t="shared" ca="1" si="56"/>
        <v>0</v>
      </c>
      <c r="DV9" s="116">
        <f t="shared" ca="1" si="57"/>
        <v>0</v>
      </c>
      <c r="DW9" s="218">
        <f t="shared" si="58"/>
        <v>0</v>
      </c>
      <c r="DX9" s="219"/>
      <c r="DY9" s="219">
        <f t="shared" si="59"/>
        <v>0</v>
      </c>
      <c r="DZ9" s="220">
        <f t="shared" ca="1" si="60"/>
        <v>0</v>
      </c>
      <c r="EA9" s="220">
        <f t="shared" si="61"/>
        <v>0</v>
      </c>
      <c r="EB9" s="221">
        <f t="shared" ca="1" si="62"/>
        <v>0</v>
      </c>
      <c r="EC9" s="116">
        <f t="shared" ca="1" si="63"/>
        <v>500000</v>
      </c>
      <c r="ED9" s="116">
        <f t="shared" ca="1" si="64"/>
        <v>500000</v>
      </c>
      <c r="EE9" s="222" t="str">
        <f t="shared" si="65"/>
        <v/>
      </c>
      <c r="EF9" s="116">
        <f t="shared" si="66"/>
        <v>0</v>
      </c>
      <c r="EG9" s="223">
        <f ca="1">IF(ISERROR(VLOOKUP(_xludf.maxifs(DbyD!C:C,DbyD!B:B,C9,DbyD!F:F,"&lt;=" &amp; E9,DbyD!C:C,"&lt;"&amp;B9),DbyD!C:BE,MATCH(DbyD!$BB$9,DbyD!$9:$9,0)-2,FALSE)),0,VLOOKUP(_xludf.maxifs(DbyD!C:C,DbyD!B:B,C9,DbyD!F:F,"&lt;=" &amp; E9,DbyD!C:C,"&lt;"&amp;B9),DbyD!C:BE,MATCH(DbyD!$BB$9,DbyD!$9:$9,0)-2,FALSE))</f>
        <v>0</v>
      </c>
      <c r="EH9" s="116">
        <f>SUMIFS('1HistTrade'!$EM:$EM,'1HistTrade'!$D:$D,D9,'1HistTrade'!$B:$B,"&lt;"&amp;B9,'1HistTrade'!$DJ:$DJ,"&lt;&gt;"&amp;"CD/CW")*-1</f>
        <v>0</v>
      </c>
      <c r="EI9" s="116">
        <f t="shared" ca="1" si="67"/>
        <v>0</v>
      </c>
      <c r="EJ9" s="116">
        <f>SUMIFS('1HistTrade'!$EN:$EN,'1HistTrade'!$D:$D,D9,'1HistTrade'!$B:$B,"&lt;"&amp;B9)</f>
        <v>0</v>
      </c>
      <c r="EK9" s="224">
        <f>SUMIFS('1HistTrade'!$EU:$EU,'1HistTrade'!$D:$D,D9,'1HistTrade'!$B:$B,"&lt;"&amp;B9)</f>
        <v>0</v>
      </c>
      <c r="EL9" s="116"/>
      <c r="EM9" s="116">
        <f t="shared" ref="EM9:EN9" ca="1" si="87">EC9</f>
        <v>500000</v>
      </c>
      <c r="EN9" s="116">
        <f t="shared" ca="1" si="87"/>
        <v>500000</v>
      </c>
      <c r="EO9" s="224"/>
      <c r="EP9" s="116"/>
      <c r="EQ9" s="116">
        <f t="shared" ca="1" si="69"/>
        <v>500000</v>
      </c>
      <c r="ER9" s="116">
        <f t="shared" si="70"/>
        <v>0</v>
      </c>
      <c r="ES9" s="116">
        <f t="shared" ca="1" si="71"/>
        <v>500000</v>
      </c>
      <c r="ET9" s="116">
        <f t="shared" si="72"/>
        <v>0</v>
      </c>
      <c r="EU9" s="224">
        <f t="shared" si="73"/>
        <v>0</v>
      </c>
      <c r="EV9" s="213">
        <f t="shared" ca="1" si="74"/>
        <v>0</v>
      </c>
      <c r="EX9" s="116">
        <f t="shared" ca="1" si="75"/>
        <v>500000</v>
      </c>
      <c r="EY9" s="116">
        <f t="shared" ca="1" si="76"/>
        <v>0</v>
      </c>
      <c r="EZ9" s="116">
        <f t="shared" ca="1" si="77"/>
        <v>500000</v>
      </c>
      <c r="FA9" s="116">
        <f t="shared" ca="1" si="78"/>
        <v>0</v>
      </c>
      <c r="FB9" s="116">
        <f t="shared" ca="1" si="79"/>
        <v>0</v>
      </c>
      <c r="FC9" s="189"/>
      <c r="FE9" s="31"/>
      <c r="FG9" s="31"/>
    </row>
    <row r="10" spans="1:165" ht="13">
      <c r="A10" s="10">
        <f>IF(E10&lt;=HistSecRecord!$E$1,1,0)</f>
        <v>1</v>
      </c>
      <c r="B10" s="190">
        <f>After1stCHK!B9</f>
        <v>44561000010</v>
      </c>
      <c r="C10" s="3" t="str">
        <f>After1stCHK!C9</f>
        <v>D0006</v>
      </c>
      <c r="D10" s="29" t="str">
        <f>After1stCHK!D9</f>
        <v>sABCD0006@hkmu.edu.hk</v>
      </c>
      <c r="E10" s="4">
        <f>After1stCHK!E9</f>
        <v>44561</v>
      </c>
      <c r="F10" s="78"/>
      <c r="G10" s="79" t="str">
        <f>After1stCHK!F9</f>
        <v>BUY (LONG)</v>
      </c>
      <c r="H10" s="80" t="str">
        <f>After1stCHK!G9</f>
        <v>Cash</v>
      </c>
      <c r="I10" s="81" t="str">
        <f>After1stCHK!H9</f>
        <v>Cash</v>
      </c>
      <c r="J10" s="82" t="str">
        <f>After1stCHK!I9</f>
        <v>(blank)</v>
      </c>
      <c r="K10" s="83" t="str">
        <f>After1stCHK!J9</f>
        <v>(blank)</v>
      </c>
      <c r="L10" s="84" t="str">
        <f>After1stCHK!K9</f>
        <v>(blank)</v>
      </c>
      <c r="M10" s="89">
        <f>After1stCHK!L9</f>
        <v>500000</v>
      </c>
      <c r="N10" s="82" t="str">
        <f>After1stCHK!M9</f>
        <v>(blank)</v>
      </c>
      <c r="O10" s="82"/>
      <c r="P10" s="86"/>
      <c r="Q10" s="43"/>
      <c r="T10" s="87">
        <f t="shared" si="0"/>
        <v>44561</v>
      </c>
      <c r="U10" s="79"/>
      <c r="V10" s="81" t="str">
        <f>VLOOKUP($B10,After1stCHK!$B$3:$AO$87840,MATCH(V$4,After1stCHK!$B$3:$AO$3,0),FALSE)</f>
        <v>HKD</v>
      </c>
      <c r="W10" s="88" t="str">
        <f>VLOOKUP($B10,After1stCHK!$B$3:$AO$87840,MATCH(W$4,After1stCHK!$B$3:$AO$3,0),FALSE)</f>
        <v>(blank)</v>
      </c>
      <c r="X10" s="88" t="str">
        <f>VLOOKUP($B10,After1stCHK!$B$3:$AO$87840,MATCH(X$4,After1stCHK!$B$3:$AO$3,0),FALSE)</f>
        <v>(blank)</v>
      </c>
      <c r="Y10" s="88" t="str">
        <f>VLOOKUP($B10,After1stCHK!$B$3:$AO$87840,MATCH(Y$4,After1stCHK!$B$3:$AO$3,0),FALSE)</f>
        <v>(blank)</v>
      </c>
      <c r="Z10" s="88" t="str">
        <f>VLOOKUP($B10,After1stCHK!$B$3:$AO$87840,MATCH(Z$4,After1stCHK!$B$3:$AO$3,0),FALSE)</f>
        <v>(blank)</v>
      </c>
      <c r="AA10" s="88" t="str">
        <f>VLOOKUP($B10,After1stCHK!$B$3:$AO$87840,MATCH(AA$4,After1stCHK!$B$3:$AO$3,0),FALSE)</f>
        <v>(blank)</v>
      </c>
      <c r="AB10" s="88" t="str">
        <f>VLOOKUP($B10,After1stCHK!$B$3:$AO$87840,MATCH(AB$4,After1stCHK!$B$3:$AO$3,0),FALSE)</f>
        <v>(blank)</v>
      </c>
      <c r="AC10" s="83" t="str">
        <f>VLOOKUP($B10,After1stCHK!$B$3:$AO$87840,MATCH(AC$4,After1stCHK!$B$3:$AO$3,0),FALSE)</f>
        <v>(blank)</v>
      </c>
      <c r="AD10" s="83" t="str">
        <f>VLOOKUP($B10,After1stCHK!$B$3:$AO$87840,MATCH(AD$4,After1stCHK!$B$3:$AO$3,0),FALSE)</f>
        <v>(blank)</v>
      </c>
      <c r="AE10" s="83" t="str">
        <f>VLOOKUP($B10,After1stCHK!$B$3:$AO$87840,MATCH(AE$4,After1stCHK!$B$3:$AO$3,0),FALSE)</f>
        <v>(blank)</v>
      </c>
      <c r="AF10" s="83" t="str">
        <f>VLOOKUP($B10,After1stCHK!$B$3:$AO$87840,MATCH(AF$4,After1stCHK!$B$3:$AO$3,0),FALSE)</f>
        <v>(blank)</v>
      </c>
      <c r="AG10" s="83" t="str">
        <f>VLOOKUP($B10,After1stCHK!$B$3:$AO$87840,MATCH(AG$4,After1stCHK!$B$3:$AO$3,0),FALSE)</f>
        <v>(blank)</v>
      </c>
      <c r="AH10" s="83" t="str">
        <f>VLOOKUP($B10,After1stCHK!$B$3:$AO$87840,MATCH(AH$4,After1stCHK!$B$3:$AO$3,0),FALSE)</f>
        <v>(blank)</v>
      </c>
      <c r="AI10" s="83" t="str">
        <f>VLOOKUP($B10,After1stCHK!$B$3:$AO$87840,MATCH(AI$4,After1stCHK!$B$3:$AO$3,0),FALSE)</f>
        <v>(blank)</v>
      </c>
      <c r="AJ10" s="83" t="str">
        <f>VLOOKUP($B10,After1stCHK!$B$3:$AO$87840,MATCH(AJ$4,After1stCHK!$B$3:$AO$3,0),FALSE)</f>
        <v>(blank)</v>
      </c>
      <c r="AK10" s="83" t="str">
        <f>VLOOKUP($B10,After1stCHK!$B$3:$AO$87840,MATCH(AK$4,After1stCHK!$B$3:$AO$3,0),FALSE)</f>
        <v>(blank)</v>
      </c>
      <c r="AL10" s="84" t="str">
        <f>VLOOKUP($B10,After1stCHK!$B$3:$AO$87840,MATCH(AL$4,After1stCHK!$B$3:$AO$3,0),FALSE)</f>
        <v>(blank)</v>
      </c>
      <c r="AM10" s="84" t="str">
        <f>VLOOKUP($B10,After1stCHK!$B$3:$AO$87840,MATCH(AM$4,After1stCHK!$B$3:$AO$3,0),FALSE)</f>
        <v>(blank)</v>
      </c>
      <c r="AN10" s="84" t="str">
        <f>VLOOKUP($B10,After1stCHK!$B$3:$AO$87840,MATCH(AN$4,After1stCHK!$B$3:$AO$3,0),FALSE)</f>
        <v>(blank)</v>
      </c>
      <c r="AO10" s="84" t="str">
        <f>VLOOKUP($B10,After1stCHK!$B$3:$AO$87840,MATCH(AO$4,After1stCHK!$B$3:$AO$3,0),FALSE)</f>
        <v>(blank)</v>
      </c>
      <c r="AP10" s="84" t="str">
        <f>VLOOKUP($B10,After1stCHK!$B$3:$AO$87840,MATCH(AP$4,After1stCHK!$B$3:$AO$3,0),FALSE)</f>
        <v>(blank)</v>
      </c>
      <c r="AQ10" s="84" t="str">
        <f>VLOOKUP($B10,After1stCHK!$B$3:$AO$87840,MATCH(AQ$4,After1stCHK!$B$3:$AO$3,0),FALSE)</f>
        <v>(blank)</v>
      </c>
      <c r="AR10" s="84" t="str">
        <f>VLOOKUP($B10,After1stCHK!$B$3:$AO$87840,MATCH(AR$4,After1stCHK!$B$3:$AO$3,0),FALSE)</f>
        <v>(blank)</v>
      </c>
      <c r="AS10" s="84" t="str">
        <f>VLOOKUP($B10,After1stCHK!$B$3:$AO$87840,MATCH(AS$4,After1stCHK!$B$3:$AO$3,0),FALSE)</f>
        <v>(blank)</v>
      </c>
      <c r="AT10" s="84" t="str">
        <f>VLOOKUP($B10,After1stCHK!$B$3:$AO$87840,MATCH(AT$4,After1stCHK!$B$3:$AO$3,0),FALSE)</f>
        <v>(blank)</v>
      </c>
      <c r="AU10" s="89" t="str">
        <f>VLOOKUP($B10,After1stCHK!$B$3:$AO$87840,MATCH(AU$4,After1stCHK!$B$3:$AO$3,0),FALSE)</f>
        <v>(blank)</v>
      </c>
      <c r="AV10" s="191" t="str">
        <f t="shared" si="1"/>
        <v/>
      </c>
      <c r="AX10" s="90"/>
      <c r="AY10" s="91"/>
      <c r="AZ10" s="24"/>
      <c r="BA10" s="92"/>
      <c r="BB10" s="192"/>
      <c r="BC10" s="94"/>
      <c r="BD10" s="193">
        <f t="shared" si="2"/>
        <v>0</v>
      </c>
      <c r="BE10" s="193" t="str">
        <f t="shared" si="3"/>
        <v/>
      </c>
      <c r="BF10" s="193">
        <f t="shared" ca="1" si="4"/>
        <v>0</v>
      </c>
      <c r="BG10" s="194" t="e">
        <f t="shared" ca="1" si="5"/>
        <v>#VALUE!</v>
      </c>
      <c r="BH10" s="195" t="str">
        <f t="shared" si="6"/>
        <v/>
      </c>
      <c r="BI10" s="195">
        <f t="shared" si="7"/>
        <v>1</v>
      </c>
      <c r="BJ10" s="3" t="str">
        <f t="shared" si="8"/>
        <v/>
      </c>
      <c r="BK10" s="3" t="str">
        <f t="shared" si="9"/>
        <v>HKD</v>
      </c>
      <c r="BL10" s="196">
        <f ca="1">IF(V10="HKD",1,OFFSET(FX!$A$5,MATCH(E10,FX!A:A,0)-ROW(FX!$A$5),MATCH(V10,FX!$A$5:$AM$5,0)-1,1,1))</f>
        <v>1</v>
      </c>
      <c r="BM10" s="197" t="str">
        <f t="shared" si="10"/>
        <v>Cash</v>
      </c>
      <c r="BN10" s="198">
        <f t="shared" si="11"/>
        <v>0</v>
      </c>
      <c r="BO10" s="199"/>
      <c r="BP10" s="200">
        <f t="shared" si="12"/>
        <v>0</v>
      </c>
      <c r="BQ10" s="201">
        <f t="shared" si="13"/>
        <v>0</v>
      </c>
      <c r="BR10" s="202">
        <f t="shared" si="14"/>
        <v>0</v>
      </c>
      <c r="BS10" s="203">
        <f t="shared" ca="1" si="15"/>
        <v>0</v>
      </c>
      <c r="BT10" s="204"/>
      <c r="BU10" s="199">
        <f t="shared" si="16"/>
        <v>0</v>
      </c>
      <c r="BV10" s="201">
        <f t="shared" si="17"/>
        <v>0</v>
      </c>
      <c r="BW10" s="202">
        <f t="shared" si="18"/>
        <v>0</v>
      </c>
      <c r="BX10" s="203">
        <f t="shared" ca="1" si="19"/>
        <v>0</v>
      </c>
      <c r="BY10" s="204"/>
      <c r="BZ10" s="198">
        <f t="shared" si="20"/>
        <v>0</v>
      </c>
      <c r="CA10" s="199"/>
      <c r="CB10" s="200">
        <f t="shared" si="21"/>
        <v>0</v>
      </c>
      <c r="CC10" s="201">
        <f t="shared" si="22"/>
        <v>0</v>
      </c>
      <c r="CD10" s="202">
        <f t="shared" si="23"/>
        <v>0</v>
      </c>
      <c r="CE10" s="203">
        <f t="shared" ca="1" si="24"/>
        <v>0</v>
      </c>
      <c r="CF10" s="204"/>
      <c r="CG10" s="205">
        <f t="shared" si="25"/>
        <v>0</v>
      </c>
      <c r="CH10" s="206">
        <f t="shared" si="26"/>
        <v>0</v>
      </c>
      <c r="CI10" s="207">
        <f t="shared" si="27"/>
        <v>0</v>
      </c>
      <c r="CJ10" s="203">
        <f t="shared" ca="1" si="28"/>
        <v>0</v>
      </c>
      <c r="CK10" s="204"/>
      <c r="CL10" s="208">
        <f t="shared" si="29"/>
        <v>500000</v>
      </c>
      <c r="CM10" s="209" t="str">
        <f t="shared" si="30"/>
        <v/>
      </c>
      <c r="CN10" s="210" t="str">
        <f t="shared" si="31"/>
        <v>Cash</v>
      </c>
      <c r="CO10" s="153">
        <f t="shared" si="32"/>
        <v>44561</v>
      </c>
      <c r="CP10" s="211">
        <f t="shared" ref="CP10:CQ10" si="88">AZ10</f>
        <v>0</v>
      </c>
      <c r="CQ10" s="212">
        <f t="shared" si="88"/>
        <v>0</v>
      </c>
      <c r="CR10" s="213">
        <f t="shared" si="34"/>
        <v>0</v>
      </c>
      <c r="CS10" s="213">
        <f t="shared" si="35"/>
        <v>0</v>
      </c>
      <c r="CT10" s="214">
        <f>SUMIFS('1HistTrade'!DF:DF,'1HistTrade'!$D:$D,$D10,'1HistTrade'!$BM:$BM,$BM10,'1HistTrade'!$B:$B,"&lt;"&amp;$B10)</f>
        <v>0</v>
      </c>
      <c r="CU10" s="215">
        <f>SUMIFS('1HistTrade'!DG:DG,'1HistTrade'!$D:$D,$D10,'1HistTrade'!$BM:$BM,$BM10,'1HistTrade'!$B:$B,"&lt;"&amp;$B10)</f>
        <v>0</v>
      </c>
      <c r="CV10" s="215">
        <f>SUMIFS('1HistTrade'!DH:DH,'1HistTrade'!$D:$D,$D10,'1HistTrade'!$BM:$BM,$BM10,'1HistTrade'!$B:$B,"&lt;"&amp;$B10)</f>
        <v>0</v>
      </c>
      <c r="CW10" s="215">
        <f>SUMIFS('1HistTrade'!DI:DI,'1HistTrade'!$D:$D,$D10,'1HistTrade'!$BM:$BM,$BM10,'1HistTrade'!$B:$B,"&lt;"&amp;$B10)</f>
        <v>0</v>
      </c>
      <c r="CX10" s="216">
        <f t="shared" si="36"/>
        <v>0</v>
      </c>
      <c r="CY10" s="216">
        <f t="shared" si="37"/>
        <v>0</v>
      </c>
      <c r="CZ10" s="216">
        <f t="shared" si="38"/>
        <v>0</v>
      </c>
      <c r="DA10" s="216">
        <f t="shared" ca="1" si="39"/>
        <v>0</v>
      </c>
      <c r="DB10" s="21" t="str">
        <f t="shared" si="40"/>
        <v/>
      </c>
      <c r="DC10" s="21" t="str">
        <f t="shared" si="41"/>
        <v/>
      </c>
      <c r="DD10" s="21" t="str">
        <f t="shared" si="42"/>
        <v/>
      </c>
      <c r="DE10" s="21" t="str">
        <f t="shared" ca="1" si="43"/>
        <v/>
      </c>
      <c r="DF10" s="215">
        <f t="shared" si="44"/>
        <v>0</v>
      </c>
      <c r="DG10" s="215">
        <f t="shared" si="45"/>
        <v>0</v>
      </c>
      <c r="DH10" s="215">
        <f t="shared" si="46"/>
        <v>0</v>
      </c>
      <c r="DI10" s="215">
        <f t="shared" ca="1" si="47"/>
        <v>0</v>
      </c>
      <c r="DJ10" s="215" t="str">
        <f t="shared" si="48"/>
        <v>CD/CW</v>
      </c>
      <c r="DK10" s="116"/>
      <c r="DL10" s="116">
        <f t="shared" si="49"/>
        <v>0</v>
      </c>
      <c r="DM10" s="116">
        <f t="shared" si="50"/>
        <v>0</v>
      </c>
      <c r="DN10" s="116">
        <f t="shared" ca="1" si="51"/>
        <v>0</v>
      </c>
      <c r="DO10" s="217">
        <f t="shared" si="52"/>
        <v>0</v>
      </c>
      <c r="DP10" s="217">
        <f t="shared" si="53"/>
        <v>0</v>
      </c>
      <c r="DQ10" s="116">
        <f>IF($DT$1="Delete",0,IF(OR(DG10="",DG10=0),0,SUMIFS('1HistTrade'!$ED:$ED,'1HistTrade'!$D:$D,D10,'1HistTrade'!$H:$H,H10,'1HistTrade'!$B:$B,"&lt;"&amp;B10)))</f>
        <v>0</v>
      </c>
      <c r="DR10" s="116">
        <f t="shared" ca="1" si="54"/>
        <v>0</v>
      </c>
      <c r="DS10" s="116">
        <f t="shared" ca="1" si="55"/>
        <v>0</v>
      </c>
      <c r="DT10" s="116">
        <f>IF($DT$1="Delete",0,IF(OR(DI10="",DI10=0),0,SUMIFS('1HistTrade'!$ED:$ED,'1HistTrade'!$D:$D,D10,'1HistTrade'!$H:$H,H10,'1HistTrade'!$B:$B,"&lt;"&amp;B10)))</f>
        <v>0</v>
      </c>
      <c r="DU10" s="116">
        <f t="shared" ca="1" si="56"/>
        <v>0</v>
      </c>
      <c r="DV10" s="116">
        <f t="shared" ca="1" si="57"/>
        <v>0</v>
      </c>
      <c r="DW10" s="218">
        <f t="shared" si="58"/>
        <v>0</v>
      </c>
      <c r="DX10" s="219"/>
      <c r="DY10" s="219">
        <f t="shared" si="59"/>
        <v>0</v>
      </c>
      <c r="DZ10" s="220">
        <f t="shared" ca="1" si="60"/>
        <v>0</v>
      </c>
      <c r="EA10" s="220">
        <f t="shared" si="61"/>
        <v>0</v>
      </c>
      <c r="EB10" s="221">
        <f t="shared" ca="1" si="62"/>
        <v>0</v>
      </c>
      <c r="EC10" s="116">
        <f t="shared" ca="1" si="63"/>
        <v>500000</v>
      </c>
      <c r="ED10" s="116">
        <f t="shared" ca="1" si="64"/>
        <v>500000</v>
      </c>
      <c r="EE10" s="222" t="str">
        <f t="shared" si="65"/>
        <v/>
      </c>
      <c r="EF10" s="116">
        <f t="shared" si="66"/>
        <v>0</v>
      </c>
      <c r="EG10" s="223">
        <f ca="1">IF(ISERROR(VLOOKUP(_xludf.maxifs(DbyD!C:C,DbyD!B:B,C10,DbyD!F:F,"&lt;=" &amp; E10,DbyD!C:C,"&lt;"&amp;B10),DbyD!C:BE,MATCH(DbyD!$BB$9,DbyD!$9:$9,0)-2,FALSE)),0,VLOOKUP(_xludf.maxifs(DbyD!C:C,DbyD!B:B,C10,DbyD!F:F,"&lt;=" &amp; E10,DbyD!C:C,"&lt;"&amp;B10),DbyD!C:BE,MATCH(DbyD!$BB$9,DbyD!$9:$9,0)-2,FALSE))</f>
        <v>0</v>
      </c>
      <c r="EH10" s="116">
        <f>SUMIFS('1HistTrade'!$EM:$EM,'1HistTrade'!$D:$D,D10,'1HistTrade'!$B:$B,"&lt;"&amp;B10,'1HistTrade'!$DJ:$DJ,"&lt;&gt;"&amp;"CD/CW")*-1</f>
        <v>0</v>
      </c>
      <c r="EI10" s="116">
        <f t="shared" ca="1" si="67"/>
        <v>0</v>
      </c>
      <c r="EJ10" s="116">
        <f>SUMIFS('1HistTrade'!$EN:$EN,'1HistTrade'!$D:$D,D10,'1HistTrade'!$B:$B,"&lt;"&amp;B10)</f>
        <v>0</v>
      </c>
      <c r="EK10" s="224">
        <f>SUMIFS('1HistTrade'!$EU:$EU,'1HistTrade'!$D:$D,D10,'1HistTrade'!$B:$B,"&lt;"&amp;B10)</f>
        <v>0</v>
      </c>
      <c r="EL10" s="116"/>
      <c r="EM10" s="116">
        <f t="shared" ref="EM10:EN10" ca="1" si="89">EC10</f>
        <v>500000</v>
      </c>
      <c r="EN10" s="116">
        <f t="shared" ca="1" si="89"/>
        <v>500000</v>
      </c>
      <c r="EO10" s="224"/>
      <c r="EP10" s="116"/>
      <c r="EQ10" s="116">
        <f t="shared" ca="1" si="69"/>
        <v>500000</v>
      </c>
      <c r="ER10" s="116">
        <f t="shared" si="70"/>
        <v>0</v>
      </c>
      <c r="ES10" s="116">
        <f t="shared" ca="1" si="71"/>
        <v>500000</v>
      </c>
      <c r="ET10" s="116">
        <f t="shared" si="72"/>
        <v>0</v>
      </c>
      <c r="EU10" s="224">
        <f t="shared" si="73"/>
        <v>0</v>
      </c>
      <c r="EV10" s="213">
        <f t="shared" ca="1" si="74"/>
        <v>0</v>
      </c>
      <c r="EX10" s="116">
        <f t="shared" ca="1" si="75"/>
        <v>500000</v>
      </c>
      <c r="EY10" s="116">
        <f t="shared" ca="1" si="76"/>
        <v>0</v>
      </c>
      <c r="EZ10" s="116">
        <f t="shared" ca="1" si="77"/>
        <v>500000</v>
      </c>
      <c r="FA10" s="116">
        <f t="shared" ca="1" si="78"/>
        <v>0</v>
      </c>
      <c r="FB10" s="116">
        <f t="shared" ca="1" si="79"/>
        <v>0</v>
      </c>
      <c r="FC10" s="189"/>
      <c r="FE10" s="31"/>
      <c r="FG10" s="31"/>
    </row>
    <row r="11" spans="1:165" ht="13">
      <c r="A11" s="10">
        <f>IF(E11&lt;=HistSecRecord!$E$1,1,0)</f>
        <v>1</v>
      </c>
      <c r="B11" s="190">
        <f>After1stCHK!B10</f>
        <v>44562000011</v>
      </c>
      <c r="C11" s="3" t="str">
        <f>After1stCHK!C10</f>
        <v>D0001</v>
      </c>
      <c r="D11" s="29" t="str">
        <f>After1stCHK!D10</f>
        <v>sABCD0001@hkmu.edu.hk</v>
      </c>
      <c r="E11" s="4">
        <f>After1stCHK!E10</f>
        <v>44562</v>
      </c>
      <c r="F11" s="97"/>
      <c r="G11" s="79" t="str">
        <f>After1stCHK!F10</f>
        <v>BUY (LONG)</v>
      </c>
      <c r="H11" s="80" t="str">
        <f>After1stCHK!G10</f>
        <v>AMZN</v>
      </c>
      <c r="I11" s="81" t="str">
        <f>After1stCHK!H10</f>
        <v>Stock</v>
      </c>
      <c r="J11" s="82">
        <f>After1stCHK!I10</f>
        <v>2</v>
      </c>
      <c r="K11" s="83">
        <f>After1stCHK!J10</f>
        <v>0</v>
      </c>
      <c r="L11" s="84">
        <f>After1stCHK!K10</f>
        <v>0</v>
      </c>
      <c r="M11" s="89">
        <f>After1stCHK!L10</f>
        <v>0</v>
      </c>
      <c r="N11" s="82">
        <f>After1stCHK!M10</f>
        <v>3360</v>
      </c>
      <c r="O11" s="82"/>
      <c r="P11" s="86"/>
      <c r="Q11" s="43"/>
      <c r="T11" s="87">
        <f t="shared" si="0"/>
        <v>44562</v>
      </c>
      <c r="U11" s="79"/>
      <c r="V11" s="81" t="str">
        <f>VLOOKUP($B11,After1stCHK!$B$3:$AO$87840,MATCH(V$4,After1stCHK!$B$3:$AO$3,0),FALSE)</f>
        <v>USD</v>
      </c>
      <c r="W11" s="82" t="str">
        <f>VLOOKUP($B11,After1stCHK!$B$3:$AO$87840,MATCH(W$4,After1stCHK!$B$3:$AO$3,0),FALSE)</f>
        <v>AMZN</v>
      </c>
      <c r="X11" s="82">
        <f>VLOOKUP($B11,After1stCHK!$B$3:$AO$87840,MATCH(X$4,After1stCHK!$B$3:$AO$3,0),FALSE)</f>
        <v>2895</v>
      </c>
      <c r="Y11" s="82">
        <f>VLOOKUP($B11,After1stCHK!$B$3:$AO$87840,MATCH(Y$4,After1stCHK!$B$3:$AO$3,0),FALSE)</f>
        <v>2903.7</v>
      </c>
      <c r="Z11" s="82">
        <f>VLOOKUP($B11,After1stCHK!$B$3:$AO$87840,MATCH(Z$4,After1stCHK!$B$3:$AO$3,0),FALSE)</f>
        <v>2746.37</v>
      </c>
      <c r="AA11" s="82">
        <f>VLOOKUP($B11,After1stCHK!$B$3:$AO$87840,MATCH(AA$4,After1stCHK!$B$3:$AO$3,0),FALSE)</f>
        <v>2799.72</v>
      </c>
      <c r="AB11" s="82">
        <f>VLOOKUP($B11,After1stCHK!$B$3:$AO$87840,MATCH(AB$4,After1stCHK!$B$3:$AO$3,0),FALSE)</f>
        <v>4780085</v>
      </c>
      <c r="AC11" s="83" t="str">
        <f>VLOOKUP($B11,After1stCHK!$B$3:$AO$87840,MATCH(AC$4,After1stCHK!$B$3:$AO$3,0),FALSE)</f>
        <v>(blank)</v>
      </c>
      <c r="AD11" s="83" t="str">
        <f>VLOOKUP($B11,After1stCHK!$B$3:$AO$87840,MATCH(AD$4,After1stCHK!$B$3:$AO$3,0),FALSE)</f>
        <v>(blank)</v>
      </c>
      <c r="AE11" s="83" t="str">
        <f>VLOOKUP($B11,After1stCHK!$B$3:$AO$87840,MATCH(AE$4,After1stCHK!$B$3:$AO$3,0),FALSE)</f>
        <v>(blank)</v>
      </c>
      <c r="AF11" s="83" t="str">
        <f>VLOOKUP($B11,After1stCHK!$B$3:$AO$87840,MATCH(AF$4,After1stCHK!$B$3:$AO$3,0),FALSE)</f>
        <v>(blank)</v>
      </c>
      <c r="AG11" s="83" t="str">
        <f>VLOOKUP($B11,After1stCHK!$B$3:$AO$87840,MATCH(AG$4,After1stCHK!$B$3:$AO$3,0),FALSE)</f>
        <v>(blank)</v>
      </c>
      <c r="AH11" s="83" t="str">
        <f>VLOOKUP($B11,After1stCHK!$B$3:$AO$87840,MATCH(AH$4,After1stCHK!$B$3:$AO$3,0),FALSE)</f>
        <v>(blank)</v>
      </c>
      <c r="AI11" s="83" t="str">
        <f>VLOOKUP($B11,After1stCHK!$B$3:$AO$87840,MATCH(AI$4,After1stCHK!$B$3:$AO$3,0),FALSE)</f>
        <v>(blank)</v>
      </c>
      <c r="AJ11" s="83" t="str">
        <f>VLOOKUP($B11,After1stCHK!$B$3:$AO$87840,MATCH(AJ$4,After1stCHK!$B$3:$AO$3,0),FALSE)</f>
        <v>(blank)</v>
      </c>
      <c r="AK11" s="83" t="str">
        <f>VLOOKUP($B11,After1stCHK!$B$3:$AO$87840,MATCH(AK$4,After1stCHK!$B$3:$AO$3,0),FALSE)</f>
        <v>(blank)</v>
      </c>
      <c r="AL11" s="84" t="str">
        <f>VLOOKUP($B11,After1stCHK!$B$3:$AO$87840,MATCH(AL$4,After1stCHK!$B$3:$AO$3,0),FALSE)</f>
        <v>(blank)</v>
      </c>
      <c r="AM11" s="84" t="str">
        <f>VLOOKUP($B11,After1stCHK!$B$3:$AO$87840,MATCH(AM$4,After1stCHK!$B$3:$AO$3,0),FALSE)</f>
        <v>(blank)</v>
      </c>
      <c r="AN11" s="84" t="str">
        <f>VLOOKUP($B11,After1stCHK!$B$3:$AO$87840,MATCH(AN$4,After1stCHK!$B$3:$AO$3,0),FALSE)</f>
        <v>(blank)</v>
      </c>
      <c r="AO11" s="84" t="str">
        <f>VLOOKUP($B11,After1stCHK!$B$3:$AO$87840,MATCH(AO$4,After1stCHK!$B$3:$AO$3,0),FALSE)</f>
        <v>(blank)</v>
      </c>
      <c r="AP11" s="84" t="str">
        <f>VLOOKUP($B11,After1stCHK!$B$3:$AO$87840,MATCH(AP$4,After1stCHK!$B$3:$AO$3,0),FALSE)</f>
        <v>(blank)</v>
      </c>
      <c r="AQ11" s="84" t="str">
        <f>VLOOKUP($B11,After1stCHK!$B$3:$AO$87840,MATCH(AQ$4,After1stCHK!$B$3:$AO$3,0),FALSE)</f>
        <v>(blank)</v>
      </c>
      <c r="AR11" s="84" t="str">
        <f>VLOOKUP($B11,After1stCHK!$B$3:$AO$87840,MATCH(AR$4,After1stCHK!$B$3:$AO$3,0),FALSE)</f>
        <v>(blank)</v>
      </c>
      <c r="AS11" s="84" t="str">
        <f>VLOOKUP($B11,After1stCHK!$B$3:$AO$87840,MATCH(AS$4,After1stCHK!$B$3:$AO$3,0),FALSE)</f>
        <v>(blank)</v>
      </c>
      <c r="AT11" s="84" t="str">
        <f>VLOOKUP($B11,After1stCHK!$B$3:$AO$87840,MATCH(AT$4,After1stCHK!$B$3:$AO$3,0),FALSE)</f>
        <v>(blank)</v>
      </c>
      <c r="AU11" s="89" t="str">
        <f>VLOOKUP($B11,After1stCHK!$B$3:$AO$87840,MATCH(AU$4,After1stCHK!$B$3:$AO$3,0),FALSE)</f>
        <v>(blank)</v>
      </c>
      <c r="AV11" s="191" t="str">
        <f t="shared" si="1"/>
        <v/>
      </c>
      <c r="AX11" s="90"/>
      <c r="AY11" s="91"/>
      <c r="AZ11" s="24"/>
      <c r="BA11" s="92"/>
      <c r="BB11" s="192"/>
      <c r="BC11" s="94"/>
      <c r="BD11" s="193">
        <f t="shared" si="2"/>
        <v>0</v>
      </c>
      <c r="BE11" s="193" t="str">
        <f t="shared" si="3"/>
        <v/>
      </c>
      <c r="BF11" s="193">
        <f t="shared" ca="1" si="4"/>
        <v>0</v>
      </c>
      <c r="BG11" s="194" t="e">
        <f t="shared" ca="1" si="5"/>
        <v>#VALUE!</v>
      </c>
      <c r="BH11" s="195">
        <f t="shared" si="6"/>
        <v>1</v>
      </c>
      <c r="BI11" s="195">
        <f t="shared" si="7"/>
        <v>1</v>
      </c>
      <c r="BJ11" s="3">
        <f t="shared" si="8"/>
        <v>2</v>
      </c>
      <c r="BK11" s="3" t="str">
        <f t="shared" si="9"/>
        <v>USD</v>
      </c>
      <c r="BL11" s="196">
        <f ca="1">IF(V11="HKD",1,OFFSET(FX!$A$5,MATCH(E11,FX!A:A,0)-ROW(FX!$A$5),MATCH(V11,FX!$A$5:$AM$5,0)-1,1,1))</f>
        <v>7.7961</v>
      </c>
      <c r="BM11" s="197" t="str">
        <f t="shared" si="10"/>
        <v>AMZN</v>
      </c>
      <c r="BN11" s="198">
        <f t="shared" si="11"/>
        <v>3360</v>
      </c>
      <c r="BO11" s="199"/>
      <c r="BP11" s="200">
        <f t="shared" si="12"/>
        <v>3360</v>
      </c>
      <c r="BQ11" s="201">
        <f t="shared" si="13"/>
        <v>2</v>
      </c>
      <c r="BR11" s="202">
        <f t="shared" si="14"/>
        <v>6720</v>
      </c>
      <c r="BS11" s="203">
        <f t="shared" ca="1" si="15"/>
        <v>52389.792000000001</v>
      </c>
      <c r="BT11" s="204"/>
      <c r="BU11" s="199">
        <f t="shared" si="16"/>
        <v>0</v>
      </c>
      <c r="BV11" s="201">
        <f t="shared" si="17"/>
        <v>0</v>
      </c>
      <c r="BW11" s="202">
        <f t="shared" si="18"/>
        <v>0</v>
      </c>
      <c r="BX11" s="203">
        <f t="shared" ca="1" si="19"/>
        <v>0</v>
      </c>
      <c r="BY11" s="204"/>
      <c r="BZ11" s="198">
        <f t="shared" si="20"/>
        <v>0</v>
      </c>
      <c r="CA11" s="199"/>
      <c r="CB11" s="200">
        <f t="shared" si="21"/>
        <v>0</v>
      </c>
      <c r="CC11" s="201">
        <f t="shared" si="22"/>
        <v>0</v>
      </c>
      <c r="CD11" s="202">
        <f t="shared" si="23"/>
        <v>0</v>
      </c>
      <c r="CE11" s="203">
        <f t="shared" ca="1" si="24"/>
        <v>0</v>
      </c>
      <c r="CF11" s="204"/>
      <c r="CG11" s="205">
        <f t="shared" si="25"/>
        <v>0</v>
      </c>
      <c r="CH11" s="206">
        <f t="shared" si="26"/>
        <v>0</v>
      </c>
      <c r="CI11" s="207">
        <f t="shared" si="27"/>
        <v>0</v>
      </c>
      <c r="CJ11" s="203">
        <f t="shared" ca="1" si="28"/>
        <v>0</v>
      </c>
      <c r="CK11" s="204"/>
      <c r="CL11" s="208">
        <f t="shared" ca="1" si="29"/>
        <v>-52389.792000000001</v>
      </c>
      <c r="CM11" s="209" t="str">
        <f t="shared" si="30"/>
        <v/>
      </c>
      <c r="CN11" s="210" t="str">
        <f t="shared" si="31"/>
        <v>AMZN</v>
      </c>
      <c r="CO11" s="153">
        <f t="shared" si="32"/>
        <v>44562</v>
      </c>
      <c r="CP11" s="211">
        <f t="shared" ref="CP11:CQ11" si="90">AZ11</f>
        <v>0</v>
      </c>
      <c r="CQ11" s="212">
        <f t="shared" si="90"/>
        <v>0</v>
      </c>
      <c r="CR11" s="213">
        <f t="shared" si="34"/>
        <v>0</v>
      </c>
      <c r="CS11" s="213">
        <f t="shared" si="35"/>
        <v>0</v>
      </c>
      <c r="CT11" s="214">
        <f>SUMIFS('1HistTrade'!DF:DF,'1HistTrade'!$D:$D,$D11,'1HistTrade'!$BM:$BM,$BM11,'1HistTrade'!$B:$B,"&lt;"&amp;$B11)</f>
        <v>0</v>
      </c>
      <c r="CU11" s="215">
        <f>SUMIFS('1HistTrade'!DG:DG,'1HistTrade'!$D:$D,$D11,'1HistTrade'!$BM:$BM,$BM11,'1HistTrade'!$B:$B,"&lt;"&amp;$B11)</f>
        <v>0</v>
      </c>
      <c r="CV11" s="215">
        <f>SUMIFS('1HistTrade'!DH:DH,'1HistTrade'!$D:$D,$D11,'1HistTrade'!$BM:$BM,$BM11,'1HistTrade'!$B:$B,"&lt;"&amp;$B11)</f>
        <v>0</v>
      </c>
      <c r="CW11" s="215">
        <f>SUMIFS('1HistTrade'!DI:DI,'1HistTrade'!$D:$D,$D11,'1HistTrade'!$BM:$BM,$BM11,'1HistTrade'!$B:$B,"&lt;"&amp;$B11)</f>
        <v>0</v>
      </c>
      <c r="CX11" s="216">
        <f t="shared" si="36"/>
        <v>2</v>
      </c>
      <c r="CY11" s="216">
        <f t="shared" si="37"/>
        <v>0</v>
      </c>
      <c r="CZ11" s="216">
        <f t="shared" si="38"/>
        <v>0</v>
      </c>
      <c r="DA11" s="216">
        <f t="shared" ca="1" si="39"/>
        <v>0</v>
      </c>
      <c r="DB11" s="21" t="str">
        <f t="shared" si="40"/>
        <v>B</v>
      </c>
      <c r="DC11" s="21" t="str">
        <f t="shared" si="41"/>
        <v/>
      </c>
      <c r="DD11" s="21" t="str">
        <f t="shared" si="42"/>
        <v/>
      </c>
      <c r="DE11" s="21" t="str">
        <f t="shared" ca="1" si="43"/>
        <v/>
      </c>
      <c r="DF11" s="215">
        <f t="shared" si="44"/>
        <v>2</v>
      </c>
      <c r="DG11" s="215">
        <f t="shared" si="45"/>
        <v>0</v>
      </c>
      <c r="DH11" s="215">
        <f t="shared" si="46"/>
        <v>0</v>
      </c>
      <c r="DI11" s="215">
        <f t="shared" ca="1" si="47"/>
        <v>0</v>
      </c>
      <c r="DJ11" s="215" t="str">
        <f t="shared" si="48"/>
        <v>B</v>
      </c>
      <c r="DK11" s="116"/>
      <c r="DL11" s="116">
        <f t="shared" ca="1" si="49"/>
        <v>26194.896000000001</v>
      </c>
      <c r="DM11" s="116">
        <f t="shared" ca="1" si="50"/>
        <v>52389.792000000001</v>
      </c>
      <c r="DN11" s="116">
        <f t="shared" ca="1" si="51"/>
        <v>-52389.792000000001</v>
      </c>
      <c r="DO11" s="217">
        <f t="shared" ca="1" si="52"/>
        <v>52389.792000000001</v>
      </c>
      <c r="DP11" s="217">
        <f t="shared" ca="1" si="53"/>
        <v>0</v>
      </c>
      <c r="DQ11" s="116">
        <f>IF($DT$1="Delete",0,IF(OR(DG11="",DG11=0),0,SUMIFS('1HistTrade'!$ED:$ED,'1HistTrade'!$D:$D,D11,'1HistTrade'!$H:$H,H11,'1HistTrade'!$B:$B,"&lt;"&amp;B11)))</f>
        <v>0</v>
      </c>
      <c r="DR11" s="116">
        <f t="shared" ca="1" si="54"/>
        <v>0</v>
      </c>
      <c r="DS11" s="116">
        <f t="shared" ca="1" si="55"/>
        <v>0</v>
      </c>
      <c r="DT11" s="116">
        <f>IF($DT$1="Delete",0,IF(OR(DI11="",DI11=0),0,SUMIFS('1HistTrade'!$ED:$ED,'1HistTrade'!$D:$D,D11,'1HistTrade'!$H:$H,H11,'1HistTrade'!$B:$B,"&lt;"&amp;B11)))</f>
        <v>0</v>
      </c>
      <c r="DU11" s="116">
        <f t="shared" ca="1" si="56"/>
        <v>0</v>
      </c>
      <c r="DV11" s="116">
        <f t="shared" ca="1" si="57"/>
        <v>0</v>
      </c>
      <c r="DW11" s="218">
        <f t="shared" si="58"/>
        <v>0</v>
      </c>
      <c r="DX11" s="219"/>
      <c r="DY11" s="219">
        <f t="shared" si="59"/>
        <v>0</v>
      </c>
      <c r="DZ11" s="220">
        <f t="shared" ca="1" si="60"/>
        <v>0</v>
      </c>
      <c r="EA11" s="220">
        <f t="shared" si="61"/>
        <v>0</v>
      </c>
      <c r="EB11" s="221">
        <f t="shared" ca="1" si="62"/>
        <v>0</v>
      </c>
      <c r="EC11" s="116">
        <f t="shared" ca="1" si="63"/>
        <v>-52389.792000000001</v>
      </c>
      <c r="ED11" s="116">
        <f t="shared" ca="1" si="64"/>
        <v>-52389.792000000001</v>
      </c>
      <c r="EE11" s="222" t="str">
        <f t="shared" si="65"/>
        <v/>
      </c>
      <c r="EF11" s="116">
        <f t="shared" si="66"/>
        <v>-2</v>
      </c>
      <c r="EG11" s="223">
        <f ca="1">IF(ISERROR(VLOOKUP(_xludf.maxifs(DbyD!C:C,DbyD!B:B,C11,DbyD!F:F,"&lt;=" &amp; E11,DbyD!C:C,"&lt;"&amp;B11),DbyD!C:BE,MATCH(DbyD!$BB$9,DbyD!$9:$9,0)-2,FALSE)),0,VLOOKUP(_xludf.maxifs(DbyD!C:C,DbyD!B:B,C11,DbyD!F:F,"&lt;=" &amp; E11,DbyD!C:C,"&lt;"&amp;B11),DbyD!C:BE,MATCH(DbyD!$BB$9,DbyD!$9:$9,0)-2,FALSE))</f>
        <v>0</v>
      </c>
      <c r="EH11" s="116">
        <f>SUMIFS('1HistTrade'!$EM:$EM,'1HistTrade'!$D:$D,D11,'1HistTrade'!$B:$B,"&lt;"&amp;B11,'1HistTrade'!$DJ:$DJ,"&lt;&gt;"&amp;"CD/CW")*-1</f>
        <v>0</v>
      </c>
      <c r="EI11" s="116">
        <f t="shared" ca="1" si="67"/>
        <v>0</v>
      </c>
      <c r="EJ11" s="116">
        <f>SUMIFS('1HistTrade'!$EN:$EN,'1HistTrade'!$D:$D,D11,'1HistTrade'!$B:$B,"&lt;"&amp;B11)</f>
        <v>500000</v>
      </c>
      <c r="EK11" s="224">
        <f>SUMIFS('1HistTrade'!$EU:$EU,'1HistTrade'!$D:$D,D11,'1HistTrade'!$B:$B,"&lt;"&amp;B11)</f>
        <v>0</v>
      </c>
      <c r="EL11" s="116"/>
      <c r="EM11" s="116">
        <f t="shared" ref="EM11:EN11" ca="1" si="91">EC11</f>
        <v>-52389.792000000001</v>
      </c>
      <c r="EN11" s="116">
        <f t="shared" ca="1" si="91"/>
        <v>-52389.792000000001</v>
      </c>
      <c r="EO11" s="224"/>
      <c r="EP11" s="116"/>
      <c r="EQ11" s="116">
        <f t="shared" ca="1" si="69"/>
        <v>-52389.792000000001</v>
      </c>
      <c r="ER11" s="116">
        <f t="shared" ca="1" si="70"/>
        <v>52389.792000000001</v>
      </c>
      <c r="ES11" s="116">
        <f t="shared" ca="1" si="71"/>
        <v>0</v>
      </c>
      <c r="ET11" s="116">
        <f t="shared" ca="1" si="72"/>
        <v>447610.20799999998</v>
      </c>
      <c r="EU11" s="224">
        <f t="shared" ca="1" si="73"/>
        <v>0</v>
      </c>
      <c r="EV11" s="213">
        <f t="shared" ca="1" si="74"/>
        <v>0</v>
      </c>
      <c r="EX11" s="116">
        <f t="shared" ca="1" si="75"/>
        <v>-52389.792000000001</v>
      </c>
      <c r="EY11" s="116">
        <f t="shared" ca="1" si="76"/>
        <v>52389.792000000001</v>
      </c>
      <c r="EZ11" s="116">
        <f t="shared" ca="1" si="77"/>
        <v>0</v>
      </c>
      <c r="FA11" s="116">
        <f t="shared" ca="1" si="78"/>
        <v>447610.20799999998</v>
      </c>
      <c r="FB11" s="116">
        <f t="shared" ca="1" si="79"/>
        <v>0</v>
      </c>
      <c r="FC11" s="189"/>
      <c r="FE11" s="31"/>
      <c r="FG11" s="31"/>
    </row>
    <row r="12" spans="1:165" ht="13">
      <c r="A12" s="10">
        <f>IF(E12&lt;=HistSecRecord!$E$1,1,0)</f>
        <v>1</v>
      </c>
      <c r="B12" s="190">
        <f>After1stCHK!B11</f>
        <v>44562000029</v>
      </c>
      <c r="C12" s="3" t="str">
        <f>After1stCHK!C11</f>
        <v>D0003</v>
      </c>
      <c r="D12" s="29" t="str">
        <f>After1stCHK!D11</f>
        <v>sABCD0003@hkmu.edu.hk</v>
      </c>
      <c r="E12" s="4">
        <f>After1stCHK!E11</f>
        <v>44562</v>
      </c>
      <c r="F12" s="97"/>
      <c r="G12" s="79" t="str">
        <f>After1stCHK!F11</f>
        <v>BUY (LONG)</v>
      </c>
      <c r="H12" s="80" t="str">
        <f>After1stCHK!G11</f>
        <v>3m</v>
      </c>
      <c r="I12" s="81" t="str">
        <f>After1stCHK!H11</f>
        <v>TD</v>
      </c>
      <c r="J12" s="82">
        <f>After1stCHK!I11</f>
        <v>0</v>
      </c>
      <c r="K12" s="83">
        <f>After1stCHK!J11</f>
        <v>0</v>
      </c>
      <c r="L12" s="84">
        <f>After1stCHK!K11</f>
        <v>0</v>
      </c>
      <c r="M12" s="89">
        <f>After1stCHK!L11</f>
        <v>10000</v>
      </c>
      <c r="N12" s="82">
        <f>After1stCHK!M11</f>
        <v>0</v>
      </c>
      <c r="O12" s="82"/>
      <c r="P12" s="86"/>
      <c r="Q12" s="43"/>
      <c r="T12" s="87">
        <f t="shared" si="0"/>
        <v>44562</v>
      </c>
      <c r="U12" s="79"/>
      <c r="V12" s="81" t="str">
        <f>VLOOKUP($B12,After1stCHK!$B$3:$AO$87840,MATCH(V$4,After1stCHK!$B$3:$AO$3,0),FALSE)</f>
        <v>HKD</v>
      </c>
      <c r="W12" s="88" t="str">
        <f>VLOOKUP($B12,After1stCHK!$B$3:$AO$87840,MATCH(W$4,After1stCHK!$B$3:$AO$3,0),FALSE)</f>
        <v>(blank)</v>
      </c>
      <c r="X12" s="88" t="str">
        <f>VLOOKUP($B12,After1stCHK!$B$3:$AO$87840,MATCH(X$4,After1stCHK!$B$3:$AO$3,0),FALSE)</f>
        <v>(blank)</v>
      </c>
      <c r="Y12" s="88" t="str">
        <f>VLOOKUP($B12,After1stCHK!$B$3:$AO$87840,MATCH(Y$4,After1stCHK!$B$3:$AO$3,0),FALSE)</f>
        <v>(blank)</v>
      </c>
      <c r="Z12" s="88" t="str">
        <f>VLOOKUP($B12,After1stCHK!$B$3:$AO$87840,MATCH(Z$4,After1stCHK!$B$3:$AO$3,0),FALSE)</f>
        <v>(blank)</v>
      </c>
      <c r="AA12" s="88" t="str">
        <f>VLOOKUP($B12,After1stCHK!$B$3:$AO$87840,MATCH(AA$4,After1stCHK!$B$3:$AO$3,0),FALSE)</f>
        <v>(blank)</v>
      </c>
      <c r="AB12" s="88" t="str">
        <f>VLOOKUP($B12,After1stCHK!$B$3:$AO$87840,MATCH(AB$4,After1stCHK!$B$3:$AO$3,0),FALSE)</f>
        <v>(blank)</v>
      </c>
      <c r="AC12" s="83" t="str">
        <f>VLOOKUP($B12,After1stCHK!$B$3:$AO$87840,MATCH(AC$4,After1stCHK!$B$3:$AO$3,0),FALSE)</f>
        <v>(blank)</v>
      </c>
      <c r="AD12" s="83" t="str">
        <f>VLOOKUP($B12,After1stCHK!$B$3:$AO$87840,MATCH(AD$4,After1stCHK!$B$3:$AO$3,0),FALSE)</f>
        <v>(blank)</v>
      </c>
      <c r="AE12" s="83" t="str">
        <f>VLOOKUP($B12,After1stCHK!$B$3:$AO$87840,MATCH(AE$4,After1stCHK!$B$3:$AO$3,0),FALSE)</f>
        <v>(blank)</v>
      </c>
      <c r="AF12" s="83" t="str">
        <f>VLOOKUP($B12,After1stCHK!$B$3:$AO$87840,MATCH(AF$4,After1stCHK!$B$3:$AO$3,0),FALSE)</f>
        <v>(blank)</v>
      </c>
      <c r="AG12" s="83" t="str">
        <f>VLOOKUP($B12,After1stCHK!$B$3:$AO$87840,MATCH(AG$4,After1stCHK!$B$3:$AO$3,0),FALSE)</f>
        <v>(blank)</v>
      </c>
      <c r="AH12" s="83" t="str">
        <f>VLOOKUP($B12,After1stCHK!$B$3:$AO$87840,MATCH(AH$4,After1stCHK!$B$3:$AO$3,0),FALSE)</f>
        <v>(blank)</v>
      </c>
      <c r="AI12" s="83" t="str">
        <f>VLOOKUP($B12,After1stCHK!$B$3:$AO$87840,MATCH(AI$4,After1stCHK!$B$3:$AO$3,0),FALSE)</f>
        <v>(blank)</v>
      </c>
      <c r="AJ12" s="83" t="str">
        <f>VLOOKUP($B12,After1stCHK!$B$3:$AO$87840,MATCH(AJ$4,After1stCHK!$B$3:$AO$3,0),FALSE)</f>
        <v>(blank)</v>
      </c>
      <c r="AK12" s="83" t="str">
        <f>VLOOKUP($B12,After1stCHK!$B$3:$AO$87840,MATCH(AK$4,After1stCHK!$B$3:$AO$3,0),FALSE)</f>
        <v>(blank)</v>
      </c>
      <c r="AL12" s="84" t="str">
        <f>VLOOKUP($B12,After1stCHK!$B$3:$AO$87840,MATCH(AL$4,After1stCHK!$B$3:$AO$3,0),FALSE)</f>
        <v>(blank)</v>
      </c>
      <c r="AM12" s="84" t="str">
        <f>VLOOKUP($B12,After1stCHK!$B$3:$AO$87840,MATCH(AM$4,After1stCHK!$B$3:$AO$3,0),FALSE)</f>
        <v>(blank)</v>
      </c>
      <c r="AN12" s="84" t="str">
        <f>VLOOKUP($B12,After1stCHK!$B$3:$AO$87840,MATCH(AN$4,After1stCHK!$B$3:$AO$3,0),FALSE)</f>
        <v>(blank)</v>
      </c>
      <c r="AO12" s="84" t="str">
        <f>VLOOKUP($B12,After1stCHK!$B$3:$AO$87840,MATCH(AO$4,After1stCHK!$B$3:$AO$3,0),FALSE)</f>
        <v>(blank)</v>
      </c>
      <c r="AP12" s="84" t="str">
        <f>VLOOKUP($B12,After1stCHK!$B$3:$AO$87840,MATCH(AP$4,After1stCHK!$B$3:$AO$3,0),FALSE)</f>
        <v>(blank)</v>
      </c>
      <c r="AQ12" s="84" t="str">
        <f>VLOOKUP($B12,After1stCHK!$B$3:$AO$87840,MATCH(AQ$4,After1stCHK!$B$3:$AO$3,0),FALSE)</f>
        <v>(blank)</v>
      </c>
      <c r="AR12" s="84" t="str">
        <f>VLOOKUP($B12,After1stCHK!$B$3:$AO$87840,MATCH(AR$4,After1stCHK!$B$3:$AO$3,0),FALSE)</f>
        <v>(blank)</v>
      </c>
      <c r="AS12" s="84" t="str">
        <f>VLOOKUP($B12,After1stCHK!$B$3:$AO$87840,MATCH(AS$4,After1stCHK!$B$3:$AO$3,0),FALSE)</f>
        <v>(blank)</v>
      </c>
      <c r="AT12" s="84" t="str">
        <f>VLOOKUP($B12,After1stCHK!$B$3:$AO$87840,MATCH(AT$4,After1stCHK!$B$3:$AO$3,0),FALSE)</f>
        <v>(blank)</v>
      </c>
      <c r="AU12" s="89" t="str">
        <f>VLOOKUP($B12,After1stCHK!$B$3:$AO$87840,MATCH(AU$4,After1stCHK!$B$3:$AO$3,0),FALSE)</f>
        <v>(blank)</v>
      </c>
      <c r="AV12" s="191">
        <f t="shared" si="1"/>
        <v>44652</v>
      </c>
      <c r="AX12" s="90"/>
      <c r="AY12" s="91"/>
      <c r="AZ12" s="24"/>
      <c r="BA12" s="92"/>
      <c r="BB12" s="192"/>
      <c r="BC12" s="94"/>
      <c r="BD12" s="193">
        <f t="shared" si="2"/>
        <v>0</v>
      </c>
      <c r="BE12" s="193" t="str">
        <f t="shared" si="3"/>
        <v/>
      </c>
      <c r="BF12" s="193">
        <f t="shared" ca="1" si="4"/>
        <v>0</v>
      </c>
      <c r="BG12" s="194" t="e">
        <f t="shared" ca="1" si="5"/>
        <v>#VALUE!</v>
      </c>
      <c r="BH12" s="195">
        <f t="shared" si="6"/>
        <v>4</v>
      </c>
      <c r="BI12" s="195">
        <f t="shared" si="7"/>
        <v>1</v>
      </c>
      <c r="BJ12" s="3">
        <f t="shared" si="8"/>
        <v>10000</v>
      </c>
      <c r="BK12" s="3" t="str">
        <f t="shared" si="9"/>
        <v>HKD</v>
      </c>
      <c r="BL12" s="196">
        <f ca="1">IF(V12="HKD",1,OFFSET(FX!$A$5,MATCH(E12,FX!A:A,0)-ROW(FX!$A$5),MATCH(V12,FX!$A$5:$AM$5,0)-1,1,1))</f>
        <v>1</v>
      </c>
      <c r="BM12" s="197" t="str">
        <f t="shared" si="10"/>
        <v>3m</v>
      </c>
      <c r="BN12" s="198">
        <f t="shared" si="11"/>
        <v>0</v>
      </c>
      <c r="BO12" s="199"/>
      <c r="BP12" s="200">
        <f t="shared" si="12"/>
        <v>0</v>
      </c>
      <c r="BQ12" s="201">
        <f t="shared" si="13"/>
        <v>0</v>
      </c>
      <c r="BR12" s="202">
        <f t="shared" si="14"/>
        <v>0</v>
      </c>
      <c r="BS12" s="203">
        <f t="shared" ca="1" si="15"/>
        <v>0</v>
      </c>
      <c r="BT12" s="204"/>
      <c r="BU12" s="199">
        <f t="shared" si="16"/>
        <v>0</v>
      </c>
      <c r="BV12" s="201">
        <f t="shared" si="17"/>
        <v>0</v>
      </c>
      <c r="BW12" s="202">
        <f t="shared" si="18"/>
        <v>0</v>
      </c>
      <c r="BX12" s="203">
        <f t="shared" ca="1" si="19"/>
        <v>0</v>
      </c>
      <c r="BY12" s="204"/>
      <c r="BZ12" s="198">
        <f t="shared" si="20"/>
        <v>0</v>
      </c>
      <c r="CA12" s="199"/>
      <c r="CB12" s="200">
        <f t="shared" si="21"/>
        <v>0</v>
      </c>
      <c r="CC12" s="201">
        <f t="shared" si="22"/>
        <v>0</v>
      </c>
      <c r="CD12" s="202">
        <f t="shared" si="23"/>
        <v>0</v>
      </c>
      <c r="CE12" s="203">
        <f t="shared" ca="1" si="24"/>
        <v>0</v>
      </c>
      <c r="CF12" s="204"/>
      <c r="CG12" s="205">
        <f t="shared" si="25"/>
        <v>1.5E-3</v>
      </c>
      <c r="CH12" s="206">
        <f t="shared" si="26"/>
        <v>10000</v>
      </c>
      <c r="CI12" s="207">
        <f t="shared" si="27"/>
        <v>10000</v>
      </c>
      <c r="CJ12" s="203">
        <f t="shared" ca="1" si="28"/>
        <v>10000</v>
      </c>
      <c r="CK12" s="204"/>
      <c r="CL12" s="208">
        <f t="shared" ca="1" si="29"/>
        <v>-10000</v>
      </c>
      <c r="CM12" s="209" t="str">
        <f t="shared" si="30"/>
        <v/>
      </c>
      <c r="CN12" s="210" t="str">
        <f t="shared" si="31"/>
        <v>3m</v>
      </c>
      <c r="CO12" s="153">
        <f t="shared" si="32"/>
        <v>44562</v>
      </c>
      <c r="CP12" s="211">
        <f t="shared" ref="CP12:CQ12" si="92">AZ12</f>
        <v>0</v>
      </c>
      <c r="CQ12" s="212">
        <f t="shared" si="92"/>
        <v>0</v>
      </c>
      <c r="CR12" s="213">
        <f t="shared" si="34"/>
        <v>0</v>
      </c>
      <c r="CS12" s="213">
        <f t="shared" si="35"/>
        <v>0</v>
      </c>
      <c r="CT12" s="214">
        <f>SUMIFS('1HistTrade'!DF:DF,'1HistTrade'!$D:$D,$D12,'1HistTrade'!$BM:$BM,$BM12,'1HistTrade'!$B:$B,"&lt;"&amp;$B12)</f>
        <v>0</v>
      </c>
      <c r="CU12" s="215">
        <f>SUMIFS('1HistTrade'!DG:DG,'1HistTrade'!$D:$D,$D12,'1HistTrade'!$BM:$BM,$BM12,'1HistTrade'!$B:$B,"&lt;"&amp;$B12)</f>
        <v>0</v>
      </c>
      <c r="CV12" s="215">
        <f>SUMIFS('1HistTrade'!DH:DH,'1HistTrade'!$D:$D,$D12,'1HistTrade'!$BM:$BM,$BM12,'1HistTrade'!$B:$B,"&lt;"&amp;$B12)</f>
        <v>0</v>
      </c>
      <c r="CW12" s="215">
        <f>SUMIFS('1HistTrade'!DI:DI,'1HistTrade'!$D:$D,$D12,'1HistTrade'!$BM:$BM,$BM12,'1HistTrade'!$B:$B,"&lt;"&amp;$B12)</f>
        <v>0</v>
      </c>
      <c r="CX12" s="216">
        <f t="shared" si="36"/>
        <v>0</v>
      </c>
      <c r="CY12" s="216">
        <f t="shared" si="37"/>
        <v>0</v>
      </c>
      <c r="CZ12" s="216">
        <f t="shared" si="38"/>
        <v>0</v>
      </c>
      <c r="DA12" s="216">
        <f t="shared" ca="1" si="39"/>
        <v>10000</v>
      </c>
      <c r="DB12" s="21" t="str">
        <f t="shared" si="40"/>
        <v/>
      </c>
      <c r="DC12" s="21" t="str">
        <f t="shared" si="41"/>
        <v/>
      </c>
      <c r="DD12" s="21" t="str">
        <f t="shared" si="42"/>
        <v/>
      </c>
      <c r="DE12" s="21" t="str">
        <f t="shared" ca="1" si="43"/>
        <v>B</v>
      </c>
      <c r="DF12" s="215">
        <f t="shared" si="44"/>
        <v>0</v>
      </c>
      <c r="DG12" s="215">
        <f t="shared" si="45"/>
        <v>0</v>
      </c>
      <c r="DH12" s="215">
        <f t="shared" si="46"/>
        <v>0</v>
      </c>
      <c r="DI12" s="215">
        <f t="shared" ca="1" si="47"/>
        <v>10000</v>
      </c>
      <c r="DJ12" s="215" t="str">
        <f t="shared" ca="1" si="48"/>
        <v>B</v>
      </c>
      <c r="DK12" s="116"/>
      <c r="DL12" s="116">
        <f t="shared" si="49"/>
        <v>0</v>
      </c>
      <c r="DM12" s="116">
        <f t="shared" si="50"/>
        <v>0</v>
      </c>
      <c r="DN12" s="116">
        <f t="shared" ca="1" si="51"/>
        <v>0</v>
      </c>
      <c r="DO12" s="217">
        <f t="shared" si="52"/>
        <v>0</v>
      </c>
      <c r="DP12" s="217">
        <f t="shared" si="53"/>
        <v>0</v>
      </c>
      <c r="DQ12" s="116">
        <f>IF($DT$1="Delete",0,IF(OR(DG12="",DG12=0),0,SUMIFS('1HistTrade'!$ED:$ED,'1HistTrade'!$D:$D,D12,'1HistTrade'!$H:$H,H12,'1HistTrade'!$B:$B,"&lt;"&amp;B12)))</f>
        <v>0</v>
      </c>
      <c r="DR12" s="116">
        <f t="shared" ca="1" si="54"/>
        <v>0</v>
      </c>
      <c r="DS12" s="116">
        <f t="shared" ca="1" si="55"/>
        <v>0</v>
      </c>
      <c r="DT12" s="116">
        <f>IF($DT$1="Delete",0,IF(OR(DI12="",DI12=0),0,SUMIFS('1HistTrade'!$ED:$ED,'1HistTrade'!$D:$D,D12,'1HistTrade'!$H:$H,H12,'1HistTrade'!$B:$B,"&lt;"&amp;B12)))</f>
        <v>0</v>
      </c>
      <c r="DU12" s="116">
        <f t="shared" ca="1" si="56"/>
        <v>10000</v>
      </c>
      <c r="DV12" s="116">
        <f t="shared" ca="1" si="57"/>
        <v>-10000</v>
      </c>
      <c r="DW12" s="218">
        <f t="shared" si="58"/>
        <v>0</v>
      </c>
      <c r="DX12" s="219"/>
      <c r="DY12" s="219">
        <f t="shared" si="59"/>
        <v>0</v>
      </c>
      <c r="DZ12" s="220">
        <f t="shared" ca="1" si="60"/>
        <v>0</v>
      </c>
      <c r="EA12" s="220">
        <f t="shared" si="61"/>
        <v>0</v>
      </c>
      <c r="EB12" s="221">
        <f t="shared" ca="1" si="62"/>
        <v>0</v>
      </c>
      <c r="EC12" s="116">
        <f t="shared" ca="1" si="63"/>
        <v>-10000</v>
      </c>
      <c r="ED12" s="116">
        <f t="shared" ca="1" si="64"/>
        <v>-10000</v>
      </c>
      <c r="EE12" s="222" t="str">
        <f t="shared" si="65"/>
        <v/>
      </c>
      <c r="EF12" s="116">
        <f t="shared" ca="1" si="66"/>
        <v>-10000</v>
      </c>
      <c r="EG12" s="223">
        <f ca="1">IF(ISERROR(VLOOKUP(_xludf.maxifs(DbyD!C:C,DbyD!B:B,C12,DbyD!F:F,"&lt;=" &amp; E12,DbyD!C:C,"&lt;"&amp;B12),DbyD!C:BE,MATCH(DbyD!$BB$9,DbyD!$9:$9,0)-2,FALSE)),0,VLOOKUP(_xludf.maxifs(DbyD!C:C,DbyD!B:B,C12,DbyD!F:F,"&lt;=" &amp; E12,DbyD!C:C,"&lt;"&amp;B12),DbyD!C:BE,MATCH(DbyD!$BB$9,DbyD!$9:$9,0)-2,FALSE))</f>
        <v>0</v>
      </c>
      <c r="EH12" s="116">
        <f>SUMIFS('1HistTrade'!$EM:$EM,'1HistTrade'!$D:$D,D12,'1HistTrade'!$B:$B,"&lt;"&amp;B12,'1HistTrade'!$DJ:$DJ,"&lt;&gt;"&amp;"CD/CW")*-1</f>
        <v>0</v>
      </c>
      <c r="EI12" s="116">
        <f t="shared" ca="1" si="67"/>
        <v>0</v>
      </c>
      <c r="EJ12" s="116">
        <f>SUMIFS('1HistTrade'!$EN:$EN,'1HistTrade'!$D:$D,D12,'1HistTrade'!$B:$B,"&lt;"&amp;B12)</f>
        <v>500000</v>
      </c>
      <c r="EK12" s="224">
        <f>SUMIFS('1HistTrade'!$EU:$EU,'1HistTrade'!$D:$D,D12,'1HistTrade'!$B:$B,"&lt;"&amp;B12)</f>
        <v>0</v>
      </c>
      <c r="EL12" s="116"/>
      <c r="EM12" s="116">
        <f t="shared" ref="EM12:EN12" ca="1" si="93">EC12</f>
        <v>-10000</v>
      </c>
      <c r="EN12" s="116">
        <f t="shared" ca="1" si="93"/>
        <v>-10000</v>
      </c>
      <c r="EO12" s="224"/>
      <c r="EP12" s="116"/>
      <c r="EQ12" s="116">
        <f t="shared" ca="1" si="69"/>
        <v>-10000</v>
      </c>
      <c r="ER12" s="116">
        <f t="shared" ca="1" si="70"/>
        <v>10000</v>
      </c>
      <c r="ES12" s="116">
        <f t="shared" ca="1" si="71"/>
        <v>0</v>
      </c>
      <c r="ET12" s="116">
        <f t="shared" ca="1" si="72"/>
        <v>490000</v>
      </c>
      <c r="EU12" s="224">
        <f t="shared" ca="1" si="73"/>
        <v>0</v>
      </c>
      <c r="EV12" s="213">
        <f t="shared" ca="1" si="74"/>
        <v>0</v>
      </c>
      <c r="EX12" s="116">
        <f t="shared" ca="1" si="75"/>
        <v>-10000</v>
      </c>
      <c r="EY12" s="116">
        <f t="shared" ca="1" si="76"/>
        <v>10000</v>
      </c>
      <c r="EZ12" s="116">
        <f t="shared" ca="1" si="77"/>
        <v>0</v>
      </c>
      <c r="FA12" s="116">
        <f t="shared" ca="1" si="78"/>
        <v>490000</v>
      </c>
      <c r="FB12" s="116">
        <f t="shared" ca="1" si="79"/>
        <v>0</v>
      </c>
      <c r="FC12" s="189"/>
      <c r="FE12" s="31"/>
      <c r="FG12" s="31"/>
    </row>
    <row r="13" spans="1:165" ht="13">
      <c r="A13" s="10">
        <f>IF(E13&lt;=HistSecRecord!$E$1,1,0)</f>
        <v>1</v>
      </c>
      <c r="B13" s="190">
        <f>After1stCHK!B12</f>
        <v>44562000030</v>
      </c>
      <c r="C13" s="3" t="str">
        <f>After1stCHK!C12</f>
        <v>D0003</v>
      </c>
      <c r="D13" s="29" t="str">
        <f>After1stCHK!D12</f>
        <v>sABCD0003@hkmu.edu.hk</v>
      </c>
      <c r="E13" s="4">
        <f>After1stCHK!E12</f>
        <v>44562</v>
      </c>
      <c r="F13" s="97"/>
      <c r="G13" s="79" t="str">
        <f>After1stCHK!F12</f>
        <v>BUY (LONG)</v>
      </c>
      <c r="H13" s="80" t="str">
        <f>After1stCHK!G12</f>
        <v>XS2106834299</v>
      </c>
      <c r="I13" s="81" t="str">
        <f>After1stCHK!H12</f>
        <v>Bond</v>
      </c>
      <c r="J13" s="82">
        <f>After1stCHK!I12</f>
        <v>0</v>
      </c>
      <c r="K13" s="103">
        <f>After1stCHK!J12</f>
        <v>40</v>
      </c>
      <c r="L13" s="56">
        <f>After1stCHK!K12</f>
        <v>0</v>
      </c>
      <c r="M13" s="104">
        <f>After1stCHK!L12</f>
        <v>0</v>
      </c>
      <c r="N13" s="82">
        <f>After1stCHK!M12</f>
        <v>25</v>
      </c>
      <c r="O13" s="82"/>
      <c r="P13" s="86"/>
      <c r="Q13" s="43"/>
      <c r="T13" s="87">
        <f t="shared" si="0"/>
        <v>44562</v>
      </c>
      <c r="U13" s="102"/>
      <c r="V13" s="81" t="str">
        <f>VLOOKUP($B13,After1stCHK!$B$3:$AO$87840,MATCH(V$4,After1stCHK!$B$3:$AO$3,0),FALSE)</f>
        <v>USD</v>
      </c>
      <c r="W13" s="82" t="str">
        <f>VLOOKUP($B13,After1stCHK!$B$3:$AO$87840,MATCH(W$4,After1stCHK!$B$3:$AO$3,0),FALSE)</f>
        <v xml:space="preserve"> </v>
      </c>
      <c r="X13" s="82" t="str">
        <f>VLOOKUP($B13,After1stCHK!$B$3:$AO$87840,MATCH(X$4,After1stCHK!$B$3:$AO$3,0),FALSE)</f>
        <v xml:space="preserve"> </v>
      </c>
      <c r="Y13" s="82" t="str">
        <f>VLOOKUP($B13,After1stCHK!$B$3:$AO$87840,MATCH(Y$4,After1stCHK!$B$3:$AO$3,0),FALSE)</f>
        <v xml:space="preserve"> </v>
      </c>
      <c r="Z13" s="82" t="str">
        <f>VLOOKUP($B13,After1stCHK!$B$3:$AO$87840,MATCH(Z$4,After1stCHK!$B$3:$AO$3,0),FALSE)</f>
        <v xml:space="preserve"> </v>
      </c>
      <c r="AA13" s="82" t="str">
        <f>VLOOKUP($B13,After1stCHK!$B$3:$AO$87840,MATCH(AA$4,After1stCHK!$B$3:$AO$3,0),FALSE)</f>
        <v xml:space="preserve"> </v>
      </c>
      <c r="AB13" s="82" t="str">
        <f>VLOOKUP($B13,After1stCHK!$B$3:$AO$87840,MATCH(AB$4,After1stCHK!$B$3:$AO$3,0),FALSE)</f>
        <v xml:space="preserve"> </v>
      </c>
      <c r="AC13" s="110" t="str">
        <f>VLOOKUP($B13,After1stCHK!$B$3:$AO$87840,MATCH(AC$4,After1stCHK!$B$3:$AO$3,0),FALSE)</f>
        <v>China Evergrande Group</v>
      </c>
      <c r="AD13" s="110">
        <f>VLOOKUP($B13,After1stCHK!$B$3:$AO$87840,MATCH(AD$4,After1stCHK!$B$3:$AO$3,0),FALSE)</f>
        <v>10.79</v>
      </c>
      <c r="AE13" s="110">
        <f>VLOOKUP($B13,After1stCHK!$B$3:$AO$87840,MATCH(AE$4,After1stCHK!$B$3:$AO$3,0),FALSE)</f>
        <v>13.21</v>
      </c>
      <c r="AF13" s="111">
        <f>VLOOKUP($B13,After1stCHK!$B$3:$AO$87840,MATCH(AF$4,After1stCHK!$B$3:$AO$3,0),FALSE)</f>
        <v>0.115</v>
      </c>
      <c r="AG13" s="112">
        <f>VLOOKUP($B13,After1stCHK!$B$3:$AO$87840,MATCH(AG$4,After1stCHK!$B$3:$AO$3,0),FALSE)</f>
        <v>44948</v>
      </c>
      <c r="AH13" s="110" t="str">
        <f>VLOOKUP($B13,After1stCHK!$B$3:$AO$87840,MATCH(AH$4,After1stCHK!$B$3:$AO$3,0),FALSE)</f>
        <v>N.R/ N.R</v>
      </c>
      <c r="AI13" s="110">
        <f>VLOOKUP($B13,After1stCHK!$B$3:$AO$87840,MATCH(AI$4,After1stCHK!$B$3:$AO$3,0),FALSE)</f>
        <v>0.98499999999999999</v>
      </c>
      <c r="AJ13" s="110" t="str">
        <f>VLOOKUP($B13,After1stCHK!$B$3:$AO$87840,MATCH(AJ$4,After1stCHK!$B$3:$AO$3,0),FALSE)</f>
        <v>Senior Secured</v>
      </c>
      <c r="AK13" s="110" t="str">
        <f>VLOOKUP($B13,After1stCHK!$B$3:$AO$87840,MATCH(AK$4,After1stCHK!$B$3:$AO$3,0),FALSE)</f>
        <v>High Yield Corporate</v>
      </c>
      <c r="AL13" s="56" t="str">
        <f>VLOOKUP($B13,After1stCHK!$B$3:$AO$87840,MATCH(AL$4,After1stCHK!$B$3:$AO$3,0),FALSE)</f>
        <v>(blank)</v>
      </c>
      <c r="AM13" s="56" t="str">
        <f>VLOOKUP($B13,After1stCHK!$B$3:$AO$87840,MATCH(AM$4,After1stCHK!$B$3:$AO$3,0),FALSE)</f>
        <v>(blank)</v>
      </c>
      <c r="AN13" s="56" t="str">
        <f>VLOOKUP($B13,After1stCHK!$B$3:$AO$87840,MATCH(AN$4,After1stCHK!$B$3:$AO$3,0),FALSE)</f>
        <v>(blank)</v>
      </c>
      <c r="AO13" s="56" t="str">
        <f>VLOOKUP($B13,After1stCHK!$B$3:$AO$87840,MATCH(AO$4,After1stCHK!$B$3:$AO$3,0),FALSE)</f>
        <v>(blank)</v>
      </c>
      <c r="AP13" s="56" t="str">
        <f>VLOOKUP($B13,After1stCHK!$B$3:$AO$87840,MATCH(AP$4,After1stCHK!$B$3:$AO$3,0),FALSE)</f>
        <v>(blank)</v>
      </c>
      <c r="AQ13" s="56" t="str">
        <f>VLOOKUP($B13,After1stCHK!$B$3:$AO$87840,MATCH(AQ$4,After1stCHK!$B$3:$AO$3,0),FALSE)</f>
        <v>(blank)</v>
      </c>
      <c r="AR13" s="56" t="str">
        <f>VLOOKUP($B13,After1stCHK!$B$3:$AO$87840,MATCH(AR$4,After1stCHK!$B$3:$AO$3,0),FALSE)</f>
        <v>(blank)</v>
      </c>
      <c r="AS13" s="56" t="str">
        <f>VLOOKUP($B13,After1stCHK!$B$3:$AO$87840,MATCH(AS$4,After1stCHK!$B$3:$AO$3,0),FALSE)</f>
        <v>(blank)</v>
      </c>
      <c r="AT13" s="56" t="str">
        <f>VLOOKUP($B13,After1stCHK!$B$3:$AO$87840,MATCH(AT$4,After1stCHK!$B$3:$AO$3,0),FALSE)</f>
        <v>(blank)</v>
      </c>
      <c r="AU13" s="104" t="str">
        <f>VLOOKUP($B13,After1stCHK!$B$3:$AO$87840,MATCH(AU$4,After1stCHK!$B$3:$AO$3,0),FALSE)</f>
        <v>(blank)</v>
      </c>
      <c r="AV13" s="225">
        <f t="shared" si="1"/>
        <v>44948</v>
      </c>
      <c r="AX13" s="90"/>
      <c r="AY13" s="91"/>
      <c r="AZ13" s="24"/>
      <c r="BA13" s="92"/>
      <c r="BB13" s="192"/>
      <c r="BC13" s="94"/>
      <c r="BD13" s="193">
        <f t="shared" si="2"/>
        <v>0</v>
      </c>
      <c r="BE13" s="193" t="str">
        <f t="shared" si="3"/>
        <v/>
      </c>
      <c r="BF13" s="193">
        <f t="shared" ca="1" si="4"/>
        <v>0</v>
      </c>
      <c r="BG13" s="194" t="e">
        <f t="shared" ca="1" si="5"/>
        <v>#VALUE!</v>
      </c>
      <c r="BH13" s="195">
        <f t="shared" si="6"/>
        <v>2</v>
      </c>
      <c r="BI13" s="195">
        <f t="shared" si="7"/>
        <v>1</v>
      </c>
      <c r="BJ13" s="3">
        <f t="shared" si="8"/>
        <v>40</v>
      </c>
      <c r="BK13" s="3" t="str">
        <f t="shared" si="9"/>
        <v>USD</v>
      </c>
      <c r="BL13" s="196">
        <f ca="1">IF(V13="HKD",1,OFFSET(FX!$A$5,MATCH(E13,FX!A:A,0)-ROW(FX!$A$5),MATCH(V13,FX!$A$5:$AM$5,0)-1,1,1))</f>
        <v>7.7961</v>
      </c>
      <c r="BM13" s="197" t="str">
        <f t="shared" si="10"/>
        <v>XS2106834299</v>
      </c>
      <c r="BN13" s="198">
        <f t="shared" si="11"/>
        <v>0</v>
      </c>
      <c r="BO13" s="199"/>
      <c r="BP13" s="200">
        <f t="shared" si="12"/>
        <v>0</v>
      </c>
      <c r="BQ13" s="201">
        <f t="shared" si="13"/>
        <v>0</v>
      </c>
      <c r="BR13" s="202">
        <f t="shared" si="14"/>
        <v>0</v>
      </c>
      <c r="BS13" s="203">
        <f t="shared" ca="1" si="15"/>
        <v>0</v>
      </c>
      <c r="BT13" s="204"/>
      <c r="BU13" s="197">
        <f t="shared" si="16"/>
        <v>13.21</v>
      </c>
      <c r="BV13" s="201">
        <f t="shared" si="17"/>
        <v>40</v>
      </c>
      <c r="BW13" s="202">
        <f t="shared" si="18"/>
        <v>5284.0000000000009</v>
      </c>
      <c r="BX13" s="203">
        <f t="shared" ca="1" si="19"/>
        <v>41194.592400000009</v>
      </c>
      <c r="BY13" s="204"/>
      <c r="BZ13" s="198">
        <f t="shared" si="20"/>
        <v>0</v>
      </c>
      <c r="CA13" s="199"/>
      <c r="CB13" s="200">
        <f t="shared" si="21"/>
        <v>0</v>
      </c>
      <c r="CC13" s="201">
        <f t="shared" si="22"/>
        <v>0</v>
      </c>
      <c r="CD13" s="202">
        <f t="shared" si="23"/>
        <v>0</v>
      </c>
      <c r="CE13" s="203">
        <f t="shared" ca="1" si="24"/>
        <v>0</v>
      </c>
      <c r="CF13" s="204"/>
      <c r="CG13" s="205">
        <f t="shared" si="25"/>
        <v>0</v>
      </c>
      <c r="CH13" s="206">
        <f t="shared" si="26"/>
        <v>0</v>
      </c>
      <c r="CI13" s="207">
        <f t="shared" si="27"/>
        <v>0</v>
      </c>
      <c r="CJ13" s="203">
        <f t="shared" ca="1" si="28"/>
        <v>0</v>
      </c>
      <c r="CK13" s="204"/>
      <c r="CL13" s="208">
        <f t="shared" ca="1" si="29"/>
        <v>-41194.592400000009</v>
      </c>
      <c r="CM13" s="209" t="str">
        <f t="shared" si="30"/>
        <v/>
      </c>
      <c r="CN13" s="210" t="str">
        <f t="shared" si="31"/>
        <v>XS2106834299</v>
      </c>
      <c r="CO13" s="153">
        <f t="shared" si="32"/>
        <v>44562</v>
      </c>
      <c r="CP13" s="211">
        <f t="shared" ref="CP13:CQ13" si="94">AZ13</f>
        <v>0</v>
      </c>
      <c r="CQ13" s="212">
        <f t="shared" si="94"/>
        <v>0</v>
      </c>
      <c r="CR13" s="213">
        <f t="shared" si="34"/>
        <v>0</v>
      </c>
      <c r="CS13" s="213">
        <f t="shared" si="35"/>
        <v>0</v>
      </c>
      <c r="CT13" s="214">
        <f>SUMIFS('1HistTrade'!DF:DF,'1HistTrade'!$D:$D,$D13,'1HistTrade'!$BM:$BM,$BM13,'1HistTrade'!$B:$B,"&lt;"&amp;$B13)</f>
        <v>0</v>
      </c>
      <c r="CU13" s="215">
        <f>SUMIFS('1HistTrade'!DG:DG,'1HistTrade'!$D:$D,$D13,'1HistTrade'!$BM:$BM,$BM13,'1HistTrade'!$B:$B,"&lt;"&amp;$B13)</f>
        <v>0</v>
      </c>
      <c r="CV13" s="215">
        <f>SUMIFS('1HistTrade'!DH:DH,'1HistTrade'!$D:$D,$D13,'1HistTrade'!$BM:$BM,$BM13,'1HistTrade'!$B:$B,"&lt;"&amp;$B13)</f>
        <v>0</v>
      </c>
      <c r="CW13" s="215">
        <f>SUMIFS('1HistTrade'!DI:DI,'1HistTrade'!$D:$D,$D13,'1HistTrade'!$BM:$BM,$BM13,'1HistTrade'!$B:$B,"&lt;"&amp;$B13)</f>
        <v>0</v>
      </c>
      <c r="CX13" s="216">
        <f t="shared" si="36"/>
        <v>0</v>
      </c>
      <c r="CY13" s="216">
        <f t="shared" si="37"/>
        <v>40</v>
      </c>
      <c r="CZ13" s="216">
        <f t="shared" si="38"/>
        <v>0</v>
      </c>
      <c r="DA13" s="216">
        <f t="shared" ca="1" si="39"/>
        <v>0</v>
      </c>
      <c r="DB13" s="21" t="str">
        <f t="shared" si="40"/>
        <v/>
      </c>
      <c r="DC13" s="21" t="str">
        <f t="shared" si="41"/>
        <v>B</v>
      </c>
      <c r="DD13" s="21" t="str">
        <f t="shared" si="42"/>
        <v/>
      </c>
      <c r="DE13" s="21" t="str">
        <f t="shared" ca="1" si="43"/>
        <v/>
      </c>
      <c r="DF13" s="215">
        <f t="shared" si="44"/>
        <v>0</v>
      </c>
      <c r="DG13" s="215">
        <f t="shared" si="45"/>
        <v>40</v>
      </c>
      <c r="DH13" s="215">
        <f t="shared" si="46"/>
        <v>0</v>
      </c>
      <c r="DI13" s="215">
        <f t="shared" ca="1" si="47"/>
        <v>0</v>
      </c>
      <c r="DJ13" s="215" t="str">
        <f t="shared" si="48"/>
        <v>B</v>
      </c>
      <c r="DK13" s="116"/>
      <c r="DL13" s="116">
        <f t="shared" si="49"/>
        <v>0</v>
      </c>
      <c r="DM13" s="116">
        <f t="shared" si="50"/>
        <v>0</v>
      </c>
      <c r="DN13" s="116">
        <f t="shared" ca="1" si="51"/>
        <v>0</v>
      </c>
      <c r="DO13" s="217">
        <f t="shared" si="52"/>
        <v>0</v>
      </c>
      <c r="DP13" s="217">
        <f t="shared" si="53"/>
        <v>0</v>
      </c>
      <c r="DQ13" s="116">
        <f>IF($DT$1="Delete",0,IF(OR(DG13="",DG13=0),0,SUMIFS('1HistTrade'!$ED:$ED,'1HistTrade'!$D:$D,D13,'1HistTrade'!$H:$H,H13,'1HistTrade'!$B:$B,"&lt;"&amp;B13)))</f>
        <v>0</v>
      </c>
      <c r="DR13" s="116">
        <f t="shared" ca="1" si="54"/>
        <v>41194.592400000009</v>
      </c>
      <c r="DS13" s="116">
        <f t="shared" ca="1" si="55"/>
        <v>-41194.592400000001</v>
      </c>
      <c r="DT13" s="116">
        <f>IF($DT$1="Delete",0,IF(OR(DI13="",DI13=0),0,SUMIFS('1HistTrade'!$ED:$ED,'1HistTrade'!$D:$D,D13,'1HistTrade'!$H:$H,H13,'1HistTrade'!$B:$B,"&lt;"&amp;B13)))</f>
        <v>0</v>
      </c>
      <c r="DU13" s="116">
        <f t="shared" ca="1" si="56"/>
        <v>0</v>
      </c>
      <c r="DV13" s="116">
        <f t="shared" ca="1" si="57"/>
        <v>0</v>
      </c>
      <c r="DW13" s="218">
        <f t="shared" si="58"/>
        <v>0</v>
      </c>
      <c r="DX13" s="219"/>
      <c r="DY13" s="219">
        <f t="shared" si="59"/>
        <v>0</v>
      </c>
      <c r="DZ13" s="220">
        <f t="shared" ca="1" si="60"/>
        <v>0</v>
      </c>
      <c r="EA13" s="220">
        <f t="shared" si="61"/>
        <v>0</v>
      </c>
      <c r="EB13" s="221">
        <f t="shared" ca="1" si="62"/>
        <v>0</v>
      </c>
      <c r="EC13" s="116">
        <f t="shared" ca="1" si="63"/>
        <v>-41194.592400000009</v>
      </c>
      <c r="ED13" s="116">
        <f t="shared" ca="1" si="64"/>
        <v>-41194.592400000001</v>
      </c>
      <c r="EE13" s="222" t="str">
        <f t="shared" si="65"/>
        <v/>
      </c>
      <c r="EF13" s="116">
        <f t="shared" si="66"/>
        <v>-40</v>
      </c>
      <c r="EG13" s="223">
        <f ca="1">IF(ISERROR(VLOOKUP(_xludf.maxifs(DbyD!C:C,DbyD!B:B,C13,DbyD!F:F,"&lt;=" &amp; E13,DbyD!C:C,"&lt;"&amp;B13),DbyD!C:BE,MATCH(DbyD!$BB$9,DbyD!$9:$9,0)-2,FALSE)),0,VLOOKUP(_xludf.maxifs(DbyD!C:C,DbyD!B:B,C13,DbyD!F:F,"&lt;=" &amp; E13,DbyD!C:C,"&lt;"&amp;B13),DbyD!C:BE,MATCH(DbyD!$BB$9,DbyD!$9:$9,0)-2,FALSE))</f>
        <v>0</v>
      </c>
      <c r="EH13" s="116">
        <f>SUMIFS('1HistTrade'!$EM:$EM,'1HistTrade'!$D:$D,D13,'1HistTrade'!$B:$B,"&lt;"&amp;B13,'1HistTrade'!$DJ:$DJ,"&lt;&gt;"&amp;"CD/CW")*-1</f>
        <v>10000</v>
      </c>
      <c r="EI13" s="116">
        <f t="shared" ca="1" si="67"/>
        <v>10000</v>
      </c>
      <c r="EJ13" s="116">
        <f>SUMIFS('1HistTrade'!$EN:$EN,'1HistTrade'!$D:$D,D13,'1HistTrade'!$B:$B,"&lt;"&amp;B13)</f>
        <v>490000</v>
      </c>
      <c r="EK13" s="224">
        <f>SUMIFS('1HistTrade'!$EU:$EU,'1HistTrade'!$D:$D,D13,'1HistTrade'!$B:$B,"&lt;"&amp;B13)</f>
        <v>0</v>
      </c>
      <c r="EL13" s="116"/>
      <c r="EM13" s="116">
        <f t="shared" ref="EM13:EN13" ca="1" si="95">EC13</f>
        <v>-41194.592400000009</v>
      </c>
      <c r="EN13" s="116">
        <f t="shared" ca="1" si="95"/>
        <v>-41194.592400000001</v>
      </c>
      <c r="EO13" s="224"/>
      <c r="EP13" s="116"/>
      <c r="EQ13" s="116">
        <f t="shared" ca="1" si="69"/>
        <v>-41194.592400000009</v>
      </c>
      <c r="ER13" s="116">
        <f t="shared" ca="1" si="70"/>
        <v>51194.592400000009</v>
      </c>
      <c r="ES13" s="116">
        <f t="shared" ca="1" si="71"/>
        <v>10000</v>
      </c>
      <c r="ET13" s="116">
        <f t="shared" ca="1" si="72"/>
        <v>448805.40759999998</v>
      </c>
      <c r="EU13" s="224">
        <f t="shared" ca="1" si="73"/>
        <v>0</v>
      </c>
      <c r="EV13" s="213">
        <f t="shared" ca="1" si="74"/>
        <v>0</v>
      </c>
      <c r="EX13" s="116">
        <f t="shared" ca="1" si="75"/>
        <v>-41194.592400000009</v>
      </c>
      <c r="EY13" s="116">
        <f t="shared" ca="1" si="76"/>
        <v>51194.592400000009</v>
      </c>
      <c r="EZ13" s="116">
        <f t="shared" ca="1" si="77"/>
        <v>10000</v>
      </c>
      <c r="FA13" s="116">
        <f t="shared" ca="1" si="78"/>
        <v>448805.40759999998</v>
      </c>
      <c r="FB13" s="116">
        <f t="shared" ca="1" si="79"/>
        <v>0</v>
      </c>
      <c r="FC13" s="189"/>
      <c r="FE13" s="31"/>
      <c r="FG13" s="31"/>
    </row>
    <row r="14" spans="1:165" ht="13">
      <c r="A14" s="10">
        <f>IF(E14&lt;=HistSecRecord!$E$1,1,0)</f>
        <v>1</v>
      </c>
      <c r="B14" s="190">
        <f>After1stCHK!B13</f>
        <v>44562000031</v>
      </c>
      <c r="C14" s="3" t="str">
        <f>After1stCHK!C13</f>
        <v>D0003</v>
      </c>
      <c r="D14" s="29" t="str">
        <f>After1stCHK!D13</f>
        <v>sABCD0003@hkmu.edu.hk</v>
      </c>
      <c r="E14" s="4">
        <f>After1stCHK!E13</f>
        <v>44562</v>
      </c>
      <c r="F14" s="97"/>
      <c r="G14" s="79" t="str">
        <f>After1stCHK!F13</f>
        <v>BUY (LONG)</v>
      </c>
      <c r="H14" s="80" t="str">
        <f>After1stCHK!G13</f>
        <v>3m</v>
      </c>
      <c r="I14" s="81" t="str">
        <f>After1stCHK!H13</f>
        <v>TD</v>
      </c>
      <c r="J14" s="82">
        <f>After1stCHK!I13</f>
        <v>0</v>
      </c>
      <c r="K14" s="103">
        <f>After1stCHK!J13</f>
        <v>0</v>
      </c>
      <c r="L14" s="56">
        <f>After1stCHK!K13</f>
        <v>0</v>
      </c>
      <c r="M14" s="104">
        <f>After1stCHK!L13</f>
        <v>20000</v>
      </c>
      <c r="N14" s="82">
        <f>After1stCHK!M13</f>
        <v>0</v>
      </c>
      <c r="O14" s="82"/>
      <c r="P14" s="86"/>
      <c r="Q14" s="43"/>
      <c r="T14" s="87">
        <f t="shared" si="0"/>
        <v>44562</v>
      </c>
      <c r="U14" s="102"/>
      <c r="V14" s="81" t="str">
        <f>VLOOKUP($B14,After1stCHK!$B$3:$AO$87840,MATCH(V$4,After1stCHK!$B$3:$AO$3,0),FALSE)</f>
        <v>HKD</v>
      </c>
      <c r="W14" s="109" t="str">
        <f>VLOOKUP($B14,After1stCHK!$B$3:$AO$87840,MATCH(W$4,After1stCHK!$B$3:$AO$3,0),FALSE)</f>
        <v>(blank)</v>
      </c>
      <c r="X14" s="109" t="str">
        <f>VLOOKUP($B14,After1stCHK!$B$3:$AO$87840,MATCH(X$4,After1stCHK!$B$3:$AO$3,0),FALSE)</f>
        <v>(blank)</v>
      </c>
      <c r="Y14" s="109" t="str">
        <f>VLOOKUP($B14,After1stCHK!$B$3:$AO$87840,MATCH(Y$4,After1stCHK!$B$3:$AO$3,0),FALSE)</f>
        <v>(blank)</v>
      </c>
      <c r="Z14" s="109" t="str">
        <f>VLOOKUP($B14,After1stCHK!$B$3:$AO$87840,MATCH(Z$4,After1stCHK!$B$3:$AO$3,0),FALSE)</f>
        <v>(blank)</v>
      </c>
      <c r="AA14" s="109" t="str">
        <f>VLOOKUP($B14,After1stCHK!$B$3:$AO$87840,MATCH(AA$4,After1stCHK!$B$3:$AO$3,0),FALSE)</f>
        <v>(blank)</v>
      </c>
      <c r="AB14" s="109" t="str">
        <f>VLOOKUP($B14,After1stCHK!$B$3:$AO$87840,MATCH(AB$4,After1stCHK!$B$3:$AO$3,0),FALSE)</f>
        <v>(blank)</v>
      </c>
      <c r="AC14" s="103" t="str">
        <f>VLOOKUP($B14,After1stCHK!$B$3:$AO$87840,MATCH(AC$4,After1stCHK!$B$3:$AO$3,0),FALSE)</f>
        <v>(blank)</v>
      </c>
      <c r="AD14" s="103" t="str">
        <f>VLOOKUP($B14,After1stCHK!$B$3:$AO$87840,MATCH(AD$4,After1stCHK!$B$3:$AO$3,0),FALSE)</f>
        <v>(blank)</v>
      </c>
      <c r="AE14" s="103" t="str">
        <f>VLOOKUP($B14,After1stCHK!$B$3:$AO$87840,MATCH(AE$4,After1stCHK!$B$3:$AO$3,0),FALSE)</f>
        <v>(blank)</v>
      </c>
      <c r="AF14" s="103" t="str">
        <f>VLOOKUP($B14,After1stCHK!$B$3:$AO$87840,MATCH(AF$4,After1stCHK!$B$3:$AO$3,0),FALSE)</f>
        <v>(blank)</v>
      </c>
      <c r="AG14" s="103" t="str">
        <f>VLOOKUP($B14,After1stCHK!$B$3:$AO$87840,MATCH(AG$4,After1stCHK!$B$3:$AO$3,0),FALSE)</f>
        <v>(blank)</v>
      </c>
      <c r="AH14" s="103" t="str">
        <f>VLOOKUP($B14,After1stCHK!$B$3:$AO$87840,MATCH(AH$4,After1stCHK!$B$3:$AO$3,0),FALSE)</f>
        <v>(blank)</v>
      </c>
      <c r="AI14" s="103" t="str">
        <f>VLOOKUP($B14,After1stCHK!$B$3:$AO$87840,MATCH(AI$4,After1stCHK!$B$3:$AO$3,0),FALSE)</f>
        <v>(blank)</v>
      </c>
      <c r="AJ14" s="103" t="str">
        <f>VLOOKUP($B14,After1stCHK!$B$3:$AO$87840,MATCH(AJ$4,After1stCHK!$B$3:$AO$3,0),FALSE)</f>
        <v>(blank)</v>
      </c>
      <c r="AK14" s="103" t="str">
        <f>VLOOKUP($B14,After1stCHK!$B$3:$AO$87840,MATCH(AK$4,After1stCHK!$B$3:$AO$3,0),FALSE)</f>
        <v>(blank)</v>
      </c>
      <c r="AL14" s="56" t="str">
        <f>VLOOKUP($B14,After1stCHK!$B$3:$AO$87840,MATCH(AL$4,After1stCHK!$B$3:$AO$3,0),FALSE)</f>
        <v>(blank)</v>
      </c>
      <c r="AM14" s="56" t="str">
        <f>VLOOKUP($B14,After1stCHK!$B$3:$AO$87840,MATCH(AM$4,After1stCHK!$B$3:$AO$3,0),FALSE)</f>
        <v>(blank)</v>
      </c>
      <c r="AN14" s="56" t="str">
        <f>VLOOKUP($B14,After1stCHK!$B$3:$AO$87840,MATCH(AN$4,After1stCHK!$B$3:$AO$3,0),FALSE)</f>
        <v>(blank)</v>
      </c>
      <c r="AO14" s="56" t="str">
        <f>VLOOKUP($B14,After1stCHK!$B$3:$AO$87840,MATCH(AO$4,After1stCHK!$B$3:$AO$3,0),FALSE)</f>
        <v>(blank)</v>
      </c>
      <c r="AP14" s="56" t="str">
        <f>VLOOKUP($B14,After1stCHK!$B$3:$AO$87840,MATCH(AP$4,After1stCHK!$B$3:$AO$3,0),FALSE)</f>
        <v>(blank)</v>
      </c>
      <c r="AQ14" s="56" t="str">
        <f>VLOOKUP($B14,After1stCHK!$B$3:$AO$87840,MATCH(AQ$4,After1stCHK!$B$3:$AO$3,0),FALSE)</f>
        <v>(blank)</v>
      </c>
      <c r="AR14" s="56" t="str">
        <f>VLOOKUP($B14,After1stCHK!$B$3:$AO$87840,MATCH(AR$4,After1stCHK!$B$3:$AO$3,0),FALSE)</f>
        <v>(blank)</v>
      </c>
      <c r="AS14" s="56" t="str">
        <f>VLOOKUP($B14,After1stCHK!$B$3:$AO$87840,MATCH(AS$4,After1stCHK!$B$3:$AO$3,0),FALSE)</f>
        <v>(blank)</v>
      </c>
      <c r="AT14" s="56" t="str">
        <f>VLOOKUP($B14,After1stCHK!$B$3:$AO$87840,MATCH(AT$4,After1stCHK!$B$3:$AO$3,0),FALSE)</f>
        <v>(blank)</v>
      </c>
      <c r="AU14" s="104" t="str">
        <f>VLOOKUP($B14,After1stCHK!$B$3:$AO$87840,MATCH(AU$4,After1stCHK!$B$3:$AO$3,0),FALSE)</f>
        <v>(blank)</v>
      </c>
      <c r="AV14" s="225">
        <f t="shared" si="1"/>
        <v>44652</v>
      </c>
      <c r="AX14" s="90"/>
      <c r="AY14" s="91"/>
      <c r="AZ14" s="24"/>
      <c r="BA14" s="92"/>
      <c r="BB14" s="192"/>
      <c r="BC14" s="94"/>
      <c r="BD14" s="193">
        <f t="shared" si="2"/>
        <v>0</v>
      </c>
      <c r="BE14" s="193" t="str">
        <f t="shared" si="3"/>
        <v/>
      </c>
      <c r="BF14" s="193">
        <f t="shared" ca="1" si="4"/>
        <v>0</v>
      </c>
      <c r="BG14" s="194" t="e">
        <f t="shared" ca="1" si="5"/>
        <v>#VALUE!</v>
      </c>
      <c r="BH14" s="195">
        <f t="shared" si="6"/>
        <v>4</v>
      </c>
      <c r="BI14" s="195">
        <f t="shared" si="7"/>
        <v>1</v>
      </c>
      <c r="BJ14" s="3">
        <f t="shared" si="8"/>
        <v>20000</v>
      </c>
      <c r="BK14" s="3" t="str">
        <f t="shared" si="9"/>
        <v>HKD</v>
      </c>
      <c r="BL14" s="196">
        <f ca="1">IF(V14="HKD",1,OFFSET(FX!$A$5,MATCH(E14,FX!A:A,0)-ROW(FX!$A$5),MATCH(V14,FX!$A$5:$AM$5,0)-1,1,1))</f>
        <v>1</v>
      </c>
      <c r="BM14" s="197" t="str">
        <f t="shared" si="10"/>
        <v>3m</v>
      </c>
      <c r="BN14" s="198">
        <f t="shared" si="11"/>
        <v>0</v>
      </c>
      <c r="BO14" s="199"/>
      <c r="BP14" s="200">
        <f t="shared" si="12"/>
        <v>0</v>
      </c>
      <c r="BQ14" s="201">
        <f t="shared" si="13"/>
        <v>0</v>
      </c>
      <c r="BR14" s="202">
        <f t="shared" si="14"/>
        <v>0</v>
      </c>
      <c r="BS14" s="203">
        <f t="shared" ca="1" si="15"/>
        <v>0</v>
      </c>
      <c r="BT14" s="204"/>
      <c r="BU14" s="199">
        <f t="shared" si="16"/>
        <v>0</v>
      </c>
      <c r="BV14" s="201">
        <f t="shared" si="17"/>
        <v>0</v>
      </c>
      <c r="BW14" s="202">
        <f t="shared" si="18"/>
        <v>0</v>
      </c>
      <c r="BX14" s="203">
        <f t="shared" ca="1" si="19"/>
        <v>0</v>
      </c>
      <c r="BY14" s="204"/>
      <c r="BZ14" s="198">
        <f t="shared" si="20"/>
        <v>0</v>
      </c>
      <c r="CA14" s="199"/>
      <c r="CB14" s="200">
        <f t="shared" si="21"/>
        <v>0</v>
      </c>
      <c r="CC14" s="201">
        <f t="shared" si="22"/>
        <v>0</v>
      </c>
      <c r="CD14" s="202">
        <f t="shared" si="23"/>
        <v>0</v>
      </c>
      <c r="CE14" s="203">
        <f t="shared" ca="1" si="24"/>
        <v>0</v>
      </c>
      <c r="CF14" s="204"/>
      <c r="CG14" s="205">
        <f t="shared" si="25"/>
        <v>1.5E-3</v>
      </c>
      <c r="CH14" s="206">
        <f t="shared" si="26"/>
        <v>20000</v>
      </c>
      <c r="CI14" s="207">
        <f t="shared" si="27"/>
        <v>20000</v>
      </c>
      <c r="CJ14" s="203">
        <f t="shared" ca="1" si="28"/>
        <v>20000</v>
      </c>
      <c r="CK14" s="204"/>
      <c r="CL14" s="208">
        <f t="shared" ca="1" si="29"/>
        <v>-20000</v>
      </c>
      <c r="CM14" s="209" t="str">
        <f t="shared" si="30"/>
        <v/>
      </c>
      <c r="CN14" s="210" t="str">
        <f t="shared" si="31"/>
        <v>3m</v>
      </c>
      <c r="CO14" s="153">
        <f t="shared" si="32"/>
        <v>44562</v>
      </c>
      <c r="CP14" s="211">
        <f t="shared" ref="CP14:CQ14" si="96">AZ14</f>
        <v>0</v>
      </c>
      <c r="CQ14" s="212">
        <f t="shared" si="96"/>
        <v>0</v>
      </c>
      <c r="CR14" s="213">
        <f t="shared" si="34"/>
        <v>0</v>
      </c>
      <c r="CS14" s="213">
        <f t="shared" si="35"/>
        <v>0</v>
      </c>
      <c r="CT14" s="214">
        <f>SUMIFS('1HistTrade'!DF:DF,'1HistTrade'!$D:$D,$D14,'1HistTrade'!$BM:$BM,$BM14,'1HistTrade'!$B:$B,"&lt;"&amp;$B14)</f>
        <v>0</v>
      </c>
      <c r="CU14" s="215">
        <f>SUMIFS('1HistTrade'!DG:DG,'1HistTrade'!$D:$D,$D14,'1HistTrade'!$BM:$BM,$BM14,'1HistTrade'!$B:$B,"&lt;"&amp;$B14)</f>
        <v>0</v>
      </c>
      <c r="CV14" s="215">
        <f>SUMIFS('1HistTrade'!DH:DH,'1HistTrade'!$D:$D,$D14,'1HistTrade'!$BM:$BM,$BM14,'1HistTrade'!$B:$B,"&lt;"&amp;$B14)</f>
        <v>0</v>
      </c>
      <c r="CW14" s="215">
        <f>SUMIFS('1HistTrade'!DI:DI,'1HistTrade'!$D:$D,$D14,'1HistTrade'!$BM:$BM,$BM14,'1HistTrade'!$B:$B,"&lt;"&amp;$B14)</f>
        <v>10000</v>
      </c>
      <c r="CX14" s="216">
        <f t="shared" si="36"/>
        <v>0</v>
      </c>
      <c r="CY14" s="216">
        <f t="shared" si="37"/>
        <v>0</v>
      </c>
      <c r="CZ14" s="216">
        <f t="shared" si="38"/>
        <v>0</v>
      </c>
      <c r="DA14" s="216">
        <f t="shared" ca="1" si="39"/>
        <v>30000</v>
      </c>
      <c r="DB14" s="21" t="str">
        <f t="shared" si="40"/>
        <v/>
      </c>
      <c r="DC14" s="21" t="str">
        <f t="shared" si="41"/>
        <v/>
      </c>
      <c r="DD14" s="21" t="str">
        <f t="shared" si="42"/>
        <v/>
      </c>
      <c r="DE14" s="21" t="str">
        <f t="shared" ca="1" si="43"/>
        <v>B</v>
      </c>
      <c r="DF14" s="215">
        <f t="shared" si="44"/>
        <v>0</v>
      </c>
      <c r="DG14" s="215">
        <f t="shared" si="45"/>
        <v>0</v>
      </c>
      <c r="DH14" s="215">
        <f t="shared" si="46"/>
        <v>0</v>
      </c>
      <c r="DI14" s="215">
        <f t="shared" ca="1" si="47"/>
        <v>20000</v>
      </c>
      <c r="DJ14" s="215" t="str">
        <f t="shared" ca="1" si="48"/>
        <v>B</v>
      </c>
      <c r="DK14" s="116"/>
      <c r="DL14" s="116">
        <f t="shared" si="49"/>
        <v>0</v>
      </c>
      <c r="DM14" s="116">
        <f t="shared" si="50"/>
        <v>0</v>
      </c>
      <c r="DN14" s="116">
        <f t="shared" ca="1" si="51"/>
        <v>0</v>
      </c>
      <c r="DO14" s="217">
        <f t="shared" si="52"/>
        <v>0</v>
      </c>
      <c r="DP14" s="217">
        <f t="shared" si="53"/>
        <v>0</v>
      </c>
      <c r="DQ14" s="116">
        <f>IF($DT$1="Delete",0,IF(OR(DG14="",DG14=0),0,SUMIFS('1HistTrade'!$ED:$ED,'1HistTrade'!$D:$D,D14,'1HistTrade'!$H:$H,H14,'1HistTrade'!$B:$B,"&lt;"&amp;B14)))</f>
        <v>0</v>
      </c>
      <c r="DR14" s="116">
        <f t="shared" ca="1" si="54"/>
        <v>0</v>
      </c>
      <c r="DS14" s="116">
        <f t="shared" ca="1" si="55"/>
        <v>0</v>
      </c>
      <c r="DT14" s="116">
        <f>IF($DT$1="Delete",0,IF(OR(DI14="",DI14=0),0,SUMIFS('1HistTrade'!$ED:$ED,'1HistTrade'!$D:$D,D14,'1HistTrade'!$H:$H,H14,'1HistTrade'!$B:$B,"&lt;"&amp;B14)))</f>
        <v>0</v>
      </c>
      <c r="DU14" s="116">
        <f t="shared" ca="1" si="56"/>
        <v>20000</v>
      </c>
      <c r="DV14" s="116">
        <f t="shared" ca="1" si="57"/>
        <v>-20000</v>
      </c>
      <c r="DW14" s="218">
        <f t="shared" si="58"/>
        <v>0</v>
      </c>
      <c r="DX14" s="219"/>
      <c r="DY14" s="219">
        <f t="shared" si="59"/>
        <v>0</v>
      </c>
      <c r="DZ14" s="220">
        <f t="shared" ca="1" si="60"/>
        <v>0</v>
      </c>
      <c r="EA14" s="220">
        <f t="shared" si="61"/>
        <v>0</v>
      </c>
      <c r="EB14" s="221">
        <f t="shared" ca="1" si="62"/>
        <v>0</v>
      </c>
      <c r="EC14" s="116">
        <f t="shared" ca="1" si="63"/>
        <v>-20000</v>
      </c>
      <c r="ED14" s="116">
        <f t="shared" ca="1" si="64"/>
        <v>-20000</v>
      </c>
      <c r="EE14" s="222" t="str">
        <f t="shared" si="65"/>
        <v/>
      </c>
      <c r="EF14" s="116">
        <f t="shared" ca="1" si="66"/>
        <v>-20000</v>
      </c>
      <c r="EG14" s="223">
        <f ca="1">IF(ISERROR(VLOOKUP(_xludf.maxifs(DbyD!C:C,DbyD!B:B,C14,DbyD!F:F,"&lt;=" &amp; E14,DbyD!C:C,"&lt;"&amp;B14),DbyD!C:BE,MATCH(DbyD!$BB$9,DbyD!$9:$9,0)-2,FALSE)),0,VLOOKUP(_xludf.maxifs(DbyD!C:C,DbyD!B:B,C14,DbyD!F:F,"&lt;=" &amp; E14,DbyD!C:C,"&lt;"&amp;B14),DbyD!C:BE,MATCH(DbyD!$BB$9,DbyD!$9:$9,0)-2,FALSE))</f>
        <v>0</v>
      </c>
      <c r="EH14" s="116">
        <f>SUMIFS('1HistTrade'!$EM:$EM,'1HistTrade'!$D:$D,D14,'1HistTrade'!$B:$B,"&lt;"&amp;B14,'1HistTrade'!$DJ:$DJ,"&lt;&gt;"&amp;"CD/CW")*-1</f>
        <v>51194.592400000009</v>
      </c>
      <c r="EI14" s="116">
        <f t="shared" ca="1" si="67"/>
        <v>51194.592400000009</v>
      </c>
      <c r="EJ14" s="116">
        <f>SUMIFS('1HistTrade'!$EN:$EN,'1HistTrade'!$D:$D,D14,'1HistTrade'!$B:$B,"&lt;"&amp;B14)</f>
        <v>448805.40759999998</v>
      </c>
      <c r="EK14" s="224">
        <f>SUMIFS('1HistTrade'!$EU:$EU,'1HistTrade'!$D:$D,D14,'1HistTrade'!$B:$B,"&lt;"&amp;B14)</f>
        <v>0</v>
      </c>
      <c r="EL14" s="116"/>
      <c r="EM14" s="116">
        <f t="shared" ref="EM14:EN14" ca="1" si="97">EC14</f>
        <v>-20000</v>
      </c>
      <c r="EN14" s="116">
        <f t="shared" ca="1" si="97"/>
        <v>-20000</v>
      </c>
      <c r="EO14" s="224"/>
      <c r="EP14" s="116"/>
      <c r="EQ14" s="116">
        <f t="shared" ca="1" si="69"/>
        <v>-20000</v>
      </c>
      <c r="ER14" s="116">
        <f t="shared" ca="1" si="70"/>
        <v>71194.592400000009</v>
      </c>
      <c r="ES14" s="116">
        <f t="shared" ca="1" si="71"/>
        <v>51194.592400000009</v>
      </c>
      <c r="ET14" s="116">
        <f t="shared" ca="1" si="72"/>
        <v>428805.40759999998</v>
      </c>
      <c r="EU14" s="224">
        <f t="shared" ca="1" si="73"/>
        <v>0</v>
      </c>
      <c r="EV14" s="213">
        <f t="shared" ca="1" si="74"/>
        <v>0</v>
      </c>
      <c r="EX14" s="116">
        <f t="shared" ca="1" si="75"/>
        <v>-20000</v>
      </c>
      <c r="EY14" s="116">
        <f t="shared" ca="1" si="76"/>
        <v>71194.592400000009</v>
      </c>
      <c r="EZ14" s="116">
        <f t="shared" ca="1" si="77"/>
        <v>51194.592400000009</v>
      </c>
      <c r="FA14" s="116">
        <f t="shared" ca="1" si="78"/>
        <v>428805.40759999998</v>
      </c>
      <c r="FB14" s="116">
        <f t="shared" ca="1" si="79"/>
        <v>0</v>
      </c>
      <c r="FC14" s="189"/>
      <c r="FE14" s="31"/>
      <c r="FG14" s="31"/>
    </row>
    <row r="15" spans="1:165" ht="13">
      <c r="A15" s="10">
        <f>IF(E15&lt;=HistSecRecord!$E$1,1,0)</f>
        <v>1</v>
      </c>
      <c r="B15" s="190">
        <f>After1stCHK!B14</f>
        <v>44562000035</v>
      </c>
      <c r="C15" s="3" t="str">
        <f>After1stCHK!C14</f>
        <v>D0003</v>
      </c>
      <c r="D15" s="29" t="str">
        <f>After1stCHK!D14</f>
        <v>sABCD0003@hkmu.edu.hk</v>
      </c>
      <c r="E15" s="4">
        <f>After1stCHK!E14</f>
        <v>44562</v>
      </c>
      <c r="F15" s="97"/>
      <c r="G15" s="79" t="str">
        <f>After1stCHK!F14</f>
        <v>BUY (LONG)</v>
      </c>
      <c r="H15" s="226" t="str">
        <f>After1stCHK!G14</f>
        <v>0700.HK</v>
      </c>
      <c r="I15" s="81" t="str">
        <f>After1stCHK!H14</f>
        <v>Stock</v>
      </c>
      <c r="J15" s="88">
        <f>After1stCHK!I14</f>
        <v>10</v>
      </c>
      <c r="K15" s="103">
        <f>After1stCHK!J14</f>
        <v>0</v>
      </c>
      <c r="L15" s="56">
        <f>After1stCHK!K14</f>
        <v>0</v>
      </c>
      <c r="M15" s="104">
        <f>After1stCHK!L14</f>
        <v>0</v>
      </c>
      <c r="N15" s="82">
        <f>After1stCHK!M14</f>
        <v>460</v>
      </c>
      <c r="O15" s="82"/>
      <c r="P15" s="86"/>
      <c r="Q15" s="43"/>
      <c r="T15" s="87">
        <f t="shared" si="0"/>
        <v>44562</v>
      </c>
      <c r="U15" s="102"/>
      <c r="V15" s="81" t="str">
        <f>VLOOKUP($B15,After1stCHK!$B$3:$AO$87840,MATCH(V$4,After1stCHK!$B$3:$AO$3,0),FALSE)</f>
        <v>HKD</v>
      </c>
      <c r="W15" s="100" t="str">
        <f>VLOOKUP($B15,After1stCHK!$B$3:$AO$87840,MATCH(W$4,After1stCHK!$B$3:$AO$3,0),FALSE)</f>
        <v>0700.HK</v>
      </c>
      <c r="X15" s="82">
        <f>VLOOKUP($B15,After1stCHK!$B$3:$AO$87840,MATCH(X$4,After1stCHK!$B$3:$AO$3,0),FALSE)</f>
        <v>465</v>
      </c>
      <c r="Y15" s="82">
        <f>VLOOKUP($B15,After1stCHK!$B$3:$AO$87840,MATCH(Y$4,After1stCHK!$B$3:$AO$3,0),FALSE)</f>
        <v>467</v>
      </c>
      <c r="Z15" s="82">
        <f>VLOOKUP($B15,After1stCHK!$B$3:$AO$87840,MATCH(Z$4,After1stCHK!$B$3:$AO$3,0),FALSE)</f>
        <v>457.8</v>
      </c>
      <c r="AA15" s="82">
        <f>VLOOKUP($B15,After1stCHK!$B$3:$AO$87840,MATCH(AA$4,After1stCHK!$B$3:$AO$3,0),FALSE)</f>
        <v>473.6</v>
      </c>
      <c r="AB15" s="82">
        <f>VLOOKUP($B15,After1stCHK!$B$3:$AO$87840,MATCH(AB$4,After1stCHK!$B$3:$AO$3,0),FALSE)</f>
        <v>16061367</v>
      </c>
      <c r="AC15" s="103" t="str">
        <f>VLOOKUP($B15,After1stCHK!$B$3:$AO$87840,MATCH(AC$4,After1stCHK!$B$3:$AO$3,0),FALSE)</f>
        <v>(blank)</v>
      </c>
      <c r="AD15" s="103" t="str">
        <f>VLOOKUP($B15,After1stCHK!$B$3:$AO$87840,MATCH(AD$4,After1stCHK!$B$3:$AO$3,0),FALSE)</f>
        <v>(blank)</v>
      </c>
      <c r="AE15" s="103" t="str">
        <f>VLOOKUP($B15,After1stCHK!$B$3:$AO$87840,MATCH(AE$4,After1stCHK!$B$3:$AO$3,0),FALSE)</f>
        <v>(blank)</v>
      </c>
      <c r="AF15" s="103" t="str">
        <f>VLOOKUP($B15,After1stCHK!$B$3:$AO$87840,MATCH(AF$4,After1stCHK!$B$3:$AO$3,0),FALSE)</f>
        <v>(blank)</v>
      </c>
      <c r="AG15" s="103" t="str">
        <f>VLOOKUP($B15,After1stCHK!$B$3:$AO$87840,MATCH(AG$4,After1stCHK!$B$3:$AO$3,0),FALSE)</f>
        <v>(blank)</v>
      </c>
      <c r="AH15" s="103" t="str">
        <f>VLOOKUP($B15,After1stCHK!$B$3:$AO$87840,MATCH(AH$4,After1stCHK!$B$3:$AO$3,0),FALSE)</f>
        <v>(blank)</v>
      </c>
      <c r="AI15" s="103" t="str">
        <f>VLOOKUP($B15,After1stCHK!$B$3:$AO$87840,MATCH(AI$4,After1stCHK!$B$3:$AO$3,0),FALSE)</f>
        <v>(blank)</v>
      </c>
      <c r="AJ15" s="103" t="str">
        <f>VLOOKUP($B15,After1stCHK!$B$3:$AO$87840,MATCH(AJ$4,After1stCHK!$B$3:$AO$3,0),FALSE)</f>
        <v>(blank)</v>
      </c>
      <c r="AK15" s="103" t="str">
        <f>VLOOKUP($B15,After1stCHK!$B$3:$AO$87840,MATCH(AK$4,After1stCHK!$B$3:$AO$3,0),FALSE)</f>
        <v>(blank)</v>
      </c>
      <c r="AL15" s="56" t="str">
        <f>VLOOKUP($B15,After1stCHK!$B$3:$AO$87840,MATCH(AL$4,After1stCHK!$B$3:$AO$3,0),FALSE)</f>
        <v>(blank)</v>
      </c>
      <c r="AM15" s="56" t="str">
        <f>VLOOKUP($B15,After1stCHK!$B$3:$AO$87840,MATCH(AM$4,After1stCHK!$B$3:$AO$3,0),FALSE)</f>
        <v>(blank)</v>
      </c>
      <c r="AN15" s="56" t="str">
        <f>VLOOKUP($B15,After1stCHK!$B$3:$AO$87840,MATCH(AN$4,After1stCHK!$B$3:$AO$3,0),FALSE)</f>
        <v>(blank)</v>
      </c>
      <c r="AO15" s="56" t="str">
        <f>VLOOKUP($B15,After1stCHK!$B$3:$AO$87840,MATCH(AO$4,After1stCHK!$B$3:$AO$3,0),FALSE)</f>
        <v>(blank)</v>
      </c>
      <c r="AP15" s="56" t="str">
        <f>VLOOKUP($B15,After1stCHK!$B$3:$AO$87840,MATCH(AP$4,After1stCHK!$B$3:$AO$3,0),FALSE)</f>
        <v>(blank)</v>
      </c>
      <c r="AQ15" s="56" t="str">
        <f>VLOOKUP($B15,After1stCHK!$B$3:$AO$87840,MATCH(AQ$4,After1stCHK!$B$3:$AO$3,0),FALSE)</f>
        <v>(blank)</v>
      </c>
      <c r="AR15" s="56" t="str">
        <f>VLOOKUP($B15,After1stCHK!$B$3:$AO$87840,MATCH(AR$4,After1stCHK!$B$3:$AO$3,0),FALSE)</f>
        <v>(blank)</v>
      </c>
      <c r="AS15" s="56" t="str">
        <f>VLOOKUP($B15,After1stCHK!$B$3:$AO$87840,MATCH(AS$4,After1stCHK!$B$3:$AO$3,0),FALSE)</f>
        <v>(blank)</v>
      </c>
      <c r="AT15" s="56" t="str">
        <f>VLOOKUP($B15,After1stCHK!$B$3:$AO$87840,MATCH(AT$4,After1stCHK!$B$3:$AO$3,0),FALSE)</f>
        <v>(blank)</v>
      </c>
      <c r="AU15" s="104" t="str">
        <f>VLOOKUP($B15,After1stCHK!$B$3:$AO$87840,MATCH(AU$4,After1stCHK!$B$3:$AO$3,0),FALSE)</f>
        <v>(blank)</v>
      </c>
      <c r="AV15" s="225" t="str">
        <f t="shared" si="1"/>
        <v/>
      </c>
      <c r="AX15" s="90" t="s">
        <v>153</v>
      </c>
      <c r="AY15" s="91"/>
      <c r="AZ15" s="24"/>
      <c r="BA15" s="92"/>
      <c r="BB15" s="192"/>
      <c r="BC15" s="94"/>
      <c r="BD15" s="193">
        <f t="shared" si="2"/>
        <v>0</v>
      </c>
      <c r="BE15" s="193" t="str">
        <f t="shared" si="3"/>
        <v/>
      </c>
      <c r="BF15" s="193">
        <f t="shared" ca="1" si="4"/>
        <v>0</v>
      </c>
      <c r="BG15" s="194" t="e">
        <f t="shared" ca="1" si="5"/>
        <v>#VALUE!</v>
      </c>
      <c r="BH15" s="195">
        <f t="shared" si="6"/>
        <v>1</v>
      </c>
      <c r="BI15" s="195">
        <f t="shared" si="7"/>
        <v>1</v>
      </c>
      <c r="BJ15" s="3">
        <f t="shared" si="8"/>
        <v>10</v>
      </c>
      <c r="BK15" s="3" t="str">
        <f t="shared" si="9"/>
        <v>HKD</v>
      </c>
      <c r="BL15" s="196">
        <f ca="1">IF(V15="HKD",1,OFFSET(FX!$A$5,MATCH(E15,FX!A:A,0)-ROW(FX!$A$5),MATCH(V15,FX!$A$5:$AM$5,0)-1,1,1))</f>
        <v>1</v>
      </c>
      <c r="BM15" s="227" t="str">
        <f t="shared" si="10"/>
        <v>0700.HK</v>
      </c>
      <c r="BN15" s="198">
        <f t="shared" si="11"/>
        <v>460</v>
      </c>
      <c r="BO15" s="199"/>
      <c r="BP15" s="200">
        <f t="shared" si="12"/>
        <v>460</v>
      </c>
      <c r="BQ15" s="201">
        <f t="shared" si="13"/>
        <v>10</v>
      </c>
      <c r="BR15" s="202">
        <f t="shared" si="14"/>
        <v>4600</v>
      </c>
      <c r="BS15" s="203">
        <f t="shared" ca="1" si="15"/>
        <v>4600</v>
      </c>
      <c r="BT15" s="204"/>
      <c r="BU15" s="199">
        <f t="shared" si="16"/>
        <v>0</v>
      </c>
      <c r="BV15" s="201">
        <f t="shared" si="17"/>
        <v>0</v>
      </c>
      <c r="BW15" s="202">
        <f t="shared" si="18"/>
        <v>0</v>
      </c>
      <c r="BX15" s="203">
        <f t="shared" ca="1" si="19"/>
        <v>0</v>
      </c>
      <c r="BY15" s="204"/>
      <c r="BZ15" s="198">
        <f t="shared" si="20"/>
        <v>0</v>
      </c>
      <c r="CA15" s="199"/>
      <c r="CB15" s="200">
        <f t="shared" si="21"/>
        <v>0</v>
      </c>
      <c r="CC15" s="201">
        <f t="shared" si="22"/>
        <v>0</v>
      </c>
      <c r="CD15" s="202">
        <f t="shared" si="23"/>
        <v>0</v>
      </c>
      <c r="CE15" s="203">
        <f t="shared" ca="1" si="24"/>
        <v>0</v>
      </c>
      <c r="CF15" s="204"/>
      <c r="CG15" s="205">
        <f t="shared" si="25"/>
        <v>0</v>
      </c>
      <c r="CH15" s="206">
        <f t="shared" si="26"/>
        <v>0</v>
      </c>
      <c r="CI15" s="207">
        <f t="shared" si="27"/>
        <v>0</v>
      </c>
      <c r="CJ15" s="203">
        <f t="shared" ca="1" si="28"/>
        <v>0</v>
      </c>
      <c r="CK15" s="204"/>
      <c r="CL15" s="208">
        <f t="shared" ca="1" si="29"/>
        <v>-4600</v>
      </c>
      <c r="CM15" s="209" t="str">
        <f t="shared" si="30"/>
        <v/>
      </c>
      <c r="CN15" s="228" t="str">
        <f t="shared" si="31"/>
        <v>0700.HK</v>
      </c>
      <c r="CO15" s="153">
        <f t="shared" si="32"/>
        <v>44562</v>
      </c>
      <c r="CP15" s="211">
        <f t="shared" ref="CP15:CQ15" si="98">AZ15</f>
        <v>0</v>
      </c>
      <c r="CQ15" s="212">
        <f t="shared" si="98"/>
        <v>0</v>
      </c>
      <c r="CR15" s="213">
        <f t="shared" si="34"/>
        <v>0</v>
      </c>
      <c r="CS15" s="213">
        <f t="shared" si="35"/>
        <v>0</v>
      </c>
      <c r="CT15" s="214">
        <f>SUMIFS('1HistTrade'!DF:DF,'1HistTrade'!$D:$D,$D15,'1HistTrade'!$BM:$BM,$BM15,'1HistTrade'!$B:$B,"&lt;"&amp;$B15)</f>
        <v>0</v>
      </c>
      <c r="CU15" s="215">
        <f>SUMIFS('1HistTrade'!DG:DG,'1HistTrade'!$D:$D,$D15,'1HistTrade'!$BM:$BM,$BM15,'1HistTrade'!$B:$B,"&lt;"&amp;$B15)</f>
        <v>0</v>
      </c>
      <c r="CV15" s="215">
        <f>SUMIFS('1HistTrade'!DH:DH,'1HistTrade'!$D:$D,$D15,'1HistTrade'!$BM:$BM,$BM15,'1HistTrade'!$B:$B,"&lt;"&amp;$B15)</f>
        <v>0</v>
      </c>
      <c r="CW15" s="215">
        <f>SUMIFS('1HistTrade'!DI:DI,'1HistTrade'!$D:$D,$D15,'1HistTrade'!$BM:$BM,$BM15,'1HistTrade'!$B:$B,"&lt;"&amp;$B15)</f>
        <v>0</v>
      </c>
      <c r="CX15" s="216">
        <f t="shared" si="36"/>
        <v>10</v>
      </c>
      <c r="CY15" s="216">
        <f t="shared" si="37"/>
        <v>0</v>
      </c>
      <c r="CZ15" s="216">
        <f t="shared" si="38"/>
        <v>0</v>
      </c>
      <c r="DA15" s="216">
        <f t="shared" ca="1" si="39"/>
        <v>0</v>
      </c>
      <c r="DB15" s="21" t="str">
        <f t="shared" si="40"/>
        <v>B</v>
      </c>
      <c r="DC15" s="21" t="str">
        <f t="shared" si="41"/>
        <v/>
      </c>
      <c r="DD15" s="21" t="str">
        <f t="shared" si="42"/>
        <v/>
      </c>
      <c r="DE15" s="21" t="str">
        <f t="shared" ca="1" si="43"/>
        <v/>
      </c>
      <c r="DF15" s="215">
        <f t="shared" si="44"/>
        <v>10</v>
      </c>
      <c r="DG15" s="215">
        <f t="shared" si="45"/>
        <v>0</v>
      </c>
      <c r="DH15" s="215">
        <f t="shared" si="46"/>
        <v>0</v>
      </c>
      <c r="DI15" s="215">
        <f t="shared" ca="1" si="47"/>
        <v>0</v>
      </c>
      <c r="DJ15" s="215" t="str">
        <f t="shared" si="48"/>
        <v>B</v>
      </c>
      <c r="DK15" s="116"/>
      <c r="DL15" s="116">
        <f t="shared" ca="1" si="49"/>
        <v>460</v>
      </c>
      <c r="DM15" s="116">
        <f t="shared" ca="1" si="50"/>
        <v>4600</v>
      </c>
      <c r="DN15" s="116">
        <f t="shared" ca="1" si="51"/>
        <v>-4600</v>
      </c>
      <c r="DO15" s="217">
        <f t="shared" ca="1" si="52"/>
        <v>4600</v>
      </c>
      <c r="DP15" s="217">
        <f t="shared" ca="1" si="53"/>
        <v>0</v>
      </c>
      <c r="DQ15" s="116">
        <f>IF($DT$1="Delete",0,IF(OR(DG15="",DG15=0),0,SUMIFS('1HistTrade'!$ED:$ED,'1HistTrade'!$D:$D,D15,'1HistTrade'!$H:$H,H15,'1HistTrade'!$B:$B,"&lt;"&amp;B15)))</f>
        <v>0</v>
      </c>
      <c r="DR15" s="116">
        <f t="shared" ca="1" si="54"/>
        <v>0</v>
      </c>
      <c r="DS15" s="116">
        <f t="shared" ca="1" si="55"/>
        <v>0</v>
      </c>
      <c r="DT15" s="116">
        <f>IF($DT$1="Delete",0,IF(OR(DI15="",DI15=0),0,SUMIFS('1HistTrade'!$ED:$ED,'1HistTrade'!$D:$D,D15,'1HistTrade'!$H:$H,H15,'1HistTrade'!$B:$B,"&lt;"&amp;B15)))</f>
        <v>0</v>
      </c>
      <c r="DU15" s="116">
        <f t="shared" ca="1" si="56"/>
        <v>0</v>
      </c>
      <c r="DV15" s="116">
        <f t="shared" ca="1" si="57"/>
        <v>0</v>
      </c>
      <c r="DW15" s="218">
        <f t="shared" si="58"/>
        <v>0</v>
      </c>
      <c r="DX15" s="219"/>
      <c r="DY15" s="219">
        <f t="shared" si="59"/>
        <v>0</v>
      </c>
      <c r="DZ15" s="220">
        <f t="shared" ca="1" si="60"/>
        <v>0</v>
      </c>
      <c r="EA15" s="220">
        <f t="shared" si="61"/>
        <v>0</v>
      </c>
      <c r="EB15" s="221">
        <f t="shared" ca="1" si="62"/>
        <v>0</v>
      </c>
      <c r="EC15" s="116">
        <f t="shared" ca="1" si="63"/>
        <v>-4600</v>
      </c>
      <c r="ED15" s="116">
        <f t="shared" ca="1" si="64"/>
        <v>-4600</v>
      </c>
      <c r="EE15" s="222" t="str">
        <f t="shared" si="65"/>
        <v/>
      </c>
      <c r="EF15" s="116">
        <f t="shared" si="66"/>
        <v>-10</v>
      </c>
      <c r="EG15" s="223">
        <f ca="1">IF(ISERROR(VLOOKUP(_xludf.maxifs(DbyD!C:C,DbyD!B:B,C15,DbyD!F:F,"&lt;=" &amp; E15,DbyD!C:C,"&lt;"&amp;B15),DbyD!C:BE,MATCH(DbyD!$BB$9,DbyD!$9:$9,0)-2,FALSE)),0,VLOOKUP(_xludf.maxifs(DbyD!C:C,DbyD!B:B,C15,DbyD!F:F,"&lt;=" &amp; E15,DbyD!C:C,"&lt;"&amp;B15),DbyD!C:BE,MATCH(DbyD!$BB$9,DbyD!$9:$9,0)-2,FALSE))</f>
        <v>0</v>
      </c>
      <c r="EH15" s="116">
        <f>SUMIFS('1HistTrade'!$EM:$EM,'1HistTrade'!$D:$D,D15,'1HistTrade'!$B:$B,"&lt;"&amp;B15,'1HistTrade'!$DJ:$DJ,"&lt;&gt;"&amp;"CD/CW")*-1</f>
        <v>71194.592400000009</v>
      </c>
      <c r="EI15" s="116">
        <f t="shared" ca="1" si="67"/>
        <v>71194.592400000009</v>
      </c>
      <c r="EJ15" s="116">
        <f>SUMIFS('1HistTrade'!$EN:$EN,'1HistTrade'!$D:$D,D15,'1HistTrade'!$B:$B,"&lt;"&amp;B15)</f>
        <v>428805.40759999998</v>
      </c>
      <c r="EK15" s="224">
        <f>SUMIFS('1HistTrade'!$EU:$EU,'1HistTrade'!$D:$D,D15,'1HistTrade'!$B:$B,"&lt;"&amp;B15)</f>
        <v>0</v>
      </c>
      <c r="EL15" s="116"/>
      <c r="EM15" s="116">
        <f t="shared" ref="EM15:EN15" ca="1" si="99">EC15</f>
        <v>-4600</v>
      </c>
      <c r="EN15" s="116">
        <f t="shared" ca="1" si="99"/>
        <v>-4600</v>
      </c>
      <c r="EO15" s="224"/>
      <c r="EP15" s="116"/>
      <c r="EQ15" s="116">
        <f t="shared" ca="1" si="69"/>
        <v>-4600</v>
      </c>
      <c r="ER15" s="116">
        <f t="shared" ca="1" si="70"/>
        <v>75794.592400000009</v>
      </c>
      <c r="ES15" s="116">
        <f t="shared" ca="1" si="71"/>
        <v>71194.592400000009</v>
      </c>
      <c r="ET15" s="116">
        <f t="shared" ca="1" si="72"/>
        <v>424205.40759999998</v>
      </c>
      <c r="EU15" s="224">
        <f t="shared" ca="1" si="73"/>
        <v>0</v>
      </c>
      <c r="EV15" s="213">
        <f t="shared" ca="1" si="74"/>
        <v>0</v>
      </c>
      <c r="EX15" s="116">
        <f t="shared" ca="1" si="75"/>
        <v>-4600</v>
      </c>
      <c r="EY15" s="116">
        <f t="shared" ca="1" si="76"/>
        <v>75794.592400000009</v>
      </c>
      <c r="EZ15" s="116">
        <f t="shared" ca="1" si="77"/>
        <v>71194.592400000009</v>
      </c>
      <c r="FA15" s="116">
        <f t="shared" ca="1" si="78"/>
        <v>424205.40759999998</v>
      </c>
      <c r="FB15" s="116">
        <f t="shared" ca="1" si="79"/>
        <v>0</v>
      </c>
      <c r="FC15" s="189"/>
      <c r="FE15" s="31"/>
      <c r="FG15" s="31"/>
    </row>
    <row r="16" spans="1:165" ht="13">
      <c r="A16" s="10">
        <f>IF(E16&lt;=HistSecRecord!$E$1,1,0)</f>
        <v>1</v>
      </c>
      <c r="B16" s="229">
        <f>After1stCHK!B15</f>
        <v>44563000012</v>
      </c>
      <c r="C16" s="3" t="str">
        <f>After1stCHK!C15</f>
        <v>D0001</v>
      </c>
      <c r="D16" s="29" t="str">
        <f>After1stCHK!D15</f>
        <v>sABCD0001@hkmu.edu.hk</v>
      </c>
      <c r="E16" s="4">
        <f>After1stCHK!E15</f>
        <v>44563</v>
      </c>
      <c r="F16" s="105"/>
      <c r="G16" s="79" t="str">
        <f>After1stCHK!F15</f>
        <v>BUY (LONG)</v>
      </c>
      <c r="H16" s="226" t="str">
        <f>After1stCHK!G15</f>
        <v>0700.HK</v>
      </c>
      <c r="I16" s="81" t="str">
        <f>After1stCHK!H15</f>
        <v>Stock</v>
      </c>
      <c r="J16" s="82">
        <f>After1stCHK!I15</f>
        <v>10</v>
      </c>
      <c r="K16" s="103">
        <f>After1stCHK!J15</f>
        <v>0</v>
      </c>
      <c r="L16" s="56">
        <f>After1stCHK!K15</f>
        <v>0</v>
      </c>
      <c r="M16" s="104">
        <f>After1stCHK!L15</f>
        <v>0</v>
      </c>
      <c r="N16" s="82">
        <f>After1stCHK!M15</f>
        <v>460</v>
      </c>
      <c r="O16" s="82"/>
      <c r="P16" s="86"/>
      <c r="Q16" s="43"/>
      <c r="T16" s="87">
        <f t="shared" si="0"/>
        <v>44563</v>
      </c>
      <c r="U16" s="102"/>
      <c r="V16" s="81" t="str">
        <f>VLOOKUP($B16,After1stCHK!$B$3:$AO$87840,MATCH(V$4,After1stCHK!$B$3:$AO$3,0),FALSE)</f>
        <v>HKD</v>
      </c>
      <c r="W16" s="100" t="str">
        <f>VLOOKUP($B16,After1stCHK!$B$3:$AO$87840,MATCH(W$4,After1stCHK!$B$3:$AO$3,0),FALSE)</f>
        <v>0700.HK</v>
      </c>
      <c r="X16" s="82">
        <f>VLOOKUP($B16,After1stCHK!$B$3:$AO$87840,MATCH(X$4,After1stCHK!$B$3:$AO$3,0),FALSE)</f>
        <v>465</v>
      </c>
      <c r="Y16" s="82">
        <f>VLOOKUP($B16,After1stCHK!$B$3:$AO$87840,MATCH(Y$4,After1stCHK!$B$3:$AO$3,0),FALSE)</f>
        <v>467</v>
      </c>
      <c r="Z16" s="82">
        <f>VLOOKUP($B16,After1stCHK!$B$3:$AO$87840,MATCH(Z$4,After1stCHK!$B$3:$AO$3,0),FALSE)</f>
        <v>457.8</v>
      </c>
      <c r="AA16" s="82">
        <f>VLOOKUP($B16,After1stCHK!$B$3:$AO$87840,MATCH(AA$4,After1stCHK!$B$3:$AO$3,0),FALSE)</f>
        <v>473.6</v>
      </c>
      <c r="AB16" s="82">
        <f>VLOOKUP($B16,After1stCHK!$B$3:$AO$87840,MATCH(AB$4,After1stCHK!$B$3:$AO$3,0),FALSE)</f>
        <v>16061367</v>
      </c>
      <c r="AC16" s="103" t="str">
        <f>VLOOKUP($B16,After1stCHK!$B$3:$AO$87840,MATCH(AC$4,After1stCHK!$B$3:$AO$3,0),FALSE)</f>
        <v>(blank)</v>
      </c>
      <c r="AD16" s="103" t="str">
        <f>VLOOKUP($B16,After1stCHK!$B$3:$AO$87840,MATCH(AD$4,After1stCHK!$B$3:$AO$3,0),FALSE)</f>
        <v>(blank)</v>
      </c>
      <c r="AE16" s="103" t="str">
        <f>VLOOKUP($B16,After1stCHK!$B$3:$AO$87840,MATCH(AE$4,After1stCHK!$B$3:$AO$3,0),FALSE)</f>
        <v>(blank)</v>
      </c>
      <c r="AF16" s="103" t="str">
        <f>VLOOKUP($B16,After1stCHK!$B$3:$AO$87840,MATCH(AF$4,After1stCHK!$B$3:$AO$3,0),FALSE)</f>
        <v>(blank)</v>
      </c>
      <c r="AG16" s="103" t="str">
        <f>VLOOKUP($B16,After1stCHK!$B$3:$AO$87840,MATCH(AG$4,After1stCHK!$B$3:$AO$3,0),FALSE)</f>
        <v>(blank)</v>
      </c>
      <c r="AH16" s="103" t="str">
        <f>VLOOKUP($B16,After1stCHK!$B$3:$AO$87840,MATCH(AH$4,After1stCHK!$B$3:$AO$3,0),FALSE)</f>
        <v>(blank)</v>
      </c>
      <c r="AI16" s="103" t="str">
        <f>VLOOKUP($B16,After1stCHK!$B$3:$AO$87840,MATCH(AI$4,After1stCHK!$B$3:$AO$3,0),FALSE)</f>
        <v>(blank)</v>
      </c>
      <c r="AJ16" s="103" t="str">
        <f>VLOOKUP($B16,After1stCHK!$B$3:$AO$87840,MATCH(AJ$4,After1stCHK!$B$3:$AO$3,0),FALSE)</f>
        <v>(blank)</v>
      </c>
      <c r="AK16" s="103" t="str">
        <f>VLOOKUP($B16,After1stCHK!$B$3:$AO$87840,MATCH(AK$4,After1stCHK!$B$3:$AO$3,0),FALSE)</f>
        <v>(blank)</v>
      </c>
      <c r="AL16" s="56" t="str">
        <f>VLOOKUP($B16,After1stCHK!$B$3:$AO$87840,MATCH(AL$4,After1stCHK!$B$3:$AO$3,0),FALSE)</f>
        <v>(blank)</v>
      </c>
      <c r="AM16" s="56" t="str">
        <f>VLOOKUP($B16,After1stCHK!$B$3:$AO$87840,MATCH(AM$4,After1stCHK!$B$3:$AO$3,0),FALSE)</f>
        <v>(blank)</v>
      </c>
      <c r="AN16" s="56" t="str">
        <f>VLOOKUP($B16,After1stCHK!$B$3:$AO$87840,MATCH(AN$4,After1stCHK!$B$3:$AO$3,0),FALSE)</f>
        <v>(blank)</v>
      </c>
      <c r="AO16" s="56" t="str">
        <f>VLOOKUP($B16,After1stCHK!$B$3:$AO$87840,MATCH(AO$4,After1stCHK!$B$3:$AO$3,0),FALSE)</f>
        <v>(blank)</v>
      </c>
      <c r="AP16" s="56" t="str">
        <f>VLOOKUP($B16,After1stCHK!$B$3:$AO$87840,MATCH(AP$4,After1stCHK!$B$3:$AO$3,0),FALSE)</f>
        <v>(blank)</v>
      </c>
      <c r="AQ16" s="56" t="str">
        <f>VLOOKUP($B16,After1stCHK!$B$3:$AO$87840,MATCH(AQ$4,After1stCHK!$B$3:$AO$3,0),FALSE)</f>
        <v>(blank)</v>
      </c>
      <c r="AR16" s="56" t="str">
        <f>VLOOKUP($B16,After1stCHK!$B$3:$AO$87840,MATCH(AR$4,After1stCHK!$B$3:$AO$3,0),FALSE)</f>
        <v>(blank)</v>
      </c>
      <c r="AS16" s="56" t="str">
        <f>VLOOKUP($B16,After1stCHK!$B$3:$AO$87840,MATCH(AS$4,After1stCHK!$B$3:$AO$3,0),FALSE)</f>
        <v>(blank)</v>
      </c>
      <c r="AT16" s="56" t="str">
        <f>VLOOKUP($B16,After1stCHK!$B$3:$AO$87840,MATCH(AT$4,After1stCHK!$B$3:$AO$3,0),FALSE)</f>
        <v>(blank)</v>
      </c>
      <c r="AU16" s="104" t="str">
        <f>VLOOKUP($B16,After1stCHK!$B$3:$AO$87840,MATCH(AU$4,After1stCHK!$B$3:$AO$3,0),FALSE)</f>
        <v>(blank)</v>
      </c>
      <c r="AV16" s="225" t="str">
        <f t="shared" si="1"/>
        <v/>
      </c>
      <c r="AX16" s="90"/>
      <c r="AY16" s="91"/>
      <c r="AZ16" s="24"/>
      <c r="BA16" s="92"/>
      <c r="BB16" s="192"/>
      <c r="BC16" s="94"/>
      <c r="BD16" s="193">
        <f t="shared" si="2"/>
        <v>0</v>
      </c>
      <c r="BE16" s="193" t="str">
        <f t="shared" si="3"/>
        <v/>
      </c>
      <c r="BF16" s="193">
        <f t="shared" ca="1" si="4"/>
        <v>0</v>
      </c>
      <c r="BG16" s="194" t="e">
        <f t="shared" ca="1" si="5"/>
        <v>#VALUE!</v>
      </c>
      <c r="BH16" s="195">
        <f t="shared" si="6"/>
        <v>1</v>
      </c>
      <c r="BI16" s="195">
        <f t="shared" si="7"/>
        <v>1</v>
      </c>
      <c r="BJ16" s="3">
        <f t="shared" si="8"/>
        <v>10</v>
      </c>
      <c r="BK16" s="3" t="str">
        <f t="shared" si="9"/>
        <v>HKD</v>
      </c>
      <c r="BL16" s="196">
        <f ca="1">IF(V16="HKD",1,OFFSET(FX!$A$5,MATCH(E16,FX!A:A,0)-ROW(FX!$A$5),MATCH(V16,FX!$A$5:$AM$5,0)-1,1,1))</f>
        <v>1</v>
      </c>
      <c r="BM16" s="227" t="str">
        <f t="shared" si="10"/>
        <v>0700.HK</v>
      </c>
      <c r="BN16" s="198">
        <f t="shared" si="11"/>
        <v>460</v>
      </c>
      <c r="BO16" s="199"/>
      <c r="BP16" s="200">
        <f t="shared" si="12"/>
        <v>460</v>
      </c>
      <c r="BQ16" s="201">
        <f t="shared" si="13"/>
        <v>10</v>
      </c>
      <c r="BR16" s="202">
        <f t="shared" si="14"/>
        <v>4600</v>
      </c>
      <c r="BS16" s="203">
        <f t="shared" ca="1" si="15"/>
        <v>4600</v>
      </c>
      <c r="BT16" s="204"/>
      <c r="BU16" s="199">
        <f t="shared" si="16"/>
        <v>0</v>
      </c>
      <c r="BV16" s="201">
        <f t="shared" si="17"/>
        <v>0</v>
      </c>
      <c r="BW16" s="202">
        <f t="shared" si="18"/>
        <v>0</v>
      </c>
      <c r="BX16" s="203">
        <f t="shared" ca="1" si="19"/>
        <v>0</v>
      </c>
      <c r="BY16" s="204"/>
      <c r="BZ16" s="198">
        <f t="shared" si="20"/>
        <v>0</v>
      </c>
      <c r="CA16" s="199"/>
      <c r="CB16" s="200">
        <f t="shared" si="21"/>
        <v>0</v>
      </c>
      <c r="CC16" s="201">
        <f t="shared" si="22"/>
        <v>0</v>
      </c>
      <c r="CD16" s="202">
        <f t="shared" si="23"/>
        <v>0</v>
      </c>
      <c r="CE16" s="203">
        <f t="shared" ca="1" si="24"/>
        <v>0</v>
      </c>
      <c r="CF16" s="204"/>
      <c r="CG16" s="205">
        <f t="shared" si="25"/>
        <v>0</v>
      </c>
      <c r="CH16" s="206">
        <f t="shared" si="26"/>
        <v>0</v>
      </c>
      <c r="CI16" s="207">
        <f t="shared" si="27"/>
        <v>0</v>
      </c>
      <c r="CJ16" s="203">
        <f t="shared" ca="1" si="28"/>
        <v>0</v>
      </c>
      <c r="CK16" s="204"/>
      <c r="CL16" s="208">
        <f t="shared" ca="1" si="29"/>
        <v>-4600</v>
      </c>
      <c r="CM16" s="209" t="str">
        <f t="shared" si="30"/>
        <v/>
      </c>
      <c r="CN16" s="228" t="str">
        <f t="shared" si="31"/>
        <v>0700.HK</v>
      </c>
      <c r="CO16" s="153">
        <f t="shared" si="32"/>
        <v>44563</v>
      </c>
      <c r="CP16" s="211">
        <f t="shared" ref="CP16:CQ16" si="100">AZ16</f>
        <v>0</v>
      </c>
      <c r="CQ16" s="212">
        <f t="shared" si="100"/>
        <v>0</v>
      </c>
      <c r="CR16" s="213">
        <f t="shared" si="34"/>
        <v>0</v>
      </c>
      <c r="CS16" s="213">
        <f t="shared" si="35"/>
        <v>0</v>
      </c>
      <c r="CT16" s="214">
        <f>SUMIFS('1HistTrade'!DF:DF,'1HistTrade'!$D:$D,$D16,'1HistTrade'!$BM:$BM,$BM16,'1HistTrade'!$B:$B,"&lt;"&amp;$B16)</f>
        <v>0</v>
      </c>
      <c r="CU16" s="215">
        <f>SUMIFS('1HistTrade'!DG:DG,'1HistTrade'!$D:$D,$D16,'1HistTrade'!$BM:$BM,$BM16,'1HistTrade'!$B:$B,"&lt;"&amp;$B16)</f>
        <v>0</v>
      </c>
      <c r="CV16" s="215">
        <f>SUMIFS('1HistTrade'!DH:DH,'1HistTrade'!$D:$D,$D16,'1HistTrade'!$BM:$BM,$BM16,'1HistTrade'!$B:$B,"&lt;"&amp;$B16)</f>
        <v>0</v>
      </c>
      <c r="CW16" s="215">
        <f>SUMIFS('1HistTrade'!DI:DI,'1HistTrade'!$D:$D,$D16,'1HistTrade'!$BM:$BM,$BM16,'1HistTrade'!$B:$B,"&lt;"&amp;$B16)</f>
        <v>0</v>
      </c>
      <c r="CX16" s="216">
        <f t="shared" si="36"/>
        <v>10</v>
      </c>
      <c r="CY16" s="216">
        <f t="shared" si="37"/>
        <v>0</v>
      </c>
      <c r="CZ16" s="216">
        <f t="shared" si="38"/>
        <v>0</v>
      </c>
      <c r="DA16" s="216">
        <f t="shared" ca="1" si="39"/>
        <v>0</v>
      </c>
      <c r="DB16" s="21" t="str">
        <f t="shared" si="40"/>
        <v>B</v>
      </c>
      <c r="DC16" s="21" t="str">
        <f t="shared" si="41"/>
        <v/>
      </c>
      <c r="DD16" s="21" t="str">
        <f t="shared" si="42"/>
        <v/>
      </c>
      <c r="DE16" s="21" t="str">
        <f t="shared" ca="1" si="43"/>
        <v/>
      </c>
      <c r="DF16" s="215">
        <f t="shared" si="44"/>
        <v>10</v>
      </c>
      <c r="DG16" s="215">
        <f t="shared" si="45"/>
        <v>0</v>
      </c>
      <c r="DH16" s="215">
        <f t="shared" si="46"/>
        <v>0</v>
      </c>
      <c r="DI16" s="215">
        <f t="shared" ca="1" si="47"/>
        <v>0</v>
      </c>
      <c r="DJ16" s="215" t="str">
        <f t="shared" si="48"/>
        <v>B</v>
      </c>
      <c r="DK16" s="116"/>
      <c r="DL16" s="116">
        <f t="shared" ca="1" si="49"/>
        <v>460</v>
      </c>
      <c r="DM16" s="116">
        <f t="shared" ca="1" si="50"/>
        <v>4600</v>
      </c>
      <c r="DN16" s="116">
        <f t="shared" ca="1" si="51"/>
        <v>-4600</v>
      </c>
      <c r="DO16" s="217">
        <f t="shared" ca="1" si="52"/>
        <v>4600</v>
      </c>
      <c r="DP16" s="217">
        <f t="shared" ca="1" si="53"/>
        <v>0</v>
      </c>
      <c r="DQ16" s="116">
        <f>IF($DT$1="Delete",0,IF(OR(DG16="",DG16=0),0,SUMIFS('1HistTrade'!$ED:$ED,'1HistTrade'!$D:$D,D16,'1HistTrade'!$H:$H,H16,'1HistTrade'!$B:$B,"&lt;"&amp;B16)))</f>
        <v>0</v>
      </c>
      <c r="DR16" s="116">
        <f t="shared" ca="1" si="54"/>
        <v>0</v>
      </c>
      <c r="DS16" s="116">
        <f t="shared" ca="1" si="55"/>
        <v>0</v>
      </c>
      <c r="DT16" s="116">
        <f>IF($DT$1="Delete",0,IF(OR(DI16="",DI16=0),0,SUMIFS('1HistTrade'!$ED:$ED,'1HistTrade'!$D:$D,D16,'1HistTrade'!$H:$H,H16,'1HistTrade'!$B:$B,"&lt;"&amp;B16)))</f>
        <v>0</v>
      </c>
      <c r="DU16" s="116">
        <f t="shared" ca="1" si="56"/>
        <v>0</v>
      </c>
      <c r="DV16" s="116">
        <f t="shared" ca="1" si="57"/>
        <v>0</v>
      </c>
      <c r="DW16" s="218">
        <f t="shared" si="58"/>
        <v>0</v>
      </c>
      <c r="DX16" s="219"/>
      <c r="DY16" s="219">
        <f t="shared" si="59"/>
        <v>0</v>
      </c>
      <c r="DZ16" s="220">
        <f t="shared" ca="1" si="60"/>
        <v>0</v>
      </c>
      <c r="EA16" s="220">
        <f t="shared" si="61"/>
        <v>0</v>
      </c>
      <c r="EB16" s="221">
        <f t="shared" ca="1" si="62"/>
        <v>0</v>
      </c>
      <c r="EC16" s="116">
        <f t="shared" ca="1" si="63"/>
        <v>-4600</v>
      </c>
      <c r="ED16" s="116">
        <f t="shared" ca="1" si="64"/>
        <v>-4600</v>
      </c>
      <c r="EE16" s="222" t="str">
        <f t="shared" si="65"/>
        <v/>
      </c>
      <c r="EF16" s="116">
        <f t="shared" si="66"/>
        <v>-10</v>
      </c>
      <c r="EG16" s="223">
        <f ca="1">IF(ISERROR(VLOOKUP(_xludf.maxifs(DbyD!C:C,DbyD!B:B,C16,DbyD!F:F,"&lt;=" &amp; E16,DbyD!C:C,"&lt;"&amp;B16),DbyD!C:BE,MATCH(DbyD!$BB$9,DbyD!$9:$9,0)-2,FALSE)),0,VLOOKUP(_xludf.maxifs(DbyD!C:C,DbyD!B:B,C16,DbyD!F:F,"&lt;=" &amp; E16,DbyD!C:C,"&lt;"&amp;B16),DbyD!C:BE,MATCH(DbyD!$BB$9,DbyD!$9:$9,0)-2,FALSE))</f>
        <v>0</v>
      </c>
      <c r="EH16" s="116">
        <f>SUMIFS('1HistTrade'!$EM:$EM,'1HistTrade'!$D:$D,D16,'1HistTrade'!$B:$B,"&lt;"&amp;B16,'1HistTrade'!$DJ:$DJ,"&lt;&gt;"&amp;"CD/CW")*-1</f>
        <v>52389.792000000001</v>
      </c>
      <c r="EI16" s="116">
        <f t="shared" ca="1" si="67"/>
        <v>52389.792000000001</v>
      </c>
      <c r="EJ16" s="116">
        <f>SUMIFS('1HistTrade'!$EN:$EN,'1HistTrade'!$D:$D,D16,'1HistTrade'!$B:$B,"&lt;"&amp;B16)</f>
        <v>447610.20799999998</v>
      </c>
      <c r="EK16" s="224">
        <f>SUMIFS('1HistTrade'!$EU:$EU,'1HistTrade'!$D:$D,D16,'1HistTrade'!$B:$B,"&lt;"&amp;B16)</f>
        <v>0</v>
      </c>
      <c r="EL16" s="116"/>
      <c r="EM16" s="116">
        <f t="shared" ref="EM16:EN16" ca="1" si="101">EC16</f>
        <v>-4600</v>
      </c>
      <c r="EN16" s="116">
        <f t="shared" ca="1" si="101"/>
        <v>-4600</v>
      </c>
      <c r="EO16" s="224"/>
      <c r="EP16" s="116"/>
      <c r="EQ16" s="116">
        <f t="shared" ca="1" si="69"/>
        <v>-4600</v>
      </c>
      <c r="ER16" s="116">
        <f t="shared" ca="1" si="70"/>
        <v>56989.792000000001</v>
      </c>
      <c r="ES16" s="116">
        <f t="shared" ca="1" si="71"/>
        <v>52389.792000000001</v>
      </c>
      <c r="ET16" s="116">
        <f t="shared" ca="1" si="72"/>
        <v>443010.20799999998</v>
      </c>
      <c r="EU16" s="224">
        <f t="shared" ca="1" si="73"/>
        <v>0</v>
      </c>
      <c r="EV16" s="213">
        <f t="shared" ca="1" si="74"/>
        <v>0</v>
      </c>
      <c r="EX16" s="116">
        <f t="shared" ca="1" si="75"/>
        <v>-4600</v>
      </c>
      <c r="EY16" s="116">
        <f t="shared" ca="1" si="76"/>
        <v>56989.792000000001</v>
      </c>
      <c r="EZ16" s="116">
        <f t="shared" ca="1" si="77"/>
        <v>52389.792000000001</v>
      </c>
      <c r="FA16" s="116">
        <f t="shared" ca="1" si="78"/>
        <v>443010.20799999998</v>
      </c>
      <c r="FB16" s="116">
        <f t="shared" ca="1" si="79"/>
        <v>0</v>
      </c>
      <c r="FC16" s="189"/>
      <c r="FE16" s="31"/>
      <c r="FG16" s="31"/>
    </row>
    <row r="17" spans="1:163" ht="13">
      <c r="A17" s="10">
        <f>IF(E17&lt;=HistSecRecord!$E$1,1,0)</f>
        <v>1</v>
      </c>
      <c r="B17" s="190">
        <f>After1stCHK!B16</f>
        <v>44563000013</v>
      </c>
      <c r="C17" s="3" t="str">
        <f>After1stCHK!C16</f>
        <v>D0001</v>
      </c>
      <c r="D17" s="29" t="str">
        <f>After1stCHK!D16</f>
        <v>sABCD0001@hkmu.edu.hk</v>
      </c>
      <c r="E17" s="4">
        <f>After1stCHK!E16</f>
        <v>44563</v>
      </c>
      <c r="F17" s="105"/>
      <c r="G17" s="79" t="str">
        <f>After1stCHK!F16</f>
        <v>SELL (SHORT)</v>
      </c>
      <c r="H17" s="226" t="str">
        <f>After1stCHK!G16</f>
        <v>600519.SS</v>
      </c>
      <c r="I17" s="81" t="str">
        <f>After1stCHK!H16</f>
        <v>Stock</v>
      </c>
      <c r="J17" s="82">
        <f>After1stCHK!I16</f>
        <v>15</v>
      </c>
      <c r="K17" s="103">
        <f>After1stCHK!J16</f>
        <v>0</v>
      </c>
      <c r="L17" s="56">
        <f>After1stCHK!K16</f>
        <v>0</v>
      </c>
      <c r="M17" s="104">
        <f>After1stCHK!L16</f>
        <v>0</v>
      </c>
      <c r="N17" s="82">
        <f>After1stCHK!M16</f>
        <v>2050</v>
      </c>
      <c r="O17" s="82"/>
      <c r="P17" s="86"/>
      <c r="Q17" s="43"/>
      <c r="T17" s="87">
        <f t="shared" si="0"/>
        <v>44563</v>
      </c>
      <c r="U17" s="102"/>
      <c r="V17" s="81" t="str">
        <f>VLOOKUP($B17,After1stCHK!$B$3:$AO$87840,MATCH(V$4,After1stCHK!$B$3:$AO$3,0),FALSE)</f>
        <v>CNY</v>
      </c>
      <c r="W17" s="100" t="str">
        <f>VLOOKUP($B17,After1stCHK!$B$3:$AO$87840,MATCH(W$4,After1stCHK!$B$3:$AO$3,0),FALSE)</f>
        <v>600519.SS</v>
      </c>
      <c r="X17" s="82">
        <f>VLOOKUP($B17,After1stCHK!$B$3:$AO$87840,MATCH(X$4,After1stCHK!$B$3:$AO$3,0),FALSE)</f>
        <v>2001.01</v>
      </c>
      <c r="Y17" s="82">
        <f>VLOOKUP($B17,After1stCHK!$B$3:$AO$87840,MATCH(Y$4,After1stCHK!$B$3:$AO$3,0),FALSE)</f>
        <v>2010.82</v>
      </c>
      <c r="Z17" s="82">
        <f>VLOOKUP($B17,After1stCHK!$B$3:$AO$87840,MATCH(Z$4,After1stCHK!$B$3:$AO$3,0),FALSE)</f>
        <v>1952</v>
      </c>
      <c r="AA17" s="82">
        <f>VLOOKUP($B17,After1stCHK!$B$3:$AO$87840,MATCH(AA$4,After1stCHK!$B$3:$AO$3,0),FALSE)</f>
        <v>1955</v>
      </c>
      <c r="AB17" s="82">
        <f>VLOOKUP($B17,After1stCHK!$B$3:$AO$87840,MATCH(AB$4,After1stCHK!$B$3:$AO$3,0),FALSE)</f>
        <v>4266516</v>
      </c>
      <c r="AC17" s="103" t="str">
        <f>VLOOKUP($B17,After1stCHK!$B$3:$AO$87840,MATCH(AC$4,After1stCHK!$B$3:$AO$3,0),FALSE)</f>
        <v>(blank)</v>
      </c>
      <c r="AD17" s="103" t="str">
        <f>VLOOKUP($B17,After1stCHK!$B$3:$AO$87840,MATCH(AD$4,After1stCHK!$B$3:$AO$3,0),FALSE)</f>
        <v>(blank)</v>
      </c>
      <c r="AE17" s="103" t="str">
        <f>VLOOKUP($B17,After1stCHK!$B$3:$AO$87840,MATCH(AE$4,After1stCHK!$B$3:$AO$3,0),FALSE)</f>
        <v>(blank)</v>
      </c>
      <c r="AF17" s="103" t="str">
        <f>VLOOKUP($B17,After1stCHK!$B$3:$AO$87840,MATCH(AF$4,After1stCHK!$B$3:$AO$3,0),FALSE)</f>
        <v>(blank)</v>
      </c>
      <c r="AG17" s="103" t="str">
        <f>VLOOKUP($B17,After1stCHK!$B$3:$AO$87840,MATCH(AG$4,After1stCHK!$B$3:$AO$3,0),FALSE)</f>
        <v>(blank)</v>
      </c>
      <c r="AH17" s="103" t="str">
        <f>VLOOKUP($B17,After1stCHK!$B$3:$AO$87840,MATCH(AH$4,After1stCHK!$B$3:$AO$3,0),FALSE)</f>
        <v>(blank)</v>
      </c>
      <c r="AI17" s="103" t="str">
        <f>VLOOKUP($B17,After1stCHK!$B$3:$AO$87840,MATCH(AI$4,After1stCHK!$B$3:$AO$3,0),FALSE)</f>
        <v>(blank)</v>
      </c>
      <c r="AJ17" s="103" t="str">
        <f>VLOOKUP($B17,After1stCHK!$B$3:$AO$87840,MATCH(AJ$4,After1stCHK!$B$3:$AO$3,0),FALSE)</f>
        <v>(blank)</v>
      </c>
      <c r="AK17" s="103" t="str">
        <f>VLOOKUP($B17,After1stCHK!$B$3:$AO$87840,MATCH(AK$4,After1stCHK!$B$3:$AO$3,0),FALSE)</f>
        <v>(blank)</v>
      </c>
      <c r="AL17" s="56" t="str">
        <f>VLOOKUP($B17,After1stCHK!$B$3:$AO$87840,MATCH(AL$4,After1stCHK!$B$3:$AO$3,0),FALSE)</f>
        <v>(blank)</v>
      </c>
      <c r="AM17" s="56" t="str">
        <f>VLOOKUP($B17,After1stCHK!$B$3:$AO$87840,MATCH(AM$4,After1stCHK!$B$3:$AO$3,0),FALSE)</f>
        <v>(blank)</v>
      </c>
      <c r="AN17" s="56" t="str">
        <f>VLOOKUP($B17,After1stCHK!$B$3:$AO$87840,MATCH(AN$4,After1stCHK!$B$3:$AO$3,0),FALSE)</f>
        <v>(blank)</v>
      </c>
      <c r="AO17" s="56" t="str">
        <f>VLOOKUP($B17,After1stCHK!$B$3:$AO$87840,MATCH(AO$4,After1stCHK!$B$3:$AO$3,0),FALSE)</f>
        <v>(blank)</v>
      </c>
      <c r="AP17" s="56" t="str">
        <f>VLOOKUP($B17,After1stCHK!$B$3:$AO$87840,MATCH(AP$4,After1stCHK!$B$3:$AO$3,0),FALSE)</f>
        <v>(blank)</v>
      </c>
      <c r="AQ17" s="56" t="str">
        <f>VLOOKUP($B17,After1stCHK!$B$3:$AO$87840,MATCH(AQ$4,After1stCHK!$B$3:$AO$3,0),FALSE)</f>
        <v>(blank)</v>
      </c>
      <c r="AR17" s="56" t="str">
        <f>VLOOKUP($B17,After1stCHK!$B$3:$AO$87840,MATCH(AR$4,After1stCHK!$B$3:$AO$3,0),FALSE)</f>
        <v>(blank)</v>
      </c>
      <c r="AS17" s="56" t="str">
        <f>VLOOKUP($B17,After1stCHK!$B$3:$AO$87840,MATCH(AS$4,After1stCHK!$B$3:$AO$3,0),FALSE)</f>
        <v>(blank)</v>
      </c>
      <c r="AT17" s="56" t="str">
        <f>VLOOKUP($B17,After1stCHK!$B$3:$AO$87840,MATCH(AT$4,After1stCHK!$B$3:$AO$3,0),FALSE)</f>
        <v>(blank)</v>
      </c>
      <c r="AU17" s="104" t="str">
        <f>VLOOKUP($B17,After1stCHK!$B$3:$AO$87840,MATCH(AU$4,After1stCHK!$B$3:$AO$3,0),FALSE)</f>
        <v>(blank)</v>
      </c>
      <c r="AV17" s="225" t="str">
        <f t="shared" si="1"/>
        <v/>
      </c>
      <c r="AX17" s="90"/>
      <c r="AY17" s="91"/>
      <c r="AZ17" s="24"/>
      <c r="BA17" s="92"/>
      <c r="BB17" s="192"/>
      <c r="BC17" s="94"/>
      <c r="BD17" s="193">
        <f t="shared" si="2"/>
        <v>0</v>
      </c>
      <c r="BE17" s="193" t="str">
        <f t="shared" si="3"/>
        <v/>
      </c>
      <c r="BF17" s="193">
        <f t="shared" ca="1" si="4"/>
        <v>0</v>
      </c>
      <c r="BG17" s="194" t="e">
        <f t="shared" ca="1" si="5"/>
        <v>#VALUE!</v>
      </c>
      <c r="BH17" s="195">
        <f t="shared" si="6"/>
        <v>1</v>
      </c>
      <c r="BI17" s="195">
        <f t="shared" si="7"/>
        <v>-1</v>
      </c>
      <c r="BJ17" s="3">
        <f t="shared" si="8"/>
        <v>15</v>
      </c>
      <c r="BK17" s="3" t="str">
        <f t="shared" si="9"/>
        <v>CNY</v>
      </c>
      <c r="BL17" s="196">
        <f ca="1">IF(V17="HKD",1,OFFSET(FX!$A$5,MATCH(E17,FX!A:A,0)-ROW(FX!$A$5),MATCH(V17,FX!$A$5:$AM$5,0)-1,1,1))</f>
        <v>1.2268509999999999</v>
      </c>
      <c r="BM17" s="227" t="str">
        <f t="shared" si="10"/>
        <v>600519.SS</v>
      </c>
      <c r="BN17" s="198">
        <f t="shared" si="11"/>
        <v>2050</v>
      </c>
      <c r="BO17" s="199"/>
      <c r="BP17" s="200">
        <f t="shared" si="12"/>
        <v>2050</v>
      </c>
      <c r="BQ17" s="201">
        <f t="shared" si="13"/>
        <v>-15</v>
      </c>
      <c r="BR17" s="202">
        <f t="shared" si="14"/>
        <v>-30750</v>
      </c>
      <c r="BS17" s="203">
        <f t="shared" ca="1" si="15"/>
        <v>-37725.668249999995</v>
      </c>
      <c r="BT17" s="204"/>
      <c r="BU17" s="199">
        <f t="shared" si="16"/>
        <v>0</v>
      </c>
      <c r="BV17" s="201">
        <f t="shared" si="17"/>
        <v>0</v>
      </c>
      <c r="BW17" s="202">
        <f t="shared" si="18"/>
        <v>0</v>
      </c>
      <c r="BX17" s="203">
        <f t="shared" ca="1" si="19"/>
        <v>0</v>
      </c>
      <c r="BY17" s="204"/>
      <c r="BZ17" s="198">
        <f t="shared" si="20"/>
        <v>0</v>
      </c>
      <c r="CA17" s="199"/>
      <c r="CB17" s="200">
        <f t="shared" si="21"/>
        <v>0</v>
      </c>
      <c r="CC17" s="201">
        <f t="shared" si="22"/>
        <v>0</v>
      </c>
      <c r="CD17" s="202">
        <f t="shared" si="23"/>
        <v>0</v>
      </c>
      <c r="CE17" s="203">
        <f t="shared" ca="1" si="24"/>
        <v>0</v>
      </c>
      <c r="CF17" s="204"/>
      <c r="CG17" s="205">
        <f t="shared" si="25"/>
        <v>0</v>
      </c>
      <c r="CH17" s="206">
        <f t="shared" si="26"/>
        <v>0</v>
      </c>
      <c r="CI17" s="207">
        <f t="shared" si="27"/>
        <v>0</v>
      </c>
      <c r="CJ17" s="203">
        <f t="shared" ca="1" si="28"/>
        <v>0</v>
      </c>
      <c r="CK17" s="204"/>
      <c r="CL17" s="208">
        <f t="shared" ca="1" si="29"/>
        <v>37725.668249999995</v>
      </c>
      <c r="CM17" s="209" t="str">
        <f t="shared" si="30"/>
        <v/>
      </c>
      <c r="CN17" s="228" t="str">
        <f t="shared" si="31"/>
        <v>600519.SS</v>
      </c>
      <c r="CO17" s="153">
        <f t="shared" si="32"/>
        <v>44563</v>
      </c>
      <c r="CP17" s="211">
        <f t="shared" ref="CP17:CQ17" si="102">AZ17</f>
        <v>0</v>
      </c>
      <c r="CQ17" s="212">
        <f t="shared" si="102"/>
        <v>0</v>
      </c>
      <c r="CR17" s="213">
        <f t="shared" si="34"/>
        <v>0</v>
      </c>
      <c r="CS17" s="213">
        <f t="shared" si="35"/>
        <v>0</v>
      </c>
      <c r="CT17" s="214">
        <f>SUMIFS('1HistTrade'!DF:DF,'1HistTrade'!$D:$D,$D17,'1HistTrade'!$BM:$BM,$BM17,'1HistTrade'!$B:$B,"&lt;"&amp;$B17)</f>
        <v>0</v>
      </c>
      <c r="CU17" s="215">
        <f>SUMIFS('1HistTrade'!DG:DG,'1HistTrade'!$D:$D,$D17,'1HistTrade'!$BM:$BM,$BM17,'1HistTrade'!$B:$B,"&lt;"&amp;$B17)</f>
        <v>0</v>
      </c>
      <c r="CV17" s="215">
        <f>SUMIFS('1HistTrade'!DH:DH,'1HistTrade'!$D:$D,$D17,'1HistTrade'!$BM:$BM,$BM17,'1HistTrade'!$B:$B,"&lt;"&amp;$B17)</f>
        <v>0</v>
      </c>
      <c r="CW17" s="215">
        <f>SUMIFS('1HistTrade'!DI:DI,'1HistTrade'!$D:$D,$D17,'1HistTrade'!$BM:$BM,$BM17,'1HistTrade'!$B:$B,"&lt;"&amp;$B17)</f>
        <v>0</v>
      </c>
      <c r="CX17" s="216">
        <f t="shared" si="36"/>
        <v>-15</v>
      </c>
      <c r="CY17" s="216">
        <f t="shared" si="37"/>
        <v>0</v>
      </c>
      <c r="CZ17" s="216">
        <f t="shared" si="38"/>
        <v>0</v>
      </c>
      <c r="DA17" s="216">
        <f t="shared" ca="1" si="39"/>
        <v>0</v>
      </c>
      <c r="DB17" s="21" t="str">
        <f t="shared" si="40"/>
        <v>SS</v>
      </c>
      <c r="DC17" s="21" t="str">
        <f t="shared" si="41"/>
        <v/>
      </c>
      <c r="DD17" s="21" t="str">
        <f t="shared" si="42"/>
        <v/>
      </c>
      <c r="DE17" s="21" t="str">
        <f t="shared" ca="1" si="43"/>
        <v/>
      </c>
      <c r="DF17" s="215">
        <f t="shared" si="44"/>
        <v>-15</v>
      </c>
      <c r="DG17" s="215">
        <f t="shared" si="45"/>
        <v>0</v>
      </c>
      <c r="DH17" s="215">
        <f t="shared" si="46"/>
        <v>0</v>
      </c>
      <c r="DI17" s="215">
        <f t="shared" ca="1" si="47"/>
        <v>0</v>
      </c>
      <c r="DJ17" s="215" t="str">
        <f t="shared" si="48"/>
        <v>SS</v>
      </c>
      <c r="DK17" s="116"/>
      <c r="DL17" s="116">
        <f t="shared" ca="1" si="49"/>
        <v>2515.0445499999996</v>
      </c>
      <c r="DM17" s="116">
        <f t="shared" ca="1" si="50"/>
        <v>-37725.668249999995</v>
      </c>
      <c r="DN17" s="116">
        <f t="shared" ca="1" si="51"/>
        <v>-37725.668249999995</v>
      </c>
      <c r="DO17" s="217">
        <f t="shared" ca="1" si="52"/>
        <v>0</v>
      </c>
      <c r="DP17" s="217">
        <f t="shared" ca="1" si="53"/>
        <v>-37725.668249999995</v>
      </c>
      <c r="DQ17" s="116">
        <f>IF($DT$1="Delete",0,IF(OR(DG17="",DG17=0),0,SUMIFS('1HistTrade'!$ED:$ED,'1HistTrade'!$D:$D,D17,'1HistTrade'!$H:$H,H17,'1HistTrade'!$B:$B,"&lt;"&amp;B17)))</f>
        <v>0</v>
      </c>
      <c r="DR17" s="116">
        <f t="shared" ca="1" si="54"/>
        <v>0</v>
      </c>
      <c r="DS17" s="116">
        <f t="shared" ca="1" si="55"/>
        <v>0</v>
      </c>
      <c r="DT17" s="116">
        <f>IF($DT$1="Delete",0,IF(OR(DI17="",DI17=0),0,SUMIFS('1HistTrade'!$ED:$ED,'1HistTrade'!$D:$D,D17,'1HistTrade'!$H:$H,H17,'1HistTrade'!$B:$B,"&lt;"&amp;B17)))</f>
        <v>0</v>
      </c>
      <c r="DU17" s="116">
        <f t="shared" ca="1" si="56"/>
        <v>0</v>
      </c>
      <c r="DV17" s="116">
        <f t="shared" ca="1" si="57"/>
        <v>0</v>
      </c>
      <c r="DW17" s="218">
        <f t="shared" si="58"/>
        <v>0</v>
      </c>
      <c r="DX17" s="219"/>
      <c r="DY17" s="219">
        <f t="shared" si="59"/>
        <v>0</v>
      </c>
      <c r="DZ17" s="220">
        <f t="shared" ca="1" si="60"/>
        <v>0</v>
      </c>
      <c r="EA17" s="220">
        <f t="shared" si="61"/>
        <v>0</v>
      </c>
      <c r="EB17" s="221">
        <f t="shared" ca="1" si="62"/>
        <v>0</v>
      </c>
      <c r="EC17" s="116">
        <f t="shared" ca="1" si="63"/>
        <v>37725.668249999995</v>
      </c>
      <c r="ED17" s="116">
        <f t="shared" ca="1" si="64"/>
        <v>-37725.668249999995</v>
      </c>
      <c r="EE17" s="222" t="str">
        <f t="shared" si="65"/>
        <v/>
      </c>
      <c r="EF17" s="116">
        <f t="shared" si="66"/>
        <v>-15</v>
      </c>
      <c r="EG17" s="223">
        <f ca="1">IF(ISERROR(VLOOKUP(_xludf.maxifs(DbyD!C:C,DbyD!B:B,C17,DbyD!F:F,"&lt;=" &amp; E17,DbyD!C:C,"&lt;"&amp;B17),DbyD!C:BE,MATCH(DbyD!$BB$9,DbyD!$9:$9,0)-2,FALSE)),0,VLOOKUP(_xludf.maxifs(DbyD!C:C,DbyD!B:B,C17,DbyD!F:F,"&lt;=" &amp; E17,DbyD!C:C,"&lt;"&amp;B17),DbyD!C:BE,MATCH(DbyD!$BB$9,DbyD!$9:$9,0)-2,FALSE))</f>
        <v>0</v>
      </c>
      <c r="EH17" s="116">
        <f>SUMIFS('1HistTrade'!$EM:$EM,'1HistTrade'!$D:$D,D17,'1HistTrade'!$B:$B,"&lt;"&amp;B17,'1HistTrade'!$DJ:$DJ,"&lt;&gt;"&amp;"CD/CW")*-1</f>
        <v>56989.792000000001</v>
      </c>
      <c r="EI17" s="116">
        <f t="shared" ca="1" si="67"/>
        <v>56989.792000000001</v>
      </c>
      <c r="EJ17" s="116">
        <f>SUMIFS('1HistTrade'!$EN:$EN,'1HistTrade'!$D:$D,D17,'1HistTrade'!$B:$B,"&lt;"&amp;B17)</f>
        <v>443010.20799999998</v>
      </c>
      <c r="EK17" s="224">
        <f>SUMIFS('1HistTrade'!$EU:$EU,'1HistTrade'!$D:$D,D17,'1HistTrade'!$B:$B,"&lt;"&amp;B17)</f>
        <v>0</v>
      </c>
      <c r="EL17" s="116"/>
      <c r="EM17" s="116">
        <f t="shared" ref="EM17:EN17" ca="1" si="103">EC17</f>
        <v>37725.668249999995</v>
      </c>
      <c r="EN17" s="116">
        <f t="shared" ca="1" si="103"/>
        <v>-37725.668249999995</v>
      </c>
      <c r="EO17" s="224"/>
      <c r="EP17" s="116"/>
      <c r="EQ17" s="116">
        <f t="shared" ca="1" si="69"/>
        <v>37725.668249999995</v>
      </c>
      <c r="ER17" s="116">
        <f t="shared" ca="1" si="70"/>
        <v>19264.123750000006</v>
      </c>
      <c r="ES17" s="116">
        <f t="shared" ca="1" si="71"/>
        <v>56989.792000000001</v>
      </c>
      <c r="ET17" s="116">
        <f t="shared" ca="1" si="72"/>
        <v>405284.53975</v>
      </c>
      <c r="EU17" s="224">
        <f t="shared" ca="1" si="73"/>
        <v>0</v>
      </c>
      <c r="EV17" s="213">
        <f t="shared" ca="1" si="74"/>
        <v>0</v>
      </c>
      <c r="EX17" s="116">
        <f t="shared" ca="1" si="75"/>
        <v>37725.668249999995</v>
      </c>
      <c r="EY17" s="116">
        <f t="shared" ca="1" si="76"/>
        <v>19264.123750000006</v>
      </c>
      <c r="EZ17" s="116">
        <f t="shared" ca="1" si="77"/>
        <v>56989.792000000001</v>
      </c>
      <c r="FA17" s="116">
        <f t="shared" ca="1" si="78"/>
        <v>405284.53975</v>
      </c>
      <c r="FB17" s="116">
        <f t="shared" ca="1" si="79"/>
        <v>0</v>
      </c>
      <c r="FC17" s="189"/>
      <c r="FE17" s="31"/>
      <c r="FG17" s="31"/>
    </row>
    <row r="18" spans="1:163" ht="13">
      <c r="A18" s="10">
        <f>IF(E18&lt;=HistSecRecord!$E$1,1,0)</f>
        <v>1</v>
      </c>
      <c r="B18" s="190">
        <f>After1stCHK!B17</f>
        <v>44563000014</v>
      </c>
      <c r="C18" s="3" t="str">
        <f>After1stCHK!C17</f>
        <v>D0001</v>
      </c>
      <c r="D18" s="29" t="str">
        <f>After1stCHK!D17</f>
        <v>sABCD0001@hkmu.edu.hk</v>
      </c>
      <c r="E18" s="4">
        <f>After1stCHK!E17</f>
        <v>44563</v>
      </c>
      <c r="F18" s="105"/>
      <c r="G18" s="79" t="str">
        <f>After1stCHK!F17</f>
        <v>BUY (LONG)</v>
      </c>
      <c r="H18" s="226" t="str">
        <f>After1stCHK!G17</f>
        <v>MC.PA</v>
      </c>
      <c r="I18" s="81" t="str">
        <f>After1stCHK!H17</f>
        <v>Stock</v>
      </c>
      <c r="J18" s="82">
        <f>After1stCHK!I17</f>
        <v>10</v>
      </c>
      <c r="K18" s="103">
        <f>After1stCHK!J17</f>
        <v>0</v>
      </c>
      <c r="L18" s="56">
        <f>After1stCHK!K17</f>
        <v>0</v>
      </c>
      <c r="M18" s="104">
        <f>After1stCHK!L17</f>
        <v>0</v>
      </c>
      <c r="N18" s="82">
        <f>After1stCHK!M17</f>
        <v>730</v>
      </c>
      <c r="O18" s="82"/>
      <c r="P18" s="86"/>
      <c r="Q18" s="43" t="s">
        <v>154</v>
      </c>
      <c r="T18" s="87">
        <f t="shared" si="0"/>
        <v>44563</v>
      </c>
      <c r="U18" s="102"/>
      <c r="V18" s="81" t="str">
        <f>VLOOKUP($B18,After1stCHK!$B$3:$AO$87840,MATCH(V$4,After1stCHK!$B$3:$AO$3,0),FALSE)</f>
        <v>EUR</v>
      </c>
      <c r="W18" s="100" t="str">
        <f>VLOOKUP($B18,After1stCHK!$B$3:$AO$87840,MATCH(W$4,After1stCHK!$B$3:$AO$3,0),FALSE)</f>
        <v>MC.PA</v>
      </c>
      <c r="X18" s="82">
        <f>VLOOKUP($B18,After1stCHK!$B$3:$AO$87840,MATCH(X$4,After1stCHK!$B$3:$AO$3,0),FALSE)</f>
        <v>673.7</v>
      </c>
      <c r="Y18" s="82">
        <f>VLOOKUP($B18,After1stCHK!$B$3:$AO$87840,MATCH(Y$4,After1stCHK!$B$3:$AO$3,0),FALSE)</f>
        <v>687.9</v>
      </c>
      <c r="Z18" s="82">
        <f>VLOOKUP($B18,After1stCHK!$B$3:$AO$87840,MATCH(Z$4,After1stCHK!$B$3:$AO$3,0),FALSE)</f>
        <v>671.7</v>
      </c>
      <c r="AA18" s="82">
        <f>VLOOKUP($B18,After1stCHK!$B$3:$AO$87840,MATCH(AA$4,After1stCHK!$B$3:$AO$3,0),FALSE)</f>
        <v>667</v>
      </c>
      <c r="AB18" s="82">
        <f>VLOOKUP($B18,After1stCHK!$B$3:$AO$87840,MATCH(AB$4,After1stCHK!$B$3:$AO$3,0),FALSE)</f>
        <v>439855</v>
      </c>
      <c r="AC18" s="103" t="str">
        <f>VLOOKUP($B18,After1stCHK!$B$3:$AO$87840,MATCH(AC$4,After1stCHK!$B$3:$AO$3,0),FALSE)</f>
        <v>(blank)</v>
      </c>
      <c r="AD18" s="103" t="str">
        <f>VLOOKUP($B18,After1stCHK!$B$3:$AO$87840,MATCH(AD$4,After1stCHK!$B$3:$AO$3,0),FALSE)</f>
        <v>(blank)</v>
      </c>
      <c r="AE18" s="103" t="str">
        <f>VLOOKUP($B18,After1stCHK!$B$3:$AO$87840,MATCH(AE$4,After1stCHK!$B$3:$AO$3,0),FALSE)</f>
        <v>(blank)</v>
      </c>
      <c r="AF18" s="103" t="str">
        <f>VLOOKUP($B18,After1stCHK!$B$3:$AO$87840,MATCH(AF$4,After1stCHK!$B$3:$AO$3,0),FALSE)</f>
        <v>(blank)</v>
      </c>
      <c r="AG18" s="103" t="str">
        <f>VLOOKUP($B18,After1stCHK!$B$3:$AO$87840,MATCH(AG$4,After1stCHK!$B$3:$AO$3,0),FALSE)</f>
        <v>(blank)</v>
      </c>
      <c r="AH18" s="103" t="str">
        <f>VLOOKUP($B18,After1stCHK!$B$3:$AO$87840,MATCH(AH$4,After1stCHK!$B$3:$AO$3,0),FALSE)</f>
        <v>(blank)</v>
      </c>
      <c r="AI18" s="103" t="str">
        <f>VLOOKUP($B18,After1stCHK!$B$3:$AO$87840,MATCH(AI$4,After1stCHK!$B$3:$AO$3,0),FALSE)</f>
        <v>(blank)</v>
      </c>
      <c r="AJ18" s="103" t="str">
        <f>VLOOKUP($B18,After1stCHK!$B$3:$AO$87840,MATCH(AJ$4,After1stCHK!$B$3:$AO$3,0),FALSE)</f>
        <v>(blank)</v>
      </c>
      <c r="AK18" s="103" t="str">
        <f>VLOOKUP($B18,After1stCHK!$B$3:$AO$87840,MATCH(AK$4,After1stCHK!$B$3:$AO$3,0),FALSE)</f>
        <v>(blank)</v>
      </c>
      <c r="AL18" s="56" t="str">
        <f>VLOOKUP($B18,After1stCHK!$B$3:$AO$87840,MATCH(AL$4,After1stCHK!$B$3:$AO$3,0),FALSE)</f>
        <v>(blank)</v>
      </c>
      <c r="AM18" s="56" t="str">
        <f>VLOOKUP($B18,After1stCHK!$B$3:$AO$87840,MATCH(AM$4,After1stCHK!$B$3:$AO$3,0),FALSE)</f>
        <v>(blank)</v>
      </c>
      <c r="AN18" s="56" t="str">
        <f>VLOOKUP($B18,After1stCHK!$B$3:$AO$87840,MATCH(AN$4,After1stCHK!$B$3:$AO$3,0),FALSE)</f>
        <v>(blank)</v>
      </c>
      <c r="AO18" s="56" t="str">
        <f>VLOOKUP($B18,After1stCHK!$B$3:$AO$87840,MATCH(AO$4,After1stCHK!$B$3:$AO$3,0),FALSE)</f>
        <v>(blank)</v>
      </c>
      <c r="AP18" s="56" t="str">
        <f>VLOOKUP($B18,After1stCHK!$B$3:$AO$87840,MATCH(AP$4,After1stCHK!$B$3:$AO$3,0),FALSE)</f>
        <v>(blank)</v>
      </c>
      <c r="AQ18" s="56" t="str">
        <f>VLOOKUP($B18,After1stCHK!$B$3:$AO$87840,MATCH(AQ$4,After1stCHK!$B$3:$AO$3,0),FALSE)</f>
        <v>(blank)</v>
      </c>
      <c r="AR18" s="56" t="str">
        <f>VLOOKUP($B18,After1stCHK!$B$3:$AO$87840,MATCH(AR$4,After1stCHK!$B$3:$AO$3,0),FALSE)</f>
        <v>(blank)</v>
      </c>
      <c r="AS18" s="56" t="str">
        <f>VLOOKUP($B18,After1stCHK!$B$3:$AO$87840,MATCH(AS$4,After1stCHK!$B$3:$AO$3,0),FALSE)</f>
        <v>(blank)</v>
      </c>
      <c r="AT18" s="56" t="str">
        <f>VLOOKUP($B18,After1stCHK!$B$3:$AO$87840,MATCH(AT$4,After1stCHK!$B$3:$AO$3,0),FALSE)</f>
        <v>(blank)</v>
      </c>
      <c r="AU18" s="104" t="str">
        <f>VLOOKUP($B18,After1stCHK!$B$3:$AO$87840,MATCH(AU$4,After1stCHK!$B$3:$AO$3,0),FALSE)</f>
        <v>(blank)</v>
      </c>
      <c r="AV18" s="225" t="str">
        <f t="shared" si="1"/>
        <v/>
      </c>
      <c r="AX18" s="90"/>
      <c r="AY18" s="91"/>
      <c r="AZ18" s="24"/>
      <c r="BA18" s="92"/>
      <c r="BB18" s="192"/>
      <c r="BC18" s="94"/>
      <c r="BD18" s="193">
        <f t="shared" si="2"/>
        <v>0</v>
      </c>
      <c r="BE18" s="193" t="str">
        <f t="shared" si="3"/>
        <v/>
      </c>
      <c r="BF18" s="193">
        <f t="shared" ca="1" si="4"/>
        <v>0</v>
      </c>
      <c r="BG18" s="194" t="e">
        <f t="shared" ca="1" si="5"/>
        <v>#VALUE!</v>
      </c>
      <c r="BH18" s="195">
        <f t="shared" si="6"/>
        <v>1</v>
      </c>
      <c r="BI18" s="195">
        <f t="shared" si="7"/>
        <v>1</v>
      </c>
      <c r="BJ18" s="54">
        <f t="shared" si="8"/>
        <v>10</v>
      </c>
      <c r="BK18" s="3" t="str">
        <f t="shared" si="9"/>
        <v>EUR</v>
      </c>
      <c r="BL18" s="196">
        <f ca="1">IF(V18="HKD",1,OFFSET(FX!$A$5,MATCH(E18,FX!A:A,0)-ROW(FX!$A$5),MATCH(V18,FX!$A$5:$AM$5,0)-1,1,1))</f>
        <v>8.8663299999999996</v>
      </c>
      <c r="BM18" s="227" t="str">
        <f t="shared" si="10"/>
        <v>MC.PA</v>
      </c>
      <c r="BN18" s="198">
        <f t="shared" si="11"/>
        <v>730</v>
      </c>
      <c r="BO18" s="199"/>
      <c r="BP18" s="200">
        <f t="shared" si="12"/>
        <v>730</v>
      </c>
      <c r="BQ18" s="201">
        <f t="shared" si="13"/>
        <v>10</v>
      </c>
      <c r="BR18" s="202">
        <f t="shared" si="14"/>
        <v>7300</v>
      </c>
      <c r="BS18" s="203">
        <f t="shared" ca="1" si="15"/>
        <v>64724.208999999995</v>
      </c>
      <c r="BT18" s="204"/>
      <c r="BU18" s="199">
        <f t="shared" si="16"/>
        <v>0</v>
      </c>
      <c r="BV18" s="201">
        <f t="shared" si="17"/>
        <v>0</v>
      </c>
      <c r="BW18" s="202">
        <f t="shared" si="18"/>
        <v>0</v>
      </c>
      <c r="BX18" s="203">
        <f t="shared" ca="1" si="19"/>
        <v>0</v>
      </c>
      <c r="BY18" s="204"/>
      <c r="BZ18" s="198">
        <f t="shared" si="20"/>
        <v>0</v>
      </c>
      <c r="CA18" s="199"/>
      <c r="CB18" s="200">
        <f t="shared" si="21"/>
        <v>0</v>
      </c>
      <c r="CC18" s="201">
        <f t="shared" si="22"/>
        <v>0</v>
      </c>
      <c r="CD18" s="202">
        <f t="shared" si="23"/>
        <v>0</v>
      </c>
      <c r="CE18" s="203">
        <f t="shared" ca="1" si="24"/>
        <v>0</v>
      </c>
      <c r="CF18" s="204"/>
      <c r="CG18" s="205">
        <f t="shared" si="25"/>
        <v>0</v>
      </c>
      <c r="CH18" s="206">
        <f t="shared" si="26"/>
        <v>0</v>
      </c>
      <c r="CI18" s="207">
        <f t="shared" si="27"/>
        <v>0</v>
      </c>
      <c r="CJ18" s="203">
        <f t="shared" ca="1" si="28"/>
        <v>0</v>
      </c>
      <c r="CK18" s="204"/>
      <c r="CL18" s="208">
        <f t="shared" ca="1" si="29"/>
        <v>-64724.208999999995</v>
      </c>
      <c r="CM18" s="209" t="str">
        <f t="shared" si="30"/>
        <v/>
      </c>
      <c r="CN18" s="228" t="str">
        <f t="shared" si="31"/>
        <v>MC.PA</v>
      </c>
      <c r="CO18" s="153">
        <f t="shared" si="32"/>
        <v>44563</v>
      </c>
      <c r="CP18" s="211">
        <f t="shared" ref="CP18:CQ18" si="104">AZ18</f>
        <v>0</v>
      </c>
      <c r="CQ18" s="212">
        <f t="shared" si="104"/>
        <v>0</v>
      </c>
      <c r="CR18" s="213">
        <f t="shared" si="34"/>
        <v>0</v>
      </c>
      <c r="CS18" s="213">
        <f t="shared" si="35"/>
        <v>0</v>
      </c>
      <c r="CT18" s="214">
        <f>SUMIFS('1HistTrade'!DF:DF,'1HistTrade'!$D:$D,$D18,'1HistTrade'!$BM:$BM,$BM18,'1HistTrade'!$B:$B,"&lt;"&amp;$B18)</f>
        <v>0</v>
      </c>
      <c r="CU18" s="215">
        <f>SUMIFS('1HistTrade'!DG:DG,'1HistTrade'!$D:$D,$D18,'1HistTrade'!$BM:$BM,$BM18,'1HistTrade'!$B:$B,"&lt;"&amp;$B18)</f>
        <v>0</v>
      </c>
      <c r="CV18" s="215">
        <f>SUMIFS('1HistTrade'!DH:DH,'1HistTrade'!$D:$D,$D18,'1HistTrade'!$BM:$BM,$BM18,'1HistTrade'!$B:$B,"&lt;"&amp;$B18)</f>
        <v>0</v>
      </c>
      <c r="CW18" s="215">
        <f>SUMIFS('1HistTrade'!DI:DI,'1HistTrade'!$D:$D,$D18,'1HistTrade'!$BM:$BM,$BM18,'1HistTrade'!$B:$B,"&lt;"&amp;$B18)</f>
        <v>0</v>
      </c>
      <c r="CX18" s="216">
        <f t="shared" si="36"/>
        <v>10</v>
      </c>
      <c r="CY18" s="216">
        <f t="shared" si="37"/>
        <v>0</v>
      </c>
      <c r="CZ18" s="216">
        <f t="shared" si="38"/>
        <v>0</v>
      </c>
      <c r="DA18" s="216">
        <f t="shared" ca="1" si="39"/>
        <v>0</v>
      </c>
      <c r="DB18" s="21" t="str">
        <f t="shared" si="40"/>
        <v>B</v>
      </c>
      <c r="DC18" s="21" t="str">
        <f t="shared" si="41"/>
        <v/>
      </c>
      <c r="DD18" s="21" t="str">
        <f t="shared" si="42"/>
        <v/>
      </c>
      <c r="DE18" s="21" t="str">
        <f t="shared" ca="1" si="43"/>
        <v/>
      </c>
      <c r="DF18" s="215">
        <f t="shared" si="44"/>
        <v>10</v>
      </c>
      <c r="DG18" s="215">
        <f t="shared" si="45"/>
        <v>0</v>
      </c>
      <c r="DH18" s="215">
        <f t="shared" si="46"/>
        <v>0</v>
      </c>
      <c r="DI18" s="215">
        <f t="shared" ca="1" si="47"/>
        <v>0</v>
      </c>
      <c r="DJ18" s="215" t="str">
        <f t="shared" si="48"/>
        <v>B</v>
      </c>
      <c r="DK18" s="116"/>
      <c r="DL18" s="116">
        <f t="shared" ca="1" si="49"/>
        <v>6472.4209000000001</v>
      </c>
      <c r="DM18" s="116">
        <f t="shared" ca="1" si="50"/>
        <v>64724.209000000003</v>
      </c>
      <c r="DN18" s="116">
        <f t="shared" ca="1" si="51"/>
        <v>-64724.208999999995</v>
      </c>
      <c r="DO18" s="217">
        <f t="shared" ca="1" si="52"/>
        <v>64724.209000000003</v>
      </c>
      <c r="DP18" s="217">
        <f t="shared" ca="1" si="53"/>
        <v>0</v>
      </c>
      <c r="DQ18" s="116">
        <f>IF($DT$1="Delete",0,IF(OR(DG18="",DG18=0),0,SUMIFS('1HistTrade'!$ED:$ED,'1HistTrade'!$D:$D,D18,'1HistTrade'!$H:$H,H18,'1HistTrade'!$B:$B,"&lt;"&amp;B18)))</f>
        <v>0</v>
      </c>
      <c r="DR18" s="116">
        <f t="shared" ca="1" si="54"/>
        <v>0</v>
      </c>
      <c r="DS18" s="116">
        <f t="shared" ca="1" si="55"/>
        <v>0</v>
      </c>
      <c r="DT18" s="116">
        <f>IF($DT$1="Delete",0,IF(OR(DI18="",DI18=0),0,SUMIFS('1HistTrade'!$ED:$ED,'1HistTrade'!$D:$D,D18,'1HistTrade'!$H:$H,H18,'1HistTrade'!$B:$B,"&lt;"&amp;B18)))</f>
        <v>0</v>
      </c>
      <c r="DU18" s="116">
        <f t="shared" ca="1" si="56"/>
        <v>0</v>
      </c>
      <c r="DV18" s="116">
        <f t="shared" ca="1" si="57"/>
        <v>0</v>
      </c>
      <c r="DW18" s="218">
        <f t="shared" si="58"/>
        <v>0</v>
      </c>
      <c r="DX18" s="219"/>
      <c r="DY18" s="219">
        <f t="shared" si="59"/>
        <v>0</v>
      </c>
      <c r="DZ18" s="220">
        <f t="shared" ca="1" si="60"/>
        <v>0</v>
      </c>
      <c r="EA18" s="220">
        <f t="shared" si="61"/>
        <v>0</v>
      </c>
      <c r="EB18" s="221">
        <f t="shared" ca="1" si="62"/>
        <v>0</v>
      </c>
      <c r="EC18" s="116">
        <f t="shared" ca="1" si="63"/>
        <v>-64724.209000000003</v>
      </c>
      <c r="ED18" s="116">
        <f t="shared" ca="1" si="64"/>
        <v>-64724.208999999995</v>
      </c>
      <c r="EE18" s="222" t="str">
        <f t="shared" si="65"/>
        <v/>
      </c>
      <c r="EF18" s="116">
        <f t="shared" si="66"/>
        <v>-10</v>
      </c>
      <c r="EG18" s="223">
        <f ca="1">IF(ISERROR(VLOOKUP(_xludf.maxifs(DbyD!C:C,DbyD!B:B,C18,DbyD!F:F,"&lt;=" &amp; E18,DbyD!C:C,"&lt;"&amp;B18),DbyD!C:BE,MATCH(DbyD!$BB$9,DbyD!$9:$9,0)-2,FALSE)),0,VLOOKUP(_xludf.maxifs(DbyD!C:C,DbyD!B:B,C18,DbyD!F:F,"&lt;=" &amp; E18,DbyD!C:C,"&lt;"&amp;B18),DbyD!C:BE,MATCH(DbyD!$BB$9,DbyD!$9:$9,0)-2,FALSE))</f>
        <v>0</v>
      </c>
      <c r="EH18" s="116">
        <f>SUMIFS('1HistTrade'!$EM:$EM,'1HistTrade'!$D:$D,D18,'1HistTrade'!$B:$B,"&lt;"&amp;B18,'1HistTrade'!$DJ:$DJ,"&lt;&gt;"&amp;"CD/CW")*-1</f>
        <v>19264.123750000006</v>
      </c>
      <c r="EI18" s="116">
        <f t="shared" ca="1" si="67"/>
        <v>19264.123750000006</v>
      </c>
      <c r="EJ18" s="116">
        <f>SUMIFS('1HistTrade'!$EN:$EN,'1HistTrade'!$D:$D,D18,'1HistTrade'!$B:$B,"&lt;"&amp;B18)</f>
        <v>405284.53975</v>
      </c>
      <c r="EK18" s="224">
        <f>SUMIFS('1HistTrade'!$EU:$EU,'1HistTrade'!$D:$D,D18,'1HistTrade'!$B:$B,"&lt;"&amp;B18)</f>
        <v>0</v>
      </c>
      <c r="EL18" s="116"/>
      <c r="EM18" s="116">
        <f t="shared" ref="EM18:EN18" ca="1" si="105">EC18</f>
        <v>-64724.209000000003</v>
      </c>
      <c r="EN18" s="116">
        <f t="shared" ca="1" si="105"/>
        <v>-64724.208999999995</v>
      </c>
      <c r="EO18" s="224"/>
      <c r="EP18" s="116"/>
      <c r="EQ18" s="116">
        <f t="shared" ca="1" si="69"/>
        <v>-64724.209000000003</v>
      </c>
      <c r="ER18" s="116">
        <f t="shared" ca="1" si="70"/>
        <v>83988.332750000001</v>
      </c>
      <c r="ES18" s="116">
        <f t="shared" ca="1" si="71"/>
        <v>19264.123749999999</v>
      </c>
      <c r="ET18" s="116">
        <f t="shared" ca="1" si="72"/>
        <v>340560.33075000002</v>
      </c>
      <c r="EU18" s="224">
        <f t="shared" ca="1" si="73"/>
        <v>0</v>
      </c>
      <c r="EV18" s="213">
        <f t="shared" ca="1" si="74"/>
        <v>0</v>
      </c>
      <c r="EX18" s="116">
        <f t="shared" ca="1" si="75"/>
        <v>-64724.209000000003</v>
      </c>
      <c r="EY18" s="116">
        <f t="shared" ca="1" si="76"/>
        <v>83988.332750000001</v>
      </c>
      <c r="EZ18" s="116">
        <f t="shared" ca="1" si="77"/>
        <v>19264.123749999999</v>
      </c>
      <c r="FA18" s="116">
        <f t="shared" ca="1" si="78"/>
        <v>340560.33075000002</v>
      </c>
      <c r="FB18" s="116">
        <f t="shared" ca="1" si="79"/>
        <v>0</v>
      </c>
      <c r="FC18" s="189"/>
      <c r="FE18" s="31"/>
      <c r="FG18" s="31"/>
    </row>
    <row r="19" spans="1:163" ht="13">
      <c r="A19" s="10">
        <f>IF(E19&lt;=HistSecRecord!$E$1,1,0)</f>
        <v>1</v>
      </c>
      <c r="B19" s="190">
        <f>After1stCHK!B18</f>
        <v>44563000025</v>
      </c>
      <c r="C19" s="3" t="str">
        <f>After1stCHK!C18</f>
        <v>D0002</v>
      </c>
      <c r="D19" s="29" t="str">
        <f>After1stCHK!D18</f>
        <v>sABCD0002@hkmu.edu.hk</v>
      </c>
      <c r="E19" s="4">
        <f>After1stCHK!E18</f>
        <v>44563</v>
      </c>
      <c r="F19" s="105"/>
      <c r="G19" s="79" t="str">
        <f>After1stCHK!F18</f>
        <v>BUY (LONG)</v>
      </c>
      <c r="H19" s="226" t="str">
        <f>After1stCHK!G18</f>
        <v>600519.SS</v>
      </c>
      <c r="I19" s="81" t="str">
        <f>After1stCHK!H18</f>
        <v>Stock</v>
      </c>
      <c r="J19" s="82">
        <f>After1stCHK!I18</f>
        <v>20</v>
      </c>
      <c r="K19" s="103">
        <f>After1stCHK!J18</f>
        <v>0</v>
      </c>
      <c r="L19" s="56">
        <f>After1stCHK!K18</f>
        <v>0</v>
      </c>
      <c r="M19" s="104">
        <f>After1stCHK!L18</f>
        <v>0</v>
      </c>
      <c r="N19" s="82">
        <f>After1stCHK!M18</f>
        <v>2030</v>
      </c>
      <c r="O19" s="82"/>
      <c r="P19" s="86"/>
      <c r="Q19" s="43" t="s">
        <v>155</v>
      </c>
      <c r="T19" s="87">
        <f t="shared" si="0"/>
        <v>44563</v>
      </c>
      <c r="U19" s="102"/>
      <c r="V19" s="81" t="str">
        <f>VLOOKUP($B19,After1stCHK!$B$3:$AO$87840,MATCH(V$4,After1stCHK!$B$3:$AO$3,0),FALSE)</f>
        <v>CNY</v>
      </c>
      <c r="W19" s="100" t="str">
        <f>VLOOKUP($B19,After1stCHK!$B$3:$AO$87840,MATCH(W$4,After1stCHK!$B$3:$AO$3,0),FALSE)</f>
        <v>600519.SS</v>
      </c>
      <c r="X19" s="82">
        <f>VLOOKUP($B19,After1stCHK!$B$3:$AO$87840,MATCH(X$4,After1stCHK!$B$3:$AO$3,0),FALSE)</f>
        <v>2001.01</v>
      </c>
      <c r="Y19" s="82">
        <f>VLOOKUP($B19,After1stCHK!$B$3:$AO$87840,MATCH(Y$4,After1stCHK!$B$3:$AO$3,0),FALSE)</f>
        <v>2010.82</v>
      </c>
      <c r="Z19" s="82">
        <f>VLOOKUP($B19,After1stCHK!$B$3:$AO$87840,MATCH(Z$4,After1stCHK!$B$3:$AO$3,0),FALSE)</f>
        <v>1952</v>
      </c>
      <c r="AA19" s="82">
        <f>VLOOKUP($B19,After1stCHK!$B$3:$AO$87840,MATCH(AA$4,After1stCHK!$B$3:$AO$3,0),FALSE)</f>
        <v>1955</v>
      </c>
      <c r="AB19" s="82">
        <f>VLOOKUP($B19,After1stCHK!$B$3:$AO$87840,MATCH(AB$4,After1stCHK!$B$3:$AO$3,0),FALSE)</f>
        <v>4266516</v>
      </c>
      <c r="AC19" s="103" t="str">
        <f>VLOOKUP($B19,After1stCHK!$B$3:$AO$87840,MATCH(AC$4,After1stCHK!$B$3:$AO$3,0),FALSE)</f>
        <v>(blank)</v>
      </c>
      <c r="AD19" s="103" t="str">
        <f>VLOOKUP($B19,After1stCHK!$B$3:$AO$87840,MATCH(AD$4,After1stCHK!$B$3:$AO$3,0),FALSE)</f>
        <v>(blank)</v>
      </c>
      <c r="AE19" s="103" t="str">
        <f>VLOOKUP($B19,After1stCHK!$B$3:$AO$87840,MATCH(AE$4,After1stCHK!$B$3:$AO$3,0),FALSE)</f>
        <v>(blank)</v>
      </c>
      <c r="AF19" s="103" t="str">
        <f>VLOOKUP($B19,After1stCHK!$B$3:$AO$87840,MATCH(AF$4,After1stCHK!$B$3:$AO$3,0),FALSE)</f>
        <v>(blank)</v>
      </c>
      <c r="AG19" s="103" t="str">
        <f>VLOOKUP($B19,After1stCHK!$B$3:$AO$87840,MATCH(AG$4,After1stCHK!$B$3:$AO$3,0),FALSE)</f>
        <v>(blank)</v>
      </c>
      <c r="AH19" s="103" t="str">
        <f>VLOOKUP($B19,After1stCHK!$B$3:$AO$87840,MATCH(AH$4,After1stCHK!$B$3:$AO$3,0),FALSE)</f>
        <v>(blank)</v>
      </c>
      <c r="AI19" s="103" t="str">
        <f>VLOOKUP($B19,After1stCHK!$B$3:$AO$87840,MATCH(AI$4,After1stCHK!$B$3:$AO$3,0),FALSE)</f>
        <v>(blank)</v>
      </c>
      <c r="AJ19" s="103" t="str">
        <f>VLOOKUP($B19,After1stCHK!$B$3:$AO$87840,MATCH(AJ$4,After1stCHK!$B$3:$AO$3,0),FALSE)</f>
        <v>(blank)</v>
      </c>
      <c r="AK19" s="103" t="str">
        <f>VLOOKUP($B19,After1stCHK!$B$3:$AO$87840,MATCH(AK$4,After1stCHK!$B$3:$AO$3,0),FALSE)</f>
        <v>(blank)</v>
      </c>
      <c r="AL19" s="56" t="str">
        <f>VLOOKUP($B19,After1stCHK!$B$3:$AO$87840,MATCH(AL$4,After1stCHK!$B$3:$AO$3,0),FALSE)</f>
        <v>(blank)</v>
      </c>
      <c r="AM19" s="56" t="str">
        <f>VLOOKUP($B19,After1stCHK!$B$3:$AO$87840,MATCH(AM$4,After1stCHK!$B$3:$AO$3,0),FALSE)</f>
        <v>(blank)</v>
      </c>
      <c r="AN19" s="56" t="str">
        <f>VLOOKUP($B19,After1stCHK!$B$3:$AO$87840,MATCH(AN$4,After1stCHK!$B$3:$AO$3,0),FALSE)</f>
        <v>(blank)</v>
      </c>
      <c r="AO19" s="56" t="str">
        <f>VLOOKUP($B19,After1stCHK!$B$3:$AO$87840,MATCH(AO$4,After1stCHK!$B$3:$AO$3,0),FALSE)</f>
        <v>(blank)</v>
      </c>
      <c r="AP19" s="56" t="str">
        <f>VLOOKUP($B19,After1stCHK!$B$3:$AO$87840,MATCH(AP$4,After1stCHK!$B$3:$AO$3,0),FALSE)</f>
        <v>(blank)</v>
      </c>
      <c r="AQ19" s="56" t="str">
        <f>VLOOKUP($B19,After1stCHK!$B$3:$AO$87840,MATCH(AQ$4,After1stCHK!$B$3:$AO$3,0),FALSE)</f>
        <v>(blank)</v>
      </c>
      <c r="AR19" s="56" t="str">
        <f>VLOOKUP($B19,After1stCHK!$B$3:$AO$87840,MATCH(AR$4,After1stCHK!$B$3:$AO$3,0),FALSE)</f>
        <v>(blank)</v>
      </c>
      <c r="AS19" s="56" t="str">
        <f>VLOOKUP($B19,After1stCHK!$B$3:$AO$87840,MATCH(AS$4,After1stCHK!$B$3:$AO$3,0),FALSE)</f>
        <v>(blank)</v>
      </c>
      <c r="AT19" s="56" t="str">
        <f>VLOOKUP($B19,After1stCHK!$B$3:$AO$87840,MATCH(AT$4,After1stCHK!$B$3:$AO$3,0),FALSE)</f>
        <v>(blank)</v>
      </c>
      <c r="AU19" s="104" t="str">
        <f>VLOOKUP($B19,After1stCHK!$B$3:$AO$87840,MATCH(AU$4,After1stCHK!$B$3:$AO$3,0),FALSE)</f>
        <v>(blank)</v>
      </c>
      <c r="AV19" s="225" t="str">
        <f t="shared" si="1"/>
        <v/>
      </c>
      <c r="AX19" s="90"/>
      <c r="AY19" s="91"/>
      <c r="AZ19" s="24"/>
      <c r="BA19" s="92"/>
      <c r="BB19" s="192"/>
      <c r="BC19" s="94"/>
      <c r="BD19" s="193">
        <f t="shared" si="2"/>
        <v>0</v>
      </c>
      <c r="BE19" s="193" t="str">
        <f t="shared" si="3"/>
        <v/>
      </c>
      <c r="BF19" s="193">
        <f t="shared" ca="1" si="4"/>
        <v>0</v>
      </c>
      <c r="BG19" s="194" t="e">
        <f t="shared" ca="1" si="5"/>
        <v>#VALUE!</v>
      </c>
      <c r="BH19" s="195">
        <f t="shared" si="6"/>
        <v>1</v>
      </c>
      <c r="BI19" s="195">
        <f t="shared" si="7"/>
        <v>1</v>
      </c>
      <c r="BJ19" s="54">
        <f t="shared" si="8"/>
        <v>20</v>
      </c>
      <c r="BK19" s="3" t="str">
        <f t="shared" si="9"/>
        <v>CNY</v>
      </c>
      <c r="BL19" s="196">
        <f ca="1">IF(V19="HKD",1,OFFSET(FX!$A$5,MATCH(E19,FX!A:A,0)-ROW(FX!$A$5),MATCH(V19,FX!$A$5:$AM$5,0)-1,1,1))</f>
        <v>1.2268509999999999</v>
      </c>
      <c r="BM19" s="227" t="str">
        <f t="shared" si="10"/>
        <v>600519.SS</v>
      </c>
      <c r="BN19" s="198">
        <f t="shared" si="11"/>
        <v>2030</v>
      </c>
      <c r="BO19" s="197"/>
      <c r="BP19" s="230">
        <f t="shared" si="12"/>
        <v>2030</v>
      </c>
      <c r="BQ19" s="201">
        <f t="shared" si="13"/>
        <v>20</v>
      </c>
      <c r="BR19" s="202">
        <f t="shared" si="14"/>
        <v>40600</v>
      </c>
      <c r="BS19" s="203">
        <f t="shared" ca="1" si="15"/>
        <v>49810.150599999994</v>
      </c>
      <c r="BT19" s="204"/>
      <c r="BU19" s="199">
        <f t="shared" si="16"/>
        <v>0</v>
      </c>
      <c r="BV19" s="201">
        <f t="shared" si="17"/>
        <v>0</v>
      </c>
      <c r="BW19" s="202">
        <f t="shared" si="18"/>
        <v>0</v>
      </c>
      <c r="BX19" s="203">
        <f t="shared" ca="1" si="19"/>
        <v>0</v>
      </c>
      <c r="BY19" s="204"/>
      <c r="BZ19" s="198">
        <f t="shared" si="20"/>
        <v>0</v>
      </c>
      <c r="CA19" s="197"/>
      <c r="CB19" s="230">
        <f t="shared" si="21"/>
        <v>0</v>
      </c>
      <c r="CC19" s="201">
        <f t="shared" si="22"/>
        <v>0</v>
      </c>
      <c r="CD19" s="202">
        <f t="shared" si="23"/>
        <v>0</v>
      </c>
      <c r="CE19" s="203">
        <f t="shared" ca="1" si="24"/>
        <v>0</v>
      </c>
      <c r="CF19" s="204"/>
      <c r="CG19" s="231">
        <f t="shared" si="25"/>
        <v>0</v>
      </c>
      <c r="CH19" s="232">
        <f t="shared" si="26"/>
        <v>0</v>
      </c>
      <c r="CI19" s="207">
        <f t="shared" si="27"/>
        <v>0</v>
      </c>
      <c r="CJ19" s="203">
        <f t="shared" ca="1" si="28"/>
        <v>0</v>
      </c>
      <c r="CK19" s="204"/>
      <c r="CL19" s="208">
        <f t="shared" ca="1" si="29"/>
        <v>-49810.150599999994</v>
      </c>
      <c r="CM19" s="209" t="str">
        <f t="shared" si="30"/>
        <v/>
      </c>
      <c r="CN19" s="228" t="str">
        <f t="shared" si="31"/>
        <v>600519.SS</v>
      </c>
      <c r="CO19" s="153">
        <f t="shared" si="32"/>
        <v>44563</v>
      </c>
      <c r="CP19" s="211">
        <f t="shared" ref="CP19:CQ19" si="106">AZ19</f>
        <v>0</v>
      </c>
      <c r="CQ19" s="212">
        <f t="shared" si="106"/>
        <v>0</v>
      </c>
      <c r="CR19" s="213">
        <f t="shared" si="34"/>
        <v>0</v>
      </c>
      <c r="CS19" s="213">
        <f t="shared" si="35"/>
        <v>0</v>
      </c>
      <c r="CT19" s="214">
        <f>SUMIFS('1HistTrade'!DF:DF,'1HistTrade'!$D:$D,$D19,'1HistTrade'!$BM:$BM,$BM19,'1HistTrade'!$B:$B,"&lt;"&amp;$B19)</f>
        <v>0</v>
      </c>
      <c r="CU19" s="215">
        <f>SUMIFS('1HistTrade'!DG:DG,'1HistTrade'!$D:$D,$D19,'1HistTrade'!$BM:$BM,$BM19,'1HistTrade'!$B:$B,"&lt;"&amp;$B19)</f>
        <v>0</v>
      </c>
      <c r="CV19" s="215">
        <f>SUMIFS('1HistTrade'!DH:DH,'1HistTrade'!$D:$D,$D19,'1HistTrade'!$BM:$BM,$BM19,'1HistTrade'!$B:$B,"&lt;"&amp;$B19)</f>
        <v>0</v>
      </c>
      <c r="CW19" s="215">
        <f>SUMIFS('1HistTrade'!DI:DI,'1HistTrade'!$D:$D,$D19,'1HistTrade'!$BM:$BM,$BM19,'1HistTrade'!$B:$B,"&lt;"&amp;$B19)</f>
        <v>0</v>
      </c>
      <c r="CX19" s="216">
        <f t="shared" si="36"/>
        <v>20</v>
      </c>
      <c r="CY19" s="216">
        <f t="shared" si="37"/>
        <v>0</v>
      </c>
      <c r="CZ19" s="216">
        <f t="shared" si="38"/>
        <v>0</v>
      </c>
      <c r="DA19" s="216">
        <f t="shared" ca="1" si="39"/>
        <v>0</v>
      </c>
      <c r="DB19" s="21" t="str">
        <f t="shared" si="40"/>
        <v>B</v>
      </c>
      <c r="DC19" s="21" t="str">
        <f t="shared" si="41"/>
        <v/>
      </c>
      <c r="DD19" s="21" t="str">
        <f t="shared" si="42"/>
        <v/>
      </c>
      <c r="DE19" s="21" t="str">
        <f t="shared" ca="1" si="43"/>
        <v/>
      </c>
      <c r="DF19" s="215">
        <f t="shared" si="44"/>
        <v>20</v>
      </c>
      <c r="DG19" s="215">
        <f t="shared" si="45"/>
        <v>0</v>
      </c>
      <c r="DH19" s="215">
        <f t="shared" si="46"/>
        <v>0</v>
      </c>
      <c r="DI19" s="215">
        <f t="shared" ca="1" si="47"/>
        <v>0</v>
      </c>
      <c r="DJ19" s="215" t="str">
        <f t="shared" si="48"/>
        <v>B</v>
      </c>
      <c r="DK19" s="116"/>
      <c r="DL19" s="116">
        <f t="shared" ca="1" si="49"/>
        <v>2490.5075299999999</v>
      </c>
      <c r="DM19" s="116">
        <f t="shared" ca="1" si="50"/>
        <v>49810.150599999994</v>
      </c>
      <c r="DN19" s="116">
        <f t="shared" ca="1" si="51"/>
        <v>-49810.150599999994</v>
      </c>
      <c r="DO19" s="217">
        <f t="shared" ca="1" si="52"/>
        <v>49810.150599999994</v>
      </c>
      <c r="DP19" s="217">
        <f t="shared" ca="1" si="53"/>
        <v>0</v>
      </c>
      <c r="DQ19" s="116">
        <f>IF($DT$1="Delete",0,IF(OR(DG19="",DG19=0),0,SUMIFS('1HistTrade'!$ED:$ED,'1HistTrade'!$D:$D,D19,'1HistTrade'!$H:$H,H19,'1HistTrade'!$B:$B,"&lt;"&amp;B19)))</f>
        <v>0</v>
      </c>
      <c r="DR19" s="116">
        <f t="shared" ca="1" si="54"/>
        <v>0</v>
      </c>
      <c r="DS19" s="116">
        <f t="shared" ca="1" si="55"/>
        <v>0</v>
      </c>
      <c r="DT19" s="116">
        <f>IF($DT$1="Delete",0,IF(OR(DI19="",DI19=0),0,SUMIFS('1HistTrade'!$ED:$ED,'1HistTrade'!$D:$D,D19,'1HistTrade'!$H:$H,H19,'1HistTrade'!$B:$B,"&lt;"&amp;B19)))</f>
        <v>0</v>
      </c>
      <c r="DU19" s="116">
        <f t="shared" ca="1" si="56"/>
        <v>0</v>
      </c>
      <c r="DV19" s="116">
        <f t="shared" ca="1" si="57"/>
        <v>0</v>
      </c>
      <c r="DW19" s="218">
        <f t="shared" si="58"/>
        <v>0</v>
      </c>
      <c r="DX19" s="219"/>
      <c r="DY19" s="219">
        <f t="shared" si="59"/>
        <v>0</v>
      </c>
      <c r="DZ19" s="220">
        <f t="shared" ca="1" si="60"/>
        <v>0</v>
      </c>
      <c r="EA19" s="220">
        <f t="shared" si="61"/>
        <v>0</v>
      </c>
      <c r="EB19" s="221">
        <f t="shared" ca="1" si="62"/>
        <v>0</v>
      </c>
      <c r="EC19" s="116">
        <f t="shared" ca="1" si="63"/>
        <v>-49810.150599999994</v>
      </c>
      <c r="ED19" s="116">
        <f t="shared" ca="1" si="64"/>
        <v>-49810.150599999994</v>
      </c>
      <c r="EE19" s="222" t="str">
        <f t="shared" si="65"/>
        <v/>
      </c>
      <c r="EF19" s="116">
        <f t="shared" si="66"/>
        <v>-20</v>
      </c>
      <c r="EG19" s="223">
        <f ca="1">IF(ISERROR(VLOOKUP(_xludf.maxifs(DbyD!C:C,DbyD!B:B,C19,DbyD!F:F,"&lt;=" &amp; E19,DbyD!C:C,"&lt;"&amp;B19),DbyD!C:BE,MATCH(DbyD!$BB$9,DbyD!$9:$9,0)-2,FALSE)),0,VLOOKUP(_xludf.maxifs(DbyD!C:C,DbyD!B:B,C19,DbyD!F:F,"&lt;=" &amp; E19,DbyD!C:C,"&lt;"&amp;B19),DbyD!C:BE,MATCH(DbyD!$BB$9,DbyD!$9:$9,0)-2,FALSE))</f>
        <v>0</v>
      </c>
      <c r="EH19" s="116">
        <f>SUMIFS('1HistTrade'!$EM:$EM,'1HistTrade'!$D:$D,D19,'1HistTrade'!$B:$B,"&lt;"&amp;B19,'1HistTrade'!$DJ:$DJ,"&lt;&gt;"&amp;"CD/CW")*-1</f>
        <v>0</v>
      </c>
      <c r="EI19" s="116">
        <f t="shared" ca="1" si="67"/>
        <v>0</v>
      </c>
      <c r="EJ19" s="116">
        <f>SUMIFS('1HistTrade'!$EN:$EN,'1HistTrade'!$D:$D,D19,'1HistTrade'!$B:$B,"&lt;"&amp;B19)</f>
        <v>500000</v>
      </c>
      <c r="EK19" s="224">
        <f>SUMIFS('1HistTrade'!$EU:$EU,'1HistTrade'!$D:$D,D19,'1HistTrade'!$B:$B,"&lt;"&amp;B19)</f>
        <v>0</v>
      </c>
      <c r="EL19" s="116"/>
      <c r="EM19" s="116">
        <f t="shared" ref="EM19:EN19" ca="1" si="107">EC19</f>
        <v>-49810.150599999994</v>
      </c>
      <c r="EN19" s="116">
        <f t="shared" ca="1" si="107"/>
        <v>-49810.150599999994</v>
      </c>
      <c r="EO19" s="224"/>
      <c r="EP19" s="116"/>
      <c r="EQ19" s="116">
        <f t="shared" ca="1" si="69"/>
        <v>-49810.150599999994</v>
      </c>
      <c r="ER19" s="116">
        <f t="shared" ca="1" si="70"/>
        <v>49810.150599999994</v>
      </c>
      <c r="ES19" s="116">
        <f t="shared" ca="1" si="71"/>
        <v>0</v>
      </c>
      <c r="ET19" s="116">
        <f t="shared" ca="1" si="72"/>
        <v>450189.84940000001</v>
      </c>
      <c r="EU19" s="224">
        <f t="shared" ca="1" si="73"/>
        <v>0</v>
      </c>
      <c r="EV19" s="213">
        <f t="shared" ca="1" si="74"/>
        <v>0</v>
      </c>
      <c r="EX19" s="116">
        <f t="shared" ca="1" si="75"/>
        <v>-49810.150599999994</v>
      </c>
      <c r="EY19" s="116">
        <f t="shared" ca="1" si="76"/>
        <v>49810.150599999994</v>
      </c>
      <c r="EZ19" s="116">
        <f t="shared" ca="1" si="77"/>
        <v>0</v>
      </c>
      <c r="FA19" s="116">
        <f t="shared" ca="1" si="78"/>
        <v>450189.84940000001</v>
      </c>
      <c r="FB19" s="116">
        <f t="shared" ca="1" si="79"/>
        <v>0</v>
      </c>
      <c r="FC19" s="189"/>
      <c r="FE19" s="31"/>
      <c r="FG19" s="31"/>
    </row>
    <row r="20" spans="1:163" ht="13">
      <c r="A20" s="10">
        <f>IF(E20&lt;=HistSecRecord!$E$1,1,0)</f>
        <v>1</v>
      </c>
      <c r="B20" s="190">
        <f>After1stCHK!B19</f>
        <v>44563000026</v>
      </c>
      <c r="C20" s="3" t="str">
        <f>After1stCHK!C19</f>
        <v>D0002</v>
      </c>
      <c r="D20" s="29" t="str">
        <f>After1stCHK!D19</f>
        <v>sABCD0002@hkmu.edu.hk</v>
      </c>
      <c r="E20" s="4">
        <f>After1stCHK!E19</f>
        <v>44563</v>
      </c>
      <c r="F20" s="105"/>
      <c r="G20" s="79" t="str">
        <f>After1stCHK!F19</f>
        <v>SELL (SHORT)</v>
      </c>
      <c r="H20" s="226" t="str">
        <f>After1stCHK!G19</f>
        <v>0700.HK</v>
      </c>
      <c r="I20" s="81" t="str">
        <f>After1stCHK!H19</f>
        <v>Stock</v>
      </c>
      <c r="J20" s="82">
        <f>After1stCHK!I19</f>
        <v>5</v>
      </c>
      <c r="K20" s="103">
        <f>After1stCHK!J19</f>
        <v>0</v>
      </c>
      <c r="L20" s="56">
        <f>After1stCHK!K19</f>
        <v>0</v>
      </c>
      <c r="M20" s="104">
        <f>After1stCHK!L19</f>
        <v>0</v>
      </c>
      <c r="N20" s="82">
        <f>After1stCHK!M19</f>
        <v>460</v>
      </c>
      <c r="O20" s="82"/>
      <c r="P20" s="86"/>
      <c r="Q20" s="43"/>
      <c r="T20" s="87">
        <f t="shared" si="0"/>
        <v>44563</v>
      </c>
      <c r="U20" s="79"/>
      <c r="V20" s="81" t="str">
        <f>VLOOKUP($B20,After1stCHK!$B$3:$AO$87840,MATCH(V$4,After1stCHK!$B$3:$AO$3,0),FALSE)</f>
        <v>HKD</v>
      </c>
      <c r="W20" s="100" t="str">
        <f>VLOOKUP($B20,After1stCHK!$B$3:$AO$87840,MATCH(W$4,After1stCHK!$B$3:$AO$3,0),FALSE)</f>
        <v>0700.HK</v>
      </c>
      <c r="X20" s="82">
        <f>VLOOKUP($B20,After1stCHK!$B$3:$AO$87840,MATCH(X$4,After1stCHK!$B$3:$AO$3,0),FALSE)</f>
        <v>465</v>
      </c>
      <c r="Y20" s="82">
        <f>VLOOKUP($B20,After1stCHK!$B$3:$AO$87840,MATCH(Y$4,After1stCHK!$B$3:$AO$3,0),FALSE)</f>
        <v>467</v>
      </c>
      <c r="Z20" s="82">
        <f>VLOOKUP($B20,After1stCHK!$B$3:$AO$87840,MATCH(Z$4,After1stCHK!$B$3:$AO$3,0),FALSE)</f>
        <v>457.8</v>
      </c>
      <c r="AA20" s="82">
        <f>VLOOKUP($B20,After1stCHK!$B$3:$AO$87840,MATCH(AA$4,After1stCHK!$B$3:$AO$3,0),FALSE)</f>
        <v>473.6</v>
      </c>
      <c r="AB20" s="82">
        <f>VLOOKUP($B20,After1stCHK!$B$3:$AO$87840,MATCH(AB$4,After1stCHK!$B$3:$AO$3,0),FALSE)</f>
        <v>16061367</v>
      </c>
      <c r="AC20" s="83" t="str">
        <f>VLOOKUP($B20,After1stCHK!$B$3:$AO$87840,MATCH(AC$4,After1stCHK!$B$3:$AO$3,0),FALSE)</f>
        <v>(blank)</v>
      </c>
      <c r="AD20" s="83" t="str">
        <f>VLOOKUP($B20,After1stCHK!$B$3:$AO$87840,MATCH(AD$4,After1stCHK!$B$3:$AO$3,0),FALSE)</f>
        <v>(blank)</v>
      </c>
      <c r="AE20" s="83" t="str">
        <f>VLOOKUP($B20,After1stCHK!$B$3:$AO$87840,MATCH(AE$4,After1stCHK!$B$3:$AO$3,0),FALSE)</f>
        <v>(blank)</v>
      </c>
      <c r="AF20" s="83" t="str">
        <f>VLOOKUP($B20,After1stCHK!$B$3:$AO$87840,MATCH(AF$4,After1stCHK!$B$3:$AO$3,0),FALSE)</f>
        <v>(blank)</v>
      </c>
      <c r="AG20" s="83" t="str">
        <f>VLOOKUP($B20,After1stCHK!$B$3:$AO$87840,MATCH(AG$4,After1stCHK!$B$3:$AO$3,0),FALSE)</f>
        <v>(blank)</v>
      </c>
      <c r="AH20" s="83" t="str">
        <f>VLOOKUP($B20,After1stCHK!$B$3:$AO$87840,MATCH(AH$4,After1stCHK!$B$3:$AO$3,0),FALSE)</f>
        <v>(blank)</v>
      </c>
      <c r="AI20" s="83" t="str">
        <f>VLOOKUP($B20,After1stCHK!$B$3:$AO$87840,MATCH(AI$4,After1stCHK!$B$3:$AO$3,0),FALSE)</f>
        <v>(blank)</v>
      </c>
      <c r="AJ20" s="83" t="str">
        <f>VLOOKUP($B20,After1stCHK!$B$3:$AO$87840,MATCH(AJ$4,After1stCHK!$B$3:$AO$3,0),FALSE)</f>
        <v>(blank)</v>
      </c>
      <c r="AK20" s="83" t="str">
        <f>VLOOKUP($B20,After1stCHK!$B$3:$AO$87840,MATCH(AK$4,After1stCHK!$B$3:$AO$3,0),FALSE)</f>
        <v>(blank)</v>
      </c>
      <c r="AL20" s="84" t="str">
        <f>VLOOKUP($B20,After1stCHK!$B$3:$AO$87840,MATCH(AL$4,After1stCHK!$B$3:$AO$3,0),FALSE)</f>
        <v>(blank)</v>
      </c>
      <c r="AM20" s="84" t="str">
        <f>VLOOKUP($B20,After1stCHK!$B$3:$AO$87840,MATCH(AM$4,After1stCHK!$B$3:$AO$3,0),FALSE)</f>
        <v>(blank)</v>
      </c>
      <c r="AN20" s="84" t="str">
        <f>VLOOKUP($B20,After1stCHK!$B$3:$AO$87840,MATCH(AN$4,After1stCHK!$B$3:$AO$3,0),FALSE)</f>
        <v>(blank)</v>
      </c>
      <c r="AO20" s="84" t="str">
        <f>VLOOKUP($B20,After1stCHK!$B$3:$AO$87840,MATCH(AO$4,After1stCHK!$B$3:$AO$3,0),FALSE)</f>
        <v>(blank)</v>
      </c>
      <c r="AP20" s="84" t="str">
        <f>VLOOKUP($B20,After1stCHK!$B$3:$AO$87840,MATCH(AP$4,After1stCHK!$B$3:$AO$3,0),FALSE)</f>
        <v>(blank)</v>
      </c>
      <c r="AQ20" s="84" t="str">
        <f>VLOOKUP($B20,After1stCHK!$B$3:$AO$87840,MATCH(AQ$4,After1stCHK!$B$3:$AO$3,0),FALSE)</f>
        <v>(blank)</v>
      </c>
      <c r="AR20" s="84" t="str">
        <f>VLOOKUP($B20,After1stCHK!$B$3:$AO$87840,MATCH(AR$4,After1stCHK!$B$3:$AO$3,0),FALSE)</f>
        <v>(blank)</v>
      </c>
      <c r="AS20" s="84" t="str">
        <f>VLOOKUP($B20,After1stCHK!$B$3:$AO$87840,MATCH(AS$4,After1stCHK!$B$3:$AO$3,0),FALSE)</f>
        <v>(blank)</v>
      </c>
      <c r="AT20" s="84" t="str">
        <f>VLOOKUP($B20,After1stCHK!$B$3:$AO$87840,MATCH(AT$4,After1stCHK!$B$3:$AO$3,0),FALSE)</f>
        <v>(blank)</v>
      </c>
      <c r="AU20" s="89" t="str">
        <f>VLOOKUP($B20,After1stCHK!$B$3:$AO$87840,MATCH(AU$4,After1stCHK!$B$3:$AO$3,0),FALSE)</f>
        <v>(blank)</v>
      </c>
      <c r="AV20" s="191" t="str">
        <f t="shared" si="1"/>
        <v/>
      </c>
      <c r="AX20" s="90"/>
      <c r="AY20" s="91"/>
      <c r="AZ20" s="24"/>
      <c r="BA20" s="92"/>
      <c r="BB20" s="192"/>
      <c r="BC20" s="94"/>
      <c r="BD20" s="193">
        <f t="shared" si="2"/>
        <v>0</v>
      </c>
      <c r="BE20" s="193" t="str">
        <f t="shared" si="3"/>
        <v/>
      </c>
      <c r="BF20" s="193">
        <f t="shared" ca="1" si="4"/>
        <v>0</v>
      </c>
      <c r="BG20" s="194" t="e">
        <f t="shared" ca="1" si="5"/>
        <v>#VALUE!</v>
      </c>
      <c r="BH20" s="195">
        <f t="shared" si="6"/>
        <v>1</v>
      </c>
      <c r="BI20" s="195">
        <f t="shared" si="7"/>
        <v>-1</v>
      </c>
      <c r="BJ20" s="54">
        <f t="shared" si="8"/>
        <v>5</v>
      </c>
      <c r="BK20" s="3" t="str">
        <f t="shared" si="9"/>
        <v>HKD</v>
      </c>
      <c r="BL20" s="196">
        <f ca="1">IF(V20="HKD",1,OFFSET(FX!$A$5,MATCH(E20,FX!A:A,0)-ROW(FX!$A$5),MATCH(V20,FX!$A$5:$AM$5,0)-1,1,1))</f>
        <v>1</v>
      </c>
      <c r="BM20" s="227" t="str">
        <f t="shared" si="10"/>
        <v>0700.HK</v>
      </c>
      <c r="BN20" s="198">
        <f t="shared" si="11"/>
        <v>460</v>
      </c>
      <c r="BO20" s="199"/>
      <c r="BP20" s="200">
        <f t="shared" si="12"/>
        <v>460</v>
      </c>
      <c r="BQ20" s="201">
        <f t="shared" si="13"/>
        <v>-5</v>
      </c>
      <c r="BR20" s="202">
        <f t="shared" si="14"/>
        <v>-2300</v>
      </c>
      <c r="BS20" s="203">
        <f t="shared" ca="1" si="15"/>
        <v>-2300</v>
      </c>
      <c r="BT20" s="204"/>
      <c r="BU20" s="199">
        <f t="shared" si="16"/>
        <v>0</v>
      </c>
      <c r="BV20" s="201">
        <f t="shared" si="17"/>
        <v>0</v>
      </c>
      <c r="BW20" s="202">
        <f t="shared" si="18"/>
        <v>0</v>
      </c>
      <c r="BX20" s="203">
        <f t="shared" ca="1" si="19"/>
        <v>0</v>
      </c>
      <c r="BY20" s="204"/>
      <c r="BZ20" s="198">
        <f t="shared" si="20"/>
        <v>0</v>
      </c>
      <c r="CA20" s="199"/>
      <c r="CB20" s="200">
        <f t="shared" si="21"/>
        <v>0</v>
      </c>
      <c r="CC20" s="201">
        <f t="shared" si="22"/>
        <v>0</v>
      </c>
      <c r="CD20" s="202">
        <f t="shared" si="23"/>
        <v>0</v>
      </c>
      <c r="CE20" s="203">
        <f t="shared" ca="1" si="24"/>
        <v>0</v>
      </c>
      <c r="CF20" s="204"/>
      <c r="CG20" s="205">
        <f t="shared" si="25"/>
        <v>0</v>
      </c>
      <c r="CH20" s="206">
        <f t="shared" si="26"/>
        <v>0</v>
      </c>
      <c r="CI20" s="207">
        <f t="shared" si="27"/>
        <v>0</v>
      </c>
      <c r="CJ20" s="203">
        <f t="shared" ca="1" si="28"/>
        <v>0</v>
      </c>
      <c r="CK20" s="204"/>
      <c r="CL20" s="208">
        <f t="shared" ca="1" si="29"/>
        <v>2300</v>
      </c>
      <c r="CM20" s="209" t="str">
        <f t="shared" si="30"/>
        <v/>
      </c>
      <c r="CN20" s="228" t="str">
        <f t="shared" si="31"/>
        <v>0700.HK</v>
      </c>
      <c r="CO20" s="153">
        <f t="shared" si="32"/>
        <v>44563</v>
      </c>
      <c r="CP20" s="211">
        <f t="shared" ref="CP20:CQ20" si="108">AZ20</f>
        <v>0</v>
      </c>
      <c r="CQ20" s="212">
        <f t="shared" si="108"/>
        <v>0</v>
      </c>
      <c r="CR20" s="213">
        <f t="shared" si="34"/>
        <v>0</v>
      </c>
      <c r="CS20" s="213">
        <f t="shared" si="35"/>
        <v>0</v>
      </c>
      <c r="CT20" s="214">
        <f>SUMIFS('1HistTrade'!DF:DF,'1HistTrade'!$D:$D,$D20,'1HistTrade'!$BM:$BM,$BM20,'1HistTrade'!$B:$B,"&lt;"&amp;$B20)</f>
        <v>0</v>
      </c>
      <c r="CU20" s="215">
        <f>SUMIFS('1HistTrade'!DG:DG,'1HistTrade'!$D:$D,$D20,'1HistTrade'!$BM:$BM,$BM20,'1HistTrade'!$B:$B,"&lt;"&amp;$B20)</f>
        <v>0</v>
      </c>
      <c r="CV20" s="215">
        <f>SUMIFS('1HistTrade'!DH:DH,'1HistTrade'!$D:$D,$D20,'1HistTrade'!$BM:$BM,$BM20,'1HistTrade'!$B:$B,"&lt;"&amp;$B20)</f>
        <v>0</v>
      </c>
      <c r="CW20" s="215">
        <f>SUMIFS('1HistTrade'!DI:DI,'1HistTrade'!$D:$D,$D20,'1HistTrade'!$BM:$BM,$BM20,'1HistTrade'!$B:$B,"&lt;"&amp;$B20)</f>
        <v>0</v>
      </c>
      <c r="CX20" s="216">
        <f t="shared" si="36"/>
        <v>-5</v>
      </c>
      <c r="CY20" s="216">
        <f t="shared" si="37"/>
        <v>0</v>
      </c>
      <c r="CZ20" s="216">
        <f t="shared" si="38"/>
        <v>0</v>
      </c>
      <c r="DA20" s="216">
        <f t="shared" ca="1" si="39"/>
        <v>0</v>
      </c>
      <c r="DB20" s="21" t="str">
        <f t="shared" si="40"/>
        <v>SS</v>
      </c>
      <c r="DC20" s="21" t="str">
        <f t="shared" si="41"/>
        <v/>
      </c>
      <c r="DD20" s="21" t="str">
        <f t="shared" si="42"/>
        <v/>
      </c>
      <c r="DE20" s="21" t="str">
        <f t="shared" ca="1" si="43"/>
        <v/>
      </c>
      <c r="DF20" s="215">
        <f t="shared" si="44"/>
        <v>-5</v>
      </c>
      <c r="DG20" s="215">
        <f t="shared" si="45"/>
        <v>0</v>
      </c>
      <c r="DH20" s="215">
        <f t="shared" si="46"/>
        <v>0</v>
      </c>
      <c r="DI20" s="215">
        <f t="shared" ca="1" si="47"/>
        <v>0</v>
      </c>
      <c r="DJ20" s="215" t="str">
        <f t="shared" si="48"/>
        <v>SS</v>
      </c>
      <c r="DK20" s="116"/>
      <c r="DL20" s="116">
        <f t="shared" ca="1" si="49"/>
        <v>460</v>
      </c>
      <c r="DM20" s="116">
        <f t="shared" ca="1" si="50"/>
        <v>-2300</v>
      </c>
      <c r="DN20" s="116">
        <f t="shared" ca="1" si="51"/>
        <v>-2300</v>
      </c>
      <c r="DO20" s="217">
        <f t="shared" ca="1" si="52"/>
        <v>0</v>
      </c>
      <c r="DP20" s="217">
        <f t="shared" ca="1" si="53"/>
        <v>-2300</v>
      </c>
      <c r="DQ20" s="116">
        <f>IF($DT$1="Delete",0,IF(OR(DG20="",DG20=0),0,SUMIFS('1HistTrade'!$ED:$ED,'1HistTrade'!$D:$D,D20,'1HistTrade'!$H:$H,H20,'1HistTrade'!$B:$B,"&lt;"&amp;B20)))</f>
        <v>0</v>
      </c>
      <c r="DR20" s="116">
        <f t="shared" ca="1" si="54"/>
        <v>0</v>
      </c>
      <c r="DS20" s="116">
        <f t="shared" ca="1" si="55"/>
        <v>0</v>
      </c>
      <c r="DT20" s="116">
        <f>IF($DT$1="Delete",0,IF(OR(DI20="",DI20=0),0,SUMIFS('1HistTrade'!$ED:$ED,'1HistTrade'!$D:$D,D20,'1HistTrade'!$H:$H,H20,'1HistTrade'!$B:$B,"&lt;"&amp;B20)))</f>
        <v>0</v>
      </c>
      <c r="DU20" s="116">
        <f t="shared" ca="1" si="56"/>
        <v>0</v>
      </c>
      <c r="DV20" s="116">
        <f t="shared" ca="1" si="57"/>
        <v>0</v>
      </c>
      <c r="DW20" s="218">
        <f t="shared" si="58"/>
        <v>0</v>
      </c>
      <c r="DX20" s="219"/>
      <c r="DY20" s="219">
        <f t="shared" si="59"/>
        <v>0</v>
      </c>
      <c r="DZ20" s="220">
        <f t="shared" ca="1" si="60"/>
        <v>0</v>
      </c>
      <c r="EA20" s="220">
        <f t="shared" si="61"/>
        <v>0</v>
      </c>
      <c r="EB20" s="221">
        <f t="shared" ca="1" si="62"/>
        <v>0</v>
      </c>
      <c r="EC20" s="116">
        <f t="shared" ca="1" si="63"/>
        <v>2300</v>
      </c>
      <c r="ED20" s="116">
        <f t="shared" ca="1" si="64"/>
        <v>-2300</v>
      </c>
      <c r="EE20" s="222" t="str">
        <f t="shared" si="65"/>
        <v/>
      </c>
      <c r="EF20" s="116">
        <f t="shared" si="66"/>
        <v>-5</v>
      </c>
      <c r="EG20" s="223">
        <f ca="1">IF(ISERROR(VLOOKUP(_xludf.maxifs(DbyD!C:C,DbyD!B:B,C20,DbyD!F:F,"&lt;=" &amp; E20,DbyD!C:C,"&lt;"&amp;B20),DbyD!C:BE,MATCH(DbyD!$BB$9,DbyD!$9:$9,0)-2,FALSE)),0,VLOOKUP(_xludf.maxifs(DbyD!C:C,DbyD!B:B,C20,DbyD!F:F,"&lt;=" &amp; E20,DbyD!C:C,"&lt;"&amp;B20),DbyD!C:BE,MATCH(DbyD!$BB$9,DbyD!$9:$9,0)-2,FALSE))</f>
        <v>0</v>
      </c>
      <c r="EH20" s="116">
        <f>SUMIFS('1HistTrade'!$EM:$EM,'1HistTrade'!$D:$D,D20,'1HistTrade'!$B:$B,"&lt;"&amp;B20,'1HistTrade'!$DJ:$DJ,"&lt;&gt;"&amp;"CD/CW")*-1</f>
        <v>49810.150599999994</v>
      </c>
      <c r="EI20" s="116">
        <f t="shared" ca="1" si="67"/>
        <v>49810.150599999994</v>
      </c>
      <c r="EJ20" s="116">
        <f>SUMIFS('1HistTrade'!$EN:$EN,'1HistTrade'!$D:$D,D20,'1HistTrade'!$B:$B,"&lt;"&amp;B20)</f>
        <v>450189.84940000001</v>
      </c>
      <c r="EK20" s="224">
        <f>SUMIFS('1HistTrade'!$EU:$EU,'1HistTrade'!$D:$D,D20,'1HistTrade'!$B:$B,"&lt;"&amp;B20)</f>
        <v>0</v>
      </c>
      <c r="EL20" s="116"/>
      <c r="EM20" s="116">
        <f t="shared" ref="EM20:EN20" ca="1" si="109">EC20</f>
        <v>2300</v>
      </c>
      <c r="EN20" s="116">
        <f t="shared" ca="1" si="109"/>
        <v>-2300</v>
      </c>
      <c r="EO20" s="224"/>
      <c r="EP20" s="116"/>
      <c r="EQ20" s="116">
        <f t="shared" ca="1" si="69"/>
        <v>2300</v>
      </c>
      <c r="ER20" s="116">
        <f t="shared" ca="1" si="70"/>
        <v>47510.150599999994</v>
      </c>
      <c r="ES20" s="116">
        <f t="shared" ca="1" si="71"/>
        <v>49810.150599999994</v>
      </c>
      <c r="ET20" s="116">
        <f t="shared" ca="1" si="72"/>
        <v>447889.84940000001</v>
      </c>
      <c r="EU20" s="224">
        <f t="shared" ca="1" si="73"/>
        <v>0</v>
      </c>
      <c r="EV20" s="213">
        <f t="shared" ca="1" si="74"/>
        <v>0</v>
      </c>
      <c r="EX20" s="116">
        <f t="shared" ca="1" si="75"/>
        <v>2300</v>
      </c>
      <c r="EY20" s="116">
        <f t="shared" ca="1" si="76"/>
        <v>47510.150599999994</v>
      </c>
      <c r="EZ20" s="116">
        <f t="shared" ca="1" si="77"/>
        <v>49810.150599999994</v>
      </c>
      <c r="FA20" s="116">
        <f t="shared" ca="1" si="78"/>
        <v>447889.84940000001</v>
      </c>
      <c r="FB20" s="116">
        <f t="shared" ca="1" si="79"/>
        <v>0</v>
      </c>
      <c r="FC20" s="189"/>
      <c r="FE20" s="31"/>
      <c r="FG20" s="31"/>
    </row>
    <row r="21" spans="1:163" ht="13">
      <c r="A21" s="10">
        <f>IF(E21&lt;=HistSecRecord!$E$1,1,0)</f>
        <v>1</v>
      </c>
      <c r="B21" s="190">
        <f>After1stCHK!B20</f>
        <v>44563000032</v>
      </c>
      <c r="C21" s="3" t="str">
        <f>After1stCHK!C20</f>
        <v>D0003</v>
      </c>
      <c r="D21" s="29" t="str">
        <f>After1stCHK!D20</f>
        <v>sABCD0003@hkmu.edu.hk</v>
      </c>
      <c r="E21" s="4">
        <f>After1stCHK!E20</f>
        <v>44563</v>
      </c>
      <c r="F21" s="105"/>
      <c r="G21" s="79" t="str">
        <f>After1stCHK!F20</f>
        <v>SELL (SHORT)</v>
      </c>
      <c r="H21" s="80" t="str">
        <f>After1stCHK!G20</f>
        <v>3m</v>
      </c>
      <c r="I21" s="81" t="str">
        <f>After1stCHK!H20</f>
        <v>TD</v>
      </c>
      <c r="J21" s="88">
        <f>After1stCHK!I20</f>
        <v>0</v>
      </c>
      <c r="K21" s="103">
        <f>After1stCHK!J20</f>
        <v>0</v>
      </c>
      <c r="L21" s="56">
        <f>After1stCHK!K20</f>
        <v>0</v>
      </c>
      <c r="M21" s="104">
        <f>After1stCHK!L20</f>
        <v>35000</v>
      </c>
      <c r="N21" s="82">
        <f>After1stCHK!M20</f>
        <v>0</v>
      </c>
      <c r="O21" s="82"/>
      <c r="P21" s="86"/>
      <c r="Q21" s="43" t="s">
        <v>156</v>
      </c>
      <c r="T21" s="87">
        <f t="shared" si="0"/>
        <v>44563</v>
      </c>
      <c r="U21" s="79"/>
      <c r="V21" s="81" t="str">
        <f>VLOOKUP($B21,After1stCHK!$B$3:$AO$87840,MATCH(V$4,After1stCHK!$B$3:$AO$3,0),FALSE)</f>
        <v>HKD</v>
      </c>
      <c r="W21" s="88" t="str">
        <f>VLOOKUP($B21,After1stCHK!$B$3:$AO$87840,MATCH(W$4,After1stCHK!$B$3:$AO$3,0),FALSE)</f>
        <v>(blank)</v>
      </c>
      <c r="X21" s="88" t="str">
        <f>VLOOKUP($B21,After1stCHK!$B$3:$AO$87840,MATCH(X$4,After1stCHK!$B$3:$AO$3,0),FALSE)</f>
        <v>(blank)</v>
      </c>
      <c r="Y21" s="88" t="str">
        <f>VLOOKUP($B21,After1stCHK!$B$3:$AO$87840,MATCH(Y$4,After1stCHK!$B$3:$AO$3,0),FALSE)</f>
        <v>(blank)</v>
      </c>
      <c r="Z21" s="88" t="str">
        <f>VLOOKUP($B21,After1stCHK!$B$3:$AO$87840,MATCH(Z$4,After1stCHK!$B$3:$AO$3,0),FALSE)</f>
        <v>(blank)</v>
      </c>
      <c r="AA21" s="88" t="str">
        <f>VLOOKUP($B21,After1stCHK!$B$3:$AO$87840,MATCH(AA$4,After1stCHK!$B$3:$AO$3,0),FALSE)</f>
        <v>(blank)</v>
      </c>
      <c r="AB21" s="88" t="str">
        <f>VLOOKUP($B21,After1stCHK!$B$3:$AO$87840,MATCH(AB$4,After1stCHK!$B$3:$AO$3,0),FALSE)</f>
        <v>(blank)</v>
      </c>
      <c r="AC21" s="83" t="str">
        <f>VLOOKUP($B21,After1stCHK!$B$3:$AO$87840,MATCH(AC$4,After1stCHK!$B$3:$AO$3,0),FALSE)</f>
        <v>(blank)</v>
      </c>
      <c r="AD21" s="83" t="str">
        <f>VLOOKUP($B21,After1stCHK!$B$3:$AO$87840,MATCH(AD$4,After1stCHK!$B$3:$AO$3,0),FALSE)</f>
        <v>(blank)</v>
      </c>
      <c r="AE21" s="83" t="str">
        <f>VLOOKUP($B21,After1stCHK!$B$3:$AO$87840,MATCH(AE$4,After1stCHK!$B$3:$AO$3,0),FALSE)</f>
        <v>(blank)</v>
      </c>
      <c r="AF21" s="83" t="str">
        <f>VLOOKUP($B21,After1stCHK!$B$3:$AO$87840,MATCH(AF$4,After1stCHK!$B$3:$AO$3,0),FALSE)</f>
        <v>(blank)</v>
      </c>
      <c r="AG21" s="83" t="str">
        <f>VLOOKUP($B21,After1stCHK!$B$3:$AO$87840,MATCH(AG$4,After1stCHK!$B$3:$AO$3,0),FALSE)</f>
        <v>(blank)</v>
      </c>
      <c r="AH21" s="83" t="str">
        <f>VLOOKUP($B21,After1stCHK!$B$3:$AO$87840,MATCH(AH$4,After1stCHK!$B$3:$AO$3,0),FALSE)</f>
        <v>(blank)</v>
      </c>
      <c r="AI21" s="83" t="str">
        <f>VLOOKUP($B21,After1stCHK!$B$3:$AO$87840,MATCH(AI$4,After1stCHK!$B$3:$AO$3,0),FALSE)</f>
        <v>(blank)</v>
      </c>
      <c r="AJ21" s="83" t="str">
        <f>VLOOKUP($B21,After1stCHK!$B$3:$AO$87840,MATCH(AJ$4,After1stCHK!$B$3:$AO$3,0),FALSE)</f>
        <v>(blank)</v>
      </c>
      <c r="AK21" s="83" t="str">
        <f>VLOOKUP($B21,After1stCHK!$B$3:$AO$87840,MATCH(AK$4,After1stCHK!$B$3:$AO$3,0),FALSE)</f>
        <v>(blank)</v>
      </c>
      <c r="AL21" s="84" t="str">
        <f>VLOOKUP($B21,After1stCHK!$B$3:$AO$87840,MATCH(AL$4,After1stCHK!$B$3:$AO$3,0),FALSE)</f>
        <v>(blank)</v>
      </c>
      <c r="AM21" s="84" t="str">
        <f>VLOOKUP($B21,After1stCHK!$B$3:$AO$87840,MATCH(AM$4,After1stCHK!$B$3:$AO$3,0),FALSE)</f>
        <v>(blank)</v>
      </c>
      <c r="AN21" s="84" t="str">
        <f>VLOOKUP($B21,After1stCHK!$B$3:$AO$87840,MATCH(AN$4,After1stCHK!$B$3:$AO$3,0),FALSE)</f>
        <v>(blank)</v>
      </c>
      <c r="AO21" s="84" t="str">
        <f>VLOOKUP($B21,After1stCHK!$B$3:$AO$87840,MATCH(AO$4,After1stCHK!$B$3:$AO$3,0),FALSE)</f>
        <v>(blank)</v>
      </c>
      <c r="AP21" s="84" t="str">
        <f>VLOOKUP($B21,After1stCHK!$B$3:$AO$87840,MATCH(AP$4,After1stCHK!$B$3:$AO$3,0),FALSE)</f>
        <v>(blank)</v>
      </c>
      <c r="AQ21" s="84" t="str">
        <f>VLOOKUP($B21,After1stCHK!$B$3:$AO$87840,MATCH(AQ$4,After1stCHK!$B$3:$AO$3,0),FALSE)</f>
        <v>(blank)</v>
      </c>
      <c r="AR21" s="84" t="str">
        <f>VLOOKUP($B21,After1stCHK!$B$3:$AO$87840,MATCH(AR$4,After1stCHK!$B$3:$AO$3,0),FALSE)</f>
        <v>(blank)</v>
      </c>
      <c r="AS21" s="84" t="str">
        <f>VLOOKUP($B21,After1stCHK!$B$3:$AO$87840,MATCH(AS$4,After1stCHK!$B$3:$AO$3,0),FALSE)</f>
        <v>(blank)</v>
      </c>
      <c r="AT21" s="84" t="str">
        <f>VLOOKUP($B21,After1stCHK!$B$3:$AO$87840,MATCH(AT$4,After1stCHK!$B$3:$AO$3,0),FALSE)</f>
        <v>(blank)</v>
      </c>
      <c r="AU21" s="89" t="str">
        <f>VLOOKUP($B21,After1stCHK!$B$3:$AO$87840,MATCH(AU$4,After1stCHK!$B$3:$AO$3,0),FALSE)</f>
        <v>(blank)</v>
      </c>
      <c r="AV21" s="191">
        <f t="shared" si="1"/>
        <v>44653</v>
      </c>
      <c r="AX21" s="90"/>
      <c r="AY21" s="91"/>
      <c r="AZ21" s="24"/>
      <c r="BA21" s="92"/>
      <c r="BB21" s="192"/>
      <c r="BC21" s="94"/>
      <c r="BD21" s="193">
        <f t="shared" si="2"/>
        <v>0</v>
      </c>
      <c r="BE21" s="193" t="str">
        <f t="shared" si="3"/>
        <v/>
      </c>
      <c r="BF21" s="193">
        <f t="shared" ca="1" si="4"/>
        <v>0</v>
      </c>
      <c r="BG21" s="194" t="e">
        <f t="shared" ca="1" si="5"/>
        <v>#VALUE!</v>
      </c>
      <c r="BH21" s="195">
        <f t="shared" si="6"/>
        <v>4</v>
      </c>
      <c r="BI21" s="195">
        <f t="shared" si="7"/>
        <v>-1</v>
      </c>
      <c r="BJ21" s="3">
        <f t="shared" si="8"/>
        <v>35000</v>
      </c>
      <c r="BK21" s="3" t="str">
        <f t="shared" si="9"/>
        <v>HKD</v>
      </c>
      <c r="BL21" s="196">
        <f ca="1">IF(V21="HKD",1,OFFSET(FX!$A$5,MATCH(E21,FX!A:A,0)-ROW(FX!$A$5),MATCH(V21,FX!$A$5:$AM$5,0)-1,1,1))</f>
        <v>1</v>
      </c>
      <c r="BM21" s="197" t="str">
        <f t="shared" si="10"/>
        <v>3m</v>
      </c>
      <c r="BN21" s="198">
        <f t="shared" si="11"/>
        <v>0</v>
      </c>
      <c r="BO21" s="199"/>
      <c r="BP21" s="200">
        <f t="shared" si="12"/>
        <v>0</v>
      </c>
      <c r="BQ21" s="201">
        <f t="shared" si="13"/>
        <v>0</v>
      </c>
      <c r="BR21" s="202">
        <f t="shared" si="14"/>
        <v>0</v>
      </c>
      <c r="BS21" s="203">
        <f t="shared" ca="1" si="15"/>
        <v>0</v>
      </c>
      <c r="BT21" s="204"/>
      <c r="BU21" s="199">
        <f t="shared" si="16"/>
        <v>0</v>
      </c>
      <c r="BV21" s="201">
        <f t="shared" si="17"/>
        <v>0</v>
      </c>
      <c r="BW21" s="202">
        <f t="shared" si="18"/>
        <v>0</v>
      </c>
      <c r="BX21" s="203">
        <f t="shared" ca="1" si="19"/>
        <v>0</v>
      </c>
      <c r="BY21" s="204"/>
      <c r="BZ21" s="198">
        <f t="shared" si="20"/>
        <v>0</v>
      </c>
      <c r="CA21" s="199"/>
      <c r="CB21" s="200">
        <f t="shared" si="21"/>
        <v>0</v>
      </c>
      <c r="CC21" s="201">
        <f t="shared" si="22"/>
        <v>0</v>
      </c>
      <c r="CD21" s="202">
        <f t="shared" si="23"/>
        <v>0</v>
      </c>
      <c r="CE21" s="203">
        <f t="shared" ca="1" si="24"/>
        <v>0</v>
      </c>
      <c r="CF21" s="204"/>
      <c r="CG21" s="205">
        <f t="shared" si="25"/>
        <v>1.5E-3</v>
      </c>
      <c r="CH21" s="206">
        <f t="shared" si="26"/>
        <v>-35000</v>
      </c>
      <c r="CI21" s="207">
        <f t="shared" si="27"/>
        <v>-35000</v>
      </c>
      <c r="CJ21" s="203">
        <f t="shared" ca="1" si="28"/>
        <v>-35000</v>
      </c>
      <c r="CK21" s="204"/>
      <c r="CL21" s="208">
        <f t="shared" ca="1" si="29"/>
        <v>35000</v>
      </c>
      <c r="CM21" s="209" t="str">
        <f t="shared" si="30"/>
        <v/>
      </c>
      <c r="CN21" s="210" t="str">
        <f t="shared" si="31"/>
        <v>3m</v>
      </c>
      <c r="CO21" s="153">
        <f t="shared" si="32"/>
        <v>44563</v>
      </c>
      <c r="CP21" s="211">
        <f t="shared" ref="CP21:CQ21" si="110">AZ21</f>
        <v>0</v>
      </c>
      <c r="CQ21" s="212">
        <f t="shared" si="110"/>
        <v>0</v>
      </c>
      <c r="CR21" s="213">
        <f t="shared" si="34"/>
        <v>0</v>
      </c>
      <c r="CS21" s="213">
        <f t="shared" si="35"/>
        <v>0</v>
      </c>
      <c r="CT21" s="214">
        <f>SUMIFS('1HistTrade'!DF:DF,'1HistTrade'!$D:$D,$D21,'1HistTrade'!$BM:$BM,$BM21,'1HistTrade'!$B:$B,"&lt;"&amp;$B21)</f>
        <v>0</v>
      </c>
      <c r="CU21" s="215">
        <f>SUMIFS('1HistTrade'!DG:DG,'1HistTrade'!$D:$D,$D21,'1HistTrade'!$BM:$BM,$BM21,'1HistTrade'!$B:$B,"&lt;"&amp;$B21)</f>
        <v>0</v>
      </c>
      <c r="CV21" s="215">
        <f>SUMIFS('1HistTrade'!DH:DH,'1HistTrade'!$D:$D,$D21,'1HistTrade'!$BM:$BM,$BM21,'1HistTrade'!$B:$B,"&lt;"&amp;$B21)</f>
        <v>0</v>
      </c>
      <c r="CW21" s="215">
        <f>SUMIFS('1HistTrade'!DI:DI,'1HistTrade'!$D:$D,$D21,'1HistTrade'!$BM:$BM,$BM21,'1HistTrade'!$B:$B,"&lt;"&amp;$B21)</f>
        <v>30000</v>
      </c>
      <c r="CX21" s="216">
        <f t="shared" si="36"/>
        <v>0</v>
      </c>
      <c r="CY21" s="216">
        <f t="shared" si="37"/>
        <v>0</v>
      </c>
      <c r="CZ21" s="216">
        <f t="shared" si="38"/>
        <v>0</v>
      </c>
      <c r="DA21" s="216">
        <f t="shared" ca="1" si="39"/>
        <v>-5000</v>
      </c>
      <c r="DB21" s="21" t="str">
        <f t="shared" si="40"/>
        <v/>
      </c>
      <c r="DC21" s="21" t="str">
        <f t="shared" si="41"/>
        <v/>
      </c>
      <c r="DD21" s="21" t="str">
        <f t="shared" si="42"/>
        <v/>
      </c>
      <c r="DE21" s="21" t="str">
        <f t="shared" ca="1" si="43"/>
        <v>OFSS</v>
      </c>
      <c r="DF21" s="215">
        <f t="shared" si="44"/>
        <v>0</v>
      </c>
      <c r="DG21" s="215">
        <f t="shared" si="45"/>
        <v>0</v>
      </c>
      <c r="DH21" s="215">
        <f t="shared" si="46"/>
        <v>0</v>
      </c>
      <c r="DI21" s="215">
        <f t="shared" ca="1" si="47"/>
        <v>-35000</v>
      </c>
      <c r="DJ21" s="215" t="str">
        <f t="shared" ca="1" si="48"/>
        <v>OFSS</v>
      </c>
      <c r="DK21" s="116"/>
      <c r="DL21" s="116">
        <f t="shared" si="49"/>
        <v>0</v>
      </c>
      <c r="DM21" s="116">
        <f t="shared" si="50"/>
        <v>0</v>
      </c>
      <c r="DN21" s="116">
        <f t="shared" ca="1" si="51"/>
        <v>0</v>
      </c>
      <c r="DO21" s="217">
        <f t="shared" si="52"/>
        <v>0</v>
      </c>
      <c r="DP21" s="217">
        <f t="shared" si="53"/>
        <v>0</v>
      </c>
      <c r="DQ21" s="116">
        <f>IF($DT$1="Delete",0,IF(OR(DG21="",DG21=0),0,SUMIFS('1HistTrade'!$ED:$ED,'1HistTrade'!$D:$D,D21,'1HistTrade'!$H:$H,H21,'1HistTrade'!$B:$B,"&lt;"&amp;B21)))</f>
        <v>0</v>
      </c>
      <c r="DR21" s="116">
        <f t="shared" ca="1" si="54"/>
        <v>0</v>
      </c>
      <c r="DS21" s="116">
        <f t="shared" ca="1" si="55"/>
        <v>0</v>
      </c>
      <c r="DT21" s="116">
        <f>IF($DT$1="Delete",0,IF(OR(DI21="",DI21=0),0,SUMIFS('1HistTrade'!$ED:$ED,'1HistTrade'!$D:$D,D21,'1HistTrade'!$H:$H,H21,'1HistTrade'!$B:$B,"&lt;"&amp;B21)))</f>
        <v>0</v>
      </c>
      <c r="DU21" s="116">
        <f t="shared" ca="1" si="56"/>
        <v>-35000</v>
      </c>
      <c r="DV21" s="116">
        <f t="shared" ca="1" si="57"/>
        <v>25000</v>
      </c>
      <c r="DW21" s="218">
        <f t="shared" si="58"/>
        <v>0</v>
      </c>
      <c r="DX21" s="219"/>
      <c r="DY21" s="219">
        <f t="shared" si="59"/>
        <v>0</v>
      </c>
      <c r="DZ21" s="220">
        <f t="shared" ca="1" si="60"/>
        <v>0</v>
      </c>
      <c r="EA21" s="220">
        <f t="shared" si="61"/>
        <v>0</v>
      </c>
      <c r="EB21" s="221">
        <f t="shared" ca="1" si="62"/>
        <v>0</v>
      </c>
      <c r="EC21" s="116">
        <f t="shared" ca="1" si="63"/>
        <v>35000</v>
      </c>
      <c r="ED21" s="116">
        <f t="shared" ca="1" si="64"/>
        <v>25000</v>
      </c>
      <c r="EE21" s="222" t="str">
        <f t="shared" si="65"/>
        <v/>
      </c>
      <c r="EF21" s="116">
        <f t="shared" ca="1" si="66"/>
        <v>25000</v>
      </c>
      <c r="EG21" s="223">
        <f ca="1">IF(ISERROR(VLOOKUP(_xludf.maxifs(DbyD!C:C,DbyD!B:B,C21,DbyD!F:F,"&lt;=" &amp; E21,DbyD!C:C,"&lt;"&amp;B21),DbyD!C:BE,MATCH(DbyD!$BB$9,DbyD!$9:$9,0)-2,FALSE)),0,VLOOKUP(_xludf.maxifs(DbyD!C:C,DbyD!B:B,C21,DbyD!F:F,"&lt;=" &amp; E21,DbyD!C:C,"&lt;"&amp;B21),DbyD!C:BE,MATCH(DbyD!$BB$9,DbyD!$9:$9,0)-2,FALSE))</f>
        <v>0</v>
      </c>
      <c r="EH21" s="116">
        <f>SUMIFS('1HistTrade'!$EM:$EM,'1HistTrade'!$D:$D,D21,'1HistTrade'!$B:$B,"&lt;"&amp;B21,'1HistTrade'!$DJ:$DJ,"&lt;&gt;"&amp;"CD/CW")*-1</f>
        <v>75794.592400000009</v>
      </c>
      <c r="EI21" s="116">
        <f t="shared" ca="1" si="67"/>
        <v>75794.592400000009</v>
      </c>
      <c r="EJ21" s="116">
        <f>SUMIFS('1HistTrade'!$EN:$EN,'1HistTrade'!$D:$D,D21,'1HistTrade'!$B:$B,"&lt;"&amp;B21)</f>
        <v>424205.40759999998</v>
      </c>
      <c r="EK21" s="224">
        <f>SUMIFS('1HistTrade'!$EU:$EU,'1HistTrade'!$D:$D,D21,'1HistTrade'!$B:$B,"&lt;"&amp;B21)</f>
        <v>0</v>
      </c>
      <c r="EL21" s="116"/>
      <c r="EM21" s="116">
        <f t="shared" ref="EM21:EN21" ca="1" si="111">EC21</f>
        <v>35000</v>
      </c>
      <c r="EN21" s="116">
        <f t="shared" ca="1" si="111"/>
        <v>25000</v>
      </c>
      <c r="EO21" s="224"/>
      <c r="EP21" s="116"/>
      <c r="EQ21" s="116">
        <f t="shared" ca="1" si="69"/>
        <v>35000</v>
      </c>
      <c r="ER21" s="116">
        <f t="shared" ca="1" si="70"/>
        <v>40794.592400000009</v>
      </c>
      <c r="ES21" s="116">
        <f t="shared" ca="1" si="71"/>
        <v>75794.592400000009</v>
      </c>
      <c r="ET21" s="116">
        <f t="shared" ca="1" si="72"/>
        <v>449205.40759999998</v>
      </c>
      <c r="EU21" s="224">
        <f t="shared" ca="1" si="73"/>
        <v>0</v>
      </c>
      <c r="EV21" s="213">
        <f t="shared" ca="1" si="74"/>
        <v>0</v>
      </c>
      <c r="EX21" s="116">
        <f t="shared" ca="1" si="75"/>
        <v>35000</v>
      </c>
      <c r="EY21" s="116">
        <f t="shared" ca="1" si="76"/>
        <v>40794.592400000009</v>
      </c>
      <c r="EZ21" s="116">
        <f t="shared" ca="1" si="77"/>
        <v>75794.592400000009</v>
      </c>
      <c r="FA21" s="116">
        <f t="shared" ca="1" si="78"/>
        <v>449205.40759999998</v>
      </c>
      <c r="FB21" s="116">
        <f t="shared" ca="1" si="79"/>
        <v>0</v>
      </c>
      <c r="FC21" s="189"/>
      <c r="FE21" s="31"/>
      <c r="FG21" s="31"/>
    </row>
    <row r="22" spans="1:163" ht="13">
      <c r="A22" s="10">
        <f>IF(E22&lt;=HistSecRecord!$E$1,1,0)</f>
        <v>1</v>
      </c>
      <c r="B22" s="190">
        <f>After1stCHK!B21</f>
        <v>44563000037</v>
      </c>
      <c r="C22" s="3" t="str">
        <f>After1stCHK!C21</f>
        <v>D0004</v>
      </c>
      <c r="D22" s="29" t="str">
        <f>After1stCHK!D21</f>
        <v>sABCD0004@hkmu.edu.hk</v>
      </c>
      <c r="E22" s="4">
        <f>After1stCHK!E21</f>
        <v>44563</v>
      </c>
      <c r="F22" s="105"/>
      <c r="G22" s="79" t="str">
        <f>After1stCHK!F21</f>
        <v>BUY (LONG)</v>
      </c>
      <c r="H22" s="80" t="str">
        <f>After1stCHK!G21</f>
        <v>GS</v>
      </c>
      <c r="I22" s="81" t="str">
        <f>After1stCHK!H21</f>
        <v>Stock</v>
      </c>
      <c r="J22" s="88">
        <f>After1stCHK!I21</f>
        <v>30</v>
      </c>
      <c r="K22" s="103">
        <f>After1stCHK!J21</f>
        <v>0</v>
      </c>
      <c r="L22" s="56">
        <f>After1stCHK!K21</f>
        <v>0</v>
      </c>
      <c r="M22" s="104">
        <f>After1stCHK!L21</f>
        <v>0</v>
      </c>
      <c r="N22" s="82">
        <f>After1stCHK!M21</f>
        <v>385</v>
      </c>
      <c r="O22" s="82"/>
      <c r="P22" s="86"/>
      <c r="Q22" s="43"/>
      <c r="T22" s="87">
        <f t="shared" si="0"/>
        <v>44563</v>
      </c>
      <c r="U22" s="102"/>
      <c r="V22" s="81" t="str">
        <f>VLOOKUP($B22,After1stCHK!$B$3:$AO$87840,MATCH(V$4,After1stCHK!$B$3:$AO$3,0),FALSE)</f>
        <v>USD</v>
      </c>
      <c r="W22" s="82" t="str">
        <f>VLOOKUP($B22,After1stCHK!$B$3:$AO$87840,MATCH(W$4,After1stCHK!$B$3:$AO$3,0),FALSE)</f>
        <v>GS</v>
      </c>
      <c r="X22" s="82">
        <f>VLOOKUP($B22,After1stCHK!$B$3:$AO$87840,MATCH(X$4,After1stCHK!$B$3:$AO$3,0),FALSE)</f>
        <v>346.6</v>
      </c>
      <c r="Y22" s="82">
        <f>VLOOKUP($B22,After1stCHK!$B$3:$AO$87840,MATCH(Y$4,After1stCHK!$B$3:$AO$3,0),FALSE)</f>
        <v>350.48</v>
      </c>
      <c r="Z22" s="82">
        <f>VLOOKUP($B22,After1stCHK!$B$3:$AO$87840,MATCH(Z$4,After1stCHK!$B$3:$AO$3,0),FALSE)</f>
        <v>338.41</v>
      </c>
      <c r="AA22" s="82">
        <f>VLOOKUP($B22,After1stCHK!$B$3:$AO$87840,MATCH(AA$4,After1stCHK!$B$3:$AO$3,0),FALSE)</f>
        <v>341.55</v>
      </c>
      <c r="AB22" s="82">
        <f>VLOOKUP($B22,After1stCHK!$B$3:$AO$87840,MATCH(AB$4,After1stCHK!$B$3:$AO$3,0),FALSE)</f>
        <v>3705887</v>
      </c>
      <c r="AC22" s="103" t="str">
        <f>VLOOKUP($B22,After1stCHK!$B$3:$AO$87840,MATCH(AC$4,After1stCHK!$B$3:$AO$3,0),FALSE)</f>
        <v>(blank)</v>
      </c>
      <c r="AD22" s="103" t="str">
        <f>VLOOKUP($B22,After1stCHK!$B$3:$AO$87840,MATCH(AD$4,After1stCHK!$B$3:$AO$3,0),FALSE)</f>
        <v>(blank)</v>
      </c>
      <c r="AE22" s="103" t="str">
        <f>VLOOKUP($B22,After1stCHK!$B$3:$AO$87840,MATCH(AE$4,After1stCHK!$B$3:$AO$3,0),FALSE)</f>
        <v>(blank)</v>
      </c>
      <c r="AF22" s="103" t="str">
        <f>VLOOKUP($B22,After1stCHK!$B$3:$AO$87840,MATCH(AF$4,After1stCHK!$B$3:$AO$3,0),FALSE)</f>
        <v>(blank)</v>
      </c>
      <c r="AG22" s="103" t="str">
        <f>VLOOKUP($B22,After1stCHK!$B$3:$AO$87840,MATCH(AG$4,After1stCHK!$B$3:$AO$3,0),FALSE)</f>
        <v>(blank)</v>
      </c>
      <c r="AH22" s="103" t="str">
        <f>VLOOKUP($B22,After1stCHK!$B$3:$AO$87840,MATCH(AH$4,After1stCHK!$B$3:$AO$3,0),FALSE)</f>
        <v>(blank)</v>
      </c>
      <c r="AI22" s="103" t="str">
        <f>VLOOKUP($B22,After1stCHK!$B$3:$AO$87840,MATCH(AI$4,After1stCHK!$B$3:$AO$3,0),FALSE)</f>
        <v>(blank)</v>
      </c>
      <c r="AJ22" s="103" t="str">
        <f>VLOOKUP($B22,After1stCHK!$B$3:$AO$87840,MATCH(AJ$4,After1stCHK!$B$3:$AO$3,0),FALSE)</f>
        <v>(blank)</v>
      </c>
      <c r="AK22" s="103" t="str">
        <f>VLOOKUP($B22,After1stCHK!$B$3:$AO$87840,MATCH(AK$4,After1stCHK!$B$3:$AO$3,0),FALSE)</f>
        <v>(blank)</v>
      </c>
      <c r="AL22" s="56" t="str">
        <f>VLOOKUP($B22,After1stCHK!$B$3:$AO$87840,MATCH(AL$4,After1stCHK!$B$3:$AO$3,0),FALSE)</f>
        <v>(blank)</v>
      </c>
      <c r="AM22" s="56" t="str">
        <f>VLOOKUP($B22,After1stCHK!$B$3:$AO$87840,MATCH(AM$4,After1stCHK!$B$3:$AO$3,0),FALSE)</f>
        <v>(blank)</v>
      </c>
      <c r="AN22" s="56" t="str">
        <f>VLOOKUP($B22,After1stCHK!$B$3:$AO$87840,MATCH(AN$4,After1stCHK!$B$3:$AO$3,0),FALSE)</f>
        <v>(blank)</v>
      </c>
      <c r="AO22" s="56" t="str">
        <f>VLOOKUP($B22,After1stCHK!$B$3:$AO$87840,MATCH(AO$4,After1stCHK!$B$3:$AO$3,0),FALSE)</f>
        <v>(blank)</v>
      </c>
      <c r="AP22" s="56" t="str">
        <f>VLOOKUP($B22,After1stCHK!$B$3:$AO$87840,MATCH(AP$4,After1stCHK!$B$3:$AO$3,0),FALSE)</f>
        <v>(blank)</v>
      </c>
      <c r="AQ22" s="56" t="str">
        <f>VLOOKUP($B22,After1stCHK!$B$3:$AO$87840,MATCH(AQ$4,After1stCHK!$B$3:$AO$3,0),FALSE)</f>
        <v>(blank)</v>
      </c>
      <c r="AR22" s="56" t="str">
        <f>VLOOKUP($B22,After1stCHK!$B$3:$AO$87840,MATCH(AR$4,After1stCHK!$B$3:$AO$3,0),FALSE)</f>
        <v>(blank)</v>
      </c>
      <c r="AS22" s="56" t="str">
        <f>VLOOKUP($B22,After1stCHK!$B$3:$AO$87840,MATCH(AS$4,After1stCHK!$B$3:$AO$3,0),FALSE)</f>
        <v>(blank)</v>
      </c>
      <c r="AT22" s="56" t="str">
        <f>VLOOKUP($B22,After1stCHK!$B$3:$AO$87840,MATCH(AT$4,After1stCHK!$B$3:$AO$3,0),FALSE)</f>
        <v>(blank)</v>
      </c>
      <c r="AU22" s="104" t="str">
        <f>VLOOKUP($B22,After1stCHK!$B$3:$AO$87840,MATCH(AU$4,After1stCHK!$B$3:$AO$3,0),FALSE)</f>
        <v>(blank)</v>
      </c>
      <c r="AV22" s="225" t="str">
        <f t="shared" si="1"/>
        <v/>
      </c>
      <c r="AX22" s="90"/>
      <c r="AY22" s="91"/>
      <c r="AZ22" s="24"/>
      <c r="BA22" s="92"/>
      <c r="BB22" s="192"/>
      <c r="BC22" s="94"/>
      <c r="BD22" s="193">
        <f t="shared" si="2"/>
        <v>0</v>
      </c>
      <c r="BE22" s="193" t="str">
        <f t="shared" si="3"/>
        <v/>
      </c>
      <c r="BF22" s="193">
        <f t="shared" ca="1" si="4"/>
        <v>0</v>
      </c>
      <c r="BG22" s="194" t="e">
        <f t="shared" ca="1" si="5"/>
        <v>#VALUE!</v>
      </c>
      <c r="BH22" s="195">
        <f t="shared" si="6"/>
        <v>1</v>
      </c>
      <c r="BI22" s="195">
        <f t="shared" si="7"/>
        <v>1</v>
      </c>
      <c r="BJ22" s="3">
        <f t="shared" si="8"/>
        <v>30</v>
      </c>
      <c r="BK22" s="3" t="str">
        <f t="shared" si="9"/>
        <v>USD</v>
      </c>
      <c r="BL22" s="196">
        <f ca="1">IF(V22="HKD",1,OFFSET(FX!$A$5,MATCH(E22,FX!A:A,0)-ROW(FX!$A$5),MATCH(V22,FX!$A$5:$AM$5,0)-1,1,1))</f>
        <v>7.7961499999999999</v>
      </c>
      <c r="BM22" s="197" t="str">
        <f t="shared" si="10"/>
        <v>GS</v>
      </c>
      <c r="BN22" s="198">
        <f t="shared" si="11"/>
        <v>385</v>
      </c>
      <c r="BO22" s="199"/>
      <c r="BP22" s="200">
        <f t="shared" si="12"/>
        <v>385</v>
      </c>
      <c r="BQ22" s="201">
        <f t="shared" si="13"/>
        <v>30</v>
      </c>
      <c r="BR22" s="202">
        <f t="shared" si="14"/>
        <v>11550</v>
      </c>
      <c r="BS22" s="203">
        <f t="shared" ca="1" si="15"/>
        <v>90045.532500000001</v>
      </c>
      <c r="BT22" s="204"/>
      <c r="BU22" s="199">
        <f t="shared" si="16"/>
        <v>0</v>
      </c>
      <c r="BV22" s="201">
        <f t="shared" si="17"/>
        <v>0</v>
      </c>
      <c r="BW22" s="202">
        <f t="shared" si="18"/>
        <v>0</v>
      </c>
      <c r="BX22" s="203">
        <f t="shared" ca="1" si="19"/>
        <v>0</v>
      </c>
      <c r="BY22" s="204"/>
      <c r="BZ22" s="198">
        <f t="shared" si="20"/>
        <v>0</v>
      </c>
      <c r="CA22" s="199"/>
      <c r="CB22" s="200">
        <f t="shared" si="21"/>
        <v>0</v>
      </c>
      <c r="CC22" s="201">
        <f t="shared" si="22"/>
        <v>0</v>
      </c>
      <c r="CD22" s="202">
        <f t="shared" si="23"/>
        <v>0</v>
      </c>
      <c r="CE22" s="203">
        <f t="shared" ca="1" si="24"/>
        <v>0</v>
      </c>
      <c r="CF22" s="204"/>
      <c r="CG22" s="205">
        <f t="shared" si="25"/>
        <v>0</v>
      </c>
      <c r="CH22" s="206">
        <f t="shared" si="26"/>
        <v>0</v>
      </c>
      <c r="CI22" s="207">
        <f t="shared" si="27"/>
        <v>0</v>
      </c>
      <c r="CJ22" s="203">
        <f t="shared" ca="1" si="28"/>
        <v>0</v>
      </c>
      <c r="CK22" s="204"/>
      <c r="CL22" s="208">
        <f t="shared" ca="1" si="29"/>
        <v>-90045.532500000001</v>
      </c>
      <c r="CM22" s="209" t="str">
        <f t="shared" si="30"/>
        <v/>
      </c>
      <c r="CN22" s="210" t="str">
        <f t="shared" si="31"/>
        <v>GS</v>
      </c>
      <c r="CO22" s="153">
        <f t="shared" si="32"/>
        <v>44563</v>
      </c>
      <c r="CP22" s="211">
        <f t="shared" ref="CP22:CQ22" si="112">AZ22</f>
        <v>0</v>
      </c>
      <c r="CQ22" s="212">
        <f t="shared" si="112"/>
        <v>0</v>
      </c>
      <c r="CR22" s="213">
        <f t="shared" si="34"/>
        <v>0</v>
      </c>
      <c r="CS22" s="213">
        <f t="shared" si="35"/>
        <v>0</v>
      </c>
      <c r="CT22" s="214">
        <f>SUMIFS('1HistTrade'!DF:DF,'1HistTrade'!$D:$D,$D22,'1HistTrade'!$BM:$BM,$BM22,'1HistTrade'!$B:$B,"&lt;"&amp;$B22)</f>
        <v>0</v>
      </c>
      <c r="CU22" s="215">
        <f>SUMIFS('1HistTrade'!DG:DG,'1HistTrade'!$D:$D,$D22,'1HistTrade'!$BM:$BM,$BM22,'1HistTrade'!$B:$B,"&lt;"&amp;$B22)</f>
        <v>0</v>
      </c>
      <c r="CV22" s="215">
        <f>SUMIFS('1HistTrade'!DH:DH,'1HistTrade'!$D:$D,$D22,'1HistTrade'!$BM:$BM,$BM22,'1HistTrade'!$B:$B,"&lt;"&amp;$B22)</f>
        <v>0</v>
      </c>
      <c r="CW22" s="215">
        <f>SUMIFS('1HistTrade'!DI:DI,'1HistTrade'!$D:$D,$D22,'1HistTrade'!$BM:$BM,$BM22,'1HistTrade'!$B:$B,"&lt;"&amp;$B22)</f>
        <v>0</v>
      </c>
      <c r="CX22" s="216">
        <f t="shared" si="36"/>
        <v>30</v>
      </c>
      <c r="CY22" s="216">
        <f t="shared" si="37"/>
        <v>0</v>
      </c>
      <c r="CZ22" s="216">
        <f t="shared" si="38"/>
        <v>0</v>
      </c>
      <c r="DA22" s="216">
        <f t="shared" ca="1" si="39"/>
        <v>0</v>
      </c>
      <c r="DB22" s="21" t="str">
        <f t="shared" si="40"/>
        <v>B</v>
      </c>
      <c r="DC22" s="21" t="str">
        <f t="shared" si="41"/>
        <v/>
      </c>
      <c r="DD22" s="21" t="str">
        <f t="shared" si="42"/>
        <v/>
      </c>
      <c r="DE22" s="21" t="str">
        <f t="shared" ca="1" si="43"/>
        <v/>
      </c>
      <c r="DF22" s="215">
        <f t="shared" si="44"/>
        <v>30</v>
      </c>
      <c r="DG22" s="215">
        <f t="shared" si="45"/>
        <v>0</v>
      </c>
      <c r="DH22" s="215">
        <f t="shared" si="46"/>
        <v>0</v>
      </c>
      <c r="DI22" s="215">
        <f t="shared" ca="1" si="47"/>
        <v>0</v>
      </c>
      <c r="DJ22" s="215" t="str">
        <f t="shared" si="48"/>
        <v>B</v>
      </c>
      <c r="DK22" s="116"/>
      <c r="DL22" s="116">
        <f t="shared" ca="1" si="49"/>
        <v>3001.51775</v>
      </c>
      <c r="DM22" s="116">
        <f t="shared" ca="1" si="50"/>
        <v>90045.532500000001</v>
      </c>
      <c r="DN22" s="116">
        <f t="shared" ca="1" si="51"/>
        <v>-90045.532500000001</v>
      </c>
      <c r="DO22" s="217">
        <f t="shared" ca="1" si="52"/>
        <v>90045.532500000001</v>
      </c>
      <c r="DP22" s="217">
        <f t="shared" ca="1" si="53"/>
        <v>0</v>
      </c>
      <c r="DQ22" s="116">
        <f>IF($DT$1="Delete",0,IF(OR(DG22="",DG22=0),0,SUMIFS('1HistTrade'!$ED:$ED,'1HistTrade'!$D:$D,D22,'1HistTrade'!$H:$H,H22,'1HistTrade'!$B:$B,"&lt;"&amp;B22)))</f>
        <v>0</v>
      </c>
      <c r="DR22" s="116">
        <f t="shared" ca="1" si="54"/>
        <v>0</v>
      </c>
      <c r="DS22" s="116">
        <f t="shared" ca="1" si="55"/>
        <v>0</v>
      </c>
      <c r="DT22" s="116">
        <f>IF($DT$1="Delete",0,IF(OR(DI22="",DI22=0),0,SUMIFS('1HistTrade'!$ED:$ED,'1HistTrade'!$D:$D,D22,'1HistTrade'!$H:$H,H22,'1HistTrade'!$B:$B,"&lt;"&amp;B22)))</f>
        <v>0</v>
      </c>
      <c r="DU22" s="116">
        <f t="shared" ca="1" si="56"/>
        <v>0</v>
      </c>
      <c r="DV22" s="116">
        <f t="shared" ca="1" si="57"/>
        <v>0</v>
      </c>
      <c r="DW22" s="218">
        <f t="shared" si="58"/>
        <v>0</v>
      </c>
      <c r="DX22" s="219"/>
      <c r="DY22" s="219">
        <f t="shared" si="59"/>
        <v>0</v>
      </c>
      <c r="DZ22" s="220">
        <f t="shared" ca="1" si="60"/>
        <v>0</v>
      </c>
      <c r="EA22" s="220">
        <f t="shared" si="61"/>
        <v>0</v>
      </c>
      <c r="EB22" s="221">
        <f t="shared" ca="1" si="62"/>
        <v>0</v>
      </c>
      <c r="EC22" s="116">
        <f t="shared" ca="1" si="63"/>
        <v>-90045.532500000001</v>
      </c>
      <c r="ED22" s="116">
        <f t="shared" ca="1" si="64"/>
        <v>-90045.532500000001</v>
      </c>
      <c r="EE22" s="222" t="str">
        <f t="shared" si="65"/>
        <v/>
      </c>
      <c r="EF22" s="116">
        <f t="shared" si="66"/>
        <v>-30</v>
      </c>
      <c r="EG22" s="223">
        <f ca="1">IF(ISERROR(VLOOKUP(_xludf.maxifs(DbyD!C:C,DbyD!B:B,C22,DbyD!F:F,"&lt;=" &amp; E22,DbyD!C:C,"&lt;"&amp;B22),DbyD!C:BE,MATCH(DbyD!$BB$9,DbyD!$9:$9,0)-2,FALSE)),0,VLOOKUP(_xludf.maxifs(DbyD!C:C,DbyD!B:B,C22,DbyD!F:F,"&lt;=" &amp; E22,DbyD!C:C,"&lt;"&amp;B22),DbyD!C:BE,MATCH(DbyD!$BB$9,DbyD!$9:$9,0)-2,FALSE))</f>
        <v>0</v>
      </c>
      <c r="EH22" s="116">
        <f>SUMIFS('1HistTrade'!$EM:$EM,'1HistTrade'!$D:$D,D22,'1HistTrade'!$B:$B,"&lt;"&amp;B22,'1HistTrade'!$DJ:$DJ,"&lt;&gt;"&amp;"CD/CW")*-1</f>
        <v>0</v>
      </c>
      <c r="EI22" s="116">
        <f t="shared" ca="1" si="67"/>
        <v>0</v>
      </c>
      <c r="EJ22" s="116">
        <f>SUMIFS('1HistTrade'!$EN:$EN,'1HistTrade'!$D:$D,D22,'1HistTrade'!$B:$B,"&lt;"&amp;B22)</f>
        <v>500000</v>
      </c>
      <c r="EK22" s="224">
        <f>SUMIFS('1HistTrade'!$EU:$EU,'1HistTrade'!$D:$D,D22,'1HistTrade'!$B:$B,"&lt;"&amp;B22)</f>
        <v>0</v>
      </c>
      <c r="EL22" s="116"/>
      <c r="EM22" s="116">
        <f t="shared" ref="EM22:EN22" ca="1" si="113">EC22</f>
        <v>-90045.532500000001</v>
      </c>
      <c r="EN22" s="116">
        <f t="shared" ca="1" si="113"/>
        <v>-90045.532500000001</v>
      </c>
      <c r="EO22" s="224"/>
      <c r="EP22" s="116"/>
      <c r="EQ22" s="116">
        <f t="shared" ca="1" si="69"/>
        <v>-90045.532500000001</v>
      </c>
      <c r="ER22" s="116">
        <f t="shared" ca="1" si="70"/>
        <v>90045.532500000001</v>
      </c>
      <c r="ES22" s="116">
        <f t="shared" ca="1" si="71"/>
        <v>0</v>
      </c>
      <c r="ET22" s="116">
        <f t="shared" ca="1" si="72"/>
        <v>409954.46750000003</v>
      </c>
      <c r="EU22" s="224">
        <f t="shared" ca="1" si="73"/>
        <v>0</v>
      </c>
      <c r="EV22" s="213">
        <f t="shared" ca="1" si="74"/>
        <v>0</v>
      </c>
      <c r="EX22" s="116">
        <f t="shared" ca="1" si="75"/>
        <v>-90045.532500000001</v>
      </c>
      <c r="EY22" s="116">
        <f t="shared" ca="1" si="76"/>
        <v>90045.532500000001</v>
      </c>
      <c r="EZ22" s="116">
        <f t="shared" ca="1" si="77"/>
        <v>0</v>
      </c>
      <c r="FA22" s="116">
        <f t="shared" ca="1" si="78"/>
        <v>409954.46750000003</v>
      </c>
      <c r="FB22" s="116">
        <f t="shared" ca="1" si="79"/>
        <v>0</v>
      </c>
      <c r="FC22" s="189"/>
      <c r="FE22" s="31"/>
      <c r="FG22" s="31"/>
    </row>
    <row r="23" spans="1:163" ht="13">
      <c r="A23" s="10">
        <f>IF(E23&lt;=HistSecRecord!$E$1,1,0)</f>
        <v>1</v>
      </c>
      <c r="B23" s="190">
        <f>After1stCHK!B22</f>
        <v>44563000038</v>
      </c>
      <c r="C23" s="3" t="str">
        <f>After1stCHK!C22</f>
        <v>D0004</v>
      </c>
      <c r="D23" s="29" t="str">
        <f>After1stCHK!D22</f>
        <v>sABCD0004@hkmu.edu.hk</v>
      </c>
      <c r="E23" s="4">
        <f>After1stCHK!E22</f>
        <v>44563</v>
      </c>
      <c r="F23" s="105"/>
      <c r="G23" s="79" t="str">
        <f>After1stCHK!F22</f>
        <v>BUY (LONG)</v>
      </c>
      <c r="H23" s="226" t="str">
        <f>After1stCHK!G22</f>
        <v>0700.HK</v>
      </c>
      <c r="I23" s="81" t="str">
        <f>After1stCHK!H22</f>
        <v>Stock</v>
      </c>
      <c r="J23" s="88">
        <f>After1stCHK!I22</f>
        <v>30</v>
      </c>
      <c r="K23" s="103">
        <f>After1stCHK!J22</f>
        <v>0</v>
      </c>
      <c r="L23" s="56">
        <f>After1stCHK!K22</f>
        <v>0</v>
      </c>
      <c r="M23" s="104">
        <f>After1stCHK!L22</f>
        <v>0</v>
      </c>
      <c r="N23" s="82">
        <f>After1stCHK!M22</f>
        <v>460</v>
      </c>
      <c r="O23" s="82"/>
      <c r="P23" s="86"/>
      <c r="Q23" s="43"/>
      <c r="T23" s="87">
        <f t="shared" si="0"/>
        <v>44563</v>
      </c>
      <c r="U23" s="102"/>
      <c r="V23" s="81" t="str">
        <f>VLOOKUP($B23,After1stCHK!$B$3:$AO$87840,MATCH(V$4,After1stCHK!$B$3:$AO$3,0),FALSE)</f>
        <v>HKD</v>
      </c>
      <c r="W23" s="100" t="str">
        <f>VLOOKUP($B23,After1stCHK!$B$3:$AO$87840,MATCH(W$4,After1stCHK!$B$3:$AO$3,0),FALSE)</f>
        <v>0700.HK</v>
      </c>
      <c r="X23" s="82">
        <f>VLOOKUP($B23,After1stCHK!$B$3:$AO$87840,MATCH(X$4,After1stCHK!$B$3:$AO$3,0),FALSE)</f>
        <v>465</v>
      </c>
      <c r="Y23" s="82">
        <f>VLOOKUP($B23,After1stCHK!$B$3:$AO$87840,MATCH(Y$4,After1stCHK!$B$3:$AO$3,0),FALSE)</f>
        <v>467</v>
      </c>
      <c r="Z23" s="82">
        <f>VLOOKUP($B23,After1stCHK!$B$3:$AO$87840,MATCH(Z$4,After1stCHK!$B$3:$AO$3,0),FALSE)</f>
        <v>457.8</v>
      </c>
      <c r="AA23" s="82">
        <f>VLOOKUP($B23,After1stCHK!$B$3:$AO$87840,MATCH(AA$4,After1stCHK!$B$3:$AO$3,0),FALSE)</f>
        <v>473.6</v>
      </c>
      <c r="AB23" s="82">
        <f>VLOOKUP($B23,After1stCHK!$B$3:$AO$87840,MATCH(AB$4,After1stCHK!$B$3:$AO$3,0),FALSE)</f>
        <v>16061367</v>
      </c>
      <c r="AC23" s="103" t="str">
        <f>VLOOKUP($B23,After1stCHK!$B$3:$AO$87840,MATCH(AC$4,After1stCHK!$B$3:$AO$3,0),FALSE)</f>
        <v>(blank)</v>
      </c>
      <c r="AD23" s="103" t="str">
        <f>VLOOKUP($B23,After1stCHK!$B$3:$AO$87840,MATCH(AD$4,After1stCHK!$B$3:$AO$3,0),FALSE)</f>
        <v>(blank)</v>
      </c>
      <c r="AE23" s="103" t="str">
        <f>VLOOKUP($B23,After1stCHK!$B$3:$AO$87840,MATCH(AE$4,After1stCHK!$B$3:$AO$3,0),FALSE)</f>
        <v>(blank)</v>
      </c>
      <c r="AF23" s="103" t="str">
        <f>VLOOKUP($B23,After1stCHK!$B$3:$AO$87840,MATCH(AF$4,After1stCHK!$B$3:$AO$3,0),FALSE)</f>
        <v>(blank)</v>
      </c>
      <c r="AG23" s="103" t="str">
        <f>VLOOKUP($B23,After1stCHK!$B$3:$AO$87840,MATCH(AG$4,After1stCHK!$B$3:$AO$3,0),FALSE)</f>
        <v>(blank)</v>
      </c>
      <c r="AH23" s="103" t="str">
        <f>VLOOKUP($B23,After1stCHK!$B$3:$AO$87840,MATCH(AH$4,After1stCHK!$B$3:$AO$3,0),FALSE)</f>
        <v>(blank)</v>
      </c>
      <c r="AI23" s="103" t="str">
        <f>VLOOKUP($B23,After1stCHK!$B$3:$AO$87840,MATCH(AI$4,After1stCHK!$B$3:$AO$3,0),FALSE)</f>
        <v>(blank)</v>
      </c>
      <c r="AJ23" s="103" t="str">
        <f>VLOOKUP($B23,After1stCHK!$B$3:$AO$87840,MATCH(AJ$4,After1stCHK!$B$3:$AO$3,0),FALSE)</f>
        <v>(blank)</v>
      </c>
      <c r="AK23" s="103" t="str">
        <f>VLOOKUP($B23,After1stCHK!$B$3:$AO$87840,MATCH(AK$4,After1stCHK!$B$3:$AO$3,0),FALSE)</f>
        <v>(blank)</v>
      </c>
      <c r="AL23" s="56" t="str">
        <f>VLOOKUP($B23,After1stCHK!$B$3:$AO$87840,MATCH(AL$4,After1stCHK!$B$3:$AO$3,0),FALSE)</f>
        <v>(blank)</v>
      </c>
      <c r="AM23" s="56" t="str">
        <f>VLOOKUP($B23,After1stCHK!$B$3:$AO$87840,MATCH(AM$4,After1stCHK!$B$3:$AO$3,0),FALSE)</f>
        <v>(blank)</v>
      </c>
      <c r="AN23" s="56" t="str">
        <f>VLOOKUP($B23,After1stCHK!$B$3:$AO$87840,MATCH(AN$4,After1stCHK!$B$3:$AO$3,0),FALSE)</f>
        <v>(blank)</v>
      </c>
      <c r="AO23" s="56" t="str">
        <f>VLOOKUP($B23,After1stCHK!$B$3:$AO$87840,MATCH(AO$4,After1stCHK!$B$3:$AO$3,0),FALSE)</f>
        <v>(blank)</v>
      </c>
      <c r="AP23" s="56" t="str">
        <f>VLOOKUP($B23,After1stCHK!$B$3:$AO$87840,MATCH(AP$4,After1stCHK!$B$3:$AO$3,0),FALSE)</f>
        <v>(blank)</v>
      </c>
      <c r="AQ23" s="56" t="str">
        <f>VLOOKUP($B23,After1stCHK!$B$3:$AO$87840,MATCH(AQ$4,After1stCHK!$B$3:$AO$3,0),FALSE)</f>
        <v>(blank)</v>
      </c>
      <c r="AR23" s="56" t="str">
        <f>VLOOKUP($B23,After1stCHK!$B$3:$AO$87840,MATCH(AR$4,After1stCHK!$B$3:$AO$3,0),FALSE)</f>
        <v>(blank)</v>
      </c>
      <c r="AS23" s="56" t="str">
        <f>VLOOKUP($B23,After1stCHK!$B$3:$AO$87840,MATCH(AS$4,After1stCHK!$B$3:$AO$3,0),FALSE)</f>
        <v>(blank)</v>
      </c>
      <c r="AT23" s="56" t="str">
        <f>VLOOKUP($B23,After1stCHK!$B$3:$AO$87840,MATCH(AT$4,After1stCHK!$B$3:$AO$3,0),FALSE)</f>
        <v>(blank)</v>
      </c>
      <c r="AU23" s="104" t="str">
        <f>VLOOKUP($B23,After1stCHK!$B$3:$AO$87840,MATCH(AU$4,After1stCHK!$B$3:$AO$3,0),FALSE)</f>
        <v>(blank)</v>
      </c>
      <c r="AV23" s="225" t="str">
        <f t="shared" si="1"/>
        <v/>
      </c>
      <c r="AX23" s="90"/>
      <c r="AY23" s="91"/>
      <c r="AZ23" s="24"/>
      <c r="BA23" s="92"/>
      <c r="BB23" s="192"/>
      <c r="BC23" s="94"/>
      <c r="BD23" s="193">
        <f t="shared" si="2"/>
        <v>0</v>
      </c>
      <c r="BE23" s="193" t="str">
        <f t="shared" si="3"/>
        <v/>
      </c>
      <c r="BF23" s="193">
        <f t="shared" ca="1" si="4"/>
        <v>0</v>
      </c>
      <c r="BG23" s="194" t="e">
        <f t="shared" ca="1" si="5"/>
        <v>#VALUE!</v>
      </c>
      <c r="BH23" s="195">
        <f t="shared" si="6"/>
        <v>1</v>
      </c>
      <c r="BI23" s="195">
        <f t="shared" si="7"/>
        <v>1</v>
      </c>
      <c r="BJ23" s="3">
        <f t="shared" si="8"/>
        <v>30</v>
      </c>
      <c r="BK23" s="3" t="str">
        <f t="shared" si="9"/>
        <v>HKD</v>
      </c>
      <c r="BL23" s="196">
        <f ca="1">IF(V23="HKD",1,OFFSET(FX!$A$5,MATCH(E23,FX!A:A,0)-ROW(FX!$A$5),MATCH(V23,FX!$A$5:$AM$5,0)-1,1,1))</f>
        <v>1</v>
      </c>
      <c r="BM23" s="227" t="str">
        <f t="shared" si="10"/>
        <v>0700.HK</v>
      </c>
      <c r="BN23" s="198">
        <f t="shared" si="11"/>
        <v>460</v>
      </c>
      <c r="BO23" s="199"/>
      <c r="BP23" s="200">
        <f t="shared" si="12"/>
        <v>460</v>
      </c>
      <c r="BQ23" s="201">
        <f t="shared" si="13"/>
        <v>30</v>
      </c>
      <c r="BR23" s="202">
        <f t="shared" si="14"/>
        <v>13800</v>
      </c>
      <c r="BS23" s="203">
        <f t="shared" ca="1" si="15"/>
        <v>13800</v>
      </c>
      <c r="BT23" s="204"/>
      <c r="BU23" s="199">
        <f t="shared" si="16"/>
        <v>0</v>
      </c>
      <c r="BV23" s="201">
        <f t="shared" si="17"/>
        <v>0</v>
      </c>
      <c r="BW23" s="202">
        <f t="shared" si="18"/>
        <v>0</v>
      </c>
      <c r="BX23" s="203">
        <f t="shared" ca="1" si="19"/>
        <v>0</v>
      </c>
      <c r="BY23" s="204"/>
      <c r="BZ23" s="198">
        <f t="shared" si="20"/>
        <v>0</v>
      </c>
      <c r="CA23" s="199"/>
      <c r="CB23" s="200">
        <f t="shared" si="21"/>
        <v>0</v>
      </c>
      <c r="CC23" s="201">
        <f t="shared" si="22"/>
        <v>0</v>
      </c>
      <c r="CD23" s="202">
        <f t="shared" si="23"/>
        <v>0</v>
      </c>
      <c r="CE23" s="203">
        <f t="shared" ca="1" si="24"/>
        <v>0</v>
      </c>
      <c r="CF23" s="204"/>
      <c r="CG23" s="205">
        <f t="shared" si="25"/>
        <v>0</v>
      </c>
      <c r="CH23" s="206">
        <f t="shared" si="26"/>
        <v>0</v>
      </c>
      <c r="CI23" s="207">
        <f t="shared" si="27"/>
        <v>0</v>
      </c>
      <c r="CJ23" s="203">
        <f t="shared" ca="1" si="28"/>
        <v>0</v>
      </c>
      <c r="CK23" s="204"/>
      <c r="CL23" s="208">
        <f t="shared" ca="1" si="29"/>
        <v>-13800</v>
      </c>
      <c r="CM23" s="209" t="str">
        <f t="shared" si="30"/>
        <v/>
      </c>
      <c r="CN23" s="228" t="str">
        <f t="shared" si="31"/>
        <v>0700.HK</v>
      </c>
      <c r="CO23" s="153">
        <f t="shared" si="32"/>
        <v>44563</v>
      </c>
      <c r="CP23" s="211">
        <f t="shared" ref="CP23:CQ23" si="114">AZ23</f>
        <v>0</v>
      </c>
      <c r="CQ23" s="212">
        <f t="shared" si="114"/>
        <v>0</v>
      </c>
      <c r="CR23" s="213">
        <f t="shared" si="34"/>
        <v>0</v>
      </c>
      <c r="CS23" s="213">
        <f t="shared" si="35"/>
        <v>0</v>
      </c>
      <c r="CT23" s="214">
        <f>SUMIFS('1HistTrade'!DF:DF,'1HistTrade'!$D:$D,$D23,'1HistTrade'!$BM:$BM,$BM23,'1HistTrade'!$B:$B,"&lt;"&amp;$B23)</f>
        <v>0</v>
      </c>
      <c r="CU23" s="215">
        <f>SUMIFS('1HistTrade'!DG:DG,'1HistTrade'!$D:$D,$D23,'1HistTrade'!$BM:$BM,$BM23,'1HistTrade'!$B:$B,"&lt;"&amp;$B23)</f>
        <v>0</v>
      </c>
      <c r="CV23" s="215">
        <f>SUMIFS('1HistTrade'!DH:DH,'1HistTrade'!$D:$D,$D23,'1HistTrade'!$BM:$BM,$BM23,'1HistTrade'!$B:$B,"&lt;"&amp;$B23)</f>
        <v>0</v>
      </c>
      <c r="CW23" s="215">
        <f>SUMIFS('1HistTrade'!DI:DI,'1HistTrade'!$D:$D,$D23,'1HistTrade'!$BM:$BM,$BM23,'1HistTrade'!$B:$B,"&lt;"&amp;$B23)</f>
        <v>0</v>
      </c>
      <c r="CX23" s="216">
        <f t="shared" si="36"/>
        <v>30</v>
      </c>
      <c r="CY23" s="216">
        <f t="shared" si="37"/>
        <v>0</v>
      </c>
      <c r="CZ23" s="216">
        <f t="shared" si="38"/>
        <v>0</v>
      </c>
      <c r="DA23" s="216">
        <f t="shared" ca="1" si="39"/>
        <v>0</v>
      </c>
      <c r="DB23" s="21" t="str">
        <f t="shared" si="40"/>
        <v>B</v>
      </c>
      <c r="DC23" s="21" t="str">
        <f t="shared" si="41"/>
        <v/>
      </c>
      <c r="DD23" s="21" t="str">
        <f t="shared" si="42"/>
        <v/>
      </c>
      <c r="DE23" s="21" t="str">
        <f t="shared" ca="1" si="43"/>
        <v/>
      </c>
      <c r="DF23" s="215">
        <f t="shared" si="44"/>
        <v>30</v>
      </c>
      <c r="DG23" s="215">
        <f t="shared" si="45"/>
        <v>0</v>
      </c>
      <c r="DH23" s="215">
        <f t="shared" si="46"/>
        <v>0</v>
      </c>
      <c r="DI23" s="215">
        <f t="shared" ca="1" si="47"/>
        <v>0</v>
      </c>
      <c r="DJ23" s="215" t="str">
        <f t="shared" si="48"/>
        <v>B</v>
      </c>
      <c r="DK23" s="116"/>
      <c r="DL23" s="116">
        <f t="shared" ca="1" si="49"/>
        <v>460</v>
      </c>
      <c r="DM23" s="116">
        <f t="shared" ca="1" si="50"/>
        <v>13800</v>
      </c>
      <c r="DN23" s="116">
        <f t="shared" ca="1" si="51"/>
        <v>-13800</v>
      </c>
      <c r="DO23" s="217">
        <f t="shared" ca="1" si="52"/>
        <v>13800</v>
      </c>
      <c r="DP23" s="217">
        <f t="shared" ca="1" si="53"/>
        <v>0</v>
      </c>
      <c r="DQ23" s="116">
        <f>IF($DT$1="Delete",0,IF(OR(DG23="",DG23=0),0,SUMIFS('1HistTrade'!$ED:$ED,'1HistTrade'!$D:$D,D23,'1HistTrade'!$H:$H,H23,'1HistTrade'!$B:$B,"&lt;"&amp;B23)))</f>
        <v>0</v>
      </c>
      <c r="DR23" s="116">
        <f t="shared" ca="1" si="54"/>
        <v>0</v>
      </c>
      <c r="DS23" s="116">
        <f t="shared" ca="1" si="55"/>
        <v>0</v>
      </c>
      <c r="DT23" s="116">
        <f>IF($DT$1="Delete",0,IF(OR(DI23="",DI23=0),0,SUMIFS('1HistTrade'!$ED:$ED,'1HistTrade'!$D:$D,D23,'1HistTrade'!$H:$H,H23,'1HistTrade'!$B:$B,"&lt;"&amp;B23)))</f>
        <v>0</v>
      </c>
      <c r="DU23" s="116">
        <f t="shared" ca="1" si="56"/>
        <v>0</v>
      </c>
      <c r="DV23" s="116">
        <f t="shared" ca="1" si="57"/>
        <v>0</v>
      </c>
      <c r="DW23" s="218">
        <f t="shared" si="58"/>
        <v>0</v>
      </c>
      <c r="DX23" s="219"/>
      <c r="DY23" s="219">
        <f t="shared" si="59"/>
        <v>0</v>
      </c>
      <c r="DZ23" s="220">
        <f t="shared" ca="1" si="60"/>
        <v>0</v>
      </c>
      <c r="EA23" s="220">
        <f t="shared" si="61"/>
        <v>0</v>
      </c>
      <c r="EB23" s="221">
        <f t="shared" ca="1" si="62"/>
        <v>0</v>
      </c>
      <c r="EC23" s="116">
        <f t="shared" ca="1" si="63"/>
        <v>-13800</v>
      </c>
      <c r="ED23" s="116">
        <f t="shared" ca="1" si="64"/>
        <v>-13800</v>
      </c>
      <c r="EE23" s="222" t="str">
        <f t="shared" si="65"/>
        <v/>
      </c>
      <c r="EF23" s="116">
        <f t="shared" si="66"/>
        <v>-30</v>
      </c>
      <c r="EG23" s="223">
        <f ca="1">IF(ISERROR(VLOOKUP(_xludf.maxifs(DbyD!C:C,DbyD!B:B,C23,DbyD!F:F,"&lt;=" &amp; E23,DbyD!C:C,"&lt;"&amp;B23),DbyD!C:BE,MATCH(DbyD!$BB$9,DbyD!$9:$9,0)-2,FALSE)),0,VLOOKUP(_xludf.maxifs(DbyD!C:C,DbyD!B:B,C23,DbyD!F:F,"&lt;=" &amp; E23,DbyD!C:C,"&lt;"&amp;B23),DbyD!C:BE,MATCH(DbyD!$BB$9,DbyD!$9:$9,0)-2,FALSE))</f>
        <v>0</v>
      </c>
      <c r="EH23" s="116">
        <f>SUMIFS('1HistTrade'!$EM:$EM,'1HistTrade'!$D:$D,D23,'1HistTrade'!$B:$B,"&lt;"&amp;B23,'1HistTrade'!$DJ:$DJ,"&lt;&gt;"&amp;"CD/CW")*-1</f>
        <v>90045.532500000001</v>
      </c>
      <c r="EI23" s="116">
        <f t="shared" ca="1" si="67"/>
        <v>90045.532500000001</v>
      </c>
      <c r="EJ23" s="116">
        <f>SUMIFS('1HistTrade'!$EN:$EN,'1HistTrade'!$D:$D,D23,'1HistTrade'!$B:$B,"&lt;"&amp;B23)</f>
        <v>409954.46750000003</v>
      </c>
      <c r="EK23" s="224">
        <f>SUMIFS('1HistTrade'!$EU:$EU,'1HistTrade'!$D:$D,D23,'1HistTrade'!$B:$B,"&lt;"&amp;B23)</f>
        <v>0</v>
      </c>
      <c r="EL23" s="116"/>
      <c r="EM23" s="116">
        <f t="shared" ref="EM23:EN23" ca="1" si="115">EC23</f>
        <v>-13800</v>
      </c>
      <c r="EN23" s="116">
        <f t="shared" ca="1" si="115"/>
        <v>-13800</v>
      </c>
      <c r="EO23" s="224"/>
      <c r="EP23" s="116"/>
      <c r="EQ23" s="116">
        <f t="shared" ca="1" si="69"/>
        <v>-13800</v>
      </c>
      <c r="ER23" s="116">
        <f t="shared" ca="1" si="70"/>
        <v>103845.5325</v>
      </c>
      <c r="ES23" s="116">
        <f t="shared" ca="1" si="71"/>
        <v>90045.532500000001</v>
      </c>
      <c r="ET23" s="116">
        <f t="shared" ca="1" si="72"/>
        <v>396154.46750000003</v>
      </c>
      <c r="EU23" s="224">
        <f t="shared" ca="1" si="73"/>
        <v>0</v>
      </c>
      <c r="EV23" s="213">
        <f t="shared" ca="1" si="74"/>
        <v>0</v>
      </c>
      <c r="EX23" s="116">
        <f t="shared" ca="1" si="75"/>
        <v>-13800</v>
      </c>
      <c r="EY23" s="116">
        <f t="shared" ca="1" si="76"/>
        <v>103845.5325</v>
      </c>
      <c r="EZ23" s="116">
        <f t="shared" ca="1" si="77"/>
        <v>90045.532500000001</v>
      </c>
      <c r="FA23" s="116">
        <f t="shared" ca="1" si="78"/>
        <v>396154.46750000003</v>
      </c>
      <c r="FB23" s="116">
        <f t="shared" ca="1" si="79"/>
        <v>0</v>
      </c>
      <c r="FC23" s="189"/>
      <c r="FE23" s="31"/>
      <c r="FG23" s="31"/>
    </row>
    <row r="24" spans="1:163" ht="13">
      <c r="A24" s="10">
        <f>IF(E24&lt;=HistSecRecord!$E$1,1,0)</f>
        <v>1</v>
      </c>
      <c r="B24" s="190">
        <f>After1stCHK!B23</f>
        <v>44563000039</v>
      </c>
      <c r="C24" s="3" t="str">
        <f>After1stCHK!C23</f>
        <v>D0004</v>
      </c>
      <c r="D24" s="29" t="str">
        <f>After1stCHK!D23</f>
        <v>sABCD0004@hkmu.edu.hk</v>
      </c>
      <c r="E24" s="4">
        <f>After1stCHK!E23</f>
        <v>44563</v>
      </c>
      <c r="F24" s="105"/>
      <c r="G24" s="79" t="str">
        <f>After1stCHK!F23</f>
        <v>SELL (SHORT)</v>
      </c>
      <c r="H24" s="226" t="str">
        <f>After1stCHK!G23</f>
        <v>0700.HK</v>
      </c>
      <c r="I24" s="81" t="str">
        <f>After1stCHK!H23</f>
        <v>Stock</v>
      </c>
      <c r="J24" s="82">
        <f>After1stCHK!I23</f>
        <v>20</v>
      </c>
      <c r="K24" s="103">
        <f>After1stCHK!J23</f>
        <v>0</v>
      </c>
      <c r="L24" s="56">
        <f>After1stCHK!K23</f>
        <v>0</v>
      </c>
      <c r="M24" s="104">
        <f>After1stCHK!L23</f>
        <v>0</v>
      </c>
      <c r="N24" s="82">
        <f>After1stCHK!M23</f>
        <v>460</v>
      </c>
      <c r="O24" s="82"/>
      <c r="P24" s="86"/>
      <c r="Q24" s="43"/>
      <c r="T24" s="87">
        <f t="shared" si="0"/>
        <v>44563</v>
      </c>
      <c r="U24" s="102"/>
      <c r="V24" s="81" t="str">
        <f>VLOOKUP($B24,After1stCHK!$B$3:$AO$87840,MATCH(V$4,After1stCHK!$B$3:$AO$3,0),FALSE)</f>
        <v>HKD</v>
      </c>
      <c r="W24" s="100" t="str">
        <f>VLOOKUP($B24,After1stCHK!$B$3:$AO$87840,MATCH(W$4,After1stCHK!$B$3:$AO$3,0),FALSE)</f>
        <v>0700.HK</v>
      </c>
      <c r="X24" s="82">
        <f>VLOOKUP($B24,After1stCHK!$B$3:$AO$87840,MATCH(X$4,After1stCHK!$B$3:$AO$3,0),FALSE)</f>
        <v>465</v>
      </c>
      <c r="Y24" s="82">
        <f>VLOOKUP($B24,After1stCHK!$B$3:$AO$87840,MATCH(Y$4,After1stCHK!$B$3:$AO$3,0),FALSE)</f>
        <v>467</v>
      </c>
      <c r="Z24" s="82">
        <f>VLOOKUP($B24,After1stCHK!$B$3:$AO$87840,MATCH(Z$4,After1stCHK!$B$3:$AO$3,0),FALSE)</f>
        <v>457.8</v>
      </c>
      <c r="AA24" s="82">
        <f>VLOOKUP($B24,After1stCHK!$B$3:$AO$87840,MATCH(AA$4,After1stCHK!$B$3:$AO$3,0),FALSE)</f>
        <v>473.6</v>
      </c>
      <c r="AB24" s="82">
        <f>VLOOKUP($B24,After1stCHK!$B$3:$AO$87840,MATCH(AB$4,After1stCHK!$B$3:$AO$3,0),FALSE)</f>
        <v>16061367</v>
      </c>
      <c r="AC24" s="103" t="str">
        <f>VLOOKUP($B24,After1stCHK!$B$3:$AO$87840,MATCH(AC$4,After1stCHK!$B$3:$AO$3,0),FALSE)</f>
        <v>(blank)</v>
      </c>
      <c r="AD24" s="103" t="str">
        <f>VLOOKUP($B24,After1stCHK!$B$3:$AO$87840,MATCH(AD$4,After1stCHK!$B$3:$AO$3,0),FALSE)</f>
        <v>(blank)</v>
      </c>
      <c r="AE24" s="103" t="str">
        <f>VLOOKUP($B24,After1stCHK!$B$3:$AO$87840,MATCH(AE$4,After1stCHK!$B$3:$AO$3,0),FALSE)</f>
        <v>(blank)</v>
      </c>
      <c r="AF24" s="103" t="str">
        <f>VLOOKUP($B24,After1stCHK!$B$3:$AO$87840,MATCH(AF$4,After1stCHK!$B$3:$AO$3,0),FALSE)</f>
        <v>(blank)</v>
      </c>
      <c r="AG24" s="103" t="str">
        <f>VLOOKUP($B24,After1stCHK!$B$3:$AO$87840,MATCH(AG$4,After1stCHK!$B$3:$AO$3,0),FALSE)</f>
        <v>(blank)</v>
      </c>
      <c r="AH24" s="103" t="str">
        <f>VLOOKUP($B24,After1stCHK!$B$3:$AO$87840,MATCH(AH$4,After1stCHK!$B$3:$AO$3,0),FALSE)</f>
        <v>(blank)</v>
      </c>
      <c r="AI24" s="103" t="str">
        <f>VLOOKUP($B24,After1stCHK!$B$3:$AO$87840,MATCH(AI$4,After1stCHK!$B$3:$AO$3,0),FALSE)</f>
        <v>(blank)</v>
      </c>
      <c r="AJ24" s="103" t="str">
        <f>VLOOKUP($B24,After1stCHK!$B$3:$AO$87840,MATCH(AJ$4,After1stCHK!$B$3:$AO$3,0),FALSE)</f>
        <v>(blank)</v>
      </c>
      <c r="AK24" s="103" t="str">
        <f>VLOOKUP($B24,After1stCHK!$B$3:$AO$87840,MATCH(AK$4,After1stCHK!$B$3:$AO$3,0),FALSE)</f>
        <v>(blank)</v>
      </c>
      <c r="AL24" s="56" t="str">
        <f>VLOOKUP($B24,After1stCHK!$B$3:$AO$87840,MATCH(AL$4,After1stCHK!$B$3:$AO$3,0),FALSE)</f>
        <v>(blank)</v>
      </c>
      <c r="AM24" s="56" t="str">
        <f>VLOOKUP($B24,After1stCHK!$B$3:$AO$87840,MATCH(AM$4,After1stCHK!$B$3:$AO$3,0),FALSE)</f>
        <v>(blank)</v>
      </c>
      <c r="AN24" s="56" t="str">
        <f>VLOOKUP($B24,After1stCHK!$B$3:$AO$87840,MATCH(AN$4,After1stCHK!$B$3:$AO$3,0),FALSE)</f>
        <v>(blank)</v>
      </c>
      <c r="AO24" s="56" t="str">
        <f>VLOOKUP($B24,After1stCHK!$B$3:$AO$87840,MATCH(AO$4,After1stCHK!$B$3:$AO$3,0),FALSE)</f>
        <v>(blank)</v>
      </c>
      <c r="AP24" s="56" t="str">
        <f>VLOOKUP($B24,After1stCHK!$B$3:$AO$87840,MATCH(AP$4,After1stCHK!$B$3:$AO$3,0),FALSE)</f>
        <v>(blank)</v>
      </c>
      <c r="AQ24" s="56" t="str">
        <f>VLOOKUP($B24,After1stCHK!$B$3:$AO$87840,MATCH(AQ$4,After1stCHK!$B$3:$AO$3,0),FALSE)</f>
        <v>(blank)</v>
      </c>
      <c r="AR24" s="56" t="str">
        <f>VLOOKUP($B24,After1stCHK!$B$3:$AO$87840,MATCH(AR$4,After1stCHK!$B$3:$AO$3,0),FALSE)</f>
        <v>(blank)</v>
      </c>
      <c r="AS24" s="56" t="str">
        <f>VLOOKUP($B24,After1stCHK!$B$3:$AO$87840,MATCH(AS$4,After1stCHK!$B$3:$AO$3,0),FALSE)</f>
        <v>(blank)</v>
      </c>
      <c r="AT24" s="56" t="str">
        <f>VLOOKUP($B24,After1stCHK!$B$3:$AO$87840,MATCH(AT$4,After1stCHK!$B$3:$AO$3,0),FALSE)</f>
        <v>(blank)</v>
      </c>
      <c r="AU24" s="104" t="str">
        <f>VLOOKUP($B24,After1stCHK!$B$3:$AO$87840,MATCH(AU$4,After1stCHK!$B$3:$AO$3,0),FALSE)</f>
        <v>(blank)</v>
      </c>
      <c r="AV24" s="225" t="str">
        <f t="shared" si="1"/>
        <v/>
      </c>
      <c r="AX24" s="90"/>
      <c r="AY24" s="91"/>
      <c r="AZ24" s="24"/>
      <c r="BA24" s="92"/>
      <c r="BB24" s="192"/>
      <c r="BC24" s="94"/>
      <c r="BD24" s="193">
        <f t="shared" ca="1" si="2"/>
        <v>0</v>
      </c>
      <c r="BE24" s="193" t="str">
        <f t="shared" si="3"/>
        <v/>
      </c>
      <c r="BF24" s="193">
        <f t="shared" ca="1" si="4"/>
        <v>0</v>
      </c>
      <c r="BG24" s="194" t="e">
        <f t="shared" ca="1" si="5"/>
        <v>#VALUE!</v>
      </c>
      <c r="BH24" s="195">
        <f t="shared" si="6"/>
        <v>1</v>
      </c>
      <c r="BI24" s="195">
        <f t="shared" si="7"/>
        <v>-1</v>
      </c>
      <c r="BJ24" s="3">
        <f t="shared" si="8"/>
        <v>20</v>
      </c>
      <c r="BK24" s="3" t="str">
        <f t="shared" si="9"/>
        <v>HKD</v>
      </c>
      <c r="BL24" s="196">
        <f ca="1">IF(V24="HKD",1,OFFSET(FX!$A$5,MATCH(E24,FX!A:A,0)-ROW(FX!$A$5),MATCH(V24,FX!$A$5:$AM$5,0)-1,1,1))</f>
        <v>1</v>
      </c>
      <c r="BM24" s="227" t="str">
        <f t="shared" si="10"/>
        <v>0700.HK</v>
      </c>
      <c r="BN24" s="198">
        <f t="shared" si="11"/>
        <v>460</v>
      </c>
      <c r="BO24" s="199"/>
      <c r="BP24" s="200">
        <f t="shared" si="12"/>
        <v>460</v>
      </c>
      <c r="BQ24" s="201">
        <f t="shared" si="13"/>
        <v>-20</v>
      </c>
      <c r="BR24" s="202">
        <f t="shared" si="14"/>
        <v>-9200</v>
      </c>
      <c r="BS24" s="203">
        <f t="shared" ca="1" si="15"/>
        <v>-9200</v>
      </c>
      <c r="BT24" s="204"/>
      <c r="BU24" s="199">
        <f t="shared" si="16"/>
        <v>0</v>
      </c>
      <c r="BV24" s="201">
        <f t="shared" si="17"/>
        <v>0</v>
      </c>
      <c r="BW24" s="202">
        <f t="shared" si="18"/>
        <v>0</v>
      </c>
      <c r="BX24" s="203">
        <f t="shared" ca="1" si="19"/>
        <v>0</v>
      </c>
      <c r="BY24" s="204"/>
      <c r="BZ24" s="198">
        <f t="shared" si="20"/>
        <v>0</v>
      </c>
      <c r="CA24" s="199"/>
      <c r="CB24" s="200">
        <f t="shared" si="21"/>
        <v>0</v>
      </c>
      <c r="CC24" s="201">
        <f t="shared" si="22"/>
        <v>0</v>
      </c>
      <c r="CD24" s="202">
        <f t="shared" si="23"/>
        <v>0</v>
      </c>
      <c r="CE24" s="203">
        <f t="shared" ca="1" si="24"/>
        <v>0</v>
      </c>
      <c r="CF24" s="204"/>
      <c r="CG24" s="205">
        <f t="shared" si="25"/>
        <v>0</v>
      </c>
      <c r="CH24" s="206">
        <f t="shared" si="26"/>
        <v>0</v>
      </c>
      <c r="CI24" s="207">
        <f t="shared" si="27"/>
        <v>0</v>
      </c>
      <c r="CJ24" s="203">
        <f t="shared" ca="1" si="28"/>
        <v>0</v>
      </c>
      <c r="CK24" s="204"/>
      <c r="CL24" s="208">
        <f t="shared" ca="1" si="29"/>
        <v>9200</v>
      </c>
      <c r="CM24" s="209" t="str">
        <f t="shared" si="30"/>
        <v/>
      </c>
      <c r="CN24" s="228" t="str">
        <f t="shared" si="31"/>
        <v>0700.HK</v>
      </c>
      <c r="CO24" s="153">
        <f t="shared" si="32"/>
        <v>44563</v>
      </c>
      <c r="CP24" s="211">
        <f t="shared" ref="CP24:CQ24" si="116">AZ24</f>
        <v>0</v>
      </c>
      <c r="CQ24" s="212">
        <f t="shared" si="116"/>
        <v>0</v>
      </c>
      <c r="CR24" s="213">
        <f t="shared" ca="1" si="34"/>
        <v>0</v>
      </c>
      <c r="CS24" s="213">
        <f t="shared" ca="1" si="35"/>
        <v>0</v>
      </c>
      <c r="CT24" s="214">
        <f>SUMIFS('1HistTrade'!DF:DF,'1HistTrade'!$D:$D,$D24,'1HistTrade'!$BM:$BM,$BM24,'1HistTrade'!$B:$B,"&lt;"&amp;$B24)</f>
        <v>30</v>
      </c>
      <c r="CU24" s="215">
        <f>SUMIFS('1HistTrade'!DG:DG,'1HistTrade'!$D:$D,$D24,'1HistTrade'!$BM:$BM,$BM24,'1HistTrade'!$B:$B,"&lt;"&amp;$B24)</f>
        <v>0</v>
      </c>
      <c r="CV24" s="215">
        <f>SUMIFS('1HistTrade'!DH:DH,'1HistTrade'!$D:$D,$D24,'1HistTrade'!$BM:$BM,$BM24,'1HistTrade'!$B:$B,"&lt;"&amp;$B24)</f>
        <v>0</v>
      </c>
      <c r="CW24" s="215">
        <f>SUMIFS('1HistTrade'!DI:DI,'1HistTrade'!$D:$D,$D24,'1HistTrade'!$BM:$BM,$BM24,'1HistTrade'!$B:$B,"&lt;"&amp;$B24)</f>
        <v>0</v>
      </c>
      <c r="CX24" s="216">
        <f t="shared" si="36"/>
        <v>10</v>
      </c>
      <c r="CY24" s="216">
        <f t="shared" si="37"/>
        <v>0</v>
      </c>
      <c r="CZ24" s="216">
        <f t="shared" si="38"/>
        <v>0</v>
      </c>
      <c r="DA24" s="216">
        <f t="shared" ca="1" si="39"/>
        <v>0</v>
      </c>
      <c r="DB24" s="21" t="str">
        <f t="shared" si="40"/>
        <v>S</v>
      </c>
      <c r="DC24" s="21" t="str">
        <f t="shared" si="41"/>
        <v/>
      </c>
      <c r="DD24" s="21" t="str">
        <f t="shared" si="42"/>
        <v/>
      </c>
      <c r="DE24" s="21" t="str">
        <f t="shared" ca="1" si="43"/>
        <v/>
      </c>
      <c r="DF24" s="215">
        <f t="shared" si="44"/>
        <v>-20</v>
      </c>
      <c r="DG24" s="215">
        <f t="shared" si="45"/>
        <v>0</v>
      </c>
      <c r="DH24" s="215">
        <f t="shared" si="46"/>
        <v>0</v>
      </c>
      <c r="DI24" s="215">
        <f t="shared" ca="1" si="47"/>
        <v>0</v>
      </c>
      <c r="DJ24" s="215" t="str">
        <f t="shared" si="48"/>
        <v>S</v>
      </c>
      <c r="DK24" s="116"/>
      <c r="DL24" s="116">
        <f t="shared" ca="1" si="49"/>
        <v>460</v>
      </c>
      <c r="DM24" s="116">
        <f t="shared" ca="1" si="50"/>
        <v>-9200</v>
      </c>
      <c r="DN24" s="116">
        <f t="shared" ca="1" si="51"/>
        <v>9200</v>
      </c>
      <c r="DO24" s="217">
        <f t="shared" ca="1" si="52"/>
        <v>0</v>
      </c>
      <c r="DP24" s="217">
        <f t="shared" ca="1" si="53"/>
        <v>-9200</v>
      </c>
      <c r="DQ24" s="116">
        <f>IF($DT$1="Delete",0,IF(OR(DG24="",DG24=0),0,SUMIFS('1HistTrade'!$ED:$ED,'1HistTrade'!$D:$D,D24,'1HistTrade'!$H:$H,H24,'1HistTrade'!$B:$B,"&lt;"&amp;B24)))</f>
        <v>0</v>
      </c>
      <c r="DR24" s="116">
        <f t="shared" ca="1" si="54"/>
        <v>0</v>
      </c>
      <c r="DS24" s="116">
        <f t="shared" ca="1" si="55"/>
        <v>0</v>
      </c>
      <c r="DT24" s="116">
        <f>IF($DT$1="Delete",0,IF(OR(DI24="",DI24=0),0,SUMIFS('1HistTrade'!$ED:$ED,'1HistTrade'!$D:$D,D24,'1HistTrade'!$H:$H,H24,'1HistTrade'!$B:$B,"&lt;"&amp;B24)))</f>
        <v>0</v>
      </c>
      <c r="DU24" s="116">
        <f t="shared" ca="1" si="56"/>
        <v>0</v>
      </c>
      <c r="DV24" s="116">
        <f t="shared" ca="1" si="57"/>
        <v>0</v>
      </c>
      <c r="DW24" s="218">
        <f t="shared" si="58"/>
        <v>0</v>
      </c>
      <c r="DX24" s="219"/>
      <c r="DY24" s="219">
        <f t="shared" si="59"/>
        <v>0</v>
      </c>
      <c r="DZ24" s="220">
        <f t="shared" ca="1" si="60"/>
        <v>0</v>
      </c>
      <c r="EA24" s="220">
        <f t="shared" si="61"/>
        <v>0</v>
      </c>
      <c r="EB24" s="221">
        <f t="shared" ca="1" si="62"/>
        <v>0</v>
      </c>
      <c r="EC24" s="116">
        <f t="shared" ca="1" si="63"/>
        <v>9200</v>
      </c>
      <c r="ED24" s="116">
        <f t="shared" ca="1" si="64"/>
        <v>9200</v>
      </c>
      <c r="EE24" s="222" t="str">
        <f t="shared" si="65"/>
        <v/>
      </c>
      <c r="EF24" s="116">
        <f t="shared" si="66"/>
        <v>20</v>
      </c>
      <c r="EG24" s="223">
        <f ca="1">IF(ISERROR(VLOOKUP(_xludf.maxifs(DbyD!C:C,DbyD!B:B,C24,DbyD!F:F,"&lt;=" &amp; E24,DbyD!C:C,"&lt;"&amp;B24),DbyD!C:BE,MATCH(DbyD!$BB$9,DbyD!$9:$9,0)-2,FALSE)),0,VLOOKUP(_xludf.maxifs(DbyD!C:C,DbyD!B:B,C24,DbyD!F:F,"&lt;=" &amp; E24,DbyD!C:C,"&lt;"&amp;B24),DbyD!C:BE,MATCH(DbyD!$BB$9,DbyD!$9:$9,0)-2,FALSE))</f>
        <v>0</v>
      </c>
      <c r="EH24" s="116">
        <f>SUMIFS('1HistTrade'!$EM:$EM,'1HistTrade'!$D:$D,D24,'1HistTrade'!$B:$B,"&lt;"&amp;B24,'1HistTrade'!$DJ:$DJ,"&lt;&gt;"&amp;"CD/CW")*-1</f>
        <v>103845.5325</v>
      </c>
      <c r="EI24" s="116">
        <f t="shared" ca="1" si="67"/>
        <v>103845.5325</v>
      </c>
      <c r="EJ24" s="116">
        <f>SUMIFS('1HistTrade'!$EN:$EN,'1HistTrade'!$D:$D,D24,'1HistTrade'!$B:$B,"&lt;"&amp;B24)</f>
        <v>396154.46750000003</v>
      </c>
      <c r="EK24" s="224">
        <f>SUMIFS('1HistTrade'!$EU:$EU,'1HistTrade'!$D:$D,D24,'1HistTrade'!$B:$B,"&lt;"&amp;B24)</f>
        <v>0</v>
      </c>
      <c r="EL24" s="116"/>
      <c r="EM24" s="116">
        <f t="shared" ref="EM24:EN24" ca="1" si="117">EC24</f>
        <v>9200</v>
      </c>
      <c r="EN24" s="116">
        <f t="shared" ca="1" si="117"/>
        <v>9200</v>
      </c>
      <c r="EO24" s="224"/>
      <c r="EP24" s="116"/>
      <c r="EQ24" s="116">
        <f t="shared" ca="1" si="69"/>
        <v>9200</v>
      </c>
      <c r="ER24" s="116">
        <f t="shared" ca="1" si="70"/>
        <v>94645.532500000001</v>
      </c>
      <c r="ES24" s="116">
        <f t="shared" ca="1" si="71"/>
        <v>103845.5325</v>
      </c>
      <c r="ET24" s="116">
        <f t="shared" ca="1" si="72"/>
        <v>405354.46750000003</v>
      </c>
      <c r="EU24" s="224">
        <f t="shared" ca="1" si="73"/>
        <v>0</v>
      </c>
      <c r="EV24" s="213">
        <f t="shared" ca="1" si="74"/>
        <v>0</v>
      </c>
      <c r="EX24" s="116">
        <f t="shared" ca="1" si="75"/>
        <v>9200</v>
      </c>
      <c r="EY24" s="116">
        <f t="shared" ca="1" si="76"/>
        <v>94645.532500000001</v>
      </c>
      <c r="EZ24" s="116">
        <f t="shared" ca="1" si="77"/>
        <v>103845.5325</v>
      </c>
      <c r="FA24" s="116">
        <f t="shared" ca="1" si="78"/>
        <v>405354.46750000003</v>
      </c>
      <c r="FB24" s="116">
        <f t="shared" ca="1" si="79"/>
        <v>0</v>
      </c>
      <c r="FC24" s="189"/>
      <c r="FE24" s="31"/>
      <c r="FG24" s="31"/>
    </row>
    <row r="25" spans="1:163" ht="13">
      <c r="A25" s="10">
        <f>IF(E25&lt;=HistSecRecord!$E$1,1,0)</f>
        <v>1</v>
      </c>
      <c r="B25" s="190">
        <f>After1stCHK!B24</f>
        <v>44564000027</v>
      </c>
      <c r="C25" s="3" t="str">
        <f>After1stCHK!C24</f>
        <v>D0002</v>
      </c>
      <c r="D25" s="29" t="str">
        <f>After1stCHK!D24</f>
        <v>sABCD0002@hkmu.edu.hk</v>
      </c>
      <c r="E25" s="4">
        <f>After1stCHK!E24</f>
        <v>44564</v>
      </c>
      <c r="F25" s="105"/>
      <c r="G25" s="79" t="str">
        <f>After1stCHK!F24</f>
        <v>SELL (SHORT)</v>
      </c>
      <c r="H25" s="226" t="str">
        <f>After1stCHK!G24</f>
        <v>600519.SS</v>
      </c>
      <c r="I25" s="81" t="str">
        <f>After1stCHK!H24</f>
        <v>Stock</v>
      </c>
      <c r="J25" s="88">
        <f>After1stCHK!I24</f>
        <v>10</v>
      </c>
      <c r="K25" s="103">
        <f>After1stCHK!J24</f>
        <v>0</v>
      </c>
      <c r="L25" s="56">
        <f>After1stCHK!K24</f>
        <v>0</v>
      </c>
      <c r="M25" s="104">
        <f>After1stCHK!L24</f>
        <v>0</v>
      </c>
      <c r="N25" s="82">
        <f>After1stCHK!M24</f>
        <v>2050</v>
      </c>
      <c r="O25" s="82"/>
      <c r="P25" s="86"/>
      <c r="Q25" s="43"/>
      <c r="T25" s="87">
        <f t="shared" si="0"/>
        <v>44564</v>
      </c>
      <c r="U25" s="102"/>
      <c r="V25" s="81" t="str">
        <f>VLOOKUP($B25,After1stCHK!$B$3:$AO$87840,MATCH(V$4,After1stCHK!$B$3:$AO$3,0),FALSE)</f>
        <v>CNY</v>
      </c>
      <c r="W25" s="100" t="str">
        <f>VLOOKUP($B25,After1stCHK!$B$3:$AO$87840,MATCH(W$4,After1stCHK!$B$3:$AO$3,0),FALSE)</f>
        <v>600519.SS</v>
      </c>
      <c r="X25" s="82">
        <f>VLOOKUP($B25,After1stCHK!$B$3:$AO$87840,MATCH(X$4,After1stCHK!$B$3:$AO$3,0),FALSE)</f>
        <v>2001.01</v>
      </c>
      <c r="Y25" s="82">
        <f>VLOOKUP($B25,After1stCHK!$B$3:$AO$87840,MATCH(Y$4,After1stCHK!$B$3:$AO$3,0),FALSE)</f>
        <v>2010.82</v>
      </c>
      <c r="Z25" s="82">
        <f>VLOOKUP($B25,After1stCHK!$B$3:$AO$87840,MATCH(Z$4,After1stCHK!$B$3:$AO$3,0),FALSE)</f>
        <v>1952</v>
      </c>
      <c r="AA25" s="82">
        <f>VLOOKUP($B25,After1stCHK!$B$3:$AO$87840,MATCH(AA$4,After1stCHK!$B$3:$AO$3,0),FALSE)</f>
        <v>1955</v>
      </c>
      <c r="AB25" s="82">
        <f>VLOOKUP($B25,After1stCHK!$B$3:$AO$87840,MATCH(AB$4,After1stCHK!$B$3:$AO$3,0),FALSE)</f>
        <v>4266516</v>
      </c>
      <c r="AC25" s="103" t="str">
        <f>VLOOKUP($B25,After1stCHK!$B$3:$AO$87840,MATCH(AC$4,After1stCHK!$B$3:$AO$3,0),FALSE)</f>
        <v>(blank)</v>
      </c>
      <c r="AD25" s="103" t="str">
        <f>VLOOKUP($B25,After1stCHK!$B$3:$AO$87840,MATCH(AD$4,After1stCHK!$B$3:$AO$3,0),FALSE)</f>
        <v>(blank)</v>
      </c>
      <c r="AE25" s="103" t="str">
        <f>VLOOKUP($B25,After1stCHK!$B$3:$AO$87840,MATCH(AE$4,After1stCHK!$B$3:$AO$3,0),FALSE)</f>
        <v>(blank)</v>
      </c>
      <c r="AF25" s="103" t="str">
        <f>VLOOKUP($B25,After1stCHK!$B$3:$AO$87840,MATCH(AF$4,After1stCHK!$B$3:$AO$3,0),FALSE)</f>
        <v>(blank)</v>
      </c>
      <c r="AG25" s="103" t="str">
        <f>VLOOKUP($B25,After1stCHK!$B$3:$AO$87840,MATCH(AG$4,After1stCHK!$B$3:$AO$3,0),FALSE)</f>
        <v>(blank)</v>
      </c>
      <c r="AH25" s="103" t="str">
        <f>VLOOKUP($B25,After1stCHK!$B$3:$AO$87840,MATCH(AH$4,After1stCHK!$B$3:$AO$3,0),FALSE)</f>
        <v>(blank)</v>
      </c>
      <c r="AI25" s="103" t="str">
        <f>VLOOKUP($B25,After1stCHK!$B$3:$AO$87840,MATCH(AI$4,After1stCHK!$B$3:$AO$3,0),FALSE)</f>
        <v>(blank)</v>
      </c>
      <c r="AJ25" s="103" t="str">
        <f>VLOOKUP($B25,After1stCHK!$B$3:$AO$87840,MATCH(AJ$4,After1stCHK!$B$3:$AO$3,0),FALSE)</f>
        <v>(blank)</v>
      </c>
      <c r="AK25" s="103" t="str">
        <f>VLOOKUP($B25,After1stCHK!$B$3:$AO$87840,MATCH(AK$4,After1stCHK!$B$3:$AO$3,0),FALSE)</f>
        <v>(blank)</v>
      </c>
      <c r="AL25" s="56" t="str">
        <f>VLOOKUP($B25,After1stCHK!$B$3:$AO$87840,MATCH(AL$4,After1stCHK!$B$3:$AO$3,0),FALSE)</f>
        <v>(blank)</v>
      </c>
      <c r="AM25" s="56" t="str">
        <f>VLOOKUP($B25,After1stCHK!$B$3:$AO$87840,MATCH(AM$4,After1stCHK!$B$3:$AO$3,0),FALSE)</f>
        <v>(blank)</v>
      </c>
      <c r="AN25" s="56" t="str">
        <f>VLOOKUP($B25,After1stCHK!$B$3:$AO$87840,MATCH(AN$4,After1stCHK!$B$3:$AO$3,0),FALSE)</f>
        <v>(blank)</v>
      </c>
      <c r="AO25" s="56" t="str">
        <f>VLOOKUP($B25,After1stCHK!$B$3:$AO$87840,MATCH(AO$4,After1stCHK!$B$3:$AO$3,0),FALSE)</f>
        <v>(blank)</v>
      </c>
      <c r="AP25" s="56" t="str">
        <f>VLOOKUP($B25,After1stCHK!$B$3:$AO$87840,MATCH(AP$4,After1stCHK!$B$3:$AO$3,0),FALSE)</f>
        <v>(blank)</v>
      </c>
      <c r="AQ25" s="56" t="str">
        <f>VLOOKUP($B25,After1stCHK!$B$3:$AO$87840,MATCH(AQ$4,After1stCHK!$B$3:$AO$3,0),FALSE)</f>
        <v>(blank)</v>
      </c>
      <c r="AR25" s="56" t="str">
        <f>VLOOKUP($B25,After1stCHK!$B$3:$AO$87840,MATCH(AR$4,After1stCHK!$B$3:$AO$3,0),FALSE)</f>
        <v>(blank)</v>
      </c>
      <c r="AS25" s="56" t="str">
        <f>VLOOKUP($B25,After1stCHK!$B$3:$AO$87840,MATCH(AS$4,After1stCHK!$B$3:$AO$3,0),FALSE)</f>
        <v>(blank)</v>
      </c>
      <c r="AT25" s="56" t="str">
        <f>VLOOKUP($B25,After1stCHK!$B$3:$AO$87840,MATCH(AT$4,After1stCHK!$B$3:$AO$3,0),FALSE)</f>
        <v>(blank)</v>
      </c>
      <c r="AU25" s="104" t="str">
        <f>VLOOKUP($B25,After1stCHK!$B$3:$AO$87840,MATCH(AU$4,After1stCHK!$B$3:$AO$3,0),FALSE)</f>
        <v>(blank)</v>
      </c>
      <c r="AV25" s="225" t="str">
        <f t="shared" si="1"/>
        <v/>
      </c>
      <c r="AX25" s="90"/>
      <c r="AY25" s="91"/>
      <c r="AZ25" s="24"/>
      <c r="BA25" s="92"/>
      <c r="BB25" s="192"/>
      <c r="BC25" s="94"/>
      <c r="BD25" s="193">
        <f t="shared" si="2"/>
        <v>0</v>
      </c>
      <c r="BE25" s="193" t="str">
        <f t="shared" si="3"/>
        <v/>
      </c>
      <c r="BF25" s="193">
        <f t="shared" ca="1" si="4"/>
        <v>0</v>
      </c>
      <c r="BG25" s="194" t="e">
        <f t="shared" ca="1" si="5"/>
        <v>#VALUE!</v>
      </c>
      <c r="BH25" s="195">
        <f t="shared" si="6"/>
        <v>1</v>
      </c>
      <c r="BI25" s="195">
        <f t="shared" si="7"/>
        <v>-1</v>
      </c>
      <c r="BJ25" s="3">
        <f t="shared" si="8"/>
        <v>10</v>
      </c>
      <c r="BK25" s="3" t="str">
        <f t="shared" si="9"/>
        <v>CNY</v>
      </c>
      <c r="BL25" s="196">
        <f ca="1">IF(V25="HKD",1,OFFSET(FX!$A$5,MATCH(E25,FX!A:A,0)-ROW(FX!$A$5),MATCH(V25,FX!$A$5:$AM$5,0)-1,1,1))</f>
        <v>1.22699</v>
      </c>
      <c r="BM25" s="227" t="str">
        <f t="shared" si="10"/>
        <v>600519.SS</v>
      </c>
      <c r="BN25" s="198">
        <f t="shared" si="11"/>
        <v>2050</v>
      </c>
      <c r="BO25" s="199"/>
      <c r="BP25" s="200">
        <f t="shared" si="12"/>
        <v>2050</v>
      </c>
      <c r="BQ25" s="201">
        <f t="shared" si="13"/>
        <v>-10</v>
      </c>
      <c r="BR25" s="202">
        <f t="shared" si="14"/>
        <v>-20500</v>
      </c>
      <c r="BS25" s="203">
        <f t="shared" ca="1" si="15"/>
        <v>-25153.295000000002</v>
      </c>
      <c r="BT25" s="204"/>
      <c r="BU25" s="199">
        <f t="shared" si="16"/>
        <v>0</v>
      </c>
      <c r="BV25" s="201">
        <f t="shared" si="17"/>
        <v>0</v>
      </c>
      <c r="BW25" s="202">
        <f t="shared" si="18"/>
        <v>0</v>
      </c>
      <c r="BX25" s="203">
        <f t="shared" ca="1" si="19"/>
        <v>0</v>
      </c>
      <c r="BY25" s="204"/>
      <c r="BZ25" s="198">
        <f t="shared" si="20"/>
        <v>0</v>
      </c>
      <c r="CA25" s="199"/>
      <c r="CB25" s="200">
        <f t="shared" si="21"/>
        <v>0</v>
      </c>
      <c r="CC25" s="201">
        <f t="shared" si="22"/>
        <v>0</v>
      </c>
      <c r="CD25" s="202">
        <f t="shared" si="23"/>
        <v>0</v>
      </c>
      <c r="CE25" s="203">
        <f t="shared" ca="1" si="24"/>
        <v>0</v>
      </c>
      <c r="CF25" s="204"/>
      <c r="CG25" s="205">
        <f t="shared" si="25"/>
        <v>0</v>
      </c>
      <c r="CH25" s="206">
        <f t="shared" si="26"/>
        <v>0</v>
      </c>
      <c r="CI25" s="207">
        <f t="shared" si="27"/>
        <v>0</v>
      </c>
      <c r="CJ25" s="203">
        <f t="shared" ca="1" si="28"/>
        <v>0</v>
      </c>
      <c r="CK25" s="204"/>
      <c r="CL25" s="208">
        <f t="shared" ca="1" si="29"/>
        <v>25153.295000000002</v>
      </c>
      <c r="CM25" s="209" t="str">
        <f t="shared" si="30"/>
        <v/>
      </c>
      <c r="CN25" s="228" t="str">
        <f t="shared" si="31"/>
        <v>600519.SS</v>
      </c>
      <c r="CO25" s="153">
        <f t="shared" si="32"/>
        <v>44564</v>
      </c>
      <c r="CP25" s="211">
        <f t="shared" ref="CP25:CQ25" si="118">AZ25</f>
        <v>0</v>
      </c>
      <c r="CQ25" s="212">
        <f t="shared" si="118"/>
        <v>0</v>
      </c>
      <c r="CR25" s="213">
        <f t="shared" si="34"/>
        <v>0</v>
      </c>
      <c r="CS25" s="213">
        <f t="shared" si="35"/>
        <v>0</v>
      </c>
      <c r="CT25" s="214">
        <f>SUMIFS('1HistTrade'!DF:DF,'1HistTrade'!$D:$D,$D25,'1HistTrade'!$BM:$BM,$BM25,'1HistTrade'!$B:$B,"&lt;"&amp;$B25)</f>
        <v>20</v>
      </c>
      <c r="CU25" s="215">
        <f>SUMIFS('1HistTrade'!DG:DG,'1HistTrade'!$D:$D,$D25,'1HistTrade'!$BM:$BM,$BM25,'1HistTrade'!$B:$B,"&lt;"&amp;$B25)</f>
        <v>0</v>
      </c>
      <c r="CV25" s="215">
        <f>SUMIFS('1HistTrade'!DH:DH,'1HistTrade'!$D:$D,$D25,'1HistTrade'!$BM:$BM,$BM25,'1HistTrade'!$B:$B,"&lt;"&amp;$B25)</f>
        <v>0</v>
      </c>
      <c r="CW25" s="215">
        <f>SUMIFS('1HistTrade'!DI:DI,'1HistTrade'!$D:$D,$D25,'1HistTrade'!$BM:$BM,$BM25,'1HistTrade'!$B:$B,"&lt;"&amp;$B25)</f>
        <v>0</v>
      </c>
      <c r="CX25" s="216">
        <f t="shared" si="36"/>
        <v>10</v>
      </c>
      <c r="CY25" s="216">
        <f t="shared" si="37"/>
        <v>0</v>
      </c>
      <c r="CZ25" s="216">
        <f t="shared" si="38"/>
        <v>0</v>
      </c>
      <c r="DA25" s="216">
        <f t="shared" ca="1" si="39"/>
        <v>0</v>
      </c>
      <c r="DB25" s="21" t="str">
        <f t="shared" si="40"/>
        <v>S</v>
      </c>
      <c r="DC25" s="21" t="str">
        <f t="shared" si="41"/>
        <v/>
      </c>
      <c r="DD25" s="21" t="str">
        <f t="shared" si="42"/>
        <v/>
      </c>
      <c r="DE25" s="21" t="str">
        <f t="shared" ca="1" si="43"/>
        <v/>
      </c>
      <c r="DF25" s="215">
        <f t="shared" si="44"/>
        <v>-10</v>
      </c>
      <c r="DG25" s="215">
        <f t="shared" si="45"/>
        <v>0</v>
      </c>
      <c r="DH25" s="215">
        <f t="shared" si="46"/>
        <v>0</v>
      </c>
      <c r="DI25" s="215">
        <f t="shared" ca="1" si="47"/>
        <v>0</v>
      </c>
      <c r="DJ25" s="215" t="str">
        <f t="shared" si="48"/>
        <v>S</v>
      </c>
      <c r="DK25" s="116"/>
      <c r="DL25" s="116">
        <f t="shared" ca="1" si="49"/>
        <v>2515.3294999999998</v>
      </c>
      <c r="DM25" s="116">
        <f t="shared" ca="1" si="50"/>
        <v>-25153.294999999998</v>
      </c>
      <c r="DN25" s="116">
        <f t="shared" ca="1" si="51"/>
        <v>25153.295000000002</v>
      </c>
      <c r="DO25" s="217">
        <f t="shared" ca="1" si="52"/>
        <v>0</v>
      </c>
      <c r="DP25" s="217">
        <f t="shared" ca="1" si="53"/>
        <v>-25153.294999999998</v>
      </c>
      <c r="DQ25" s="116">
        <f>IF($DT$1="Delete",0,IF(OR(DG25="",DG25=0),0,SUMIFS('1HistTrade'!$ED:$ED,'1HistTrade'!$D:$D,D25,'1HistTrade'!$H:$H,H25,'1HistTrade'!$B:$B,"&lt;"&amp;B25)))</f>
        <v>0</v>
      </c>
      <c r="DR25" s="116">
        <f t="shared" ca="1" si="54"/>
        <v>0</v>
      </c>
      <c r="DS25" s="116">
        <f t="shared" ca="1" si="55"/>
        <v>0</v>
      </c>
      <c r="DT25" s="116">
        <f>IF($DT$1="Delete",0,IF(OR(DI25="",DI25=0),0,SUMIFS('1HistTrade'!$ED:$ED,'1HistTrade'!$D:$D,D25,'1HistTrade'!$H:$H,H25,'1HistTrade'!$B:$B,"&lt;"&amp;B25)))</f>
        <v>0</v>
      </c>
      <c r="DU25" s="116">
        <f t="shared" ca="1" si="56"/>
        <v>0</v>
      </c>
      <c r="DV25" s="116">
        <f t="shared" ca="1" si="57"/>
        <v>0</v>
      </c>
      <c r="DW25" s="218">
        <f t="shared" si="58"/>
        <v>0</v>
      </c>
      <c r="DX25" s="219"/>
      <c r="DY25" s="219">
        <f t="shared" si="59"/>
        <v>0</v>
      </c>
      <c r="DZ25" s="220">
        <f t="shared" ca="1" si="60"/>
        <v>0</v>
      </c>
      <c r="EA25" s="220">
        <f t="shared" si="61"/>
        <v>0</v>
      </c>
      <c r="EB25" s="221">
        <f t="shared" ca="1" si="62"/>
        <v>0</v>
      </c>
      <c r="EC25" s="116">
        <f t="shared" ca="1" si="63"/>
        <v>25153.294999999998</v>
      </c>
      <c r="ED25" s="116">
        <f t="shared" ca="1" si="64"/>
        <v>25153.295000000002</v>
      </c>
      <c r="EE25" s="222" t="str">
        <f t="shared" si="65"/>
        <v/>
      </c>
      <c r="EF25" s="116">
        <f t="shared" si="66"/>
        <v>10</v>
      </c>
      <c r="EG25" s="223">
        <f ca="1">IF(ISERROR(VLOOKUP(_xludf.maxifs(DbyD!C:C,DbyD!B:B,C25,DbyD!F:F,"&lt;=" &amp; E25,DbyD!C:C,"&lt;"&amp;B25),DbyD!C:BE,MATCH(DbyD!$BB$9,DbyD!$9:$9,0)-2,FALSE)),0,VLOOKUP(_xludf.maxifs(DbyD!C:C,DbyD!B:B,C25,DbyD!F:F,"&lt;=" &amp; E25,DbyD!C:C,"&lt;"&amp;B25),DbyD!C:BE,MATCH(DbyD!$BB$9,DbyD!$9:$9,0)-2,FALSE))</f>
        <v>0</v>
      </c>
      <c r="EH25" s="116">
        <f>SUMIFS('1HistTrade'!$EM:$EM,'1HistTrade'!$D:$D,D25,'1HistTrade'!$B:$B,"&lt;"&amp;B25,'1HistTrade'!$DJ:$DJ,"&lt;&gt;"&amp;"CD/CW")*-1</f>
        <v>47510.150599999994</v>
      </c>
      <c r="EI25" s="116">
        <f t="shared" ca="1" si="67"/>
        <v>47510.150599999994</v>
      </c>
      <c r="EJ25" s="116">
        <f>SUMIFS('1HistTrade'!$EN:$EN,'1HistTrade'!$D:$D,D25,'1HistTrade'!$B:$B,"&lt;"&amp;B25)</f>
        <v>447889.84940000001</v>
      </c>
      <c r="EK25" s="224">
        <f>SUMIFS('1HistTrade'!$EU:$EU,'1HistTrade'!$D:$D,D25,'1HistTrade'!$B:$B,"&lt;"&amp;B25)</f>
        <v>0</v>
      </c>
      <c r="EL25" s="116"/>
      <c r="EM25" s="116">
        <f t="shared" ref="EM25:EN25" ca="1" si="119">EC25</f>
        <v>25153.294999999998</v>
      </c>
      <c r="EN25" s="116">
        <f t="shared" ca="1" si="119"/>
        <v>25153.295000000002</v>
      </c>
      <c r="EO25" s="224"/>
      <c r="EP25" s="116"/>
      <c r="EQ25" s="116">
        <f t="shared" ca="1" si="69"/>
        <v>25153.294999999998</v>
      </c>
      <c r="ER25" s="116">
        <f t="shared" ca="1" si="70"/>
        <v>22356.855599999995</v>
      </c>
      <c r="ES25" s="116">
        <f t="shared" ca="1" si="71"/>
        <v>47510.150599999994</v>
      </c>
      <c r="ET25" s="116">
        <f t="shared" ca="1" si="72"/>
        <v>473043.14439999999</v>
      </c>
      <c r="EU25" s="224">
        <f t="shared" ca="1" si="73"/>
        <v>0</v>
      </c>
      <c r="EV25" s="213">
        <f t="shared" ca="1" si="74"/>
        <v>0</v>
      </c>
      <c r="EX25" s="116">
        <f t="shared" ca="1" si="75"/>
        <v>25153.294999999998</v>
      </c>
      <c r="EY25" s="116">
        <f t="shared" ca="1" si="76"/>
        <v>22356.855599999995</v>
      </c>
      <c r="EZ25" s="116">
        <f t="shared" ca="1" si="77"/>
        <v>47510.150599999994</v>
      </c>
      <c r="FA25" s="116">
        <f t="shared" ca="1" si="78"/>
        <v>473043.14439999999</v>
      </c>
      <c r="FB25" s="116">
        <f t="shared" ca="1" si="79"/>
        <v>0</v>
      </c>
      <c r="FC25" s="189"/>
      <c r="FE25" s="31"/>
      <c r="FG25" s="31"/>
    </row>
    <row r="26" spans="1:163" ht="13">
      <c r="A26" s="10">
        <f>IF(E26&lt;=HistSecRecord!$E$1,1,0)</f>
        <v>1</v>
      </c>
      <c r="B26" s="190">
        <f>After1stCHK!B25</f>
        <v>44564000028</v>
      </c>
      <c r="C26" s="3" t="str">
        <f>After1stCHK!C25</f>
        <v>D0002</v>
      </c>
      <c r="D26" s="29" t="str">
        <f>After1stCHK!D25</f>
        <v>sABCD0002@hkmu.edu.hk</v>
      </c>
      <c r="E26" s="4">
        <f>After1stCHK!E25</f>
        <v>44564</v>
      </c>
      <c r="F26" s="105"/>
      <c r="G26" s="79" t="str">
        <f>After1stCHK!F25</f>
        <v>BUY (LONG)</v>
      </c>
      <c r="H26" s="226" t="str">
        <f>After1stCHK!G25</f>
        <v>0700.HK</v>
      </c>
      <c r="I26" s="81" t="str">
        <f>After1stCHK!H25</f>
        <v>Stock</v>
      </c>
      <c r="J26" s="82">
        <f>After1stCHK!I25</f>
        <v>15</v>
      </c>
      <c r="K26" s="103">
        <f>After1stCHK!J25</f>
        <v>0</v>
      </c>
      <c r="L26" s="56">
        <f>After1stCHK!K25</f>
        <v>0</v>
      </c>
      <c r="M26" s="104">
        <f>After1stCHK!L25</f>
        <v>0</v>
      </c>
      <c r="N26" s="82">
        <f>After1stCHK!M25</f>
        <v>460</v>
      </c>
      <c r="O26" s="82"/>
      <c r="P26" s="86"/>
      <c r="Q26" s="43"/>
      <c r="T26" s="87">
        <f t="shared" si="0"/>
        <v>44564</v>
      </c>
      <c r="U26" s="102"/>
      <c r="V26" s="81" t="str">
        <f>VLOOKUP($B26,After1stCHK!$B$3:$AO$87840,MATCH(V$4,After1stCHK!$B$3:$AO$3,0),FALSE)</f>
        <v>HKD</v>
      </c>
      <c r="W26" s="100" t="str">
        <f>VLOOKUP($B26,After1stCHK!$B$3:$AO$87840,MATCH(W$4,After1stCHK!$B$3:$AO$3,0),FALSE)</f>
        <v>0700.HK</v>
      </c>
      <c r="X26" s="82">
        <f>VLOOKUP($B26,After1stCHK!$B$3:$AO$87840,MATCH(X$4,After1stCHK!$B$3:$AO$3,0),FALSE)</f>
        <v>465</v>
      </c>
      <c r="Y26" s="82">
        <f>VLOOKUP($B26,After1stCHK!$B$3:$AO$87840,MATCH(Y$4,After1stCHK!$B$3:$AO$3,0),FALSE)</f>
        <v>467</v>
      </c>
      <c r="Z26" s="82">
        <f>VLOOKUP($B26,After1stCHK!$B$3:$AO$87840,MATCH(Z$4,After1stCHK!$B$3:$AO$3,0),FALSE)</f>
        <v>457.8</v>
      </c>
      <c r="AA26" s="82">
        <f>VLOOKUP($B26,After1stCHK!$B$3:$AO$87840,MATCH(AA$4,After1stCHK!$B$3:$AO$3,0),FALSE)</f>
        <v>473.6</v>
      </c>
      <c r="AB26" s="82">
        <f>VLOOKUP($B26,After1stCHK!$B$3:$AO$87840,MATCH(AB$4,After1stCHK!$B$3:$AO$3,0),FALSE)</f>
        <v>16061367</v>
      </c>
      <c r="AC26" s="103" t="str">
        <f>VLOOKUP($B26,After1stCHK!$B$3:$AO$87840,MATCH(AC$4,After1stCHK!$B$3:$AO$3,0),FALSE)</f>
        <v>(blank)</v>
      </c>
      <c r="AD26" s="103" t="str">
        <f>VLOOKUP($B26,After1stCHK!$B$3:$AO$87840,MATCH(AD$4,After1stCHK!$B$3:$AO$3,0),FALSE)</f>
        <v>(blank)</v>
      </c>
      <c r="AE26" s="103" t="str">
        <f>VLOOKUP($B26,After1stCHK!$B$3:$AO$87840,MATCH(AE$4,After1stCHK!$B$3:$AO$3,0),FALSE)</f>
        <v>(blank)</v>
      </c>
      <c r="AF26" s="103" t="str">
        <f>VLOOKUP($B26,After1stCHK!$B$3:$AO$87840,MATCH(AF$4,After1stCHK!$B$3:$AO$3,0),FALSE)</f>
        <v>(blank)</v>
      </c>
      <c r="AG26" s="103" t="str">
        <f>VLOOKUP($B26,After1stCHK!$B$3:$AO$87840,MATCH(AG$4,After1stCHK!$B$3:$AO$3,0),FALSE)</f>
        <v>(blank)</v>
      </c>
      <c r="AH26" s="103" t="str">
        <f>VLOOKUP($B26,After1stCHK!$B$3:$AO$87840,MATCH(AH$4,After1stCHK!$B$3:$AO$3,0),FALSE)</f>
        <v>(blank)</v>
      </c>
      <c r="AI26" s="103" t="str">
        <f>VLOOKUP($B26,After1stCHK!$B$3:$AO$87840,MATCH(AI$4,After1stCHK!$B$3:$AO$3,0),FALSE)</f>
        <v>(blank)</v>
      </c>
      <c r="AJ26" s="103" t="str">
        <f>VLOOKUP($B26,After1stCHK!$B$3:$AO$87840,MATCH(AJ$4,After1stCHK!$B$3:$AO$3,0),FALSE)</f>
        <v>(blank)</v>
      </c>
      <c r="AK26" s="103" t="str">
        <f>VLOOKUP($B26,After1stCHK!$B$3:$AO$87840,MATCH(AK$4,After1stCHK!$B$3:$AO$3,0),FALSE)</f>
        <v>(blank)</v>
      </c>
      <c r="AL26" s="56" t="str">
        <f>VLOOKUP($B26,After1stCHK!$B$3:$AO$87840,MATCH(AL$4,After1stCHK!$B$3:$AO$3,0),FALSE)</f>
        <v>(blank)</v>
      </c>
      <c r="AM26" s="56" t="str">
        <f>VLOOKUP($B26,After1stCHK!$B$3:$AO$87840,MATCH(AM$4,After1stCHK!$B$3:$AO$3,0),FALSE)</f>
        <v>(blank)</v>
      </c>
      <c r="AN26" s="56" t="str">
        <f>VLOOKUP($B26,After1stCHK!$B$3:$AO$87840,MATCH(AN$4,After1stCHK!$B$3:$AO$3,0),FALSE)</f>
        <v>(blank)</v>
      </c>
      <c r="AO26" s="56" t="str">
        <f>VLOOKUP($B26,After1stCHK!$B$3:$AO$87840,MATCH(AO$4,After1stCHK!$B$3:$AO$3,0),FALSE)</f>
        <v>(blank)</v>
      </c>
      <c r="AP26" s="56" t="str">
        <f>VLOOKUP($B26,After1stCHK!$B$3:$AO$87840,MATCH(AP$4,After1stCHK!$B$3:$AO$3,0),FALSE)</f>
        <v>(blank)</v>
      </c>
      <c r="AQ26" s="56" t="str">
        <f>VLOOKUP($B26,After1stCHK!$B$3:$AO$87840,MATCH(AQ$4,After1stCHK!$B$3:$AO$3,0),FALSE)</f>
        <v>(blank)</v>
      </c>
      <c r="AR26" s="56" t="str">
        <f>VLOOKUP($B26,After1stCHK!$B$3:$AO$87840,MATCH(AR$4,After1stCHK!$B$3:$AO$3,0),FALSE)</f>
        <v>(blank)</v>
      </c>
      <c r="AS26" s="56" t="str">
        <f>VLOOKUP($B26,After1stCHK!$B$3:$AO$87840,MATCH(AS$4,After1stCHK!$B$3:$AO$3,0),FALSE)</f>
        <v>(blank)</v>
      </c>
      <c r="AT26" s="56" t="str">
        <f>VLOOKUP($B26,After1stCHK!$B$3:$AO$87840,MATCH(AT$4,After1stCHK!$B$3:$AO$3,0),FALSE)</f>
        <v>(blank)</v>
      </c>
      <c r="AU26" s="104" t="str">
        <f>VLOOKUP($B26,After1stCHK!$B$3:$AO$87840,MATCH(AU$4,After1stCHK!$B$3:$AO$3,0),FALSE)</f>
        <v>(blank)</v>
      </c>
      <c r="AV26" s="225" t="str">
        <f t="shared" si="1"/>
        <v/>
      </c>
      <c r="AX26" s="107"/>
      <c r="AY26" s="91"/>
      <c r="AZ26" s="24"/>
      <c r="BA26" s="92"/>
      <c r="BB26" s="192"/>
      <c r="BC26" s="94"/>
      <c r="BD26" s="193">
        <f t="shared" si="2"/>
        <v>0</v>
      </c>
      <c r="BE26" s="193" t="str">
        <f t="shared" si="3"/>
        <v/>
      </c>
      <c r="BF26" s="193">
        <f t="shared" ca="1" si="4"/>
        <v>0</v>
      </c>
      <c r="BG26" s="194" t="e">
        <f t="shared" ca="1" si="5"/>
        <v>#VALUE!</v>
      </c>
      <c r="BH26" s="195">
        <f t="shared" si="6"/>
        <v>1</v>
      </c>
      <c r="BI26" s="195">
        <f t="shared" si="7"/>
        <v>1</v>
      </c>
      <c r="BJ26" s="3">
        <f t="shared" si="8"/>
        <v>15</v>
      </c>
      <c r="BK26" s="3" t="str">
        <f t="shared" si="9"/>
        <v>HKD</v>
      </c>
      <c r="BL26" s="196">
        <f ca="1">IF(V26="HKD",1,OFFSET(FX!$A$5,MATCH(E26,FX!A:A,0)-ROW(FX!$A$5),MATCH(V26,FX!$A$5:$AM$5,0)-1,1,1))</f>
        <v>1</v>
      </c>
      <c r="BM26" s="227" t="str">
        <f t="shared" si="10"/>
        <v>0700.HK</v>
      </c>
      <c r="BN26" s="198">
        <f t="shared" si="11"/>
        <v>460</v>
      </c>
      <c r="BO26" s="199"/>
      <c r="BP26" s="200">
        <f t="shared" si="12"/>
        <v>460</v>
      </c>
      <c r="BQ26" s="201">
        <f t="shared" si="13"/>
        <v>15</v>
      </c>
      <c r="BR26" s="202">
        <f t="shared" si="14"/>
        <v>6900</v>
      </c>
      <c r="BS26" s="203">
        <f t="shared" ca="1" si="15"/>
        <v>6900</v>
      </c>
      <c r="BT26" s="204"/>
      <c r="BU26" s="199">
        <f t="shared" si="16"/>
        <v>0</v>
      </c>
      <c r="BV26" s="201">
        <f t="shared" si="17"/>
        <v>0</v>
      </c>
      <c r="BW26" s="202">
        <f t="shared" si="18"/>
        <v>0</v>
      </c>
      <c r="BX26" s="203">
        <f t="shared" ca="1" si="19"/>
        <v>0</v>
      </c>
      <c r="BY26" s="204"/>
      <c r="BZ26" s="198">
        <f t="shared" si="20"/>
        <v>0</v>
      </c>
      <c r="CA26" s="199"/>
      <c r="CB26" s="200">
        <f t="shared" si="21"/>
        <v>0</v>
      </c>
      <c r="CC26" s="201">
        <f t="shared" si="22"/>
        <v>0</v>
      </c>
      <c r="CD26" s="202">
        <f t="shared" si="23"/>
        <v>0</v>
      </c>
      <c r="CE26" s="203">
        <f t="shared" ca="1" si="24"/>
        <v>0</v>
      </c>
      <c r="CF26" s="204"/>
      <c r="CG26" s="205">
        <f t="shared" si="25"/>
        <v>0</v>
      </c>
      <c r="CH26" s="206">
        <f t="shared" si="26"/>
        <v>0</v>
      </c>
      <c r="CI26" s="207">
        <f t="shared" si="27"/>
        <v>0</v>
      </c>
      <c r="CJ26" s="203">
        <f t="shared" ca="1" si="28"/>
        <v>0</v>
      </c>
      <c r="CK26" s="204"/>
      <c r="CL26" s="208">
        <f t="shared" ca="1" si="29"/>
        <v>-6900</v>
      </c>
      <c r="CM26" s="209" t="str">
        <f t="shared" si="30"/>
        <v/>
      </c>
      <c r="CN26" s="228" t="str">
        <f t="shared" si="31"/>
        <v>0700.HK</v>
      </c>
      <c r="CO26" s="153">
        <f t="shared" si="32"/>
        <v>44564</v>
      </c>
      <c r="CP26" s="211">
        <f t="shared" ref="CP26:CQ26" si="120">AZ26</f>
        <v>0</v>
      </c>
      <c r="CQ26" s="212">
        <f t="shared" si="120"/>
        <v>0</v>
      </c>
      <c r="CR26" s="213">
        <f t="shared" si="34"/>
        <v>0</v>
      </c>
      <c r="CS26" s="213">
        <f t="shared" si="35"/>
        <v>0</v>
      </c>
      <c r="CT26" s="214">
        <f>SUMIFS('1HistTrade'!DF:DF,'1HistTrade'!$D:$D,$D26,'1HistTrade'!$BM:$BM,$BM26,'1HistTrade'!$B:$B,"&lt;"&amp;$B26)</f>
        <v>-5</v>
      </c>
      <c r="CU26" s="215">
        <f>SUMIFS('1HistTrade'!DG:DG,'1HistTrade'!$D:$D,$D26,'1HistTrade'!$BM:$BM,$BM26,'1HistTrade'!$B:$B,"&lt;"&amp;$B26)</f>
        <v>0</v>
      </c>
      <c r="CV26" s="215">
        <f>SUMIFS('1HistTrade'!DH:DH,'1HistTrade'!$D:$D,$D26,'1HistTrade'!$BM:$BM,$BM26,'1HistTrade'!$B:$B,"&lt;"&amp;$B26)</f>
        <v>0</v>
      </c>
      <c r="CW26" s="215">
        <f>SUMIFS('1HistTrade'!DI:DI,'1HistTrade'!$D:$D,$D26,'1HistTrade'!$BM:$BM,$BM26,'1HistTrade'!$B:$B,"&lt;"&amp;$B26)</f>
        <v>0</v>
      </c>
      <c r="CX26" s="216">
        <f t="shared" si="36"/>
        <v>10</v>
      </c>
      <c r="CY26" s="216">
        <f t="shared" si="37"/>
        <v>0</v>
      </c>
      <c r="CZ26" s="216">
        <f t="shared" si="38"/>
        <v>0</v>
      </c>
      <c r="DA26" s="216">
        <f t="shared" ca="1" si="39"/>
        <v>0</v>
      </c>
      <c r="DB26" s="21" t="str">
        <f t="shared" si="40"/>
        <v>OFB</v>
      </c>
      <c r="DC26" s="21" t="str">
        <f t="shared" si="41"/>
        <v/>
      </c>
      <c r="DD26" s="21" t="str">
        <f t="shared" si="42"/>
        <v/>
      </c>
      <c r="DE26" s="21" t="str">
        <f t="shared" ca="1" si="43"/>
        <v/>
      </c>
      <c r="DF26" s="215">
        <f t="shared" si="44"/>
        <v>15</v>
      </c>
      <c r="DG26" s="215">
        <f t="shared" si="45"/>
        <v>0</v>
      </c>
      <c r="DH26" s="215">
        <f t="shared" si="46"/>
        <v>0</v>
      </c>
      <c r="DI26" s="215">
        <f t="shared" ca="1" si="47"/>
        <v>0</v>
      </c>
      <c r="DJ26" s="215" t="str">
        <f t="shared" si="48"/>
        <v>OFB</v>
      </c>
      <c r="DK26" s="116"/>
      <c r="DL26" s="116">
        <f t="shared" ca="1" si="49"/>
        <v>460</v>
      </c>
      <c r="DM26" s="116">
        <f t="shared" ca="1" si="50"/>
        <v>6900</v>
      </c>
      <c r="DN26" s="116">
        <f t="shared" ca="1" si="51"/>
        <v>-2300</v>
      </c>
      <c r="DO26" s="217">
        <f t="shared" ca="1" si="52"/>
        <v>6900</v>
      </c>
      <c r="DP26" s="217">
        <f t="shared" ca="1" si="53"/>
        <v>0</v>
      </c>
      <c r="DQ26" s="116">
        <f>IF($DT$1="Delete",0,IF(OR(DG26="",DG26=0),0,SUMIFS('1HistTrade'!$ED:$ED,'1HistTrade'!$D:$D,D26,'1HistTrade'!$H:$H,H26,'1HistTrade'!$B:$B,"&lt;"&amp;B26)))</f>
        <v>0</v>
      </c>
      <c r="DR26" s="116">
        <f t="shared" ca="1" si="54"/>
        <v>0</v>
      </c>
      <c r="DS26" s="116">
        <f t="shared" ca="1" si="55"/>
        <v>0</v>
      </c>
      <c r="DT26" s="116">
        <f>IF($DT$1="Delete",0,IF(OR(DI26="",DI26=0),0,SUMIFS('1HistTrade'!$ED:$ED,'1HistTrade'!$D:$D,D26,'1HistTrade'!$H:$H,H26,'1HistTrade'!$B:$B,"&lt;"&amp;B26)))</f>
        <v>0</v>
      </c>
      <c r="DU26" s="116">
        <f t="shared" ca="1" si="56"/>
        <v>0</v>
      </c>
      <c r="DV26" s="116">
        <f t="shared" ca="1" si="57"/>
        <v>0</v>
      </c>
      <c r="DW26" s="218">
        <f t="shared" si="58"/>
        <v>0</v>
      </c>
      <c r="DX26" s="219"/>
      <c r="DY26" s="219">
        <f t="shared" si="59"/>
        <v>0</v>
      </c>
      <c r="DZ26" s="220">
        <f t="shared" ca="1" si="60"/>
        <v>0</v>
      </c>
      <c r="EA26" s="220">
        <f t="shared" si="61"/>
        <v>0</v>
      </c>
      <c r="EB26" s="221">
        <f t="shared" ca="1" si="62"/>
        <v>0</v>
      </c>
      <c r="EC26" s="116">
        <f t="shared" ca="1" si="63"/>
        <v>-6900</v>
      </c>
      <c r="ED26" s="116">
        <f t="shared" ca="1" si="64"/>
        <v>-2300</v>
      </c>
      <c r="EE26" s="222" t="str">
        <f t="shared" si="65"/>
        <v/>
      </c>
      <c r="EF26" s="116">
        <f t="shared" si="66"/>
        <v>-5</v>
      </c>
      <c r="EG26" s="223">
        <f ca="1">IF(ISERROR(VLOOKUP(_xludf.maxifs(DbyD!C:C,DbyD!B:B,C26,DbyD!F:F,"&lt;=" &amp; E26,DbyD!C:C,"&lt;"&amp;B26),DbyD!C:BE,MATCH(DbyD!$BB$9,DbyD!$9:$9,0)-2,FALSE)),0,VLOOKUP(_xludf.maxifs(DbyD!C:C,DbyD!B:B,C26,DbyD!F:F,"&lt;=" &amp; E26,DbyD!C:C,"&lt;"&amp;B26),DbyD!C:BE,MATCH(DbyD!$BB$9,DbyD!$9:$9,0)-2,FALSE))</f>
        <v>0</v>
      </c>
      <c r="EH26" s="116">
        <f>SUMIFS('1HistTrade'!$EM:$EM,'1HistTrade'!$D:$D,D26,'1HistTrade'!$B:$B,"&lt;"&amp;B26,'1HistTrade'!$DJ:$DJ,"&lt;&gt;"&amp;"CD/CW")*-1</f>
        <v>22356.855599999995</v>
      </c>
      <c r="EI26" s="116">
        <f t="shared" ca="1" si="67"/>
        <v>22356.855599999995</v>
      </c>
      <c r="EJ26" s="116">
        <f>SUMIFS('1HistTrade'!$EN:$EN,'1HistTrade'!$D:$D,D26,'1HistTrade'!$B:$B,"&lt;"&amp;B26)</f>
        <v>473043.14439999999</v>
      </c>
      <c r="EK26" s="224">
        <f>SUMIFS('1HistTrade'!$EU:$EU,'1HistTrade'!$D:$D,D26,'1HistTrade'!$B:$B,"&lt;"&amp;B26)</f>
        <v>0</v>
      </c>
      <c r="EL26" s="116"/>
      <c r="EM26" s="116">
        <f t="shared" ref="EM26:EN26" ca="1" si="121">EC26</f>
        <v>-6900</v>
      </c>
      <c r="EN26" s="116">
        <f t="shared" ca="1" si="121"/>
        <v>-2300</v>
      </c>
      <c r="EO26" s="224"/>
      <c r="EP26" s="116"/>
      <c r="EQ26" s="116">
        <f t="shared" ca="1" si="69"/>
        <v>-6900</v>
      </c>
      <c r="ER26" s="116">
        <f t="shared" ca="1" si="70"/>
        <v>29256.855599999995</v>
      </c>
      <c r="ES26" s="116">
        <f t="shared" ca="1" si="71"/>
        <v>22356.855599999995</v>
      </c>
      <c r="ET26" s="116">
        <f t="shared" ca="1" si="72"/>
        <v>470743.14439999999</v>
      </c>
      <c r="EU26" s="224">
        <f t="shared" ca="1" si="73"/>
        <v>0</v>
      </c>
      <c r="EV26" s="213">
        <f t="shared" ca="1" si="74"/>
        <v>0</v>
      </c>
      <c r="EX26" s="116">
        <f t="shared" ca="1" si="75"/>
        <v>-6900</v>
      </c>
      <c r="EY26" s="116">
        <f t="shared" ca="1" si="76"/>
        <v>29256.855599999995</v>
      </c>
      <c r="EZ26" s="116">
        <f t="shared" ca="1" si="77"/>
        <v>22356.855599999995</v>
      </c>
      <c r="FA26" s="116">
        <f t="shared" ca="1" si="78"/>
        <v>470743.14439999999</v>
      </c>
      <c r="FB26" s="116">
        <f t="shared" ca="1" si="79"/>
        <v>0</v>
      </c>
      <c r="FC26" s="189"/>
      <c r="FE26" s="31"/>
      <c r="FG26" s="31"/>
    </row>
    <row r="27" spans="1:163" ht="13">
      <c r="A27" s="10">
        <f>IF(E27&lt;=HistSecRecord!$E$1,1,0)</f>
        <v>1</v>
      </c>
      <c r="B27" s="190">
        <f>After1stCHK!B26</f>
        <v>44564000045</v>
      </c>
      <c r="C27" s="3" t="str">
        <f>After1stCHK!C26</f>
        <v>D0004</v>
      </c>
      <c r="D27" s="29" t="str">
        <f>After1stCHK!D26</f>
        <v>sABCD0004@hkmu.edu.hk</v>
      </c>
      <c r="E27" s="4">
        <f>After1stCHK!E26</f>
        <v>44564</v>
      </c>
      <c r="F27" s="105"/>
      <c r="G27" s="79" t="str">
        <f>After1stCHK!F26</f>
        <v>BUY (LONG)</v>
      </c>
      <c r="H27" s="80" t="str">
        <f>After1stCHK!G26</f>
        <v>XS2106834299</v>
      </c>
      <c r="I27" s="81" t="str">
        <f>After1stCHK!H26</f>
        <v>Bond</v>
      </c>
      <c r="J27" s="82">
        <f>After1stCHK!I26</f>
        <v>0</v>
      </c>
      <c r="K27" s="103">
        <f>After1stCHK!J26</f>
        <v>30</v>
      </c>
      <c r="L27" s="56">
        <f>After1stCHK!K26</f>
        <v>0</v>
      </c>
      <c r="M27" s="104">
        <f>After1stCHK!L26</f>
        <v>0</v>
      </c>
      <c r="N27" s="82">
        <f>After1stCHK!M26</f>
        <v>23</v>
      </c>
      <c r="O27" s="82"/>
      <c r="P27" s="86"/>
      <c r="Q27" s="43"/>
      <c r="T27" s="87">
        <f t="shared" si="0"/>
        <v>44564</v>
      </c>
      <c r="U27" s="102"/>
      <c r="V27" s="81" t="str">
        <f>VLOOKUP($B27,After1stCHK!$B$3:$AO$87840,MATCH(V$4,After1stCHK!$B$3:$AO$3,0),FALSE)</f>
        <v>USD</v>
      </c>
      <c r="W27" s="82" t="str">
        <f>VLOOKUP($B27,After1stCHK!$B$3:$AO$87840,MATCH(W$4,After1stCHK!$B$3:$AO$3,0),FALSE)</f>
        <v xml:space="preserve"> </v>
      </c>
      <c r="X27" s="82" t="str">
        <f>VLOOKUP($B27,After1stCHK!$B$3:$AO$87840,MATCH(X$4,After1stCHK!$B$3:$AO$3,0),FALSE)</f>
        <v xml:space="preserve"> </v>
      </c>
      <c r="Y27" s="82" t="str">
        <f>VLOOKUP($B27,After1stCHK!$B$3:$AO$87840,MATCH(Y$4,After1stCHK!$B$3:$AO$3,0),FALSE)</f>
        <v xml:space="preserve"> </v>
      </c>
      <c r="Z27" s="82" t="str">
        <f>VLOOKUP($B27,After1stCHK!$B$3:$AO$87840,MATCH(Z$4,After1stCHK!$B$3:$AO$3,0),FALSE)</f>
        <v xml:space="preserve"> </v>
      </c>
      <c r="AA27" s="82" t="str">
        <f>VLOOKUP($B27,After1stCHK!$B$3:$AO$87840,MATCH(AA$4,After1stCHK!$B$3:$AO$3,0),FALSE)</f>
        <v xml:space="preserve"> </v>
      </c>
      <c r="AB27" s="82" t="str">
        <f>VLOOKUP($B27,After1stCHK!$B$3:$AO$87840,MATCH(AB$4,After1stCHK!$B$3:$AO$3,0),FALSE)</f>
        <v xml:space="preserve"> </v>
      </c>
      <c r="AC27" s="110" t="str">
        <f>VLOOKUP($B27,After1stCHK!$B$3:$AO$87840,MATCH(AC$4,After1stCHK!$B$3:$AO$3,0),FALSE)</f>
        <v>China Evergrande Group</v>
      </c>
      <c r="AD27" s="110">
        <f>VLOOKUP($B27,After1stCHK!$B$3:$AO$87840,MATCH(AD$4,After1stCHK!$B$3:$AO$3,0),FALSE)</f>
        <v>10.79</v>
      </c>
      <c r="AE27" s="110">
        <f>VLOOKUP($B27,After1stCHK!$B$3:$AO$87840,MATCH(AE$4,After1stCHK!$B$3:$AO$3,0),FALSE)</f>
        <v>13.21</v>
      </c>
      <c r="AF27" s="111">
        <f>VLOOKUP($B27,After1stCHK!$B$3:$AO$87840,MATCH(AF$4,After1stCHK!$B$3:$AO$3,0),FALSE)</f>
        <v>0.115</v>
      </c>
      <c r="AG27" s="112">
        <f>VLOOKUP($B27,After1stCHK!$B$3:$AO$87840,MATCH(AG$4,After1stCHK!$B$3:$AO$3,0),FALSE)</f>
        <v>44948</v>
      </c>
      <c r="AH27" s="110" t="str">
        <f>VLOOKUP($B27,After1stCHK!$B$3:$AO$87840,MATCH(AH$4,After1stCHK!$B$3:$AO$3,0),FALSE)</f>
        <v>N.R/ N.R</v>
      </c>
      <c r="AI27" s="110">
        <f>VLOOKUP($B27,After1stCHK!$B$3:$AO$87840,MATCH(AI$4,After1stCHK!$B$3:$AO$3,0),FALSE)</f>
        <v>0.98499999999999999</v>
      </c>
      <c r="AJ27" s="110" t="str">
        <f>VLOOKUP($B27,After1stCHK!$B$3:$AO$87840,MATCH(AJ$4,After1stCHK!$B$3:$AO$3,0),FALSE)</f>
        <v>Senior Secured</v>
      </c>
      <c r="AK27" s="110" t="str">
        <f>VLOOKUP($B27,After1stCHK!$B$3:$AO$87840,MATCH(AK$4,After1stCHK!$B$3:$AO$3,0),FALSE)</f>
        <v>High Yield Corporate</v>
      </c>
      <c r="AL27" s="56" t="str">
        <f>VLOOKUP($B27,After1stCHK!$B$3:$AO$87840,MATCH(AL$4,After1stCHK!$B$3:$AO$3,0),FALSE)</f>
        <v>(blank)</v>
      </c>
      <c r="AM27" s="56" t="str">
        <f>VLOOKUP($B27,After1stCHK!$B$3:$AO$87840,MATCH(AM$4,After1stCHK!$B$3:$AO$3,0),FALSE)</f>
        <v>(blank)</v>
      </c>
      <c r="AN27" s="56" t="str">
        <f>VLOOKUP($B27,After1stCHK!$B$3:$AO$87840,MATCH(AN$4,After1stCHK!$B$3:$AO$3,0),FALSE)</f>
        <v>(blank)</v>
      </c>
      <c r="AO27" s="56" t="str">
        <f>VLOOKUP($B27,After1stCHK!$B$3:$AO$87840,MATCH(AO$4,After1stCHK!$B$3:$AO$3,0),FALSE)</f>
        <v>(blank)</v>
      </c>
      <c r="AP27" s="56" t="str">
        <f>VLOOKUP($B27,After1stCHK!$B$3:$AO$87840,MATCH(AP$4,After1stCHK!$B$3:$AO$3,0),FALSE)</f>
        <v>(blank)</v>
      </c>
      <c r="AQ27" s="56" t="str">
        <f>VLOOKUP($B27,After1stCHK!$B$3:$AO$87840,MATCH(AQ$4,After1stCHK!$B$3:$AO$3,0),FALSE)</f>
        <v>(blank)</v>
      </c>
      <c r="AR27" s="56" t="str">
        <f>VLOOKUP($B27,After1stCHK!$B$3:$AO$87840,MATCH(AR$4,After1stCHK!$B$3:$AO$3,0),FALSE)</f>
        <v>(blank)</v>
      </c>
      <c r="AS27" s="56" t="str">
        <f>VLOOKUP($B27,After1stCHK!$B$3:$AO$87840,MATCH(AS$4,After1stCHK!$B$3:$AO$3,0),FALSE)</f>
        <v>(blank)</v>
      </c>
      <c r="AT27" s="56" t="str">
        <f>VLOOKUP($B27,After1stCHK!$B$3:$AO$87840,MATCH(AT$4,After1stCHK!$B$3:$AO$3,0),FALSE)</f>
        <v>(blank)</v>
      </c>
      <c r="AU27" s="104" t="str">
        <f>VLOOKUP($B27,After1stCHK!$B$3:$AO$87840,MATCH(AU$4,After1stCHK!$B$3:$AO$3,0),FALSE)</f>
        <v>(blank)</v>
      </c>
      <c r="AV27" s="225">
        <f t="shared" si="1"/>
        <v>44948</v>
      </c>
      <c r="AX27" s="107"/>
      <c r="AY27" s="91"/>
      <c r="AZ27" s="24"/>
      <c r="BA27" s="92"/>
      <c r="BB27" s="192"/>
      <c r="BC27" s="94"/>
      <c r="BD27" s="193">
        <f t="shared" si="2"/>
        <v>0</v>
      </c>
      <c r="BE27" s="193" t="str">
        <f t="shared" si="3"/>
        <v/>
      </c>
      <c r="BF27" s="193">
        <f t="shared" ca="1" si="4"/>
        <v>0</v>
      </c>
      <c r="BG27" s="194" t="e">
        <f t="shared" ca="1" si="5"/>
        <v>#VALUE!</v>
      </c>
      <c r="BH27" s="195">
        <f t="shared" si="6"/>
        <v>2</v>
      </c>
      <c r="BI27" s="195">
        <f t="shared" si="7"/>
        <v>1</v>
      </c>
      <c r="BJ27" s="3">
        <f t="shared" si="8"/>
        <v>30</v>
      </c>
      <c r="BK27" s="3" t="str">
        <f t="shared" si="9"/>
        <v>USD</v>
      </c>
      <c r="BL27" s="196">
        <f ca="1">IF(V27="HKD",1,OFFSET(FX!$A$5,MATCH(E27,FX!A:A,0)-ROW(FX!$A$5),MATCH(V27,FX!$A$5:$AM$5,0)-1,1,1))</f>
        <v>7.7978500000000004</v>
      </c>
      <c r="BM27" s="197" t="str">
        <f t="shared" si="10"/>
        <v>XS2106834299</v>
      </c>
      <c r="BN27" s="198">
        <f t="shared" si="11"/>
        <v>0</v>
      </c>
      <c r="BO27" s="199"/>
      <c r="BP27" s="200">
        <f t="shared" si="12"/>
        <v>0</v>
      </c>
      <c r="BQ27" s="201">
        <f t="shared" si="13"/>
        <v>0</v>
      </c>
      <c r="BR27" s="202">
        <f t="shared" si="14"/>
        <v>0</v>
      </c>
      <c r="BS27" s="203">
        <f t="shared" ca="1" si="15"/>
        <v>0</v>
      </c>
      <c r="BT27" s="204"/>
      <c r="BU27" s="199">
        <f t="shared" si="16"/>
        <v>13.21</v>
      </c>
      <c r="BV27" s="201">
        <f t="shared" si="17"/>
        <v>30</v>
      </c>
      <c r="BW27" s="202">
        <f t="shared" si="18"/>
        <v>3963</v>
      </c>
      <c r="BX27" s="203">
        <f t="shared" ca="1" si="19"/>
        <v>30902.879550000001</v>
      </c>
      <c r="BY27" s="204"/>
      <c r="BZ27" s="198">
        <f t="shared" si="20"/>
        <v>0</v>
      </c>
      <c r="CA27" s="199"/>
      <c r="CB27" s="200">
        <f t="shared" si="21"/>
        <v>0</v>
      </c>
      <c r="CC27" s="201">
        <f t="shared" si="22"/>
        <v>0</v>
      </c>
      <c r="CD27" s="202">
        <f t="shared" si="23"/>
        <v>0</v>
      </c>
      <c r="CE27" s="203">
        <f t="shared" ca="1" si="24"/>
        <v>0</v>
      </c>
      <c r="CF27" s="204"/>
      <c r="CG27" s="205">
        <f t="shared" si="25"/>
        <v>0</v>
      </c>
      <c r="CH27" s="206">
        <f t="shared" si="26"/>
        <v>0</v>
      </c>
      <c r="CI27" s="207">
        <f t="shared" si="27"/>
        <v>0</v>
      </c>
      <c r="CJ27" s="203">
        <f t="shared" ca="1" si="28"/>
        <v>0</v>
      </c>
      <c r="CK27" s="204"/>
      <c r="CL27" s="208">
        <f t="shared" ca="1" si="29"/>
        <v>-30902.879550000001</v>
      </c>
      <c r="CM27" s="209" t="str">
        <f t="shared" si="30"/>
        <v/>
      </c>
      <c r="CN27" s="210" t="str">
        <f t="shared" si="31"/>
        <v>XS2106834299</v>
      </c>
      <c r="CO27" s="153">
        <f t="shared" si="32"/>
        <v>44564</v>
      </c>
      <c r="CP27" s="211">
        <f t="shared" ref="CP27:CQ27" si="122">AZ27</f>
        <v>0</v>
      </c>
      <c r="CQ27" s="212">
        <f t="shared" si="122"/>
        <v>0</v>
      </c>
      <c r="CR27" s="213">
        <f t="shared" si="34"/>
        <v>0</v>
      </c>
      <c r="CS27" s="213">
        <f t="shared" si="35"/>
        <v>0</v>
      </c>
      <c r="CT27" s="214">
        <f>SUMIFS('1HistTrade'!DF:DF,'1HistTrade'!$D:$D,$D27,'1HistTrade'!$BM:$BM,$BM27,'1HistTrade'!$B:$B,"&lt;"&amp;$B27)</f>
        <v>0</v>
      </c>
      <c r="CU27" s="215">
        <f>SUMIFS('1HistTrade'!DG:DG,'1HistTrade'!$D:$D,$D27,'1HistTrade'!$BM:$BM,$BM27,'1HistTrade'!$B:$B,"&lt;"&amp;$B27)</f>
        <v>0</v>
      </c>
      <c r="CV27" s="215">
        <f>SUMIFS('1HistTrade'!DH:DH,'1HistTrade'!$D:$D,$D27,'1HistTrade'!$BM:$BM,$BM27,'1HistTrade'!$B:$B,"&lt;"&amp;$B27)</f>
        <v>0</v>
      </c>
      <c r="CW27" s="215">
        <f>SUMIFS('1HistTrade'!DI:DI,'1HistTrade'!$D:$D,$D27,'1HistTrade'!$BM:$BM,$BM27,'1HistTrade'!$B:$B,"&lt;"&amp;$B27)</f>
        <v>0</v>
      </c>
      <c r="CX27" s="216">
        <f t="shared" si="36"/>
        <v>0</v>
      </c>
      <c r="CY27" s="216">
        <f t="shared" si="37"/>
        <v>30</v>
      </c>
      <c r="CZ27" s="216">
        <f t="shared" si="38"/>
        <v>0</v>
      </c>
      <c r="DA27" s="216">
        <f t="shared" ca="1" si="39"/>
        <v>0</v>
      </c>
      <c r="DB27" s="21" t="str">
        <f t="shared" si="40"/>
        <v/>
      </c>
      <c r="DC27" s="21" t="str">
        <f t="shared" si="41"/>
        <v>B</v>
      </c>
      <c r="DD27" s="21" t="str">
        <f t="shared" si="42"/>
        <v/>
      </c>
      <c r="DE27" s="21" t="str">
        <f t="shared" ca="1" si="43"/>
        <v/>
      </c>
      <c r="DF27" s="215">
        <f t="shared" si="44"/>
        <v>0</v>
      </c>
      <c r="DG27" s="215">
        <f t="shared" si="45"/>
        <v>30</v>
      </c>
      <c r="DH27" s="215">
        <f t="shared" si="46"/>
        <v>0</v>
      </c>
      <c r="DI27" s="215">
        <f t="shared" ca="1" si="47"/>
        <v>0</v>
      </c>
      <c r="DJ27" s="215" t="str">
        <f t="shared" si="48"/>
        <v>B</v>
      </c>
      <c r="DK27" s="116"/>
      <c r="DL27" s="116">
        <f t="shared" si="49"/>
        <v>0</v>
      </c>
      <c r="DM27" s="116">
        <f t="shared" si="50"/>
        <v>0</v>
      </c>
      <c r="DN27" s="116">
        <f t="shared" ca="1" si="51"/>
        <v>0</v>
      </c>
      <c r="DO27" s="217">
        <f t="shared" si="52"/>
        <v>0</v>
      </c>
      <c r="DP27" s="217">
        <f t="shared" si="53"/>
        <v>0</v>
      </c>
      <c r="DQ27" s="116">
        <f>IF($DT$1="Delete",0,IF(OR(DG27="",DG27=0),0,SUMIFS('1HistTrade'!$ED:$ED,'1HistTrade'!$D:$D,D27,'1HistTrade'!$H:$H,H27,'1HistTrade'!$B:$B,"&lt;"&amp;B27)))</f>
        <v>0</v>
      </c>
      <c r="DR27" s="116">
        <f t="shared" ca="1" si="54"/>
        <v>30902.879550000001</v>
      </c>
      <c r="DS27" s="116">
        <f t="shared" ca="1" si="55"/>
        <v>-30902.879550000005</v>
      </c>
      <c r="DT27" s="116">
        <f>IF($DT$1="Delete",0,IF(OR(DI27="",DI27=0),0,SUMIFS('1HistTrade'!$ED:$ED,'1HistTrade'!$D:$D,D27,'1HistTrade'!$H:$H,H27,'1HistTrade'!$B:$B,"&lt;"&amp;B27)))</f>
        <v>0</v>
      </c>
      <c r="DU27" s="116">
        <f t="shared" ca="1" si="56"/>
        <v>0</v>
      </c>
      <c r="DV27" s="116">
        <f t="shared" ca="1" si="57"/>
        <v>0</v>
      </c>
      <c r="DW27" s="218">
        <f t="shared" si="58"/>
        <v>0</v>
      </c>
      <c r="DX27" s="219"/>
      <c r="DY27" s="219">
        <f t="shared" si="59"/>
        <v>0</v>
      </c>
      <c r="DZ27" s="220">
        <f t="shared" ca="1" si="60"/>
        <v>0</v>
      </c>
      <c r="EA27" s="220">
        <f t="shared" si="61"/>
        <v>0</v>
      </c>
      <c r="EB27" s="221">
        <f t="shared" ca="1" si="62"/>
        <v>0</v>
      </c>
      <c r="EC27" s="116">
        <f t="shared" ca="1" si="63"/>
        <v>-30902.879550000001</v>
      </c>
      <c r="ED27" s="116">
        <f t="shared" ca="1" si="64"/>
        <v>-30902.879550000005</v>
      </c>
      <c r="EE27" s="222" t="str">
        <f t="shared" si="65"/>
        <v/>
      </c>
      <c r="EF27" s="116">
        <f t="shared" si="66"/>
        <v>-30</v>
      </c>
      <c r="EG27" s="223">
        <f ca="1">IF(ISERROR(VLOOKUP(_xludf.maxifs(DbyD!C:C,DbyD!B:B,C27,DbyD!F:F,"&lt;=" &amp; E27,DbyD!C:C,"&lt;"&amp;B27),DbyD!C:BE,MATCH(DbyD!$BB$9,DbyD!$9:$9,0)-2,FALSE)),0,VLOOKUP(_xludf.maxifs(DbyD!C:C,DbyD!B:B,C27,DbyD!F:F,"&lt;=" &amp; E27,DbyD!C:C,"&lt;"&amp;B27),DbyD!C:BE,MATCH(DbyD!$BB$9,DbyD!$9:$9,0)-2,FALSE))</f>
        <v>0</v>
      </c>
      <c r="EH27" s="116">
        <f>SUMIFS('1HistTrade'!$EM:$EM,'1HistTrade'!$D:$D,D27,'1HistTrade'!$B:$B,"&lt;"&amp;B27,'1HistTrade'!$DJ:$DJ,"&lt;&gt;"&amp;"CD/CW")*-1</f>
        <v>103845.5325</v>
      </c>
      <c r="EI27" s="116">
        <f t="shared" ca="1" si="67"/>
        <v>103845.5325</v>
      </c>
      <c r="EJ27" s="116">
        <f>SUMIFS('1HistTrade'!$EN:$EN,'1HistTrade'!$D:$D,D27,'1HistTrade'!$B:$B,"&lt;"&amp;B27)</f>
        <v>396154.46750000003</v>
      </c>
      <c r="EK27" s="224">
        <f>SUMIFS('1HistTrade'!$EU:$EU,'1HistTrade'!$D:$D,D27,'1HistTrade'!$B:$B,"&lt;"&amp;B27)</f>
        <v>0</v>
      </c>
      <c r="EL27" s="116"/>
      <c r="EM27" s="116">
        <f t="shared" ref="EM27:EN27" ca="1" si="123">EC27</f>
        <v>-30902.879550000001</v>
      </c>
      <c r="EN27" s="116">
        <f t="shared" ca="1" si="123"/>
        <v>-30902.879550000005</v>
      </c>
      <c r="EO27" s="224"/>
      <c r="EP27" s="116"/>
      <c r="EQ27" s="116">
        <f t="shared" ca="1" si="69"/>
        <v>-30902.879550000001</v>
      </c>
      <c r="ER27" s="116">
        <f t="shared" ca="1" si="70"/>
        <v>134748.41205000001</v>
      </c>
      <c r="ES27" s="116">
        <f t="shared" ca="1" si="71"/>
        <v>103845.53250000002</v>
      </c>
      <c r="ET27" s="116">
        <f t="shared" ca="1" si="72"/>
        <v>365251.58795000002</v>
      </c>
      <c r="EU27" s="224">
        <f t="shared" ca="1" si="73"/>
        <v>0</v>
      </c>
      <c r="EV27" s="213">
        <f t="shared" ca="1" si="74"/>
        <v>0</v>
      </c>
      <c r="EX27" s="116">
        <f t="shared" ca="1" si="75"/>
        <v>-30902.879550000001</v>
      </c>
      <c r="EY27" s="116">
        <f t="shared" ca="1" si="76"/>
        <v>134748.41205000001</v>
      </c>
      <c r="EZ27" s="116">
        <f t="shared" ca="1" si="77"/>
        <v>103845.53250000002</v>
      </c>
      <c r="FA27" s="116">
        <f t="shared" ca="1" si="78"/>
        <v>365251.58795000002</v>
      </c>
      <c r="FB27" s="116">
        <f t="shared" ca="1" si="79"/>
        <v>0</v>
      </c>
      <c r="FC27" s="189"/>
      <c r="FE27" s="31"/>
      <c r="FG27" s="31"/>
    </row>
    <row r="28" spans="1:163" ht="13">
      <c r="A28" s="10">
        <f>IF(E28&lt;=HistSecRecord!$E$1,1,0)</f>
        <v>1</v>
      </c>
      <c r="B28" s="190">
        <f>After1stCHK!B27</f>
        <v>44565000016</v>
      </c>
      <c r="C28" s="3" t="str">
        <f>After1stCHK!C27</f>
        <v>D0001</v>
      </c>
      <c r="D28" s="29" t="str">
        <f>After1stCHK!D27</f>
        <v>sABCD0001@hkmu.edu.hk</v>
      </c>
      <c r="E28" s="4">
        <f>After1stCHK!E27</f>
        <v>44565</v>
      </c>
      <c r="F28" s="105"/>
      <c r="G28" s="79" t="str">
        <f>After1stCHK!F27</f>
        <v>SELL (SHORT)</v>
      </c>
      <c r="H28" s="226" t="str">
        <f>After1stCHK!G27</f>
        <v>MC.PA</v>
      </c>
      <c r="I28" s="81" t="str">
        <f>After1stCHK!H27</f>
        <v>Stock</v>
      </c>
      <c r="J28" s="82">
        <f>After1stCHK!I27</f>
        <v>5</v>
      </c>
      <c r="K28" s="83">
        <f>After1stCHK!J27</f>
        <v>0</v>
      </c>
      <c r="L28" s="84">
        <f>After1stCHK!K27</f>
        <v>0</v>
      </c>
      <c r="M28" s="89">
        <f>After1stCHK!L27</f>
        <v>0</v>
      </c>
      <c r="N28" s="82">
        <f>After1stCHK!M27</f>
        <v>740</v>
      </c>
      <c r="O28" s="82"/>
      <c r="P28" s="86"/>
      <c r="Q28" s="43"/>
      <c r="T28" s="87">
        <f t="shared" si="0"/>
        <v>44565</v>
      </c>
      <c r="U28" s="102"/>
      <c r="V28" s="81" t="str">
        <f>VLOOKUP($B28,After1stCHK!$B$3:$AO$87840,MATCH(V$4,After1stCHK!$B$3:$AO$3,0),FALSE)</f>
        <v>EUR</v>
      </c>
      <c r="W28" s="100" t="str">
        <f>VLOOKUP($B28,After1stCHK!$B$3:$AO$87840,MATCH(W$4,After1stCHK!$B$3:$AO$3,0),FALSE)</f>
        <v>MC.PA</v>
      </c>
      <c r="X28" s="82">
        <f>VLOOKUP($B28,After1stCHK!$B$3:$AO$87840,MATCH(X$4,After1stCHK!$B$3:$AO$3,0),FALSE)</f>
        <v>673.7</v>
      </c>
      <c r="Y28" s="82">
        <f>VLOOKUP($B28,After1stCHK!$B$3:$AO$87840,MATCH(Y$4,After1stCHK!$B$3:$AO$3,0),FALSE)</f>
        <v>687.9</v>
      </c>
      <c r="Z28" s="82">
        <f>VLOOKUP($B28,After1stCHK!$B$3:$AO$87840,MATCH(Z$4,After1stCHK!$B$3:$AO$3,0),FALSE)</f>
        <v>671.7</v>
      </c>
      <c r="AA28" s="82">
        <f>VLOOKUP($B28,After1stCHK!$B$3:$AO$87840,MATCH(AA$4,After1stCHK!$B$3:$AO$3,0),FALSE)</f>
        <v>667</v>
      </c>
      <c r="AB28" s="82">
        <f>VLOOKUP($B28,After1stCHK!$B$3:$AO$87840,MATCH(AB$4,After1stCHK!$B$3:$AO$3,0),FALSE)</f>
        <v>439855</v>
      </c>
      <c r="AC28" s="103" t="str">
        <f>VLOOKUP($B28,After1stCHK!$B$3:$AO$87840,MATCH(AC$4,After1stCHK!$B$3:$AO$3,0),FALSE)</f>
        <v>(blank)</v>
      </c>
      <c r="AD28" s="103" t="str">
        <f>VLOOKUP($B28,After1stCHK!$B$3:$AO$87840,MATCH(AD$4,After1stCHK!$B$3:$AO$3,0),FALSE)</f>
        <v>(blank)</v>
      </c>
      <c r="AE28" s="103" t="str">
        <f>VLOOKUP($B28,After1stCHK!$B$3:$AO$87840,MATCH(AE$4,After1stCHK!$B$3:$AO$3,0),FALSE)</f>
        <v>(blank)</v>
      </c>
      <c r="AF28" s="103" t="str">
        <f>VLOOKUP($B28,After1stCHK!$B$3:$AO$87840,MATCH(AF$4,After1stCHK!$B$3:$AO$3,0),FALSE)</f>
        <v>(blank)</v>
      </c>
      <c r="AG28" s="103" t="str">
        <f>VLOOKUP($B28,After1stCHK!$B$3:$AO$87840,MATCH(AG$4,After1stCHK!$B$3:$AO$3,0),FALSE)</f>
        <v>(blank)</v>
      </c>
      <c r="AH28" s="103" t="str">
        <f>VLOOKUP($B28,After1stCHK!$B$3:$AO$87840,MATCH(AH$4,After1stCHK!$B$3:$AO$3,0),FALSE)</f>
        <v>(blank)</v>
      </c>
      <c r="AI28" s="103" t="str">
        <f>VLOOKUP($B28,After1stCHK!$B$3:$AO$87840,MATCH(AI$4,After1stCHK!$B$3:$AO$3,0),FALSE)</f>
        <v>(blank)</v>
      </c>
      <c r="AJ28" s="103" t="str">
        <f>VLOOKUP($B28,After1stCHK!$B$3:$AO$87840,MATCH(AJ$4,After1stCHK!$B$3:$AO$3,0),FALSE)</f>
        <v>(blank)</v>
      </c>
      <c r="AK28" s="103" t="str">
        <f>VLOOKUP($B28,After1stCHK!$B$3:$AO$87840,MATCH(AK$4,After1stCHK!$B$3:$AO$3,0),FALSE)</f>
        <v>(blank)</v>
      </c>
      <c r="AL28" s="56" t="str">
        <f>VLOOKUP($B28,After1stCHK!$B$3:$AO$87840,MATCH(AL$4,After1stCHK!$B$3:$AO$3,0),FALSE)</f>
        <v>(blank)</v>
      </c>
      <c r="AM28" s="56" t="str">
        <f>VLOOKUP($B28,After1stCHK!$B$3:$AO$87840,MATCH(AM$4,After1stCHK!$B$3:$AO$3,0),FALSE)</f>
        <v>(blank)</v>
      </c>
      <c r="AN28" s="56" t="str">
        <f>VLOOKUP($B28,After1stCHK!$B$3:$AO$87840,MATCH(AN$4,After1stCHK!$B$3:$AO$3,0),FALSE)</f>
        <v>(blank)</v>
      </c>
      <c r="AO28" s="56" t="str">
        <f>VLOOKUP($B28,After1stCHK!$B$3:$AO$87840,MATCH(AO$4,After1stCHK!$B$3:$AO$3,0),FALSE)</f>
        <v>(blank)</v>
      </c>
      <c r="AP28" s="56" t="str">
        <f>VLOOKUP($B28,After1stCHK!$B$3:$AO$87840,MATCH(AP$4,After1stCHK!$B$3:$AO$3,0),FALSE)</f>
        <v>(blank)</v>
      </c>
      <c r="AQ28" s="56" t="str">
        <f>VLOOKUP($B28,After1stCHK!$B$3:$AO$87840,MATCH(AQ$4,After1stCHK!$B$3:$AO$3,0),FALSE)</f>
        <v>(blank)</v>
      </c>
      <c r="AR28" s="56" t="str">
        <f>VLOOKUP($B28,After1stCHK!$B$3:$AO$87840,MATCH(AR$4,After1stCHK!$B$3:$AO$3,0),FALSE)</f>
        <v>(blank)</v>
      </c>
      <c r="AS28" s="56" t="str">
        <f>VLOOKUP($B28,After1stCHK!$B$3:$AO$87840,MATCH(AS$4,After1stCHK!$B$3:$AO$3,0),FALSE)</f>
        <v>(blank)</v>
      </c>
      <c r="AT28" s="56" t="str">
        <f>VLOOKUP($B28,After1stCHK!$B$3:$AO$87840,MATCH(AT$4,After1stCHK!$B$3:$AO$3,0),FALSE)</f>
        <v>(blank)</v>
      </c>
      <c r="AU28" s="104" t="str">
        <f>VLOOKUP($B28,After1stCHK!$B$3:$AO$87840,MATCH(AU$4,After1stCHK!$B$3:$AO$3,0),FALSE)</f>
        <v>(blank)</v>
      </c>
      <c r="AV28" s="225" t="str">
        <f t="shared" si="1"/>
        <v/>
      </c>
      <c r="AX28" s="90"/>
      <c r="AY28" s="91"/>
      <c r="AZ28" s="24"/>
      <c r="BA28" s="92"/>
      <c r="BB28" s="192"/>
      <c r="BC28" s="94"/>
      <c r="BD28" s="193">
        <f t="shared" si="2"/>
        <v>0</v>
      </c>
      <c r="BE28" s="193" t="str">
        <f t="shared" si="3"/>
        <v/>
      </c>
      <c r="BF28" s="193">
        <f t="shared" ca="1" si="4"/>
        <v>0</v>
      </c>
      <c r="BG28" s="194" t="e">
        <f t="shared" ca="1" si="5"/>
        <v>#VALUE!</v>
      </c>
      <c r="BH28" s="195">
        <f t="shared" si="6"/>
        <v>1</v>
      </c>
      <c r="BI28" s="195">
        <f t="shared" si="7"/>
        <v>-1</v>
      </c>
      <c r="BJ28" s="3">
        <f t="shared" si="8"/>
        <v>5</v>
      </c>
      <c r="BK28" s="3" t="str">
        <f t="shared" si="9"/>
        <v>EUR</v>
      </c>
      <c r="BL28" s="196">
        <f ca="1">IF(V28="HKD",1,OFFSET(FX!$A$5,MATCH(E28,FX!A:A,0)-ROW(FX!$A$5),MATCH(V28,FX!$A$5:$AM$5,0)-1,1,1))</f>
        <v>8.7949999999999999</v>
      </c>
      <c r="BM28" s="227" t="str">
        <f t="shared" si="10"/>
        <v>MC.PA</v>
      </c>
      <c r="BN28" s="198">
        <f t="shared" si="11"/>
        <v>740</v>
      </c>
      <c r="BO28" s="199"/>
      <c r="BP28" s="200">
        <f t="shared" si="12"/>
        <v>740</v>
      </c>
      <c r="BQ28" s="201">
        <f t="shared" si="13"/>
        <v>-5</v>
      </c>
      <c r="BR28" s="202">
        <f t="shared" si="14"/>
        <v>-3700</v>
      </c>
      <c r="BS28" s="203">
        <f t="shared" ca="1" si="15"/>
        <v>-32541.5</v>
      </c>
      <c r="BT28" s="204"/>
      <c r="BU28" s="199">
        <f t="shared" si="16"/>
        <v>0</v>
      </c>
      <c r="BV28" s="201">
        <f t="shared" si="17"/>
        <v>0</v>
      </c>
      <c r="BW28" s="202">
        <f t="shared" si="18"/>
        <v>0</v>
      </c>
      <c r="BX28" s="203">
        <f t="shared" ca="1" si="19"/>
        <v>0</v>
      </c>
      <c r="BY28" s="204"/>
      <c r="BZ28" s="198">
        <f t="shared" si="20"/>
        <v>0</v>
      </c>
      <c r="CA28" s="199"/>
      <c r="CB28" s="200">
        <f t="shared" si="21"/>
        <v>0</v>
      </c>
      <c r="CC28" s="201">
        <f t="shared" si="22"/>
        <v>0</v>
      </c>
      <c r="CD28" s="202">
        <f t="shared" si="23"/>
        <v>0</v>
      </c>
      <c r="CE28" s="203">
        <f t="shared" ca="1" si="24"/>
        <v>0</v>
      </c>
      <c r="CF28" s="204"/>
      <c r="CG28" s="205">
        <f t="shared" si="25"/>
        <v>0</v>
      </c>
      <c r="CH28" s="206">
        <f t="shared" si="26"/>
        <v>0</v>
      </c>
      <c r="CI28" s="207">
        <f t="shared" si="27"/>
        <v>0</v>
      </c>
      <c r="CJ28" s="203">
        <f t="shared" ca="1" si="28"/>
        <v>0</v>
      </c>
      <c r="CK28" s="204"/>
      <c r="CL28" s="208">
        <f t="shared" ca="1" si="29"/>
        <v>32541.5</v>
      </c>
      <c r="CM28" s="209" t="str">
        <f t="shared" si="30"/>
        <v/>
      </c>
      <c r="CN28" s="228" t="str">
        <f t="shared" si="31"/>
        <v>MC.PA</v>
      </c>
      <c r="CO28" s="153">
        <f t="shared" si="32"/>
        <v>44565</v>
      </c>
      <c r="CP28" s="211">
        <f t="shared" ref="CP28:CQ28" si="124">AZ28</f>
        <v>0</v>
      </c>
      <c r="CQ28" s="212">
        <f t="shared" si="124"/>
        <v>0</v>
      </c>
      <c r="CR28" s="213">
        <f t="shared" si="34"/>
        <v>0</v>
      </c>
      <c r="CS28" s="213">
        <f t="shared" si="35"/>
        <v>0</v>
      </c>
      <c r="CT28" s="214">
        <f>SUMIFS('1HistTrade'!DF:DF,'1HistTrade'!$D:$D,$D28,'1HistTrade'!$BM:$BM,$BM28,'1HistTrade'!$B:$B,"&lt;"&amp;$B28)</f>
        <v>10</v>
      </c>
      <c r="CU28" s="215">
        <f>SUMIFS('1HistTrade'!DG:DG,'1HistTrade'!$D:$D,$D28,'1HistTrade'!$BM:$BM,$BM28,'1HistTrade'!$B:$B,"&lt;"&amp;$B28)</f>
        <v>0</v>
      </c>
      <c r="CV28" s="215">
        <f>SUMIFS('1HistTrade'!DH:DH,'1HistTrade'!$D:$D,$D28,'1HistTrade'!$BM:$BM,$BM28,'1HistTrade'!$B:$B,"&lt;"&amp;$B28)</f>
        <v>0</v>
      </c>
      <c r="CW28" s="215">
        <f>SUMIFS('1HistTrade'!DI:DI,'1HistTrade'!$D:$D,$D28,'1HistTrade'!$BM:$BM,$BM28,'1HistTrade'!$B:$B,"&lt;"&amp;$B28)</f>
        <v>0</v>
      </c>
      <c r="CX28" s="216">
        <f t="shared" si="36"/>
        <v>5</v>
      </c>
      <c r="CY28" s="216">
        <f t="shared" si="37"/>
        <v>0</v>
      </c>
      <c r="CZ28" s="216">
        <f t="shared" si="38"/>
        <v>0</v>
      </c>
      <c r="DA28" s="216">
        <f t="shared" ca="1" si="39"/>
        <v>0</v>
      </c>
      <c r="DB28" s="21" t="str">
        <f t="shared" si="40"/>
        <v>S</v>
      </c>
      <c r="DC28" s="21" t="str">
        <f t="shared" si="41"/>
        <v/>
      </c>
      <c r="DD28" s="21" t="str">
        <f t="shared" si="42"/>
        <v/>
      </c>
      <c r="DE28" s="21" t="str">
        <f t="shared" ca="1" si="43"/>
        <v/>
      </c>
      <c r="DF28" s="215">
        <f t="shared" si="44"/>
        <v>-5</v>
      </c>
      <c r="DG28" s="215">
        <f t="shared" si="45"/>
        <v>0</v>
      </c>
      <c r="DH28" s="215">
        <f t="shared" si="46"/>
        <v>0</v>
      </c>
      <c r="DI28" s="215">
        <f t="shared" ca="1" si="47"/>
        <v>0</v>
      </c>
      <c r="DJ28" s="215" t="str">
        <f t="shared" si="48"/>
        <v>S</v>
      </c>
      <c r="DK28" s="116"/>
      <c r="DL28" s="116">
        <f t="shared" ca="1" si="49"/>
        <v>6508.3</v>
      </c>
      <c r="DM28" s="116">
        <f t="shared" ca="1" si="50"/>
        <v>-32541.5</v>
      </c>
      <c r="DN28" s="116">
        <f t="shared" ca="1" si="51"/>
        <v>32541.5</v>
      </c>
      <c r="DO28" s="217">
        <f t="shared" ca="1" si="52"/>
        <v>0</v>
      </c>
      <c r="DP28" s="217">
        <f t="shared" ca="1" si="53"/>
        <v>-32541.5</v>
      </c>
      <c r="DQ28" s="116">
        <f>IF($DT$1="Delete",0,IF(OR(DG28="",DG28=0),0,SUMIFS('1HistTrade'!$ED:$ED,'1HistTrade'!$D:$D,D28,'1HistTrade'!$H:$H,H28,'1HistTrade'!$B:$B,"&lt;"&amp;B28)))</f>
        <v>0</v>
      </c>
      <c r="DR28" s="116">
        <f t="shared" ca="1" si="54"/>
        <v>0</v>
      </c>
      <c r="DS28" s="116">
        <f t="shared" ca="1" si="55"/>
        <v>0</v>
      </c>
      <c r="DT28" s="116">
        <f>IF($DT$1="Delete",0,IF(OR(DI28="",DI28=0),0,SUMIFS('1HistTrade'!$ED:$ED,'1HistTrade'!$D:$D,D28,'1HistTrade'!$H:$H,H28,'1HistTrade'!$B:$B,"&lt;"&amp;B28)))</f>
        <v>0</v>
      </c>
      <c r="DU28" s="116">
        <f t="shared" ca="1" si="56"/>
        <v>0</v>
      </c>
      <c r="DV28" s="116">
        <f t="shared" ca="1" si="57"/>
        <v>0</v>
      </c>
      <c r="DW28" s="218">
        <f t="shared" si="58"/>
        <v>0</v>
      </c>
      <c r="DX28" s="219"/>
      <c r="DY28" s="219">
        <f t="shared" si="59"/>
        <v>0</v>
      </c>
      <c r="DZ28" s="220">
        <f t="shared" ca="1" si="60"/>
        <v>0</v>
      </c>
      <c r="EA28" s="220">
        <f t="shared" si="61"/>
        <v>0</v>
      </c>
      <c r="EB28" s="221">
        <f t="shared" ca="1" si="62"/>
        <v>0</v>
      </c>
      <c r="EC28" s="116">
        <f t="shared" ca="1" si="63"/>
        <v>32541.5</v>
      </c>
      <c r="ED28" s="116">
        <f t="shared" ca="1" si="64"/>
        <v>32541.5</v>
      </c>
      <c r="EE28" s="222" t="str">
        <f t="shared" si="65"/>
        <v/>
      </c>
      <c r="EF28" s="116">
        <f t="shared" si="66"/>
        <v>5</v>
      </c>
      <c r="EG28" s="223">
        <f ca="1">IF(ISERROR(VLOOKUP(_xludf.maxifs(DbyD!C:C,DbyD!B:B,C28,DbyD!F:F,"&lt;=" &amp; E28,DbyD!C:C,"&lt;"&amp;B28),DbyD!C:BE,MATCH(DbyD!$BB$9,DbyD!$9:$9,0)-2,FALSE)),0,VLOOKUP(_xludf.maxifs(DbyD!C:C,DbyD!B:B,C28,DbyD!F:F,"&lt;=" &amp; E28,DbyD!C:C,"&lt;"&amp;B28),DbyD!C:BE,MATCH(DbyD!$BB$9,DbyD!$9:$9,0)-2,FALSE))</f>
        <v>0</v>
      </c>
      <c r="EH28" s="116">
        <f>SUMIFS('1HistTrade'!$EM:$EM,'1HistTrade'!$D:$D,D28,'1HistTrade'!$B:$B,"&lt;"&amp;B28,'1HistTrade'!$DJ:$DJ,"&lt;&gt;"&amp;"CD/CW")*-1</f>
        <v>83988.332750000001</v>
      </c>
      <c r="EI28" s="116">
        <f t="shared" ca="1" si="67"/>
        <v>83988.332750000001</v>
      </c>
      <c r="EJ28" s="116">
        <f>SUMIFS('1HistTrade'!$EN:$EN,'1HistTrade'!$D:$D,D28,'1HistTrade'!$B:$B,"&lt;"&amp;B28)</f>
        <v>340560.33075000002</v>
      </c>
      <c r="EK28" s="224">
        <f>SUMIFS('1HistTrade'!$EU:$EU,'1HistTrade'!$D:$D,D28,'1HistTrade'!$B:$B,"&lt;"&amp;B28)</f>
        <v>0</v>
      </c>
      <c r="EL28" s="116"/>
      <c r="EM28" s="116">
        <f t="shared" ref="EM28:EN28" ca="1" si="125">EC28</f>
        <v>32541.5</v>
      </c>
      <c r="EN28" s="116">
        <f t="shared" ca="1" si="125"/>
        <v>32541.5</v>
      </c>
      <c r="EO28" s="224"/>
      <c r="EP28" s="116"/>
      <c r="EQ28" s="116">
        <f t="shared" ca="1" si="69"/>
        <v>32541.5</v>
      </c>
      <c r="ER28" s="116">
        <f t="shared" ca="1" si="70"/>
        <v>51446.832750000001</v>
      </c>
      <c r="ES28" s="116">
        <f t="shared" ca="1" si="71"/>
        <v>83988.332750000001</v>
      </c>
      <c r="ET28" s="116">
        <f t="shared" ca="1" si="72"/>
        <v>373101.83075000002</v>
      </c>
      <c r="EU28" s="224">
        <f t="shared" ca="1" si="73"/>
        <v>0</v>
      </c>
      <c r="EV28" s="213">
        <f t="shared" ca="1" si="74"/>
        <v>0</v>
      </c>
      <c r="EX28" s="116">
        <f t="shared" ca="1" si="75"/>
        <v>32541.5</v>
      </c>
      <c r="EY28" s="116">
        <f t="shared" ca="1" si="76"/>
        <v>51446.832750000001</v>
      </c>
      <c r="EZ28" s="116">
        <f t="shared" ca="1" si="77"/>
        <v>83988.332750000001</v>
      </c>
      <c r="FA28" s="116">
        <f t="shared" ca="1" si="78"/>
        <v>373101.83075000002</v>
      </c>
      <c r="FB28" s="116">
        <f t="shared" ca="1" si="79"/>
        <v>0</v>
      </c>
      <c r="FC28" s="189"/>
      <c r="FE28" s="31"/>
      <c r="FG28" s="31"/>
    </row>
    <row r="29" spans="1:163" ht="13">
      <c r="A29" s="10">
        <f>IF(E29&lt;=HistSecRecord!$E$1,1,0)</f>
        <v>1</v>
      </c>
      <c r="B29" s="190">
        <f>After1stCHK!B28</f>
        <v>44565000036</v>
      </c>
      <c r="C29" s="3" t="str">
        <f>After1stCHK!C28</f>
        <v>D0003</v>
      </c>
      <c r="D29" s="29" t="str">
        <f>After1stCHK!D28</f>
        <v>sABCD0003@hkmu.edu.hk</v>
      </c>
      <c r="E29" s="4">
        <f>After1stCHK!E28</f>
        <v>44565</v>
      </c>
      <c r="F29" s="105"/>
      <c r="G29" s="79" t="str">
        <f>After1stCHK!F28</f>
        <v>BUY (LONG)</v>
      </c>
      <c r="H29" s="226" t="str">
        <f>After1stCHK!G28</f>
        <v>0700.HK</v>
      </c>
      <c r="I29" s="81" t="str">
        <f>After1stCHK!H28</f>
        <v>Stock</v>
      </c>
      <c r="J29" s="109">
        <f>After1stCHK!I28</f>
        <v>380</v>
      </c>
      <c r="K29" s="83">
        <f>After1stCHK!J28</f>
        <v>0</v>
      </c>
      <c r="L29" s="84">
        <f>After1stCHK!K28</f>
        <v>0</v>
      </c>
      <c r="M29" s="89">
        <f>After1stCHK!L28</f>
        <v>0</v>
      </c>
      <c r="N29" s="82">
        <f>After1stCHK!M28</f>
        <v>450</v>
      </c>
      <c r="O29" s="82"/>
      <c r="P29" s="86"/>
      <c r="Q29" s="43"/>
      <c r="T29" s="87">
        <f t="shared" si="0"/>
        <v>44565</v>
      </c>
      <c r="U29" s="102"/>
      <c r="V29" s="81" t="str">
        <f>VLOOKUP($B29,After1stCHK!$B$3:$AO$87840,MATCH(V$4,After1stCHK!$B$3:$AO$3,0),FALSE)</f>
        <v>HKD</v>
      </c>
      <c r="W29" s="100" t="str">
        <f>VLOOKUP($B29,After1stCHK!$B$3:$AO$87840,MATCH(W$4,After1stCHK!$B$3:$AO$3,0),FALSE)</f>
        <v>0700.HK</v>
      </c>
      <c r="X29" s="82">
        <f>VLOOKUP($B29,After1stCHK!$B$3:$AO$87840,MATCH(X$4,After1stCHK!$B$3:$AO$3,0),FALSE)</f>
        <v>465</v>
      </c>
      <c r="Y29" s="82">
        <f>VLOOKUP($B29,After1stCHK!$B$3:$AO$87840,MATCH(Y$4,After1stCHK!$B$3:$AO$3,0),FALSE)</f>
        <v>467</v>
      </c>
      <c r="Z29" s="82">
        <f>VLOOKUP($B29,After1stCHK!$B$3:$AO$87840,MATCH(Z$4,After1stCHK!$B$3:$AO$3,0),FALSE)</f>
        <v>457.8</v>
      </c>
      <c r="AA29" s="82">
        <f>VLOOKUP($B29,After1stCHK!$B$3:$AO$87840,MATCH(AA$4,After1stCHK!$B$3:$AO$3,0),FALSE)</f>
        <v>473.6</v>
      </c>
      <c r="AB29" s="82">
        <f>VLOOKUP($B29,After1stCHK!$B$3:$AO$87840,MATCH(AB$4,After1stCHK!$B$3:$AO$3,0),FALSE)</f>
        <v>16061367</v>
      </c>
      <c r="AC29" s="103" t="str">
        <f>VLOOKUP($B29,After1stCHK!$B$3:$AO$87840,MATCH(AC$4,After1stCHK!$B$3:$AO$3,0),FALSE)</f>
        <v>(blank)</v>
      </c>
      <c r="AD29" s="103" t="str">
        <f>VLOOKUP($B29,After1stCHK!$B$3:$AO$87840,MATCH(AD$4,After1stCHK!$B$3:$AO$3,0),FALSE)</f>
        <v>(blank)</v>
      </c>
      <c r="AE29" s="103" t="str">
        <f>VLOOKUP($B29,After1stCHK!$B$3:$AO$87840,MATCH(AE$4,After1stCHK!$B$3:$AO$3,0),FALSE)</f>
        <v>(blank)</v>
      </c>
      <c r="AF29" s="103" t="str">
        <f>VLOOKUP($B29,After1stCHK!$B$3:$AO$87840,MATCH(AF$4,After1stCHK!$B$3:$AO$3,0),FALSE)</f>
        <v>(blank)</v>
      </c>
      <c r="AG29" s="103" t="str">
        <f>VLOOKUP($B29,After1stCHK!$B$3:$AO$87840,MATCH(AG$4,After1stCHK!$B$3:$AO$3,0),FALSE)</f>
        <v>(blank)</v>
      </c>
      <c r="AH29" s="103" t="str">
        <f>VLOOKUP($B29,After1stCHK!$B$3:$AO$87840,MATCH(AH$4,After1stCHK!$B$3:$AO$3,0),FALSE)</f>
        <v>(blank)</v>
      </c>
      <c r="AI29" s="103" t="str">
        <f>VLOOKUP($B29,After1stCHK!$B$3:$AO$87840,MATCH(AI$4,After1stCHK!$B$3:$AO$3,0),FALSE)</f>
        <v>(blank)</v>
      </c>
      <c r="AJ29" s="103" t="str">
        <f>VLOOKUP($B29,After1stCHK!$B$3:$AO$87840,MATCH(AJ$4,After1stCHK!$B$3:$AO$3,0),FALSE)</f>
        <v>(blank)</v>
      </c>
      <c r="AK29" s="103" t="str">
        <f>VLOOKUP($B29,After1stCHK!$B$3:$AO$87840,MATCH(AK$4,After1stCHK!$B$3:$AO$3,0),FALSE)</f>
        <v>(blank)</v>
      </c>
      <c r="AL29" s="56" t="str">
        <f>VLOOKUP($B29,After1stCHK!$B$3:$AO$87840,MATCH(AL$4,After1stCHK!$B$3:$AO$3,0),FALSE)</f>
        <v>(blank)</v>
      </c>
      <c r="AM29" s="56" t="str">
        <f>VLOOKUP($B29,After1stCHK!$B$3:$AO$87840,MATCH(AM$4,After1stCHK!$B$3:$AO$3,0),FALSE)</f>
        <v>(blank)</v>
      </c>
      <c r="AN29" s="56" t="str">
        <f>VLOOKUP($B29,After1stCHK!$B$3:$AO$87840,MATCH(AN$4,After1stCHK!$B$3:$AO$3,0),FALSE)</f>
        <v>(blank)</v>
      </c>
      <c r="AO29" s="56" t="str">
        <f>VLOOKUP($B29,After1stCHK!$B$3:$AO$87840,MATCH(AO$4,After1stCHK!$B$3:$AO$3,0),FALSE)</f>
        <v>(blank)</v>
      </c>
      <c r="AP29" s="56" t="str">
        <f>VLOOKUP($B29,After1stCHK!$B$3:$AO$87840,MATCH(AP$4,After1stCHK!$B$3:$AO$3,0),FALSE)</f>
        <v>(blank)</v>
      </c>
      <c r="AQ29" s="56" t="str">
        <f>VLOOKUP($B29,After1stCHK!$B$3:$AO$87840,MATCH(AQ$4,After1stCHK!$B$3:$AO$3,0),FALSE)</f>
        <v>(blank)</v>
      </c>
      <c r="AR29" s="56" t="str">
        <f>VLOOKUP($B29,After1stCHK!$B$3:$AO$87840,MATCH(AR$4,After1stCHK!$B$3:$AO$3,0),FALSE)</f>
        <v>(blank)</v>
      </c>
      <c r="AS29" s="56" t="str">
        <f>VLOOKUP($B29,After1stCHK!$B$3:$AO$87840,MATCH(AS$4,After1stCHK!$B$3:$AO$3,0),FALSE)</f>
        <v>(blank)</v>
      </c>
      <c r="AT29" s="56" t="str">
        <f>VLOOKUP($B29,After1stCHK!$B$3:$AO$87840,MATCH(AT$4,After1stCHK!$B$3:$AO$3,0),FALSE)</f>
        <v>(blank)</v>
      </c>
      <c r="AU29" s="104" t="str">
        <f>VLOOKUP($B29,After1stCHK!$B$3:$AO$87840,MATCH(AU$4,After1stCHK!$B$3:$AO$3,0),FALSE)</f>
        <v>(blank)</v>
      </c>
      <c r="AV29" s="225" t="str">
        <f t="shared" si="1"/>
        <v/>
      </c>
      <c r="AX29" s="107"/>
      <c r="AY29" s="91"/>
      <c r="AZ29" s="24"/>
      <c r="BA29" s="92"/>
      <c r="BB29" s="192"/>
      <c r="BC29" s="94"/>
      <c r="BD29" s="193">
        <f t="shared" si="2"/>
        <v>0</v>
      </c>
      <c r="BE29" s="193" t="str">
        <f t="shared" si="3"/>
        <v/>
      </c>
      <c r="BF29" s="193">
        <f t="shared" ca="1" si="4"/>
        <v>0</v>
      </c>
      <c r="BG29" s="194" t="e">
        <f t="shared" ca="1" si="5"/>
        <v>#VALUE!</v>
      </c>
      <c r="BH29" s="195">
        <f t="shared" si="6"/>
        <v>1</v>
      </c>
      <c r="BI29" s="195">
        <f t="shared" si="7"/>
        <v>1</v>
      </c>
      <c r="BJ29" s="3">
        <f t="shared" si="8"/>
        <v>380</v>
      </c>
      <c r="BK29" s="3" t="str">
        <f t="shared" si="9"/>
        <v>HKD</v>
      </c>
      <c r="BL29" s="196">
        <f ca="1">IF(V29="HKD",1,OFFSET(FX!$A$5,MATCH(E29,FX!A:A,0)-ROW(FX!$A$5),MATCH(V29,FX!$A$5:$AM$5,0)-1,1,1))</f>
        <v>1</v>
      </c>
      <c r="BM29" s="227" t="str">
        <f t="shared" si="10"/>
        <v>0700.HK</v>
      </c>
      <c r="BN29" s="198">
        <f t="shared" si="11"/>
        <v>450</v>
      </c>
      <c r="BO29" s="199"/>
      <c r="BP29" s="200">
        <f t="shared" si="12"/>
        <v>450</v>
      </c>
      <c r="BQ29" s="201">
        <f t="shared" si="13"/>
        <v>380</v>
      </c>
      <c r="BR29" s="202">
        <f t="shared" si="14"/>
        <v>171000</v>
      </c>
      <c r="BS29" s="203">
        <f t="shared" ca="1" si="15"/>
        <v>171000</v>
      </c>
      <c r="BT29" s="204"/>
      <c r="BU29" s="199">
        <f t="shared" si="16"/>
        <v>0</v>
      </c>
      <c r="BV29" s="201">
        <f t="shared" si="17"/>
        <v>0</v>
      </c>
      <c r="BW29" s="202">
        <f t="shared" si="18"/>
        <v>0</v>
      </c>
      <c r="BX29" s="203">
        <f t="shared" ca="1" si="19"/>
        <v>0</v>
      </c>
      <c r="BY29" s="204"/>
      <c r="BZ29" s="198">
        <f t="shared" si="20"/>
        <v>0</v>
      </c>
      <c r="CA29" s="199"/>
      <c r="CB29" s="200">
        <f t="shared" si="21"/>
        <v>0</v>
      </c>
      <c r="CC29" s="201">
        <f t="shared" si="22"/>
        <v>0</v>
      </c>
      <c r="CD29" s="202">
        <f t="shared" si="23"/>
        <v>0</v>
      </c>
      <c r="CE29" s="203">
        <f t="shared" ca="1" si="24"/>
        <v>0</v>
      </c>
      <c r="CF29" s="204"/>
      <c r="CG29" s="205">
        <f t="shared" si="25"/>
        <v>0</v>
      </c>
      <c r="CH29" s="206">
        <f t="shared" si="26"/>
        <v>0</v>
      </c>
      <c r="CI29" s="207">
        <f t="shared" si="27"/>
        <v>0</v>
      </c>
      <c r="CJ29" s="203">
        <f t="shared" ca="1" si="28"/>
        <v>0</v>
      </c>
      <c r="CK29" s="204"/>
      <c r="CL29" s="208">
        <f t="shared" ca="1" si="29"/>
        <v>-171000</v>
      </c>
      <c r="CM29" s="209" t="str">
        <f t="shared" si="30"/>
        <v/>
      </c>
      <c r="CN29" s="228" t="str">
        <f t="shared" si="31"/>
        <v>0700.HK</v>
      </c>
      <c r="CO29" s="153">
        <f t="shared" si="32"/>
        <v>44565</v>
      </c>
      <c r="CP29" s="211">
        <f t="shared" ref="CP29:CQ29" si="126">AZ29</f>
        <v>0</v>
      </c>
      <c r="CQ29" s="212">
        <f t="shared" si="126"/>
        <v>0</v>
      </c>
      <c r="CR29" s="213">
        <f t="shared" si="34"/>
        <v>0</v>
      </c>
      <c r="CS29" s="213">
        <f t="shared" si="35"/>
        <v>0</v>
      </c>
      <c r="CT29" s="214">
        <f>SUMIFS('1HistTrade'!DF:DF,'1HistTrade'!$D:$D,$D29,'1HistTrade'!$BM:$BM,$BM29,'1HistTrade'!$B:$B,"&lt;"&amp;$B29)</f>
        <v>10</v>
      </c>
      <c r="CU29" s="215">
        <f>SUMIFS('1HistTrade'!DG:DG,'1HistTrade'!$D:$D,$D29,'1HistTrade'!$BM:$BM,$BM29,'1HistTrade'!$B:$B,"&lt;"&amp;$B29)</f>
        <v>0</v>
      </c>
      <c r="CV29" s="215">
        <f>SUMIFS('1HistTrade'!DH:DH,'1HistTrade'!$D:$D,$D29,'1HistTrade'!$BM:$BM,$BM29,'1HistTrade'!$B:$B,"&lt;"&amp;$B29)</f>
        <v>0</v>
      </c>
      <c r="CW29" s="215">
        <f>SUMIFS('1HistTrade'!DI:DI,'1HistTrade'!$D:$D,$D29,'1HistTrade'!$BM:$BM,$BM29,'1HistTrade'!$B:$B,"&lt;"&amp;$B29)</f>
        <v>0</v>
      </c>
      <c r="CX29" s="216">
        <f t="shared" si="36"/>
        <v>390</v>
      </c>
      <c r="CY29" s="216">
        <f t="shared" si="37"/>
        <v>0</v>
      </c>
      <c r="CZ29" s="216">
        <f t="shared" si="38"/>
        <v>0</v>
      </c>
      <c r="DA29" s="216">
        <f t="shared" ca="1" si="39"/>
        <v>0</v>
      </c>
      <c r="DB29" s="21" t="str">
        <f t="shared" si="40"/>
        <v>B</v>
      </c>
      <c r="DC29" s="21" t="str">
        <f t="shared" si="41"/>
        <v/>
      </c>
      <c r="DD29" s="21" t="str">
        <f t="shared" si="42"/>
        <v/>
      </c>
      <c r="DE29" s="21" t="str">
        <f t="shared" ca="1" si="43"/>
        <v/>
      </c>
      <c r="DF29" s="215">
        <f t="shared" si="44"/>
        <v>380</v>
      </c>
      <c r="DG29" s="215">
        <f t="shared" si="45"/>
        <v>0</v>
      </c>
      <c r="DH29" s="215">
        <f t="shared" si="46"/>
        <v>0</v>
      </c>
      <c r="DI29" s="215">
        <f t="shared" ca="1" si="47"/>
        <v>0</v>
      </c>
      <c r="DJ29" s="215" t="str">
        <f t="shared" si="48"/>
        <v>B</v>
      </c>
      <c r="DK29" s="116"/>
      <c r="DL29" s="116">
        <f t="shared" ca="1" si="49"/>
        <v>450</v>
      </c>
      <c r="DM29" s="116">
        <f t="shared" ca="1" si="50"/>
        <v>171000</v>
      </c>
      <c r="DN29" s="116">
        <f t="shared" ca="1" si="51"/>
        <v>-171000</v>
      </c>
      <c r="DO29" s="217">
        <f t="shared" ca="1" si="52"/>
        <v>171000</v>
      </c>
      <c r="DP29" s="217">
        <f t="shared" ca="1" si="53"/>
        <v>0</v>
      </c>
      <c r="DQ29" s="116">
        <f>IF($DT$1="Delete",0,IF(OR(DG29="",DG29=0),0,SUMIFS('1HistTrade'!$ED:$ED,'1HistTrade'!$D:$D,D29,'1HistTrade'!$H:$H,H29,'1HistTrade'!$B:$B,"&lt;"&amp;B29)))</f>
        <v>0</v>
      </c>
      <c r="DR29" s="116">
        <f t="shared" ca="1" si="54"/>
        <v>0</v>
      </c>
      <c r="DS29" s="116">
        <f t="shared" ca="1" si="55"/>
        <v>0</v>
      </c>
      <c r="DT29" s="116">
        <f>IF($DT$1="Delete",0,IF(OR(DI29="",DI29=0),0,SUMIFS('1HistTrade'!$ED:$ED,'1HistTrade'!$D:$D,D29,'1HistTrade'!$H:$H,H29,'1HistTrade'!$B:$B,"&lt;"&amp;B29)))</f>
        <v>0</v>
      </c>
      <c r="DU29" s="116">
        <f t="shared" ca="1" si="56"/>
        <v>0</v>
      </c>
      <c r="DV29" s="116">
        <f t="shared" ca="1" si="57"/>
        <v>0</v>
      </c>
      <c r="DW29" s="218">
        <f t="shared" si="58"/>
        <v>0</v>
      </c>
      <c r="DX29" s="219"/>
      <c r="DY29" s="219">
        <f t="shared" si="59"/>
        <v>0</v>
      </c>
      <c r="DZ29" s="220">
        <f t="shared" ca="1" si="60"/>
        <v>0</v>
      </c>
      <c r="EA29" s="220">
        <f t="shared" si="61"/>
        <v>0</v>
      </c>
      <c r="EB29" s="221">
        <f t="shared" ca="1" si="62"/>
        <v>0</v>
      </c>
      <c r="EC29" s="116">
        <f t="shared" ca="1" si="63"/>
        <v>-171000</v>
      </c>
      <c r="ED29" s="116">
        <f t="shared" ca="1" si="64"/>
        <v>-171000</v>
      </c>
      <c r="EE29" s="222" t="str">
        <f t="shared" si="65"/>
        <v/>
      </c>
      <c r="EF29" s="116">
        <f t="shared" si="66"/>
        <v>-380</v>
      </c>
      <c r="EG29" s="223">
        <f ca="1">IF(ISERROR(VLOOKUP(_xludf.maxifs(DbyD!C:C,DbyD!B:B,C29,DbyD!F:F,"&lt;=" &amp; E29,DbyD!C:C,"&lt;"&amp;B29),DbyD!C:BE,MATCH(DbyD!$BB$9,DbyD!$9:$9,0)-2,FALSE)),0,VLOOKUP(_xludf.maxifs(DbyD!C:C,DbyD!B:B,C29,DbyD!F:F,"&lt;=" &amp; E29,DbyD!C:C,"&lt;"&amp;B29),DbyD!C:BE,MATCH(DbyD!$BB$9,DbyD!$9:$9,0)-2,FALSE))</f>
        <v>0</v>
      </c>
      <c r="EH29" s="116">
        <f>SUMIFS('1HistTrade'!$EM:$EM,'1HistTrade'!$D:$D,D29,'1HistTrade'!$B:$B,"&lt;"&amp;B29,'1HistTrade'!$DJ:$DJ,"&lt;&gt;"&amp;"CD/CW")*-1</f>
        <v>40794.592400000009</v>
      </c>
      <c r="EI29" s="116">
        <f t="shared" ca="1" si="67"/>
        <v>40794.592400000009</v>
      </c>
      <c r="EJ29" s="116">
        <f>SUMIFS('1HistTrade'!$EN:$EN,'1HistTrade'!$D:$D,D29,'1HistTrade'!$B:$B,"&lt;"&amp;B29)</f>
        <v>449205.40759999998</v>
      </c>
      <c r="EK29" s="224">
        <f>SUMIFS('1HistTrade'!$EU:$EU,'1HistTrade'!$D:$D,D29,'1HistTrade'!$B:$B,"&lt;"&amp;B29)</f>
        <v>0</v>
      </c>
      <c r="EL29" s="116"/>
      <c r="EM29" s="116">
        <f t="shared" ref="EM29:EN29" ca="1" si="127">EC29</f>
        <v>-171000</v>
      </c>
      <c r="EN29" s="116">
        <f t="shared" ca="1" si="127"/>
        <v>-171000</v>
      </c>
      <c r="EO29" s="224"/>
      <c r="EP29" s="116"/>
      <c r="EQ29" s="116">
        <f t="shared" ca="1" si="69"/>
        <v>-171000</v>
      </c>
      <c r="ER29" s="116">
        <f t="shared" ca="1" si="70"/>
        <v>211794.59240000002</v>
      </c>
      <c r="ES29" s="116">
        <f t="shared" ca="1" si="71"/>
        <v>40794.592400000023</v>
      </c>
      <c r="ET29" s="116">
        <f t="shared" ca="1" si="72"/>
        <v>278205.40759999998</v>
      </c>
      <c r="EU29" s="224">
        <f t="shared" ca="1" si="73"/>
        <v>0</v>
      </c>
      <c r="EV29" s="213">
        <f t="shared" ca="1" si="74"/>
        <v>0</v>
      </c>
      <c r="EX29" s="116">
        <f t="shared" ca="1" si="75"/>
        <v>-171000</v>
      </c>
      <c r="EY29" s="116">
        <f t="shared" ca="1" si="76"/>
        <v>211794.59240000002</v>
      </c>
      <c r="EZ29" s="116">
        <f t="shared" ca="1" si="77"/>
        <v>40794.592400000023</v>
      </c>
      <c r="FA29" s="116">
        <f t="shared" ca="1" si="78"/>
        <v>278205.40759999998</v>
      </c>
      <c r="FB29" s="116">
        <f t="shared" ca="1" si="79"/>
        <v>0</v>
      </c>
      <c r="FC29" s="189"/>
      <c r="FE29" s="31"/>
      <c r="FG29" s="31"/>
    </row>
    <row r="30" spans="1:163" ht="13">
      <c r="A30" s="10">
        <f>IF(E30&lt;=HistSecRecord!$E$1,1,0)</f>
        <v>1</v>
      </c>
      <c r="B30" s="190">
        <f>After1stCHK!B29</f>
        <v>44565000046</v>
      </c>
      <c r="C30" s="3" t="str">
        <f>After1stCHK!C29</f>
        <v>D0004</v>
      </c>
      <c r="D30" s="29" t="str">
        <f>After1stCHK!D29</f>
        <v>sABCD0004@hkmu.edu.hk</v>
      </c>
      <c r="E30" s="4">
        <f>After1stCHK!E29</f>
        <v>44565</v>
      </c>
      <c r="F30" s="105"/>
      <c r="G30" s="79" t="str">
        <f>After1stCHK!F29</f>
        <v>SELL (SHORT)</v>
      </c>
      <c r="H30" s="80" t="str">
        <f>After1stCHK!G29</f>
        <v>XS2106834299</v>
      </c>
      <c r="I30" s="81" t="str">
        <f>After1stCHK!H29</f>
        <v>Bond</v>
      </c>
      <c r="J30" s="109">
        <f>After1stCHK!I29</f>
        <v>0</v>
      </c>
      <c r="K30" s="103">
        <f>After1stCHK!J29</f>
        <v>20</v>
      </c>
      <c r="L30" s="56">
        <f>After1stCHK!K29</f>
        <v>0</v>
      </c>
      <c r="M30" s="104">
        <f>After1stCHK!L29</f>
        <v>0</v>
      </c>
      <c r="N30" s="82">
        <f>After1stCHK!M29</f>
        <v>22</v>
      </c>
      <c r="O30" s="82"/>
      <c r="P30" s="86"/>
      <c r="Q30" s="43" t="s">
        <v>162</v>
      </c>
      <c r="T30" s="87">
        <f t="shared" si="0"/>
        <v>44565</v>
      </c>
      <c r="U30" s="102"/>
      <c r="V30" s="81" t="str">
        <f>VLOOKUP($B30,After1stCHK!$B$3:$AO$87840,MATCH(V$4,After1stCHK!$B$3:$AO$3,0),FALSE)</f>
        <v>USD</v>
      </c>
      <c r="W30" s="82" t="str">
        <f>VLOOKUP($B30,After1stCHK!$B$3:$AO$87840,MATCH(W$4,After1stCHK!$B$3:$AO$3,0),FALSE)</f>
        <v xml:space="preserve"> </v>
      </c>
      <c r="X30" s="82" t="str">
        <f>VLOOKUP($B30,After1stCHK!$B$3:$AO$87840,MATCH(X$4,After1stCHK!$B$3:$AO$3,0),FALSE)</f>
        <v xml:space="preserve"> </v>
      </c>
      <c r="Y30" s="82" t="str">
        <f>VLOOKUP($B30,After1stCHK!$B$3:$AO$87840,MATCH(Y$4,After1stCHK!$B$3:$AO$3,0),FALSE)</f>
        <v xml:space="preserve"> </v>
      </c>
      <c r="Z30" s="82" t="str">
        <f>VLOOKUP($B30,After1stCHK!$B$3:$AO$87840,MATCH(Z$4,After1stCHK!$B$3:$AO$3,0),FALSE)</f>
        <v xml:space="preserve"> </v>
      </c>
      <c r="AA30" s="82" t="str">
        <f>VLOOKUP($B30,After1stCHK!$B$3:$AO$87840,MATCH(AA$4,After1stCHK!$B$3:$AO$3,0),FALSE)</f>
        <v xml:space="preserve"> </v>
      </c>
      <c r="AB30" s="82" t="str">
        <f>VLOOKUP($B30,After1stCHK!$B$3:$AO$87840,MATCH(AB$4,After1stCHK!$B$3:$AO$3,0),FALSE)</f>
        <v xml:space="preserve"> </v>
      </c>
      <c r="AC30" s="110" t="str">
        <f>VLOOKUP($B30,After1stCHK!$B$3:$AO$87840,MATCH(AC$4,After1stCHK!$B$3:$AO$3,0),FALSE)</f>
        <v>China Evergrande Group</v>
      </c>
      <c r="AD30" s="110">
        <f>VLOOKUP($B30,After1stCHK!$B$3:$AO$87840,MATCH(AD$4,After1stCHK!$B$3:$AO$3,0),FALSE)</f>
        <v>10.79</v>
      </c>
      <c r="AE30" s="110">
        <f>VLOOKUP($B30,After1stCHK!$B$3:$AO$87840,MATCH(AE$4,After1stCHK!$B$3:$AO$3,0),FALSE)</f>
        <v>13.21</v>
      </c>
      <c r="AF30" s="111">
        <f>VLOOKUP($B30,After1stCHK!$B$3:$AO$87840,MATCH(AF$4,After1stCHK!$B$3:$AO$3,0),FALSE)</f>
        <v>0.115</v>
      </c>
      <c r="AG30" s="112">
        <f>VLOOKUP($B30,After1stCHK!$B$3:$AO$87840,MATCH(AG$4,After1stCHK!$B$3:$AO$3,0),FALSE)</f>
        <v>44948</v>
      </c>
      <c r="AH30" s="110" t="str">
        <f>VLOOKUP($B30,After1stCHK!$B$3:$AO$87840,MATCH(AH$4,After1stCHK!$B$3:$AO$3,0),FALSE)</f>
        <v>N.R/ N.R</v>
      </c>
      <c r="AI30" s="110">
        <f>VLOOKUP($B30,After1stCHK!$B$3:$AO$87840,MATCH(AI$4,After1stCHK!$B$3:$AO$3,0),FALSE)</f>
        <v>0.98499999999999999</v>
      </c>
      <c r="AJ30" s="110" t="str">
        <f>VLOOKUP($B30,After1stCHK!$B$3:$AO$87840,MATCH(AJ$4,After1stCHK!$B$3:$AO$3,0),FALSE)</f>
        <v>Senior Secured</v>
      </c>
      <c r="AK30" s="110" t="str">
        <f>VLOOKUP($B30,After1stCHK!$B$3:$AO$87840,MATCH(AK$4,After1stCHK!$B$3:$AO$3,0),FALSE)</f>
        <v>High Yield Corporate</v>
      </c>
      <c r="AL30" s="54" t="str">
        <f>VLOOKUP($B30,After1stCHK!$B$3:$AO$87840,MATCH(AL$4,After1stCHK!$B$3:$AO$3,0),FALSE)</f>
        <v>(blank)</v>
      </c>
      <c r="AM30" s="54" t="str">
        <f>VLOOKUP($B30,After1stCHK!$B$3:$AO$87840,MATCH(AM$4,After1stCHK!$B$3:$AO$3,0),FALSE)</f>
        <v>(blank)</v>
      </c>
      <c r="AN30" s="54" t="str">
        <f>VLOOKUP($B30,After1stCHK!$B$3:$AO$87840,MATCH(AN$4,After1stCHK!$B$3:$AO$3,0),FALSE)</f>
        <v>(blank)</v>
      </c>
      <c r="AO30" s="54" t="str">
        <f>VLOOKUP($B30,After1stCHK!$B$3:$AO$87840,MATCH(AO$4,After1stCHK!$B$3:$AO$3,0),FALSE)</f>
        <v>(blank)</v>
      </c>
      <c r="AP30" s="54" t="str">
        <f>VLOOKUP($B30,After1stCHK!$B$3:$AO$87840,MATCH(AP$4,After1stCHK!$B$3:$AO$3,0),FALSE)</f>
        <v>(blank)</v>
      </c>
      <c r="AQ30" s="233" t="str">
        <f>VLOOKUP($B30,After1stCHK!$B$3:$AO$87840,MATCH(AQ$4,After1stCHK!$B$3:$AO$3,0),FALSE)</f>
        <v>(blank)</v>
      </c>
      <c r="AR30" s="54" t="str">
        <f>VLOOKUP($B30,After1stCHK!$B$3:$AO$87840,MATCH(AR$4,After1stCHK!$B$3:$AO$3,0),FALSE)</f>
        <v>(blank)</v>
      </c>
      <c r="AS30" s="54" t="str">
        <f>VLOOKUP($B30,After1stCHK!$B$3:$AO$87840,MATCH(AS$4,After1stCHK!$B$3:$AO$3,0),FALSE)</f>
        <v>(blank)</v>
      </c>
      <c r="AT30" s="56" t="str">
        <f>VLOOKUP($B30,After1stCHK!$B$3:$AO$87840,MATCH(AT$4,After1stCHK!$B$3:$AO$3,0),FALSE)</f>
        <v>(blank)</v>
      </c>
      <c r="AU30" s="104" t="str">
        <f>VLOOKUP($B30,After1stCHK!$B$3:$AO$87840,MATCH(AU$4,After1stCHK!$B$3:$AO$3,0),FALSE)</f>
        <v>(blank)</v>
      </c>
      <c r="AV30" s="225">
        <f t="shared" si="1"/>
        <v>44948</v>
      </c>
      <c r="AX30" s="107"/>
      <c r="AY30" s="91"/>
      <c r="AZ30" s="24"/>
      <c r="BA30" s="92"/>
      <c r="BB30" s="192"/>
      <c r="BC30" s="94"/>
      <c r="BD30" s="193">
        <f t="shared" si="2"/>
        <v>0</v>
      </c>
      <c r="BE30" s="193" t="str">
        <f t="shared" si="3"/>
        <v/>
      </c>
      <c r="BF30" s="193">
        <f t="shared" ca="1" si="4"/>
        <v>0</v>
      </c>
      <c r="BG30" s="194" t="e">
        <f t="shared" ca="1" si="5"/>
        <v>#VALUE!</v>
      </c>
      <c r="BH30" s="195">
        <f t="shared" si="6"/>
        <v>2</v>
      </c>
      <c r="BI30" s="195">
        <f t="shared" si="7"/>
        <v>-1</v>
      </c>
      <c r="BJ30" s="3">
        <f t="shared" si="8"/>
        <v>20</v>
      </c>
      <c r="BK30" s="3" t="str">
        <f t="shared" si="9"/>
        <v>USD</v>
      </c>
      <c r="BL30" s="196">
        <f ca="1">IF(V30="HKD",1,OFFSET(FX!$A$5,MATCH(E30,FX!A:A,0)-ROW(FX!$A$5),MATCH(V30,FX!$A$5:$AM$5,0)-1,1,1))</f>
        <v>7.7937500000000002</v>
      </c>
      <c r="BM30" s="197" t="str">
        <f t="shared" si="10"/>
        <v>XS2106834299</v>
      </c>
      <c r="BN30" s="198">
        <f t="shared" si="11"/>
        <v>0</v>
      </c>
      <c r="BO30" s="199"/>
      <c r="BP30" s="200">
        <f t="shared" si="12"/>
        <v>0</v>
      </c>
      <c r="BQ30" s="201">
        <f t="shared" si="13"/>
        <v>0</v>
      </c>
      <c r="BR30" s="202">
        <f t="shared" si="14"/>
        <v>0</v>
      </c>
      <c r="BS30" s="203">
        <f t="shared" ca="1" si="15"/>
        <v>0</v>
      </c>
      <c r="BT30" s="204"/>
      <c r="BU30" s="199">
        <f t="shared" si="16"/>
        <v>10.79</v>
      </c>
      <c r="BV30" s="201">
        <f t="shared" si="17"/>
        <v>-20</v>
      </c>
      <c r="BW30" s="202">
        <f t="shared" si="18"/>
        <v>-2158</v>
      </c>
      <c r="BX30" s="203">
        <f t="shared" ca="1" si="19"/>
        <v>-16818.912500000002</v>
      </c>
      <c r="BY30" s="204"/>
      <c r="BZ30" s="198">
        <f t="shared" si="20"/>
        <v>0</v>
      </c>
      <c r="CA30" s="199"/>
      <c r="CB30" s="200">
        <f t="shared" si="21"/>
        <v>0</v>
      </c>
      <c r="CC30" s="201">
        <f t="shared" si="22"/>
        <v>0</v>
      </c>
      <c r="CD30" s="202">
        <f t="shared" si="23"/>
        <v>0</v>
      </c>
      <c r="CE30" s="203">
        <f t="shared" ca="1" si="24"/>
        <v>0</v>
      </c>
      <c r="CF30" s="204"/>
      <c r="CG30" s="205">
        <f t="shared" si="25"/>
        <v>0</v>
      </c>
      <c r="CH30" s="206">
        <f t="shared" si="26"/>
        <v>0</v>
      </c>
      <c r="CI30" s="207">
        <f t="shared" si="27"/>
        <v>0</v>
      </c>
      <c r="CJ30" s="203">
        <f t="shared" ca="1" si="28"/>
        <v>0</v>
      </c>
      <c r="CK30" s="204"/>
      <c r="CL30" s="208">
        <f t="shared" ca="1" si="29"/>
        <v>16818.912500000002</v>
      </c>
      <c r="CM30" s="209" t="str">
        <f t="shared" si="30"/>
        <v/>
      </c>
      <c r="CN30" s="210" t="str">
        <f t="shared" si="31"/>
        <v>XS2106834299</v>
      </c>
      <c r="CO30" s="153">
        <f t="shared" si="32"/>
        <v>44565</v>
      </c>
      <c r="CP30" s="211">
        <f t="shared" ref="CP30:CQ30" si="128">AZ30</f>
        <v>0</v>
      </c>
      <c r="CQ30" s="212">
        <f t="shared" si="128"/>
        <v>0</v>
      </c>
      <c r="CR30" s="213">
        <f t="shared" si="34"/>
        <v>0</v>
      </c>
      <c r="CS30" s="213">
        <f t="shared" si="35"/>
        <v>0</v>
      </c>
      <c r="CT30" s="214">
        <f>SUMIFS('1HistTrade'!DF:DF,'1HistTrade'!$D:$D,$D30,'1HistTrade'!$BM:$BM,$BM30,'1HistTrade'!$B:$B,"&lt;"&amp;$B30)</f>
        <v>0</v>
      </c>
      <c r="CU30" s="215">
        <f>SUMIFS('1HistTrade'!DG:DG,'1HistTrade'!$D:$D,$D30,'1HistTrade'!$BM:$BM,$BM30,'1HistTrade'!$B:$B,"&lt;"&amp;$B30)</f>
        <v>30</v>
      </c>
      <c r="CV30" s="215">
        <f>SUMIFS('1HistTrade'!DH:DH,'1HistTrade'!$D:$D,$D30,'1HistTrade'!$BM:$BM,$BM30,'1HistTrade'!$B:$B,"&lt;"&amp;$B30)</f>
        <v>0</v>
      </c>
      <c r="CW30" s="215">
        <f>SUMIFS('1HistTrade'!DI:DI,'1HistTrade'!$D:$D,$D30,'1HistTrade'!$BM:$BM,$BM30,'1HistTrade'!$B:$B,"&lt;"&amp;$B30)</f>
        <v>0</v>
      </c>
      <c r="CX30" s="216">
        <f t="shared" si="36"/>
        <v>0</v>
      </c>
      <c r="CY30" s="216">
        <f t="shared" si="37"/>
        <v>10</v>
      </c>
      <c r="CZ30" s="216">
        <f t="shared" si="38"/>
        <v>0</v>
      </c>
      <c r="DA30" s="216">
        <f t="shared" ca="1" si="39"/>
        <v>0</v>
      </c>
      <c r="DB30" s="21" t="str">
        <f t="shared" si="40"/>
        <v/>
      </c>
      <c r="DC30" s="21" t="str">
        <f t="shared" si="41"/>
        <v>S</v>
      </c>
      <c r="DD30" s="21" t="str">
        <f t="shared" si="42"/>
        <v/>
      </c>
      <c r="DE30" s="21" t="str">
        <f t="shared" ca="1" si="43"/>
        <v/>
      </c>
      <c r="DF30" s="215">
        <f t="shared" si="44"/>
        <v>0</v>
      </c>
      <c r="DG30" s="215">
        <f t="shared" si="45"/>
        <v>-20</v>
      </c>
      <c r="DH30" s="215">
        <f t="shared" si="46"/>
        <v>0</v>
      </c>
      <c r="DI30" s="215">
        <f t="shared" ca="1" si="47"/>
        <v>0</v>
      </c>
      <c r="DJ30" s="215" t="str">
        <f t="shared" si="48"/>
        <v>S</v>
      </c>
      <c r="DK30" s="116"/>
      <c r="DL30" s="116">
        <f t="shared" si="49"/>
        <v>0</v>
      </c>
      <c r="DM30" s="116">
        <f t="shared" si="50"/>
        <v>0</v>
      </c>
      <c r="DN30" s="116">
        <f t="shared" ca="1" si="51"/>
        <v>0</v>
      </c>
      <c r="DO30" s="217">
        <f t="shared" si="52"/>
        <v>0</v>
      </c>
      <c r="DP30" s="217">
        <f t="shared" si="53"/>
        <v>0</v>
      </c>
      <c r="DQ30" s="116">
        <f>IF($DT$1="Delete",0,IF(OR(DG30="",DG30=0),0,SUMIFS('1HistTrade'!$ED:$ED,'1HistTrade'!$D:$D,D30,'1HistTrade'!$H:$H,H30,'1HistTrade'!$B:$B,"&lt;"&amp;B30)))</f>
        <v>0</v>
      </c>
      <c r="DR30" s="116">
        <f t="shared" ca="1" si="54"/>
        <v>-16818.912500000002</v>
      </c>
      <c r="DS30" s="116">
        <f t="shared" ca="1" si="55"/>
        <v>16818.912500000002</v>
      </c>
      <c r="DT30" s="116">
        <f>IF($DT$1="Delete",0,IF(OR(DI30="",DI30=0),0,SUMIFS('1HistTrade'!$ED:$ED,'1HistTrade'!$D:$D,D30,'1HistTrade'!$H:$H,H30,'1HistTrade'!$B:$B,"&lt;"&amp;B30)))</f>
        <v>0</v>
      </c>
      <c r="DU30" s="116">
        <f t="shared" ca="1" si="56"/>
        <v>0</v>
      </c>
      <c r="DV30" s="116">
        <f t="shared" ca="1" si="57"/>
        <v>0</v>
      </c>
      <c r="DW30" s="218">
        <f t="shared" si="58"/>
        <v>0</v>
      </c>
      <c r="DX30" s="219"/>
      <c r="DY30" s="219">
        <f t="shared" si="59"/>
        <v>0</v>
      </c>
      <c r="DZ30" s="220">
        <f t="shared" ca="1" si="60"/>
        <v>0</v>
      </c>
      <c r="EA30" s="220">
        <f t="shared" si="61"/>
        <v>0</v>
      </c>
      <c r="EB30" s="221">
        <f t="shared" ca="1" si="62"/>
        <v>0</v>
      </c>
      <c r="EC30" s="116">
        <f t="shared" ca="1" si="63"/>
        <v>16818.912500000002</v>
      </c>
      <c r="ED30" s="116">
        <f t="shared" ca="1" si="64"/>
        <v>16818.912500000002</v>
      </c>
      <c r="EE30" s="222" t="str">
        <f t="shared" si="65"/>
        <v/>
      </c>
      <c r="EF30" s="116">
        <f t="shared" si="66"/>
        <v>20</v>
      </c>
      <c r="EG30" s="223">
        <f ca="1">IF(ISERROR(VLOOKUP(_xludf.maxifs(DbyD!C:C,DbyD!B:B,C30,DbyD!F:F,"&lt;=" &amp; E30,DbyD!C:C,"&lt;"&amp;B30),DbyD!C:BE,MATCH(DbyD!$BB$9,DbyD!$9:$9,0)-2,FALSE)),0,VLOOKUP(_xludf.maxifs(DbyD!C:C,DbyD!B:B,C30,DbyD!F:F,"&lt;=" &amp; E30,DbyD!C:C,"&lt;"&amp;B30),DbyD!C:BE,MATCH(DbyD!$BB$9,DbyD!$9:$9,0)-2,FALSE))</f>
        <v>0</v>
      </c>
      <c r="EH30" s="116">
        <f>SUMIFS('1HistTrade'!$EM:$EM,'1HistTrade'!$D:$D,D30,'1HistTrade'!$B:$B,"&lt;"&amp;B30,'1HistTrade'!$DJ:$DJ,"&lt;&gt;"&amp;"CD/CW")*-1</f>
        <v>134748.41205000001</v>
      </c>
      <c r="EI30" s="116">
        <f t="shared" ca="1" si="67"/>
        <v>134748.41205000001</v>
      </c>
      <c r="EJ30" s="116">
        <f>SUMIFS('1HistTrade'!$EN:$EN,'1HistTrade'!$D:$D,D30,'1HistTrade'!$B:$B,"&lt;"&amp;B30)</f>
        <v>365251.58795000002</v>
      </c>
      <c r="EK30" s="224">
        <f>SUMIFS('1HistTrade'!$EU:$EU,'1HistTrade'!$D:$D,D30,'1HistTrade'!$B:$B,"&lt;"&amp;B30)</f>
        <v>0</v>
      </c>
      <c r="EL30" s="116"/>
      <c r="EM30" s="116">
        <f t="shared" ref="EM30:EN30" ca="1" si="129">EC30</f>
        <v>16818.912500000002</v>
      </c>
      <c r="EN30" s="116">
        <f t="shared" ca="1" si="129"/>
        <v>16818.912500000002</v>
      </c>
      <c r="EO30" s="224"/>
      <c r="EP30" s="116"/>
      <c r="EQ30" s="116">
        <f t="shared" ca="1" si="69"/>
        <v>16818.912500000002</v>
      </c>
      <c r="ER30" s="116">
        <f t="shared" ca="1" si="70"/>
        <v>117929.49955000001</v>
      </c>
      <c r="ES30" s="116">
        <f t="shared" ca="1" si="71"/>
        <v>134748.41205000001</v>
      </c>
      <c r="ET30" s="116">
        <f t="shared" ca="1" si="72"/>
        <v>382070.50044999999</v>
      </c>
      <c r="EU30" s="224">
        <f t="shared" ca="1" si="73"/>
        <v>0</v>
      </c>
      <c r="EV30" s="213">
        <f t="shared" ca="1" si="74"/>
        <v>0</v>
      </c>
      <c r="EX30" s="116">
        <f t="shared" ca="1" si="75"/>
        <v>16818.912500000002</v>
      </c>
      <c r="EY30" s="116">
        <f t="shared" ca="1" si="76"/>
        <v>117929.49955000001</v>
      </c>
      <c r="EZ30" s="116">
        <f t="shared" ca="1" si="77"/>
        <v>134748.41205000001</v>
      </c>
      <c r="FA30" s="116">
        <f t="shared" ca="1" si="78"/>
        <v>382070.50044999999</v>
      </c>
      <c r="FB30" s="116">
        <f t="shared" ca="1" si="79"/>
        <v>0</v>
      </c>
      <c r="FC30" s="189"/>
      <c r="FE30" s="31"/>
      <c r="FG30" s="31"/>
    </row>
    <row r="31" spans="1:163" ht="13">
      <c r="A31" s="10">
        <f>IF(E31&lt;=HistSecRecord!$E$1,1,0)</f>
        <v>1</v>
      </c>
      <c r="B31" s="190">
        <f>After1stCHK!B30</f>
        <v>44566000017</v>
      </c>
      <c r="C31" s="3" t="str">
        <f>After1stCHK!C30</f>
        <v>D0001</v>
      </c>
      <c r="D31" s="29" t="str">
        <f>After1stCHK!D30</f>
        <v>sABCD0001@hkmu.edu.hk</v>
      </c>
      <c r="E31" s="4">
        <f>After1stCHK!E30</f>
        <v>44566</v>
      </c>
      <c r="F31" s="105"/>
      <c r="G31" s="79" t="str">
        <f>After1stCHK!F30</f>
        <v>BUY (LONG)</v>
      </c>
      <c r="H31" s="226" t="str">
        <f>After1stCHK!G30</f>
        <v>MC.PA</v>
      </c>
      <c r="I31" s="81" t="str">
        <f>After1stCHK!H30</f>
        <v>Stock</v>
      </c>
      <c r="J31" s="113">
        <f>After1stCHK!I30</f>
        <v>4</v>
      </c>
      <c r="K31" s="103">
        <f>After1stCHK!J30</f>
        <v>0</v>
      </c>
      <c r="L31" s="56">
        <f>After1stCHK!K30</f>
        <v>0</v>
      </c>
      <c r="M31" s="104">
        <f>After1stCHK!L30</f>
        <v>0</v>
      </c>
      <c r="N31" s="82">
        <f>After1stCHK!M30</f>
        <v>740</v>
      </c>
      <c r="O31" s="82"/>
      <c r="P31" s="86"/>
      <c r="Q31" s="43" t="s">
        <v>163</v>
      </c>
      <c r="T31" s="87">
        <f t="shared" si="0"/>
        <v>44566</v>
      </c>
      <c r="U31" s="102"/>
      <c r="V31" s="81" t="str">
        <f>VLOOKUP($B31,After1stCHK!$B$3:$AO$87840,MATCH(V$4,After1stCHK!$B$3:$AO$3,0),FALSE)</f>
        <v>EUR</v>
      </c>
      <c r="W31" s="100" t="str">
        <f>VLOOKUP($B31,After1stCHK!$B$3:$AO$87840,MATCH(W$4,After1stCHK!$B$3:$AO$3,0),FALSE)</f>
        <v>MC.PA</v>
      </c>
      <c r="X31" s="82">
        <f>VLOOKUP($B31,After1stCHK!$B$3:$AO$87840,MATCH(X$4,After1stCHK!$B$3:$AO$3,0),FALSE)</f>
        <v>673.7</v>
      </c>
      <c r="Y31" s="82">
        <f>VLOOKUP($B31,After1stCHK!$B$3:$AO$87840,MATCH(Y$4,After1stCHK!$B$3:$AO$3,0),FALSE)</f>
        <v>687.9</v>
      </c>
      <c r="Z31" s="82">
        <f>VLOOKUP($B31,After1stCHK!$B$3:$AO$87840,MATCH(Z$4,After1stCHK!$B$3:$AO$3,0),FALSE)</f>
        <v>671.7</v>
      </c>
      <c r="AA31" s="82">
        <f>VLOOKUP($B31,After1stCHK!$B$3:$AO$87840,MATCH(AA$4,After1stCHK!$B$3:$AO$3,0),FALSE)</f>
        <v>667</v>
      </c>
      <c r="AB31" s="82">
        <f>VLOOKUP($B31,After1stCHK!$B$3:$AO$87840,MATCH(AB$4,After1stCHK!$B$3:$AO$3,0),FALSE)</f>
        <v>439855</v>
      </c>
      <c r="AC31" s="110" t="str">
        <f>VLOOKUP($B31,After1stCHK!$B$3:$AO$87840,MATCH(AC$4,After1stCHK!$B$3:$AO$3,0),FALSE)</f>
        <v>(blank)</v>
      </c>
      <c r="AD31" s="110" t="str">
        <f>VLOOKUP($B31,After1stCHK!$B$3:$AO$87840,MATCH(AD$4,After1stCHK!$B$3:$AO$3,0),FALSE)</f>
        <v>(blank)</v>
      </c>
      <c r="AE31" s="110" t="str">
        <f>VLOOKUP($B31,After1stCHK!$B$3:$AO$87840,MATCH(AE$4,After1stCHK!$B$3:$AO$3,0),FALSE)</f>
        <v>(blank)</v>
      </c>
      <c r="AF31" s="110" t="str">
        <f>VLOOKUP($B31,After1stCHK!$B$3:$AO$87840,MATCH(AF$4,After1stCHK!$B$3:$AO$3,0),FALSE)</f>
        <v>(blank)</v>
      </c>
      <c r="AG31" s="110" t="str">
        <f>VLOOKUP($B31,After1stCHK!$B$3:$AO$87840,MATCH(AG$4,After1stCHK!$B$3:$AO$3,0),FALSE)</f>
        <v>(blank)</v>
      </c>
      <c r="AH31" s="110" t="str">
        <f>VLOOKUP($B31,After1stCHK!$B$3:$AO$87840,MATCH(AH$4,After1stCHK!$B$3:$AO$3,0),FALSE)</f>
        <v>(blank)</v>
      </c>
      <c r="AI31" s="110" t="str">
        <f>VLOOKUP($B31,After1stCHK!$B$3:$AO$87840,MATCH(AI$4,After1stCHK!$B$3:$AO$3,0),FALSE)</f>
        <v>(blank)</v>
      </c>
      <c r="AJ31" s="110" t="str">
        <f>VLOOKUP($B31,After1stCHK!$B$3:$AO$87840,MATCH(AJ$4,After1stCHK!$B$3:$AO$3,0),FALSE)</f>
        <v>(blank)</v>
      </c>
      <c r="AK31" s="110" t="str">
        <f>VLOOKUP($B31,After1stCHK!$B$3:$AO$87840,MATCH(AK$4,After1stCHK!$B$3:$AO$3,0),FALSE)</f>
        <v>(blank)</v>
      </c>
      <c r="AL31" s="54" t="str">
        <f>VLOOKUP($B31,After1stCHK!$B$3:$AO$87840,MATCH(AL$4,After1stCHK!$B$3:$AO$3,0),FALSE)</f>
        <v>(blank)</v>
      </c>
      <c r="AM31" s="54" t="str">
        <f>VLOOKUP($B31,After1stCHK!$B$3:$AO$87840,MATCH(AM$4,After1stCHK!$B$3:$AO$3,0),FALSE)</f>
        <v>(blank)</v>
      </c>
      <c r="AN31" s="54" t="str">
        <f>VLOOKUP($B31,After1stCHK!$B$3:$AO$87840,MATCH(AN$4,After1stCHK!$B$3:$AO$3,0),FALSE)</f>
        <v>(blank)</v>
      </c>
      <c r="AO31" s="54" t="str">
        <f>VLOOKUP($B31,After1stCHK!$B$3:$AO$87840,MATCH(AO$4,After1stCHK!$B$3:$AO$3,0),FALSE)</f>
        <v>(blank)</v>
      </c>
      <c r="AP31" s="54" t="str">
        <f>VLOOKUP($B31,After1stCHK!$B$3:$AO$87840,MATCH(AP$4,After1stCHK!$B$3:$AO$3,0),FALSE)</f>
        <v>(blank)</v>
      </c>
      <c r="AQ31" s="233" t="str">
        <f>VLOOKUP($B31,After1stCHK!$B$3:$AO$87840,MATCH(AQ$4,After1stCHK!$B$3:$AO$3,0),FALSE)</f>
        <v>(blank)</v>
      </c>
      <c r="AR31" s="54" t="str">
        <f>VLOOKUP($B31,After1stCHK!$B$3:$AO$87840,MATCH(AR$4,After1stCHK!$B$3:$AO$3,0),FALSE)</f>
        <v>(blank)</v>
      </c>
      <c r="AS31" s="54" t="str">
        <f>VLOOKUP($B31,After1stCHK!$B$3:$AO$87840,MATCH(AS$4,After1stCHK!$B$3:$AO$3,0),FALSE)</f>
        <v>(blank)</v>
      </c>
      <c r="AT31" s="56" t="str">
        <f>VLOOKUP($B31,After1stCHK!$B$3:$AO$87840,MATCH(AT$4,After1stCHK!$B$3:$AO$3,0),FALSE)</f>
        <v>(blank)</v>
      </c>
      <c r="AU31" s="104" t="str">
        <f>VLOOKUP($B31,After1stCHK!$B$3:$AO$87840,MATCH(AU$4,After1stCHK!$B$3:$AO$3,0),FALSE)</f>
        <v>(blank)</v>
      </c>
      <c r="AV31" s="225" t="str">
        <f t="shared" si="1"/>
        <v/>
      </c>
      <c r="AX31" s="107"/>
      <c r="AY31" s="91"/>
      <c r="AZ31" s="24"/>
      <c r="BA31" s="92"/>
      <c r="BB31" s="192"/>
      <c r="BC31" s="94"/>
      <c r="BD31" s="193">
        <f t="shared" si="2"/>
        <v>0</v>
      </c>
      <c r="BE31" s="193" t="str">
        <f t="shared" si="3"/>
        <v/>
      </c>
      <c r="BF31" s="193">
        <f t="shared" ca="1" si="4"/>
        <v>0</v>
      </c>
      <c r="BG31" s="194" t="e">
        <f t="shared" ca="1" si="5"/>
        <v>#VALUE!</v>
      </c>
      <c r="BH31" s="195">
        <f t="shared" si="6"/>
        <v>1</v>
      </c>
      <c r="BI31" s="195">
        <f t="shared" si="7"/>
        <v>1</v>
      </c>
      <c r="BJ31" s="3">
        <f t="shared" si="8"/>
        <v>4</v>
      </c>
      <c r="BK31" s="3" t="str">
        <f t="shared" si="9"/>
        <v>EUR</v>
      </c>
      <c r="BL31" s="196">
        <f ca="1">IF(V31="HKD",1,OFFSET(FX!$A$5,MATCH(E31,FX!A:A,0)-ROW(FX!$A$5),MATCH(V31,FX!$A$5:$AM$5,0)-1,1,1))</f>
        <v>8.8180150000000008</v>
      </c>
      <c r="BM31" s="227" t="str">
        <f t="shared" si="10"/>
        <v>MC.PA</v>
      </c>
      <c r="BN31" s="198">
        <f t="shared" si="11"/>
        <v>740</v>
      </c>
      <c r="BO31" s="199"/>
      <c r="BP31" s="200">
        <f t="shared" si="12"/>
        <v>740</v>
      </c>
      <c r="BQ31" s="201">
        <f t="shared" si="13"/>
        <v>4</v>
      </c>
      <c r="BR31" s="202">
        <f t="shared" si="14"/>
        <v>2960</v>
      </c>
      <c r="BS31" s="203">
        <f t="shared" ca="1" si="15"/>
        <v>26101.324400000001</v>
      </c>
      <c r="BT31" s="204"/>
      <c r="BU31" s="199">
        <f t="shared" si="16"/>
        <v>0</v>
      </c>
      <c r="BV31" s="201">
        <f t="shared" si="17"/>
        <v>0</v>
      </c>
      <c r="BW31" s="202">
        <f t="shared" si="18"/>
        <v>0</v>
      </c>
      <c r="BX31" s="203">
        <f t="shared" ca="1" si="19"/>
        <v>0</v>
      </c>
      <c r="BY31" s="204"/>
      <c r="BZ31" s="198">
        <f t="shared" si="20"/>
        <v>0</v>
      </c>
      <c r="CA31" s="199"/>
      <c r="CB31" s="200">
        <f t="shared" si="21"/>
        <v>0</v>
      </c>
      <c r="CC31" s="201">
        <f t="shared" si="22"/>
        <v>0</v>
      </c>
      <c r="CD31" s="202">
        <f t="shared" si="23"/>
        <v>0</v>
      </c>
      <c r="CE31" s="203">
        <f t="shared" ca="1" si="24"/>
        <v>0</v>
      </c>
      <c r="CF31" s="204"/>
      <c r="CG31" s="205">
        <f t="shared" si="25"/>
        <v>0</v>
      </c>
      <c r="CH31" s="206">
        <f t="shared" si="26"/>
        <v>0</v>
      </c>
      <c r="CI31" s="207">
        <f t="shared" si="27"/>
        <v>0</v>
      </c>
      <c r="CJ31" s="203">
        <f t="shared" ca="1" si="28"/>
        <v>0</v>
      </c>
      <c r="CK31" s="204"/>
      <c r="CL31" s="208">
        <f t="shared" ca="1" si="29"/>
        <v>-26101.324400000001</v>
      </c>
      <c r="CM31" s="209" t="str">
        <f t="shared" si="30"/>
        <v/>
      </c>
      <c r="CN31" s="228" t="str">
        <f t="shared" si="31"/>
        <v>MC.PA</v>
      </c>
      <c r="CO31" s="153">
        <f t="shared" si="32"/>
        <v>44566</v>
      </c>
      <c r="CP31" s="211">
        <f t="shared" ref="CP31:CQ31" si="130">AZ31</f>
        <v>0</v>
      </c>
      <c r="CQ31" s="212">
        <f t="shared" si="130"/>
        <v>0</v>
      </c>
      <c r="CR31" s="213">
        <f t="shared" si="34"/>
        <v>0</v>
      </c>
      <c r="CS31" s="213">
        <f t="shared" si="35"/>
        <v>0</v>
      </c>
      <c r="CT31" s="214">
        <f>SUMIFS('1HistTrade'!DF:DF,'1HistTrade'!$D:$D,$D31,'1HistTrade'!$BM:$BM,$BM31,'1HistTrade'!$B:$B,"&lt;"&amp;$B31)</f>
        <v>5</v>
      </c>
      <c r="CU31" s="215">
        <f>SUMIFS('1HistTrade'!DG:DG,'1HistTrade'!$D:$D,$D31,'1HistTrade'!$BM:$BM,$BM31,'1HistTrade'!$B:$B,"&lt;"&amp;$B31)</f>
        <v>0</v>
      </c>
      <c r="CV31" s="215">
        <f>SUMIFS('1HistTrade'!DH:DH,'1HistTrade'!$D:$D,$D31,'1HistTrade'!$BM:$BM,$BM31,'1HistTrade'!$B:$B,"&lt;"&amp;$B31)</f>
        <v>0</v>
      </c>
      <c r="CW31" s="215">
        <f>SUMIFS('1HistTrade'!DI:DI,'1HistTrade'!$D:$D,$D31,'1HistTrade'!$BM:$BM,$BM31,'1HistTrade'!$B:$B,"&lt;"&amp;$B31)</f>
        <v>0</v>
      </c>
      <c r="CX31" s="216">
        <f t="shared" si="36"/>
        <v>9</v>
      </c>
      <c r="CY31" s="216">
        <f t="shared" si="37"/>
        <v>0</v>
      </c>
      <c r="CZ31" s="216">
        <f t="shared" si="38"/>
        <v>0</v>
      </c>
      <c r="DA31" s="216">
        <f t="shared" ca="1" si="39"/>
        <v>0</v>
      </c>
      <c r="DB31" s="21" t="str">
        <f t="shared" si="40"/>
        <v>B</v>
      </c>
      <c r="DC31" s="21" t="str">
        <f t="shared" si="41"/>
        <v/>
      </c>
      <c r="DD31" s="21" t="str">
        <f t="shared" si="42"/>
        <v/>
      </c>
      <c r="DE31" s="21" t="str">
        <f t="shared" ca="1" si="43"/>
        <v/>
      </c>
      <c r="DF31" s="215">
        <f t="shared" si="44"/>
        <v>4</v>
      </c>
      <c r="DG31" s="215">
        <f t="shared" si="45"/>
        <v>0</v>
      </c>
      <c r="DH31" s="215">
        <f t="shared" si="46"/>
        <v>0</v>
      </c>
      <c r="DI31" s="215">
        <f t="shared" ca="1" si="47"/>
        <v>0</v>
      </c>
      <c r="DJ31" s="215" t="str">
        <f t="shared" si="48"/>
        <v>B</v>
      </c>
      <c r="DK31" s="116"/>
      <c r="DL31" s="116">
        <f t="shared" ca="1" si="49"/>
        <v>6525.3311000000003</v>
      </c>
      <c r="DM31" s="116">
        <f t="shared" ca="1" si="50"/>
        <v>26101.324400000001</v>
      </c>
      <c r="DN31" s="116">
        <f t="shared" ca="1" si="51"/>
        <v>-26101.324400000001</v>
      </c>
      <c r="DO31" s="217">
        <f t="shared" ca="1" si="52"/>
        <v>26101.324400000001</v>
      </c>
      <c r="DP31" s="217">
        <f t="shared" ca="1" si="53"/>
        <v>0</v>
      </c>
      <c r="DQ31" s="116">
        <f>IF($DT$1="Delete",0,IF(OR(DG31="",DG31=0),0,SUMIFS('1HistTrade'!$ED:$ED,'1HistTrade'!$D:$D,D31,'1HistTrade'!$H:$H,H31,'1HistTrade'!$B:$B,"&lt;"&amp;B31)))</f>
        <v>0</v>
      </c>
      <c r="DR31" s="116">
        <f t="shared" ca="1" si="54"/>
        <v>0</v>
      </c>
      <c r="DS31" s="116">
        <f t="shared" ca="1" si="55"/>
        <v>0</v>
      </c>
      <c r="DT31" s="116">
        <f>IF($DT$1="Delete",0,IF(OR(DI31="",DI31=0),0,SUMIFS('1HistTrade'!$ED:$ED,'1HistTrade'!$D:$D,D31,'1HistTrade'!$H:$H,H31,'1HistTrade'!$B:$B,"&lt;"&amp;B31)))</f>
        <v>0</v>
      </c>
      <c r="DU31" s="116">
        <f t="shared" ca="1" si="56"/>
        <v>0</v>
      </c>
      <c r="DV31" s="116">
        <f t="shared" ca="1" si="57"/>
        <v>0</v>
      </c>
      <c r="DW31" s="218">
        <f t="shared" si="58"/>
        <v>0</v>
      </c>
      <c r="DX31" s="219"/>
      <c r="DY31" s="219">
        <f t="shared" si="59"/>
        <v>0</v>
      </c>
      <c r="DZ31" s="220">
        <f t="shared" ca="1" si="60"/>
        <v>0</v>
      </c>
      <c r="EA31" s="220">
        <f t="shared" si="61"/>
        <v>0</v>
      </c>
      <c r="EB31" s="221">
        <f t="shared" ca="1" si="62"/>
        <v>0</v>
      </c>
      <c r="EC31" s="116">
        <f t="shared" ca="1" si="63"/>
        <v>-26101.324400000001</v>
      </c>
      <c r="ED31" s="116">
        <f t="shared" ca="1" si="64"/>
        <v>-26101.324400000001</v>
      </c>
      <c r="EE31" s="222" t="str">
        <f t="shared" si="65"/>
        <v/>
      </c>
      <c r="EF31" s="116">
        <f t="shared" si="66"/>
        <v>-4</v>
      </c>
      <c r="EG31" s="223">
        <f ca="1">IF(ISERROR(VLOOKUP(_xludf.maxifs(DbyD!C:C,DbyD!B:B,C31,DbyD!F:F,"&lt;=" &amp; E31,DbyD!C:C,"&lt;"&amp;B31),DbyD!C:BE,MATCH(DbyD!$BB$9,DbyD!$9:$9,0)-2,FALSE)),0,VLOOKUP(_xludf.maxifs(DbyD!C:C,DbyD!B:B,C31,DbyD!F:F,"&lt;=" &amp; E31,DbyD!C:C,"&lt;"&amp;B31),DbyD!C:BE,MATCH(DbyD!$BB$9,DbyD!$9:$9,0)-2,FALSE))</f>
        <v>0</v>
      </c>
      <c r="EH31" s="116">
        <f>SUMIFS('1HistTrade'!$EM:$EM,'1HistTrade'!$D:$D,D31,'1HistTrade'!$B:$B,"&lt;"&amp;B31,'1HistTrade'!$DJ:$DJ,"&lt;&gt;"&amp;"CD/CW")*-1</f>
        <v>51446.832750000001</v>
      </c>
      <c r="EI31" s="116">
        <f t="shared" ca="1" si="67"/>
        <v>51446.832750000001</v>
      </c>
      <c r="EJ31" s="116">
        <f>SUMIFS('1HistTrade'!$EN:$EN,'1HistTrade'!$D:$D,D31,'1HistTrade'!$B:$B,"&lt;"&amp;B31)</f>
        <v>373101.83075000002</v>
      </c>
      <c r="EK31" s="224">
        <f>SUMIFS('1HistTrade'!$EU:$EU,'1HistTrade'!$D:$D,D31,'1HistTrade'!$B:$B,"&lt;"&amp;B31)</f>
        <v>0</v>
      </c>
      <c r="EL31" s="116"/>
      <c r="EM31" s="116">
        <f t="shared" ref="EM31:EN31" ca="1" si="131">EC31</f>
        <v>-26101.324400000001</v>
      </c>
      <c r="EN31" s="116">
        <f t="shared" ca="1" si="131"/>
        <v>-26101.324400000001</v>
      </c>
      <c r="EO31" s="224"/>
      <c r="EP31" s="116"/>
      <c r="EQ31" s="116">
        <f t="shared" ca="1" si="69"/>
        <v>-26101.324400000001</v>
      </c>
      <c r="ER31" s="116">
        <f t="shared" ca="1" si="70"/>
        <v>77548.157149999999</v>
      </c>
      <c r="ES31" s="116">
        <f t="shared" ca="1" si="71"/>
        <v>51446.832750000001</v>
      </c>
      <c r="ET31" s="116">
        <f t="shared" ca="1" si="72"/>
        <v>347000.50635000004</v>
      </c>
      <c r="EU31" s="224">
        <f t="shared" ca="1" si="73"/>
        <v>0</v>
      </c>
      <c r="EV31" s="213">
        <f t="shared" ca="1" si="74"/>
        <v>0</v>
      </c>
      <c r="EX31" s="116">
        <f t="shared" ca="1" si="75"/>
        <v>-26101.324400000001</v>
      </c>
      <c r="EY31" s="116">
        <f t="shared" ca="1" si="76"/>
        <v>77548.157149999999</v>
      </c>
      <c r="EZ31" s="116">
        <f t="shared" ca="1" si="77"/>
        <v>51446.832750000001</v>
      </c>
      <c r="FA31" s="116">
        <f t="shared" ca="1" si="78"/>
        <v>347000.50635000004</v>
      </c>
      <c r="FB31" s="116">
        <f t="shared" ca="1" si="79"/>
        <v>0</v>
      </c>
      <c r="FC31" s="189"/>
      <c r="FE31" s="31"/>
      <c r="FG31" s="31"/>
    </row>
    <row r="32" spans="1:163" ht="13">
      <c r="A32" s="10">
        <f>IF(E32&lt;=HistSecRecord!$E$1,1,0)</f>
        <v>1</v>
      </c>
      <c r="B32" s="190">
        <f>After1stCHK!B31</f>
        <v>44566000040</v>
      </c>
      <c r="C32" s="3" t="str">
        <f>After1stCHK!C31</f>
        <v>D0005</v>
      </c>
      <c r="D32" s="29" t="str">
        <f>After1stCHK!D31</f>
        <v>sABCD0005@hkmu.edu.hk</v>
      </c>
      <c r="E32" s="4">
        <f>After1stCHK!E31</f>
        <v>44566</v>
      </c>
      <c r="F32" s="105"/>
      <c r="G32" s="79" t="str">
        <f>After1stCHK!F31</f>
        <v>SELL (SHORT)</v>
      </c>
      <c r="H32" s="80" t="str">
        <f>After1stCHK!G31</f>
        <v>UGI220414P00045000</v>
      </c>
      <c r="I32" s="81" t="str">
        <f>After1stCHK!H31</f>
        <v>Option</v>
      </c>
      <c r="J32" s="82">
        <f>After1stCHK!I31</f>
        <v>0</v>
      </c>
      <c r="K32" s="103">
        <f>After1stCHK!J31</f>
        <v>0</v>
      </c>
      <c r="L32" s="56">
        <f>After1stCHK!K31</f>
        <v>10</v>
      </c>
      <c r="M32" s="104">
        <f>After1stCHK!L31</f>
        <v>0</v>
      </c>
      <c r="N32" s="82">
        <f>After1stCHK!M31</f>
        <v>3.5</v>
      </c>
      <c r="O32" s="82"/>
      <c r="P32" s="86"/>
      <c r="Q32" s="43" t="s">
        <v>164</v>
      </c>
      <c r="T32" s="87">
        <f t="shared" si="0"/>
        <v>44566</v>
      </c>
      <c r="U32" s="102"/>
      <c r="V32" s="81" t="str">
        <f>VLOOKUP($B32,After1stCHK!$B$3:$AO$87840,MATCH(V$4,After1stCHK!$B$3:$AO$3,0),FALSE)</f>
        <v>USD</v>
      </c>
      <c r="W32" s="82" t="str">
        <f>VLOOKUP($B32,After1stCHK!$B$3:$AO$87840,MATCH(W$4,After1stCHK!$B$3:$AO$3,0),FALSE)</f>
        <v xml:space="preserve"> </v>
      </c>
      <c r="X32" s="82" t="str">
        <f>VLOOKUP($B32,After1stCHK!$B$3:$AO$87840,MATCH(X$4,After1stCHK!$B$3:$AO$3,0),FALSE)</f>
        <v xml:space="preserve"> </v>
      </c>
      <c r="Y32" s="82" t="str">
        <f>VLOOKUP($B32,After1stCHK!$B$3:$AO$87840,MATCH(Y$4,After1stCHK!$B$3:$AO$3,0),FALSE)</f>
        <v xml:space="preserve"> </v>
      </c>
      <c r="Z32" s="82" t="str">
        <f>VLOOKUP($B32,After1stCHK!$B$3:$AO$87840,MATCH(Z$4,After1stCHK!$B$3:$AO$3,0),FALSE)</f>
        <v xml:space="preserve"> </v>
      </c>
      <c r="AA32" s="82" t="str">
        <f>VLOOKUP($B32,After1stCHK!$B$3:$AO$87840,MATCH(AA$4,After1stCHK!$B$3:$AO$3,0),FALSE)</f>
        <v xml:space="preserve"> </v>
      </c>
      <c r="AB32" s="82" t="str">
        <f>VLOOKUP($B32,After1stCHK!$B$3:$AO$87840,MATCH(AB$4,After1stCHK!$B$3:$AO$3,0),FALSE)</f>
        <v xml:space="preserve"> </v>
      </c>
      <c r="AC32" s="103" t="str">
        <f>VLOOKUP($B32,After1stCHK!$B$3:$AO$87840,MATCH(AC$4,After1stCHK!$B$3:$AO$3,0),FALSE)</f>
        <v xml:space="preserve"> </v>
      </c>
      <c r="AD32" s="103" t="str">
        <f>VLOOKUP($B32,After1stCHK!$B$3:$AO$87840,MATCH(AD$4,After1stCHK!$B$3:$AO$3,0),FALSE)</f>
        <v xml:space="preserve"> </v>
      </c>
      <c r="AE32" s="103" t="str">
        <f>VLOOKUP($B32,After1stCHK!$B$3:$AO$87840,MATCH(AE$4,After1stCHK!$B$3:$AO$3,0),FALSE)</f>
        <v xml:space="preserve"> </v>
      </c>
      <c r="AF32" s="103" t="str">
        <f>VLOOKUP($B32,After1stCHK!$B$3:$AO$87840,MATCH(AF$4,After1stCHK!$B$3:$AO$3,0),FALSE)</f>
        <v xml:space="preserve"> </v>
      </c>
      <c r="AG32" s="103" t="str">
        <f>VLOOKUP($B32,After1stCHK!$B$3:$AO$87840,MATCH(AG$4,After1stCHK!$B$3:$AO$3,0),FALSE)</f>
        <v xml:space="preserve"> </v>
      </c>
      <c r="AH32" s="103" t="str">
        <f>VLOOKUP($B32,After1stCHK!$B$3:$AO$87840,MATCH(AH$4,After1stCHK!$B$3:$AO$3,0),FALSE)</f>
        <v xml:space="preserve"> </v>
      </c>
      <c r="AI32" s="103" t="str">
        <f>VLOOKUP($B32,After1stCHK!$B$3:$AO$87840,MATCH(AI$4,After1stCHK!$B$3:$AO$3,0),FALSE)</f>
        <v xml:space="preserve"> </v>
      </c>
      <c r="AJ32" s="103" t="str">
        <f>VLOOKUP($B32,After1stCHK!$B$3:$AO$87840,MATCH(AJ$4,After1stCHK!$B$3:$AO$3,0),FALSE)</f>
        <v xml:space="preserve"> </v>
      </c>
      <c r="AK32" s="103" t="str">
        <f>VLOOKUP($B32,After1stCHK!$B$3:$AO$87840,MATCH(AK$4,After1stCHK!$B$3:$AO$3,0),FALSE)</f>
        <v xml:space="preserve"> </v>
      </c>
      <c r="AL32" s="54" t="str">
        <f>VLOOKUP($B32,After1stCHK!$B$3:$AO$87840,MATCH(AL$4,After1stCHK!$B$3:$AO$3,0),FALSE)</f>
        <v>UGI220414P00045000</v>
      </c>
      <c r="AM32" s="54">
        <f>VLOOKUP($B32,After1stCHK!$B$3:$AO$87840,MATCH(AM$4,After1stCHK!$B$3:$AO$3,0),FALSE)</f>
        <v>2.5</v>
      </c>
      <c r="AN32" s="54">
        <f>VLOOKUP($B32,After1stCHK!$B$3:$AO$87840,MATCH(AN$4,After1stCHK!$B$3:$AO$3,0),FALSE)</f>
        <v>2.5</v>
      </c>
      <c r="AO32" s="54">
        <f>VLOOKUP($B32,After1stCHK!$B$3:$AO$87840,MATCH(AO$4,After1stCHK!$B$3:$AO$3,0),FALSE)</f>
        <v>2.5</v>
      </c>
      <c r="AP32" s="54">
        <f>VLOOKUP($B32,After1stCHK!$B$3:$AO$87840,MATCH(AP$4,After1stCHK!$B$3:$AO$3,0),FALSE)</f>
        <v>2.5</v>
      </c>
      <c r="AQ32" s="233">
        <f>VLOOKUP($B32,After1stCHK!$B$3:$AO$87840,MATCH(AQ$4,After1stCHK!$B$3:$AO$3,0),FALSE)</f>
        <v>45</v>
      </c>
      <c r="AR32" s="114">
        <f>VLOOKUP($B32,After1stCHK!$B$3:$AO$87840,MATCH(AR$4,After1stCHK!$B$3:$AO$3,0),FALSE)</f>
        <v>44665</v>
      </c>
      <c r="AS32" s="54" t="str">
        <f>VLOOKUP($B32,After1stCHK!$B$3:$AO$87840,MATCH(AS$4,After1stCHK!$B$3:$AO$3,0),FALSE)</f>
        <v>put</v>
      </c>
      <c r="AT32" s="56" t="str">
        <f>VLOOKUP($B32,After1stCHK!$B$3:$AO$87840,MATCH(AT$4,After1stCHK!$B$3:$AO$3,0),FALSE)</f>
        <v>N/A</v>
      </c>
      <c r="AU32" s="104" t="str">
        <f>VLOOKUP($B32,After1stCHK!$B$3:$AO$87840,MATCH(AU$4,After1stCHK!$B$3:$AO$3,0),FALSE)</f>
        <v>(blank)</v>
      </c>
      <c r="AV32" s="225">
        <f t="shared" si="1"/>
        <v>44665</v>
      </c>
      <c r="AX32" s="90"/>
      <c r="AY32" s="91"/>
      <c r="AZ32" s="24"/>
      <c r="BA32" s="92"/>
      <c r="BB32" s="192"/>
      <c r="BC32" s="94"/>
      <c r="BD32" s="193">
        <f t="shared" si="2"/>
        <v>0</v>
      </c>
      <c r="BE32" s="193" t="str">
        <f t="shared" si="3"/>
        <v/>
      </c>
      <c r="BF32" s="193">
        <f t="shared" ca="1" si="4"/>
        <v>0</v>
      </c>
      <c r="BG32" s="194" t="e">
        <f t="shared" ca="1" si="5"/>
        <v>#VALUE!</v>
      </c>
      <c r="BH32" s="195">
        <f t="shared" si="6"/>
        <v>3</v>
      </c>
      <c r="BI32" s="195">
        <f t="shared" si="7"/>
        <v>-1</v>
      </c>
      <c r="BJ32" s="3">
        <f t="shared" si="8"/>
        <v>10</v>
      </c>
      <c r="BK32" s="3" t="str">
        <f t="shared" si="9"/>
        <v>USD</v>
      </c>
      <c r="BL32" s="196">
        <f ca="1">IF(V32="HKD",1,OFFSET(FX!$A$5,MATCH(E32,FX!A:A,0)-ROW(FX!$A$5),MATCH(V32,FX!$A$5:$AM$5,0)-1,1,1))</f>
        <v>7.7952399999999997</v>
      </c>
      <c r="BM32" s="197" t="str">
        <f t="shared" si="10"/>
        <v>UGI220414P00045000</v>
      </c>
      <c r="BN32" s="198">
        <f t="shared" si="11"/>
        <v>0</v>
      </c>
      <c r="BO32" s="199"/>
      <c r="BP32" s="200">
        <f t="shared" si="12"/>
        <v>0</v>
      </c>
      <c r="BQ32" s="201">
        <f t="shared" si="13"/>
        <v>0</v>
      </c>
      <c r="BR32" s="202">
        <f t="shared" si="14"/>
        <v>0</v>
      </c>
      <c r="BS32" s="203">
        <f t="shared" ca="1" si="15"/>
        <v>0</v>
      </c>
      <c r="BT32" s="204"/>
      <c r="BU32" s="199">
        <f t="shared" si="16"/>
        <v>0</v>
      </c>
      <c r="BV32" s="201">
        <f t="shared" si="17"/>
        <v>0</v>
      </c>
      <c r="BW32" s="202">
        <f t="shared" si="18"/>
        <v>0</v>
      </c>
      <c r="BX32" s="203">
        <f t="shared" ca="1" si="19"/>
        <v>0</v>
      </c>
      <c r="BY32" s="204"/>
      <c r="BZ32" s="198">
        <f t="shared" si="20"/>
        <v>3.5</v>
      </c>
      <c r="CA32" s="199"/>
      <c r="CB32" s="200">
        <f t="shared" si="21"/>
        <v>3.5</v>
      </c>
      <c r="CC32" s="201">
        <f t="shared" si="22"/>
        <v>-10</v>
      </c>
      <c r="CD32" s="202">
        <f t="shared" si="23"/>
        <v>-3500</v>
      </c>
      <c r="CE32" s="203">
        <f t="shared" ca="1" si="24"/>
        <v>-27283.34</v>
      </c>
      <c r="CF32" s="204"/>
      <c r="CG32" s="205">
        <f t="shared" si="25"/>
        <v>0</v>
      </c>
      <c r="CH32" s="206">
        <f t="shared" si="26"/>
        <v>0</v>
      </c>
      <c r="CI32" s="207">
        <f t="shared" si="27"/>
        <v>0</v>
      </c>
      <c r="CJ32" s="203">
        <f t="shared" ca="1" si="28"/>
        <v>0</v>
      </c>
      <c r="CK32" s="204"/>
      <c r="CL32" s="208">
        <f t="shared" ca="1" si="29"/>
        <v>27283.34</v>
      </c>
      <c r="CM32" s="209" t="str">
        <f t="shared" si="30"/>
        <v>UGI220414P</v>
      </c>
      <c r="CN32" s="210" t="str">
        <f t="shared" si="31"/>
        <v>UGI220414P00045000</v>
      </c>
      <c r="CO32" s="153">
        <f t="shared" si="32"/>
        <v>44566</v>
      </c>
      <c r="CP32" s="211">
        <f t="shared" ref="CP32:CQ32" si="132">AZ32</f>
        <v>0</v>
      </c>
      <c r="CQ32" s="212">
        <f t="shared" si="132"/>
        <v>0</v>
      </c>
      <c r="CR32" s="213">
        <f t="shared" si="34"/>
        <v>0</v>
      </c>
      <c r="CS32" s="213">
        <f t="shared" si="35"/>
        <v>0</v>
      </c>
      <c r="CT32" s="214">
        <f>SUMIFS('1HistTrade'!DF:DF,'1HistTrade'!$D:$D,$D32,'1HistTrade'!$BM:$BM,$BM32,'1HistTrade'!$B:$B,"&lt;"&amp;$B32)</f>
        <v>0</v>
      </c>
      <c r="CU32" s="215">
        <f>SUMIFS('1HistTrade'!DG:DG,'1HistTrade'!$D:$D,$D32,'1HistTrade'!$BM:$BM,$BM32,'1HistTrade'!$B:$B,"&lt;"&amp;$B32)</f>
        <v>0</v>
      </c>
      <c r="CV32" s="215">
        <f>SUMIFS('1HistTrade'!DH:DH,'1HistTrade'!$D:$D,$D32,'1HistTrade'!$BM:$BM,$BM32,'1HistTrade'!$B:$B,"&lt;"&amp;$B32)</f>
        <v>0</v>
      </c>
      <c r="CW32" s="215">
        <f>SUMIFS('1HistTrade'!DI:DI,'1HistTrade'!$D:$D,$D32,'1HistTrade'!$BM:$BM,$BM32,'1HistTrade'!$B:$B,"&lt;"&amp;$B32)</f>
        <v>0</v>
      </c>
      <c r="CX32" s="216">
        <f t="shared" si="36"/>
        <v>0</v>
      </c>
      <c r="CY32" s="216">
        <f t="shared" si="37"/>
        <v>0</v>
      </c>
      <c r="CZ32" s="216">
        <f t="shared" si="38"/>
        <v>-10</v>
      </c>
      <c r="DA32" s="216">
        <f t="shared" ca="1" si="39"/>
        <v>0</v>
      </c>
      <c r="DB32" s="21" t="str">
        <f t="shared" si="40"/>
        <v/>
      </c>
      <c r="DC32" s="21" t="str">
        <f t="shared" si="41"/>
        <v/>
      </c>
      <c r="DD32" s="21" t="str">
        <f t="shared" si="42"/>
        <v>SS</v>
      </c>
      <c r="DE32" s="21" t="str">
        <f t="shared" ca="1" si="43"/>
        <v/>
      </c>
      <c r="DF32" s="215">
        <f t="shared" si="44"/>
        <v>0</v>
      </c>
      <c r="DG32" s="215">
        <f t="shared" si="45"/>
        <v>0</v>
      </c>
      <c r="DH32" s="215">
        <f t="shared" si="46"/>
        <v>-10</v>
      </c>
      <c r="DI32" s="215">
        <f t="shared" ca="1" si="47"/>
        <v>0</v>
      </c>
      <c r="DJ32" s="215" t="str">
        <f t="shared" si="48"/>
        <v>SS</v>
      </c>
      <c r="DK32" s="116"/>
      <c r="DL32" s="137">
        <f t="shared" si="49"/>
        <v>0</v>
      </c>
      <c r="DM32" s="116">
        <f t="shared" si="50"/>
        <v>0</v>
      </c>
      <c r="DN32" s="116">
        <f t="shared" ca="1" si="51"/>
        <v>0</v>
      </c>
      <c r="DO32" s="217">
        <f t="shared" si="52"/>
        <v>0</v>
      </c>
      <c r="DP32" s="217">
        <f t="shared" si="53"/>
        <v>0</v>
      </c>
      <c r="DQ32" s="116">
        <f>IF($DT$1="Delete",0,IF(OR(DG32="",DG32=0),0,SUMIFS('1HistTrade'!$ED:$ED,'1HistTrade'!$D:$D,D32,'1HistTrade'!$H:$H,H32,'1HistTrade'!$B:$B,"&lt;"&amp;B32)))</f>
        <v>0</v>
      </c>
      <c r="DR32" s="116">
        <f t="shared" ca="1" si="54"/>
        <v>0</v>
      </c>
      <c r="DS32" s="116">
        <f t="shared" ca="1" si="55"/>
        <v>0</v>
      </c>
      <c r="DT32" s="116">
        <f>IF($DT$1="Delete",0,IF(OR(DI32="",DI32=0),0,SUMIFS('1HistTrade'!$ED:$ED,'1HistTrade'!$D:$D,D32,'1HistTrade'!$H:$H,H32,'1HistTrade'!$B:$B,"&lt;"&amp;B32)))</f>
        <v>0</v>
      </c>
      <c r="DU32" s="116">
        <f t="shared" ca="1" si="56"/>
        <v>0</v>
      </c>
      <c r="DV32" s="116">
        <f t="shared" ca="1" si="57"/>
        <v>0</v>
      </c>
      <c r="DW32" s="218">
        <f t="shared" si="58"/>
        <v>-10</v>
      </c>
      <c r="DX32" s="219"/>
      <c r="DY32" s="219">
        <f t="shared" si="59"/>
        <v>45</v>
      </c>
      <c r="DZ32" s="220">
        <f t="shared" ca="1" si="60"/>
        <v>-27283.34</v>
      </c>
      <c r="EA32" s="220">
        <f t="shared" si="61"/>
        <v>-45000</v>
      </c>
      <c r="EB32" s="221">
        <f t="shared" ca="1" si="62"/>
        <v>-350785.8</v>
      </c>
      <c r="EC32" s="116">
        <f t="shared" ca="1" si="63"/>
        <v>27283.34</v>
      </c>
      <c r="ED32" s="116">
        <f t="shared" ca="1" si="64"/>
        <v>-350785.8</v>
      </c>
      <c r="EE32" s="222" t="e">
        <f t="shared" ca="1" si="65"/>
        <v>#NAME?</v>
      </c>
      <c r="EF32" s="116">
        <f t="shared" si="66"/>
        <v>0</v>
      </c>
      <c r="EG32" s="223">
        <f ca="1">IF(ISERROR(VLOOKUP(_xludf.maxifs(DbyD!C:C,DbyD!B:B,C32,DbyD!F:F,"&lt;=" &amp; E32,DbyD!C:C,"&lt;"&amp;B32),DbyD!C:BE,MATCH(DbyD!$BB$9,DbyD!$9:$9,0)-2,FALSE)),0,VLOOKUP(_xludf.maxifs(DbyD!C:C,DbyD!B:B,C32,DbyD!F:F,"&lt;=" &amp; E32,DbyD!C:C,"&lt;"&amp;B32),DbyD!C:BE,MATCH(DbyD!$BB$9,DbyD!$9:$9,0)-2,FALSE))</f>
        <v>0</v>
      </c>
      <c r="EH32" s="116">
        <f>SUMIFS('1HistTrade'!$EM:$EM,'1HistTrade'!$D:$D,D32,'1HistTrade'!$B:$B,"&lt;"&amp;B32,'1HistTrade'!$DJ:$DJ,"&lt;&gt;"&amp;"CD/CW")*-1</f>
        <v>0</v>
      </c>
      <c r="EI32" s="116">
        <f t="shared" ca="1" si="67"/>
        <v>0</v>
      </c>
      <c r="EJ32" s="116">
        <f>SUMIFS('1HistTrade'!$EN:$EN,'1HistTrade'!$D:$D,D32,'1HistTrade'!$B:$B,"&lt;"&amp;B32)</f>
        <v>500000</v>
      </c>
      <c r="EK32" s="224">
        <f>SUMIFS('1HistTrade'!$EU:$EU,'1HistTrade'!$D:$D,D32,'1HistTrade'!$B:$B,"&lt;"&amp;B32)</f>
        <v>0</v>
      </c>
      <c r="EL32" s="116"/>
      <c r="EM32" s="116">
        <f t="shared" ref="EM32:EN32" ca="1" si="133">EC32</f>
        <v>27283.34</v>
      </c>
      <c r="EN32" s="116">
        <f t="shared" ca="1" si="133"/>
        <v>-350785.8</v>
      </c>
      <c r="EO32" s="224"/>
      <c r="EP32" s="116"/>
      <c r="EQ32" s="116">
        <f t="shared" ca="1" si="69"/>
        <v>27283.34</v>
      </c>
      <c r="ER32" s="116">
        <f t="shared" ca="1" si="70"/>
        <v>-27283.34</v>
      </c>
      <c r="ES32" s="116">
        <f t="shared" ca="1" si="71"/>
        <v>0</v>
      </c>
      <c r="ET32" s="116">
        <f t="shared" ca="1" si="72"/>
        <v>149214.20000000001</v>
      </c>
      <c r="EU32" s="224">
        <f t="shared" ca="1" si="73"/>
        <v>0</v>
      </c>
      <c r="EV32" s="213">
        <f t="shared" ca="1" si="74"/>
        <v>0</v>
      </c>
      <c r="EX32" s="116">
        <f t="shared" ca="1" si="75"/>
        <v>27283.34</v>
      </c>
      <c r="EY32" s="116">
        <f t="shared" ca="1" si="76"/>
        <v>-27283.34</v>
      </c>
      <c r="EZ32" s="116">
        <f t="shared" ca="1" si="77"/>
        <v>0</v>
      </c>
      <c r="FA32" s="116">
        <f t="shared" ca="1" si="78"/>
        <v>149214.20000000001</v>
      </c>
      <c r="FB32" s="116">
        <f t="shared" ca="1" si="79"/>
        <v>0</v>
      </c>
      <c r="FC32" s="189"/>
      <c r="FE32" s="31"/>
      <c r="FG32" s="31"/>
    </row>
    <row r="33" spans="1:163" ht="13">
      <c r="A33" s="10">
        <f>IF(E33&lt;=HistSecRecord!$E$1,1,0)</f>
        <v>1</v>
      </c>
      <c r="B33" s="190">
        <f>After1stCHK!B32</f>
        <v>44566000041</v>
      </c>
      <c r="C33" s="3" t="str">
        <f>After1stCHK!C32</f>
        <v>D0005</v>
      </c>
      <c r="D33" s="29" t="str">
        <f>After1stCHK!D32</f>
        <v>sABCD0005@hkmu.edu.hk</v>
      </c>
      <c r="E33" s="4">
        <f>After1stCHK!E32</f>
        <v>44566</v>
      </c>
      <c r="F33" s="105"/>
      <c r="G33" s="79" t="str">
        <f>After1stCHK!F32</f>
        <v>BUY (LONG)</v>
      </c>
      <c r="H33" s="80" t="str">
        <f>After1stCHK!G32</f>
        <v>UGI220414P00040000</v>
      </c>
      <c r="I33" s="81" t="str">
        <f>After1stCHK!H32</f>
        <v>Option</v>
      </c>
      <c r="J33" s="109">
        <f>After1stCHK!I32</f>
        <v>0</v>
      </c>
      <c r="K33" s="103">
        <f>After1stCHK!J32</f>
        <v>0</v>
      </c>
      <c r="L33" s="56">
        <f>After1stCHK!K32</f>
        <v>10</v>
      </c>
      <c r="M33" s="104">
        <f>After1stCHK!L32</f>
        <v>0</v>
      </c>
      <c r="N33" s="82">
        <f>After1stCHK!M32</f>
        <v>2.5</v>
      </c>
      <c r="O33" s="82"/>
      <c r="P33" s="86"/>
      <c r="T33" s="87">
        <f t="shared" si="0"/>
        <v>44566</v>
      </c>
      <c r="U33" s="102"/>
      <c r="V33" s="81" t="str">
        <f>VLOOKUP($B33,After1stCHK!$B$3:$AO$87840,MATCH(V$4,After1stCHK!$B$3:$AO$3,0),FALSE)</f>
        <v>USD</v>
      </c>
      <c r="W33" s="82" t="str">
        <f>VLOOKUP($B33,After1stCHK!$B$3:$AO$87840,MATCH(W$4,After1stCHK!$B$3:$AO$3,0),FALSE)</f>
        <v xml:space="preserve"> </v>
      </c>
      <c r="X33" s="82" t="str">
        <f>VLOOKUP($B33,After1stCHK!$B$3:$AO$87840,MATCH(X$4,After1stCHK!$B$3:$AO$3,0),FALSE)</f>
        <v xml:space="preserve"> </v>
      </c>
      <c r="Y33" s="82" t="str">
        <f>VLOOKUP($B33,After1stCHK!$B$3:$AO$87840,MATCH(Y$4,After1stCHK!$B$3:$AO$3,0),FALSE)</f>
        <v xml:space="preserve"> </v>
      </c>
      <c r="Z33" s="82" t="str">
        <f>VLOOKUP($B33,After1stCHK!$B$3:$AO$87840,MATCH(Z$4,After1stCHK!$B$3:$AO$3,0),FALSE)</f>
        <v xml:space="preserve"> </v>
      </c>
      <c r="AA33" s="82" t="str">
        <f>VLOOKUP($B33,After1stCHK!$B$3:$AO$87840,MATCH(AA$4,After1stCHK!$B$3:$AO$3,0),FALSE)</f>
        <v xml:space="preserve"> </v>
      </c>
      <c r="AB33" s="82" t="str">
        <f>VLOOKUP($B33,After1stCHK!$B$3:$AO$87840,MATCH(AB$4,After1stCHK!$B$3:$AO$3,0),FALSE)</f>
        <v xml:space="preserve"> </v>
      </c>
      <c r="AC33" s="103" t="str">
        <f>VLOOKUP($B33,After1stCHK!$B$3:$AO$87840,MATCH(AC$4,After1stCHK!$B$3:$AO$3,0),FALSE)</f>
        <v xml:space="preserve"> </v>
      </c>
      <c r="AD33" s="103" t="str">
        <f>VLOOKUP($B33,After1stCHK!$B$3:$AO$87840,MATCH(AD$4,After1stCHK!$B$3:$AO$3,0),FALSE)</f>
        <v xml:space="preserve"> </v>
      </c>
      <c r="AE33" s="103" t="str">
        <f>VLOOKUP($B33,After1stCHK!$B$3:$AO$87840,MATCH(AE$4,After1stCHK!$B$3:$AO$3,0),FALSE)</f>
        <v xml:space="preserve"> </v>
      </c>
      <c r="AF33" s="103" t="str">
        <f>VLOOKUP($B33,After1stCHK!$B$3:$AO$87840,MATCH(AF$4,After1stCHK!$B$3:$AO$3,0),FALSE)</f>
        <v xml:space="preserve"> </v>
      </c>
      <c r="AG33" s="103" t="str">
        <f>VLOOKUP($B33,After1stCHK!$B$3:$AO$87840,MATCH(AG$4,After1stCHK!$B$3:$AO$3,0),FALSE)</f>
        <v xml:space="preserve"> </v>
      </c>
      <c r="AH33" s="103" t="str">
        <f>VLOOKUP($B33,After1stCHK!$B$3:$AO$87840,MATCH(AH$4,After1stCHK!$B$3:$AO$3,0),FALSE)</f>
        <v xml:space="preserve"> </v>
      </c>
      <c r="AI33" s="103" t="str">
        <f>VLOOKUP($B33,After1stCHK!$B$3:$AO$87840,MATCH(AI$4,After1stCHK!$B$3:$AO$3,0),FALSE)</f>
        <v xml:space="preserve"> </v>
      </c>
      <c r="AJ33" s="103" t="str">
        <f>VLOOKUP($B33,After1stCHK!$B$3:$AO$87840,MATCH(AJ$4,After1stCHK!$B$3:$AO$3,0),FALSE)</f>
        <v xml:space="preserve"> </v>
      </c>
      <c r="AK33" s="103" t="str">
        <f>VLOOKUP($B33,After1stCHK!$B$3:$AO$87840,MATCH(AK$4,After1stCHK!$B$3:$AO$3,0),FALSE)</f>
        <v xml:space="preserve"> </v>
      </c>
      <c r="AL33" s="54" t="str">
        <f>VLOOKUP($B33,After1stCHK!$B$3:$AO$87840,MATCH(AL$4,After1stCHK!$B$3:$AO$3,0),FALSE)</f>
        <v>UGI220414P00040000</v>
      </c>
      <c r="AM33" s="54">
        <f>VLOOKUP($B33,After1stCHK!$B$3:$AO$87840,MATCH(AM$4,After1stCHK!$B$3:$AO$3,0),FALSE)</f>
        <v>0.7</v>
      </c>
      <c r="AN33" s="54">
        <f>VLOOKUP($B33,After1stCHK!$B$3:$AO$87840,MATCH(AN$4,After1stCHK!$B$3:$AO$3,0),FALSE)</f>
        <v>0.7</v>
      </c>
      <c r="AO33" s="54">
        <f>VLOOKUP($B33,After1stCHK!$B$3:$AO$87840,MATCH(AO$4,After1stCHK!$B$3:$AO$3,0),FALSE)</f>
        <v>0.7</v>
      </c>
      <c r="AP33" s="54">
        <f>VLOOKUP($B33,After1stCHK!$B$3:$AO$87840,MATCH(AP$4,After1stCHK!$B$3:$AO$3,0),FALSE)</f>
        <v>0.7</v>
      </c>
      <c r="AQ33" s="233">
        <f>VLOOKUP($B33,After1stCHK!$B$3:$AO$87840,MATCH(AQ$4,After1stCHK!$B$3:$AO$3,0),FALSE)</f>
        <v>40</v>
      </c>
      <c r="AR33" s="114">
        <f>VLOOKUP($B33,After1stCHK!$B$3:$AO$87840,MATCH(AR$4,After1stCHK!$B$3:$AO$3,0),FALSE)</f>
        <v>44665</v>
      </c>
      <c r="AS33" s="54" t="str">
        <f>VLOOKUP($B33,After1stCHK!$B$3:$AO$87840,MATCH(AS$4,After1stCHK!$B$3:$AO$3,0),FALSE)</f>
        <v>put</v>
      </c>
      <c r="AT33" s="56" t="str">
        <f>VLOOKUP($B33,After1stCHK!$B$3:$AO$87840,MATCH(AT$4,After1stCHK!$B$3:$AO$3,0),FALSE)</f>
        <v>N/A</v>
      </c>
      <c r="AU33" s="104" t="str">
        <f>VLOOKUP($B33,After1stCHK!$B$3:$AO$87840,MATCH(AU$4,After1stCHK!$B$3:$AO$3,0),FALSE)</f>
        <v>(blank)</v>
      </c>
      <c r="AV33" s="225">
        <f t="shared" si="1"/>
        <v>44665</v>
      </c>
      <c r="AX33" s="90"/>
      <c r="AY33" s="91"/>
      <c r="AZ33" s="24"/>
      <c r="BA33" s="92"/>
      <c r="BB33" s="192"/>
      <c r="BC33" s="94"/>
      <c r="BD33" s="193">
        <f t="shared" si="2"/>
        <v>0</v>
      </c>
      <c r="BE33" s="193" t="str">
        <f t="shared" si="3"/>
        <v/>
      </c>
      <c r="BF33" s="193">
        <f t="shared" ca="1" si="4"/>
        <v>0</v>
      </c>
      <c r="BG33" s="194" t="e">
        <f t="shared" ca="1" si="5"/>
        <v>#VALUE!</v>
      </c>
      <c r="BH33" s="195">
        <f t="shared" si="6"/>
        <v>3</v>
      </c>
      <c r="BI33" s="195">
        <f t="shared" si="7"/>
        <v>1</v>
      </c>
      <c r="BJ33" s="3">
        <f t="shared" si="8"/>
        <v>10</v>
      </c>
      <c r="BK33" s="3" t="str">
        <f t="shared" si="9"/>
        <v>USD</v>
      </c>
      <c r="BL33" s="196">
        <f ca="1">IF(V33="HKD",1,OFFSET(FX!$A$5,MATCH(E33,FX!A:A,0)-ROW(FX!$A$5),MATCH(V33,FX!$A$5:$AM$5,0)-1,1,1))</f>
        <v>7.7952399999999997</v>
      </c>
      <c r="BM33" s="197" t="str">
        <f t="shared" si="10"/>
        <v>UGI220414P00040000</v>
      </c>
      <c r="BN33" s="198">
        <f t="shared" si="11"/>
        <v>0</v>
      </c>
      <c r="BO33" s="199"/>
      <c r="BP33" s="200">
        <f t="shared" si="12"/>
        <v>0</v>
      </c>
      <c r="BQ33" s="201">
        <f t="shared" si="13"/>
        <v>0</v>
      </c>
      <c r="BR33" s="202">
        <f t="shared" si="14"/>
        <v>0</v>
      </c>
      <c r="BS33" s="203">
        <f t="shared" ca="1" si="15"/>
        <v>0</v>
      </c>
      <c r="BT33" s="204"/>
      <c r="BU33" s="199">
        <f t="shared" si="16"/>
        <v>0</v>
      </c>
      <c r="BV33" s="201">
        <f t="shared" si="17"/>
        <v>0</v>
      </c>
      <c r="BW33" s="202">
        <f t="shared" si="18"/>
        <v>0</v>
      </c>
      <c r="BX33" s="203">
        <f t="shared" ca="1" si="19"/>
        <v>0</v>
      </c>
      <c r="BY33" s="204"/>
      <c r="BZ33" s="198">
        <f t="shared" si="20"/>
        <v>2.5</v>
      </c>
      <c r="CA33" s="199"/>
      <c r="CB33" s="200">
        <f t="shared" si="21"/>
        <v>2.5</v>
      </c>
      <c r="CC33" s="201">
        <f t="shared" si="22"/>
        <v>10</v>
      </c>
      <c r="CD33" s="202">
        <f t="shared" si="23"/>
        <v>2500</v>
      </c>
      <c r="CE33" s="203">
        <f t="shared" ca="1" si="24"/>
        <v>19488.099999999999</v>
      </c>
      <c r="CF33" s="204"/>
      <c r="CG33" s="205">
        <f t="shared" si="25"/>
        <v>0</v>
      </c>
      <c r="CH33" s="206">
        <f t="shared" si="26"/>
        <v>0</v>
      </c>
      <c r="CI33" s="207">
        <f t="shared" si="27"/>
        <v>0</v>
      </c>
      <c r="CJ33" s="203">
        <f t="shared" ca="1" si="28"/>
        <v>0</v>
      </c>
      <c r="CK33" s="204"/>
      <c r="CL33" s="208">
        <f t="shared" ca="1" si="29"/>
        <v>-19488.099999999999</v>
      </c>
      <c r="CM33" s="209" t="str">
        <f t="shared" si="30"/>
        <v>UGI220414P</v>
      </c>
      <c r="CN33" s="210" t="str">
        <f t="shared" si="31"/>
        <v>UGI220414P00040000</v>
      </c>
      <c r="CO33" s="153">
        <f t="shared" si="32"/>
        <v>44566</v>
      </c>
      <c r="CP33" s="211">
        <f t="shared" ref="CP33:CQ33" si="134">AZ33</f>
        <v>0</v>
      </c>
      <c r="CQ33" s="212">
        <f t="shared" si="134"/>
        <v>0</v>
      </c>
      <c r="CR33" s="213">
        <f t="shared" si="34"/>
        <v>0</v>
      </c>
      <c r="CS33" s="213">
        <f t="shared" si="35"/>
        <v>0</v>
      </c>
      <c r="CT33" s="214">
        <f>SUMIFS('1HistTrade'!DF:DF,'1HistTrade'!$D:$D,$D33,'1HistTrade'!$BM:$BM,$BM33,'1HistTrade'!$B:$B,"&lt;"&amp;$B33)</f>
        <v>0</v>
      </c>
      <c r="CU33" s="215">
        <f>SUMIFS('1HistTrade'!DG:DG,'1HistTrade'!$D:$D,$D33,'1HistTrade'!$BM:$BM,$BM33,'1HistTrade'!$B:$B,"&lt;"&amp;$B33)</f>
        <v>0</v>
      </c>
      <c r="CV33" s="215">
        <f>SUMIFS('1HistTrade'!DH:DH,'1HistTrade'!$D:$D,$D33,'1HistTrade'!$BM:$BM,$BM33,'1HistTrade'!$B:$B,"&lt;"&amp;$B33)</f>
        <v>0</v>
      </c>
      <c r="CW33" s="215">
        <f>SUMIFS('1HistTrade'!DI:DI,'1HistTrade'!$D:$D,$D33,'1HistTrade'!$BM:$BM,$BM33,'1HistTrade'!$B:$B,"&lt;"&amp;$B33)</f>
        <v>0</v>
      </c>
      <c r="CX33" s="216">
        <f t="shared" si="36"/>
        <v>0</v>
      </c>
      <c r="CY33" s="216">
        <f t="shared" si="37"/>
        <v>0</v>
      </c>
      <c r="CZ33" s="216">
        <f t="shared" si="38"/>
        <v>10</v>
      </c>
      <c r="DA33" s="216">
        <f t="shared" ca="1" si="39"/>
        <v>0</v>
      </c>
      <c r="DB33" s="21" t="str">
        <f t="shared" si="40"/>
        <v/>
      </c>
      <c r="DC33" s="21" t="str">
        <f t="shared" si="41"/>
        <v/>
      </c>
      <c r="DD33" s="21" t="str">
        <f t="shared" si="42"/>
        <v>B</v>
      </c>
      <c r="DE33" s="21" t="str">
        <f t="shared" ca="1" si="43"/>
        <v/>
      </c>
      <c r="DF33" s="215">
        <f t="shared" si="44"/>
        <v>0</v>
      </c>
      <c r="DG33" s="215">
        <f t="shared" si="45"/>
        <v>0</v>
      </c>
      <c r="DH33" s="215">
        <f t="shared" si="46"/>
        <v>10</v>
      </c>
      <c r="DI33" s="215">
        <f t="shared" ca="1" si="47"/>
        <v>0</v>
      </c>
      <c r="DJ33" s="215" t="str">
        <f t="shared" si="48"/>
        <v>B</v>
      </c>
      <c r="DK33" s="116"/>
      <c r="DL33" s="116">
        <f t="shared" si="49"/>
        <v>0</v>
      </c>
      <c r="DM33" s="116">
        <f t="shared" si="50"/>
        <v>0</v>
      </c>
      <c r="DN33" s="116">
        <f t="shared" ca="1" si="51"/>
        <v>0</v>
      </c>
      <c r="DO33" s="217">
        <f t="shared" si="52"/>
        <v>0</v>
      </c>
      <c r="DP33" s="217">
        <f t="shared" si="53"/>
        <v>0</v>
      </c>
      <c r="DQ33" s="116">
        <f>IF($DT$1="Delete",0,IF(OR(DG33="",DG33=0),0,SUMIFS('1HistTrade'!$ED:$ED,'1HistTrade'!$D:$D,D33,'1HistTrade'!$H:$H,H33,'1HistTrade'!$B:$B,"&lt;"&amp;B33)))</f>
        <v>0</v>
      </c>
      <c r="DR33" s="116">
        <f t="shared" ca="1" si="54"/>
        <v>0</v>
      </c>
      <c r="DS33" s="116">
        <f t="shared" ca="1" si="55"/>
        <v>0</v>
      </c>
      <c r="DT33" s="116">
        <f>IF($DT$1="Delete",0,IF(OR(DI33="",DI33=0),0,SUMIFS('1HistTrade'!$ED:$ED,'1HistTrade'!$D:$D,D33,'1HistTrade'!$H:$H,H33,'1HistTrade'!$B:$B,"&lt;"&amp;B33)))</f>
        <v>0</v>
      </c>
      <c r="DU33" s="116">
        <f t="shared" ca="1" si="56"/>
        <v>0</v>
      </c>
      <c r="DV33" s="116">
        <f t="shared" ca="1" si="57"/>
        <v>0</v>
      </c>
      <c r="DW33" s="218">
        <f t="shared" si="58"/>
        <v>10</v>
      </c>
      <c r="DX33" s="219"/>
      <c r="DY33" s="219">
        <f t="shared" si="59"/>
        <v>40</v>
      </c>
      <c r="DZ33" s="220">
        <f t="shared" ca="1" si="60"/>
        <v>19488.099999999999</v>
      </c>
      <c r="EA33" s="220">
        <f t="shared" si="61"/>
        <v>40000</v>
      </c>
      <c r="EB33" s="221">
        <f t="shared" ca="1" si="62"/>
        <v>311809.59999999998</v>
      </c>
      <c r="EC33" s="116">
        <f t="shared" ca="1" si="63"/>
        <v>-19488.099999999999</v>
      </c>
      <c r="ED33" s="116">
        <f t="shared" ca="1" si="64"/>
        <v>311809.59999999998</v>
      </c>
      <c r="EE33" s="222" t="e">
        <f t="shared" ca="1" si="65"/>
        <v>#NAME?</v>
      </c>
      <c r="EF33" s="116">
        <f t="shared" si="66"/>
        <v>0</v>
      </c>
      <c r="EG33" s="223">
        <f ca="1">IF(ISERROR(VLOOKUP(_xludf.maxifs(DbyD!C:C,DbyD!B:B,C33,DbyD!F:F,"&lt;=" &amp; E33,DbyD!C:C,"&lt;"&amp;B33),DbyD!C:BE,MATCH(DbyD!$BB$9,DbyD!$9:$9,0)-2,FALSE)),0,VLOOKUP(_xludf.maxifs(DbyD!C:C,DbyD!B:B,C33,DbyD!F:F,"&lt;=" &amp; E33,DbyD!C:C,"&lt;"&amp;B33),DbyD!C:BE,MATCH(DbyD!$BB$9,DbyD!$9:$9,0)-2,FALSE))</f>
        <v>0</v>
      </c>
      <c r="EH33" s="116">
        <f>SUMIFS('1HistTrade'!$EM:$EM,'1HistTrade'!$D:$D,D33,'1HistTrade'!$B:$B,"&lt;"&amp;B33,'1HistTrade'!$DJ:$DJ,"&lt;&gt;"&amp;"CD/CW")*-1</f>
        <v>-27283.34</v>
      </c>
      <c r="EI33" s="116">
        <f t="shared" ca="1" si="67"/>
        <v>-27283.34</v>
      </c>
      <c r="EJ33" s="116">
        <f>SUMIFS('1HistTrade'!$EN:$EN,'1HistTrade'!$D:$D,D33,'1HistTrade'!$B:$B,"&lt;"&amp;B33)</f>
        <v>149214.20000000001</v>
      </c>
      <c r="EK33" s="224">
        <f>SUMIFS('1HistTrade'!$EU:$EU,'1HistTrade'!$D:$D,D33,'1HistTrade'!$B:$B,"&lt;"&amp;B33)</f>
        <v>0</v>
      </c>
      <c r="EL33" s="116"/>
      <c r="EM33" s="116">
        <f t="shared" ref="EM33:EN33" ca="1" si="135">EC33</f>
        <v>-19488.099999999999</v>
      </c>
      <c r="EN33" s="116">
        <f t="shared" ca="1" si="135"/>
        <v>311809.59999999998</v>
      </c>
      <c r="EO33" s="224"/>
      <c r="EP33" s="116"/>
      <c r="EQ33" s="116">
        <f t="shared" ca="1" si="69"/>
        <v>-19488.099999999999</v>
      </c>
      <c r="ER33" s="116">
        <f t="shared" ca="1" si="70"/>
        <v>-7795.2400000000016</v>
      </c>
      <c r="ES33" s="116">
        <f t="shared" ca="1" si="71"/>
        <v>-27283.34</v>
      </c>
      <c r="ET33" s="116">
        <f t="shared" ca="1" si="72"/>
        <v>461023.8</v>
      </c>
      <c r="EU33" s="224">
        <f t="shared" ca="1" si="73"/>
        <v>0</v>
      </c>
      <c r="EV33" s="213">
        <f t="shared" ca="1" si="74"/>
        <v>0</v>
      </c>
      <c r="EX33" s="116">
        <f t="shared" ca="1" si="75"/>
        <v>-19488.099999999999</v>
      </c>
      <c r="EY33" s="116">
        <f t="shared" ca="1" si="76"/>
        <v>-7795.2400000000016</v>
      </c>
      <c r="EZ33" s="116">
        <f t="shared" ca="1" si="77"/>
        <v>-27283.34</v>
      </c>
      <c r="FA33" s="116">
        <f t="shared" ca="1" si="78"/>
        <v>461023.8</v>
      </c>
      <c r="FB33" s="116">
        <f t="shared" ca="1" si="79"/>
        <v>0</v>
      </c>
      <c r="FC33" s="189"/>
      <c r="FE33" s="31"/>
      <c r="FG33" s="31"/>
    </row>
    <row r="34" spans="1:163" ht="13">
      <c r="A34" s="10">
        <f>IF(E34&lt;=HistSecRecord!$E$1,1,0)</f>
        <v>0</v>
      </c>
      <c r="B34" s="190">
        <f>After1stCHK!B33</f>
        <v>44567000018</v>
      </c>
      <c r="C34" s="3" t="str">
        <f>After1stCHK!C33</f>
        <v>D0001</v>
      </c>
      <c r="D34" s="29" t="str">
        <f>After1stCHK!D33</f>
        <v>sABCD0001@hkmu.edu.hk</v>
      </c>
      <c r="E34" s="4">
        <f>After1stCHK!E33</f>
        <v>44567</v>
      </c>
      <c r="F34" s="105"/>
      <c r="G34" s="79" t="str">
        <f>After1stCHK!F33</f>
        <v>BUY (LONG)</v>
      </c>
      <c r="H34" s="226" t="str">
        <f>After1stCHK!G33</f>
        <v>MC.PA</v>
      </c>
      <c r="I34" s="81" t="str">
        <f>After1stCHK!H33</f>
        <v>Stock</v>
      </c>
      <c r="J34" s="109">
        <f>After1stCHK!I33</f>
        <v>12</v>
      </c>
      <c r="K34" s="103">
        <f>After1stCHK!J33</f>
        <v>0</v>
      </c>
      <c r="L34" s="56">
        <f>After1stCHK!K33</f>
        <v>0</v>
      </c>
      <c r="M34" s="104">
        <f>After1stCHK!L33</f>
        <v>0</v>
      </c>
      <c r="N34" s="82">
        <f>After1stCHK!M33</f>
        <v>740</v>
      </c>
      <c r="O34" s="82"/>
      <c r="P34" s="86"/>
      <c r="Q34" s="43" t="s">
        <v>163</v>
      </c>
      <c r="T34" s="87">
        <f t="shared" si="0"/>
        <v>44567</v>
      </c>
      <c r="U34" s="102"/>
      <c r="V34" s="81" t="str">
        <f>VLOOKUP($B34,After1stCHK!$B$3:$AO$87840,MATCH(V$4,After1stCHK!$B$3:$AO$3,0),FALSE)</f>
        <v>EUR</v>
      </c>
      <c r="W34" s="100" t="str">
        <f>VLOOKUP($B34,After1stCHK!$B$3:$AO$87840,MATCH(W$4,After1stCHK!$B$3:$AO$3,0),FALSE)</f>
        <v>MC.PA</v>
      </c>
      <c r="X34" s="82">
        <f>VLOOKUP($B34,After1stCHK!$B$3:$AO$87840,MATCH(X$4,After1stCHK!$B$3:$AO$3,0),FALSE)</f>
        <v>673.7</v>
      </c>
      <c r="Y34" s="82">
        <f>VLOOKUP($B34,After1stCHK!$B$3:$AO$87840,MATCH(Y$4,After1stCHK!$B$3:$AO$3,0),FALSE)</f>
        <v>687.9</v>
      </c>
      <c r="Z34" s="82">
        <f>VLOOKUP($B34,After1stCHK!$B$3:$AO$87840,MATCH(Z$4,After1stCHK!$B$3:$AO$3,0),FALSE)</f>
        <v>671.7</v>
      </c>
      <c r="AA34" s="82">
        <f>VLOOKUP($B34,After1stCHK!$B$3:$AO$87840,MATCH(AA$4,After1stCHK!$B$3:$AO$3,0),FALSE)</f>
        <v>667</v>
      </c>
      <c r="AB34" s="82">
        <f>VLOOKUP($B34,After1stCHK!$B$3:$AO$87840,MATCH(AB$4,After1stCHK!$B$3:$AO$3,0),FALSE)</f>
        <v>439855</v>
      </c>
      <c r="AC34" s="103" t="str">
        <f>VLOOKUP($B34,After1stCHK!$B$3:$AO$87840,MATCH(AC$4,After1stCHK!$B$3:$AO$3,0),FALSE)</f>
        <v>(blank)</v>
      </c>
      <c r="AD34" s="103" t="str">
        <f>VLOOKUP($B34,After1stCHK!$B$3:$AO$87840,MATCH(AD$4,After1stCHK!$B$3:$AO$3,0),FALSE)</f>
        <v>(blank)</v>
      </c>
      <c r="AE34" s="103" t="str">
        <f>VLOOKUP($B34,After1stCHK!$B$3:$AO$87840,MATCH(AE$4,After1stCHK!$B$3:$AO$3,0),FALSE)</f>
        <v>(blank)</v>
      </c>
      <c r="AF34" s="103" t="str">
        <f>VLOOKUP($B34,After1stCHK!$B$3:$AO$87840,MATCH(AF$4,After1stCHK!$B$3:$AO$3,0),FALSE)</f>
        <v>(blank)</v>
      </c>
      <c r="AG34" s="103" t="str">
        <f>VLOOKUP($B34,After1stCHK!$B$3:$AO$87840,MATCH(AG$4,After1stCHK!$B$3:$AO$3,0),FALSE)</f>
        <v>(blank)</v>
      </c>
      <c r="AH34" s="103" t="str">
        <f>VLOOKUP($B34,After1stCHK!$B$3:$AO$87840,MATCH(AH$4,After1stCHK!$B$3:$AO$3,0),FALSE)</f>
        <v>(blank)</v>
      </c>
      <c r="AI34" s="103" t="str">
        <f>VLOOKUP($B34,After1stCHK!$B$3:$AO$87840,MATCH(AI$4,After1stCHK!$B$3:$AO$3,0),FALSE)</f>
        <v>(blank)</v>
      </c>
      <c r="AJ34" s="103" t="str">
        <f>VLOOKUP($B34,After1stCHK!$B$3:$AO$87840,MATCH(AJ$4,After1stCHK!$B$3:$AO$3,0),FALSE)</f>
        <v>(blank)</v>
      </c>
      <c r="AK34" s="103" t="str">
        <f>VLOOKUP($B34,After1stCHK!$B$3:$AO$87840,MATCH(AK$4,After1stCHK!$B$3:$AO$3,0),FALSE)</f>
        <v>(blank)</v>
      </c>
      <c r="AL34" s="56" t="str">
        <f>VLOOKUP($B34,After1stCHK!$B$3:$AO$87840,MATCH(AL$4,After1stCHK!$B$3:$AO$3,0),FALSE)</f>
        <v>(blank)</v>
      </c>
      <c r="AM34" s="56" t="str">
        <f>VLOOKUP($B34,After1stCHK!$B$3:$AO$87840,MATCH(AM$4,After1stCHK!$B$3:$AO$3,0),FALSE)</f>
        <v>(blank)</v>
      </c>
      <c r="AN34" s="56" t="str">
        <f>VLOOKUP($B34,After1stCHK!$B$3:$AO$87840,MATCH(AN$4,After1stCHK!$B$3:$AO$3,0),FALSE)</f>
        <v>(blank)</v>
      </c>
      <c r="AO34" s="56" t="str">
        <f>VLOOKUP($B34,After1stCHK!$B$3:$AO$87840,MATCH(AO$4,After1stCHK!$B$3:$AO$3,0),FALSE)</f>
        <v>(blank)</v>
      </c>
      <c r="AP34" s="56" t="str">
        <f>VLOOKUP($B34,After1stCHK!$B$3:$AO$87840,MATCH(AP$4,After1stCHK!$B$3:$AO$3,0),FALSE)</f>
        <v>(blank)</v>
      </c>
      <c r="AQ34" s="56" t="str">
        <f>VLOOKUP($B34,After1stCHK!$B$3:$AO$87840,MATCH(AQ$4,After1stCHK!$B$3:$AO$3,0),FALSE)</f>
        <v>(blank)</v>
      </c>
      <c r="AR34" s="56" t="str">
        <f>VLOOKUP($B34,After1stCHK!$B$3:$AO$87840,MATCH(AR$4,After1stCHK!$B$3:$AO$3,0),FALSE)</f>
        <v>(blank)</v>
      </c>
      <c r="AS34" s="56" t="str">
        <f>VLOOKUP($B34,After1stCHK!$B$3:$AO$87840,MATCH(AS$4,After1stCHK!$B$3:$AO$3,0),FALSE)</f>
        <v>(blank)</v>
      </c>
      <c r="AT34" s="56" t="str">
        <f>VLOOKUP($B34,After1stCHK!$B$3:$AO$87840,MATCH(AT$4,After1stCHK!$B$3:$AO$3,0),FALSE)</f>
        <v>(blank)</v>
      </c>
      <c r="AU34" s="104" t="str">
        <f>VLOOKUP($B34,After1stCHK!$B$3:$AO$87840,MATCH(AU$4,After1stCHK!$B$3:$AO$3,0),FALSE)</f>
        <v>(blank)</v>
      </c>
      <c r="AV34" s="225" t="str">
        <f t="shared" si="1"/>
        <v/>
      </c>
      <c r="AX34" s="90"/>
      <c r="AY34" s="91"/>
      <c r="AZ34" s="24"/>
      <c r="BA34" s="92"/>
      <c r="BB34" s="192"/>
      <c r="BC34" s="94"/>
      <c r="BD34" s="193">
        <f t="shared" si="2"/>
        <v>0</v>
      </c>
      <c r="BE34" s="193" t="str">
        <f t="shared" si="3"/>
        <v/>
      </c>
      <c r="BF34" s="193">
        <f t="shared" ca="1" si="4"/>
        <v>0</v>
      </c>
      <c r="BG34" s="194" t="e">
        <f t="shared" ca="1" si="5"/>
        <v>#VALUE!</v>
      </c>
      <c r="BH34" s="195">
        <f t="shared" si="6"/>
        <v>1</v>
      </c>
      <c r="BI34" s="195">
        <f t="shared" si="7"/>
        <v>1</v>
      </c>
      <c r="BJ34" s="3">
        <f t="shared" si="8"/>
        <v>12</v>
      </c>
      <c r="BK34" s="3" t="str">
        <f t="shared" si="9"/>
        <v>EUR</v>
      </c>
      <c r="BL34" s="196">
        <f ca="1">IF(V34="HKD",1,OFFSET(FX!$A$5,MATCH(E34,FX!A:A,0)-ROW(FX!$A$5),MATCH(V34,FX!$A$5:$AM$5,0)-1,1,1))</f>
        <v>8.8111949999999997</v>
      </c>
      <c r="BM34" s="227" t="str">
        <f t="shared" si="10"/>
        <v>MC.PA</v>
      </c>
      <c r="BN34" s="198">
        <f t="shared" si="11"/>
        <v>740</v>
      </c>
      <c r="BO34" s="199"/>
      <c r="BP34" s="200">
        <f t="shared" si="12"/>
        <v>740</v>
      </c>
      <c r="BQ34" s="201">
        <f t="shared" si="13"/>
        <v>12</v>
      </c>
      <c r="BR34" s="202">
        <f t="shared" si="14"/>
        <v>8880</v>
      </c>
      <c r="BS34" s="203">
        <f t="shared" ca="1" si="15"/>
        <v>78243.411599999992</v>
      </c>
      <c r="BT34" s="204"/>
      <c r="BU34" s="199">
        <f t="shared" si="16"/>
        <v>0</v>
      </c>
      <c r="BV34" s="201">
        <f t="shared" si="17"/>
        <v>0</v>
      </c>
      <c r="BW34" s="202">
        <f t="shared" si="18"/>
        <v>0</v>
      </c>
      <c r="BX34" s="203">
        <f t="shared" ca="1" si="19"/>
        <v>0</v>
      </c>
      <c r="BY34" s="204"/>
      <c r="BZ34" s="198">
        <f t="shared" si="20"/>
        <v>0</v>
      </c>
      <c r="CA34" s="199"/>
      <c r="CB34" s="200">
        <f t="shared" si="21"/>
        <v>0</v>
      </c>
      <c r="CC34" s="201">
        <f t="shared" si="22"/>
        <v>0</v>
      </c>
      <c r="CD34" s="202">
        <f t="shared" si="23"/>
        <v>0</v>
      </c>
      <c r="CE34" s="203">
        <f t="shared" ca="1" si="24"/>
        <v>0</v>
      </c>
      <c r="CF34" s="204"/>
      <c r="CG34" s="205">
        <f t="shared" si="25"/>
        <v>0</v>
      </c>
      <c r="CH34" s="206">
        <f t="shared" si="26"/>
        <v>0</v>
      </c>
      <c r="CI34" s="207">
        <f t="shared" si="27"/>
        <v>0</v>
      </c>
      <c r="CJ34" s="203">
        <f t="shared" ca="1" si="28"/>
        <v>0</v>
      </c>
      <c r="CK34" s="204"/>
      <c r="CL34" s="208">
        <f t="shared" ca="1" si="29"/>
        <v>-78243.411599999992</v>
      </c>
      <c r="CM34" s="209" t="str">
        <f t="shared" si="30"/>
        <v/>
      </c>
      <c r="CN34" s="228" t="str">
        <f t="shared" si="31"/>
        <v>MC.PA</v>
      </c>
      <c r="CO34" s="153">
        <f t="shared" si="32"/>
        <v>44567</v>
      </c>
      <c r="CP34" s="211">
        <f t="shared" ref="CP34:CQ34" si="136">AZ34</f>
        <v>0</v>
      </c>
      <c r="CQ34" s="212">
        <f t="shared" si="136"/>
        <v>0</v>
      </c>
      <c r="CR34" s="213">
        <f t="shared" si="34"/>
        <v>0</v>
      </c>
      <c r="CS34" s="213">
        <f t="shared" si="35"/>
        <v>0</v>
      </c>
      <c r="CT34" s="214">
        <f>SUMIFS('1HistTrade'!DF:DF,'1HistTrade'!$D:$D,$D34,'1HistTrade'!$BM:$BM,$BM34,'1HistTrade'!$B:$B,"&lt;"&amp;$B34)</f>
        <v>9</v>
      </c>
      <c r="CU34" s="215">
        <f>SUMIFS('1HistTrade'!DG:DG,'1HistTrade'!$D:$D,$D34,'1HistTrade'!$BM:$BM,$BM34,'1HistTrade'!$B:$B,"&lt;"&amp;$B34)</f>
        <v>0</v>
      </c>
      <c r="CV34" s="215">
        <f>SUMIFS('1HistTrade'!DH:DH,'1HistTrade'!$D:$D,$D34,'1HistTrade'!$BM:$BM,$BM34,'1HistTrade'!$B:$B,"&lt;"&amp;$B34)</f>
        <v>0</v>
      </c>
      <c r="CW34" s="215">
        <f>SUMIFS('1HistTrade'!DI:DI,'1HistTrade'!$D:$D,$D34,'1HistTrade'!$BM:$BM,$BM34,'1HistTrade'!$B:$B,"&lt;"&amp;$B34)</f>
        <v>0</v>
      </c>
      <c r="CX34" s="216">
        <f t="shared" si="36"/>
        <v>21</v>
      </c>
      <c r="CY34" s="216">
        <f t="shared" si="37"/>
        <v>0</v>
      </c>
      <c r="CZ34" s="216">
        <f t="shared" si="38"/>
        <v>0</v>
      </c>
      <c r="DA34" s="216">
        <f t="shared" ca="1" si="39"/>
        <v>0</v>
      </c>
      <c r="DB34" s="21" t="str">
        <f t="shared" si="40"/>
        <v>B</v>
      </c>
      <c r="DC34" s="21" t="str">
        <f t="shared" si="41"/>
        <v/>
      </c>
      <c r="DD34" s="21" t="str">
        <f t="shared" si="42"/>
        <v/>
      </c>
      <c r="DE34" s="21" t="str">
        <f t="shared" ca="1" si="43"/>
        <v/>
      </c>
      <c r="DF34" s="215">
        <f t="shared" si="44"/>
        <v>12</v>
      </c>
      <c r="DG34" s="215">
        <f t="shared" si="45"/>
        <v>0</v>
      </c>
      <c r="DH34" s="215">
        <f t="shared" si="46"/>
        <v>0</v>
      </c>
      <c r="DI34" s="215">
        <f t="shared" ca="1" si="47"/>
        <v>0</v>
      </c>
      <c r="DJ34" s="215" t="str">
        <f t="shared" si="48"/>
        <v>B</v>
      </c>
      <c r="DK34" s="116"/>
      <c r="DL34" s="116">
        <f t="shared" ca="1" si="49"/>
        <v>6520.2842999999993</v>
      </c>
      <c r="DM34" s="116">
        <f t="shared" ca="1" si="50"/>
        <v>78243.411599999992</v>
      </c>
      <c r="DN34" s="116">
        <f t="shared" ca="1" si="51"/>
        <v>-78243.411599999992</v>
      </c>
      <c r="DO34" s="217">
        <f t="shared" ca="1" si="52"/>
        <v>78243.411599999992</v>
      </c>
      <c r="DP34" s="217">
        <f t="shared" ca="1" si="53"/>
        <v>0</v>
      </c>
      <c r="DQ34" s="116">
        <f>IF($DT$1="Delete",0,IF(OR(DG34="",DG34=0),0,SUMIFS('1HistTrade'!$ED:$ED,'1HistTrade'!$D:$D,D34,'1HistTrade'!$H:$H,H34,'1HistTrade'!$B:$B,"&lt;"&amp;B34)))</f>
        <v>0</v>
      </c>
      <c r="DR34" s="116">
        <f t="shared" ca="1" si="54"/>
        <v>0</v>
      </c>
      <c r="DS34" s="116">
        <f t="shared" ca="1" si="55"/>
        <v>0</v>
      </c>
      <c r="DT34" s="116">
        <f>IF($DT$1="Delete",0,IF(OR(DI34="",DI34=0),0,SUMIFS('1HistTrade'!$ED:$ED,'1HistTrade'!$D:$D,D34,'1HistTrade'!$H:$H,H34,'1HistTrade'!$B:$B,"&lt;"&amp;B34)))</f>
        <v>0</v>
      </c>
      <c r="DU34" s="116">
        <f t="shared" ca="1" si="56"/>
        <v>0</v>
      </c>
      <c r="DV34" s="116">
        <f t="shared" ca="1" si="57"/>
        <v>0</v>
      </c>
      <c r="DW34" s="218">
        <f t="shared" si="58"/>
        <v>0</v>
      </c>
      <c r="DX34" s="219"/>
      <c r="DY34" s="219">
        <f t="shared" si="59"/>
        <v>0</v>
      </c>
      <c r="DZ34" s="220">
        <f t="shared" ca="1" si="60"/>
        <v>0</v>
      </c>
      <c r="EA34" s="220">
        <f t="shared" si="61"/>
        <v>0</v>
      </c>
      <c r="EB34" s="221">
        <f t="shared" ca="1" si="62"/>
        <v>0</v>
      </c>
      <c r="EC34" s="116">
        <f t="shared" ca="1" si="63"/>
        <v>-78243.411599999992</v>
      </c>
      <c r="ED34" s="116">
        <f t="shared" ca="1" si="64"/>
        <v>-78243.411599999992</v>
      </c>
      <c r="EE34" s="222" t="str">
        <f t="shared" si="65"/>
        <v/>
      </c>
      <c r="EF34" s="116">
        <f t="shared" si="66"/>
        <v>-12</v>
      </c>
      <c r="EG34" s="223">
        <f ca="1">IF(ISERROR(VLOOKUP(_xludf.maxifs(DbyD!C:C,DbyD!B:B,C34,DbyD!F:F,"&lt;=" &amp; E34,DbyD!C:C,"&lt;"&amp;B34),DbyD!C:BE,MATCH(DbyD!$BB$9,DbyD!$9:$9,0)-2,FALSE)),0,VLOOKUP(_xludf.maxifs(DbyD!C:C,DbyD!B:B,C34,DbyD!F:F,"&lt;=" &amp; E34,DbyD!C:C,"&lt;"&amp;B34),DbyD!C:BE,MATCH(DbyD!$BB$9,DbyD!$9:$9,0)-2,FALSE))</f>
        <v>0</v>
      </c>
      <c r="EH34" s="116">
        <f>SUMIFS('1HistTrade'!$EM:$EM,'1HistTrade'!$D:$D,D34,'1HistTrade'!$B:$B,"&lt;"&amp;B34,'1HistTrade'!$DJ:$DJ,"&lt;&gt;"&amp;"CD/CW")*-1</f>
        <v>77548.157149999999</v>
      </c>
      <c r="EI34" s="116">
        <f t="shared" ca="1" si="67"/>
        <v>77548.157149999999</v>
      </c>
      <c r="EJ34" s="116">
        <f>SUMIFS('1HistTrade'!$EN:$EN,'1HistTrade'!$D:$D,D34,'1HistTrade'!$B:$B,"&lt;"&amp;B34)</f>
        <v>347000.50635000004</v>
      </c>
      <c r="EK34" s="224">
        <f>SUMIFS('1HistTrade'!$EU:$EU,'1HistTrade'!$D:$D,D34,'1HistTrade'!$B:$B,"&lt;"&amp;B34)</f>
        <v>0</v>
      </c>
      <c r="EL34" s="116"/>
      <c r="EM34" s="116">
        <f t="shared" ref="EM34:EN34" ca="1" si="137">EC34</f>
        <v>-78243.411599999992</v>
      </c>
      <c r="EN34" s="116">
        <f t="shared" ca="1" si="137"/>
        <v>-78243.411599999992</v>
      </c>
      <c r="EO34" s="224"/>
      <c r="EP34" s="116"/>
      <c r="EQ34" s="116">
        <f t="shared" ca="1" si="69"/>
        <v>-78243.411599999992</v>
      </c>
      <c r="ER34" s="116">
        <f t="shared" ca="1" si="70"/>
        <v>155791.56874999998</v>
      </c>
      <c r="ES34" s="116">
        <f t="shared" ca="1" si="71"/>
        <v>77548.157149999985</v>
      </c>
      <c r="ET34" s="116">
        <f t="shared" ca="1" si="72"/>
        <v>268757.09475000005</v>
      </c>
      <c r="EU34" s="224">
        <f t="shared" ca="1" si="73"/>
        <v>0</v>
      </c>
      <c r="EV34" s="213">
        <f t="shared" ca="1" si="74"/>
        <v>0</v>
      </c>
      <c r="EX34" s="116">
        <f t="shared" ca="1" si="75"/>
        <v>-78243.411599999992</v>
      </c>
      <c r="EY34" s="116">
        <f t="shared" ca="1" si="76"/>
        <v>155791.56874999998</v>
      </c>
      <c r="EZ34" s="116">
        <f t="shared" ca="1" si="77"/>
        <v>77548.157149999985</v>
      </c>
      <c r="FA34" s="116">
        <f t="shared" ca="1" si="78"/>
        <v>268757.09475000005</v>
      </c>
      <c r="FB34" s="116">
        <f t="shared" ca="1" si="79"/>
        <v>0</v>
      </c>
      <c r="FC34" s="189"/>
      <c r="FE34" s="31"/>
      <c r="FG34" s="31"/>
    </row>
    <row r="35" spans="1:163" ht="13">
      <c r="A35" s="10">
        <f>IF(E35&lt;=HistSecRecord!$E$1,1,0)</f>
        <v>0</v>
      </c>
      <c r="B35" s="190">
        <f>After1stCHK!B34</f>
        <v>44567000019</v>
      </c>
      <c r="C35" s="3" t="str">
        <f>After1stCHK!C34</f>
        <v>D0001</v>
      </c>
      <c r="D35" s="29" t="str">
        <f>After1stCHK!D34</f>
        <v>sABCD0001@hkmu.edu.hk</v>
      </c>
      <c r="E35" s="4">
        <f>After1stCHK!E34</f>
        <v>44567</v>
      </c>
      <c r="F35" s="105"/>
      <c r="G35" s="79" t="str">
        <f>After1stCHK!F34</f>
        <v>SELL (SHORT)</v>
      </c>
      <c r="H35" s="226" t="str">
        <f>After1stCHK!G34</f>
        <v>MC.PA</v>
      </c>
      <c r="I35" s="81" t="str">
        <f>After1stCHK!H34</f>
        <v>Stock</v>
      </c>
      <c r="J35" s="109">
        <f>After1stCHK!I34</f>
        <v>1</v>
      </c>
      <c r="K35" s="103">
        <f>After1stCHK!J34</f>
        <v>0</v>
      </c>
      <c r="L35" s="56">
        <f>After1stCHK!K34</f>
        <v>0</v>
      </c>
      <c r="M35" s="104">
        <f>After1stCHK!L34</f>
        <v>0</v>
      </c>
      <c r="N35" s="82">
        <f>After1stCHK!M34</f>
        <v>740</v>
      </c>
      <c r="O35" s="82"/>
      <c r="P35" s="86"/>
      <c r="Q35" s="43" t="s">
        <v>164</v>
      </c>
      <c r="T35" s="87">
        <f t="shared" si="0"/>
        <v>44567</v>
      </c>
      <c r="U35" s="102"/>
      <c r="V35" s="81" t="str">
        <f>VLOOKUP($B35,After1stCHK!$B$3:$AO$87840,MATCH(V$4,After1stCHK!$B$3:$AO$3,0),FALSE)</f>
        <v>EUR</v>
      </c>
      <c r="W35" s="100" t="str">
        <f>VLOOKUP($B35,After1stCHK!$B$3:$AO$87840,MATCH(W$4,After1stCHK!$B$3:$AO$3,0),FALSE)</f>
        <v>MC.PA</v>
      </c>
      <c r="X35" s="82">
        <f>VLOOKUP($B35,After1stCHK!$B$3:$AO$87840,MATCH(X$4,After1stCHK!$B$3:$AO$3,0),FALSE)</f>
        <v>673.7</v>
      </c>
      <c r="Y35" s="82">
        <f>VLOOKUP($B35,After1stCHK!$B$3:$AO$87840,MATCH(Y$4,After1stCHK!$B$3:$AO$3,0),FALSE)</f>
        <v>687.9</v>
      </c>
      <c r="Z35" s="82">
        <f>VLOOKUP($B35,After1stCHK!$B$3:$AO$87840,MATCH(Z$4,After1stCHK!$B$3:$AO$3,0),FALSE)</f>
        <v>671.7</v>
      </c>
      <c r="AA35" s="82">
        <f>VLOOKUP($B35,After1stCHK!$B$3:$AO$87840,MATCH(AA$4,After1stCHK!$B$3:$AO$3,0),FALSE)</f>
        <v>667</v>
      </c>
      <c r="AB35" s="82">
        <f>VLOOKUP($B35,After1stCHK!$B$3:$AO$87840,MATCH(AB$4,After1stCHK!$B$3:$AO$3,0),FALSE)</f>
        <v>439855</v>
      </c>
      <c r="AC35" s="103" t="str">
        <f>VLOOKUP($B35,After1stCHK!$B$3:$AO$87840,MATCH(AC$4,After1stCHK!$B$3:$AO$3,0),FALSE)</f>
        <v>(blank)</v>
      </c>
      <c r="AD35" s="103" t="str">
        <f>VLOOKUP($B35,After1stCHK!$B$3:$AO$87840,MATCH(AD$4,After1stCHK!$B$3:$AO$3,0),FALSE)</f>
        <v>(blank)</v>
      </c>
      <c r="AE35" s="103" t="str">
        <f>VLOOKUP($B35,After1stCHK!$B$3:$AO$87840,MATCH(AE$4,After1stCHK!$B$3:$AO$3,0),FALSE)</f>
        <v>(blank)</v>
      </c>
      <c r="AF35" s="103" t="str">
        <f>VLOOKUP($B35,After1stCHK!$B$3:$AO$87840,MATCH(AF$4,After1stCHK!$B$3:$AO$3,0),FALSE)</f>
        <v>(blank)</v>
      </c>
      <c r="AG35" s="103" t="str">
        <f>VLOOKUP($B35,After1stCHK!$B$3:$AO$87840,MATCH(AG$4,After1stCHK!$B$3:$AO$3,0),FALSE)</f>
        <v>(blank)</v>
      </c>
      <c r="AH35" s="103" t="str">
        <f>VLOOKUP($B35,After1stCHK!$B$3:$AO$87840,MATCH(AH$4,After1stCHK!$B$3:$AO$3,0),FALSE)</f>
        <v>(blank)</v>
      </c>
      <c r="AI35" s="103" t="str">
        <f>VLOOKUP($B35,After1stCHK!$B$3:$AO$87840,MATCH(AI$4,After1stCHK!$B$3:$AO$3,0),FALSE)</f>
        <v>(blank)</v>
      </c>
      <c r="AJ35" s="103" t="str">
        <f>VLOOKUP($B35,After1stCHK!$B$3:$AO$87840,MATCH(AJ$4,After1stCHK!$B$3:$AO$3,0),FALSE)</f>
        <v>(blank)</v>
      </c>
      <c r="AK35" s="103" t="str">
        <f>VLOOKUP($B35,After1stCHK!$B$3:$AO$87840,MATCH(AK$4,After1stCHK!$B$3:$AO$3,0),FALSE)</f>
        <v>(blank)</v>
      </c>
      <c r="AL35" s="56" t="str">
        <f>VLOOKUP($B35,After1stCHK!$B$3:$AO$87840,MATCH(AL$4,After1stCHK!$B$3:$AO$3,0),FALSE)</f>
        <v>(blank)</v>
      </c>
      <c r="AM35" s="56" t="str">
        <f>VLOOKUP($B35,After1stCHK!$B$3:$AO$87840,MATCH(AM$4,After1stCHK!$B$3:$AO$3,0),FALSE)</f>
        <v>(blank)</v>
      </c>
      <c r="AN35" s="56" t="str">
        <f>VLOOKUP($B35,After1stCHK!$B$3:$AO$87840,MATCH(AN$4,After1stCHK!$B$3:$AO$3,0),FALSE)</f>
        <v>(blank)</v>
      </c>
      <c r="AO35" s="56" t="str">
        <f>VLOOKUP($B35,After1stCHK!$B$3:$AO$87840,MATCH(AO$4,After1stCHK!$B$3:$AO$3,0),FALSE)</f>
        <v>(blank)</v>
      </c>
      <c r="AP35" s="56" t="str">
        <f>VLOOKUP($B35,After1stCHK!$B$3:$AO$87840,MATCH(AP$4,After1stCHK!$B$3:$AO$3,0),FALSE)</f>
        <v>(blank)</v>
      </c>
      <c r="AQ35" s="56" t="str">
        <f>VLOOKUP($B35,After1stCHK!$B$3:$AO$87840,MATCH(AQ$4,After1stCHK!$B$3:$AO$3,0),FALSE)</f>
        <v>(blank)</v>
      </c>
      <c r="AR35" s="56" t="str">
        <f>VLOOKUP($B35,After1stCHK!$B$3:$AO$87840,MATCH(AR$4,After1stCHK!$B$3:$AO$3,0),FALSE)</f>
        <v>(blank)</v>
      </c>
      <c r="AS35" s="56" t="str">
        <f>VLOOKUP($B35,After1stCHK!$B$3:$AO$87840,MATCH(AS$4,After1stCHK!$B$3:$AO$3,0),FALSE)</f>
        <v>(blank)</v>
      </c>
      <c r="AT35" s="56" t="str">
        <f>VLOOKUP($B35,After1stCHK!$B$3:$AO$87840,MATCH(AT$4,After1stCHK!$B$3:$AO$3,0),FALSE)</f>
        <v>(blank)</v>
      </c>
      <c r="AU35" s="104" t="str">
        <f>VLOOKUP($B35,After1stCHK!$B$3:$AO$87840,MATCH(AU$4,After1stCHK!$B$3:$AO$3,0),FALSE)</f>
        <v>(blank)</v>
      </c>
      <c r="AV35" s="225" t="str">
        <f t="shared" si="1"/>
        <v/>
      </c>
      <c r="AX35" s="90"/>
      <c r="AY35" s="91"/>
      <c r="AZ35" s="24"/>
      <c r="BA35" s="92"/>
      <c r="BB35" s="192"/>
      <c r="BC35" s="94"/>
      <c r="BD35" s="193">
        <f t="shared" ca="1" si="2"/>
        <v>0</v>
      </c>
      <c r="BE35" s="193" t="str">
        <f t="shared" si="3"/>
        <v/>
      </c>
      <c r="BF35" s="193">
        <f t="shared" ca="1" si="4"/>
        <v>0</v>
      </c>
      <c r="BG35" s="194" t="e">
        <f t="shared" ca="1" si="5"/>
        <v>#VALUE!</v>
      </c>
      <c r="BH35" s="195">
        <f t="shared" si="6"/>
        <v>1</v>
      </c>
      <c r="BI35" s="195">
        <f t="shared" si="7"/>
        <v>-1</v>
      </c>
      <c r="BJ35" s="3">
        <f t="shared" si="8"/>
        <v>1</v>
      </c>
      <c r="BK35" s="3" t="str">
        <f t="shared" si="9"/>
        <v>EUR</v>
      </c>
      <c r="BL35" s="196">
        <f ca="1">IF(V35="HKD",1,OFFSET(FX!$A$5,MATCH(E35,FX!A:A,0)-ROW(FX!$A$5),MATCH(V35,FX!$A$5:$AM$5,0)-1,1,1))</f>
        <v>8.8111949999999997</v>
      </c>
      <c r="BM35" s="227" t="str">
        <f t="shared" si="10"/>
        <v>MC.PA</v>
      </c>
      <c r="BN35" s="198">
        <f t="shared" si="11"/>
        <v>740</v>
      </c>
      <c r="BO35" s="199"/>
      <c r="BP35" s="200">
        <f t="shared" si="12"/>
        <v>740</v>
      </c>
      <c r="BQ35" s="201">
        <f t="shared" si="13"/>
        <v>-1</v>
      </c>
      <c r="BR35" s="202">
        <f t="shared" si="14"/>
        <v>-740</v>
      </c>
      <c r="BS35" s="203">
        <f t="shared" ca="1" si="15"/>
        <v>-6520.2842999999993</v>
      </c>
      <c r="BT35" s="204"/>
      <c r="BU35" s="199">
        <f t="shared" si="16"/>
        <v>0</v>
      </c>
      <c r="BV35" s="201">
        <f t="shared" si="17"/>
        <v>0</v>
      </c>
      <c r="BW35" s="202">
        <f t="shared" si="18"/>
        <v>0</v>
      </c>
      <c r="BX35" s="203">
        <f t="shared" ca="1" si="19"/>
        <v>0</v>
      </c>
      <c r="BY35" s="204"/>
      <c r="BZ35" s="198">
        <f t="shared" si="20"/>
        <v>0</v>
      </c>
      <c r="CA35" s="199"/>
      <c r="CB35" s="200">
        <f t="shared" si="21"/>
        <v>0</v>
      </c>
      <c r="CC35" s="201">
        <f t="shared" si="22"/>
        <v>0</v>
      </c>
      <c r="CD35" s="202">
        <f t="shared" si="23"/>
        <v>0</v>
      </c>
      <c r="CE35" s="203">
        <f t="shared" ca="1" si="24"/>
        <v>0</v>
      </c>
      <c r="CF35" s="204"/>
      <c r="CG35" s="205">
        <f t="shared" si="25"/>
        <v>0</v>
      </c>
      <c r="CH35" s="206">
        <f t="shared" si="26"/>
        <v>0</v>
      </c>
      <c r="CI35" s="207">
        <f t="shared" si="27"/>
        <v>0</v>
      </c>
      <c r="CJ35" s="203">
        <f t="shared" ca="1" si="28"/>
        <v>0</v>
      </c>
      <c r="CK35" s="204"/>
      <c r="CL35" s="208">
        <f t="shared" ca="1" si="29"/>
        <v>6520.2842999999993</v>
      </c>
      <c r="CM35" s="209" t="str">
        <f t="shared" si="30"/>
        <v/>
      </c>
      <c r="CN35" s="228" t="str">
        <f t="shared" si="31"/>
        <v>MC.PA</v>
      </c>
      <c r="CO35" s="153">
        <f t="shared" si="32"/>
        <v>44567</v>
      </c>
      <c r="CP35" s="211">
        <f t="shared" ref="CP35:CQ35" si="138">AZ35</f>
        <v>0</v>
      </c>
      <c r="CQ35" s="212">
        <f t="shared" si="138"/>
        <v>0</v>
      </c>
      <c r="CR35" s="213">
        <f t="shared" ca="1" si="34"/>
        <v>0</v>
      </c>
      <c r="CS35" s="213">
        <f t="shared" ca="1" si="35"/>
        <v>0</v>
      </c>
      <c r="CT35" s="214">
        <f>SUMIFS('1HistTrade'!DF:DF,'1HistTrade'!$D:$D,$D35,'1HistTrade'!$BM:$BM,$BM35,'1HistTrade'!$B:$B,"&lt;"&amp;$B35)</f>
        <v>21</v>
      </c>
      <c r="CU35" s="215">
        <f>SUMIFS('1HistTrade'!DG:DG,'1HistTrade'!$D:$D,$D35,'1HistTrade'!$BM:$BM,$BM35,'1HistTrade'!$B:$B,"&lt;"&amp;$B35)</f>
        <v>0</v>
      </c>
      <c r="CV35" s="215">
        <f>SUMIFS('1HistTrade'!DH:DH,'1HistTrade'!$D:$D,$D35,'1HistTrade'!$BM:$BM,$BM35,'1HistTrade'!$B:$B,"&lt;"&amp;$B35)</f>
        <v>0</v>
      </c>
      <c r="CW35" s="215">
        <f>SUMIFS('1HistTrade'!DI:DI,'1HistTrade'!$D:$D,$D35,'1HistTrade'!$BM:$BM,$BM35,'1HistTrade'!$B:$B,"&lt;"&amp;$B35)</f>
        <v>0</v>
      </c>
      <c r="CX35" s="216">
        <f t="shared" si="36"/>
        <v>20</v>
      </c>
      <c r="CY35" s="216">
        <f t="shared" si="37"/>
        <v>0</v>
      </c>
      <c r="CZ35" s="216">
        <f t="shared" si="38"/>
        <v>0</v>
      </c>
      <c r="DA35" s="216">
        <f t="shared" ca="1" si="39"/>
        <v>0</v>
      </c>
      <c r="DB35" s="21" t="str">
        <f t="shared" si="40"/>
        <v>S</v>
      </c>
      <c r="DC35" s="21" t="str">
        <f t="shared" si="41"/>
        <v/>
      </c>
      <c r="DD35" s="21" t="str">
        <f t="shared" si="42"/>
        <v/>
      </c>
      <c r="DE35" s="21" t="str">
        <f t="shared" ca="1" si="43"/>
        <v/>
      </c>
      <c r="DF35" s="215">
        <f t="shared" si="44"/>
        <v>-1</v>
      </c>
      <c r="DG35" s="215">
        <f t="shared" si="45"/>
        <v>0</v>
      </c>
      <c r="DH35" s="215">
        <f t="shared" si="46"/>
        <v>0</v>
      </c>
      <c r="DI35" s="215">
        <f t="shared" ca="1" si="47"/>
        <v>0</v>
      </c>
      <c r="DJ35" s="215" t="str">
        <f t="shared" si="48"/>
        <v>S</v>
      </c>
      <c r="DK35" s="116"/>
      <c r="DL35" s="116">
        <f t="shared" ca="1" si="49"/>
        <v>6520.2842999999993</v>
      </c>
      <c r="DM35" s="116">
        <f t="shared" ca="1" si="50"/>
        <v>-6520.2842999999993</v>
      </c>
      <c r="DN35" s="116">
        <f t="shared" ca="1" si="51"/>
        <v>6520.2842999999993</v>
      </c>
      <c r="DO35" s="217">
        <f t="shared" ca="1" si="52"/>
        <v>0</v>
      </c>
      <c r="DP35" s="217">
        <f t="shared" ca="1" si="53"/>
        <v>-6520.2842999999993</v>
      </c>
      <c r="DQ35" s="116">
        <f>IF($DT$1="Delete",0,IF(OR(DG35="",DG35=0),0,SUMIFS('1HistTrade'!$ED:$ED,'1HistTrade'!$D:$D,D35,'1HistTrade'!$H:$H,H35,'1HistTrade'!$B:$B,"&lt;"&amp;B35)))</f>
        <v>0</v>
      </c>
      <c r="DR35" s="116">
        <f t="shared" ca="1" si="54"/>
        <v>0</v>
      </c>
      <c r="DS35" s="116">
        <f t="shared" ca="1" si="55"/>
        <v>0</v>
      </c>
      <c r="DT35" s="116">
        <f>IF($DT$1="Delete",0,IF(OR(DI35="",DI35=0),0,SUMIFS('1HistTrade'!$ED:$ED,'1HistTrade'!$D:$D,D35,'1HistTrade'!$H:$H,H35,'1HistTrade'!$B:$B,"&lt;"&amp;B35)))</f>
        <v>0</v>
      </c>
      <c r="DU35" s="116">
        <f t="shared" ca="1" si="56"/>
        <v>0</v>
      </c>
      <c r="DV35" s="116">
        <f t="shared" ca="1" si="57"/>
        <v>0</v>
      </c>
      <c r="DW35" s="218">
        <f t="shared" si="58"/>
        <v>0</v>
      </c>
      <c r="DX35" s="219"/>
      <c r="DY35" s="219">
        <f t="shared" si="59"/>
        <v>0</v>
      </c>
      <c r="DZ35" s="220">
        <f t="shared" ca="1" si="60"/>
        <v>0</v>
      </c>
      <c r="EA35" s="220">
        <f t="shared" si="61"/>
        <v>0</v>
      </c>
      <c r="EB35" s="221">
        <f t="shared" ca="1" si="62"/>
        <v>0</v>
      </c>
      <c r="EC35" s="116">
        <f t="shared" ca="1" si="63"/>
        <v>6520.2842999999993</v>
      </c>
      <c r="ED35" s="116">
        <f t="shared" ca="1" si="64"/>
        <v>6520.2842999999993</v>
      </c>
      <c r="EE35" s="222" t="str">
        <f t="shared" si="65"/>
        <v/>
      </c>
      <c r="EF35" s="116">
        <f t="shared" si="66"/>
        <v>1</v>
      </c>
      <c r="EG35" s="223">
        <f ca="1">IF(ISERROR(VLOOKUP(_xludf.maxifs(DbyD!C:C,DbyD!B:B,C35,DbyD!F:F,"&lt;=" &amp; E35,DbyD!C:C,"&lt;"&amp;B35),DbyD!C:BE,MATCH(DbyD!$BB$9,DbyD!$9:$9,0)-2,FALSE)),0,VLOOKUP(_xludf.maxifs(DbyD!C:C,DbyD!B:B,C35,DbyD!F:F,"&lt;=" &amp; E35,DbyD!C:C,"&lt;"&amp;B35),DbyD!C:BE,MATCH(DbyD!$BB$9,DbyD!$9:$9,0)-2,FALSE))</f>
        <v>0</v>
      </c>
      <c r="EH35" s="116">
        <f>SUMIFS('1HistTrade'!$EM:$EM,'1HistTrade'!$D:$D,D35,'1HistTrade'!$B:$B,"&lt;"&amp;B35,'1HistTrade'!$DJ:$DJ,"&lt;&gt;"&amp;"CD/CW")*-1</f>
        <v>155791.56874999998</v>
      </c>
      <c r="EI35" s="116">
        <f t="shared" ca="1" si="67"/>
        <v>155791.56874999998</v>
      </c>
      <c r="EJ35" s="116">
        <f>SUMIFS('1HistTrade'!$EN:$EN,'1HistTrade'!$D:$D,D35,'1HistTrade'!$B:$B,"&lt;"&amp;B35)</f>
        <v>268757.09475000005</v>
      </c>
      <c r="EK35" s="224">
        <f>SUMIFS('1HistTrade'!$EU:$EU,'1HistTrade'!$D:$D,D35,'1HistTrade'!$B:$B,"&lt;"&amp;B35)</f>
        <v>0</v>
      </c>
      <c r="EL35" s="116"/>
      <c r="EM35" s="116">
        <f t="shared" ref="EM35:EN35" ca="1" si="139">EC35</f>
        <v>6520.2842999999993</v>
      </c>
      <c r="EN35" s="116">
        <f t="shared" ca="1" si="139"/>
        <v>6520.2842999999993</v>
      </c>
      <c r="EO35" s="224"/>
      <c r="EP35" s="116"/>
      <c r="EQ35" s="116">
        <f t="shared" ca="1" si="69"/>
        <v>6520.2842999999993</v>
      </c>
      <c r="ER35" s="116">
        <f t="shared" ca="1" si="70"/>
        <v>149271.28444999998</v>
      </c>
      <c r="ES35" s="116">
        <f t="shared" ca="1" si="71"/>
        <v>155791.56874999998</v>
      </c>
      <c r="ET35" s="116">
        <f t="shared" ca="1" si="72"/>
        <v>275277.37905000005</v>
      </c>
      <c r="EU35" s="224">
        <f t="shared" ca="1" si="73"/>
        <v>0</v>
      </c>
      <c r="EV35" s="213">
        <f t="shared" ca="1" si="74"/>
        <v>0</v>
      </c>
      <c r="EX35" s="116">
        <f t="shared" ca="1" si="75"/>
        <v>6520.2842999999993</v>
      </c>
      <c r="EY35" s="116">
        <f t="shared" ca="1" si="76"/>
        <v>149271.28444999998</v>
      </c>
      <c r="EZ35" s="116">
        <f t="shared" ca="1" si="77"/>
        <v>155791.56874999998</v>
      </c>
      <c r="FA35" s="116">
        <f t="shared" ca="1" si="78"/>
        <v>275277.37905000005</v>
      </c>
      <c r="FB35" s="116">
        <f t="shared" ca="1" si="79"/>
        <v>0</v>
      </c>
      <c r="FC35" s="189"/>
      <c r="FE35" s="31"/>
      <c r="FG35" s="31"/>
    </row>
    <row r="36" spans="1:163" ht="13">
      <c r="A36" s="10">
        <f>IF(E36&lt;=HistSecRecord!$E$1,1,0)</f>
        <v>0</v>
      </c>
      <c r="B36" s="190">
        <f>After1stCHK!B35</f>
        <v>44567000020</v>
      </c>
      <c r="C36" s="3" t="str">
        <f>After1stCHK!C35</f>
        <v>D0001</v>
      </c>
      <c r="D36" s="29" t="str">
        <f>After1stCHK!D35</f>
        <v>sABCD0001@hkmu.edu.hk</v>
      </c>
      <c r="E36" s="4">
        <f>After1stCHK!E35</f>
        <v>44567</v>
      </c>
      <c r="F36" s="105"/>
      <c r="G36" s="79" t="str">
        <f>After1stCHK!F35</f>
        <v>BUY (LONG)</v>
      </c>
      <c r="H36" s="226" t="str">
        <f>After1stCHK!G35</f>
        <v>MC.PA</v>
      </c>
      <c r="I36" s="81" t="str">
        <f>After1stCHK!H35</f>
        <v>Stock</v>
      </c>
      <c r="J36" s="109">
        <f>After1stCHK!I35</f>
        <v>3</v>
      </c>
      <c r="K36" s="103">
        <f>After1stCHK!J35</f>
        <v>0</v>
      </c>
      <c r="L36" s="56">
        <f>After1stCHK!K35</f>
        <v>0</v>
      </c>
      <c r="M36" s="104">
        <f>After1stCHK!L35</f>
        <v>0</v>
      </c>
      <c r="N36" s="82">
        <f>After1stCHK!M35</f>
        <v>740</v>
      </c>
      <c r="O36" s="82"/>
      <c r="P36" s="86"/>
      <c r="T36" s="87">
        <f t="shared" si="0"/>
        <v>44567</v>
      </c>
      <c r="U36" s="102"/>
      <c r="V36" s="81" t="str">
        <f>VLOOKUP($B36,After1stCHK!$B$3:$AO$87840,MATCH(V$4,After1stCHK!$B$3:$AO$3,0),FALSE)</f>
        <v>EUR</v>
      </c>
      <c r="W36" s="100" t="str">
        <f>VLOOKUP($B36,After1stCHK!$B$3:$AO$87840,MATCH(W$4,After1stCHK!$B$3:$AO$3,0),FALSE)</f>
        <v>MC.PA</v>
      </c>
      <c r="X36" s="82">
        <f>VLOOKUP($B36,After1stCHK!$B$3:$AO$87840,MATCH(X$4,After1stCHK!$B$3:$AO$3,0),FALSE)</f>
        <v>673.7</v>
      </c>
      <c r="Y36" s="82">
        <f>VLOOKUP($B36,After1stCHK!$B$3:$AO$87840,MATCH(Y$4,After1stCHK!$B$3:$AO$3,0),FALSE)</f>
        <v>687.9</v>
      </c>
      <c r="Z36" s="82">
        <f>VLOOKUP($B36,After1stCHK!$B$3:$AO$87840,MATCH(Z$4,After1stCHK!$B$3:$AO$3,0),FALSE)</f>
        <v>671.7</v>
      </c>
      <c r="AA36" s="82">
        <f>VLOOKUP($B36,After1stCHK!$B$3:$AO$87840,MATCH(AA$4,After1stCHK!$B$3:$AO$3,0),FALSE)</f>
        <v>667</v>
      </c>
      <c r="AB36" s="82">
        <f>VLOOKUP($B36,After1stCHK!$B$3:$AO$87840,MATCH(AB$4,After1stCHK!$B$3:$AO$3,0),FALSE)</f>
        <v>439855</v>
      </c>
      <c r="AC36" s="103" t="str">
        <f>VLOOKUP($B36,After1stCHK!$B$3:$AO$87840,MATCH(AC$4,After1stCHK!$B$3:$AO$3,0),FALSE)</f>
        <v>(blank)</v>
      </c>
      <c r="AD36" s="103" t="str">
        <f>VLOOKUP($B36,After1stCHK!$B$3:$AO$87840,MATCH(AD$4,After1stCHK!$B$3:$AO$3,0),FALSE)</f>
        <v>(blank)</v>
      </c>
      <c r="AE36" s="103" t="str">
        <f>VLOOKUP($B36,After1stCHK!$B$3:$AO$87840,MATCH(AE$4,After1stCHK!$B$3:$AO$3,0),FALSE)</f>
        <v>(blank)</v>
      </c>
      <c r="AF36" s="103" t="str">
        <f>VLOOKUP($B36,After1stCHK!$B$3:$AO$87840,MATCH(AF$4,After1stCHK!$B$3:$AO$3,0),FALSE)</f>
        <v>(blank)</v>
      </c>
      <c r="AG36" s="103" t="str">
        <f>VLOOKUP($B36,After1stCHK!$B$3:$AO$87840,MATCH(AG$4,After1stCHK!$B$3:$AO$3,0),FALSE)</f>
        <v>(blank)</v>
      </c>
      <c r="AH36" s="103" t="str">
        <f>VLOOKUP($B36,After1stCHK!$B$3:$AO$87840,MATCH(AH$4,After1stCHK!$B$3:$AO$3,0),FALSE)</f>
        <v>(blank)</v>
      </c>
      <c r="AI36" s="103" t="str">
        <f>VLOOKUP($B36,After1stCHK!$B$3:$AO$87840,MATCH(AI$4,After1stCHK!$B$3:$AO$3,0),FALSE)</f>
        <v>(blank)</v>
      </c>
      <c r="AJ36" s="103" t="str">
        <f>VLOOKUP($B36,After1stCHK!$B$3:$AO$87840,MATCH(AJ$4,After1stCHK!$B$3:$AO$3,0),FALSE)</f>
        <v>(blank)</v>
      </c>
      <c r="AK36" s="103" t="str">
        <f>VLOOKUP($B36,After1stCHK!$B$3:$AO$87840,MATCH(AK$4,After1stCHK!$B$3:$AO$3,0),FALSE)</f>
        <v>(blank)</v>
      </c>
      <c r="AL36" s="56" t="str">
        <f>VLOOKUP($B36,After1stCHK!$B$3:$AO$87840,MATCH(AL$4,After1stCHK!$B$3:$AO$3,0),FALSE)</f>
        <v>(blank)</v>
      </c>
      <c r="AM36" s="56" t="str">
        <f>VLOOKUP($B36,After1stCHK!$B$3:$AO$87840,MATCH(AM$4,After1stCHK!$B$3:$AO$3,0),FALSE)</f>
        <v>(blank)</v>
      </c>
      <c r="AN36" s="56" t="str">
        <f>VLOOKUP($B36,After1stCHK!$B$3:$AO$87840,MATCH(AN$4,After1stCHK!$B$3:$AO$3,0),FALSE)</f>
        <v>(blank)</v>
      </c>
      <c r="AO36" s="56" t="str">
        <f>VLOOKUP($B36,After1stCHK!$B$3:$AO$87840,MATCH(AO$4,After1stCHK!$B$3:$AO$3,0),FALSE)</f>
        <v>(blank)</v>
      </c>
      <c r="AP36" s="56" t="str">
        <f>VLOOKUP($B36,After1stCHK!$B$3:$AO$87840,MATCH(AP$4,After1stCHK!$B$3:$AO$3,0),FALSE)</f>
        <v>(blank)</v>
      </c>
      <c r="AQ36" s="56" t="str">
        <f>VLOOKUP($B36,After1stCHK!$B$3:$AO$87840,MATCH(AQ$4,After1stCHK!$B$3:$AO$3,0),FALSE)</f>
        <v>(blank)</v>
      </c>
      <c r="AR36" s="56" t="str">
        <f>VLOOKUP($B36,After1stCHK!$B$3:$AO$87840,MATCH(AR$4,After1stCHK!$B$3:$AO$3,0),FALSE)</f>
        <v>(blank)</v>
      </c>
      <c r="AS36" s="56" t="str">
        <f>VLOOKUP($B36,After1stCHK!$B$3:$AO$87840,MATCH(AS$4,After1stCHK!$B$3:$AO$3,0),FALSE)</f>
        <v>(blank)</v>
      </c>
      <c r="AT36" s="56" t="str">
        <f>VLOOKUP($B36,After1stCHK!$B$3:$AO$87840,MATCH(AT$4,After1stCHK!$B$3:$AO$3,0),FALSE)</f>
        <v>(blank)</v>
      </c>
      <c r="AU36" s="104" t="str">
        <f>VLOOKUP($B36,After1stCHK!$B$3:$AO$87840,MATCH(AU$4,After1stCHK!$B$3:$AO$3,0),FALSE)</f>
        <v>(blank)</v>
      </c>
      <c r="AV36" s="225" t="str">
        <f t="shared" si="1"/>
        <v/>
      </c>
      <c r="AX36" s="90"/>
      <c r="AY36" s="91"/>
      <c r="AZ36" s="24"/>
      <c r="BA36" s="92"/>
      <c r="BB36" s="192"/>
      <c r="BC36" s="94"/>
      <c r="BD36" s="193">
        <f t="shared" ca="1" si="2"/>
        <v>0</v>
      </c>
      <c r="BE36" s="193" t="str">
        <f t="shared" si="3"/>
        <v/>
      </c>
      <c r="BF36" s="193">
        <f t="shared" ca="1" si="4"/>
        <v>0</v>
      </c>
      <c r="BG36" s="194" t="e">
        <f t="shared" ca="1" si="5"/>
        <v>#VALUE!</v>
      </c>
      <c r="BH36" s="195">
        <f t="shared" si="6"/>
        <v>1</v>
      </c>
      <c r="BI36" s="195">
        <f t="shared" si="7"/>
        <v>1</v>
      </c>
      <c r="BJ36" s="3">
        <f t="shared" si="8"/>
        <v>3</v>
      </c>
      <c r="BK36" s="3" t="str">
        <f t="shared" si="9"/>
        <v>EUR</v>
      </c>
      <c r="BL36" s="196">
        <f ca="1">IF(V36="HKD",1,OFFSET(FX!$A$5,MATCH(E36,FX!A:A,0)-ROW(FX!$A$5),MATCH(V36,FX!$A$5:$AM$5,0)-1,1,1))</f>
        <v>8.8111949999999997</v>
      </c>
      <c r="BM36" s="227" t="str">
        <f t="shared" si="10"/>
        <v>MC.PA</v>
      </c>
      <c r="BN36" s="198">
        <f t="shared" si="11"/>
        <v>740</v>
      </c>
      <c r="BO36" s="199"/>
      <c r="BP36" s="200">
        <f t="shared" si="12"/>
        <v>740</v>
      </c>
      <c r="BQ36" s="201">
        <f t="shared" si="13"/>
        <v>3</v>
      </c>
      <c r="BR36" s="202">
        <f t="shared" si="14"/>
        <v>2220</v>
      </c>
      <c r="BS36" s="203">
        <f t="shared" ca="1" si="15"/>
        <v>19560.852899999998</v>
      </c>
      <c r="BT36" s="204"/>
      <c r="BU36" s="199">
        <f t="shared" si="16"/>
        <v>0</v>
      </c>
      <c r="BV36" s="201">
        <f t="shared" si="17"/>
        <v>0</v>
      </c>
      <c r="BW36" s="202">
        <f t="shared" si="18"/>
        <v>0</v>
      </c>
      <c r="BX36" s="203">
        <f t="shared" ca="1" si="19"/>
        <v>0</v>
      </c>
      <c r="BY36" s="204"/>
      <c r="BZ36" s="198">
        <f t="shared" si="20"/>
        <v>0</v>
      </c>
      <c r="CA36" s="199"/>
      <c r="CB36" s="200">
        <f t="shared" si="21"/>
        <v>0</v>
      </c>
      <c r="CC36" s="201">
        <f t="shared" si="22"/>
        <v>0</v>
      </c>
      <c r="CD36" s="202">
        <f t="shared" si="23"/>
        <v>0</v>
      </c>
      <c r="CE36" s="203">
        <f t="shared" ca="1" si="24"/>
        <v>0</v>
      </c>
      <c r="CF36" s="204"/>
      <c r="CG36" s="205">
        <f t="shared" si="25"/>
        <v>0</v>
      </c>
      <c r="CH36" s="206">
        <f t="shared" si="26"/>
        <v>0</v>
      </c>
      <c r="CI36" s="207">
        <f t="shared" si="27"/>
        <v>0</v>
      </c>
      <c r="CJ36" s="203">
        <f t="shared" ca="1" si="28"/>
        <v>0</v>
      </c>
      <c r="CK36" s="204"/>
      <c r="CL36" s="208">
        <f t="shared" ca="1" si="29"/>
        <v>-19560.852899999998</v>
      </c>
      <c r="CM36" s="209" t="str">
        <f t="shared" si="30"/>
        <v/>
      </c>
      <c r="CN36" s="228" t="str">
        <f t="shared" si="31"/>
        <v>MC.PA</v>
      </c>
      <c r="CO36" s="153">
        <f t="shared" si="32"/>
        <v>44567</v>
      </c>
      <c r="CP36" s="211">
        <f t="shared" ref="CP36:CQ36" si="140">AZ36</f>
        <v>0</v>
      </c>
      <c r="CQ36" s="212">
        <f t="shared" si="140"/>
        <v>0</v>
      </c>
      <c r="CR36" s="213">
        <f t="shared" ca="1" si="34"/>
        <v>0</v>
      </c>
      <c r="CS36" s="213">
        <f t="shared" ca="1" si="35"/>
        <v>0</v>
      </c>
      <c r="CT36" s="214">
        <f>SUMIFS('1HistTrade'!DF:DF,'1HistTrade'!$D:$D,$D36,'1HistTrade'!$BM:$BM,$BM36,'1HistTrade'!$B:$B,"&lt;"&amp;$B36)</f>
        <v>21</v>
      </c>
      <c r="CU36" s="215">
        <f>SUMIFS('1HistTrade'!DG:DG,'1HistTrade'!$D:$D,$D36,'1HistTrade'!$BM:$BM,$BM36,'1HistTrade'!$B:$B,"&lt;"&amp;$B36)</f>
        <v>0</v>
      </c>
      <c r="CV36" s="215">
        <f>SUMIFS('1HistTrade'!DH:DH,'1HistTrade'!$D:$D,$D36,'1HistTrade'!$BM:$BM,$BM36,'1HistTrade'!$B:$B,"&lt;"&amp;$B36)</f>
        <v>0</v>
      </c>
      <c r="CW36" s="215">
        <f>SUMIFS('1HistTrade'!DI:DI,'1HistTrade'!$D:$D,$D36,'1HistTrade'!$BM:$BM,$BM36,'1HistTrade'!$B:$B,"&lt;"&amp;$B36)</f>
        <v>0</v>
      </c>
      <c r="CX36" s="216">
        <f t="shared" si="36"/>
        <v>24</v>
      </c>
      <c r="CY36" s="216">
        <f t="shared" si="37"/>
        <v>0</v>
      </c>
      <c r="CZ36" s="216">
        <f t="shared" si="38"/>
        <v>0</v>
      </c>
      <c r="DA36" s="216">
        <f t="shared" ca="1" si="39"/>
        <v>0</v>
      </c>
      <c r="DB36" s="21" t="str">
        <f t="shared" si="40"/>
        <v>B</v>
      </c>
      <c r="DC36" s="21" t="str">
        <f t="shared" si="41"/>
        <v/>
      </c>
      <c r="DD36" s="21" t="str">
        <f t="shared" si="42"/>
        <v/>
      </c>
      <c r="DE36" s="21" t="str">
        <f t="shared" ca="1" si="43"/>
        <v/>
      </c>
      <c r="DF36" s="215">
        <f t="shared" si="44"/>
        <v>3</v>
      </c>
      <c r="DG36" s="215">
        <f t="shared" si="45"/>
        <v>0</v>
      </c>
      <c r="DH36" s="215">
        <f t="shared" si="46"/>
        <v>0</v>
      </c>
      <c r="DI36" s="215">
        <f t="shared" ca="1" si="47"/>
        <v>0</v>
      </c>
      <c r="DJ36" s="215" t="str">
        <f t="shared" si="48"/>
        <v>B</v>
      </c>
      <c r="DK36" s="116"/>
      <c r="DL36" s="116">
        <f t="shared" ca="1" si="49"/>
        <v>6520.2842999999993</v>
      </c>
      <c r="DM36" s="116">
        <f t="shared" ca="1" si="50"/>
        <v>19560.852899999998</v>
      </c>
      <c r="DN36" s="116">
        <f t="shared" ca="1" si="51"/>
        <v>-19560.852899999998</v>
      </c>
      <c r="DO36" s="217">
        <f t="shared" ca="1" si="52"/>
        <v>19560.852899999998</v>
      </c>
      <c r="DP36" s="217">
        <f t="shared" ca="1" si="53"/>
        <v>0</v>
      </c>
      <c r="DQ36" s="116">
        <f>IF($DT$1="Delete",0,IF(OR(DG36="",DG36=0),0,SUMIFS('1HistTrade'!$ED:$ED,'1HistTrade'!$D:$D,D36,'1HistTrade'!$H:$H,H36,'1HistTrade'!$B:$B,"&lt;"&amp;B36)))</f>
        <v>0</v>
      </c>
      <c r="DR36" s="116">
        <f t="shared" ca="1" si="54"/>
        <v>0</v>
      </c>
      <c r="DS36" s="116">
        <f t="shared" ca="1" si="55"/>
        <v>0</v>
      </c>
      <c r="DT36" s="116">
        <f>IF($DT$1="Delete",0,IF(OR(DI36="",DI36=0),0,SUMIFS('1HistTrade'!$ED:$ED,'1HistTrade'!$D:$D,D36,'1HistTrade'!$H:$H,H36,'1HistTrade'!$B:$B,"&lt;"&amp;B36)))</f>
        <v>0</v>
      </c>
      <c r="DU36" s="116">
        <f t="shared" ca="1" si="56"/>
        <v>0</v>
      </c>
      <c r="DV36" s="116">
        <f t="shared" ca="1" si="57"/>
        <v>0</v>
      </c>
      <c r="DW36" s="218">
        <f t="shared" si="58"/>
        <v>0</v>
      </c>
      <c r="DX36" s="219"/>
      <c r="DY36" s="219">
        <f t="shared" si="59"/>
        <v>0</v>
      </c>
      <c r="DZ36" s="220">
        <f t="shared" ca="1" si="60"/>
        <v>0</v>
      </c>
      <c r="EA36" s="220">
        <f t="shared" si="61"/>
        <v>0</v>
      </c>
      <c r="EB36" s="221">
        <f t="shared" ca="1" si="62"/>
        <v>0</v>
      </c>
      <c r="EC36" s="116">
        <f t="shared" ca="1" si="63"/>
        <v>-19560.852899999998</v>
      </c>
      <c r="ED36" s="116">
        <f t="shared" ca="1" si="64"/>
        <v>-19560.852899999998</v>
      </c>
      <c r="EE36" s="222" t="str">
        <f t="shared" si="65"/>
        <v/>
      </c>
      <c r="EF36" s="116">
        <f t="shared" si="66"/>
        <v>-3</v>
      </c>
      <c r="EG36" s="223">
        <f ca="1">IF(ISERROR(VLOOKUP(_xludf.maxifs(DbyD!C:C,DbyD!B:B,C36,DbyD!F:F,"&lt;=" &amp; E36,DbyD!C:C,"&lt;"&amp;B36),DbyD!C:BE,MATCH(DbyD!$BB$9,DbyD!$9:$9,0)-2,FALSE)),0,VLOOKUP(_xludf.maxifs(DbyD!C:C,DbyD!B:B,C36,DbyD!F:F,"&lt;=" &amp; E36,DbyD!C:C,"&lt;"&amp;B36),DbyD!C:BE,MATCH(DbyD!$BB$9,DbyD!$9:$9,0)-2,FALSE))</f>
        <v>0</v>
      </c>
      <c r="EH36" s="116">
        <f>SUMIFS('1HistTrade'!$EM:$EM,'1HistTrade'!$D:$D,D36,'1HistTrade'!$B:$B,"&lt;"&amp;B36,'1HistTrade'!$DJ:$DJ,"&lt;&gt;"&amp;"CD/CW")*-1</f>
        <v>155791.56874999998</v>
      </c>
      <c r="EI36" s="116">
        <f t="shared" ca="1" si="67"/>
        <v>155791.56874999998</v>
      </c>
      <c r="EJ36" s="116">
        <f>SUMIFS('1HistTrade'!$EN:$EN,'1HistTrade'!$D:$D,D36,'1HistTrade'!$B:$B,"&lt;"&amp;B36)</f>
        <v>268757.09475000005</v>
      </c>
      <c r="EK36" s="224">
        <f>SUMIFS('1HistTrade'!$EU:$EU,'1HistTrade'!$D:$D,D36,'1HistTrade'!$B:$B,"&lt;"&amp;B36)</f>
        <v>0</v>
      </c>
      <c r="EL36" s="116"/>
      <c r="EM36" s="116">
        <f t="shared" ref="EM36:EN36" ca="1" si="141">EC36</f>
        <v>-19560.852899999998</v>
      </c>
      <c r="EN36" s="116">
        <f t="shared" ca="1" si="141"/>
        <v>-19560.852899999998</v>
      </c>
      <c r="EO36" s="224"/>
      <c r="EP36" s="116"/>
      <c r="EQ36" s="116">
        <f t="shared" ca="1" si="69"/>
        <v>-19560.852899999998</v>
      </c>
      <c r="ER36" s="116">
        <f t="shared" ca="1" si="70"/>
        <v>175352.42164999997</v>
      </c>
      <c r="ES36" s="116">
        <f t="shared" ca="1" si="71"/>
        <v>155791.56874999998</v>
      </c>
      <c r="ET36" s="116">
        <f t="shared" ca="1" si="72"/>
        <v>249196.24185000005</v>
      </c>
      <c r="EU36" s="224">
        <f t="shared" ca="1" si="73"/>
        <v>0</v>
      </c>
      <c r="EV36" s="213">
        <f t="shared" ca="1" si="74"/>
        <v>0</v>
      </c>
      <c r="EX36" s="116">
        <f t="shared" ca="1" si="75"/>
        <v>-19560.852899999998</v>
      </c>
      <c r="EY36" s="116">
        <f t="shared" ca="1" si="76"/>
        <v>175352.42164999997</v>
      </c>
      <c r="EZ36" s="116">
        <f t="shared" ca="1" si="77"/>
        <v>155791.56874999998</v>
      </c>
      <c r="FA36" s="116">
        <f t="shared" ca="1" si="78"/>
        <v>249196.24185000005</v>
      </c>
      <c r="FB36" s="116">
        <f t="shared" ca="1" si="79"/>
        <v>0</v>
      </c>
      <c r="FC36" s="189"/>
      <c r="FE36" s="31"/>
      <c r="FG36" s="31"/>
    </row>
    <row r="37" spans="1:163" ht="13">
      <c r="A37" s="10">
        <f>IF(E37&lt;=HistSecRecord!$E$1,1,0)</f>
        <v>0</v>
      </c>
      <c r="B37" s="190">
        <f>After1stCHK!B36</f>
        <v>44567000042</v>
      </c>
      <c r="C37" s="3" t="str">
        <f>After1stCHK!C36</f>
        <v>D0005</v>
      </c>
      <c r="D37" s="29" t="str">
        <f>After1stCHK!D36</f>
        <v>sABCD0005@hkmu.edu.hk</v>
      </c>
      <c r="E37" s="4">
        <f>After1stCHK!E36</f>
        <v>44567</v>
      </c>
      <c r="F37" s="105"/>
      <c r="G37" s="79" t="str">
        <f>After1stCHK!F36</f>
        <v>BUY (LONG)</v>
      </c>
      <c r="H37" s="226" t="str">
        <f>After1stCHK!G36</f>
        <v>0700.HK</v>
      </c>
      <c r="I37" s="81" t="str">
        <f>After1stCHK!H36</f>
        <v>Stock</v>
      </c>
      <c r="J37" s="109">
        <f>After1stCHK!I36</f>
        <v>40</v>
      </c>
      <c r="K37" s="103">
        <f>After1stCHK!J36</f>
        <v>0</v>
      </c>
      <c r="L37" s="56">
        <f>After1stCHK!K36</f>
        <v>0</v>
      </c>
      <c r="M37" s="104">
        <f>After1stCHK!L36</f>
        <v>0</v>
      </c>
      <c r="N37" s="82">
        <f>After1stCHK!M36</f>
        <v>430</v>
      </c>
      <c r="O37" s="82"/>
      <c r="P37" s="86"/>
      <c r="T37" s="87">
        <f t="shared" si="0"/>
        <v>44567</v>
      </c>
      <c r="U37" s="102"/>
      <c r="V37" s="81" t="str">
        <f>VLOOKUP($B37,After1stCHK!$B$3:$AO$87840,MATCH(V$4,After1stCHK!$B$3:$AO$3,0),FALSE)</f>
        <v>HKD</v>
      </c>
      <c r="W37" s="100" t="str">
        <f>VLOOKUP($B37,After1stCHK!$B$3:$AO$87840,MATCH(W$4,After1stCHK!$B$3:$AO$3,0),FALSE)</f>
        <v>0700.HK</v>
      </c>
      <c r="X37" s="82">
        <f>VLOOKUP($B37,After1stCHK!$B$3:$AO$87840,MATCH(X$4,After1stCHK!$B$3:$AO$3,0),FALSE)</f>
        <v>465</v>
      </c>
      <c r="Y37" s="82">
        <f>VLOOKUP($B37,After1stCHK!$B$3:$AO$87840,MATCH(Y$4,After1stCHK!$B$3:$AO$3,0),FALSE)</f>
        <v>467</v>
      </c>
      <c r="Z37" s="82">
        <f>VLOOKUP($B37,After1stCHK!$B$3:$AO$87840,MATCH(Z$4,After1stCHK!$B$3:$AO$3,0),FALSE)</f>
        <v>457.8</v>
      </c>
      <c r="AA37" s="82">
        <f>VLOOKUP($B37,After1stCHK!$B$3:$AO$87840,MATCH(AA$4,After1stCHK!$B$3:$AO$3,0),FALSE)</f>
        <v>473.6</v>
      </c>
      <c r="AB37" s="82">
        <f>VLOOKUP($B37,After1stCHK!$B$3:$AO$87840,MATCH(AB$4,After1stCHK!$B$3:$AO$3,0),FALSE)</f>
        <v>16061367</v>
      </c>
      <c r="AC37" s="103" t="str">
        <f>VLOOKUP($B37,After1stCHK!$B$3:$AO$87840,MATCH(AC$4,After1stCHK!$B$3:$AO$3,0),FALSE)</f>
        <v>(blank)</v>
      </c>
      <c r="AD37" s="103" t="str">
        <f>VLOOKUP($B37,After1stCHK!$B$3:$AO$87840,MATCH(AD$4,After1stCHK!$B$3:$AO$3,0),FALSE)</f>
        <v>(blank)</v>
      </c>
      <c r="AE37" s="103" t="str">
        <f>VLOOKUP($B37,After1stCHK!$B$3:$AO$87840,MATCH(AE$4,After1stCHK!$B$3:$AO$3,0),FALSE)</f>
        <v>(blank)</v>
      </c>
      <c r="AF37" s="103" t="str">
        <f>VLOOKUP($B37,After1stCHK!$B$3:$AO$87840,MATCH(AF$4,After1stCHK!$B$3:$AO$3,0),FALSE)</f>
        <v>(blank)</v>
      </c>
      <c r="AG37" s="103" t="str">
        <f>VLOOKUP($B37,After1stCHK!$B$3:$AO$87840,MATCH(AG$4,After1stCHK!$B$3:$AO$3,0),FALSE)</f>
        <v>(blank)</v>
      </c>
      <c r="AH37" s="103" t="str">
        <f>VLOOKUP($B37,After1stCHK!$B$3:$AO$87840,MATCH(AH$4,After1stCHK!$B$3:$AO$3,0),FALSE)</f>
        <v>(blank)</v>
      </c>
      <c r="AI37" s="103" t="str">
        <f>VLOOKUP($B37,After1stCHK!$B$3:$AO$87840,MATCH(AI$4,After1stCHK!$B$3:$AO$3,0),FALSE)</f>
        <v>(blank)</v>
      </c>
      <c r="AJ37" s="103" t="str">
        <f>VLOOKUP($B37,After1stCHK!$B$3:$AO$87840,MATCH(AJ$4,After1stCHK!$B$3:$AO$3,0),FALSE)</f>
        <v>(blank)</v>
      </c>
      <c r="AK37" s="103" t="str">
        <f>VLOOKUP($B37,After1stCHK!$B$3:$AO$87840,MATCH(AK$4,After1stCHK!$B$3:$AO$3,0),FALSE)</f>
        <v>(blank)</v>
      </c>
      <c r="AL37" s="56" t="str">
        <f>VLOOKUP($B37,After1stCHK!$B$3:$AO$87840,MATCH(AL$4,After1stCHK!$B$3:$AO$3,0),FALSE)</f>
        <v>(blank)</v>
      </c>
      <c r="AM37" s="56" t="str">
        <f>VLOOKUP($B37,After1stCHK!$B$3:$AO$87840,MATCH(AM$4,After1stCHK!$B$3:$AO$3,0),FALSE)</f>
        <v>(blank)</v>
      </c>
      <c r="AN37" s="56" t="str">
        <f>VLOOKUP($B37,After1stCHK!$B$3:$AO$87840,MATCH(AN$4,After1stCHK!$B$3:$AO$3,0),FALSE)</f>
        <v>(blank)</v>
      </c>
      <c r="AO37" s="56" t="str">
        <f>VLOOKUP($B37,After1stCHK!$B$3:$AO$87840,MATCH(AO$4,After1stCHK!$B$3:$AO$3,0),FALSE)</f>
        <v>(blank)</v>
      </c>
      <c r="AP37" s="56" t="str">
        <f>VLOOKUP($B37,After1stCHK!$B$3:$AO$87840,MATCH(AP$4,After1stCHK!$B$3:$AO$3,0),FALSE)</f>
        <v>(blank)</v>
      </c>
      <c r="AQ37" s="56" t="str">
        <f>VLOOKUP($B37,After1stCHK!$B$3:$AO$87840,MATCH(AQ$4,After1stCHK!$B$3:$AO$3,0),FALSE)</f>
        <v>(blank)</v>
      </c>
      <c r="AR37" s="56" t="str">
        <f>VLOOKUP($B37,After1stCHK!$B$3:$AO$87840,MATCH(AR$4,After1stCHK!$B$3:$AO$3,0),FALSE)</f>
        <v>(blank)</v>
      </c>
      <c r="AS37" s="56" t="str">
        <f>VLOOKUP($B37,After1stCHK!$B$3:$AO$87840,MATCH(AS$4,After1stCHK!$B$3:$AO$3,0),FALSE)</f>
        <v>(blank)</v>
      </c>
      <c r="AT37" s="56" t="str">
        <f>VLOOKUP($B37,After1stCHK!$B$3:$AO$87840,MATCH(AT$4,After1stCHK!$B$3:$AO$3,0),FALSE)</f>
        <v>(blank)</v>
      </c>
      <c r="AU37" s="104" t="str">
        <f>VLOOKUP($B37,After1stCHK!$B$3:$AO$87840,MATCH(AU$4,After1stCHK!$B$3:$AO$3,0),FALSE)</f>
        <v>(blank)</v>
      </c>
      <c r="AV37" s="225" t="str">
        <f t="shared" si="1"/>
        <v/>
      </c>
      <c r="AX37" s="90"/>
      <c r="AY37" s="91"/>
      <c r="AZ37" s="24"/>
      <c r="BA37" s="92"/>
      <c r="BB37" s="192"/>
      <c r="BC37" s="94"/>
      <c r="BD37" s="193">
        <f t="shared" si="2"/>
        <v>0</v>
      </c>
      <c r="BE37" s="193" t="str">
        <f t="shared" si="3"/>
        <v/>
      </c>
      <c r="BF37" s="193">
        <f t="shared" ca="1" si="4"/>
        <v>0</v>
      </c>
      <c r="BG37" s="194" t="e">
        <f t="shared" ca="1" si="5"/>
        <v>#VALUE!</v>
      </c>
      <c r="BH37" s="195">
        <f t="shared" si="6"/>
        <v>1</v>
      </c>
      <c r="BI37" s="195">
        <f t="shared" si="7"/>
        <v>1</v>
      </c>
      <c r="BJ37" s="3">
        <f t="shared" si="8"/>
        <v>40</v>
      </c>
      <c r="BK37" s="3" t="str">
        <f t="shared" si="9"/>
        <v>HKD</v>
      </c>
      <c r="BL37" s="196">
        <f ca="1">IF(V37="HKD",1,OFFSET(FX!$A$5,MATCH(E37,FX!A:A,0)-ROW(FX!$A$5),MATCH(V37,FX!$A$5:$AM$5,0)-1,1,1))</f>
        <v>1</v>
      </c>
      <c r="BM37" s="227" t="str">
        <f t="shared" si="10"/>
        <v>0700.HK</v>
      </c>
      <c r="BN37" s="198">
        <f t="shared" si="11"/>
        <v>430</v>
      </c>
      <c r="BO37" s="199"/>
      <c r="BP37" s="200">
        <f t="shared" si="12"/>
        <v>430</v>
      </c>
      <c r="BQ37" s="201">
        <f t="shared" si="13"/>
        <v>40</v>
      </c>
      <c r="BR37" s="202">
        <f t="shared" si="14"/>
        <v>17200</v>
      </c>
      <c r="BS37" s="203">
        <f t="shared" ca="1" si="15"/>
        <v>17200</v>
      </c>
      <c r="BT37" s="204"/>
      <c r="BU37" s="199">
        <f t="shared" si="16"/>
        <v>0</v>
      </c>
      <c r="BV37" s="201">
        <f t="shared" si="17"/>
        <v>0</v>
      </c>
      <c r="BW37" s="202">
        <f t="shared" si="18"/>
        <v>0</v>
      </c>
      <c r="BX37" s="203">
        <f t="shared" ca="1" si="19"/>
        <v>0</v>
      </c>
      <c r="BY37" s="204"/>
      <c r="BZ37" s="198">
        <f t="shared" si="20"/>
        <v>0</v>
      </c>
      <c r="CA37" s="199"/>
      <c r="CB37" s="200">
        <f t="shared" si="21"/>
        <v>0</v>
      </c>
      <c r="CC37" s="201">
        <f t="shared" si="22"/>
        <v>0</v>
      </c>
      <c r="CD37" s="202">
        <f t="shared" si="23"/>
        <v>0</v>
      </c>
      <c r="CE37" s="203">
        <f t="shared" ca="1" si="24"/>
        <v>0</v>
      </c>
      <c r="CF37" s="204"/>
      <c r="CG37" s="205">
        <f t="shared" si="25"/>
        <v>0</v>
      </c>
      <c r="CH37" s="206">
        <f t="shared" si="26"/>
        <v>0</v>
      </c>
      <c r="CI37" s="207">
        <f t="shared" si="27"/>
        <v>0</v>
      </c>
      <c r="CJ37" s="203">
        <f t="shared" ca="1" si="28"/>
        <v>0</v>
      </c>
      <c r="CK37" s="204"/>
      <c r="CL37" s="208">
        <f t="shared" ca="1" si="29"/>
        <v>-17200</v>
      </c>
      <c r="CM37" s="209" t="str">
        <f t="shared" si="30"/>
        <v/>
      </c>
      <c r="CN37" s="228" t="str">
        <f t="shared" si="31"/>
        <v>0700.HK</v>
      </c>
      <c r="CO37" s="153">
        <f t="shared" si="32"/>
        <v>44567</v>
      </c>
      <c r="CP37" s="211">
        <f t="shared" ref="CP37:CQ37" si="142">AZ37</f>
        <v>0</v>
      </c>
      <c r="CQ37" s="212">
        <f t="shared" si="142"/>
        <v>0</v>
      </c>
      <c r="CR37" s="213">
        <f t="shared" si="34"/>
        <v>0</v>
      </c>
      <c r="CS37" s="213">
        <f t="shared" si="35"/>
        <v>0</v>
      </c>
      <c r="CT37" s="214">
        <f>SUMIFS('1HistTrade'!DF:DF,'1HistTrade'!$D:$D,$D37,'1HistTrade'!$BM:$BM,$BM37,'1HistTrade'!$B:$B,"&lt;"&amp;$B37)</f>
        <v>0</v>
      </c>
      <c r="CU37" s="215">
        <f>SUMIFS('1HistTrade'!DG:DG,'1HistTrade'!$D:$D,$D37,'1HistTrade'!$BM:$BM,$BM37,'1HistTrade'!$B:$B,"&lt;"&amp;$B37)</f>
        <v>0</v>
      </c>
      <c r="CV37" s="215">
        <f>SUMIFS('1HistTrade'!DH:DH,'1HistTrade'!$D:$D,$D37,'1HistTrade'!$BM:$BM,$BM37,'1HistTrade'!$B:$B,"&lt;"&amp;$B37)</f>
        <v>0</v>
      </c>
      <c r="CW37" s="215">
        <f>SUMIFS('1HistTrade'!DI:DI,'1HistTrade'!$D:$D,$D37,'1HistTrade'!$BM:$BM,$BM37,'1HistTrade'!$B:$B,"&lt;"&amp;$B37)</f>
        <v>0</v>
      </c>
      <c r="CX37" s="216">
        <f t="shared" si="36"/>
        <v>40</v>
      </c>
      <c r="CY37" s="216">
        <f t="shared" si="37"/>
        <v>0</v>
      </c>
      <c r="CZ37" s="216">
        <f t="shared" si="38"/>
        <v>0</v>
      </c>
      <c r="DA37" s="216">
        <f t="shared" ca="1" si="39"/>
        <v>0</v>
      </c>
      <c r="DB37" s="21" t="str">
        <f t="shared" si="40"/>
        <v>B</v>
      </c>
      <c r="DC37" s="21" t="str">
        <f t="shared" si="41"/>
        <v/>
      </c>
      <c r="DD37" s="21" t="str">
        <f t="shared" si="42"/>
        <v/>
      </c>
      <c r="DE37" s="21" t="str">
        <f t="shared" ca="1" si="43"/>
        <v/>
      </c>
      <c r="DF37" s="215">
        <f t="shared" si="44"/>
        <v>40</v>
      </c>
      <c r="DG37" s="215">
        <f t="shared" si="45"/>
        <v>0</v>
      </c>
      <c r="DH37" s="215">
        <f t="shared" si="46"/>
        <v>0</v>
      </c>
      <c r="DI37" s="215">
        <f t="shared" ca="1" si="47"/>
        <v>0</v>
      </c>
      <c r="DJ37" s="215" t="str">
        <f t="shared" si="48"/>
        <v>B</v>
      </c>
      <c r="DK37" s="116"/>
      <c r="DL37" s="116">
        <f t="shared" ca="1" si="49"/>
        <v>430</v>
      </c>
      <c r="DM37" s="116">
        <f t="shared" ca="1" si="50"/>
        <v>17200</v>
      </c>
      <c r="DN37" s="116">
        <f t="shared" ca="1" si="51"/>
        <v>-17200</v>
      </c>
      <c r="DO37" s="217">
        <f t="shared" ca="1" si="52"/>
        <v>17200</v>
      </c>
      <c r="DP37" s="217">
        <f t="shared" ca="1" si="53"/>
        <v>0</v>
      </c>
      <c r="DQ37" s="116">
        <f>IF($DT$1="Delete",0,IF(OR(DG37="",DG37=0),0,SUMIFS('1HistTrade'!$ED:$ED,'1HistTrade'!$D:$D,D37,'1HistTrade'!$H:$H,H37,'1HistTrade'!$B:$B,"&lt;"&amp;B37)))</f>
        <v>0</v>
      </c>
      <c r="DR37" s="116">
        <f t="shared" ca="1" si="54"/>
        <v>0</v>
      </c>
      <c r="DS37" s="116">
        <f t="shared" ca="1" si="55"/>
        <v>0</v>
      </c>
      <c r="DT37" s="116">
        <f>IF($DT$1="Delete",0,IF(OR(DI37="",DI37=0),0,SUMIFS('1HistTrade'!$ED:$ED,'1HistTrade'!$D:$D,D37,'1HistTrade'!$H:$H,H37,'1HistTrade'!$B:$B,"&lt;"&amp;B37)))</f>
        <v>0</v>
      </c>
      <c r="DU37" s="116">
        <f t="shared" ca="1" si="56"/>
        <v>0</v>
      </c>
      <c r="DV37" s="116">
        <f t="shared" ca="1" si="57"/>
        <v>0</v>
      </c>
      <c r="DW37" s="218">
        <f t="shared" si="58"/>
        <v>0</v>
      </c>
      <c r="DX37" s="219"/>
      <c r="DY37" s="219">
        <f t="shared" si="59"/>
        <v>0</v>
      </c>
      <c r="DZ37" s="220">
        <f t="shared" ca="1" si="60"/>
        <v>0</v>
      </c>
      <c r="EA37" s="220">
        <f t="shared" si="61"/>
        <v>0</v>
      </c>
      <c r="EB37" s="221">
        <f t="shared" ca="1" si="62"/>
        <v>0</v>
      </c>
      <c r="EC37" s="116">
        <f t="shared" ca="1" si="63"/>
        <v>-17200</v>
      </c>
      <c r="ED37" s="116">
        <f t="shared" ca="1" si="64"/>
        <v>-17200</v>
      </c>
      <c r="EE37" s="222" t="str">
        <f t="shared" si="65"/>
        <v/>
      </c>
      <c r="EF37" s="116">
        <f t="shared" si="66"/>
        <v>-40</v>
      </c>
      <c r="EG37" s="223">
        <f ca="1">IF(ISERROR(VLOOKUP(_xludf.maxifs(DbyD!C:C,DbyD!B:B,C37,DbyD!F:F,"&lt;=" &amp; E37,DbyD!C:C,"&lt;"&amp;B37),DbyD!C:BE,MATCH(DbyD!$BB$9,DbyD!$9:$9,0)-2,FALSE)),0,VLOOKUP(_xludf.maxifs(DbyD!C:C,DbyD!B:B,C37,DbyD!F:F,"&lt;=" &amp; E37,DbyD!C:C,"&lt;"&amp;B37),DbyD!C:BE,MATCH(DbyD!$BB$9,DbyD!$9:$9,0)-2,FALSE))</f>
        <v>0</v>
      </c>
      <c r="EH37" s="116">
        <f>SUMIFS('1HistTrade'!$EM:$EM,'1HistTrade'!$D:$D,D37,'1HistTrade'!$B:$B,"&lt;"&amp;B37,'1HistTrade'!$DJ:$DJ,"&lt;&gt;"&amp;"CD/CW")*-1</f>
        <v>-7795.2400000000016</v>
      </c>
      <c r="EI37" s="116">
        <f t="shared" ca="1" si="67"/>
        <v>-7795.2400000000016</v>
      </c>
      <c r="EJ37" s="116">
        <f>SUMIFS('1HistTrade'!$EN:$EN,'1HistTrade'!$D:$D,D37,'1HistTrade'!$B:$B,"&lt;"&amp;B37)</f>
        <v>461023.8</v>
      </c>
      <c r="EK37" s="224">
        <f>SUMIFS('1HistTrade'!$EU:$EU,'1HistTrade'!$D:$D,D37,'1HistTrade'!$B:$B,"&lt;"&amp;B37)</f>
        <v>0</v>
      </c>
      <c r="EL37" s="116"/>
      <c r="EM37" s="116">
        <f t="shared" ref="EM37:EN37" ca="1" si="143">EC37</f>
        <v>-17200</v>
      </c>
      <c r="EN37" s="116">
        <f t="shared" ca="1" si="143"/>
        <v>-17200</v>
      </c>
      <c r="EO37" s="224"/>
      <c r="EP37" s="116"/>
      <c r="EQ37" s="116">
        <f t="shared" ca="1" si="69"/>
        <v>-17200</v>
      </c>
      <c r="ER37" s="116">
        <f t="shared" ca="1" si="70"/>
        <v>9404.7599999999984</v>
      </c>
      <c r="ES37" s="116">
        <f t="shared" ca="1" si="71"/>
        <v>-7795.2400000000016</v>
      </c>
      <c r="ET37" s="116">
        <f t="shared" ca="1" si="72"/>
        <v>443823.8</v>
      </c>
      <c r="EU37" s="224">
        <f t="shared" ca="1" si="73"/>
        <v>0</v>
      </c>
      <c r="EV37" s="213">
        <f t="shared" ca="1" si="74"/>
        <v>0</v>
      </c>
      <c r="EX37" s="116">
        <f t="shared" ca="1" si="75"/>
        <v>-17200</v>
      </c>
      <c r="EY37" s="116">
        <f t="shared" ca="1" si="76"/>
        <v>9404.7599999999984</v>
      </c>
      <c r="EZ37" s="116">
        <f t="shared" ca="1" si="77"/>
        <v>-7795.2400000000016</v>
      </c>
      <c r="FA37" s="116">
        <f t="shared" ca="1" si="78"/>
        <v>443823.8</v>
      </c>
      <c r="FB37" s="116">
        <f t="shared" ca="1" si="79"/>
        <v>0</v>
      </c>
      <c r="FC37" s="189"/>
      <c r="FE37" s="31"/>
      <c r="FG37" s="31"/>
    </row>
    <row r="38" spans="1:163" ht="13">
      <c r="A38" s="10">
        <f>IF(E38&lt;=HistSecRecord!$E$1,1,0)</f>
        <v>0</v>
      </c>
      <c r="B38" s="190">
        <f>After1stCHK!B37</f>
        <v>44568000021</v>
      </c>
      <c r="C38" s="3" t="str">
        <f>After1stCHK!C37</f>
        <v>D0001</v>
      </c>
      <c r="D38" s="29" t="str">
        <f>After1stCHK!D37</f>
        <v>sABCD0001@hkmu.edu.hk</v>
      </c>
      <c r="E38" s="4">
        <f>After1stCHK!E37</f>
        <v>44568</v>
      </c>
      <c r="F38" s="105"/>
      <c r="G38" s="79" t="str">
        <f>After1stCHK!F37</f>
        <v>SELL (SHORT)</v>
      </c>
      <c r="H38" s="226" t="str">
        <f>After1stCHK!G37</f>
        <v>MC.PA</v>
      </c>
      <c r="I38" s="81" t="str">
        <f>After1stCHK!H37</f>
        <v>Stock</v>
      </c>
      <c r="J38" s="109">
        <f>After1stCHK!I37</f>
        <v>13</v>
      </c>
      <c r="K38" s="103">
        <f>After1stCHK!J37</f>
        <v>0</v>
      </c>
      <c r="L38" s="56">
        <f>After1stCHK!K37</f>
        <v>0</v>
      </c>
      <c r="M38" s="104">
        <f>After1stCHK!L37</f>
        <v>0</v>
      </c>
      <c r="N38" s="82">
        <f>After1stCHK!M37</f>
        <v>720</v>
      </c>
      <c r="O38" s="82"/>
      <c r="P38" s="86"/>
      <c r="Q38" s="43" t="s">
        <v>165</v>
      </c>
      <c r="T38" s="87">
        <f t="shared" si="0"/>
        <v>44568</v>
      </c>
      <c r="U38" s="102"/>
      <c r="V38" s="81" t="str">
        <f>VLOOKUP($B38,After1stCHK!$B$3:$AO$87840,MATCH(V$4,After1stCHK!$B$3:$AO$3,0),FALSE)</f>
        <v>EUR</v>
      </c>
      <c r="W38" s="100" t="str">
        <f>VLOOKUP($B38,After1stCHK!$B$3:$AO$87840,MATCH(W$4,After1stCHK!$B$3:$AO$3,0),FALSE)</f>
        <v>MC.PA</v>
      </c>
      <c r="X38" s="82">
        <f>VLOOKUP($B38,After1stCHK!$B$3:$AO$87840,MATCH(X$4,After1stCHK!$B$3:$AO$3,0),FALSE)</f>
        <v>673.7</v>
      </c>
      <c r="Y38" s="82">
        <f>VLOOKUP($B38,After1stCHK!$B$3:$AO$87840,MATCH(Y$4,After1stCHK!$B$3:$AO$3,0),FALSE)</f>
        <v>687.9</v>
      </c>
      <c r="Z38" s="82">
        <f>VLOOKUP($B38,After1stCHK!$B$3:$AO$87840,MATCH(Z$4,After1stCHK!$B$3:$AO$3,0),FALSE)</f>
        <v>671.7</v>
      </c>
      <c r="AA38" s="82">
        <f>VLOOKUP($B38,After1stCHK!$B$3:$AO$87840,MATCH(AA$4,After1stCHK!$B$3:$AO$3,0),FALSE)</f>
        <v>667</v>
      </c>
      <c r="AB38" s="82">
        <f>VLOOKUP($B38,After1stCHK!$B$3:$AO$87840,MATCH(AB$4,After1stCHK!$B$3:$AO$3,0),FALSE)</f>
        <v>439855</v>
      </c>
      <c r="AC38" s="110" t="str">
        <f>VLOOKUP($B38,After1stCHK!$B$3:$AO$87840,MATCH(AC$4,After1stCHK!$B$3:$AO$3,0),FALSE)</f>
        <v>(blank)</v>
      </c>
      <c r="AD38" s="110" t="str">
        <f>VLOOKUP($B38,After1stCHK!$B$3:$AO$87840,MATCH(AD$4,After1stCHK!$B$3:$AO$3,0),FALSE)</f>
        <v>(blank)</v>
      </c>
      <c r="AE38" s="110" t="str">
        <f>VLOOKUP($B38,After1stCHK!$B$3:$AO$87840,MATCH(AE$4,After1stCHK!$B$3:$AO$3,0),FALSE)</f>
        <v>(blank)</v>
      </c>
      <c r="AF38" s="111" t="str">
        <f>VLOOKUP($B38,After1stCHK!$B$3:$AO$87840,MATCH(AF$4,After1stCHK!$B$3:$AO$3,0),FALSE)</f>
        <v>(blank)</v>
      </c>
      <c r="AG38" s="112" t="str">
        <f>VLOOKUP($B38,After1stCHK!$B$3:$AO$87840,MATCH(AG$4,After1stCHK!$B$3:$AO$3,0),FALSE)</f>
        <v>(blank)</v>
      </c>
      <c r="AH38" s="110" t="str">
        <f>VLOOKUP($B38,After1stCHK!$B$3:$AO$87840,MATCH(AH$4,After1stCHK!$B$3:$AO$3,0),FALSE)</f>
        <v>(blank)</v>
      </c>
      <c r="AI38" s="110" t="str">
        <f>VLOOKUP($B38,After1stCHK!$B$3:$AO$87840,MATCH(AI$4,After1stCHK!$B$3:$AO$3,0),FALSE)</f>
        <v>(blank)</v>
      </c>
      <c r="AJ38" s="110" t="str">
        <f>VLOOKUP($B38,After1stCHK!$B$3:$AO$87840,MATCH(AJ$4,After1stCHK!$B$3:$AO$3,0),FALSE)</f>
        <v>(blank)</v>
      </c>
      <c r="AK38" s="110" t="str">
        <f>VLOOKUP($B38,After1stCHK!$B$3:$AO$87840,MATCH(AK$4,After1stCHK!$B$3:$AO$3,0),FALSE)</f>
        <v>(blank)</v>
      </c>
      <c r="AL38" s="56" t="str">
        <f>VLOOKUP($B38,After1stCHK!$B$3:$AO$87840,MATCH(AL$4,After1stCHK!$B$3:$AO$3,0),FALSE)</f>
        <v>(blank)</v>
      </c>
      <c r="AM38" s="56" t="str">
        <f>VLOOKUP($B38,After1stCHK!$B$3:$AO$87840,MATCH(AM$4,After1stCHK!$B$3:$AO$3,0),FALSE)</f>
        <v>(blank)</v>
      </c>
      <c r="AN38" s="56" t="str">
        <f>VLOOKUP($B38,After1stCHK!$B$3:$AO$87840,MATCH(AN$4,After1stCHK!$B$3:$AO$3,0),FALSE)</f>
        <v>(blank)</v>
      </c>
      <c r="AO38" s="56" t="str">
        <f>VLOOKUP($B38,After1stCHK!$B$3:$AO$87840,MATCH(AO$4,After1stCHK!$B$3:$AO$3,0),FALSE)</f>
        <v>(blank)</v>
      </c>
      <c r="AP38" s="56" t="str">
        <f>VLOOKUP($B38,After1stCHK!$B$3:$AO$87840,MATCH(AP$4,After1stCHK!$B$3:$AO$3,0),FALSE)</f>
        <v>(blank)</v>
      </c>
      <c r="AQ38" s="56" t="str">
        <f>VLOOKUP($B38,After1stCHK!$B$3:$AO$87840,MATCH(AQ$4,After1stCHK!$B$3:$AO$3,0),FALSE)</f>
        <v>(blank)</v>
      </c>
      <c r="AR38" s="56" t="str">
        <f>VLOOKUP($B38,After1stCHK!$B$3:$AO$87840,MATCH(AR$4,After1stCHK!$B$3:$AO$3,0),FALSE)</f>
        <v>(blank)</v>
      </c>
      <c r="AS38" s="56" t="str">
        <f>VLOOKUP($B38,After1stCHK!$B$3:$AO$87840,MATCH(AS$4,After1stCHK!$B$3:$AO$3,0),FALSE)</f>
        <v>(blank)</v>
      </c>
      <c r="AT38" s="56" t="str">
        <f>VLOOKUP($B38,After1stCHK!$B$3:$AO$87840,MATCH(AT$4,After1stCHK!$B$3:$AO$3,0),FALSE)</f>
        <v>(blank)</v>
      </c>
      <c r="AU38" s="104" t="str">
        <f>VLOOKUP($B38,After1stCHK!$B$3:$AO$87840,MATCH(AU$4,After1stCHK!$B$3:$AO$3,0),FALSE)</f>
        <v>(blank)</v>
      </c>
      <c r="AV38" s="225" t="str">
        <f t="shared" si="1"/>
        <v/>
      </c>
      <c r="AX38" s="90"/>
      <c r="AY38" s="91"/>
      <c r="AZ38" s="24"/>
      <c r="BA38" s="92"/>
      <c r="BB38" s="192"/>
      <c r="BC38" s="94"/>
      <c r="BD38" s="193">
        <f t="shared" si="2"/>
        <v>0</v>
      </c>
      <c r="BE38" s="193" t="str">
        <f t="shared" si="3"/>
        <v/>
      </c>
      <c r="BF38" s="193">
        <f t="shared" ca="1" si="4"/>
        <v>0</v>
      </c>
      <c r="BG38" s="194" t="e">
        <f t="shared" ca="1" si="5"/>
        <v>#VALUE!</v>
      </c>
      <c r="BH38" s="195">
        <f t="shared" si="6"/>
        <v>1</v>
      </c>
      <c r="BI38" s="195">
        <f t="shared" si="7"/>
        <v>-1</v>
      </c>
      <c r="BJ38" s="3">
        <f t="shared" si="8"/>
        <v>13</v>
      </c>
      <c r="BK38" s="3" t="str">
        <f t="shared" si="9"/>
        <v>EUR</v>
      </c>
      <c r="BL38" s="196">
        <f ca="1">IF(V38="HKD",1,OFFSET(FX!$A$5,MATCH(E38,FX!A:A,0)-ROW(FX!$A$5),MATCH(V38,FX!$A$5:$AM$5,0)-1,1,1))</f>
        <v>8.8602000000000007</v>
      </c>
      <c r="BM38" s="227" t="str">
        <f t="shared" si="10"/>
        <v>MC.PA</v>
      </c>
      <c r="BN38" s="198">
        <f t="shared" si="11"/>
        <v>720</v>
      </c>
      <c r="BO38" s="199"/>
      <c r="BP38" s="200">
        <f t="shared" si="12"/>
        <v>720</v>
      </c>
      <c r="BQ38" s="201">
        <f t="shared" si="13"/>
        <v>-13</v>
      </c>
      <c r="BR38" s="202">
        <f t="shared" si="14"/>
        <v>-9360</v>
      </c>
      <c r="BS38" s="203">
        <f t="shared" ca="1" si="15"/>
        <v>-82931.472000000009</v>
      </c>
      <c r="BT38" s="204"/>
      <c r="BU38" s="197">
        <f t="shared" si="16"/>
        <v>0</v>
      </c>
      <c r="BV38" s="201">
        <f t="shared" si="17"/>
        <v>0</v>
      </c>
      <c r="BW38" s="202">
        <f t="shared" si="18"/>
        <v>0</v>
      </c>
      <c r="BX38" s="203">
        <f t="shared" ca="1" si="19"/>
        <v>0</v>
      </c>
      <c r="BY38" s="204"/>
      <c r="BZ38" s="198">
        <f t="shared" si="20"/>
        <v>0</v>
      </c>
      <c r="CA38" s="199"/>
      <c r="CB38" s="200">
        <f t="shared" si="21"/>
        <v>0</v>
      </c>
      <c r="CC38" s="201">
        <f t="shared" si="22"/>
        <v>0</v>
      </c>
      <c r="CD38" s="202">
        <f t="shared" si="23"/>
        <v>0</v>
      </c>
      <c r="CE38" s="203">
        <f t="shared" ca="1" si="24"/>
        <v>0</v>
      </c>
      <c r="CF38" s="204"/>
      <c r="CG38" s="205">
        <f t="shared" si="25"/>
        <v>0</v>
      </c>
      <c r="CH38" s="206">
        <f t="shared" si="26"/>
        <v>0</v>
      </c>
      <c r="CI38" s="207">
        <f t="shared" si="27"/>
        <v>0</v>
      </c>
      <c r="CJ38" s="203">
        <f t="shared" ca="1" si="28"/>
        <v>0</v>
      </c>
      <c r="CK38" s="204"/>
      <c r="CL38" s="208">
        <f t="shared" ca="1" si="29"/>
        <v>82931.472000000009</v>
      </c>
      <c r="CM38" s="209" t="str">
        <f t="shared" si="30"/>
        <v/>
      </c>
      <c r="CN38" s="228" t="str">
        <f t="shared" si="31"/>
        <v>MC.PA</v>
      </c>
      <c r="CO38" s="153">
        <f t="shared" si="32"/>
        <v>44568</v>
      </c>
      <c r="CP38" s="211">
        <f t="shared" ref="CP38:CQ38" si="144">AZ38</f>
        <v>0</v>
      </c>
      <c r="CQ38" s="212">
        <f t="shared" si="144"/>
        <v>0</v>
      </c>
      <c r="CR38" s="213">
        <f t="shared" si="34"/>
        <v>0</v>
      </c>
      <c r="CS38" s="213">
        <f t="shared" si="35"/>
        <v>0</v>
      </c>
      <c r="CT38" s="214">
        <f>SUMIFS('1HistTrade'!DF:DF,'1HistTrade'!$D:$D,$D38,'1HistTrade'!$BM:$BM,$BM38,'1HistTrade'!$B:$B,"&lt;"&amp;$B38)</f>
        <v>24</v>
      </c>
      <c r="CU38" s="215">
        <f>SUMIFS('1HistTrade'!DG:DG,'1HistTrade'!$D:$D,$D38,'1HistTrade'!$BM:$BM,$BM38,'1HistTrade'!$B:$B,"&lt;"&amp;$B38)</f>
        <v>0</v>
      </c>
      <c r="CV38" s="215">
        <f>SUMIFS('1HistTrade'!DH:DH,'1HistTrade'!$D:$D,$D38,'1HistTrade'!$BM:$BM,$BM38,'1HistTrade'!$B:$B,"&lt;"&amp;$B38)</f>
        <v>0</v>
      </c>
      <c r="CW38" s="215">
        <f>SUMIFS('1HistTrade'!DI:DI,'1HistTrade'!$D:$D,$D38,'1HistTrade'!$BM:$BM,$BM38,'1HistTrade'!$B:$B,"&lt;"&amp;$B38)</f>
        <v>0</v>
      </c>
      <c r="CX38" s="216">
        <f t="shared" si="36"/>
        <v>11</v>
      </c>
      <c r="CY38" s="216">
        <f t="shared" si="37"/>
        <v>0</v>
      </c>
      <c r="CZ38" s="216">
        <f t="shared" si="38"/>
        <v>0</v>
      </c>
      <c r="DA38" s="216">
        <f t="shared" ca="1" si="39"/>
        <v>0</v>
      </c>
      <c r="DB38" s="21" t="str">
        <f t="shared" si="40"/>
        <v>S</v>
      </c>
      <c r="DC38" s="21" t="str">
        <f t="shared" si="41"/>
        <v/>
      </c>
      <c r="DD38" s="21" t="str">
        <f t="shared" si="42"/>
        <v/>
      </c>
      <c r="DE38" s="21" t="str">
        <f t="shared" ca="1" si="43"/>
        <v/>
      </c>
      <c r="DF38" s="215">
        <f t="shared" si="44"/>
        <v>-13</v>
      </c>
      <c r="DG38" s="215">
        <f t="shared" si="45"/>
        <v>0</v>
      </c>
      <c r="DH38" s="215">
        <f t="shared" si="46"/>
        <v>0</v>
      </c>
      <c r="DI38" s="215">
        <f t="shared" ca="1" si="47"/>
        <v>0</v>
      </c>
      <c r="DJ38" s="215" t="str">
        <f t="shared" si="48"/>
        <v>S</v>
      </c>
      <c r="DK38" s="116"/>
      <c r="DL38" s="116">
        <f t="shared" ca="1" si="49"/>
        <v>6379.344000000001</v>
      </c>
      <c r="DM38" s="116">
        <f t="shared" ca="1" si="50"/>
        <v>-82931.472000000009</v>
      </c>
      <c r="DN38" s="116">
        <f t="shared" ca="1" si="51"/>
        <v>82931.472000000009</v>
      </c>
      <c r="DO38" s="217">
        <f t="shared" ca="1" si="52"/>
        <v>0</v>
      </c>
      <c r="DP38" s="217">
        <f t="shared" ca="1" si="53"/>
        <v>-82931.472000000009</v>
      </c>
      <c r="DQ38" s="116">
        <f>IF($DT$1="Delete",0,IF(OR(DG38="",DG38=0),0,SUMIFS('1HistTrade'!$ED:$ED,'1HistTrade'!$D:$D,D38,'1HistTrade'!$H:$H,H38,'1HistTrade'!$B:$B,"&lt;"&amp;B38)))</f>
        <v>0</v>
      </c>
      <c r="DR38" s="116">
        <f t="shared" ca="1" si="54"/>
        <v>0</v>
      </c>
      <c r="DS38" s="116">
        <f t="shared" ca="1" si="55"/>
        <v>0</v>
      </c>
      <c r="DT38" s="116">
        <f>IF($DT$1="Delete",0,IF(OR(DI38="",DI38=0),0,SUMIFS('1HistTrade'!$ED:$ED,'1HistTrade'!$D:$D,D38,'1HistTrade'!$H:$H,H38,'1HistTrade'!$B:$B,"&lt;"&amp;B38)))</f>
        <v>0</v>
      </c>
      <c r="DU38" s="116">
        <f t="shared" ca="1" si="56"/>
        <v>0</v>
      </c>
      <c r="DV38" s="116">
        <f t="shared" ca="1" si="57"/>
        <v>0</v>
      </c>
      <c r="DW38" s="218">
        <f t="shared" si="58"/>
        <v>0</v>
      </c>
      <c r="DX38" s="219"/>
      <c r="DY38" s="219">
        <f t="shared" si="59"/>
        <v>0</v>
      </c>
      <c r="DZ38" s="220">
        <f t="shared" ca="1" si="60"/>
        <v>0</v>
      </c>
      <c r="EA38" s="220">
        <f t="shared" si="61"/>
        <v>0</v>
      </c>
      <c r="EB38" s="221">
        <f t="shared" ca="1" si="62"/>
        <v>0</v>
      </c>
      <c r="EC38" s="116">
        <f t="shared" ca="1" si="63"/>
        <v>82931.472000000009</v>
      </c>
      <c r="ED38" s="116">
        <f t="shared" ca="1" si="64"/>
        <v>82931.472000000009</v>
      </c>
      <c r="EE38" s="222" t="str">
        <f t="shared" si="65"/>
        <v/>
      </c>
      <c r="EF38" s="116">
        <f t="shared" si="66"/>
        <v>13</v>
      </c>
      <c r="EG38" s="223">
        <f ca="1">IF(ISERROR(VLOOKUP(_xludf.maxifs(DbyD!C:C,DbyD!B:B,C38,DbyD!F:F,"&lt;=" &amp; E38,DbyD!C:C,"&lt;"&amp;B38),DbyD!C:BE,MATCH(DbyD!$BB$9,DbyD!$9:$9,0)-2,FALSE)),0,VLOOKUP(_xludf.maxifs(DbyD!C:C,DbyD!B:B,C38,DbyD!F:F,"&lt;=" &amp; E38,DbyD!C:C,"&lt;"&amp;B38),DbyD!C:BE,MATCH(DbyD!$BB$9,DbyD!$9:$9,0)-2,FALSE))</f>
        <v>0</v>
      </c>
      <c r="EH38" s="116">
        <f>SUMIFS('1HistTrade'!$EM:$EM,'1HistTrade'!$D:$D,D38,'1HistTrade'!$B:$B,"&lt;"&amp;B38,'1HistTrade'!$DJ:$DJ,"&lt;&gt;"&amp;"CD/CW")*-1</f>
        <v>175352.42164999997</v>
      </c>
      <c r="EI38" s="116">
        <f t="shared" ca="1" si="67"/>
        <v>175352.42164999997</v>
      </c>
      <c r="EJ38" s="116">
        <f>SUMIFS('1HistTrade'!$EN:$EN,'1HistTrade'!$D:$D,D38,'1HistTrade'!$B:$B,"&lt;"&amp;B38)</f>
        <v>249196.24185000005</v>
      </c>
      <c r="EK38" s="224">
        <f>SUMIFS('1HistTrade'!$EU:$EU,'1HistTrade'!$D:$D,D38,'1HistTrade'!$B:$B,"&lt;"&amp;B38)</f>
        <v>0</v>
      </c>
      <c r="EL38" s="116"/>
      <c r="EM38" s="116">
        <f t="shared" ref="EM38:EN38" ca="1" si="145">EC38</f>
        <v>82931.472000000009</v>
      </c>
      <c r="EN38" s="116">
        <f t="shared" ca="1" si="145"/>
        <v>82931.472000000009</v>
      </c>
      <c r="EO38" s="224"/>
      <c r="EP38" s="116"/>
      <c r="EQ38" s="116">
        <f t="shared" ca="1" si="69"/>
        <v>82931.472000000009</v>
      </c>
      <c r="ER38" s="116">
        <f t="shared" ca="1" si="70"/>
        <v>92420.949649999966</v>
      </c>
      <c r="ES38" s="116">
        <f t="shared" ca="1" si="71"/>
        <v>175352.42164999997</v>
      </c>
      <c r="ET38" s="116">
        <f t="shared" ca="1" si="72"/>
        <v>332127.71385000006</v>
      </c>
      <c r="EU38" s="224">
        <f t="shared" ca="1" si="73"/>
        <v>0</v>
      </c>
      <c r="EV38" s="213">
        <f t="shared" ca="1" si="74"/>
        <v>0</v>
      </c>
      <c r="EX38" s="116">
        <f t="shared" ca="1" si="75"/>
        <v>82931.472000000009</v>
      </c>
      <c r="EY38" s="116">
        <f t="shared" ca="1" si="76"/>
        <v>92420.949649999966</v>
      </c>
      <c r="EZ38" s="116">
        <f t="shared" ca="1" si="77"/>
        <v>175352.42164999997</v>
      </c>
      <c r="FA38" s="116">
        <f t="shared" ca="1" si="78"/>
        <v>332127.71385000006</v>
      </c>
      <c r="FB38" s="116">
        <f t="shared" ca="1" si="79"/>
        <v>0</v>
      </c>
      <c r="FC38" s="189"/>
      <c r="FE38" s="31"/>
      <c r="FG38" s="31"/>
    </row>
    <row r="39" spans="1:163" ht="13">
      <c r="A39" s="10">
        <f>IF(E39&lt;=HistSecRecord!$E$1,1,0)</f>
        <v>0</v>
      </c>
      <c r="B39" s="190">
        <f>After1stCHK!B38</f>
        <v>44568000043</v>
      </c>
      <c r="C39" s="3" t="str">
        <f>After1stCHK!C38</f>
        <v>D0005</v>
      </c>
      <c r="D39" s="29" t="str">
        <f>After1stCHK!D38</f>
        <v>sABCD0005@hkmu.edu.hk</v>
      </c>
      <c r="E39" s="4">
        <f>After1stCHK!E38</f>
        <v>44568</v>
      </c>
      <c r="F39" s="105"/>
      <c r="G39" s="79" t="str">
        <f>After1stCHK!F38</f>
        <v>SELL (SHORT)</v>
      </c>
      <c r="H39" s="226" t="str">
        <f>After1stCHK!G38</f>
        <v>0700.HK</v>
      </c>
      <c r="I39" s="81" t="str">
        <f>After1stCHK!H38</f>
        <v>Stock</v>
      </c>
      <c r="J39" s="109">
        <f>After1stCHK!I38</f>
        <v>50</v>
      </c>
      <c r="K39" s="103">
        <f>After1stCHK!J38</f>
        <v>0</v>
      </c>
      <c r="L39" s="56">
        <f>After1stCHK!K38</f>
        <v>0</v>
      </c>
      <c r="M39" s="104">
        <f>After1stCHK!L38</f>
        <v>0</v>
      </c>
      <c r="N39" s="82">
        <f>After1stCHK!M38</f>
        <v>440</v>
      </c>
      <c r="O39" s="82"/>
      <c r="P39" s="86"/>
      <c r="T39" s="87">
        <f t="shared" si="0"/>
        <v>44568</v>
      </c>
      <c r="U39" s="102"/>
      <c r="V39" s="81" t="str">
        <f>VLOOKUP($B39,After1stCHK!$B$3:$AO$87840,MATCH(V$4,After1stCHK!$B$3:$AO$3,0),FALSE)</f>
        <v>HKD</v>
      </c>
      <c r="W39" s="100" t="str">
        <f>VLOOKUP($B39,After1stCHK!$B$3:$AO$87840,MATCH(W$4,After1stCHK!$B$3:$AO$3,0),FALSE)</f>
        <v>0700.HK</v>
      </c>
      <c r="X39" s="82">
        <f>VLOOKUP($B39,After1stCHK!$B$3:$AO$87840,MATCH(X$4,After1stCHK!$B$3:$AO$3,0),FALSE)</f>
        <v>465</v>
      </c>
      <c r="Y39" s="82">
        <f>VLOOKUP($B39,After1stCHK!$B$3:$AO$87840,MATCH(Y$4,After1stCHK!$B$3:$AO$3,0),FALSE)</f>
        <v>467</v>
      </c>
      <c r="Z39" s="82">
        <f>VLOOKUP($B39,After1stCHK!$B$3:$AO$87840,MATCH(Z$4,After1stCHK!$B$3:$AO$3,0),FALSE)</f>
        <v>457.8</v>
      </c>
      <c r="AA39" s="82">
        <f>VLOOKUP($B39,After1stCHK!$B$3:$AO$87840,MATCH(AA$4,After1stCHK!$B$3:$AO$3,0),FALSE)</f>
        <v>473.6</v>
      </c>
      <c r="AB39" s="82">
        <f>VLOOKUP($B39,After1stCHK!$B$3:$AO$87840,MATCH(AB$4,After1stCHK!$B$3:$AO$3,0),FALSE)</f>
        <v>16061367</v>
      </c>
      <c r="AC39" s="103" t="str">
        <f>VLOOKUP($B39,After1stCHK!$B$3:$AO$87840,MATCH(AC$4,After1stCHK!$B$3:$AO$3,0),FALSE)</f>
        <v>(blank)</v>
      </c>
      <c r="AD39" s="103" t="str">
        <f>VLOOKUP($B39,After1stCHK!$B$3:$AO$87840,MATCH(AD$4,After1stCHK!$B$3:$AO$3,0),FALSE)</f>
        <v>(blank)</v>
      </c>
      <c r="AE39" s="103" t="str">
        <f>VLOOKUP($B39,After1stCHK!$B$3:$AO$87840,MATCH(AE$4,After1stCHK!$B$3:$AO$3,0),FALSE)</f>
        <v>(blank)</v>
      </c>
      <c r="AF39" s="103" t="str">
        <f>VLOOKUP($B39,After1stCHK!$B$3:$AO$87840,MATCH(AF$4,After1stCHK!$B$3:$AO$3,0),FALSE)</f>
        <v>(blank)</v>
      </c>
      <c r="AG39" s="103" t="str">
        <f>VLOOKUP($B39,After1stCHK!$B$3:$AO$87840,MATCH(AG$4,After1stCHK!$B$3:$AO$3,0),FALSE)</f>
        <v>(blank)</v>
      </c>
      <c r="AH39" s="103" t="str">
        <f>VLOOKUP($B39,After1stCHK!$B$3:$AO$87840,MATCH(AH$4,After1stCHK!$B$3:$AO$3,0),FALSE)</f>
        <v>(blank)</v>
      </c>
      <c r="AI39" s="103" t="str">
        <f>VLOOKUP($B39,After1stCHK!$B$3:$AO$87840,MATCH(AI$4,After1stCHK!$B$3:$AO$3,0),FALSE)</f>
        <v>(blank)</v>
      </c>
      <c r="AJ39" s="103" t="str">
        <f>VLOOKUP($B39,After1stCHK!$B$3:$AO$87840,MATCH(AJ$4,After1stCHK!$B$3:$AO$3,0),FALSE)</f>
        <v>(blank)</v>
      </c>
      <c r="AK39" s="103" t="str">
        <f>VLOOKUP($B39,After1stCHK!$B$3:$AO$87840,MATCH(AK$4,After1stCHK!$B$3:$AO$3,0),FALSE)</f>
        <v>(blank)</v>
      </c>
      <c r="AL39" s="56" t="str">
        <f>VLOOKUP($B39,After1stCHK!$B$3:$AO$87840,MATCH(AL$4,After1stCHK!$B$3:$AO$3,0),FALSE)</f>
        <v>(blank)</v>
      </c>
      <c r="AM39" s="56" t="str">
        <f>VLOOKUP($B39,After1stCHK!$B$3:$AO$87840,MATCH(AM$4,After1stCHK!$B$3:$AO$3,0),FALSE)</f>
        <v>(blank)</v>
      </c>
      <c r="AN39" s="56" t="str">
        <f>VLOOKUP($B39,After1stCHK!$B$3:$AO$87840,MATCH(AN$4,After1stCHK!$B$3:$AO$3,0),FALSE)</f>
        <v>(blank)</v>
      </c>
      <c r="AO39" s="56" t="str">
        <f>VLOOKUP($B39,After1stCHK!$B$3:$AO$87840,MATCH(AO$4,After1stCHK!$B$3:$AO$3,0),FALSE)</f>
        <v>(blank)</v>
      </c>
      <c r="AP39" s="56" t="str">
        <f>VLOOKUP($B39,After1stCHK!$B$3:$AO$87840,MATCH(AP$4,After1stCHK!$B$3:$AO$3,0),FALSE)</f>
        <v>(blank)</v>
      </c>
      <c r="AQ39" s="56" t="str">
        <f>VLOOKUP($B39,After1stCHK!$B$3:$AO$87840,MATCH(AQ$4,After1stCHK!$B$3:$AO$3,0),FALSE)</f>
        <v>(blank)</v>
      </c>
      <c r="AR39" s="56" t="str">
        <f>VLOOKUP($B39,After1stCHK!$B$3:$AO$87840,MATCH(AR$4,After1stCHK!$B$3:$AO$3,0),FALSE)</f>
        <v>(blank)</v>
      </c>
      <c r="AS39" s="56" t="str">
        <f>VLOOKUP($B39,After1stCHK!$B$3:$AO$87840,MATCH(AS$4,After1stCHK!$B$3:$AO$3,0),FALSE)</f>
        <v>(blank)</v>
      </c>
      <c r="AT39" s="56" t="str">
        <f>VLOOKUP($B39,After1stCHK!$B$3:$AO$87840,MATCH(AT$4,After1stCHK!$B$3:$AO$3,0),FALSE)</f>
        <v>(blank)</v>
      </c>
      <c r="AU39" s="104" t="str">
        <f>VLOOKUP($B39,After1stCHK!$B$3:$AO$87840,MATCH(AU$4,After1stCHK!$B$3:$AO$3,0),FALSE)</f>
        <v>(blank)</v>
      </c>
      <c r="AV39" s="225" t="str">
        <f t="shared" si="1"/>
        <v/>
      </c>
      <c r="AX39" s="90"/>
      <c r="AY39" s="91"/>
      <c r="AZ39" s="24"/>
      <c r="BA39" s="92"/>
      <c r="BB39" s="192"/>
      <c r="BC39" s="94"/>
      <c r="BD39" s="193">
        <f t="shared" si="2"/>
        <v>0</v>
      </c>
      <c r="BE39" s="193" t="str">
        <f t="shared" si="3"/>
        <v/>
      </c>
      <c r="BF39" s="193">
        <f t="shared" ca="1" si="4"/>
        <v>0</v>
      </c>
      <c r="BG39" s="194" t="e">
        <f t="shared" ca="1" si="5"/>
        <v>#VALUE!</v>
      </c>
      <c r="BH39" s="195">
        <f t="shared" si="6"/>
        <v>1</v>
      </c>
      <c r="BI39" s="195">
        <f t="shared" si="7"/>
        <v>-1</v>
      </c>
      <c r="BJ39" s="3">
        <f t="shared" si="8"/>
        <v>50</v>
      </c>
      <c r="BK39" s="3" t="str">
        <f t="shared" si="9"/>
        <v>HKD</v>
      </c>
      <c r="BL39" s="196">
        <f ca="1">IF(V39="HKD",1,OFFSET(FX!$A$5,MATCH(E39,FX!A:A,0)-ROW(FX!$A$5),MATCH(V39,FX!$A$5:$AM$5,0)-1,1,1))</f>
        <v>1</v>
      </c>
      <c r="BM39" s="227" t="str">
        <f t="shared" si="10"/>
        <v>0700.HK</v>
      </c>
      <c r="BN39" s="198">
        <f t="shared" si="11"/>
        <v>440</v>
      </c>
      <c r="BO39" s="199"/>
      <c r="BP39" s="200">
        <f t="shared" si="12"/>
        <v>440</v>
      </c>
      <c r="BQ39" s="201">
        <f t="shared" si="13"/>
        <v>-50</v>
      </c>
      <c r="BR39" s="202">
        <f t="shared" si="14"/>
        <v>-22000</v>
      </c>
      <c r="BS39" s="203">
        <f t="shared" ca="1" si="15"/>
        <v>-22000</v>
      </c>
      <c r="BT39" s="204"/>
      <c r="BU39" s="199">
        <f t="shared" si="16"/>
        <v>0</v>
      </c>
      <c r="BV39" s="201">
        <f t="shared" si="17"/>
        <v>0</v>
      </c>
      <c r="BW39" s="202">
        <f t="shared" si="18"/>
        <v>0</v>
      </c>
      <c r="BX39" s="203">
        <f t="shared" ca="1" si="19"/>
        <v>0</v>
      </c>
      <c r="BY39" s="204"/>
      <c r="BZ39" s="198">
        <f t="shared" si="20"/>
        <v>0</v>
      </c>
      <c r="CA39" s="199"/>
      <c r="CB39" s="200">
        <f t="shared" si="21"/>
        <v>0</v>
      </c>
      <c r="CC39" s="201">
        <f t="shared" si="22"/>
        <v>0</v>
      </c>
      <c r="CD39" s="202">
        <f t="shared" si="23"/>
        <v>0</v>
      </c>
      <c r="CE39" s="203">
        <f t="shared" ca="1" si="24"/>
        <v>0</v>
      </c>
      <c r="CF39" s="204"/>
      <c r="CG39" s="205">
        <f t="shared" si="25"/>
        <v>0</v>
      </c>
      <c r="CH39" s="206">
        <f t="shared" si="26"/>
        <v>0</v>
      </c>
      <c r="CI39" s="207">
        <f t="shared" si="27"/>
        <v>0</v>
      </c>
      <c r="CJ39" s="203">
        <f t="shared" ca="1" si="28"/>
        <v>0</v>
      </c>
      <c r="CK39" s="204"/>
      <c r="CL39" s="208">
        <f t="shared" ca="1" si="29"/>
        <v>22000</v>
      </c>
      <c r="CM39" s="209" t="str">
        <f t="shared" si="30"/>
        <v/>
      </c>
      <c r="CN39" s="228" t="str">
        <f t="shared" si="31"/>
        <v>0700.HK</v>
      </c>
      <c r="CO39" s="153">
        <f t="shared" si="32"/>
        <v>44568</v>
      </c>
      <c r="CP39" s="211">
        <f t="shared" ref="CP39:CQ39" si="146">AZ39</f>
        <v>0</v>
      </c>
      <c r="CQ39" s="212">
        <f t="shared" si="146"/>
        <v>0</v>
      </c>
      <c r="CR39" s="213">
        <f t="shared" si="34"/>
        <v>0</v>
      </c>
      <c r="CS39" s="213">
        <f t="shared" si="35"/>
        <v>0</v>
      </c>
      <c r="CT39" s="214">
        <f>SUMIFS('1HistTrade'!DF:DF,'1HistTrade'!$D:$D,$D39,'1HistTrade'!$BM:$BM,$BM39,'1HistTrade'!$B:$B,"&lt;"&amp;$B39)</f>
        <v>40</v>
      </c>
      <c r="CU39" s="215">
        <f>SUMIFS('1HistTrade'!DG:DG,'1HistTrade'!$D:$D,$D39,'1HistTrade'!$BM:$BM,$BM39,'1HistTrade'!$B:$B,"&lt;"&amp;$B39)</f>
        <v>0</v>
      </c>
      <c r="CV39" s="215">
        <f>SUMIFS('1HistTrade'!DH:DH,'1HistTrade'!$D:$D,$D39,'1HistTrade'!$BM:$BM,$BM39,'1HistTrade'!$B:$B,"&lt;"&amp;$B39)</f>
        <v>0</v>
      </c>
      <c r="CW39" s="215">
        <f>SUMIFS('1HistTrade'!DI:DI,'1HistTrade'!$D:$D,$D39,'1HistTrade'!$BM:$BM,$BM39,'1HistTrade'!$B:$B,"&lt;"&amp;$B39)</f>
        <v>0</v>
      </c>
      <c r="CX39" s="216">
        <f t="shared" si="36"/>
        <v>-10</v>
      </c>
      <c r="CY39" s="216">
        <f t="shared" si="37"/>
        <v>0</v>
      </c>
      <c r="CZ39" s="216">
        <f t="shared" si="38"/>
        <v>0</v>
      </c>
      <c r="DA39" s="216">
        <f t="shared" ca="1" si="39"/>
        <v>0</v>
      </c>
      <c r="DB39" s="21" t="str">
        <f t="shared" si="40"/>
        <v>OFSS</v>
      </c>
      <c r="DC39" s="21" t="str">
        <f t="shared" si="41"/>
        <v/>
      </c>
      <c r="DD39" s="21" t="str">
        <f t="shared" si="42"/>
        <v/>
      </c>
      <c r="DE39" s="21" t="str">
        <f t="shared" ca="1" si="43"/>
        <v/>
      </c>
      <c r="DF39" s="215">
        <f t="shared" si="44"/>
        <v>-50</v>
      </c>
      <c r="DG39" s="215">
        <f t="shared" si="45"/>
        <v>0</v>
      </c>
      <c r="DH39" s="215">
        <f t="shared" si="46"/>
        <v>0</v>
      </c>
      <c r="DI39" s="215">
        <f t="shared" ca="1" si="47"/>
        <v>0</v>
      </c>
      <c r="DJ39" s="215" t="str">
        <f t="shared" si="48"/>
        <v>OFSS</v>
      </c>
      <c r="DK39" s="116"/>
      <c r="DL39" s="116">
        <f t="shared" ca="1" si="49"/>
        <v>440</v>
      </c>
      <c r="DM39" s="116">
        <f t="shared" ca="1" si="50"/>
        <v>-22000</v>
      </c>
      <c r="DN39" s="116">
        <f t="shared" ca="1" si="51"/>
        <v>13200</v>
      </c>
      <c r="DO39" s="217">
        <f t="shared" ca="1" si="52"/>
        <v>0</v>
      </c>
      <c r="DP39" s="217">
        <f t="shared" ca="1" si="53"/>
        <v>-22000</v>
      </c>
      <c r="DQ39" s="116">
        <f>IF($DT$1="Delete",0,IF(OR(DG39="",DG39=0),0,SUMIFS('1HistTrade'!$ED:$ED,'1HistTrade'!$D:$D,D39,'1HistTrade'!$H:$H,H39,'1HistTrade'!$B:$B,"&lt;"&amp;B39)))</f>
        <v>0</v>
      </c>
      <c r="DR39" s="116">
        <f t="shared" ca="1" si="54"/>
        <v>0</v>
      </c>
      <c r="DS39" s="116">
        <f t="shared" ca="1" si="55"/>
        <v>0</v>
      </c>
      <c r="DT39" s="116">
        <f>IF($DT$1="Delete",0,IF(OR(DI39="",DI39=0),0,SUMIFS('1HistTrade'!$ED:$ED,'1HistTrade'!$D:$D,D39,'1HistTrade'!$H:$H,H39,'1HistTrade'!$B:$B,"&lt;"&amp;B39)))</f>
        <v>0</v>
      </c>
      <c r="DU39" s="116">
        <f t="shared" ca="1" si="56"/>
        <v>0</v>
      </c>
      <c r="DV39" s="116">
        <f t="shared" ca="1" si="57"/>
        <v>0</v>
      </c>
      <c r="DW39" s="218">
        <f t="shared" si="58"/>
        <v>0</v>
      </c>
      <c r="DX39" s="219"/>
      <c r="DY39" s="219">
        <f t="shared" si="59"/>
        <v>0</v>
      </c>
      <c r="DZ39" s="220">
        <f t="shared" ca="1" si="60"/>
        <v>0</v>
      </c>
      <c r="EA39" s="220">
        <f t="shared" si="61"/>
        <v>0</v>
      </c>
      <c r="EB39" s="221">
        <f t="shared" ca="1" si="62"/>
        <v>0</v>
      </c>
      <c r="EC39" s="116">
        <f t="shared" ca="1" si="63"/>
        <v>22000</v>
      </c>
      <c r="ED39" s="116">
        <f t="shared" ca="1" si="64"/>
        <v>13200</v>
      </c>
      <c r="EE39" s="222" t="str">
        <f t="shared" si="65"/>
        <v/>
      </c>
      <c r="EF39" s="116">
        <f t="shared" si="66"/>
        <v>30</v>
      </c>
      <c r="EG39" s="223">
        <f ca="1">IF(ISERROR(VLOOKUP(_xludf.maxifs(DbyD!C:C,DbyD!B:B,C39,DbyD!F:F,"&lt;=" &amp; E39,DbyD!C:C,"&lt;"&amp;B39),DbyD!C:BE,MATCH(DbyD!$BB$9,DbyD!$9:$9,0)-2,FALSE)),0,VLOOKUP(_xludf.maxifs(DbyD!C:C,DbyD!B:B,C39,DbyD!F:F,"&lt;=" &amp; E39,DbyD!C:C,"&lt;"&amp;B39),DbyD!C:BE,MATCH(DbyD!$BB$9,DbyD!$9:$9,0)-2,FALSE))</f>
        <v>0</v>
      </c>
      <c r="EH39" s="116">
        <f>SUMIFS('1HistTrade'!$EM:$EM,'1HistTrade'!$D:$D,D39,'1HistTrade'!$B:$B,"&lt;"&amp;B39,'1HistTrade'!$DJ:$DJ,"&lt;&gt;"&amp;"CD/CW")*-1</f>
        <v>9404.7599999999984</v>
      </c>
      <c r="EI39" s="116">
        <f t="shared" ca="1" si="67"/>
        <v>9404.7599999999984</v>
      </c>
      <c r="EJ39" s="116">
        <f>SUMIFS('1HistTrade'!$EN:$EN,'1HistTrade'!$D:$D,D39,'1HistTrade'!$B:$B,"&lt;"&amp;B39)</f>
        <v>443823.8</v>
      </c>
      <c r="EK39" s="224">
        <f>SUMIFS('1HistTrade'!$EU:$EU,'1HistTrade'!$D:$D,D39,'1HistTrade'!$B:$B,"&lt;"&amp;B39)</f>
        <v>0</v>
      </c>
      <c r="EL39" s="116"/>
      <c r="EM39" s="116">
        <f t="shared" ref="EM39:EN39" ca="1" si="147">EC39</f>
        <v>22000</v>
      </c>
      <c r="EN39" s="116">
        <f t="shared" ca="1" si="147"/>
        <v>13200</v>
      </c>
      <c r="EO39" s="224"/>
      <c r="EP39" s="116"/>
      <c r="EQ39" s="116">
        <f t="shared" ca="1" si="69"/>
        <v>22000</v>
      </c>
      <c r="ER39" s="116">
        <f t="shared" ca="1" si="70"/>
        <v>-12595.240000000002</v>
      </c>
      <c r="ES39" s="116">
        <f t="shared" ca="1" si="71"/>
        <v>9404.7599999999984</v>
      </c>
      <c r="ET39" s="116">
        <f t="shared" ca="1" si="72"/>
        <v>457023.8</v>
      </c>
      <c r="EU39" s="224">
        <f t="shared" ca="1" si="73"/>
        <v>0</v>
      </c>
      <c r="EV39" s="213">
        <f t="shared" ca="1" si="74"/>
        <v>0</v>
      </c>
      <c r="EX39" s="116">
        <f t="shared" ca="1" si="75"/>
        <v>22000</v>
      </c>
      <c r="EY39" s="116">
        <f t="shared" ca="1" si="76"/>
        <v>-12595.240000000002</v>
      </c>
      <c r="EZ39" s="116">
        <f t="shared" ca="1" si="77"/>
        <v>9404.7599999999984</v>
      </c>
      <c r="FA39" s="116">
        <f t="shared" ca="1" si="78"/>
        <v>457023.8</v>
      </c>
      <c r="FB39" s="116">
        <f t="shared" ca="1" si="79"/>
        <v>0</v>
      </c>
      <c r="FC39" s="189"/>
      <c r="FE39" s="31"/>
      <c r="FG39" s="31"/>
    </row>
    <row r="40" spans="1:163" ht="13">
      <c r="A40" s="10">
        <f>IF(E40&lt;=HistSecRecord!$E$1,1,0)</f>
        <v>0</v>
      </c>
      <c r="B40" s="190">
        <f>After1stCHK!B39</f>
        <v>44568000044</v>
      </c>
      <c r="C40" s="3" t="str">
        <f>After1stCHK!C39</f>
        <v>D0005</v>
      </c>
      <c r="D40" s="29" t="str">
        <f>After1stCHK!D39</f>
        <v>sABCD0005@hkmu.edu.hk</v>
      </c>
      <c r="E40" s="4">
        <f>After1stCHK!E39</f>
        <v>44568</v>
      </c>
      <c r="F40" s="105"/>
      <c r="G40" s="79" t="str">
        <f>After1stCHK!F39</f>
        <v>SELL (SHORT)</v>
      </c>
      <c r="H40" s="80" t="str">
        <f>After1stCHK!G39</f>
        <v>XS2106834299</v>
      </c>
      <c r="I40" s="81" t="str">
        <f>After1stCHK!H39</f>
        <v>Bond</v>
      </c>
      <c r="J40" s="109">
        <f>After1stCHK!I39</f>
        <v>0</v>
      </c>
      <c r="K40" s="103">
        <f>After1stCHK!J39</f>
        <v>20</v>
      </c>
      <c r="L40" s="56">
        <f>After1stCHK!K39</f>
        <v>0</v>
      </c>
      <c r="M40" s="104">
        <f>After1stCHK!L39</f>
        <v>0</v>
      </c>
      <c r="N40" s="82">
        <f>After1stCHK!M39</f>
        <v>19</v>
      </c>
      <c r="O40" s="82"/>
      <c r="P40" s="86"/>
      <c r="T40" s="87">
        <f t="shared" si="0"/>
        <v>44568</v>
      </c>
      <c r="U40" s="102"/>
      <c r="V40" s="81" t="str">
        <f>VLOOKUP($B40,After1stCHK!$B$3:$AO$87840,MATCH(V$4,After1stCHK!$B$3:$AO$3,0),FALSE)</f>
        <v>USD</v>
      </c>
      <c r="W40" s="82" t="str">
        <f>VLOOKUP($B40,After1stCHK!$B$3:$AO$87840,MATCH(W$4,After1stCHK!$B$3:$AO$3,0),FALSE)</f>
        <v xml:space="preserve"> </v>
      </c>
      <c r="X40" s="82" t="str">
        <f>VLOOKUP($B40,After1stCHK!$B$3:$AO$87840,MATCH(X$4,After1stCHK!$B$3:$AO$3,0),FALSE)</f>
        <v xml:space="preserve"> </v>
      </c>
      <c r="Y40" s="82" t="str">
        <f>VLOOKUP($B40,After1stCHK!$B$3:$AO$87840,MATCH(Y$4,After1stCHK!$B$3:$AO$3,0),FALSE)</f>
        <v xml:space="preserve"> </v>
      </c>
      <c r="Z40" s="82" t="str">
        <f>VLOOKUP($B40,After1stCHK!$B$3:$AO$87840,MATCH(Z$4,After1stCHK!$B$3:$AO$3,0),FALSE)</f>
        <v xml:space="preserve"> </v>
      </c>
      <c r="AA40" s="82" t="str">
        <f>VLOOKUP($B40,After1stCHK!$B$3:$AO$87840,MATCH(AA$4,After1stCHK!$B$3:$AO$3,0),FALSE)</f>
        <v xml:space="preserve"> </v>
      </c>
      <c r="AB40" s="82" t="str">
        <f>VLOOKUP($B40,After1stCHK!$B$3:$AO$87840,MATCH(AB$4,After1stCHK!$B$3:$AO$3,0),FALSE)</f>
        <v xml:space="preserve"> </v>
      </c>
      <c r="AC40" s="110" t="str">
        <f>VLOOKUP($B40,After1stCHK!$B$3:$AO$87840,MATCH(AC$4,After1stCHK!$B$3:$AO$3,0),FALSE)</f>
        <v>China Evergrande Group</v>
      </c>
      <c r="AD40" s="110">
        <f>VLOOKUP($B40,After1stCHK!$B$3:$AO$87840,MATCH(AD$4,After1stCHK!$B$3:$AO$3,0),FALSE)</f>
        <v>10.79</v>
      </c>
      <c r="AE40" s="110">
        <f>VLOOKUP($B40,After1stCHK!$B$3:$AO$87840,MATCH(AE$4,After1stCHK!$B$3:$AO$3,0),FALSE)</f>
        <v>13.21</v>
      </c>
      <c r="AF40" s="111">
        <f>VLOOKUP($B40,After1stCHK!$B$3:$AO$87840,MATCH(AF$4,After1stCHK!$B$3:$AO$3,0),FALSE)</f>
        <v>0.115</v>
      </c>
      <c r="AG40" s="112">
        <f>VLOOKUP($B40,After1stCHK!$B$3:$AO$87840,MATCH(AG$4,After1stCHK!$B$3:$AO$3,0),FALSE)</f>
        <v>44948</v>
      </c>
      <c r="AH40" s="110" t="str">
        <f>VLOOKUP($B40,After1stCHK!$B$3:$AO$87840,MATCH(AH$4,After1stCHK!$B$3:$AO$3,0),FALSE)</f>
        <v>N.R/ N.R</v>
      </c>
      <c r="AI40" s="110">
        <f>VLOOKUP($B40,After1stCHK!$B$3:$AO$87840,MATCH(AI$4,After1stCHK!$B$3:$AO$3,0),FALSE)</f>
        <v>0.98499999999999999</v>
      </c>
      <c r="AJ40" s="110" t="str">
        <f>VLOOKUP($B40,After1stCHK!$B$3:$AO$87840,MATCH(AJ$4,After1stCHK!$B$3:$AO$3,0),FALSE)</f>
        <v>Senior Secured</v>
      </c>
      <c r="AK40" s="110" t="str">
        <f>VLOOKUP($B40,After1stCHK!$B$3:$AO$87840,MATCH(AK$4,After1stCHK!$B$3:$AO$3,0),FALSE)</f>
        <v>High Yield Corporate</v>
      </c>
      <c r="AL40" s="56" t="str">
        <f>VLOOKUP($B40,After1stCHK!$B$3:$AO$87840,MATCH(AL$4,After1stCHK!$B$3:$AO$3,0),FALSE)</f>
        <v>(blank)</v>
      </c>
      <c r="AM40" s="56" t="str">
        <f>VLOOKUP($B40,After1stCHK!$B$3:$AO$87840,MATCH(AM$4,After1stCHK!$B$3:$AO$3,0),FALSE)</f>
        <v>(blank)</v>
      </c>
      <c r="AN40" s="56" t="str">
        <f>VLOOKUP($B40,After1stCHK!$B$3:$AO$87840,MATCH(AN$4,After1stCHK!$B$3:$AO$3,0),FALSE)</f>
        <v>(blank)</v>
      </c>
      <c r="AO40" s="56" t="str">
        <f>VLOOKUP($B40,After1stCHK!$B$3:$AO$87840,MATCH(AO$4,After1stCHK!$B$3:$AO$3,0),FALSE)</f>
        <v>(blank)</v>
      </c>
      <c r="AP40" s="56" t="str">
        <f>VLOOKUP($B40,After1stCHK!$B$3:$AO$87840,MATCH(AP$4,After1stCHK!$B$3:$AO$3,0),FALSE)</f>
        <v>(blank)</v>
      </c>
      <c r="AQ40" s="56" t="str">
        <f>VLOOKUP($B40,After1stCHK!$B$3:$AO$87840,MATCH(AQ$4,After1stCHK!$B$3:$AO$3,0),FALSE)</f>
        <v>(blank)</v>
      </c>
      <c r="AR40" s="56" t="str">
        <f>VLOOKUP($B40,After1stCHK!$B$3:$AO$87840,MATCH(AR$4,After1stCHK!$B$3:$AO$3,0),FALSE)</f>
        <v>(blank)</v>
      </c>
      <c r="AS40" s="56" t="str">
        <f>VLOOKUP($B40,After1stCHK!$B$3:$AO$87840,MATCH(AS$4,After1stCHK!$B$3:$AO$3,0),FALSE)</f>
        <v>(blank)</v>
      </c>
      <c r="AT40" s="56" t="str">
        <f>VLOOKUP($B40,After1stCHK!$B$3:$AO$87840,MATCH(AT$4,After1stCHK!$B$3:$AO$3,0),FALSE)</f>
        <v>(blank)</v>
      </c>
      <c r="AU40" s="104" t="str">
        <f>VLOOKUP($B40,After1stCHK!$B$3:$AO$87840,MATCH(AU$4,After1stCHK!$B$3:$AO$3,0),FALSE)</f>
        <v>(blank)</v>
      </c>
      <c r="AV40" s="225">
        <f t="shared" si="1"/>
        <v>44948</v>
      </c>
      <c r="AX40" s="90"/>
      <c r="AY40" s="91"/>
      <c r="AZ40" s="24"/>
      <c r="BA40" s="92"/>
      <c r="BB40" s="192"/>
      <c r="BC40" s="94"/>
      <c r="BD40" s="193">
        <f t="shared" si="2"/>
        <v>0</v>
      </c>
      <c r="BE40" s="193" t="str">
        <f t="shared" si="3"/>
        <v/>
      </c>
      <c r="BF40" s="193">
        <f t="shared" ca="1" si="4"/>
        <v>0</v>
      </c>
      <c r="BG40" s="194" t="e">
        <f t="shared" ca="1" si="5"/>
        <v>#VALUE!</v>
      </c>
      <c r="BH40" s="195">
        <f t="shared" si="6"/>
        <v>2</v>
      </c>
      <c r="BI40" s="195">
        <f t="shared" si="7"/>
        <v>-1</v>
      </c>
      <c r="BJ40" s="3">
        <f t="shared" si="8"/>
        <v>20</v>
      </c>
      <c r="BK40" s="3" t="str">
        <f t="shared" si="9"/>
        <v>USD</v>
      </c>
      <c r="BL40" s="196">
        <f ca="1">IF(V40="HKD",1,OFFSET(FX!$A$5,MATCH(E40,FX!A:A,0)-ROW(FX!$A$5),MATCH(V40,FX!$A$5:$AM$5,0)-1,1,1))</f>
        <v>7.7976700000000001</v>
      </c>
      <c r="BM40" s="197" t="str">
        <f t="shared" si="10"/>
        <v>XS2106834299</v>
      </c>
      <c r="BN40" s="198">
        <f t="shared" si="11"/>
        <v>0</v>
      </c>
      <c r="BO40" s="199"/>
      <c r="BP40" s="200">
        <f t="shared" si="12"/>
        <v>0</v>
      </c>
      <c r="BQ40" s="201">
        <f t="shared" si="13"/>
        <v>0</v>
      </c>
      <c r="BR40" s="202">
        <f t="shared" si="14"/>
        <v>0</v>
      </c>
      <c r="BS40" s="203">
        <f t="shared" ca="1" si="15"/>
        <v>0</v>
      </c>
      <c r="BT40" s="204"/>
      <c r="BU40" s="199">
        <f t="shared" si="16"/>
        <v>10.79</v>
      </c>
      <c r="BV40" s="201">
        <f t="shared" si="17"/>
        <v>-20</v>
      </c>
      <c r="BW40" s="202">
        <f t="shared" si="18"/>
        <v>-2158</v>
      </c>
      <c r="BX40" s="203">
        <f t="shared" ca="1" si="19"/>
        <v>-16827.371859999999</v>
      </c>
      <c r="BY40" s="204"/>
      <c r="BZ40" s="198">
        <f t="shared" si="20"/>
        <v>0</v>
      </c>
      <c r="CA40" s="199"/>
      <c r="CB40" s="200">
        <f t="shared" si="21"/>
        <v>0</v>
      </c>
      <c r="CC40" s="201">
        <f t="shared" si="22"/>
        <v>0</v>
      </c>
      <c r="CD40" s="202">
        <f t="shared" si="23"/>
        <v>0</v>
      </c>
      <c r="CE40" s="203">
        <f t="shared" ca="1" si="24"/>
        <v>0</v>
      </c>
      <c r="CF40" s="204"/>
      <c r="CG40" s="205">
        <f t="shared" si="25"/>
        <v>0</v>
      </c>
      <c r="CH40" s="206">
        <f t="shared" si="26"/>
        <v>0</v>
      </c>
      <c r="CI40" s="207">
        <f t="shared" si="27"/>
        <v>0</v>
      </c>
      <c r="CJ40" s="203">
        <f t="shared" ca="1" si="28"/>
        <v>0</v>
      </c>
      <c r="CK40" s="204"/>
      <c r="CL40" s="208">
        <f t="shared" ca="1" si="29"/>
        <v>16827.371859999999</v>
      </c>
      <c r="CM40" s="209" t="str">
        <f t="shared" si="30"/>
        <v/>
      </c>
      <c r="CN40" s="210" t="str">
        <f t="shared" si="31"/>
        <v>XS2106834299</v>
      </c>
      <c r="CO40" s="153">
        <f t="shared" si="32"/>
        <v>44568</v>
      </c>
      <c r="CP40" s="211">
        <f t="shared" ref="CP40:CQ40" si="148">AZ40</f>
        <v>0</v>
      </c>
      <c r="CQ40" s="212">
        <f t="shared" si="148"/>
        <v>0</v>
      </c>
      <c r="CR40" s="213">
        <f t="shared" si="34"/>
        <v>0</v>
      </c>
      <c r="CS40" s="213">
        <f t="shared" si="35"/>
        <v>0</v>
      </c>
      <c r="CT40" s="214">
        <f>SUMIFS('1HistTrade'!DF:DF,'1HistTrade'!$D:$D,$D40,'1HistTrade'!$BM:$BM,$BM40,'1HistTrade'!$B:$B,"&lt;"&amp;$B40)</f>
        <v>0</v>
      </c>
      <c r="CU40" s="215">
        <f>SUMIFS('1HistTrade'!DG:DG,'1HistTrade'!$D:$D,$D40,'1HistTrade'!$BM:$BM,$BM40,'1HistTrade'!$B:$B,"&lt;"&amp;$B40)</f>
        <v>0</v>
      </c>
      <c r="CV40" s="215">
        <f>SUMIFS('1HistTrade'!DH:DH,'1HistTrade'!$D:$D,$D40,'1HistTrade'!$BM:$BM,$BM40,'1HistTrade'!$B:$B,"&lt;"&amp;$B40)</f>
        <v>0</v>
      </c>
      <c r="CW40" s="215">
        <f>SUMIFS('1HistTrade'!DI:DI,'1HistTrade'!$D:$D,$D40,'1HistTrade'!$BM:$BM,$BM40,'1HistTrade'!$B:$B,"&lt;"&amp;$B40)</f>
        <v>0</v>
      </c>
      <c r="CX40" s="216">
        <f t="shared" si="36"/>
        <v>0</v>
      </c>
      <c r="CY40" s="216">
        <f t="shared" si="37"/>
        <v>-20</v>
      </c>
      <c r="CZ40" s="216">
        <f t="shared" si="38"/>
        <v>0</v>
      </c>
      <c r="DA40" s="216">
        <f t="shared" ca="1" si="39"/>
        <v>0</v>
      </c>
      <c r="DB40" s="21" t="str">
        <f t="shared" si="40"/>
        <v/>
      </c>
      <c r="DC40" s="21" t="str">
        <f t="shared" si="41"/>
        <v>SS</v>
      </c>
      <c r="DD40" s="21" t="str">
        <f t="shared" si="42"/>
        <v/>
      </c>
      <c r="DE40" s="21" t="str">
        <f t="shared" ca="1" si="43"/>
        <v/>
      </c>
      <c r="DF40" s="215">
        <f t="shared" si="44"/>
        <v>0</v>
      </c>
      <c r="DG40" s="215">
        <f t="shared" si="45"/>
        <v>-20</v>
      </c>
      <c r="DH40" s="215">
        <f t="shared" si="46"/>
        <v>0</v>
      </c>
      <c r="DI40" s="215">
        <f t="shared" ca="1" si="47"/>
        <v>0</v>
      </c>
      <c r="DJ40" s="215" t="str">
        <f t="shared" si="48"/>
        <v>SS</v>
      </c>
      <c r="DK40" s="116"/>
      <c r="DL40" s="116">
        <f t="shared" si="49"/>
        <v>0</v>
      </c>
      <c r="DM40" s="116">
        <f t="shared" si="50"/>
        <v>0</v>
      </c>
      <c r="DN40" s="116">
        <f t="shared" ca="1" si="51"/>
        <v>0</v>
      </c>
      <c r="DO40" s="217">
        <f t="shared" si="52"/>
        <v>0</v>
      </c>
      <c r="DP40" s="217">
        <f t="shared" si="53"/>
        <v>0</v>
      </c>
      <c r="DQ40" s="116">
        <f>IF($DT$1="Delete",0,IF(OR(DG40="",DG40=0),0,SUMIFS('1HistTrade'!$ED:$ED,'1HistTrade'!$D:$D,D40,'1HistTrade'!$H:$H,H40,'1HistTrade'!$B:$B,"&lt;"&amp;B40)))</f>
        <v>0</v>
      </c>
      <c r="DR40" s="116">
        <f t="shared" ca="1" si="54"/>
        <v>-16827.371859999999</v>
      </c>
      <c r="DS40" s="116">
        <f t="shared" ca="1" si="55"/>
        <v>-16827.371859999999</v>
      </c>
      <c r="DT40" s="116">
        <f>IF($DT$1="Delete",0,IF(OR(DI40="",DI40=0),0,SUMIFS('1HistTrade'!$ED:$ED,'1HistTrade'!$D:$D,D40,'1HistTrade'!$H:$H,H40,'1HistTrade'!$B:$B,"&lt;"&amp;B40)))</f>
        <v>0</v>
      </c>
      <c r="DU40" s="116">
        <f t="shared" ca="1" si="56"/>
        <v>0</v>
      </c>
      <c r="DV40" s="116">
        <f t="shared" ca="1" si="57"/>
        <v>0</v>
      </c>
      <c r="DW40" s="218">
        <f t="shared" si="58"/>
        <v>0</v>
      </c>
      <c r="DX40" s="219"/>
      <c r="DY40" s="219">
        <f t="shared" si="59"/>
        <v>0</v>
      </c>
      <c r="DZ40" s="220">
        <f t="shared" ca="1" si="60"/>
        <v>0</v>
      </c>
      <c r="EA40" s="220">
        <f t="shared" si="61"/>
        <v>0</v>
      </c>
      <c r="EB40" s="221">
        <f t="shared" ca="1" si="62"/>
        <v>0</v>
      </c>
      <c r="EC40" s="116">
        <f t="shared" ca="1" si="63"/>
        <v>16827.371859999999</v>
      </c>
      <c r="ED40" s="116">
        <f t="shared" ca="1" si="64"/>
        <v>-16827.371859999999</v>
      </c>
      <c r="EE40" s="222" t="str">
        <f t="shared" si="65"/>
        <v/>
      </c>
      <c r="EF40" s="116">
        <f t="shared" si="66"/>
        <v>-20</v>
      </c>
      <c r="EG40" s="223">
        <f ca="1">IF(ISERROR(VLOOKUP(_xludf.maxifs(DbyD!C:C,DbyD!B:B,C40,DbyD!F:F,"&lt;=" &amp; E40,DbyD!C:C,"&lt;"&amp;B40),DbyD!C:BE,MATCH(DbyD!$BB$9,DbyD!$9:$9,0)-2,FALSE)),0,VLOOKUP(_xludf.maxifs(DbyD!C:C,DbyD!B:B,C40,DbyD!F:F,"&lt;=" &amp; E40,DbyD!C:C,"&lt;"&amp;B40),DbyD!C:BE,MATCH(DbyD!$BB$9,DbyD!$9:$9,0)-2,FALSE))</f>
        <v>0</v>
      </c>
      <c r="EH40" s="116">
        <f>SUMIFS('1HistTrade'!$EM:$EM,'1HistTrade'!$D:$D,D40,'1HistTrade'!$B:$B,"&lt;"&amp;B40,'1HistTrade'!$DJ:$DJ,"&lt;&gt;"&amp;"CD/CW")*-1</f>
        <v>-12595.240000000002</v>
      </c>
      <c r="EI40" s="116">
        <f t="shared" ca="1" si="67"/>
        <v>-12595.240000000002</v>
      </c>
      <c r="EJ40" s="116">
        <f>SUMIFS('1HistTrade'!$EN:$EN,'1HistTrade'!$D:$D,D40,'1HistTrade'!$B:$B,"&lt;"&amp;B40)</f>
        <v>457023.8</v>
      </c>
      <c r="EK40" s="224">
        <f>SUMIFS('1HistTrade'!$EU:$EU,'1HistTrade'!$D:$D,D40,'1HistTrade'!$B:$B,"&lt;"&amp;B40)</f>
        <v>0</v>
      </c>
      <c r="EL40" s="116"/>
      <c r="EM40" s="116">
        <f t="shared" ref="EM40:EN40" ca="1" si="149">EC40</f>
        <v>16827.371859999999</v>
      </c>
      <c r="EN40" s="116">
        <f t="shared" ca="1" si="149"/>
        <v>-16827.371859999999</v>
      </c>
      <c r="EO40" s="224"/>
      <c r="EP40" s="116"/>
      <c r="EQ40" s="116">
        <f t="shared" ca="1" si="69"/>
        <v>16827.371859999999</v>
      </c>
      <c r="ER40" s="116">
        <f t="shared" ca="1" si="70"/>
        <v>-29422.611860000001</v>
      </c>
      <c r="ES40" s="116">
        <f t="shared" ca="1" si="71"/>
        <v>-12595.240000000002</v>
      </c>
      <c r="ET40" s="116">
        <f t="shared" ca="1" si="72"/>
        <v>440196.42813999997</v>
      </c>
      <c r="EU40" s="224">
        <f t="shared" ca="1" si="73"/>
        <v>0</v>
      </c>
      <c r="EV40" s="213">
        <f t="shared" ca="1" si="74"/>
        <v>0</v>
      </c>
      <c r="EX40" s="116">
        <f t="shared" ca="1" si="75"/>
        <v>16827.371859999999</v>
      </c>
      <c r="EY40" s="116">
        <f t="shared" ca="1" si="76"/>
        <v>-29422.611860000001</v>
      </c>
      <c r="EZ40" s="116">
        <f t="shared" ca="1" si="77"/>
        <v>-12595.240000000002</v>
      </c>
      <c r="FA40" s="116">
        <f t="shared" ca="1" si="78"/>
        <v>440196.42813999997</v>
      </c>
      <c r="FB40" s="116">
        <f t="shared" ca="1" si="79"/>
        <v>0</v>
      </c>
      <c r="FC40" s="189"/>
      <c r="FE40" s="31"/>
      <c r="FG40" s="31"/>
    </row>
    <row r="41" spans="1:163" ht="13">
      <c r="A41" s="10">
        <f>IF(E41&lt;=HistSecRecord!$E$1,1,0)</f>
        <v>0</v>
      </c>
      <c r="B41" s="190">
        <f>After1stCHK!B40</f>
        <v>44569000022</v>
      </c>
      <c r="C41" s="3" t="str">
        <f>After1stCHK!C40</f>
        <v>D0001</v>
      </c>
      <c r="D41" s="29" t="str">
        <f>After1stCHK!D40</f>
        <v>sABCD0001@hkmu.edu.hk</v>
      </c>
      <c r="E41" s="4">
        <f>After1stCHK!E40</f>
        <v>44569</v>
      </c>
      <c r="F41" s="105"/>
      <c r="G41" s="79" t="str">
        <f>After1stCHK!F40</f>
        <v>SELL (SHORT)</v>
      </c>
      <c r="H41" s="226" t="str">
        <f>After1stCHK!G40</f>
        <v>MC.PA</v>
      </c>
      <c r="I41" s="81" t="str">
        <f>After1stCHK!H40</f>
        <v>Stock</v>
      </c>
      <c r="J41" s="109">
        <f>After1stCHK!I40</f>
        <v>51</v>
      </c>
      <c r="K41" s="103">
        <f>After1stCHK!J40</f>
        <v>0</v>
      </c>
      <c r="L41" s="56">
        <f>After1stCHK!K40</f>
        <v>0</v>
      </c>
      <c r="M41" s="104">
        <f>After1stCHK!L40</f>
        <v>0</v>
      </c>
      <c r="N41" s="82">
        <f>After1stCHK!M40</f>
        <v>720</v>
      </c>
      <c r="O41" s="82"/>
      <c r="P41" s="86"/>
      <c r="T41" s="87">
        <f t="shared" si="0"/>
        <v>44569</v>
      </c>
      <c r="U41" s="102"/>
      <c r="V41" s="81" t="str">
        <f>VLOOKUP($B41,After1stCHK!$B$3:$AO$87840,MATCH(V$4,After1stCHK!$B$3:$AO$3,0),FALSE)</f>
        <v>EUR</v>
      </c>
      <c r="W41" s="100" t="str">
        <f>VLOOKUP($B41,After1stCHK!$B$3:$AO$87840,MATCH(W$4,After1stCHK!$B$3:$AO$3,0),FALSE)</f>
        <v>MC.PA</v>
      </c>
      <c r="X41" s="82">
        <f>VLOOKUP($B41,After1stCHK!$B$3:$AO$87840,MATCH(X$4,After1stCHK!$B$3:$AO$3,0),FALSE)</f>
        <v>673.7</v>
      </c>
      <c r="Y41" s="82">
        <f>VLOOKUP($B41,After1stCHK!$B$3:$AO$87840,MATCH(Y$4,After1stCHK!$B$3:$AO$3,0),FALSE)</f>
        <v>687.9</v>
      </c>
      <c r="Z41" s="82">
        <f>VLOOKUP($B41,After1stCHK!$B$3:$AO$87840,MATCH(Z$4,After1stCHK!$B$3:$AO$3,0),FALSE)</f>
        <v>671.7</v>
      </c>
      <c r="AA41" s="82">
        <f>VLOOKUP($B41,After1stCHK!$B$3:$AO$87840,MATCH(AA$4,After1stCHK!$B$3:$AO$3,0),FALSE)</f>
        <v>667</v>
      </c>
      <c r="AB41" s="82">
        <f>VLOOKUP($B41,After1stCHK!$B$3:$AO$87840,MATCH(AB$4,After1stCHK!$B$3:$AO$3,0),FALSE)</f>
        <v>439855</v>
      </c>
      <c r="AC41" s="103" t="str">
        <f>VLOOKUP($B41,After1stCHK!$B$3:$AO$87840,MATCH(AC$4,After1stCHK!$B$3:$AO$3,0),FALSE)</f>
        <v>(blank)</v>
      </c>
      <c r="AD41" s="103" t="str">
        <f>VLOOKUP($B41,After1stCHK!$B$3:$AO$87840,MATCH(AD$4,After1stCHK!$B$3:$AO$3,0),FALSE)</f>
        <v>(blank)</v>
      </c>
      <c r="AE41" s="103" t="str">
        <f>VLOOKUP($B41,After1stCHK!$B$3:$AO$87840,MATCH(AE$4,After1stCHK!$B$3:$AO$3,0),FALSE)</f>
        <v>(blank)</v>
      </c>
      <c r="AF41" s="103" t="str">
        <f>VLOOKUP($B41,After1stCHK!$B$3:$AO$87840,MATCH(AF$4,After1stCHK!$B$3:$AO$3,0),FALSE)</f>
        <v>(blank)</v>
      </c>
      <c r="AG41" s="103" t="str">
        <f>VLOOKUP($B41,After1stCHK!$B$3:$AO$87840,MATCH(AG$4,After1stCHK!$B$3:$AO$3,0),FALSE)</f>
        <v>(blank)</v>
      </c>
      <c r="AH41" s="103" t="str">
        <f>VLOOKUP($B41,After1stCHK!$B$3:$AO$87840,MATCH(AH$4,After1stCHK!$B$3:$AO$3,0),FALSE)</f>
        <v>(blank)</v>
      </c>
      <c r="AI41" s="103" t="str">
        <f>VLOOKUP($B41,After1stCHK!$B$3:$AO$87840,MATCH(AI$4,After1stCHK!$B$3:$AO$3,0),FALSE)</f>
        <v>(blank)</v>
      </c>
      <c r="AJ41" s="103" t="str">
        <f>VLOOKUP($B41,After1stCHK!$B$3:$AO$87840,MATCH(AJ$4,After1stCHK!$B$3:$AO$3,0),FALSE)</f>
        <v>(blank)</v>
      </c>
      <c r="AK41" s="103" t="str">
        <f>VLOOKUP($B41,After1stCHK!$B$3:$AO$87840,MATCH(AK$4,After1stCHK!$B$3:$AO$3,0),FALSE)</f>
        <v>(blank)</v>
      </c>
      <c r="AL41" s="56" t="str">
        <f>VLOOKUP($B41,After1stCHK!$B$3:$AO$87840,MATCH(AL$4,After1stCHK!$B$3:$AO$3,0),FALSE)</f>
        <v>(blank)</v>
      </c>
      <c r="AM41" s="56" t="str">
        <f>VLOOKUP($B41,After1stCHK!$B$3:$AO$87840,MATCH(AM$4,After1stCHK!$B$3:$AO$3,0),FALSE)</f>
        <v>(blank)</v>
      </c>
      <c r="AN41" s="56" t="str">
        <f>VLOOKUP($B41,After1stCHK!$B$3:$AO$87840,MATCH(AN$4,After1stCHK!$B$3:$AO$3,0),FALSE)</f>
        <v>(blank)</v>
      </c>
      <c r="AO41" s="56" t="str">
        <f>VLOOKUP($B41,After1stCHK!$B$3:$AO$87840,MATCH(AO$4,After1stCHK!$B$3:$AO$3,0),FALSE)</f>
        <v>(blank)</v>
      </c>
      <c r="AP41" s="56" t="str">
        <f>VLOOKUP($B41,After1stCHK!$B$3:$AO$87840,MATCH(AP$4,After1stCHK!$B$3:$AO$3,0),FALSE)</f>
        <v>(blank)</v>
      </c>
      <c r="AQ41" s="56" t="str">
        <f>VLOOKUP($B41,After1stCHK!$B$3:$AO$87840,MATCH(AQ$4,After1stCHK!$B$3:$AO$3,0),FALSE)</f>
        <v>(blank)</v>
      </c>
      <c r="AR41" s="56" t="str">
        <f>VLOOKUP($B41,After1stCHK!$B$3:$AO$87840,MATCH(AR$4,After1stCHK!$B$3:$AO$3,0),FALSE)</f>
        <v>(blank)</v>
      </c>
      <c r="AS41" s="56" t="str">
        <f>VLOOKUP($B41,After1stCHK!$B$3:$AO$87840,MATCH(AS$4,After1stCHK!$B$3:$AO$3,0),FALSE)</f>
        <v>(blank)</v>
      </c>
      <c r="AT41" s="56" t="str">
        <f>VLOOKUP($B41,After1stCHK!$B$3:$AO$87840,MATCH(AT$4,After1stCHK!$B$3:$AO$3,0),FALSE)</f>
        <v>(blank)</v>
      </c>
      <c r="AU41" s="104" t="str">
        <f>VLOOKUP($B41,After1stCHK!$B$3:$AO$87840,MATCH(AU$4,After1stCHK!$B$3:$AO$3,0),FALSE)</f>
        <v>(blank)</v>
      </c>
      <c r="AV41" s="225" t="str">
        <f t="shared" si="1"/>
        <v/>
      </c>
      <c r="AX41" s="90"/>
      <c r="AY41" s="91"/>
      <c r="AZ41" s="24"/>
      <c r="BA41" s="92"/>
      <c r="BB41" s="192"/>
      <c r="BC41" s="94"/>
      <c r="BD41" s="193">
        <f t="shared" si="2"/>
        <v>0</v>
      </c>
      <c r="BE41" s="193" t="str">
        <f t="shared" si="3"/>
        <v/>
      </c>
      <c r="BF41" s="193">
        <f t="shared" ca="1" si="4"/>
        <v>0</v>
      </c>
      <c r="BG41" s="194" t="e">
        <f t="shared" ca="1" si="5"/>
        <v>#VALUE!</v>
      </c>
      <c r="BH41" s="195">
        <f t="shared" si="6"/>
        <v>1</v>
      </c>
      <c r="BI41" s="195">
        <f t="shared" si="7"/>
        <v>-1</v>
      </c>
      <c r="BJ41" s="3">
        <f t="shared" si="8"/>
        <v>51</v>
      </c>
      <c r="BK41" s="3" t="str">
        <f t="shared" si="9"/>
        <v>EUR</v>
      </c>
      <c r="BL41" s="196">
        <f ca="1">IF(V41="HKD",1,OFFSET(FX!$A$5,MATCH(E41,FX!A:A,0)-ROW(FX!$A$5),MATCH(V41,FX!$A$5:$AM$5,0)-1,1,1))</f>
        <v>8.8601500000000009</v>
      </c>
      <c r="BM41" s="227" t="str">
        <f t="shared" si="10"/>
        <v>MC.PA</v>
      </c>
      <c r="BN41" s="198">
        <f t="shared" si="11"/>
        <v>720</v>
      </c>
      <c r="BO41" s="199"/>
      <c r="BP41" s="200">
        <f t="shared" si="12"/>
        <v>720</v>
      </c>
      <c r="BQ41" s="201">
        <f t="shared" si="13"/>
        <v>-51</v>
      </c>
      <c r="BR41" s="202">
        <f t="shared" si="14"/>
        <v>-36720</v>
      </c>
      <c r="BS41" s="203">
        <f t="shared" ca="1" si="15"/>
        <v>-325344.70800000004</v>
      </c>
      <c r="BT41" s="204"/>
      <c r="BU41" s="199">
        <f t="shared" si="16"/>
        <v>0</v>
      </c>
      <c r="BV41" s="201">
        <f t="shared" si="17"/>
        <v>0</v>
      </c>
      <c r="BW41" s="202">
        <f t="shared" si="18"/>
        <v>0</v>
      </c>
      <c r="BX41" s="203">
        <f t="shared" ca="1" si="19"/>
        <v>0</v>
      </c>
      <c r="BY41" s="204"/>
      <c r="BZ41" s="198">
        <f t="shared" si="20"/>
        <v>0</v>
      </c>
      <c r="CA41" s="199"/>
      <c r="CB41" s="200">
        <f t="shared" si="21"/>
        <v>0</v>
      </c>
      <c r="CC41" s="201">
        <f t="shared" si="22"/>
        <v>0</v>
      </c>
      <c r="CD41" s="202">
        <f t="shared" si="23"/>
        <v>0</v>
      </c>
      <c r="CE41" s="203">
        <f t="shared" ca="1" si="24"/>
        <v>0</v>
      </c>
      <c r="CF41" s="204"/>
      <c r="CG41" s="205">
        <f t="shared" si="25"/>
        <v>0</v>
      </c>
      <c r="CH41" s="206">
        <f t="shared" si="26"/>
        <v>0</v>
      </c>
      <c r="CI41" s="207">
        <f t="shared" si="27"/>
        <v>0</v>
      </c>
      <c r="CJ41" s="203">
        <f t="shared" ca="1" si="28"/>
        <v>0</v>
      </c>
      <c r="CK41" s="204"/>
      <c r="CL41" s="208">
        <f t="shared" ca="1" si="29"/>
        <v>325344.70800000004</v>
      </c>
      <c r="CM41" s="209" t="str">
        <f t="shared" si="30"/>
        <v/>
      </c>
      <c r="CN41" s="228" t="str">
        <f t="shared" si="31"/>
        <v>MC.PA</v>
      </c>
      <c r="CO41" s="153">
        <f t="shared" si="32"/>
        <v>44569</v>
      </c>
      <c r="CP41" s="211">
        <f t="shared" ref="CP41:CQ41" si="150">AZ41</f>
        <v>0</v>
      </c>
      <c r="CQ41" s="212">
        <f t="shared" si="150"/>
        <v>0</v>
      </c>
      <c r="CR41" s="213">
        <f t="shared" si="34"/>
        <v>0</v>
      </c>
      <c r="CS41" s="213">
        <f t="shared" si="35"/>
        <v>0</v>
      </c>
      <c r="CT41" s="214">
        <f>SUMIFS('1HistTrade'!DF:DF,'1HistTrade'!$D:$D,$D41,'1HistTrade'!$BM:$BM,$BM41,'1HistTrade'!$B:$B,"&lt;"&amp;$B41)</f>
        <v>11</v>
      </c>
      <c r="CU41" s="215">
        <f>SUMIFS('1HistTrade'!DG:DG,'1HistTrade'!$D:$D,$D41,'1HistTrade'!$BM:$BM,$BM41,'1HistTrade'!$B:$B,"&lt;"&amp;$B41)</f>
        <v>0</v>
      </c>
      <c r="CV41" s="215">
        <f>SUMIFS('1HistTrade'!DH:DH,'1HistTrade'!$D:$D,$D41,'1HistTrade'!$BM:$BM,$BM41,'1HistTrade'!$B:$B,"&lt;"&amp;$B41)</f>
        <v>0</v>
      </c>
      <c r="CW41" s="215">
        <f>SUMIFS('1HistTrade'!DI:DI,'1HistTrade'!$D:$D,$D41,'1HistTrade'!$BM:$BM,$BM41,'1HistTrade'!$B:$B,"&lt;"&amp;$B41)</f>
        <v>0</v>
      </c>
      <c r="CX41" s="216">
        <f t="shared" si="36"/>
        <v>-40</v>
      </c>
      <c r="CY41" s="216">
        <f t="shared" si="37"/>
        <v>0</v>
      </c>
      <c r="CZ41" s="216">
        <f t="shared" si="38"/>
        <v>0</v>
      </c>
      <c r="DA41" s="216">
        <f t="shared" ca="1" si="39"/>
        <v>0</v>
      </c>
      <c r="DB41" s="21" t="str">
        <f t="shared" si="40"/>
        <v>OFSS</v>
      </c>
      <c r="DC41" s="21" t="str">
        <f t="shared" si="41"/>
        <v/>
      </c>
      <c r="DD41" s="21" t="str">
        <f t="shared" si="42"/>
        <v/>
      </c>
      <c r="DE41" s="21" t="str">
        <f t="shared" ca="1" si="43"/>
        <v/>
      </c>
      <c r="DF41" s="215">
        <f t="shared" si="44"/>
        <v>-51</v>
      </c>
      <c r="DG41" s="215">
        <f t="shared" si="45"/>
        <v>0</v>
      </c>
      <c r="DH41" s="215">
        <f t="shared" si="46"/>
        <v>0</v>
      </c>
      <c r="DI41" s="215">
        <f t="shared" ca="1" si="47"/>
        <v>0</v>
      </c>
      <c r="DJ41" s="215" t="str">
        <f t="shared" si="48"/>
        <v>OFSS</v>
      </c>
      <c r="DK41" s="116"/>
      <c r="DL41" s="116">
        <f t="shared" ca="1" si="49"/>
        <v>6379.3080000000009</v>
      </c>
      <c r="DM41" s="116">
        <f t="shared" ca="1" si="50"/>
        <v>-325344.70800000004</v>
      </c>
      <c r="DN41" s="116">
        <f t="shared" ca="1" si="51"/>
        <v>-184999.93200000003</v>
      </c>
      <c r="DO41" s="217">
        <f t="shared" ca="1" si="52"/>
        <v>0</v>
      </c>
      <c r="DP41" s="217">
        <f t="shared" ca="1" si="53"/>
        <v>-325344.70800000004</v>
      </c>
      <c r="DQ41" s="116">
        <f>IF($DT$1="Delete",0,IF(OR(DG41="",DG41=0),0,SUMIFS('1HistTrade'!$ED:$ED,'1HistTrade'!$D:$D,D41,'1HistTrade'!$H:$H,H41,'1HistTrade'!$B:$B,"&lt;"&amp;B41)))</f>
        <v>0</v>
      </c>
      <c r="DR41" s="116">
        <f t="shared" ca="1" si="54"/>
        <v>0</v>
      </c>
      <c r="DS41" s="116">
        <f t="shared" ca="1" si="55"/>
        <v>0</v>
      </c>
      <c r="DT41" s="116">
        <f>IF($DT$1="Delete",0,IF(OR(DI41="",DI41=0),0,SUMIFS('1HistTrade'!$ED:$ED,'1HistTrade'!$D:$D,D41,'1HistTrade'!$H:$H,H41,'1HistTrade'!$B:$B,"&lt;"&amp;B41)))</f>
        <v>0</v>
      </c>
      <c r="DU41" s="116">
        <f t="shared" ca="1" si="56"/>
        <v>0</v>
      </c>
      <c r="DV41" s="116">
        <f t="shared" ca="1" si="57"/>
        <v>0</v>
      </c>
      <c r="DW41" s="218">
        <f t="shared" si="58"/>
        <v>0</v>
      </c>
      <c r="DX41" s="219"/>
      <c r="DY41" s="219">
        <f t="shared" si="59"/>
        <v>0</v>
      </c>
      <c r="DZ41" s="220">
        <f t="shared" ca="1" si="60"/>
        <v>0</v>
      </c>
      <c r="EA41" s="220">
        <f t="shared" si="61"/>
        <v>0</v>
      </c>
      <c r="EB41" s="221">
        <f t="shared" ca="1" si="62"/>
        <v>0</v>
      </c>
      <c r="EC41" s="116">
        <f t="shared" ca="1" si="63"/>
        <v>325344.70800000004</v>
      </c>
      <c r="ED41" s="116">
        <f t="shared" ca="1" si="64"/>
        <v>-184999.93200000003</v>
      </c>
      <c r="EE41" s="222" t="str">
        <f t="shared" si="65"/>
        <v/>
      </c>
      <c r="EF41" s="116">
        <f t="shared" si="66"/>
        <v>-29</v>
      </c>
      <c r="EG41" s="223">
        <f ca="1">IF(ISERROR(VLOOKUP(_xludf.maxifs(DbyD!C:C,DbyD!B:B,C41,DbyD!F:F,"&lt;=" &amp; E41,DbyD!C:C,"&lt;"&amp;B41),DbyD!C:BE,MATCH(DbyD!$BB$9,DbyD!$9:$9,0)-2,FALSE)),0,VLOOKUP(_xludf.maxifs(DbyD!C:C,DbyD!B:B,C41,DbyD!F:F,"&lt;=" &amp; E41,DbyD!C:C,"&lt;"&amp;B41),DbyD!C:BE,MATCH(DbyD!$BB$9,DbyD!$9:$9,0)-2,FALSE))</f>
        <v>0</v>
      </c>
      <c r="EH41" s="116">
        <f>SUMIFS('1HistTrade'!$EM:$EM,'1HistTrade'!$D:$D,D41,'1HistTrade'!$B:$B,"&lt;"&amp;B41,'1HistTrade'!$DJ:$DJ,"&lt;&gt;"&amp;"CD/CW")*-1</f>
        <v>92420.949649999966</v>
      </c>
      <c r="EI41" s="116">
        <f t="shared" ca="1" si="67"/>
        <v>92420.949649999966</v>
      </c>
      <c r="EJ41" s="116">
        <f>SUMIFS('1HistTrade'!$EN:$EN,'1HistTrade'!$D:$D,D41,'1HistTrade'!$B:$B,"&lt;"&amp;B41)</f>
        <v>332127.71385000006</v>
      </c>
      <c r="EK41" s="224">
        <f>SUMIFS('1HistTrade'!$EU:$EU,'1HistTrade'!$D:$D,D41,'1HistTrade'!$B:$B,"&lt;"&amp;B41)</f>
        <v>0</v>
      </c>
      <c r="EL41" s="116"/>
      <c r="EM41" s="116">
        <f t="shared" ref="EM41:EN41" ca="1" si="151">EC41</f>
        <v>325344.70800000004</v>
      </c>
      <c r="EN41" s="116">
        <f t="shared" ca="1" si="151"/>
        <v>-184999.93200000003</v>
      </c>
      <c r="EO41" s="224"/>
      <c r="EP41" s="116"/>
      <c r="EQ41" s="116">
        <f t="shared" ca="1" si="69"/>
        <v>325344.70800000004</v>
      </c>
      <c r="ER41" s="116">
        <f t="shared" ca="1" si="70"/>
        <v>-232923.75835000008</v>
      </c>
      <c r="ES41" s="116">
        <f t="shared" ca="1" si="71"/>
        <v>92420.949649999966</v>
      </c>
      <c r="ET41" s="116">
        <f t="shared" ca="1" si="72"/>
        <v>147127.78185000003</v>
      </c>
      <c r="EU41" s="224">
        <f t="shared" ca="1" si="73"/>
        <v>0</v>
      </c>
      <c r="EV41" s="213">
        <f t="shared" ca="1" si="74"/>
        <v>0</v>
      </c>
      <c r="EX41" s="116">
        <f t="shared" ca="1" si="75"/>
        <v>325344.70800000004</v>
      </c>
      <c r="EY41" s="116">
        <f t="shared" ca="1" si="76"/>
        <v>-232923.75835000008</v>
      </c>
      <c r="EZ41" s="116">
        <f t="shared" ca="1" si="77"/>
        <v>92420.949649999966</v>
      </c>
      <c r="FA41" s="116">
        <f t="shared" ca="1" si="78"/>
        <v>147127.78185000003</v>
      </c>
      <c r="FB41" s="116">
        <f t="shared" ca="1" si="79"/>
        <v>0</v>
      </c>
      <c r="FC41" s="189"/>
      <c r="FE41" s="31"/>
      <c r="FG41" s="31"/>
    </row>
    <row r="42" spans="1:163" ht="13">
      <c r="A42" s="10">
        <f>IF(E42&lt;=HistSecRecord!$E$1,1,0)</f>
        <v>0</v>
      </c>
      <c r="B42" s="229">
        <f>After1stCHK!B41</f>
        <v>44570000023</v>
      </c>
      <c r="C42" s="3" t="str">
        <f>After1stCHK!C41</f>
        <v>D0001</v>
      </c>
      <c r="D42" s="29" t="str">
        <f>After1stCHK!D41</f>
        <v>sABCD0001@hkmu.edu.hk</v>
      </c>
      <c r="E42" s="4">
        <f>After1stCHK!E41</f>
        <v>44570</v>
      </c>
      <c r="F42" s="105"/>
      <c r="G42" s="79" t="str">
        <f>After1stCHK!F41</f>
        <v>SELL (SHORT)</v>
      </c>
      <c r="H42" s="226" t="str">
        <f>After1stCHK!G41</f>
        <v>0700.HK</v>
      </c>
      <c r="I42" s="81" t="str">
        <f>After1stCHK!H41</f>
        <v>Stock</v>
      </c>
      <c r="J42" s="109">
        <f>After1stCHK!I41</f>
        <v>15</v>
      </c>
      <c r="K42" s="103">
        <f>After1stCHK!J41</f>
        <v>0</v>
      </c>
      <c r="L42" s="56">
        <f>After1stCHK!K41</f>
        <v>0</v>
      </c>
      <c r="M42" s="104">
        <f>After1stCHK!L41</f>
        <v>0</v>
      </c>
      <c r="N42" s="82">
        <f>After1stCHK!M41</f>
        <v>445</v>
      </c>
      <c r="O42" s="82"/>
      <c r="P42" s="86"/>
      <c r="T42" s="87">
        <f t="shared" si="0"/>
        <v>44570</v>
      </c>
      <c r="U42" s="102"/>
      <c r="V42" s="81" t="str">
        <f>VLOOKUP($B42,After1stCHK!$B$3:$AO$87840,MATCH(V$4,After1stCHK!$B$3:$AO$3,0),FALSE)</f>
        <v>HKD</v>
      </c>
      <c r="W42" s="100" t="str">
        <f>VLOOKUP($B42,After1stCHK!$B$3:$AO$87840,MATCH(W$4,After1stCHK!$B$3:$AO$3,0),FALSE)</f>
        <v>0700.HK</v>
      </c>
      <c r="X42" s="82">
        <f>VLOOKUP($B42,After1stCHK!$B$3:$AO$87840,MATCH(X$4,After1stCHK!$B$3:$AO$3,0),FALSE)</f>
        <v>465</v>
      </c>
      <c r="Y42" s="82">
        <f>VLOOKUP($B42,After1stCHK!$B$3:$AO$87840,MATCH(Y$4,After1stCHK!$B$3:$AO$3,0),FALSE)</f>
        <v>467</v>
      </c>
      <c r="Z42" s="82">
        <f>VLOOKUP($B42,After1stCHK!$B$3:$AO$87840,MATCH(Z$4,After1stCHK!$B$3:$AO$3,0),FALSE)</f>
        <v>457.8</v>
      </c>
      <c r="AA42" s="82">
        <f>VLOOKUP($B42,After1stCHK!$B$3:$AO$87840,MATCH(AA$4,After1stCHK!$B$3:$AO$3,0),FALSE)</f>
        <v>473.6</v>
      </c>
      <c r="AB42" s="82">
        <f>VLOOKUP($B42,After1stCHK!$B$3:$AO$87840,MATCH(AB$4,After1stCHK!$B$3:$AO$3,0),FALSE)</f>
        <v>16061367</v>
      </c>
      <c r="AC42" s="103" t="str">
        <f>VLOOKUP($B42,After1stCHK!$B$3:$AO$87840,MATCH(AC$4,After1stCHK!$B$3:$AO$3,0),FALSE)</f>
        <v>(blank)</v>
      </c>
      <c r="AD42" s="103" t="str">
        <f>VLOOKUP($B42,After1stCHK!$B$3:$AO$87840,MATCH(AD$4,After1stCHK!$B$3:$AO$3,0),FALSE)</f>
        <v>(blank)</v>
      </c>
      <c r="AE42" s="103" t="str">
        <f>VLOOKUP($B42,After1stCHK!$B$3:$AO$87840,MATCH(AE$4,After1stCHK!$B$3:$AO$3,0),FALSE)</f>
        <v>(blank)</v>
      </c>
      <c r="AF42" s="103" t="str">
        <f>VLOOKUP($B42,After1stCHK!$B$3:$AO$87840,MATCH(AF$4,After1stCHK!$B$3:$AO$3,0),FALSE)</f>
        <v>(blank)</v>
      </c>
      <c r="AG42" s="103" t="str">
        <f>VLOOKUP($B42,After1stCHK!$B$3:$AO$87840,MATCH(AG$4,After1stCHK!$B$3:$AO$3,0),FALSE)</f>
        <v>(blank)</v>
      </c>
      <c r="AH42" s="103" t="str">
        <f>VLOOKUP($B42,After1stCHK!$B$3:$AO$87840,MATCH(AH$4,After1stCHK!$B$3:$AO$3,0),FALSE)</f>
        <v>(blank)</v>
      </c>
      <c r="AI42" s="103" t="str">
        <f>VLOOKUP($B42,After1stCHK!$B$3:$AO$87840,MATCH(AI$4,After1stCHK!$B$3:$AO$3,0),FALSE)</f>
        <v>(blank)</v>
      </c>
      <c r="AJ42" s="103" t="str">
        <f>VLOOKUP($B42,After1stCHK!$B$3:$AO$87840,MATCH(AJ$4,After1stCHK!$B$3:$AO$3,0),FALSE)</f>
        <v>(blank)</v>
      </c>
      <c r="AK42" s="103" t="str">
        <f>VLOOKUP($B42,After1stCHK!$B$3:$AO$87840,MATCH(AK$4,After1stCHK!$B$3:$AO$3,0),FALSE)</f>
        <v>(blank)</v>
      </c>
      <c r="AL42" s="56" t="str">
        <f>VLOOKUP($B42,After1stCHK!$B$3:$AO$87840,MATCH(AL$4,After1stCHK!$B$3:$AO$3,0),FALSE)</f>
        <v>(blank)</v>
      </c>
      <c r="AM42" s="56" t="str">
        <f>VLOOKUP($B42,After1stCHK!$B$3:$AO$87840,MATCH(AM$4,After1stCHK!$B$3:$AO$3,0),FALSE)</f>
        <v>(blank)</v>
      </c>
      <c r="AN42" s="56" t="str">
        <f>VLOOKUP($B42,After1stCHK!$B$3:$AO$87840,MATCH(AN$4,After1stCHK!$B$3:$AO$3,0),FALSE)</f>
        <v>(blank)</v>
      </c>
      <c r="AO42" s="56" t="str">
        <f>VLOOKUP($B42,After1stCHK!$B$3:$AO$87840,MATCH(AO$4,After1stCHK!$B$3:$AO$3,0),FALSE)</f>
        <v>(blank)</v>
      </c>
      <c r="AP42" s="56" t="str">
        <f>VLOOKUP($B42,After1stCHK!$B$3:$AO$87840,MATCH(AP$4,After1stCHK!$B$3:$AO$3,0),FALSE)</f>
        <v>(blank)</v>
      </c>
      <c r="AQ42" s="56" t="str">
        <f>VLOOKUP($B42,After1stCHK!$B$3:$AO$87840,MATCH(AQ$4,After1stCHK!$B$3:$AO$3,0),FALSE)</f>
        <v>(blank)</v>
      </c>
      <c r="AR42" s="56" t="str">
        <f>VLOOKUP($B42,After1stCHK!$B$3:$AO$87840,MATCH(AR$4,After1stCHK!$B$3:$AO$3,0),FALSE)</f>
        <v>(blank)</v>
      </c>
      <c r="AS42" s="56" t="str">
        <f>VLOOKUP($B42,After1stCHK!$B$3:$AO$87840,MATCH(AS$4,After1stCHK!$B$3:$AO$3,0),FALSE)</f>
        <v>(blank)</v>
      </c>
      <c r="AT42" s="56" t="str">
        <f>VLOOKUP($B42,After1stCHK!$B$3:$AO$87840,MATCH(AT$4,After1stCHK!$B$3:$AO$3,0),FALSE)</f>
        <v>(blank)</v>
      </c>
      <c r="AU42" s="104" t="str">
        <f>VLOOKUP($B42,After1stCHK!$B$3:$AO$87840,MATCH(AU$4,After1stCHK!$B$3:$AO$3,0),FALSE)</f>
        <v>(blank)</v>
      </c>
      <c r="AV42" s="225" t="str">
        <f t="shared" si="1"/>
        <v/>
      </c>
      <c r="AX42" s="90"/>
      <c r="AY42" s="91"/>
      <c r="AZ42" s="24"/>
      <c r="BA42" s="92"/>
      <c r="BB42" s="192"/>
      <c r="BC42" s="94"/>
      <c r="BD42" s="193">
        <f t="shared" si="2"/>
        <v>0</v>
      </c>
      <c r="BE42" s="193" t="str">
        <f t="shared" si="3"/>
        <v/>
      </c>
      <c r="BF42" s="193">
        <f t="shared" ca="1" si="4"/>
        <v>0</v>
      </c>
      <c r="BG42" s="194" t="e">
        <f t="shared" ca="1" si="5"/>
        <v>#VALUE!</v>
      </c>
      <c r="BH42" s="195">
        <f t="shared" si="6"/>
        <v>1</v>
      </c>
      <c r="BI42" s="195">
        <f t="shared" si="7"/>
        <v>-1</v>
      </c>
      <c r="BJ42" s="3">
        <f t="shared" si="8"/>
        <v>15</v>
      </c>
      <c r="BK42" s="3" t="str">
        <f t="shared" si="9"/>
        <v>HKD</v>
      </c>
      <c r="BL42" s="196">
        <f ca="1">IF(V42="HKD",1,OFFSET(FX!$A$5,MATCH(E42,FX!A:A,0)-ROW(FX!$A$5),MATCH(V42,FX!$A$5:$AM$5,0)-1,1,1))</f>
        <v>1</v>
      </c>
      <c r="BM42" s="227" t="str">
        <f t="shared" si="10"/>
        <v>0700.HK</v>
      </c>
      <c r="BN42" s="198">
        <f t="shared" si="11"/>
        <v>445</v>
      </c>
      <c r="BO42" s="199"/>
      <c r="BP42" s="200">
        <f t="shared" si="12"/>
        <v>445</v>
      </c>
      <c r="BQ42" s="201">
        <f t="shared" si="13"/>
        <v>-15</v>
      </c>
      <c r="BR42" s="202">
        <f t="shared" si="14"/>
        <v>-6675</v>
      </c>
      <c r="BS42" s="203">
        <f t="shared" ca="1" si="15"/>
        <v>-6675</v>
      </c>
      <c r="BT42" s="204"/>
      <c r="BU42" s="199">
        <f t="shared" si="16"/>
        <v>0</v>
      </c>
      <c r="BV42" s="201">
        <f t="shared" si="17"/>
        <v>0</v>
      </c>
      <c r="BW42" s="202">
        <f t="shared" si="18"/>
        <v>0</v>
      </c>
      <c r="BX42" s="203">
        <f t="shared" ca="1" si="19"/>
        <v>0</v>
      </c>
      <c r="BY42" s="204"/>
      <c r="BZ42" s="198">
        <f t="shared" si="20"/>
        <v>0</v>
      </c>
      <c r="CA42" s="199"/>
      <c r="CB42" s="200">
        <f t="shared" si="21"/>
        <v>0</v>
      </c>
      <c r="CC42" s="201">
        <f t="shared" si="22"/>
        <v>0</v>
      </c>
      <c r="CD42" s="202">
        <f t="shared" si="23"/>
        <v>0</v>
      </c>
      <c r="CE42" s="203">
        <f t="shared" ca="1" si="24"/>
        <v>0</v>
      </c>
      <c r="CF42" s="204"/>
      <c r="CG42" s="205">
        <f t="shared" si="25"/>
        <v>0</v>
      </c>
      <c r="CH42" s="206">
        <f t="shared" si="26"/>
        <v>0</v>
      </c>
      <c r="CI42" s="207">
        <f t="shared" si="27"/>
        <v>0</v>
      </c>
      <c r="CJ42" s="203">
        <f t="shared" ca="1" si="28"/>
        <v>0</v>
      </c>
      <c r="CK42" s="204"/>
      <c r="CL42" s="208">
        <f t="shared" ca="1" si="29"/>
        <v>6675</v>
      </c>
      <c r="CM42" s="209" t="str">
        <f t="shared" si="30"/>
        <v/>
      </c>
      <c r="CN42" s="228" t="str">
        <f t="shared" si="31"/>
        <v>0700.HK</v>
      </c>
      <c r="CO42" s="153">
        <f t="shared" si="32"/>
        <v>44570</v>
      </c>
      <c r="CP42" s="211">
        <f t="shared" ref="CP42:CQ42" si="152">AZ42</f>
        <v>0</v>
      </c>
      <c r="CQ42" s="212">
        <f t="shared" si="152"/>
        <v>0</v>
      </c>
      <c r="CR42" s="213">
        <f t="shared" si="34"/>
        <v>0</v>
      </c>
      <c r="CS42" s="213">
        <f t="shared" si="35"/>
        <v>0</v>
      </c>
      <c r="CT42" s="214">
        <f>SUMIFS('1HistTrade'!DF:DF,'1HistTrade'!$D:$D,$D42,'1HistTrade'!$BM:$BM,$BM42,'1HistTrade'!$B:$B,"&lt;"&amp;$B42)</f>
        <v>10</v>
      </c>
      <c r="CU42" s="215">
        <f>SUMIFS('1HistTrade'!DG:DG,'1HistTrade'!$D:$D,$D42,'1HistTrade'!$BM:$BM,$BM42,'1HistTrade'!$B:$B,"&lt;"&amp;$B42)</f>
        <v>0</v>
      </c>
      <c r="CV42" s="215">
        <f>SUMIFS('1HistTrade'!DH:DH,'1HistTrade'!$D:$D,$D42,'1HistTrade'!$BM:$BM,$BM42,'1HistTrade'!$B:$B,"&lt;"&amp;$B42)</f>
        <v>0</v>
      </c>
      <c r="CW42" s="215">
        <f>SUMIFS('1HistTrade'!DI:DI,'1HistTrade'!$D:$D,$D42,'1HistTrade'!$BM:$BM,$BM42,'1HistTrade'!$B:$B,"&lt;"&amp;$B42)</f>
        <v>0</v>
      </c>
      <c r="CX42" s="216">
        <f t="shared" si="36"/>
        <v>-5</v>
      </c>
      <c r="CY42" s="216">
        <f t="shared" si="37"/>
        <v>0</v>
      </c>
      <c r="CZ42" s="216">
        <f t="shared" si="38"/>
        <v>0</v>
      </c>
      <c r="DA42" s="216">
        <f t="shared" ca="1" si="39"/>
        <v>0</v>
      </c>
      <c r="DB42" s="21" t="str">
        <f t="shared" si="40"/>
        <v>OFSS</v>
      </c>
      <c r="DC42" s="21" t="str">
        <f t="shared" si="41"/>
        <v/>
      </c>
      <c r="DD42" s="21" t="str">
        <f t="shared" si="42"/>
        <v/>
      </c>
      <c r="DE42" s="21" t="str">
        <f t="shared" ca="1" si="43"/>
        <v/>
      </c>
      <c r="DF42" s="215">
        <f t="shared" si="44"/>
        <v>-15</v>
      </c>
      <c r="DG42" s="215">
        <f t="shared" si="45"/>
        <v>0</v>
      </c>
      <c r="DH42" s="215">
        <f t="shared" si="46"/>
        <v>0</v>
      </c>
      <c r="DI42" s="215">
        <f t="shared" ca="1" si="47"/>
        <v>0</v>
      </c>
      <c r="DJ42" s="215" t="str">
        <f t="shared" si="48"/>
        <v>OFSS</v>
      </c>
      <c r="DK42" s="116"/>
      <c r="DL42" s="116">
        <f t="shared" ca="1" si="49"/>
        <v>445</v>
      </c>
      <c r="DM42" s="116">
        <f t="shared" ca="1" si="50"/>
        <v>-6675</v>
      </c>
      <c r="DN42" s="116">
        <f t="shared" ca="1" si="51"/>
        <v>2225</v>
      </c>
      <c r="DO42" s="217">
        <f t="shared" ca="1" si="52"/>
        <v>0</v>
      </c>
      <c r="DP42" s="217">
        <f t="shared" ca="1" si="53"/>
        <v>-6675</v>
      </c>
      <c r="DQ42" s="116">
        <f>IF($DT$1="Delete",0,IF(OR(DG42="",DG42=0),0,SUMIFS('1HistTrade'!$ED:$ED,'1HistTrade'!$D:$D,D42,'1HistTrade'!$H:$H,H42,'1HistTrade'!$B:$B,"&lt;"&amp;B42)))</f>
        <v>0</v>
      </c>
      <c r="DR42" s="116">
        <f t="shared" ca="1" si="54"/>
        <v>0</v>
      </c>
      <c r="DS42" s="116">
        <f t="shared" ca="1" si="55"/>
        <v>0</v>
      </c>
      <c r="DT42" s="116">
        <f>IF($DT$1="Delete",0,IF(OR(DI42="",DI42=0),0,SUMIFS('1HistTrade'!$ED:$ED,'1HistTrade'!$D:$D,D42,'1HistTrade'!$H:$H,H42,'1HistTrade'!$B:$B,"&lt;"&amp;B42)))</f>
        <v>0</v>
      </c>
      <c r="DU42" s="116">
        <f t="shared" ca="1" si="56"/>
        <v>0</v>
      </c>
      <c r="DV42" s="116">
        <f t="shared" ca="1" si="57"/>
        <v>0</v>
      </c>
      <c r="DW42" s="218">
        <f t="shared" si="58"/>
        <v>0</v>
      </c>
      <c r="DX42" s="219"/>
      <c r="DY42" s="219">
        <f t="shared" si="59"/>
        <v>0</v>
      </c>
      <c r="DZ42" s="220">
        <f t="shared" ca="1" si="60"/>
        <v>0</v>
      </c>
      <c r="EA42" s="220">
        <f t="shared" si="61"/>
        <v>0</v>
      </c>
      <c r="EB42" s="221">
        <f t="shared" ca="1" si="62"/>
        <v>0</v>
      </c>
      <c r="EC42" s="116">
        <f t="shared" ca="1" si="63"/>
        <v>6675</v>
      </c>
      <c r="ED42" s="116">
        <f t="shared" ca="1" si="64"/>
        <v>2225</v>
      </c>
      <c r="EE42" s="222" t="str">
        <f t="shared" si="65"/>
        <v/>
      </c>
      <c r="EF42" s="116">
        <f t="shared" si="66"/>
        <v>5</v>
      </c>
      <c r="EG42" s="223">
        <f ca="1">IF(ISERROR(VLOOKUP(_xludf.maxifs(DbyD!C:C,DbyD!B:B,C42,DbyD!F:F,"&lt;=" &amp; E42,DbyD!C:C,"&lt;"&amp;B42),DbyD!C:BE,MATCH(DbyD!$BB$9,DbyD!$9:$9,0)-2,FALSE)),0,VLOOKUP(_xludf.maxifs(DbyD!C:C,DbyD!B:B,C42,DbyD!F:F,"&lt;=" &amp; E42,DbyD!C:C,"&lt;"&amp;B42),DbyD!C:BE,MATCH(DbyD!$BB$9,DbyD!$9:$9,0)-2,FALSE))</f>
        <v>0</v>
      </c>
      <c r="EH42" s="116">
        <f>SUMIFS('1HistTrade'!$EM:$EM,'1HistTrade'!$D:$D,D42,'1HistTrade'!$B:$B,"&lt;"&amp;B42,'1HistTrade'!$DJ:$DJ,"&lt;&gt;"&amp;"CD/CW")*-1</f>
        <v>-232923.75835000008</v>
      </c>
      <c r="EI42" s="116">
        <f t="shared" ca="1" si="67"/>
        <v>-232923.75835000008</v>
      </c>
      <c r="EJ42" s="116">
        <f>SUMIFS('1HistTrade'!$EN:$EN,'1HistTrade'!$D:$D,D42,'1HistTrade'!$B:$B,"&lt;"&amp;B42)</f>
        <v>147127.78185000003</v>
      </c>
      <c r="EK42" s="224">
        <f>SUMIFS('1HistTrade'!$EU:$EU,'1HistTrade'!$D:$D,D42,'1HistTrade'!$B:$B,"&lt;"&amp;B42)</f>
        <v>0</v>
      </c>
      <c r="EL42" s="116"/>
      <c r="EM42" s="116">
        <f t="shared" ref="EM42:EN42" ca="1" si="153">EC42</f>
        <v>6675</v>
      </c>
      <c r="EN42" s="116">
        <f t="shared" ca="1" si="153"/>
        <v>2225</v>
      </c>
      <c r="EO42" s="224"/>
      <c r="EP42" s="116"/>
      <c r="EQ42" s="116">
        <f t="shared" ca="1" si="69"/>
        <v>6675</v>
      </c>
      <c r="ER42" s="116">
        <f t="shared" ca="1" si="70"/>
        <v>-239598.75835000008</v>
      </c>
      <c r="ES42" s="116">
        <f t="shared" ca="1" si="71"/>
        <v>-232923.75835000008</v>
      </c>
      <c r="ET42" s="116">
        <f t="shared" ca="1" si="72"/>
        <v>149352.78185000003</v>
      </c>
      <c r="EU42" s="224">
        <f t="shared" ca="1" si="73"/>
        <v>0</v>
      </c>
      <c r="EV42" s="213">
        <f t="shared" ca="1" si="74"/>
        <v>0</v>
      </c>
      <c r="EX42" s="116">
        <f t="shared" ca="1" si="75"/>
        <v>6675</v>
      </c>
      <c r="EY42" s="116">
        <f t="shared" ca="1" si="76"/>
        <v>-239598.75835000008</v>
      </c>
      <c r="EZ42" s="116">
        <f t="shared" ca="1" si="77"/>
        <v>-232923.75835000008</v>
      </c>
      <c r="FA42" s="116">
        <f t="shared" ca="1" si="78"/>
        <v>149352.78185000003</v>
      </c>
      <c r="FB42" s="116">
        <f t="shared" ca="1" si="79"/>
        <v>0</v>
      </c>
      <c r="FC42" s="189"/>
      <c r="FE42" s="31"/>
      <c r="FG42" s="31"/>
    </row>
    <row r="43" spans="1:163" ht="13">
      <c r="A43" s="10">
        <f>IF(E43&lt;=HistSecRecord!$E$1,1,0)</f>
        <v>0</v>
      </c>
      <c r="B43" s="190">
        <f>After1stCHK!B42</f>
        <v>44571000024</v>
      </c>
      <c r="C43" s="3" t="str">
        <f>After1stCHK!C42</f>
        <v>D0002</v>
      </c>
      <c r="D43" s="29" t="str">
        <f>After1stCHK!D42</f>
        <v>sABCD0002@hkmu.edu.hk</v>
      </c>
      <c r="E43" s="4">
        <f>After1stCHK!E42</f>
        <v>44571</v>
      </c>
      <c r="F43" s="105"/>
      <c r="G43" s="79" t="str">
        <f>After1stCHK!F42</f>
        <v>SELL (SHORT)</v>
      </c>
      <c r="H43" s="226" t="str">
        <f>After1stCHK!G42</f>
        <v>0700.HK</v>
      </c>
      <c r="I43" s="81" t="str">
        <f>After1stCHK!H42</f>
        <v>Stock</v>
      </c>
      <c r="J43" s="109">
        <f>After1stCHK!I42</f>
        <v>1500</v>
      </c>
      <c r="K43" s="103">
        <f>After1stCHK!J42</f>
        <v>0</v>
      </c>
      <c r="L43" s="56">
        <f>After1stCHK!K42</f>
        <v>0</v>
      </c>
      <c r="M43" s="104">
        <f>After1stCHK!L42</f>
        <v>0</v>
      </c>
      <c r="N43" s="82">
        <f>After1stCHK!M42</f>
        <v>445</v>
      </c>
      <c r="O43" s="82"/>
      <c r="P43" s="86"/>
      <c r="T43" s="87">
        <f t="shared" si="0"/>
        <v>44571</v>
      </c>
      <c r="U43" s="102"/>
      <c r="V43" s="81" t="str">
        <f>VLOOKUP($B43,After1stCHK!$B$3:$AO$87840,MATCH(V$4,After1stCHK!$B$3:$AO$3,0),FALSE)</f>
        <v>HKD</v>
      </c>
      <c r="W43" s="100" t="str">
        <f>VLOOKUP($B43,After1stCHK!$B$3:$AO$87840,MATCH(W$4,After1stCHK!$B$3:$AO$3,0),FALSE)</f>
        <v>0700.HK</v>
      </c>
      <c r="X43" s="82">
        <f>VLOOKUP($B43,After1stCHK!$B$3:$AO$87840,MATCH(X$4,After1stCHK!$B$3:$AO$3,0),FALSE)</f>
        <v>465</v>
      </c>
      <c r="Y43" s="82">
        <f>VLOOKUP($B43,After1stCHK!$B$3:$AO$87840,MATCH(Y$4,After1stCHK!$B$3:$AO$3,0),FALSE)</f>
        <v>467</v>
      </c>
      <c r="Z43" s="82">
        <f>VLOOKUP($B43,After1stCHK!$B$3:$AO$87840,MATCH(Z$4,After1stCHK!$B$3:$AO$3,0),FALSE)</f>
        <v>457.8</v>
      </c>
      <c r="AA43" s="82">
        <f>VLOOKUP($B43,After1stCHK!$B$3:$AO$87840,MATCH(AA$4,After1stCHK!$B$3:$AO$3,0),FALSE)</f>
        <v>473.6</v>
      </c>
      <c r="AB43" s="82">
        <f>VLOOKUP($B43,After1stCHK!$B$3:$AO$87840,MATCH(AB$4,After1stCHK!$B$3:$AO$3,0),FALSE)</f>
        <v>16061367</v>
      </c>
      <c r="AC43" s="103" t="str">
        <f>VLOOKUP($B43,After1stCHK!$B$3:$AO$87840,MATCH(AC$4,After1stCHK!$B$3:$AO$3,0),FALSE)</f>
        <v>(blank)</v>
      </c>
      <c r="AD43" s="103" t="str">
        <f>VLOOKUP($B43,After1stCHK!$B$3:$AO$87840,MATCH(AD$4,After1stCHK!$B$3:$AO$3,0),FALSE)</f>
        <v>(blank)</v>
      </c>
      <c r="AE43" s="103" t="str">
        <f>VLOOKUP($B43,After1stCHK!$B$3:$AO$87840,MATCH(AE$4,After1stCHK!$B$3:$AO$3,0),FALSE)</f>
        <v>(blank)</v>
      </c>
      <c r="AF43" s="103" t="str">
        <f>VLOOKUP($B43,After1stCHK!$B$3:$AO$87840,MATCH(AF$4,After1stCHK!$B$3:$AO$3,0),FALSE)</f>
        <v>(blank)</v>
      </c>
      <c r="AG43" s="103" t="str">
        <f>VLOOKUP($B43,After1stCHK!$B$3:$AO$87840,MATCH(AG$4,After1stCHK!$B$3:$AO$3,0),FALSE)</f>
        <v>(blank)</v>
      </c>
      <c r="AH43" s="103" t="str">
        <f>VLOOKUP($B43,After1stCHK!$B$3:$AO$87840,MATCH(AH$4,After1stCHK!$B$3:$AO$3,0),FALSE)</f>
        <v>(blank)</v>
      </c>
      <c r="AI43" s="103" t="str">
        <f>VLOOKUP($B43,After1stCHK!$B$3:$AO$87840,MATCH(AI$4,After1stCHK!$B$3:$AO$3,0),FALSE)</f>
        <v>(blank)</v>
      </c>
      <c r="AJ43" s="103" t="str">
        <f>VLOOKUP($B43,After1stCHK!$B$3:$AO$87840,MATCH(AJ$4,After1stCHK!$B$3:$AO$3,0),FALSE)</f>
        <v>(blank)</v>
      </c>
      <c r="AK43" s="103" t="str">
        <f>VLOOKUP($B43,After1stCHK!$B$3:$AO$87840,MATCH(AK$4,After1stCHK!$B$3:$AO$3,0),FALSE)</f>
        <v>(blank)</v>
      </c>
      <c r="AL43" s="56" t="str">
        <f>VLOOKUP($B43,After1stCHK!$B$3:$AO$87840,MATCH(AL$4,After1stCHK!$B$3:$AO$3,0),FALSE)</f>
        <v>(blank)</v>
      </c>
      <c r="AM43" s="56" t="str">
        <f>VLOOKUP($B43,After1stCHK!$B$3:$AO$87840,MATCH(AM$4,After1stCHK!$B$3:$AO$3,0),FALSE)</f>
        <v>(blank)</v>
      </c>
      <c r="AN43" s="56" t="str">
        <f>VLOOKUP($B43,After1stCHK!$B$3:$AO$87840,MATCH(AN$4,After1stCHK!$B$3:$AO$3,0),FALSE)</f>
        <v>(blank)</v>
      </c>
      <c r="AO43" s="56" t="str">
        <f>VLOOKUP($B43,After1stCHK!$B$3:$AO$87840,MATCH(AO$4,After1stCHK!$B$3:$AO$3,0),FALSE)</f>
        <v>(blank)</v>
      </c>
      <c r="AP43" s="56" t="str">
        <f>VLOOKUP($B43,After1stCHK!$B$3:$AO$87840,MATCH(AP$4,After1stCHK!$B$3:$AO$3,0),FALSE)</f>
        <v>(blank)</v>
      </c>
      <c r="AQ43" s="56" t="str">
        <f>VLOOKUP($B43,After1stCHK!$B$3:$AO$87840,MATCH(AQ$4,After1stCHK!$B$3:$AO$3,0),FALSE)</f>
        <v>(blank)</v>
      </c>
      <c r="AR43" s="56" t="str">
        <f>VLOOKUP($B43,After1stCHK!$B$3:$AO$87840,MATCH(AR$4,After1stCHK!$B$3:$AO$3,0),FALSE)</f>
        <v>(blank)</v>
      </c>
      <c r="AS43" s="56" t="str">
        <f>VLOOKUP($B43,After1stCHK!$B$3:$AO$87840,MATCH(AS$4,After1stCHK!$B$3:$AO$3,0),FALSE)</f>
        <v>(blank)</v>
      </c>
      <c r="AT43" s="56" t="str">
        <f>VLOOKUP($B43,After1stCHK!$B$3:$AO$87840,MATCH(AT$4,After1stCHK!$B$3:$AO$3,0),FALSE)</f>
        <v>(blank)</v>
      </c>
      <c r="AU43" s="104" t="str">
        <f>VLOOKUP($B43,After1stCHK!$B$3:$AO$87840,MATCH(AU$4,After1stCHK!$B$3:$AO$3,0),FALSE)</f>
        <v>(blank)</v>
      </c>
      <c r="AV43" s="225" t="str">
        <f t="shared" si="1"/>
        <v/>
      </c>
      <c r="AX43" s="90"/>
      <c r="AY43" s="91"/>
      <c r="AZ43" s="24"/>
      <c r="BA43" s="92"/>
      <c r="BB43" s="192"/>
      <c r="BC43" s="94"/>
      <c r="BD43" s="193">
        <f t="shared" si="2"/>
        <v>0</v>
      </c>
      <c r="BE43" s="193" t="str">
        <f t="shared" si="3"/>
        <v/>
      </c>
      <c r="BF43" s="193">
        <f t="shared" ca="1" si="4"/>
        <v>1</v>
      </c>
      <c r="BG43" s="194" t="e">
        <f t="shared" ca="1" si="5"/>
        <v>#VALUE!</v>
      </c>
      <c r="BH43" s="195">
        <f t="shared" si="6"/>
        <v>1</v>
      </c>
      <c r="BI43" s="195">
        <f t="shared" si="7"/>
        <v>-1</v>
      </c>
      <c r="BJ43" s="3">
        <f t="shared" si="8"/>
        <v>1500</v>
      </c>
      <c r="BK43" s="3" t="str">
        <f t="shared" si="9"/>
        <v>HKD</v>
      </c>
      <c r="BL43" s="196">
        <f ca="1">IF(V43="HKD",1,OFFSET(FX!$A$5,MATCH(E43,FX!A:A,0)-ROW(FX!$A$5),MATCH(V43,FX!$A$5:$AM$5,0)-1,1,1))</f>
        <v>1</v>
      </c>
      <c r="BM43" s="227" t="str">
        <f t="shared" si="10"/>
        <v>0700.HK</v>
      </c>
      <c r="BN43" s="198">
        <f t="shared" si="11"/>
        <v>445</v>
      </c>
      <c r="BO43" s="199"/>
      <c r="BP43" s="200">
        <f t="shared" si="12"/>
        <v>445</v>
      </c>
      <c r="BQ43" s="201">
        <f t="shared" si="13"/>
        <v>-1500</v>
      </c>
      <c r="BR43" s="202">
        <f t="shared" si="14"/>
        <v>-667500</v>
      </c>
      <c r="BS43" s="203">
        <f t="shared" ca="1" si="15"/>
        <v>-667500</v>
      </c>
      <c r="BT43" s="204"/>
      <c r="BU43" s="199">
        <f t="shared" si="16"/>
        <v>0</v>
      </c>
      <c r="BV43" s="201">
        <f t="shared" si="17"/>
        <v>0</v>
      </c>
      <c r="BW43" s="202">
        <f t="shared" si="18"/>
        <v>0</v>
      </c>
      <c r="BX43" s="203">
        <f t="shared" ca="1" si="19"/>
        <v>0</v>
      </c>
      <c r="BY43" s="204"/>
      <c r="BZ43" s="198">
        <f t="shared" si="20"/>
        <v>0</v>
      </c>
      <c r="CA43" s="199"/>
      <c r="CB43" s="200">
        <f t="shared" si="21"/>
        <v>0</v>
      </c>
      <c r="CC43" s="201">
        <f t="shared" si="22"/>
        <v>0</v>
      </c>
      <c r="CD43" s="202">
        <f t="shared" si="23"/>
        <v>0</v>
      </c>
      <c r="CE43" s="203">
        <f t="shared" ca="1" si="24"/>
        <v>0</v>
      </c>
      <c r="CF43" s="204"/>
      <c r="CG43" s="205">
        <f t="shared" si="25"/>
        <v>0</v>
      </c>
      <c r="CH43" s="206">
        <f t="shared" si="26"/>
        <v>0</v>
      </c>
      <c r="CI43" s="207">
        <f t="shared" si="27"/>
        <v>0</v>
      </c>
      <c r="CJ43" s="203">
        <f t="shared" ca="1" si="28"/>
        <v>0</v>
      </c>
      <c r="CK43" s="204"/>
      <c r="CL43" s="208">
        <f t="shared" ca="1" si="29"/>
        <v>667500</v>
      </c>
      <c r="CM43" s="209" t="str">
        <f t="shared" si="30"/>
        <v/>
      </c>
      <c r="CN43" s="228" t="str">
        <f t="shared" si="31"/>
        <v>0700.HK</v>
      </c>
      <c r="CO43" s="153">
        <f t="shared" si="32"/>
        <v>44571</v>
      </c>
      <c r="CP43" s="211">
        <f t="shared" ref="CP43:CQ43" si="154">AZ43</f>
        <v>0</v>
      </c>
      <c r="CQ43" s="212">
        <f t="shared" si="154"/>
        <v>0</v>
      </c>
      <c r="CR43" s="213">
        <f t="shared" si="34"/>
        <v>0</v>
      </c>
      <c r="CS43" s="213">
        <f t="shared" si="35"/>
        <v>0</v>
      </c>
      <c r="CT43" s="214">
        <f>SUMIFS('1HistTrade'!DF:DF,'1HistTrade'!$D:$D,$D43,'1HistTrade'!$BM:$BM,$BM43,'1HistTrade'!$B:$B,"&lt;"&amp;$B43)</f>
        <v>10</v>
      </c>
      <c r="CU43" s="215">
        <f>SUMIFS('1HistTrade'!DG:DG,'1HistTrade'!$D:$D,$D43,'1HistTrade'!$BM:$BM,$BM43,'1HistTrade'!$B:$B,"&lt;"&amp;$B43)</f>
        <v>0</v>
      </c>
      <c r="CV43" s="215">
        <f>SUMIFS('1HistTrade'!DH:DH,'1HistTrade'!$D:$D,$D43,'1HistTrade'!$BM:$BM,$BM43,'1HistTrade'!$B:$B,"&lt;"&amp;$B43)</f>
        <v>0</v>
      </c>
      <c r="CW43" s="215">
        <f>SUMIFS('1HistTrade'!DI:DI,'1HistTrade'!$D:$D,$D43,'1HistTrade'!$BM:$BM,$BM43,'1HistTrade'!$B:$B,"&lt;"&amp;$B43)</f>
        <v>0</v>
      </c>
      <c r="CX43" s="216">
        <f t="shared" si="36"/>
        <v>-1490</v>
      </c>
      <c r="CY43" s="216">
        <f t="shared" si="37"/>
        <v>0</v>
      </c>
      <c r="CZ43" s="216">
        <f t="shared" si="38"/>
        <v>0</v>
      </c>
      <c r="DA43" s="216">
        <f t="shared" ca="1" si="39"/>
        <v>0</v>
      </c>
      <c r="DB43" s="21" t="str">
        <f t="shared" si="40"/>
        <v>OFSS</v>
      </c>
      <c r="DC43" s="21" t="str">
        <f t="shared" si="41"/>
        <v/>
      </c>
      <c r="DD43" s="21" t="str">
        <f t="shared" si="42"/>
        <v/>
      </c>
      <c r="DE43" s="21" t="str">
        <f t="shared" ca="1" si="43"/>
        <v/>
      </c>
      <c r="DF43" s="215">
        <f t="shared" si="44"/>
        <v>-1500</v>
      </c>
      <c r="DG43" s="215">
        <f t="shared" si="45"/>
        <v>0</v>
      </c>
      <c r="DH43" s="215">
        <f t="shared" si="46"/>
        <v>0</v>
      </c>
      <c r="DI43" s="215">
        <f t="shared" ca="1" si="47"/>
        <v>0</v>
      </c>
      <c r="DJ43" s="215" t="str">
        <f t="shared" si="48"/>
        <v>OFSS</v>
      </c>
      <c r="DK43" s="116"/>
      <c r="DL43" s="116">
        <f t="shared" ca="1" si="49"/>
        <v>445</v>
      </c>
      <c r="DM43" s="116">
        <f t="shared" ca="1" si="50"/>
        <v>-667500</v>
      </c>
      <c r="DN43" s="116">
        <f t="shared" ca="1" si="51"/>
        <v>-658600</v>
      </c>
      <c r="DO43" s="217">
        <f t="shared" ca="1" si="52"/>
        <v>0</v>
      </c>
      <c r="DP43" s="217">
        <f t="shared" ca="1" si="53"/>
        <v>-667500</v>
      </c>
      <c r="DQ43" s="116">
        <f>IF($DT$1="Delete",0,IF(OR(DG43="",DG43=0),0,SUMIFS('1HistTrade'!$ED:$ED,'1HistTrade'!$D:$D,D43,'1HistTrade'!$H:$H,H43,'1HistTrade'!$B:$B,"&lt;"&amp;B43)))</f>
        <v>0</v>
      </c>
      <c r="DR43" s="116">
        <f t="shared" ca="1" si="54"/>
        <v>0</v>
      </c>
      <c r="DS43" s="116">
        <f t="shared" ca="1" si="55"/>
        <v>0</v>
      </c>
      <c r="DT43" s="116">
        <f>IF($DT$1="Delete",0,IF(OR(DI43="",DI43=0),0,SUMIFS('1HistTrade'!$ED:$ED,'1HistTrade'!$D:$D,D43,'1HistTrade'!$H:$H,H43,'1HistTrade'!$B:$B,"&lt;"&amp;B43)))</f>
        <v>0</v>
      </c>
      <c r="DU43" s="116">
        <f t="shared" ca="1" si="56"/>
        <v>0</v>
      </c>
      <c r="DV43" s="116">
        <f t="shared" ca="1" si="57"/>
        <v>0</v>
      </c>
      <c r="DW43" s="218">
        <f t="shared" si="58"/>
        <v>0</v>
      </c>
      <c r="DX43" s="219"/>
      <c r="DY43" s="219">
        <f t="shared" si="59"/>
        <v>0</v>
      </c>
      <c r="DZ43" s="220">
        <f t="shared" ca="1" si="60"/>
        <v>0</v>
      </c>
      <c r="EA43" s="220">
        <f t="shared" si="61"/>
        <v>0</v>
      </c>
      <c r="EB43" s="221">
        <f t="shared" ca="1" si="62"/>
        <v>0</v>
      </c>
      <c r="EC43" s="116">
        <f t="shared" ca="1" si="63"/>
        <v>667500</v>
      </c>
      <c r="ED43" s="116">
        <f t="shared" ca="1" si="64"/>
        <v>-658600</v>
      </c>
      <c r="EE43" s="222" t="str">
        <f t="shared" si="65"/>
        <v/>
      </c>
      <c r="EF43" s="116">
        <f t="shared" si="66"/>
        <v>-1480</v>
      </c>
      <c r="EG43" s="223">
        <f ca="1">IF(ISERROR(VLOOKUP(_xludf.maxifs(DbyD!C:C,DbyD!B:B,C43,DbyD!F:F,"&lt;=" &amp; E43,DbyD!C:C,"&lt;"&amp;B43),DbyD!C:BE,MATCH(DbyD!$BB$9,DbyD!$9:$9,0)-2,FALSE)),0,VLOOKUP(_xludf.maxifs(DbyD!C:C,DbyD!B:B,C43,DbyD!F:F,"&lt;=" &amp; E43,DbyD!C:C,"&lt;"&amp;B43),DbyD!C:BE,MATCH(DbyD!$BB$9,DbyD!$9:$9,0)-2,FALSE))</f>
        <v>0</v>
      </c>
      <c r="EH43" s="116">
        <f>SUMIFS('1HistTrade'!$EM:$EM,'1HistTrade'!$D:$D,D43,'1HistTrade'!$B:$B,"&lt;"&amp;B43,'1HistTrade'!$DJ:$DJ,"&lt;&gt;"&amp;"CD/CW")*-1</f>
        <v>29256.855599999995</v>
      </c>
      <c r="EI43" s="116">
        <f t="shared" ca="1" si="67"/>
        <v>29256.855599999995</v>
      </c>
      <c r="EJ43" s="116">
        <f>SUMIFS('1HistTrade'!$EN:$EN,'1HistTrade'!$D:$D,D43,'1HistTrade'!$B:$B,"&lt;"&amp;B43)</f>
        <v>470743.14439999999</v>
      </c>
      <c r="EK43" s="224">
        <f>SUMIFS('1HistTrade'!$EU:$EU,'1HistTrade'!$D:$D,D43,'1HistTrade'!$B:$B,"&lt;"&amp;B43)</f>
        <v>0</v>
      </c>
      <c r="EL43" s="116"/>
      <c r="EM43" s="116">
        <f t="shared" ref="EM43:EN43" ca="1" si="155">EC43</f>
        <v>667500</v>
      </c>
      <c r="EN43" s="116">
        <f t="shared" ca="1" si="155"/>
        <v>-658600</v>
      </c>
      <c r="EO43" s="224"/>
      <c r="EP43" s="116"/>
      <c r="EQ43" s="116">
        <f t="shared" ca="1" si="69"/>
        <v>667500</v>
      </c>
      <c r="ER43" s="116">
        <f t="shared" ca="1" si="70"/>
        <v>-638243.14439999999</v>
      </c>
      <c r="ES43" s="116">
        <f t="shared" ca="1" si="71"/>
        <v>29256.85560000001</v>
      </c>
      <c r="ET43" s="116">
        <f t="shared" ca="1" si="72"/>
        <v>-187856.85560000001</v>
      </c>
      <c r="EU43" s="224">
        <f t="shared" ca="1" si="73"/>
        <v>14628.427800000005</v>
      </c>
      <c r="EV43" s="213">
        <f t="shared" ca="1" si="74"/>
        <v>1</v>
      </c>
      <c r="EX43" s="116">
        <f t="shared" ca="1" si="75"/>
        <v>0</v>
      </c>
      <c r="EY43" s="116">
        <f t="shared" ca="1" si="76"/>
        <v>29256.855599999995</v>
      </c>
      <c r="EZ43" s="116">
        <f t="shared" ca="1" si="77"/>
        <v>29256.855599999995</v>
      </c>
      <c r="FA43" s="116">
        <f t="shared" ca="1" si="78"/>
        <v>470743.14439999999</v>
      </c>
      <c r="FB43" s="116">
        <f t="shared" ca="1" si="79"/>
        <v>0</v>
      </c>
      <c r="FC43" s="189"/>
      <c r="FE43" s="31"/>
      <c r="FG43" s="31"/>
    </row>
    <row r="44" spans="1:163" ht="13">
      <c r="A44" s="77"/>
      <c r="B44" s="77"/>
      <c r="D44" s="29"/>
      <c r="E44" s="4"/>
      <c r="F44" s="105"/>
      <c r="G44" s="79"/>
      <c r="H44" s="80"/>
      <c r="I44" s="81"/>
      <c r="J44" s="109"/>
      <c r="K44" s="103"/>
      <c r="L44" s="56"/>
      <c r="M44" s="104"/>
      <c r="N44" s="82"/>
      <c r="O44" s="82"/>
      <c r="P44" s="86"/>
      <c r="T44" s="234"/>
      <c r="U44" s="102"/>
      <c r="V44" s="79"/>
      <c r="W44" s="109"/>
      <c r="X44" s="109"/>
      <c r="Y44" s="109"/>
      <c r="Z44" s="109"/>
      <c r="AA44" s="109"/>
      <c r="AB44" s="109"/>
      <c r="AC44" s="103"/>
      <c r="AD44" s="103"/>
      <c r="AE44" s="103"/>
      <c r="AF44" s="103"/>
      <c r="AG44" s="103"/>
      <c r="AH44" s="103"/>
      <c r="AI44" s="103"/>
      <c r="AJ44" s="103"/>
      <c r="AK44" s="103"/>
      <c r="AL44" s="56"/>
      <c r="AM44" s="56"/>
      <c r="AN44" s="56"/>
      <c r="AO44" s="56"/>
      <c r="AP44" s="56"/>
      <c r="AQ44" s="56"/>
      <c r="AR44" s="56"/>
      <c r="AS44" s="56"/>
      <c r="AT44" s="56"/>
      <c r="AU44" s="104"/>
      <c r="AV44" s="104"/>
      <c r="AX44" s="90"/>
      <c r="AY44" s="91"/>
      <c r="AZ44" s="24"/>
      <c r="BA44" s="92"/>
      <c r="BB44" s="192"/>
      <c r="BC44" s="94"/>
      <c r="BD44" s="193"/>
      <c r="BE44" s="193"/>
      <c r="BF44" s="193"/>
      <c r="BG44" s="194"/>
      <c r="BH44" s="195"/>
      <c r="BI44" s="195"/>
      <c r="BL44" s="196"/>
      <c r="BM44" s="197"/>
      <c r="BN44" s="198"/>
      <c r="BO44" s="199"/>
      <c r="BP44" s="200"/>
      <c r="BQ44" s="201"/>
      <c r="BR44" s="202"/>
      <c r="BS44" s="203"/>
      <c r="BT44" s="204"/>
      <c r="BU44" s="199"/>
      <c r="BV44" s="201"/>
      <c r="BW44" s="202"/>
      <c r="BX44" s="203"/>
      <c r="BY44" s="204"/>
      <c r="BZ44" s="198"/>
      <c r="CA44" s="199"/>
      <c r="CB44" s="200"/>
      <c r="CC44" s="201"/>
      <c r="CD44" s="202"/>
      <c r="CE44" s="203"/>
      <c r="CF44" s="204"/>
      <c r="CG44" s="205"/>
      <c r="CH44" s="206"/>
      <c r="CI44" s="207"/>
      <c r="CJ44" s="203"/>
      <c r="CK44" s="204"/>
      <c r="CL44" s="208"/>
      <c r="CM44" s="209"/>
      <c r="CN44" s="209"/>
      <c r="CO44" s="116"/>
      <c r="CP44" s="211"/>
      <c r="CQ44" s="213"/>
      <c r="CR44" s="213"/>
      <c r="CS44" s="213"/>
      <c r="CT44" s="214"/>
      <c r="CU44" s="215"/>
      <c r="CV44" s="215"/>
      <c r="CW44" s="215"/>
      <c r="CX44" s="216"/>
      <c r="CY44" s="216"/>
      <c r="CZ44" s="216"/>
      <c r="DA44" s="216"/>
      <c r="DB44" s="21"/>
      <c r="DC44" s="21"/>
      <c r="DD44" s="21"/>
      <c r="DE44" s="21"/>
      <c r="DF44" s="215"/>
      <c r="DG44" s="215"/>
      <c r="DH44" s="215"/>
      <c r="DI44" s="215"/>
      <c r="DJ44" s="215"/>
      <c r="DK44" s="116"/>
      <c r="DL44" s="116"/>
      <c r="DM44" s="116"/>
      <c r="DN44" s="116"/>
      <c r="DO44" s="217"/>
      <c r="DP44" s="217"/>
      <c r="DQ44" s="116"/>
      <c r="DR44" s="116"/>
      <c r="DS44" s="116"/>
      <c r="DT44" s="116"/>
      <c r="DU44" s="116"/>
      <c r="DV44" s="116"/>
      <c r="DW44" s="235"/>
      <c r="DX44" s="219"/>
      <c r="DY44" s="219"/>
      <c r="DZ44" s="220"/>
      <c r="EA44" s="220"/>
      <c r="EB44" s="236"/>
      <c r="EC44" s="116"/>
      <c r="ED44" s="116"/>
      <c r="EE44" s="237"/>
      <c r="EF44" s="116"/>
      <c r="EG44" s="223"/>
      <c r="EH44" s="116"/>
      <c r="EI44" s="116"/>
      <c r="EJ44" s="116"/>
      <c r="EK44" s="224"/>
      <c r="EL44" s="116"/>
      <c r="EM44" s="116"/>
      <c r="EN44" s="116"/>
      <c r="EO44" s="224"/>
      <c r="EP44" s="116"/>
      <c r="EQ44" s="116"/>
      <c r="ER44" s="116"/>
      <c r="ES44" s="116"/>
      <c r="ET44" s="116"/>
      <c r="EU44" s="116"/>
      <c r="EV44" s="213"/>
      <c r="EX44" s="116"/>
      <c r="EY44" s="116"/>
      <c r="FA44" s="116"/>
      <c r="FC44" s="189"/>
      <c r="FE44" s="31"/>
      <c r="FG44" s="31"/>
    </row>
    <row r="45" spans="1:163" ht="13">
      <c r="A45" s="115"/>
      <c r="B45" s="115"/>
      <c r="C45" s="115"/>
      <c r="D45" s="115"/>
      <c r="E45" s="115"/>
    </row>
    <row r="46" spans="1:163" ht="13">
      <c r="A46" s="115"/>
      <c r="B46" s="115"/>
      <c r="C46" s="115"/>
      <c r="D46" s="115"/>
      <c r="E46" s="115"/>
    </row>
    <row r="47" spans="1:163" ht="13">
      <c r="A47" s="115"/>
      <c r="B47" s="115"/>
      <c r="C47" s="115"/>
      <c r="D47" s="115"/>
      <c r="E47" s="115"/>
      <c r="CT47" s="10">
        <f>SUMIFS('1HistTrade'!$DF:$DF,'1HistTrade'!$B:$B,B26,'1HistTrade'!$BM:$BM,BM26,'1HistTrade'!$D:$D,"&lt;"&amp;D26)</f>
        <v>0</v>
      </c>
      <c r="EE47" s="10" t="e">
        <f ca="1">IF(C33&lt;&gt;_xludf.maxifs(B:B,C:C,C33,CM:CM,CM33),"",SUMIFS(ED:ED,C:C,C33,CM:CM,CM33))</f>
        <v>#NAME?</v>
      </c>
    </row>
    <row r="48" spans="1:163" ht="13">
      <c r="A48" s="115"/>
      <c r="B48" s="115"/>
      <c r="C48" s="115"/>
      <c r="D48" s="115"/>
      <c r="E48" s="115"/>
    </row>
    <row r="49" spans="1:5" ht="13">
      <c r="A49" s="115"/>
      <c r="B49" s="115"/>
      <c r="C49" s="115"/>
      <c r="D49" s="115"/>
      <c r="E49" s="115"/>
    </row>
    <row r="50" spans="1:5" ht="13">
      <c r="A50" s="115"/>
      <c r="B50" s="115"/>
      <c r="C50" s="115"/>
      <c r="D50" s="115"/>
      <c r="E50" s="115"/>
    </row>
    <row r="51" spans="1:5" ht="13">
      <c r="A51" s="115"/>
      <c r="B51" s="115"/>
      <c r="C51" s="115"/>
      <c r="D51" s="115"/>
      <c r="E51" s="115"/>
    </row>
    <row r="52" spans="1:5" ht="13">
      <c r="A52" s="115"/>
      <c r="B52" s="115"/>
      <c r="C52" s="115"/>
      <c r="D52" s="115"/>
      <c r="E52" s="115"/>
    </row>
    <row r="53" spans="1:5" ht="13">
      <c r="A53" s="115"/>
      <c r="B53" s="115"/>
      <c r="C53" s="115"/>
      <c r="D53" s="115"/>
      <c r="E53" s="115"/>
    </row>
    <row r="54" spans="1:5" ht="13">
      <c r="A54" s="115"/>
      <c r="B54" s="115"/>
      <c r="C54" s="115"/>
      <c r="D54" s="115"/>
      <c r="E54" s="115"/>
    </row>
    <row r="55" spans="1:5" ht="13">
      <c r="A55" s="115"/>
      <c r="B55" s="115"/>
      <c r="C55" s="115"/>
      <c r="D55" s="115"/>
      <c r="E55" s="115"/>
    </row>
    <row r="56" spans="1:5" ht="13">
      <c r="A56" s="115"/>
      <c r="B56" s="115"/>
      <c r="C56" s="115"/>
      <c r="D56" s="115"/>
      <c r="E56" s="115"/>
    </row>
    <row r="57" spans="1:5" ht="13">
      <c r="A57" s="115"/>
      <c r="B57" s="115"/>
      <c r="C57" s="115"/>
      <c r="D57" s="115"/>
      <c r="E57" s="115"/>
    </row>
    <row r="58" spans="1:5" ht="13">
      <c r="A58" s="115"/>
      <c r="B58" s="115"/>
      <c r="C58" s="115"/>
      <c r="D58" s="115"/>
      <c r="E58" s="115"/>
    </row>
    <row r="59" spans="1:5" ht="13">
      <c r="A59" s="115"/>
      <c r="B59" s="115"/>
      <c r="C59" s="115"/>
      <c r="D59" s="115"/>
      <c r="E59" s="115"/>
    </row>
    <row r="60" spans="1:5" ht="13">
      <c r="A60" s="115"/>
      <c r="B60" s="115"/>
      <c r="C60" s="115"/>
      <c r="D60" s="115"/>
      <c r="E60" s="115"/>
    </row>
    <row r="61" spans="1:5" ht="13">
      <c r="A61" s="115"/>
      <c r="B61" s="115"/>
      <c r="C61" s="115"/>
      <c r="D61" s="115"/>
      <c r="E61" s="115"/>
    </row>
    <row r="62" spans="1:5" ht="13">
      <c r="A62" s="115"/>
      <c r="B62" s="115"/>
      <c r="C62" s="115"/>
      <c r="D62" s="115"/>
      <c r="E62" s="115"/>
    </row>
    <row r="63" spans="1:5" ht="13">
      <c r="A63" s="115"/>
      <c r="B63" s="115"/>
      <c r="C63" s="115"/>
      <c r="D63" s="115"/>
      <c r="E63" s="115"/>
    </row>
    <row r="64" spans="1:5" ht="13">
      <c r="A64" s="115"/>
      <c r="B64" s="115"/>
      <c r="C64" s="115"/>
      <c r="D64" s="115"/>
      <c r="E64" s="115"/>
    </row>
    <row r="65" spans="1:5" ht="13">
      <c r="A65" s="115"/>
      <c r="B65" s="115"/>
      <c r="C65" s="115"/>
      <c r="D65" s="115"/>
      <c r="E65" s="115"/>
    </row>
    <row r="66" spans="1:5" ht="13">
      <c r="A66" s="115"/>
      <c r="B66" s="115"/>
      <c r="C66" s="115"/>
      <c r="D66" s="115"/>
      <c r="E66" s="115"/>
    </row>
    <row r="67" spans="1:5" ht="13">
      <c r="A67" s="115"/>
      <c r="B67" s="115"/>
      <c r="C67" s="115"/>
      <c r="D67" s="115"/>
      <c r="E67" s="115"/>
    </row>
    <row r="68" spans="1:5" ht="13">
      <c r="A68" s="115"/>
      <c r="B68" s="115"/>
      <c r="C68" s="115"/>
      <c r="D68" s="115"/>
      <c r="E68" s="115"/>
    </row>
    <row r="69" spans="1:5" ht="13">
      <c r="A69" s="115"/>
      <c r="B69" s="115"/>
      <c r="C69" s="115"/>
      <c r="D69" s="115"/>
      <c r="E69" s="115"/>
    </row>
    <row r="70" spans="1:5" ht="13">
      <c r="A70" s="115"/>
      <c r="B70" s="115"/>
      <c r="C70" s="115"/>
      <c r="D70" s="115"/>
      <c r="E70" s="115"/>
    </row>
    <row r="71" spans="1:5" ht="13">
      <c r="A71" s="115"/>
      <c r="B71" s="115"/>
      <c r="C71" s="115"/>
      <c r="D71" s="115"/>
      <c r="E71" s="115"/>
    </row>
    <row r="72" spans="1:5" ht="13">
      <c r="A72" s="115"/>
      <c r="B72" s="115"/>
      <c r="C72" s="115"/>
      <c r="D72" s="115"/>
      <c r="E72" s="115"/>
    </row>
    <row r="73" spans="1:5" ht="13">
      <c r="A73" s="115"/>
      <c r="B73" s="115"/>
      <c r="C73" s="115"/>
      <c r="D73" s="115"/>
      <c r="E73" s="115"/>
    </row>
    <row r="74" spans="1:5" ht="13">
      <c r="A74" s="115"/>
      <c r="B74" s="115"/>
      <c r="C74" s="115"/>
      <c r="D74" s="115"/>
      <c r="E74" s="115"/>
    </row>
    <row r="75" spans="1:5" ht="13">
      <c r="A75" s="115"/>
      <c r="B75" s="115"/>
      <c r="C75" s="115"/>
      <c r="D75" s="115"/>
      <c r="E75" s="115"/>
    </row>
    <row r="76" spans="1:5" ht="13">
      <c r="A76" s="115"/>
      <c r="B76" s="115"/>
      <c r="C76" s="115"/>
      <c r="D76" s="115"/>
      <c r="E76" s="115"/>
    </row>
    <row r="77" spans="1:5" ht="13">
      <c r="A77" s="115"/>
      <c r="B77" s="115"/>
      <c r="C77" s="115"/>
      <c r="D77" s="115"/>
      <c r="E77" s="115"/>
    </row>
    <row r="78" spans="1:5" ht="13">
      <c r="A78" s="115"/>
      <c r="B78" s="115"/>
      <c r="C78" s="115"/>
      <c r="D78" s="115"/>
      <c r="E78" s="115"/>
    </row>
    <row r="79" spans="1:5" ht="13">
      <c r="A79" s="115"/>
      <c r="B79" s="115"/>
      <c r="C79" s="115"/>
      <c r="D79" s="115"/>
      <c r="E79" s="115"/>
    </row>
    <row r="80" spans="1:5" ht="13">
      <c r="A80" s="115"/>
      <c r="B80" s="115"/>
      <c r="C80" s="115"/>
      <c r="D80" s="115"/>
      <c r="E80" s="115"/>
    </row>
    <row r="81" spans="1:5" ht="13">
      <c r="A81" s="115"/>
      <c r="B81" s="115"/>
      <c r="C81" s="115"/>
      <c r="D81" s="115"/>
      <c r="E81" s="115"/>
    </row>
    <row r="82" spans="1:5" ht="13">
      <c r="A82" s="115"/>
      <c r="B82" s="115"/>
      <c r="C82" s="115"/>
      <c r="D82" s="115"/>
      <c r="E82" s="115"/>
    </row>
    <row r="83" spans="1:5" ht="13">
      <c r="A83" s="115"/>
      <c r="B83" s="115"/>
      <c r="C83" s="115"/>
      <c r="D83" s="115"/>
      <c r="E83" s="115"/>
    </row>
    <row r="84" spans="1:5" ht="13">
      <c r="A84" s="115"/>
      <c r="B84" s="115"/>
      <c r="C84" s="115"/>
      <c r="D84" s="115"/>
      <c r="E84" s="115"/>
    </row>
    <row r="85" spans="1:5" ht="13">
      <c r="A85" s="115"/>
      <c r="B85" s="115"/>
      <c r="C85" s="115"/>
      <c r="D85" s="115"/>
      <c r="E85" s="115"/>
    </row>
    <row r="86" spans="1:5" ht="13">
      <c r="A86" s="115"/>
      <c r="B86" s="115"/>
      <c r="C86" s="115"/>
      <c r="D86" s="115"/>
      <c r="E86" s="115"/>
    </row>
    <row r="87" spans="1:5" ht="13">
      <c r="A87" s="115"/>
      <c r="B87" s="115"/>
      <c r="C87" s="115"/>
      <c r="D87" s="115"/>
      <c r="E87" s="115"/>
    </row>
    <row r="88" spans="1:5" ht="13">
      <c r="A88" s="115"/>
      <c r="B88" s="115"/>
      <c r="C88" s="115"/>
      <c r="D88" s="115"/>
      <c r="E88" s="115"/>
    </row>
    <row r="89" spans="1:5" ht="13">
      <c r="A89" s="115"/>
      <c r="B89" s="115"/>
      <c r="C89" s="115"/>
      <c r="D89" s="115"/>
      <c r="E89" s="115"/>
    </row>
    <row r="90" spans="1:5" ht="13">
      <c r="A90" s="115"/>
      <c r="B90" s="115"/>
      <c r="C90" s="115"/>
      <c r="D90" s="115"/>
      <c r="E90" s="115"/>
    </row>
    <row r="91" spans="1:5" ht="13">
      <c r="A91" s="115"/>
      <c r="B91" s="115"/>
      <c r="C91" s="115"/>
      <c r="D91" s="115"/>
      <c r="E91" s="115"/>
    </row>
    <row r="92" spans="1:5" ht="13">
      <c r="A92" s="115"/>
      <c r="B92" s="115"/>
      <c r="C92" s="115"/>
      <c r="D92" s="115"/>
      <c r="E92" s="115"/>
    </row>
    <row r="93" spans="1:5" ht="13">
      <c r="A93" s="115"/>
      <c r="B93" s="115"/>
      <c r="C93" s="115"/>
      <c r="D93" s="115"/>
      <c r="E93" s="115"/>
    </row>
    <row r="94" spans="1:5" ht="13">
      <c r="A94" s="115"/>
      <c r="B94" s="115"/>
      <c r="C94" s="115"/>
      <c r="D94" s="115"/>
      <c r="E94" s="115"/>
    </row>
    <row r="95" spans="1:5" ht="13">
      <c r="A95" s="115"/>
      <c r="B95" s="115"/>
      <c r="C95" s="115"/>
      <c r="D95" s="115"/>
      <c r="E95" s="115"/>
    </row>
    <row r="96" spans="1:5" ht="13">
      <c r="A96" s="115"/>
      <c r="B96" s="115"/>
      <c r="C96" s="115"/>
      <c r="D96" s="115"/>
      <c r="E96" s="115"/>
    </row>
    <row r="97" spans="1:5" ht="13">
      <c r="A97" s="115"/>
      <c r="B97" s="115"/>
      <c r="C97" s="115"/>
      <c r="D97" s="115"/>
      <c r="E97" s="115"/>
    </row>
    <row r="98" spans="1:5" ht="13">
      <c r="A98" s="115"/>
      <c r="B98" s="115"/>
      <c r="C98" s="115"/>
      <c r="D98" s="115"/>
      <c r="E98" s="115"/>
    </row>
    <row r="99" spans="1:5" ht="13">
      <c r="A99" s="115"/>
      <c r="B99" s="115"/>
      <c r="C99" s="115"/>
      <c r="D99" s="115"/>
      <c r="E99" s="115"/>
    </row>
    <row r="100" spans="1:5" ht="13">
      <c r="A100" s="115"/>
      <c r="B100" s="115"/>
      <c r="C100" s="115"/>
      <c r="D100" s="115"/>
      <c r="E100" s="115"/>
    </row>
    <row r="101" spans="1:5" ht="13">
      <c r="A101" s="115"/>
      <c r="B101" s="115"/>
      <c r="C101" s="115"/>
      <c r="D101" s="115"/>
      <c r="E101" s="115"/>
    </row>
    <row r="102" spans="1:5" ht="13">
      <c r="A102" s="115"/>
      <c r="B102" s="115"/>
      <c r="C102" s="115"/>
      <c r="D102" s="115"/>
      <c r="E102" s="115"/>
    </row>
    <row r="103" spans="1:5" ht="13">
      <c r="A103" s="115"/>
      <c r="B103" s="115"/>
      <c r="C103" s="115"/>
      <c r="D103" s="115"/>
      <c r="E103" s="115"/>
    </row>
    <row r="104" spans="1:5" ht="13">
      <c r="A104" s="115"/>
      <c r="B104" s="115"/>
      <c r="C104" s="115"/>
      <c r="D104" s="115"/>
      <c r="E104" s="115"/>
    </row>
    <row r="105" spans="1:5" ht="13">
      <c r="A105" s="115"/>
      <c r="B105" s="115"/>
      <c r="C105" s="115"/>
      <c r="D105" s="115"/>
      <c r="E105" s="115"/>
    </row>
    <row r="106" spans="1:5" ht="13">
      <c r="A106" s="115"/>
      <c r="B106" s="115"/>
      <c r="C106" s="115"/>
      <c r="D106" s="115"/>
      <c r="E106" s="115"/>
    </row>
    <row r="107" spans="1:5" ht="13">
      <c r="A107" s="115"/>
      <c r="B107" s="115"/>
      <c r="C107" s="115"/>
      <c r="D107" s="115"/>
      <c r="E107" s="115"/>
    </row>
    <row r="108" spans="1:5" ht="13">
      <c r="A108" s="115"/>
      <c r="B108" s="115"/>
      <c r="C108" s="115"/>
      <c r="D108" s="115"/>
      <c r="E108" s="115"/>
    </row>
    <row r="109" spans="1:5" ht="13">
      <c r="A109" s="115"/>
      <c r="B109" s="115"/>
      <c r="C109" s="115"/>
      <c r="D109" s="115"/>
      <c r="E109" s="115"/>
    </row>
    <row r="110" spans="1:5" ht="13">
      <c r="A110" s="115"/>
      <c r="B110" s="115"/>
      <c r="C110" s="115"/>
      <c r="D110" s="115"/>
      <c r="E110" s="115"/>
    </row>
    <row r="111" spans="1:5" ht="13">
      <c r="A111" s="115"/>
      <c r="B111" s="115"/>
      <c r="C111" s="115"/>
      <c r="D111" s="115"/>
      <c r="E111" s="115"/>
    </row>
    <row r="112" spans="1:5" ht="13">
      <c r="A112" s="115"/>
      <c r="B112" s="115"/>
      <c r="C112" s="115"/>
      <c r="D112" s="115"/>
      <c r="E112" s="115"/>
    </row>
    <row r="113" spans="1:5" ht="13">
      <c r="A113" s="115"/>
      <c r="B113" s="115"/>
      <c r="C113" s="115"/>
      <c r="D113" s="115"/>
      <c r="E113" s="115"/>
    </row>
    <row r="114" spans="1:5" ht="13">
      <c r="A114" s="115"/>
      <c r="B114" s="115"/>
      <c r="C114" s="115"/>
      <c r="D114" s="115"/>
      <c r="E114" s="115"/>
    </row>
    <row r="115" spans="1:5" ht="13">
      <c r="A115" s="115"/>
      <c r="B115" s="115"/>
      <c r="C115" s="115"/>
      <c r="D115" s="115"/>
      <c r="E115" s="115"/>
    </row>
    <row r="116" spans="1:5" ht="13">
      <c r="A116" s="115"/>
      <c r="B116" s="115"/>
      <c r="C116" s="115"/>
      <c r="D116" s="115"/>
      <c r="E116" s="115"/>
    </row>
    <row r="117" spans="1:5" ht="13">
      <c r="A117" s="115"/>
      <c r="B117" s="115"/>
      <c r="C117" s="115"/>
      <c r="D117" s="115"/>
      <c r="E117" s="115"/>
    </row>
    <row r="118" spans="1:5" ht="13">
      <c r="A118" s="115"/>
      <c r="B118" s="115"/>
      <c r="C118" s="115"/>
      <c r="D118" s="115"/>
      <c r="E118" s="115"/>
    </row>
    <row r="119" spans="1:5" ht="13">
      <c r="A119" s="115"/>
      <c r="B119" s="115"/>
      <c r="C119" s="115"/>
      <c r="D119" s="115"/>
      <c r="E119" s="115"/>
    </row>
    <row r="120" spans="1:5" ht="13">
      <c r="A120" s="115"/>
      <c r="B120" s="115"/>
      <c r="C120" s="115"/>
      <c r="D120" s="115"/>
      <c r="E120" s="115"/>
    </row>
    <row r="121" spans="1:5" ht="13">
      <c r="A121" s="115"/>
      <c r="B121" s="115"/>
      <c r="C121" s="115"/>
      <c r="D121" s="115"/>
      <c r="E121" s="115"/>
    </row>
    <row r="122" spans="1:5" ht="13">
      <c r="A122" s="115"/>
      <c r="B122" s="115"/>
      <c r="C122" s="115"/>
      <c r="D122" s="115"/>
      <c r="E122" s="115"/>
    </row>
    <row r="123" spans="1:5" ht="13">
      <c r="A123" s="115"/>
      <c r="B123" s="115"/>
      <c r="C123" s="115"/>
      <c r="D123" s="115"/>
      <c r="E123" s="115"/>
    </row>
    <row r="124" spans="1:5" ht="13">
      <c r="A124" s="115"/>
      <c r="B124" s="115"/>
      <c r="C124" s="115"/>
      <c r="D124" s="115"/>
      <c r="E124" s="115"/>
    </row>
    <row r="125" spans="1:5" ht="13">
      <c r="A125" s="115"/>
      <c r="B125" s="115"/>
      <c r="C125" s="115"/>
      <c r="D125" s="115"/>
      <c r="E125" s="115"/>
    </row>
    <row r="126" spans="1:5" ht="13">
      <c r="A126" s="115"/>
      <c r="B126" s="115"/>
      <c r="C126" s="115"/>
      <c r="D126" s="115"/>
      <c r="E126" s="115"/>
    </row>
    <row r="127" spans="1:5" ht="13">
      <c r="A127" s="115"/>
      <c r="B127" s="115"/>
      <c r="C127" s="115"/>
      <c r="D127" s="115"/>
      <c r="E127" s="115"/>
    </row>
    <row r="128" spans="1:5" ht="13">
      <c r="A128" s="115"/>
      <c r="B128" s="115"/>
      <c r="C128" s="115"/>
      <c r="D128" s="115"/>
      <c r="E128" s="115"/>
    </row>
    <row r="129" spans="1:5" ht="13">
      <c r="A129" s="115"/>
      <c r="B129" s="115"/>
      <c r="C129" s="115"/>
      <c r="D129" s="115"/>
      <c r="E129" s="115"/>
    </row>
    <row r="130" spans="1:5" ht="13">
      <c r="A130" s="115"/>
      <c r="B130" s="115"/>
      <c r="C130" s="115"/>
      <c r="D130" s="115"/>
      <c r="E130" s="115"/>
    </row>
    <row r="131" spans="1:5" ht="13">
      <c r="A131" s="115"/>
      <c r="B131" s="115"/>
      <c r="C131" s="115"/>
      <c r="D131" s="115"/>
      <c r="E131" s="115"/>
    </row>
    <row r="132" spans="1:5" ht="13">
      <c r="A132" s="115"/>
      <c r="B132" s="115"/>
      <c r="C132" s="115"/>
      <c r="D132" s="115"/>
      <c r="E132" s="115"/>
    </row>
    <row r="133" spans="1:5" ht="13">
      <c r="A133" s="115"/>
      <c r="B133" s="115"/>
      <c r="C133" s="115"/>
      <c r="D133" s="115"/>
      <c r="E133" s="115"/>
    </row>
    <row r="134" spans="1:5" ht="13">
      <c r="A134" s="115"/>
      <c r="B134" s="115"/>
      <c r="C134" s="115"/>
      <c r="D134" s="115"/>
      <c r="E134" s="115"/>
    </row>
    <row r="135" spans="1:5" ht="13">
      <c r="A135" s="115"/>
      <c r="B135" s="115"/>
      <c r="C135" s="115"/>
      <c r="D135" s="115"/>
      <c r="E135" s="115"/>
    </row>
    <row r="136" spans="1:5" ht="13">
      <c r="A136" s="115"/>
      <c r="B136" s="115"/>
      <c r="C136" s="115"/>
      <c r="D136" s="115"/>
      <c r="E136" s="115"/>
    </row>
    <row r="137" spans="1:5" ht="13">
      <c r="A137" s="115"/>
      <c r="B137" s="115"/>
      <c r="C137" s="115"/>
      <c r="D137" s="115"/>
      <c r="E137" s="115"/>
    </row>
    <row r="138" spans="1:5" ht="13">
      <c r="A138" s="115"/>
      <c r="B138" s="115"/>
      <c r="C138" s="115"/>
      <c r="D138" s="115"/>
      <c r="E138" s="115"/>
    </row>
    <row r="139" spans="1:5" ht="13">
      <c r="A139" s="115"/>
      <c r="B139" s="115"/>
      <c r="C139" s="115"/>
      <c r="D139" s="115"/>
      <c r="E139" s="115"/>
    </row>
    <row r="140" spans="1:5" ht="13">
      <c r="A140" s="115"/>
      <c r="B140" s="115"/>
      <c r="C140" s="115"/>
      <c r="D140" s="115"/>
      <c r="E140" s="115"/>
    </row>
    <row r="141" spans="1:5" ht="13">
      <c r="A141" s="115"/>
      <c r="B141" s="115"/>
      <c r="C141" s="115"/>
      <c r="D141" s="115"/>
      <c r="E141" s="115"/>
    </row>
    <row r="142" spans="1:5" ht="13">
      <c r="A142" s="115"/>
      <c r="B142" s="115"/>
      <c r="C142" s="115"/>
      <c r="D142" s="115"/>
      <c r="E142" s="115"/>
    </row>
    <row r="143" spans="1:5" ht="13">
      <c r="A143" s="115"/>
      <c r="B143" s="115"/>
      <c r="C143" s="115"/>
      <c r="D143" s="115"/>
      <c r="E143" s="115"/>
    </row>
    <row r="144" spans="1:5" ht="13">
      <c r="A144" s="115"/>
      <c r="B144" s="115"/>
      <c r="C144" s="115"/>
      <c r="D144" s="115"/>
      <c r="E144" s="115"/>
    </row>
    <row r="145" spans="1:5" ht="13">
      <c r="A145" s="115"/>
      <c r="B145" s="115"/>
      <c r="C145" s="115"/>
      <c r="D145" s="115"/>
      <c r="E145" s="115"/>
    </row>
    <row r="146" spans="1:5" ht="13">
      <c r="A146" s="115"/>
      <c r="B146" s="115"/>
      <c r="C146" s="115"/>
      <c r="D146" s="115"/>
      <c r="E146" s="115"/>
    </row>
    <row r="147" spans="1:5" ht="13">
      <c r="A147" s="115"/>
      <c r="B147" s="115"/>
      <c r="C147" s="115"/>
      <c r="D147" s="115"/>
      <c r="E147" s="115"/>
    </row>
    <row r="148" spans="1:5" ht="13">
      <c r="A148" s="115"/>
      <c r="B148" s="115"/>
      <c r="C148" s="115"/>
      <c r="D148" s="115"/>
      <c r="E148" s="115"/>
    </row>
    <row r="149" spans="1:5" ht="13">
      <c r="A149" s="115"/>
      <c r="B149" s="115"/>
      <c r="C149" s="115"/>
      <c r="D149" s="115"/>
      <c r="E149" s="115"/>
    </row>
    <row r="150" spans="1:5" ht="13">
      <c r="A150" s="115"/>
      <c r="B150" s="115"/>
      <c r="C150" s="115"/>
      <c r="D150" s="115"/>
      <c r="E150" s="115"/>
    </row>
    <row r="151" spans="1:5" ht="13">
      <c r="A151" s="115"/>
      <c r="B151" s="115"/>
      <c r="C151" s="115"/>
      <c r="D151" s="115"/>
      <c r="E151" s="115"/>
    </row>
    <row r="152" spans="1:5" ht="13">
      <c r="A152" s="115"/>
      <c r="B152" s="115"/>
      <c r="C152" s="115"/>
      <c r="D152" s="115"/>
      <c r="E152" s="115"/>
    </row>
    <row r="153" spans="1:5" ht="13">
      <c r="A153" s="115"/>
      <c r="B153" s="115"/>
      <c r="C153" s="115"/>
      <c r="D153" s="115"/>
      <c r="E153" s="115"/>
    </row>
    <row r="154" spans="1:5" ht="13">
      <c r="A154" s="115"/>
      <c r="B154" s="115"/>
      <c r="C154" s="115"/>
      <c r="D154" s="115"/>
      <c r="E154" s="115"/>
    </row>
    <row r="155" spans="1:5" ht="13">
      <c r="A155" s="115"/>
      <c r="B155" s="115"/>
      <c r="C155" s="115"/>
      <c r="D155" s="115"/>
      <c r="E155" s="115"/>
    </row>
    <row r="156" spans="1:5" ht="13">
      <c r="A156" s="115"/>
      <c r="B156" s="115"/>
      <c r="C156" s="115"/>
      <c r="D156" s="115"/>
      <c r="E156" s="115"/>
    </row>
    <row r="157" spans="1:5" ht="13">
      <c r="A157" s="115"/>
      <c r="B157" s="115"/>
      <c r="C157" s="115"/>
      <c r="D157" s="115"/>
      <c r="E157" s="115"/>
    </row>
    <row r="158" spans="1:5" ht="13">
      <c r="A158" s="115"/>
      <c r="B158" s="115"/>
      <c r="C158" s="115"/>
      <c r="D158" s="115"/>
      <c r="E158" s="115"/>
    </row>
    <row r="159" spans="1:5" ht="13">
      <c r="A159" s="115"/>
      <c r="B159" s="115"/>
      <c r="C159" s="115"/>
      <c r="D159" s="115"/>
      <c r="E159" s="115"/>
    </row>
    <row r="160" spans="1:5" ht="13">
      <c r="A160" s="115"/>
      <c r="B160" s="115"/>
      <c r="C160" s="115"/>
      <c r="D160" s="115"/>
      <c r="E160" s="115"/>
    </row>
    <row r="161" spans="1:5" ht="13">
      <c r="A161" s="115"/>
      <c r="B161" s="115"/>
      <c r="C161" s="115"/>
      <c r="D161" s="115"/>
      <c r="E161" s="115"/>
    </row>
    <row r="162" spans="1:5" ht="13">
      <c r="A162" s="115"/>
      <c r="B162" s="115"/>
      <c r="C162" s="115"/>
      <c r="D162" s="115"/>
      <c r="E162" s="115"/>
    </row>
    <row r="163" spans="1:5" ht="13">
      <c r="A163" s="115"/>
      <c r="B163" s="115"/>
      <c r="C163" s="115"/>
      <c r="D163" s="115"/>
      <c r="E163" s="115"/>
    </row>
    <row r="164" spans="1:5" ht="13">
      <c r="A164" s="115"/>
      <c r="B164" s="115"/>
      <c r="C164" s="115"/>
      <c r="D164" s="115"/>
      <c r="E164" s="115"/>
    </row>
    <row r="165" spans="1:5" ht="13">
      <c r="A165" s="115"/>
      <c r="B165" s="115"/>
      <c r="C165" s="115"/>
      <c r="D165" s="115"/>
      <c r="E165" s="115"/>
    </row>
    <row r="166" spans="1:5" ht="13">
      <c r="A166" s="115"/>
      <c r="B166" s="115"/>
      <c r="C166" s="115"/>
      <c r="D166" s="115"/>
      <c r="E166" s="115"/>
    </row>
    <row r="167" spans="1:5" ht="13">
      <c r="A167" s="115"/>
      <c r="B167" s="115"/>
      <c r="C167" s="115"/>
      <c r="D167" s="115"/>
      <c r="E167" s="115"/>
    </row>
    <row r="168" spans="1:5" ht="13">
      <c r="A168" s="115"/>
      <c r="B168" s="115"/>
      <c r="C168" s="115"/>
      <c r="D168" s="115"/>
      <c r="E168" s="115"/>
    </row>
    <row r="169" spans="1:5" ht="13">
      <c r="A169" s="115"/>
      <c r="B169" s="115"/>
      <c r="C169" s="115"/>
      <c r="D169" s="115"/>
      <c r="E169" s="115"/>
    </row>
    <row r="170" spans="1:5" ht="13">
      <c r="A170" s="115"/>
      <c r="B170" s="115"/>
      <c r="C170" s="115"/>
      <c r="D170" s="115"/>
      <c r="E170" s="115"/>
    </row>
    <row r="171" spans="1:5" ht="13">
      <c r="A171" s="115"/>
      <c r="B171" s="115"/>
      <c r="C171" s="115"/>
      <c r="D171" s="115"/>
      <c r="E171" s="115"/>
    </row>
    <row r="172" spans="1:5" ht="13">
      <c r="A172" s="115"/>
      <c r="B172" s="115"/>
      <c r="C172" s="115"/>
      <c r="D172" s="115"/>
      <c r="E172" s="115"/>
    </row>
    <row r="173" spans="1:5" ht="13">
      <c r="A173" s="115"/>
      <c r="B173" s="115"/>
      <c r="C173" s="115"/>
      <c r="D173" s="115"/>
      <c r="E173" s="115"/>
    </row>
    <row r="174" spans="1:5" ht="13">
      <c r="A174" s="115"/>
      <c r="B174" s="115"/>
      <c r="C174" s="115"/>
      <c r="D174" s="115"/>
      <c r="E174" s="115"/>
    </row>
    <row r="175" spans="1:5" ht="13">
      <c r="A175" s="115"/>
      <c r="B175" s="115"/>
      <c r="C175" s="115"/>
      <c r="D175" s="115"/>
      <c r="E175" s="115"/>
    </row>
    <row r="176" spans="1:5" ht="13">
      <c r="A176" s="115"/>
      <c r="B176" s="115"/>
      <c r="C176" s="115"/>
      <c r="D176" s="115"/>
      <c r="E176" s="115"/>
    </row>
    <row r="177" spans="1:5" ht="13">
      <c r="A177" s="115"/>
      <c r="B177" s="115"/>
      <c r="C177" s="115"/>
      <c r="D177" s="115"/>
      <c r="E177" s="115"/>
    </row>
    <row r="178" spans="1:5" ht="13">
      <c r="A178" s="115"/>
      <c r="B178" s="115"/>
      <c r="C178" s="115"/>
      <c r="D178" s="115"/>
      <c r="E178" s="115"/>
    </row>
    <row r="179" spans="1:5" ht="13">
      <c r="A179" s="115"/>
      <c r="B179" s="115"/>
      <c r="C179" s="115"/>
      <c r="D179" s="115"/>
      <c r="E179" s="115"/>
    </row>
    <row r="180" spans="1:5" ht="13">
      <c r="A180" s="115"/>
      <c r="B180" s="115"/>
      <c r="C180" s="115"/>
      <c r="D180" s="115"/>
      <c r="E180" s="115"/>
    </row>
    <row r="181" spans="1:5" ht="13">
      <c r="A181" s="115"/>
      <c r="B181" s="115"/>
      <c r="C181" s="115"/>
      <c r="D181" s="115"/>
      <c r="E181" s="115"/>
    </row>
    <row r="182" spans="1:5" ht="13">
      <c r="A182" s="115"/>
      <c r="B182" s="115"/>
      <c r="C182" s="115"/>
      <c r="D182" s="115"/>
      <c r="E182" s="115"/>
    </row>
    <row r="183" spans="1:5" ht="13">
      <c r="A183" s="115"/>
      <c r="B183" s="115"/>
      <c r="C183" s="115"/>
      <c r="D183" s="115"/>
      <c r="E183" s="115"/>
    </row>
    <row r="184" spans="1:5" ht="13">
      <c r="A184" s="115"/>
      <c r="B184" s="115"/>
      <c r="C184" s="115"/>
      <c r="D184" s="115"/>
      <c r="E184" s="115"/>
    </row>
    <row r="185" spans="1:5" ht="13">
      <c r="A185" s="115"/>
      <c r="B185" s="115"/>
      <c r="C185" s="115"/>
      <c r="D185" s="115"/>
      <c r="E185" s="115"/>
    </row>
    <row r="186" spans="1:5" ht="13">
      <c r="A186" s="115"/>
      <c r="B186" s="115"/>
      <c r="C186" s="115"/>
      <c r="D186" s="115"/>
      <c r="E186" s="115"/>
    </row>
    <row r="187" spans="1:5" ht="13">
      <c r="A187" s="115"/>
      <c r="B187" s="115"/>
      <c r="C187" s="115"/>
      <c r="D187" s="115"/>
      <c r="E187" s="115"/>
    </row>
    <row r="188" spans="1:5" ht="13">
      <c r="A188" s="115"/>
      <c r="B188" s="115"/>
      <c r="C188" s="115"/>
      <c r="D188" s="115"/>
      <c r="E188" s="115"/>
    </row>
    <row r="189" spans="1:5" ht="13">
      <c r="A189" s="115"/>
      <c r="B189" s="115"/>
      <c r="C189" s="115"/>
      <c r="D189" s="115"/>
      <c r="E189" s="115"/>
    </row>
    <row r="190" spans="1:5" ht="13">
      <c r="A190" s="115"/>
      <c r="B190" s="115"/>
      <c r="C190" s="115"/>
      <c r="D190" s="115"/>
      <c r="E190" s="115"/>
    </row>
    <row r="191" spans="1:5" ht="13">
      <c r="A191" s="115"/>
      <c r="B191" s="115"/>
      <c r="C191" s="115"/>
      <c r="D191" s="115"/>
      <c r="E191" s="115"/>
    </row>
    <row r="192" spans="1:5" ht="13">
      <c r="A192" s="115"/>
      <c r="B192" s="115"/>
      <c r="C192" s="115"/>
      <c r="D192" s="115"/>
      <c r="E192" s="115"/>
    </row>
    <row r="193" spans="1:5" ht="13">
      <c r="A193" s="115"/>
      <c r="B193" s="115"/>
      <c r="C193" s="115"/>
      <c r="D193" s="115"/>
      <c r="E193" s="115"/>
    </row>
    <row r="194" spans="1:5" ht="13">
      <c r="A194" s="115"/>
      <c r="B194" s="115"/>
      <c r="C194" s="115"/>
      <c r="D194" s="115"/>
      <c r="E194" s="115"/>
    </row>
    <row r="195" spans="1:5" ht="13">
      <c r="A195" s="115"/>
      <c r="B195" s="115"/>
      <c r="C195" s="115"/>
      <c r="D195" s="115"/>
      <c r="E195" s="115"/>
    </row>
    <row r="196" spans="1:5" ht="13">
      <c r="A196" s="115"/>
      <c r="B196" s="115"/>
      <c r="C196" s="115"/>
      <c r="D196" s="115"/>
      <c r="E196" s="115"/>
    </row>
    <row r="197" spans="1:5" ht="13">
      <c r="A197" s="115"/>
      <c r="B197" s="115"/>
      <c r="C197" s="115"/>
      <c r="D197" s="115"/>
      <c r="E197" s="115"/>
    </row>
    <row r="198" spans="1:5" ht="13">
      <c r="A198" s="115"/>
      <c r="B198" s="115"/>
      <c r="C198" s="115"/>
      <c r="D198" s="115"/>
      <c r="E198" s="115"/>
    </row>
    <row r="199" spans="1:5" ht="13">
      <c r="A199" s="115"/>
      <c r="B199" s="115"/>
      <c r="C199" s="115"/>
      <c r="D199" s="115"/>
      <c r="E199" s="115"/>
    </row>
    <row r="200" spans="1:5" ht="13">
      <c r="A200" s="115"/>
      <c r="B200" s="115"/>
      <c r="C200" s="115"/>
      <c r="D200" s="115"/>
      <c r="E200" s="115"/>
    </row>
    <row r="201" spans="1:5" ht="13">
      <c r="A201" s="115"/>
      <c r="B201" s="115"/>
      <c r="C201" s="115"/>
      <c r="D201" s="115"/>
      <c r="E201" s="115"/>
    </row>
    <row r="202" spans="1:5" ht="13">
      <c r="A202" s="115"/>
      <c r="B202" s="115"/>
      <c r="C202" s="115"/>
      <c r="D202" s="115"/>
      <c r="E202" s="115"/>
    </row>
    <row r="203" spans="1:5" ht="13">
      <c r="A203" s="115"/>
      <c r="B203" s="115"/>
      <c r="C203" s="115"/>
      <c r="D203" s="115"/>
      <c r="E203" s="115"/>
    </row>
    <row r="204" spans="1:5" ht="13">
      <c r="A204" s="115"/>
      <c r="B204" s="115"/>
      <c r="C204" s="115"/>
      <c r="D204" s="115"/>
      <c r="E204" s="115"/>
    </row>
    <row r="205" spans="1:5" ht="13">
      <c r="A205" s="115"/>
      <c r="B205" s="115"/>
      <c r="C205" s="115"/>
      <c r="D205" s="115"/>
      <c r="E205" s="115"/>
    </row>
    <row r="206" spans="1:5" ht="13">
      <c r="A206" s="115"/>
      <c r="B206" s="115"/>
      <c r="C206" s="115"/>
      <c r="D206" s="115"/>
      <c r="E206" s="115"/>
    </row>
    <row r="207" spans="1:5" ht="13">
      <c r="A207" s="115"/>
      <c r="B207" s="115"/>
      <c r="C207" s="115"/>
      <c r="D207" s="115"/>
      <c r="E207" s="115"/>
    </row>
    <row r="208" spans="1:5" ht="13">
      <c r="A208" s="115"/>
      <c r="B208" s="115"/>
      <c r="C208" s="115"/>
      <c r="D208" s="115"/>
      <c r="E208" s="115"/>
    </row>
    <row r="209" spans="1:5" ht="13">
      <c r="A209" s="115"/>
      <c r="B209" s="115"/>
      <c r="C209" s="115"/>
      <c r="D209" s="115"/>
      <c r="E209" s="115"/>
    </row>
    <row r="210" spans="1:5" ht="13">
      <c r="A210" s="115"/>
      <c r="B210" s="115"/>
      <c r="C210" s="115"/>
      <c r="D210" s="115"/>
      <c r="E210" s="115"/>
    </row>
    <row r="211" spans="1:5" ht="13">
      <c r="A211" s="115"/>
      <c r="B211" s="115"/>
      <c r="C211" s="115"/>
      <c r="D211" s="115"/>
      <c r="E211" s="115"/>
    </row>
    <row r="212" spans="1:5" ht="13">
      <c r="A212" s="115"/>
      <c r="B212" s="115"/>
      <c r="C212" s="115"/>
      <c r="D212" s="115"/>
      <c r="E212" s="115"/>
    </row>
    <row r="213" spans="1:5" ht="13">
      <c r="A213" s="115"/>
      <c r="B213" s="115"/>
      <c r="C213" s="115"/>
      <c r="D213" s="115"/>
      <c r="E213" s="115"/>
    </row>
    <row r="214" spans="1:5" ht="13">
      <c r="A214" s="115"/>
      <c r="B214" s="115"/>
      <c r="C214" s="115"/>
      <c r="D214" s="115"/>
      <c r="E214" s="115"/>
    </row>
    <row r="215" spans="1:5" ht="13">
      <c r="A215" s="115"/>
      <c r="B215" s="115"/>
      <c r="C215" s="115"/>
      <c r="D215" s="115"/>
      <c r="E215" s="115"/>
    </row>
    <row r="216" spans="1:5" ht="13">
      <c r="A216" s="115"/>
      <c r="B216" s="115"/>
      <c r="C216" s="115"/>
      <c r="D216" s="115"/>
      <c r="E216" s="115"/>
    </row>
    <row r="217" spans="1:5" ht="13">
      <c r="A217" s="115"/>
      <c r="B217" s="115"/>
      <c r="C217" s="115"/>
      <c r="D217" s="115"/>
      <c r="E217" s="115"/>
    </row>
    <row r="218" spans="1:5" ht="13">
      <c r="A218" s="115"/>
      <c r="B218" s="115"/>
      <c r="C218" s="115"/>
      <c r="D218" s="115"/>
      <c r="E218" s="115"/>
    </row>
    <row r="219" spans="1:5" ht="13">
      <c r="A219" s="115"/>
      <c r="B219" s="115"/>
      <c r="C219" s="115"/>
      <c r="D219" s="115"/>
      <c r="E219" s="115"/>
    </row>
    <row r="220" spans="1:5" ht="13">
      <c r="A220" s="115"/>
      <c r="B220" s="115"/>
      <c r="C220" s="115"/>
      <c r="D220" s="115"/>
      <c r="E220" s="115"/>
    </row>
    <row r="221" spans="1:5" ht="13">
      <c r="A221" s="115"/>
      <c r="B221" s="115"/>
      <c r="C221" s="115"/>
      <c r="D221" s="115"/>
      <c r="E221" s="115"/>
    </row>
    <row r="222" spans="1:5" ht="13">
      <c r="A222" s="115"/>
      <c r="B222" s="115"/>
      <c r="C222" s="115"/>
      <c r="D222" s="115"/>
      <c r="E222" s="115"/>
    </row>
    <row r="223" spans="1:5" ht="13">
      <c r="A223" s="115"/>
      <c r="B223" s="115"/>
      <c r="C223" s="115"/>
      <c r="D223" s="115"/>
      <c r="E223" s="115"/>
    </row>
    <row r="224" spans="1:5" ht="13">
      <c r="A224" s="115"/>
      <c r="B224" s="115"/>
      <c r="C224" s="115"/>
      <c r="D224" s="115"/>
      <c r="E224" s="115"/>
    </row>
    <row r="225" spans="1:5" ht="13">
      <c r="A225" s="115"/>
      <c r="B225" s="115"/>
      <c r="C225" s="115"/>
      <c r="D225" s="115"/>
      <c r="E225" s="115"/>
    </row>
    <row r="226" spans="1:5" ht="13">
      <c r="A226" s="115"/>
      <c r="B226" s="115"/>
      <c r="C226" s="115"/>
      <c r="D226" s="115"/>
      <c r="E226" s="115"/>
    </row>
    <row r="227" spans="1:5" ht="13">
      <c r="A227" s="115"/>
      <c r="B227" s="115"/>
      <c r="C227" s="115"/>
      <c r="D227" s="115"/>
      <c r="E227" s="115"/>
    </row>
    <row r="228" spans="1:5" ht="13">
      <c r="A228" s="115"/>
      <c r="B228" s="115"/>
      <c r="C228" s="115"/>
      <c r="D228" s="115"/>
      <c r="E228" s="115"/>
    </row>
    <row r="229" spans="1:5" ht="13">
      <c r="A229" s="115"/>
      <c r="B229" s="115"/>
      <c r="C229" s="115"/>
      <c r="D229" s="115"/>
      <c r="E229" s="115"/>
    </row>
    <row r="230" spans="1:5" ht="13">
      <c r="A230" s="115"/>
      <c r="B230" s="115"/>
      <c r="C230" s="115"/>
      <c r="D230" s="115"/>
      <c r="E230" s="115"/>
    </row>
    <row r="231" spans="1:5" ht="13">
      <c r="A231" s="115"/>
      <c r="B231" s="115"/>
      <c r="C231" s="115"/>
      <c r="D231" s="115"/>
      <c r="E231" s="115"/>
    </row>
    <row r="232" spans="1:5" ht="13">
      <c r="A232" s="115"/>
      <c r="B232" s="115"/>
      <c r="C232" s="115"/>
      <c r="D232" s="115"/>
      <c r="E232" s="115"/>
    </row>
    <row r="233" spans="1:5" ht="13">
      <c r="A233" s="115"/>
      <c r="B233" s="115"/>
      <c r="C233" s="115"/>
      <c r="D233" s="115"/>
      <c r="E233" s="115"/>
    </row>
    <row r="234" spans="1:5" ht="13">
      <c r="A234" s="115"/>
      <c r="B234" s="115"/>
      <c r="C234" s="115"/>
      <c r="D234" s="115"/>
      <c r="E234" s="115"/>
    </row>
    <row r="235" spans="1:5" ht="13">
      <c r="A235" s="115"/>
      <c r="B235" s="115"/>
      <c r="C235" s="115"/>
      <c r="D235" s="115"/>
      <c r="E235" s="115"/>
    </row>
    <row r="236" spans="1:5" ht="13">
      <c r="A236" s="115"/>
      <c r="B236" s="115"/>
      <c r="C236" s="115"/>
      <c r="D236" s="115"/>
      <c r="E236" s="115"/>
    </row>
    <row r="237" spans="1:5" ht="13">
      <c r="A237" s="115"/>
      <c r="B237" s="115"/>
      <c r="C237" s="115"/>
      <c r="D237" s="115"/>
      <c r="E237" s="115"/>
    </row>
    <row r="238" spans="1:5" ht="13">
      <c r="A238" s="115"/>
      <c r="B238" s="115"/>
      <c r="C238" s="115"/>
      <c r="D238" s="115"/>
      <c r="E238" s="115"/>
    </row>
    <row r="239" spans="1:5" ht="13">
      <c r="A239" s="115"/>
      <c r="B239" s="115"/>
      <c r="C239" s="115"/>
      <c r="D239" s="115"/>
      <c r="E239" s="115"/>
    </row>
    <row r="240" spans="1:5" ht="13">
      <c r="A240" s="115"/>
      <c r="B240" s="115"/>
      <c r="C240" s="115"/>
      <c r="D240" s="115"/>
      <c r="E240" s="115"/>
    </row>
    <row r="241" spans="1:5" ht="13">
      <c r="A241" s="115"/>
      <c r="B241" s="115"/>
      <c r="C241" s="115"/>
      <c r="D241" s="115"/>
      <c r="E241" s="115"/>
    </row>
    <row r="242" spans="1:5" ht="13">
      <c r="A242" s="115"/>
      <c r="B242" s="115"/>
      <c r="C242" s="115"/>
      <c r="D242" s="115"/>
      <c r="E242" s="115"/>
    </row>
    <row r="243" spans="1:5" ht="13">
      <c r="A243" s="115"/>
      <c r="B243" s="115"/>
      <c r="C243" s="115"/>
      <c r="D243" s="115"/>
      <c r="E243" s="115"/>
    </row>
    <row r="244" spans="1:5" ht="13">
      <c r="A244" s="115"/>
      <c r="B244" s="115"/>
      <c r="C244" s="115"/>
      <c r="D244" s="115"/>
      <c r="E244" s="115"/>
    </row>
    <row r="245" spans="1:5" ht="13">
      <c r="A245" s="115"/>
      <c r="B245" s="115"/>
      <c r="C245" s="115"/>
      <c r="D245" s="115"/>
      <c r="E245" s="115"/>
    </row>
    <row r="246" spans="1:5" ht="13">
      <c r="A246" s="115"/>
      <c r="B246" s="115"/>
      <c r="C246" s="115"/>
      <c r="D246" s="115"/>
      <c r="E246" s="115"/>
    </row>
    <row r="247" spans="1:5" ht="13">
      <c r="A247" s="115"/>
      <c r="B247" s="115"/>
      <c r="C247" s="115"/>
      <c r="D247" s="115"/>
      <c r="E247" s="115"/>
    </row>
    <row r="248" spans="1:5" ht="13">
      <c r="A248" s="115"/>
      <c r="B248" s="115"/>
      <c r="C248" s="115"/>
      <c r="D248" s="115"/>
      <c r="E248" s="115"/>
    </row>
    <row r="249" spans="1:5" ht="13">
      <c r="A249" s="115"/>
      <c r="B249" s="115"/>
      <c r="C249" s="115"/>
      <c r="D249" s="115"/>
      <c r="E249" s="115"/>
    </row>
    <row r="250" spans="1:5" ht="13">
      <c r="A250" s="115"/>
      <c r="B250" s="115"/>
      <c r="C250" s="115"/>
      <c r="D250" s="115"/>
      <c r="E250" s="115"/>
    </row>
    <row r="251" spans="1:5" ht="13">
      <c r="A251" s="115"/>
      <c r="B251" s="115"/>
      <c r="C251" s="115"/>
      <c r="D251" s="115"/>
      <c r="E251" s="115"/>
    </row>
    <row r="252" spans="1:5" ht="13">
      <c r="A252" s="115"/>
      <c r="B252" s="115"/>
      <c r="C252" s="115"/>
      <c r="D252" s="115"/>
      <c r="E252" s="115"/>
    </row>
    <row r="253" spans="1:5" ht="13">
      <c r="A253" s="115"/>
      <c r="B253" s="115"/>
      <c r="C253" s="115"/>
      <c r="D253" s="115"/>
      <c r="E253" s="115"/>
    </row>
    <row r="254" spans="1:5" ht="13">
      <c r="A254" s="115"/>
      <c r="B254" s="115"/>
      <c r="C254" s="115"/>
      <c r="D254" s="115"/>
      <c r="E254" s="115"/>
    </row>
    <row r="255" spans="1:5" ht="13">
      <c r="A255" s="115"/>
      <c r="B255" s="115"/>
      <c r="C255" s="115"/>
      <c r="D255" s="115"/>
      <c r="E255" s="115"/>
    </row>
    <row r="256" spans="1:5" ht="13">
      <c r="A256" s="115"/>
      <c r="B256" s="115"/>
      <c r="C256" s="115"/>
      <c r="D256" s="115"/>
      <c r="E256" s="115"/>
    </row>
    <row r="257" spans="1:5" ht="13">
      <c r="A257" s="115"/>
      <c r="B257" s="115"/>
      <c r="C257" s="115"/>
      <c r="D257" s="115"/>
      <c r="E257" s="115"/>
    </row>
    <row r="258" spans="1:5" ht="13">
      <c r="A258" s="115"/>
      <c r="B258" s="115"/>
      <c r="C258" s="115"/>
      <c r="D258" s="115"/>
      <c r="E258" s="115"/>
    </row>
    <row r="259" spans="1:5" ht="13">
      <c r="A259" s="115"/>
      <c r="B259" s="115"/>
      <c r="C259" s="115"/>
      <c r="D259" s="115"/>
      <c r="E259" s="115"/>
    </row>
    <row r="260" spans="1:5" ht="13">
      <c r="A260" s="115"/>
      <c r="B260" s="115"/>
      <c r="C260" s="115"/>
      <c r="D260" s="115"/>
      <c r="E260" s="115"/>
    </row>
    <row r="261" spans="1:5" ht="13">
      <c r="A261" s="115"/>
      <c r="B261" s="115"/>
      <c r="C261" s="115"/>
      <c r="D261" s="115"/>
      <c r="E261" s="115"/>
    </row>
    <row r="262" spans="1:5" ht="13">
      <c r="A262" s="115"/>
      <c r="B262" s="115"/>
      <c r="C262" s="115"/>
      <c r="D262" s="115"/>
      <c r="E262" s="115"/>
    </row>
    <row r="263" spans="1:5" ht="13">
      <c r="A263" s="115"/>
      <c r="B263" s="115"/>
      <c r="C263" s="115"/>
      <c r="D263" s="115"/>
      <c r="E263" s="115"/>
    </row>
    <row r="264" spans="1:5" ht="13">
      <c r="A264" s="115"/>
      <c r="B264" s="115"/>
      <c r="C264" s="115"/>
      <c r="D264" s="115"/>
      <c r="E264" s="115"/>
    </row>
    <row r="265" spans="1:5" ht="13">
      <c r="A265" s="115"/>
      <c r="B265" s="115"/>
      <c r="C265" s="115"/>
      <c r="D265" s="115"/>
      <c r="E265" s="115"/>
    </row>
    <row r="266" spans="1:5" ht="13">
      <c r="A266" s="115"/>
      <c r="B266" s="115"/>
      <c r="C266" s="115"/>
      <c r="D266" s="115"/>
      <c r="E266" s="115"/>
    </row>
    <row r="267" spans="1:5" ht="13">
      <c r="A267" s="115"/>
      <c r="B267" s="115"/>
      <c r="C267" s="115"/>
      <c r="D267" s="115"/>
      <c r="E267" s="115"/>
    </row>
    <row r="268" spans="1:5" ht="13">
      <c r="A268" s="115"/>
      <c r="B268" s="115"/>
      <c r="C268" s="115"/>
      <c r="D268" s="115"/>
      <c r="E268" s="115"/>
    </row>
    <row r="269" spans="1:5" ht="13">
      <c r="A269" s="115"/>
      <c r="B269" s="115"/>
      <c r="C269" s="115"/>
      <c r="D269" s="115"/>
      <c r="E269" s="115"/>
    </row>
    <row r="270" spans="1:5" ht="13">
      <c r="A270" s="115"/>
      <c r="B270" s="115"/>
      <c r="C270" s="115"/>
      <c r="D270" s="115"/>
      <c r="E270" s="115"/>
    </row>
    <row r="271" spans="1:5" ht="13">
      <c r="A271" s="115"/>
      <c r="B271" s="115"/>
      <c r="C271" s="115"/>
      <c r="D271" s="115"/>
      <c r="E271" s="115"/>
    </row>
    <row r="272" spans="1:5" ht="13">
      <c r="A272" s="115"/>
      <c r="B272" s="115"/>
      <c r="C272" s="115"/>
      <c r="D272" s="115"/>
      <c r="E272" s="115"/>
    </row>
    <row r="273" spans="1:5" ht="13">
      <c r="A273" s="115"/>
      <c r="B273" s="115"/>
      <c r="C273" s="115"/>
      <c r="D273" s="115"/>
      <c r="E273" s="115"/>
    </row>
    <row r="274" spans="1:5" ht="13">
      <c r="A274" s="115"/>
      <c r="B274" s="115"/>
      <c r="C274" s="115"/>
      <c r="D274" s="115"/>
      <c r="E274" s="115"/>
    </row>
    <row r="275" spans="1:5" ht="13">
      <c r="A275" s="115"/>
      <c r="B275" s="115"/>
      <c r="C275" s="115"/>
      <c r="D275" s="115"/>
      <c r="E275" s="115"/>
    </row>
    <row r="276" spans="1:5" ht="13">
      <c r="A276" s="115"/>
      <c r="B276" s="115"/>
      <c r="C276" s="115"/>
      <c r="D276" s="115"/>
      <c r="E276" s="115"/>
    </row>
    <row r="277" spans="1:5" ht="13">
      <c r="A277" s="115"/>
      <c r="B277" s="115"/>
      <c r="C277" s="115"/>
      <c r="D277" s="115"/>
      <c r="E277" s="115"/>
    </row>
    <row r="278" spans="1:5" ht="13">
      <c r="A278" s="115"/>
      <c r="B278" s="115"/>
      <c r="C278" s="115"/>
      <c r="D278" s="115"/>
      <c r="E278" s="115"/>
    </row>
    <row r="279" spans="1:5" ht="13">
      <c r="A279" s="115"/>
      <c r="B279" s="115"/>
      <c r="C279" s="115"/>
      <c r="D279" s="115"/>
      <c r="E279" s="115"/>
    </row>
    <row r="280" spans="1:5" ht="13">
      <c r="A280" s="115"/>
      <c r="B280" s="115"/>
      <c r="C280" s="115"/>
      <c r="D280" s="115"/>
      <c r="E280" s="115"/>
    </row>
    <row r="281" spans="1:5" ht="13">
      <c r="A281" s="115"/>
      <c r="B281" s="115"/>
      <c r="C281" s="115"/>
      <c r="D281" s="115"/>
      <c r="E281" s="115"/>
    </row>
    <row r="282" spans="1:5" ht="13">
      <c r="A282" s="115"/>
      <c r="B282" s="115"/>
      <c r="C282" s="115"/>
      <c r="D282" s="115"/>
      <c r="E282" s="115"/>
    </row>
    <row r="283" spans="1:5" ht="13">
      <c r="A283" s="115"/>
      <c r="B283" s="115"/>
      <c r="C283" s="115"/>
      <c r="D283" s="115"/>
      <c r="E283" s="115"/>
    </row>
    <row r="284" spans="1:5" ht="13">
      <c r="A284" s="115"/>
      <c r="B284" s="115"/>
      <c r="C284" s="115"/>
      <c r="D284" s="115"/>
      <c r="E284" s="115"/>
    </row>
    <row r="285" spans="1:5" ht="13">
      <c r="A285" s="115"/>
      <c r="B285" s="115"/>
      <c r="C285" s="115"/>
      <c r="D285" s="115"/>
      <c r="E285" s="115"/>
    </row>
    <row r="286" spans="1:5" ht="13">
      <c r="A286" s="115"/>
      <c r="B286" s="115"/>
      <c r="C286" s="115"/>
      <c r="D286" s="115"/>
      <c r="E286" s="115"/>
    </row>
    <row r="287" spans="1:5" ht="13">
      <c r="A287" s="115"/>
      <c r="B287" s="115"/>
      <c r="C287" s="115"/>
      <c r="D287" s="115"/>
      <c r="E287" s="115"/>
    </row>
    <row r="288" spans="1:5" ht="13">
      <c r="A288" s="115"/>
      <c r="B288" s="115"/>
      <c r="C288" s="115"/>
      <c r="D288" s="115"/>
      <c r="E288" s="115"/>
    </row>
    <row r="289" spans="1:5" ht="13">
      <c r="A289" s="115"/>
      <c r="B289" s="115"/>
      <c r="C289" s="115"/>
      <c r="D289" s="115"/>
      <c r="E289" s="115"/>
    </row>
    <row r="290" spans="1:5" ht="13">
      <c r="A290" s="115"/>
      <c r="B290" s="115"/>
      <c r="C290" s="115"/>
      <c r="D290" s="115"/>
      <c r="E290" s="115"/>
    </row>
    <row r="291" spans="1:5" ht="13">
      <c r="A291" s="115"/>
      <c r="B291" s="115"/>
      <c r="C291" s="115"/>
      <c r="D291" s="115"/>
      <c r="E291" s="115"/>
    </row>
    <row r="292" spans="1:5" ht="13">
      <c r="A292" s="115"/>
      <c r="B292" s="115"/>
      <c r="C292" s="115"/>
      <c r="D292" s="115"/>
      <c r="E292" s="115"/>
    </row>
    <row r="293" spans="1:5" ht="13">
      <c r="A293" s="115"/>
      <c r="B293" s="115"/>
      <c r="C293" s="115"/>
      <c r="D293" s="115"/>
      <c r="E293" s="115"/>
    </row>
    <row r="294" spans="1:5" ht="13">
      <c r="A294" s="115"/>
      <c r="B294" s="115"/>
      <c r="C294" s="115"/>
      <c r="D294" s="115"/>
      <c r="E294" s="115"/>
    </row>
    <row r="295" spans="1:5" ht="13">
      <c r="A295" s="115"/>
      <c r="B295" s="115"/>
      <c r="C295" s="115"/>
      <c r="D295" s="115"/>
      <c r="E295" s="115"/>
    </row>
    <row r="296" spans="1:5" ht="13">
      <c r="A296" s="115"/>
      <c r="B296" s="115"/>
      <c r="C296" s="115"/>
      <c r="D296" s="115"/>
      <c r="E296" s="115"/>
    </row>
    <row r="297" spans="1:5" ht="13">
      <c r="A297" s="115"/>
      <c r="B297" s="115"/>
      <c r="C297" s="115"/>
      <c r="D297" s="115"/>
      <c r="E297" s="115"/>
    </row>
    <row r="298" spans="1:5" ht="13">
      <c r="A298" s="115"/>
      <c r="B298" s="115"/>
      <c r="C298" s="115"/>
      <c r="D298" s="115"/>
      <c r="E298" s="115"/>
    </row>
    <row r="299" spans="1:5" ht="13">
      <c r="A299" s="115"/>
      <c r="B299" s="115"/>
      <c r="C299" s="115"/>
      <c r="D299" s="115"/>
      <c r="E299" s="115"/>
    </row>
    <row r="300" spans="1:5" ht="13">
      <c r="A300" s="115"/>
      <c r="B300" s="115"/>
      <c r="C300" s="115"/>
      <c r="D300" s="115"/>
      <c r="E300" s="115"/>
    </row>
    <row r="301" spans="1:5" ht="13">
      <c r="A301" s="115"/>
      <c r="B301" s="115"/>
      <c r="C301" s="115"/>
      <c r="D301" s="115"/>
      <c r="E301" s="115"/>
    </row>
    <row r="302" spans="1:5" ht="13">
      <c r="A302" s="115"/>
      <c r="B302" s="115"/>
      <c r="C302" s="115"/>
      <c r="D302" s="115"/>
      <c r="E302" s="115"/>
    </row>
    <row r="303" spans="1:5" ht="13">
      <c r="A303" s="115"/>
      <c r="B303" s="115"/>
      <c r="C303" s="115"/>
      <c r="D303" s="115"/>
      <c r="E303" s="115"/>
    </row>
    <row r="304" spans="1:5" ht="13">
      <c r="A304" s="115"/>
      <c r="B304" s="115"/>
      <c r="C304" s="115"/>
      <c r="D304" s="115"/>
      <c r="E304" s="115"/>
    </row>
    <row r="305" spans="1:5" ht="13">
      <c r="A305" s="115"/>
      <c r="B305" s="115"/>
      <c r="C305" s="115"/>
      <c r="D305" s="115"/>
      <c r="E305" s="115"/>
    </row>
    <row r="306" spans="1:5" ht="13">
      <c r="A306" s="115"/>
      <c r="B306" s="115"/>
      <c r="C306" s="115"/>
      <c r="D306" s="115"/>
      <c r="E306" s="115"/>
    </row>
    <row r="307" spans="1:5" ht="13">
      <c r="A307" s="115"/>
      <c r="B307" s="115"/>
      <c r="C307" s="115"/>
      <c r="D307" s="115"/>
      <c r="E307" s="115"/>
    </row>
    <row r="308" spans="1:5" ht="13">
      <c r="A308" s="115"/>
      <c r="B308" s="115"/>
      <c r="C308" s="115"/>
      <c r="D308" s="115"/>
      <c r="E308" s="115"/>
    </row>
    <row r="309" spans="1:5" ht="13">
      <c r="A309" s="115"/>
      <c r="B309" s="115"/>
      <c r="C309" s="115"/>
      <c r="D309" s="115"/>
      <c r="E309" s="115"/>
    </row>
    <row r="310" spans="1:5" ht="13">
      <c r="A310" s="115"/>
      <c r="B310" s="115"/>
      <c r="C310" s="115"/>
      <c r="D310" s="115"/>
      <c r="E310" s="115"/>
    </row>
    <row r="311" spans="1:5" ht="13">
      <c r="A311" s="115"/>
      <c r="B311" s="115"/>
      <c r="C311" s="115"/>
      <c r="D311" s="115"/>
      <c r="E311" s="115"/>
    </row>
    <row r="312" spans="1:5" ht="13">
      <c r="A312" s="115"/>
      <c r="B312" s="115"/>
      <c r="C312" s="115"/>
      <c r="D312" s="115"/>
      <c r="E312" s="115"/>
    </row>
    <row r="313" spans="1:5" ht="13">
      <c r="A313" s="115"/>
      <c r="B313" s="115"/>
      <c r="C313" s="115"/>
      <c r="D313" s="115"/>
      <c r="E313" s="115"/>
    </row>
    <row r="314" spans="1:5" ht="13">
      <c r="A314" s="115"/>
      <c r="B314" s="115"/>
      <c r="C314" s="115"/>
      <c r="D314" s="115"/>
      <c r="E314" s="115"/>
    </row>
    <row r="315" spans="1:5" ht="13">
      <c r="A315" s="115"/>
      <c r="B315" s="115"/>
      <c r="C315" s="115"/>
      <c r="D315" s="115"/>
      <c r="E315" s="115"/>
    </row>
    <row r="316" spans="1:5" ht="13">
      <c r="A316" s="115"/>
      <c r="B316" s="115"/>
      <c r="C316" s="115"/>
      <c r="D316" s="115"/>
      <c r="E316" s="115"/>
    </row>
    <row r="317" spans="1:5" ht="13">
      <c r="A317" s="115"/>
      <c r="B317" s="115"/>
      <c r="C317" s="115"/>
      <c r="D317" s="115"/>
      <c r="E317" s="115"/>
    </row>
    <row r="318" spans="1:5" ht="13">
      <c r="A318" s="115"/>
      <c r="B318" s="115"/>
      <c r="C318" s="115"/>
      <c r="D318" s="115"/>
      <c r="E318" s="115"/>
    </row>
    <row r="319" spans="1:5" ht="13">
      <c r="A319" s="115"/>
      <c r="B319" s="115"/>
      <c r="C319" s="115"/>
      <c r="D319" s="115"/>
      <c r="E319" s="115"/>
    </row>
    <row r="320" spans="1:5" ht="13">
      <c r="A320" s="115"/>
      <c r="B320" s="115"/>
      <c r="C320" s="115"/>
      <c r="D320" s="115"/>
      <c r="E320" s="115"/>
    </row>
    <row r="321" spans="1:5" ht="13">
      <c r="A321" s="115"/>
      <c r="B321" s="115"/>
      <c r="C321" s="115"/>
      <c r="D321" s="115"/>
      <c r="E321" s="115"/>
    </row>
    <row r="322" spans="1:5" ht="13">
      <c r="A322" s="115"/>
      <c r="B322" s="115"/>
      <c r="C322" s="115"/>
      <c r="D322" s="115"/>
      <c r="E322" s="115"/>
    </row>
    <row r="323" spans="1:5" ht="13">
      <c r="A323" s="115"/>
      <c r="B323" s="115"/>
      <c r="C323" s="115"/>
      <c r="D323" s="115"/>
      <c r="E323" s="115"/>
    </row>
    <row r="324" spans="1:5" ht="13">
      <c r="A324" s="115"/>
      <c r="B324" s="115"/>
      <c r="C324" s="115"/>
      <c r="D324" s="115"/>
      <c r="E324" s="115"/>
    </row>
    <row r="325" spans="1:5" ht="13">
      <c r="A325" s="115"/>
      <c r="B325" s="115"/>
      <c r="C325" s="115"/>
      <c r="D325" s="115"/>
      <c r="E325" s="115"/>
    </row>
    <row r="326" spans="1:5" ht="13">
      <c r="A326" s="115"/>
      <c r="B326" s="115"/>
      <c r="C326" s="115"/>
      <c r="D326" s="115"/>
      <c r="E326" s="115"/>
    </row>
    <row r="327" spans="1:5" ht="13">
      <c r="A327" s="115"/>
      <c r="B327" s="115"/>
      <c r="C327" s="115"/>
      <c r="D327" s="115"/>
      <c r="E327" s="115"/>
    </row>
    <row r="328" spans="1:5" ht="13">
      <c r="A328" s="115"/>
      <c r="B328" s="115"/>
      <c r="C328" s="115"/>
      <c r="D328" s="115"/>
      <c r="E328" s="115"/>
    </row>
    <row r="329" spans="1:5" ht="13">
      <c r="A329" s="115"/>
      <c r="B329" s="115"/>
      <c r="C329" s="115"/>
      <c r="D329" s="115"/>
      <c r="E329" s="115"/>
    </row>
    <row r="330" spans="1:5" ht="13">
      <c r="A330" s="115"/>
      <c r="B330" s="115"/>
      <c r="C330" s="115"/>
      <c r="D330" s="115"/>
      <c r="E330" s="115"/>
    </row>
    <row r="331" spans="1:5" ht="13">
      <c r="A331" s="115"/>
      <c r="B331" s="115"/>
      <c r="C331" s="115"/>
      <c r="D331" s="115"/>
      <c r="E331" s="115"/>
    </row>
    <row r="332" spans="1:5" ht="13">
      <c r="A332" s="115"/>
      <c r="B332" s="115"/>
      <c r="C332" s="115"/>
      <c r="D332" s="115"/>
      <c r="E332" s="115"/>
    </row>
    <row r="333" spans="1:5" ht="13">
      <c r="A333" s="115"/>
      <c r="B333" s="115"/>
      <c r="C333" s="115"/>
      <c r="D333" s="115"/>
      <c r="E333" s="115"/>
    </row>
    <row r="334" spans="1:5" ht="13">
      <c r="A334" s="115"/>
      <c r="B334" s="115"/>
      <c r="C334" s="115"/>
      <c r="D334" s="115"/>
      <c r="E334" s="115"/>
    </row>
    <row r="335" spans="1:5" ht="13">
      <c r="A335" s="115"/>
      <c r="B335" s="115"/>
      <c r="C335" s="115"/>
      <c r="D335" s="115"/>
      <c r="E335" s="115"/>
    </row>
    <row r="336" spans="1:5" ht="13">
      <c r="A336" s="115"/>
      <c r="B336" s="115"/>
      <c r="C336" s="115"/>
      <c r="D336" s="115"/>
      <c r="E336" s="115"/>
    </row>
    <row r="337" spans="1:5" ht="13">
      <c r="A337" s="115"/>
      <c r="B337" s="115"/>
      <c r="C337" s="115"/>
      <c r="D337" s="115"/>
      <c r="E337" s="115"/>
    </row>
    <row r="338" spans="1:5" ht="13">
      <c r="A338" s="115"/>
      <c r="B338" s="115"/>
      <c r="C338" s="115"/>
      <c r="D338" s="115"/>
      <c r="E338" s="115"/>
    </row>
    <row r="339" spans="1:5" ht="13">
      <c r="A339" s="115"/>
      <c r="B339" s="115"/>
      <c r="C339" s="115"/>
      <c r="D339" s="115"/>
      <c r="E339" s="115"/>
    </row>
    <row r="340" spans="1:5" ht="13">
      <c r="A340" s="115"/>
      <c r="B340" s="115"/>
      <c r="C340" s="115"/>
      <c r="D340" s="115"/>
      <c r="E340" s="115"/>
    </row>
    <row r="341" spans="1:5" ht="13">
      <c r="A341" s="115"/>
      <c r="B341" s="115"/>
      <c r="C341" s="115"/>
      <c r="D341" s="115"/>
      <c r="E341" s="115"/>
    </row>
    <row r="342" spans="1:5" ht="13">
      <c r="A342" s="115"/>
      <c r="B342" s="115"/>
      <c r="C342" s="115"/>
      <c r="D342" s="115"/>
      <c r="E342" s="115"/>
    </row>
    <row r="343" spans="1:5" ht="13">
      <c r="A343" s="115"/>
      <c r="B343" s="115"/>
      <c r="C343" s="115"/>
      <c r="D343" s="115"/>
      <c r="E343" s="115"/>
    </row>
    <row r="344" spans="1:5" ht="13">
      <c r="A344" s="115"/>
      <c r="B344" s="115"/>
      <c r="C344" s="115"/>
      <c r="D344" s="115"/>
      <c r="E344" s="115"/>
    </row>
    <row r="345" spans="1:5" ht="13">
      <c r="A345" s="115"/>
      <c r="B345" s="115"/>
      <c r="C345" s="115"/>
      <c r="D345" s="115"/>
      <c r="E345" s="115"/>
    </row>
    <row r="346" spans="1:5" ht="13">
      <c r="A346" s="115"/>
      <c r="B346" s="115"/>
      <c r="C346" s="115"/>
      <c r="D346" s="115"/>
      <c r="E346" s="115"/>
    </row>
    <row r="347" spans="1:5" ht="13">
      <c r="A347" s="115"/>
      <c r="B347" s="115"/>
      <c r="C347" s="115"/>
      <c r="D347" s="115"/>
      <c r="E347" s="115"/>
    </row>
    <row r="348" spans="1:5" ht="13">
      <c r="A348" s="115"/>
      <c r="B348" s="115"/>
      <c r="C348" s="115"/>
      <c r="D348" s="115"/>
      <c r="E348" s="115"/>
    </row>
    <row r="349" spans="1:5" ht="13">
      <c r="A349" s="115"/>
      <c r="B349" s="115"/>
      <c r="C349" s="115"/>
      <c r="D349" s="115"/>
      <c r="E349" s="115"/>
    </row>
    <row r="350" spans="1:5" ht="13">
      <c r="A350" s="115"/>
      <c r="B350" s="115"/>
      <c r="C350" s="115"/>
      <c r="D350" s="115"/>
      <c r="E350" s="115"/>
    </row>
    <row r="351" spans="1:5" ht="13">
      <c r="A351" s="115"/>
      <c r="B351" s="115"/>
      <c r="C351" s="115"/>
      <c r="D351" s="115"/>
      <c r="E351" s="115"/>
    </row>
    <row r="352" spans="1:5" ht="13">
      <c r="A352" s="115"/>
      <c r="B352" s="115"/>
      <c r="C352" s="115"/>
      <c r="D352" s="115"/>
      <c r="E352" s="115"/>
    </row>
    <row r="353" spans="1:5" ht="13">
      <c r="A353" s="115"/>
      <c r="B353" s="115"/>
      <c r="C353" s="115"/>
      <c r="D353" s="115"/>
      <c r="E353" s="115"/>
    </row>
    <row r="354" spans="1:5" ht="13">
      <c r="A354" s="115"/>
      <c r="B354" s="115"/>
      <c r="C354" s="115"/>
      <c r="D354" s="115"/>
      <c r="E354" s="115"/>
    </row>
    <row r="355" spans="1:5" ht="13">
      <c r="A355" s="115"/>
      <c r="B355" s="115"/>
      <c r="C355" s="115"/>
      <c r="D355" s="115"/>
      <c r="E355" s="115"/>
    </row>
    <row r="356" spans="1:5" ht="13">
      <c r="A356" s="115"/>
      <c r="B356" s="115"/>
      <c r="C356" s="115"/>
      <c r="D356" s="115"/>
      <c r="E356" s="115"/>
    </row>
    <row r="357" spans="1:5" ht="13">
      <c r="A357" s="115"/>
      <c r="B357" s="115"/>
      <c r="C357" s="115"/>
      <c r="D357" s="115"/>
      <c r="E357" s="115"/>
    </row>
    <row r="358" spans="1:5" ht="13">
      <c r="A358" s="115"/>
      <c r="B358" s="115"/>
      <c r="C358" s="115"/>
      <c r="D358" s="115"/>
      <c r="E358" s="115"/>
    </row>
    <row r="359" spans="1:5" ht="13">
      <c r="A359" s="115"/>
      <c r="B359" s="115"/>
      <c r="C359" s="115"/>
      <c r="D359" s="115"/>
      <c r="E359" s="115"/>
    </row>
    <row r="360" spans="1:5" ht="13">
      <c r="A360" s="115"/>
      <c r="B360" s="115"/>
      <c r="C360" s="115"/>
      <c r="D360" s="115"/>
      <c r="E360" s="115"/>
    </row>
    <row r="361" spans="1:5" ht="13">
      <c r="A361" s="115"/>
      <c r="B361" s="115"/>
      <c r="C361" s="115"/>
      <c r="D361" s="115"/>
      <c r="E361" s="115"/>
    </row>
    <row r="362" spans="1:5" ht="13">
      <c r="A362" s="115"/>
      <c r="B362" s="115"/>
      <c r="C362" s="115"/>
      <c r="D362" s="115"/>
      <c r="E362" s="115"/>
    </row>
    <row r="363" spans="1:5" ht="13">
      <c r="A363" s="115"/>
      <c r="B363" s="115"/>
      <c r="C363" s="115"/>
      <c r="D363" s="115"/>
      <c r="E363" s="115"/>
    </row>
    <row r="364" spans="1:5" ht="13">
      <c r="A364" s="115"/>
      <c r="B364" s="115"/>
      <c r="C364" s="115"/>
      <c r="D364" s="115"/>
      <c r="E364" s="115"/>
    </row>
    <row r="365" spans="1:5" ht="13">
      <c r="A365" s="115"/>
      <c r="B365" s="115"/>
      <c r="C365" s="115"/>
      <c r="D365" s="115"/>
      <c r="E365" s="115"/>
    </row>
    <row r="366" spans="1:5" ht="13">
      <c r="A366" s="115"/>
      <c r="B366" s="115"/>
      <c r="C366" s="115"/>
      <c r="D366" s="115"/>
      <c r="E366" s="115"/>
    </row>
    <row r="367" spans="1:5" ht="13">
      <c r="A367" s="115"/>
      <c r="B367" s="115"/>
      <c r="C367" s="115"/>
      <c r="D367" s="115"/>
      <c r="E367" s="115"/>
    </row>
    <row r="368" spans="1:5" ht="13">
      <c r="A368" s="115"/>
      <c r="B368" s="115"/>
      <c r="C368" s="115"/>
      <c r="D368" s="115"/>
      <c r="E368" s="115"/>
    </row>
    <row r="369" spans="1:5" ht="13">
      <c r="A369" s="115"/>
      <c r="B369" s="115"/>
      <c r="C369" s="115"/>
      <c r="D369" s="115"/>
      <c r="E369" s="115"/>
    </row>
    <row r="370" spans="1:5" ht="13">
      <c r="A370" s="115"/>
      <c r="B370" s="115"/>
      <c r="C370" s="115"/>
      <c r="D370" s="115"/>
      <c r="E370" s="115"/>
    </row>
    <row r="371" spans="1:5" ht="13">
      <c r="A371" s="115"/>
      <c r="B371" s="115"/>
      <c r="C371" s="115"/>
      <c r="D371" s="115"/>
      <c r="E371" s="115"/>
    </row>
    <row r="372" spans="1:5" ht="13">
      <c r="A372" s="115"/>
      <c r="B372" s="115"/>
      <c r="C372" s="115"/>
      <c r="D372" s="115"/>
      <c r="E372" s="115"/>
    </row>
    <row r="373" spans="1:5" ht="13">
      <c r="A373" s="115"/>
      <c r="B373" s="115"/>
      <c r="C373" s="115"/>
      <c r="D373" s="115"/>
      <c r="E373" s="115"/>
    </row>
    <row r="374" spans="1:5" ht="13">
      <c r="A374" s="115"/>
      <c r="B374" s="115"/>
      <c r="C374" s="115"/>
      <c r="D374" s="115"/>
      <c r="E374" s="115"/>
    </row>
    <row r="375" spans="1:5" ht="13">
      <c r="A375" s="115"/>
      <c r="B375" s="115"/>
      <c r="C375" s="115"/>
      <c r="D375" s="115"/>
      <c r="E375" s="115"/>
    </row>
    <row r="376" spans="1:5" ht="13">
      <c r="A376" s="115"/>
      <c r="B376" s="115"/>
      <c r="C376" s="115"/>
      <c r="D376" s="115"/>
      <c r="E376" s="115"/>
    </row>
    <row r="377" spans="1:5" ht="13">
      <c r="A377" s="115"/>
      <c r="B377" s="115"/>
      <c r="C377" s="115"/>
      <c r="D377" s="115"/>
      <c r="E377" s="115"/>
    </row>
    <row r="378" spans="1:5" ht="13">
      <c r="A378" s="115"/>
      <c r="B378" s="115"/>
      <c r="C378" s="115"/>
      <c r="D378" s="115"/>
      <c r="E378" s="115"/>
    </row>
    <row r="379" spans="1:5" ht="13">
      <c r="A379" s="115"/>
      <c r="B379" s="115"/>
      <c r="C379" s="115"/>
      <c r="D379" s="115"/>
      <c r="E379" s="115"/>
    </row>
    <row r="380" spans="1:5" ht="13">
      <c r="A380" s="115"/>
      <c r="B380" s="115"/>
      <c r="C380" s="115"/>
      <c r="D380" s="115"/>
      <c r="E380" s="115"/>
    </row>
    <row r="381" spans="1:5" ht="13">
      <c r="A381" s="115"/>
      <c r="B381" s="115"/>
      <c r="C381" s="115"/>
      <c r="D381" s="115"/>
      <c r="E381" s="115"/>
    </row>
    <row r="382" spans="1:5" ht="13">
      <c r="A382" s="115"/>
      <c r="B382" s="115"/>
      <c r="C382" s="115"/>
      <c r="D382" s="115"/>
      <c r="E382" s="115"/>
    </row>
    <row r="383" spans="1:5" ht="13">
      <c r="A383" s="115"/>
      <c r="B383" s="115"/>
      <c r="C383" s="115"/>
      <c r="D383" s="115"/>
      <c r="E383" s="115"/>
    </row>
    <row r="384" spans="1:5" ht="13">
      <c r="A384" s="115"/>
      <c r="B384" s="115"/>
      <c r="C384" s="115"/>
      <c r="D384" s="115"/>
      <c r="E384" s="115"/>
    </row>
    <row r="385" spans="1:5" ht="13">
      <c r="A385" s="115"/>
      <c r="B385" s="115"/>
      <c r="C385" s="115"/>
      <c r="D385" s="115"/>
      <c r="E385" s="115"/>
    </row>
    <row r="386" spans="1:5" ht="13">
      <c r="A386" s="115"/>
      <c r="B386" s="115"/>
      <c r="C386" s="115"/>
      <c r="D386" s="115"/>
      <c r="E386" s="115"/>
    </row>
    <row r="387" spans="1:5" ht="13">
      <c r="A387" s="115"/>
      <c r="B387" s="115"/>
      <c r="C387" s="115"/>
      <c r="D387" s="115"/>
      <c r="E387" s="115"/>
    </row>
    <row r="388" spans="1:5" ht="13">
      <c r="A388" s="115"/>
      <c r="B388" s="115"/>
      <c r="C388" s="115"/>
      <c r="D388" s="115"/>
      <c r="E388" s="115"/>
    </row>
    <row r="389" spans="1:5" ht="13">
      <c r="A389" s="115"/>
      <c r="B389" s="115"/>
      <c r="C389" s="115"/>
      <c r="D389" s="115"/>
      <c r="E389" s="115"/>
    </row>
    <row r="390" spans="1:5" ht="13">
      <c r="A390" s="115"/>
      <c r="B390" s="115"/>
      <c r="C390" s="115"/>
      <c r="D390" s="115"/>
      <c r="E390" s="115"/>
    </row>
    <row r="391" spans="1:5" ht="13">
      <c r="A391" s="115"/>
      <c r="B391" s="115"/>
      <c r="C391" s="115"/>
      <c r="D391" s="115"/>
      <c r="E391" s="115"/>
    </row>
    <row r="392" spans="1:5" ht="13">
      <c r="A392" s="115"/>
      <c r="B392" s="115"/>
      <c r="C392" s="115"/>
      <c r="D392" s="115"/>
      <c r="E392" s="115"/>
    </row>
    <row r="393" spans="1:5" ht="13">
      <c r="A393" s="115"/>
      <c r="B393" s="115"/>
      <c r="C393" s="115"/>
      <c r="D393" s="115"/>
      <c r="E393" s="115"/>
    </row>
    <row r="394" spans="1:5" ht="13">
      <c r="A394" s="115"/>
      <c r="B394" s="115"/>
      <c r="C394" s="115"/>
      <c r="D394" s="115"/>
      <c r="E394" s="115"/>
    </row>
    <row r="395" spans="1:5" ht="13">
      <c r="A395" s="115"/>
      <c r="B395" s="115"/>
      <c r="C395" s="115"/>
      <c r="D395" s="115"/>
      <c r="E395" s="115"/>
    </row>
    <row r="396" spans="1:5" ht="13">
      <c r="A396" s="115"/>
      <c r="B396" s="115"/>
      <c r="C396" s="115"/>
      <c r="D396" s="115"/>
      <c r="E396" s="115"/>
    </row>
    <row r="397" spans="1:5" ht="13">
      <c r="A397" s="115"/>
      <c r="B397" s="115"/>
      <c r="C397" s="115"/>
      <c r="D397" s="115"/>
      <c r="E397" s="115"/>
    </row>
    <row r="398" spans="1:5" ht="13">
      <c r="A398" s="115"/>
      <c r="B398" s="115"/>
      <c r="C398" s="115"/>
      <c r="D398" s="115"/>
      <c r="E398" s="115"/>
    </row>
    <row r="399" spans="1:5" ht="13">
      <c r="A399" s="115"/>
      <c r="B399" s="115"/>
      <c r="C399" s="115"/>
      <c r="D399" s="115"/>
      <c r="E399" s="115"/>
    </row>
    <row r="400" spans="1:5" ht="13">
      <c r="A400" s="115"/>
      <c r="B400" s="115"/>
      <c r="C400" s="115"/>
      <c r="D400" s="115"/>
      <c r="E400" s="115"/>
    </row>
    <row r="401" spans="1:5" ht="13">
      <c r="A401" s="115"/>
      <c r="B401" s="115"/>
      <c r="C401" s="115"/>
      <c r="D401" s="115"/>
      <c r="E401" s="115"/>
    </row>
    <row r="402" spans="1:5" ht="13">
      <c r="A402" s="115"/>
      <c r="B402" s="115"/>
      <c r="C402" s="115"/>
      <c r="D402" s="115"/>
      <c r="E402" s="115"/>
    </row>
    <row r="403" spans="1:5" ht="13">
      <c r="A403" s="115"/>
      <c r="B403" s="115"/>
      <c r="C403" s="115"/>
      <c r="D403" s="115"/>
      <c r="E403" s="115"/>
    </row>
    <row r="404" spans="1:5" ht="13">
      <c r="A404" s="115"/>
      <c r="B404" s="115"/>
      <c r="C404" s="115"/>
      <c r="D404" s="115"/>
      <c r="E404" s="115"/>
    </row>
    <row r="405" spans="1:5" ht="13">
      <c r="A405" s="115"/>
      <c r="B405" s="115"/>
      <c r="C405" s="115"/>
      <c r="D405" s="115"/>
      <c r="E405" s="115"/>
    </row>
    <row r="406" spans="1:5" ht="13">
      <c r="A406" s="115"/>
      <c r="B406" s="115"/>
      <c r="C406" s="115"/>
      <c r="D406" s="115"/>
      <c r="E406" s="115"/>
    </row>
    <row r="407" spans="1:5" ht="13">
      <c r="A407" s="115"/>
      <c r="B407" s="115"/>
      <c r="C407" s="115"/>
      <c r="D407" s="115"/>
      <c r="E407" s="115"/>
    </row>
    <row r="408" spans="1:5" ht="13">
      <c r="A408" s="115"/>
      <c r="B408" s="115"/>
      <c r="C408" s="115"/>
      <c r="D408" s="115"/>
      <c r="E408" s="115"/>
    </row>
    <row r="409" spans="1:5" ht="13">
      <c r="A409" s="115"/>
      <c r="B409" s="115"/>
      <c r="C409" s="115"/>
      <c r="D409" s="115"/>
      <c r="E409" s="115"/>
    </row>
    <row r="410" spans="1:5" ht="13">
      <c r="A410" s="115"/>
      <c r="B410" s="115"/>
      <c r="C410" s="115"/>
      <c r="D410" s="115"/>
      <c r="E410" s="115"/>
    </row>
    <row r="411" spans="1:5" ht="13">
      <c r="A411" s="115"/>
      <c r="B411" s="115"/>
      <c r="C411" s="115"/>
      <c r="D411" s="115"/>
      <c r="E411" s="115"/>
    </row>
    <row r="412" spans="1:5" ht="13">
      <c r="A412" s="115"/>
      <c r="B412" s="115"/>
      <c r="C412" s="115"/>
      <c r="D412" s="115"/>
      <c r="E412" s="115"/>
    </row>
    <row r="413" spans="1:5" ht="13">
      <c r="A413" s="115"/>
      <c r="B413" s="115"/>
      <c r="C413" s="115"/>
      <c r="D413" s="115"/>
      <c r="E413" s="115"/>
    </row>
    <row r="414" spans="1:5" ht="13">
      <c r="A414" s="115"/>
      <c r="B414" s="115"/>
      <c r="C414" s="115"/>
      <c r="D414" s="115"/>
      <c r="E414" s="115"/>
    </row>
    <row r="415" spans="1:5" ht="13">
      <c r="A415" s="115"/>
      <c r="B415" s="115"/>
      <c r="C415" s="115"/>
      <c r="D415" s="115"/>
      <c r="E415" s="115"/>
    </row>
    <row r="416" spans="1:5" ht="13">
      <c r="A416" s="115"/>
      <c r="B416" s="115"/>
      <c r="C416" s="115"/>
      <c r="D416" s="115"/>
      <c r="E416" s="115"/>
    </row>
    <row r="417" spans="1:5" ht="13">
      <c r="A417" s="115"/>
      <c r="B417" s="115"/>
      <c r="C417" s="115"/>
      <c r="D417" s="115"/>
      <c r="E417" s="115"/>
    </row>
    <row r="418" spans="1:5" ht="13">
      <c r="A418" s="115"/>
      <c r="B418" s="115"/>
      <c r="C418" s="115"/>
      <c r="D418" s="115"/>
      <c r="E418" s="115"/>
    </row>
    <row r="419" spans="1:5" ht="13">
      <c r="A419" s="115"/>
      <c r="B419" s="115"/>
      <c r="C419" s="115"/>
      <c r="D419" s="115"/>
      <c r="E419" s="115"/>
    </row>
    <row r="420" spans="1:5" ht="13">
      <c r="A420" s="115"/>
      <c r="B420" s="115"/>
      <c r="C420" s="115"/>
      <c r="D420" s="115"/>
      <c r="E420" s="115"/>
    </row>
    <row r="421" spans="1:5" ht="13">
      <c r="A421" s="115"/>
      <c r="B421" s="115"/>
      <c r="C421" s="115"/>
      <c r="D421" s="115"/>
      <c r="E421" s="115"/>
    </row>
    <row r="422" spans="1:5" ht="13">
      <c r="A422" s="115"/>
      <c r="B422" s="115"/>
      <c r="C422" s="115"/>
      <c r="D422" s="115"/>
      <c r="E422" s="115"/>
    </row>
    <row r="423" spans="1:5" ht="13">
      <c r="A423" s="115"/>
      <c r="B423" s="115"/>
      <c r="C423" s="115"/>
      <c r="D423" s="115"/>
      <c r="E423" s="115"/>
    </row>
    <row r="424" spans="1:5" ht="13">
      <c r="A424" s="115"/>
      <c r="B424" s="115"/>
      <c r="C424" s="115"/>
      <c r="D424" s="115"/>
      <c r="E424" s="115"/>
    </row>
    <row r="425" spans="1:5" ht="13">
      <c r="A425" s="115"/>
      <c r="B425" s="115"/>
      <c r="C425" s="115"/>
      <c r="D425" s="115"/>
      <c r="E425" s="115"/>
    </row>
    <row r="426" spans="1:5" ht="13">
      <c r="A426" s="115"/>
      <c r="B426" s="115"/>
      <c r="C426" s="115"/>
      <c r="D426" s="115"/>
      <c r="E426" s="115"/>
    </row>
    <row r="427" spans="1:5" ht="13">
      <c r="A427" s="115"/>
      <c r="B427" s="115"/>
      <c r="C427" s="115"/>
      <c r="D427" s="115"/>
      <c r="E427" s="115"/>
    </row>
    <row r="428" spans="1:5" ht="13">
      <c r="A428" s="115"/>
      <c r="B428" s="115"/>
      <c r="C428" s="115"/>
      <c r="D428" s="115"/>
      <c r="E428" s="115"/>
    </row>
    <row r="429" spans="1:5" ht="13">
      <c r="A429" s="115"/>
      <c r="B429" s="115"/>
      <c r="C429" s="115"/>
      <c r="D429" s="115"/>
      <c r="E429" s="115"/>
    </row>
    <row r="430" spans="1:5" ht="13">
      <c r="A430" s="115"/>
      <c r="B430" s="115"/>
      <c r="C430" s="115"/>
      <c r="D430" s="115"/>
      <c r="E430" s="115"/>
    </row>
    <row r="431" spans="1:5" ht="13">
      <c r="A431" s="115"/>
      <c r="B431" s="115"/>
      <c r="C431" s="115"/>
      <c r="D431" s="115"/>
      <c r="E431" s="115"/>
    </row>
    <row r="432" spans="1:5" ht="13">
      <c r="A432" s="115"/>
      <c r="B432" s="115"/>
      <c r="C432" s="115"/>
      <c r="D432" s="115"/>
      <c r="E432" s="115"/>
    </row>
    <row r="433" spans="1:5" ht="13">
      <c r="A433" s="115"/>
      <c r="B433" s="115"/>
      <c r="C433" s="115"/>
      <c r="D433" s="115"/>
      <c r="E433" s="115"/>
    </row>
    <row r="434" spans="1:5" ht="13">
      <c r="A434" s="115"/>
      <c r="B434" s="115"/>
      <c r="C434" s="115"/>
      <c r="D434" s="115"/>
      <c r="E434" s="115"/>
    </row>
    <row r="435" spans="1:5" ht="13">
      <c r="A435" s="115"/>
      <c r="B435" s="115"/>
      <c r="C435" s="115"/>
      <c r="D435" s="115"/>
      <c r="E435" s="115"/>
    </row>
    <row r="436" spans="1:5" ht="13">
      <c r="A436" s="115"/>
      <c r="B436" s="115"/>
      <c r="C436" s="115"/>
      <c r="D436" s="115"/>
      <c r="E436" s="115"/>
    </row>
    <row r="437" spans="1:5" ht="13">
      <c r="A437" s="115"/>
      <c r="B437" s="115"/>
      <c r="C437" s="115"/>
      <c r="D437" s="115"/>
      <c r="E437" s="115"/>
    </row>
    <row r="438" spans="1:5" ht="13">
      <c r="A438" s="115"/>
      <c r="B438" s="115"/>
      <c r="C438" s="115"/>
      <c r="D438" s="115"/>
      <c r="E438" s="115"/>
    </row>
    <row r="439" spans="1:5" ht="13">
      <c r="A439" s="115"/>
      <c r="B439" s="115"/>
      <c r="C439" s="115"/>
      <c r="D439" s="115"/>
      <c r="E439" s="115"/>
    </row>
    <row r="440" spans="1:5" ht="13">
      <c r="A440" s="115"/>
      <c r="B440" s="115"/>
      <c r="C440" s="115"/>
      <c r="D440" s="115"/>
      <c r="E440" s="115"/>
    </row>
    <row r="441" spans="1:5" ht="13">
      <c r="A441" s="115"/>
      <c r="B441" s="115"/>
      <c r="C441" s="115"/>
      <c r="D441" s="115"/>
      <c r="E441" s="115"/>
    </row>
    <row r="442" spans="1:5" ht="13">
      <c r="A442" s="115"/>
      <c r="B442" s="115"/>
      <c r="C442" s="115"/>
      <c r="D442" s="115"/>
      <c r="E442" s="115"/>
    </row>
    <row r="443" spans="1:5" ht="13">
      <c r="A443" s="115"/>
      <c r="B443" s="115"/>
      <c r="C443" s="115"/>
      <c r="D443" s="115"/>
      <c r="E443" s="115"/>
    </row>
    <row r="444" spans="1:5" ht="13">
      <c r="A444" s="115"/>
      <c r="B444" s="115"/>
      <c r="C444" s="115"/>
      <c r="D444" s="115"/>
      <c r="E444" s="115"/>
    </row>
    <row r="445" spans="1:5" ht="13">
      <c r="A445" s="115"/>
      <c r="B445" s="115"/>
      <c r="C445" s="115"/>
      <c r="D445" s="115"/>
      <c r="E445" s="115"/>
    </row>
    <row r="446" spans="1:5" ht="13">
      <c r="A446" s="115"/>
      <c r="B446" s="115"/>
      <c r="C446" s="115"/>
      <c r="D446" s="115"/>
      <c r="E446" s="115"/>
    </row>
    <row r="447" spans="1:5" ht="13">
      <c r="A447" s="115"/>
      <c r="B447" s="115"/>
      <c r="C447" s="115"/>
      <c r="D447" s="115"/>
      <c r="E447" s="115"/>
    </row>
    <row r="448" spans="1:5" ht="13">
      <c r="A448" s="115"/>
      <c r="B448" s="115"/>
      <c r="C448" s="115"/>
      <c r="D448" s="115"/>
      <c r="E448" s="115"/>
    </row>
    <row r="449" spans="1:5" ht="13">
      <c r="A449" s="115"/>
      <c r="B449" s="115"/>
      <c r="C449" s="115"/>
      <c r="D449" s="115"/>
      <c r="E449" s="115"/>
    </row>
    <row r="450" spans="1:5" ht="13">
      <c r="A450" s="115"/>
      <c r="B450" s="115"/>
      <c r="C450" s="115"/>
      <c r="D450" s="115"/>
      <c r="E450" s="115"/>
    </row>
    <row r="451" spans="1:5" ht="13">
      <c r="A451" s="115"/>
      <c r="B451" s="115"/>
      <c r="C451" s="115"/>
      <c r="D451" s="115"/>
      <c r="E451" s="115"/>
    </row>
    <row r="452" spans="1:5" ht="13">
      <c r="A452" s="115"/>
      <c r="B452" s="115"/>
      <c r="C452" s="115"/>
      <c r="D452" s="115"/>
      <c r="E452" s="115"/>
    </row>
    <row r="453" spans="1:5" ht="13">
      <c r="A453" s="115"/>
      <c r="B453" s="115"/>
      <c r="C453" s="115"/>
      <c r="D453" s="115"/>
      <c r="E453" s="115"/>
    </row>
    <row r="454" spans="1:5" ht="13">
      <c r="A454" s="115"/>
      <c r="B454" s="115"/>
      <c r="C454" s="115"/>
      <c r="D454" s="115"/>
      <c r="E454" s="115"/>
    </row>
    <row r="455" spans="1:5" ht="13">
      <c r="A455" s="115"/>
      <c r="B455" s="115"/>
      <c r="C455" s="115"/>
      <c r="D455" s="115"/>
      <c r="E455" s="115"/>
    </row>
    <row r="456" spans="1:5" ht="13">
      <c r="A456" s="115"/>
      <c r="B456" s="115"/>
      <c r="C456" s="115"/>
      <c r="D456" s="115"/>
      <c r="E456" s="115"/>
    </row>
    <row r="457" spans="1:5" ht="13">
      <c r="A457" s="115"/>
      <c r="B457" s="115"/>
      <c r="C457" s="115"/>
      <c r="D457" s="115"/>
      <c r="E457" s="115"/>
    </row>
    <row r="458" spans="1:5" ht="13">
      <c r="A458" s="115"/>
      <c r="B458" s="115"/>
      <c r="C458" s="115"/>
      <c r="D458" s="115"/>
      <c r="E458" s="115"/>
    </row>
    <row r="459" spans="1:5" ht="13">
      <c r="A459" s="115"/>
      <c r="B459" s="115"/>
      <c r="C459" s="115"/>
      <c r="D459" s="115"/>
      <c r="E459" s="115"/>
    </row>
    <row r="460" spans="1:5" ht="13">
      <c r="A460" s="115"/>
      <c r="B460" s="115"/>
      <c r="C460" s="115"/>
      <c r="D460" s="115"/>
      <c r="E460" s="115"/>
    </row>
    <row r="461" spans="1:5" ht="13">
      <c r="A461" s="115"/>
      <c r="B461" s="115"/>
      <c r="C461" s="115"/>
      <c r="D461" s="115"/>
      <c r="E461" s="115"/>
    </row>
    <row r="462" spans="1:5" ht="13">
      <c r="A462" s="115"/>
      <c r="B462" s="115"/>
      <c r="C462" s="115"/>
      <c r="D462" s="115"/>
      <c r="E462" s="115"/>
    </row>
    <row r="463" spans="1:5" ht="13">
      <c r="A463" s="115"/>
      <c r="B463" s="115"/>
      <c r="C463" s="115"/>
      <c r="D463" s="115"/>
      <c r="E463" s="115"/>
    </row>
    <row r="464" spans="1:5" ht="13">
      <c r="A464" s="115"/>
      <c r="B464" s="115"/>
      <c r="C464" s="115"/>
      <c r="D464" s="115"/>
      <c r="E464" s="115"/>
    </row>
    <row r="465" spans="1:5" ht="13">
      <c r="A465" s="115"/>
      <c r="B465" s="115"/>
      <c r="C465" s="115"/>
      <c r="D465" s="115"/>
      <c r="E465" s="115"/>
    </row>
    <row r="466" spans="1:5" ht="13">
      <c r="A466" s="115"/>
      <c r="B466" s="115"/>
      <c r="C466" s="115"/>
      <c r="D466" s="115"/>
      <c r="E466" s="115"/>
    </row>
    <row r="467" spans="1:5" ht="13">
      <c r="A467" s="115"/>
      <c r="B467" s="115"/>
      <c r="C467" s="115"/>
      <c r="D467" s="115"/>
      <c r="E467" s="115"/>
    </row>
    <row r="468" spans="1:5" ht="13">
      <c r="A468" s="115"/>
      <c r="B468" s="115"/>
      <c r="C468" s="115"/>
      <c r="D468" s="115"/>
      <c r="E468" s="115"/>
    </row>
    <row r="469" spans="1:5" ht="13">
      <c r="A469" s="115"/>
      <c r="B469" s="115"/>
      <c r="C469" s="115"/>
      <c r="D469" s="115"/>
      <c r="E469" s="115"/>
    </row>
    <row r="470" spans="1:5" ht="13">
      <c r="A470" s="115"/>
      <c r="B470" s="115"/>
      <c r="C470" s="115"/>
      <c r="D470" s="115"/>
      <c r="E470" s="115"/>
    </row>
    <row r="471" spans="1:5" ht="13">
      <c r="A471" s="115"/>
      <c r="B471" s="115"/>
      <c r="C471" s="115"/>
      <c r="D471" s="115"/>
      <c r="E471" s="115"/>
    </row>
    <row r="472" spans="1:5" ht="13">
      <c r="A472" s="115"/>
      <c r="B472" s="115"/>
      <c r="C472" s="115"/>
      <c r="D472" s="115"/>
      <c r="E472" s="115"/>
    </row>
    <row r="473" spans="1:5" ht="13">
      <c r="A473" s="115"/>
      <c r="B473" s="115"/>
      <c r="C473" s="115"/>
      <c r="D473" s="115"/>
      <c r="E473" s="115"/>
    </row>
    <row r="474" spans="1:5" ht="13">
      <c r="A474" s="115"/>
      <c r="B474" s="115"/>
      <c r="C474" s="115"/>
      <c r="D474" s="115"/>
      <c r="E474" s="115"/>
    </row>
    <row r="475" spans="1:5" ht="13">
      <c r="A475" s="115"/>
      <c r="B475" s="115"/>
      <c r="C475" s="115"/>
      <c r="D475" s="115"/>
      <c r="E475" s="115"/>
    </row>
    <row r="476" spans="1:5" ht="13">
      <c r="A476" s="115"/>
      <c r="B476" s="115"/>
      <c r="C476" s="115"/>
      <c r="D476" s="115"/>
      <c r="E476" s="115"/>
    </row>
    <row r="477" spans="1:5" ht="13">
      <c r="A477" s="115"/>
      <c r="B477" s="115"/>
      <c r="C477" s="115"/>
      <c r="D477" s="115"/>
      <c r="E477" s="115"/>
    </row>
    <row r="478" spans="1:5" ht="13">
      <c r="A478" s="115"/>
      <c r="B478" s="115"/>
      <c r="C478" s="115"/>
      <c r="D478" s="115"/>
      <c r="E478" s="115"/>
    </row>
    <row r="479" spans="1:5" ht="13">
      <c r="A479" s="115"/>
      <c r="B479" s="115"/>
      <c r="C479" s="115"/>
      <c r="D479" s="115"/>
      <c r="E479" s="115"/>
    </row>
    <row r="480" spans="1:5" ht="13">
      <c r="A480" s="115"/>
      <c r="B480" s="115"/>
      <c r="C480" s="115"/>
      <c r="D480" s="115"/>
      <c r="E480" s="115"/>
    </row>
    <row r="481" spans="1:5" ht="13">
      <c r="A481" s="115"/>
      <c r="B481" s="115"/>
      <c r="C481" s="115"/>
      <c r="D481" s="115"/>
      <c r="E481" s="115"/>
    </row>
    <row r="482" spans="1:5" ht="13">
      <c r="A482" s="115"/>
      <c r="B482" s="115"/>
      <c r="C482" s="115"/>
      <c r="D482" s="115"/>
      <c r="E482" s="115"/>
    </row>
    <row r="483" spans="1:5" ht="13">
      <c r="A483" s="115"/>
      <c r="B483" s="115"/>
      <c r="C483" s="115"/>
      <c r="D483" s="115"/>
      <c r="E483" s="115"/>
    </row>
    <row r="484" spans="1:5" ht="13">
      <c r="A484" s="115"/>
      <c r="B484" s="115"/>
      <c r="C484" s="115"/>
      <c r="D484" s="115"/>
      <c r="E484" s="115"/>
    </row>
    <row r="485" spans="1:5" ht="13">
      <c r="A485" s="115"/>
      <c r="B485" s="115"/>
      <c r="C485" s="115"/>
      <c r="D485" s="115"/>
      <c r="E485" s="115"/>
    </row>
    <row r="486" spans="1:5" ht="13">
      <c r="A486" s="115"/>
      <c r="B486" s="115"/>
      <c r="C486" s="115"/>
      <c r="D486" s="115"/>
      <c r="E486" s="115"/>
    </row>
    <row r="487" spans="1:5" ht="13">
      <c r="A487" s="115"/>
      <c r="B487" s="115"/>
      <c r="C487" s="115"/>
      <c r="D487" s="115"/>
      <c r="E487" s="115"/>
    </row>
    <row r="488" spans="1:5" ht="13">
      <c r="A488" s="115"/>
      <c r="B488" s="115"/>
      <c r="C488" s="115"/>
      <c r="D488" s="115"/>
      <c r="E488" s="115"/>
    </row>
    <row r="489" spans="1:5" ht="13">
      <c r="A489" s="115"/>
      <c r="B489" s="115"/>
      <c r="C489" s="115"/>
      <c r="D489" s="115"/>
      <c r="E489" s="115"/>
    </row>
    <row r="490" spans="1:5" ht="13">
      <c r="A490" s="115"/>
      <c r="B490" s="115"/>
      <c r="C490" s="115"/>
      <c r="D490" s="115"/>
      <c r="E490" s="115"/>
    </row>
    <row r="491" spans="1:5" ht="13">
      <c r="A491" s="115"/>
      <c r="B491" s="115"/>
      <c r="C491" s="115"/>
      <c r="D491" s="115"/>
      <c r="E491" s="115"/>
    </row>
    <row r="492" spans="1:5" ht="13">
      <c r="A492" s="115"/>
      <c r="B492" s="115"/>
      <c r="C492" s="115"/>
      <c r="D492" s="115"/>
      <c r="E492" s="115"/>
    </row>
    <row r="493" spans="1:5" ht="13">
      <c r="A493" s="115"/>
      <c r="B493" s="115"/>
      <c r="C493" s="115"/>
      <c r="D493" s="115"/>
      <c r="E493" s="115"/>
    </row>
    <row r="494" spans="1:5" ht="13">
      <c r="A494" s="115"/>
      <c r="B494" s="115"/>
      <c r="C494" s="115"/>
      <c r="D494" s="115"/>
      <c r="E494" s="115"/>
    </row>
    <row r="495" spans="1:5" ht="13">
      <c r="A495" s="115"/>
      <c r="B495" s="115"/>
      <c r="C495" s="115"/>
      <c r="D495" s="115"/>
      <c r="E495" s="115"/>
    </row>
    <row r="496" spans="1:5" ht="13">
      <c r="A496" s="115"/>
      <c r="B496" s="115"/>
      <c r="C496" s="115"/>
      <c r="D496" s="115"/>
      <c r="E496" s="115"/>
    </row>
    <row r="497" spans="1:5" ht="13">
      <c r="A497" s="115"/>
      <c r="B497" s="115"/>
      <c r="C497" s="115"/>
      <c r="D497" s="115"/>
      <c r="E497" s="115"/>
    </row>
    <row r="498" spans="1:5" ht="13">
      <c r="A498" s="115"/>
      <c r="B498" s="115"/>
      <c r="C498" s="115"/>
      <c r="D498" s="115"/>
      <c r="E498" s="115"/>
    </row>
    <row r="499" spans="1:5" ht="13">
      <c r="A499" s="115"/>
      <c r="B499" s="115"/>
      <c r="C499" s="115"/>
      <c r="D499" s="115"/>
      <c r="E499" s="115"/>
    </row>
    <row r="500" spans="1:5" ht="13">
      <c r="A500" s="115"/>
      <c r="B500" s="115"/>
      <c r="C500" s="115"/>
      <c r="D500" s="115"/>
      <c r="E500" s="115"/>
    </row>
    <row r="501" spans="1:5" ht="13">
      <c r="A501" s="115"/>
      <c r="B501" s="115"/>
      <c r="C501" s="115"/>
      <c r="D501" s="115"/>
      <c r="E501" s="115"/>
    </row>
    <row r="502" spans="1:5" ht="13">
      <c r="A502" s="115"/>
      <c r="B502" s="115"/>
      <c r="C502" s="115"/>
      <c r="D502" s="115"/>
      <c r="E502" s="115"/>
    </row>
    <row r="503" spans="1:5" ht="13">
      <c r="A503" s="115"/>
      <c r="B503" s="115"/>
      <c r="C503" s="115"/>
      <c r="D503" s="115"/>
      <c r="E503" s="115"/>
    </row>
    <row r="504" spans="1:5" ht="13">
      <c r="A504" s="115"/>
      <c r="B504" s="115"/>
      <c r="C504" s="115"/>
      <c r="D504" s="115"/>
      <c r="E504" s="115"/>
    </row>
    <row r="505" spans="1:5" ht="13">
      <c r="A505" s="115"/>
      <c r="B505" s="115"/>
      <c r="C505" s="115"/>
      <c r="D505" s="115"/>
      <c r="E505" s="115"/>
    </row>
    <row r="506" spans="1:5" ht="13">
      <c r="A506" s="115"/>
      <c r="B506" s="115"/>
      <c r="C506" s="115"/>
      <c r="D506" s="115"/>
      <c r="E506" s="115"/>
    </row>
    <row r="507" spans="1:5" ht="13">
      <c r="A507" s="115"/>
      <c r="B507" s="115"/>
      <c r="C507" s="115"/>
      <c r="D507" s="115"/>
      <c r="E507" s="115"/>
    </row>
    <row r="508" spans="1:5" ht="13">
      <c r="A508" s="115"/>
      <c r="B508" s="115"/>
      <c r="C508" s="115"/>
      <c r="D508" s="115"/>
      <c r="E508" s="115"/>
    </row>
    <row r="509" spans="1:5" ht="13">
      <c r="A509" s="115"/>
      <c r="B509" s="115"/>
      <c r="C509" s="115"/>
      <c r="D509" s="115"/>
      <c r="E509" s="115"/>
    </row>
    <row r="510" spans="1:5" ht="13">
      <c r="A510" s="115"/>
      <c r="B510" s="115"/>
      <c r="C510" s="115"/>
      <c r="D510" s="115"/>
      <c r="E510" s="115"/>
    </row>
    <row r="511" spans="1:5" ht="13">
      <c r="A511" s="115"/>
      <c r="B511" s="115"/>
      <c r="C511" s="115"/>
      <c r="D511" s="115"/>
      <c r="E511" s="115"/>
    </row>
    <row r="512" spans="1:5" ht="13">
      <c r="A512" s="115"/>
      <c r="B512" s="115"/>
      <c r="C512" s="115"/>
      <c r="D512" s="115"/>
      <c r="E512" s="115"/>
    </row>
    <row r="513" spans="1:5" ht="13">
      <c r="A513" s="115"/>
      <c r="B513" s="115"/>
      <c r="C513" s="115"/>
      <c r="D513" s="115"/>
      <c r="E513" s="115"/>
    </row>
    <row r="514" spans="1:5" ht="13">
      <c r="A514" s="115"/>
      <c r="B514" s="115"/>
      <c r="C514" s="115"/>
      <c r="D514" s="115"/>
      <c r="E514" s="115"/>
    </row>
    <row r="515" spans="1:5" ht="13">
      <c r="A515" s="115"/>
      <c r="B515" s="115"/>
      <c r="C515" s="115"/>
      <c r="D515" s="115"/>
      <c r="E515" s="115"/>
    </row>
    <row r="516" spans="1:5" ht="13">
      <c r="A516" s="115"/>
      <c r="B516" s="115"/>
      <c r="C516" s="115"/>
      <c r="D516" s="115"/>
      <c r="E516" s="115"/>
    </row>
    <row r="517" spans="1:5" ht="13">
      <c r="A517" s="115"/>
      <c r="B517" s="115"/>
      <c r="C517" s="115"/>
      <c r="D517" s="115"/>
      <c r="E517" s="115"/>
    </row>
    <row r="518" spans="1:5" ht="13">
      <c r="A518" s="115"/>
      <c r="B518" s="115"/>
      <c r="C518" s="115"/>
      <c r="D518" s="115"/>
      <c r="E518" s="115"/>
    </row>
    <row r="519" spans="1:5" ht="13">
      <c r="A519" s="115"/>
      <c r="B519" s="115"/>
      <c r="C519" s="115"/>
      <c r="D519" s="115"/>
      <c r="E519" s="115"/>
    </row>
    <row r="520" spans="1:5" ht="13">
      <c r="A520" s="115"/>
      <c r="B520" s="115"/>
      <c r="C520" s="115"/>
      <c r="D520" s="115"/>
      <c r="E520" s="115"/>
    </row>
    <row r="521" spans="1:5" ht="13">
      <c r="A521" s="115"/>
      <c r="B521" s="115"/>
      <c r="C521" s="115"/>
      <c r="D521" s="115"/>
      <c r="E521" s="115"/>
    </row>
    <row r="522" spans="1:5" ht="13">
      <c r="A522" s="115"/>
      <c r="B522" s="115"/>
      <c r="C522" s="115"/>
      <c r="D522" s="115"/>
      <c r="E522" s="115"/>
    </row>
    <row r="523" spans="1:5" ht="13">
      <c r="A523" s="115"/>
      <c r="B523" s="115"/>
      <c r="C523" s="115"/>
      <c r="D523" s="115"/>
      <c r="E523" s="115"/>
    </row>
    <row r="524" spans="1:5" ht="13">
      <c r="A524" s="115"/>
      <c r="B524" s="115"/>
      <c r="C524" s="115"/>
      <c r="D524" s="115"/>
      <c r="E524" s="115"/>
    </row>
    <row r="525" spans="1:5" ht="13">
      <c r="A525" s="115"/>
      <c r="B525" s="115"/>
      <c r="C525" s="115"/>
      <c r="D525" s="115"/>
      <c r="E525" s="115"/>
    </row>
    <row r="526" spans="1:5" ht="13">
      <c r="A526" s="115"/>
      <c r="B526" s="115"/>
      <c r="C526" s="115"/>
      <c r="D526" s="115"/>
      <c r="E526" s="115"/>
    </row>
    <row r="527" spans="1:5" ht="13">
      <c r="A527" s="115"/>
      <c r="B527" s="115"/>
      <c r="C527" s="115"/>
      <c r="D527" s="115"/>
      <c r="E527" s="115"/>
    </row>
    <row r="528" spans="1:5" ht="13">
      <c r="A528" s="115"/>
      <c r="B528" s="115"/>
      <c r="C528" s="115"/>
      <c r="D528" s="115"/>
      <c r="E528" s="115"/>
    </row>
    <row r="529" spans="1:5" ht="13">
      <c r="A529" s="115"/>
      <c r="B529" s="115"/>
      <c r="C529" s="115"/>
      <c r="D529" s="115"/>
      <c r="E529" s="115"/>
    </row>
    <row r="530" spans="1:5" ht="13">
      <c r="A530" s="115"/>
      <c r="B530" s="115"/>
      <c r="C530" s="115"/>
      <c r="D530" s="115"/>
      <c r="E530" s="115"/>
    </row>
    <row r="531" spans="1:5" ht="13">
      <c r="A531" s="115"/>
      <c r="B531" s="115"/>
      <c r="C531" s="115"/>
      <c r="D531" s="115"/>
      <c r="E531" s="115"/>
    </row>
    <row r="532" spans="1:5" ht="13">
      <c r="A532" s="115"/>
      <c r="B532" s="115"/>
      <c r="C532" s="115"/>
      <c r="D532" s="115"/>
      <c r="E532" s="115"/>
    </row>
    <row r="533" spans="1:5" ht="13">
      <c r="A533" s="115"/>
      <c r="B533" s="115"/>
      <c r="C533" s="115"/>
      <c r="D533" s="115"/>
      <c r="E533" s="115"/>
    </row>
    <row r="534" spans="1:5" ht="13">
      <c r="A534" s="115"/>
      <c r="B534" s="115"/>
      <c r="C534" s="115"/>
      <c r="D534" s="115"/>
      <c r="E534" s="115"/>
    </row>
    <row r="535" spans="1:5" ht="13">
      <c r="A535" s="115"/>
      <c r="B535" s="115"/>
      <c r="C535" s="115"/>
      <c r="D535" s="115"/>
      <c r="E535" s="115"/>
    </row>
    <row r="536" spans="1:5" ht="13">
      <c r="A536" s="115"/>
      <c r="B536" s="115"/>
      <c r="C536" s="115"/>
      <c r="D536" s="115"/>
      <c r="E536" s="115"/>
    </row>
    <row r="537" spans="1:5" ht="13">
      <c r="A537" s="115"/>
      <c r="B537" s="115"/>
      <c r="C537" s="115"/>
      <c r="D537" s="115"/>
      <c r="E537" s="115"/>
    </row>
    <row r="538" spans="1:5" ht="13">
      <c r="A538" s="115"/>
      <c r="B538" s="115"/>
      <c r="C538" s="115"/>
      <c r="D538" s="115"/>
      <c r="E538" s="115"/>
    </row>
    <row r="539" spans="1:5" ht="13">
      <c r="A539" s="115"/>
      <c r="B539" s="115"/>
      <c r="C539" s="115"/>
      <c r="D539" s="115"/>
      <c r="E539" s="115"/>
    </row>
    <row r="540" spans="1:5" ht="13">
      <c r="A540" s="115"/>
      <c r="B540" s="115"/>
      <c r="C540" s="115"/>
      <c r="D540" s="115"/>
      <c r="E540" s="115"/>
    </row>
    <row r="541" spans="1:5" ht="13">
      <c r="A541" s="115"/>
      <c r="B541" s="115"/>
      <c r="C541" s="115"/>
      <c r="D541" s="115"/>
      <c r="E541" s="115"/>
    </row>
    <row r="542" spans="1:5" ht="13">
      <c r="A542" s="115"/>
      <c r="B542" s="115"/>
      <c r="C542" s="115"/>
      <c r="D542" s="115"/>
      <c r="E542" s="115"/>
    </row>
    <row r="543" spans="1:5" ht="13">
      <c r="A543" s="115"/>
      <c r="B543" s="115"/>
      <c r="C543" s="115"/>
      <c r="D543" s="115"/>
      <c r="E543" s="115"/>
    </row>
    <row r="544" spans="1:5" ht="13">
      <c r="A544" s="115"/>
      <c r="B544" s="115"/>
      <c r="C544" s="115"/>
      <c r="D544" s="115"/>
      <c r="E544" s="115"/>
    </row>
    <row r="545" spans="1:5" ht="13">
      <c r="A545" s="115"/>
      <c r="B545" s="115"/>
      <c r="C545" s="115"/>
      <c r="D545" s="115"/>
      <c r="E545" s="115"/>
    </row>
    <row r="546" spans="1:5" ht="13">
      <c r="A546" s="115"/>
      <c r="B546" s="115"/>
      <c r="C546" s="115"/>
      <c r="D546" s="115"/>
      <c r="E546" s="115"/>
    </row>
    <row r="547" spans="1:5" ht="13">
      <c r="A547" s="115"/>
      <c r="B547" s="115"/>
      <c r="C547" s="115"/>
      <c r="D547" s="115"/>
      <c r="E547" s="115"/>
    </row>
    <row r="548" spans="1:5" ht="13">
      <c r="A548" s="115"/>
      <c r="B548" s="115"/>
      <c r="C548" s="115"/>
      <c r="D548" s="115"/>
      <c r="E548" s="115"/>
    </row>
    <row r="549" spans="1:5" ht="13">
      <c r="A549" s="115"/>
      <c r="B549" s="115"/>
      <c r="C549" s="115"/>
      <c r="D549" s="115"/>
      <c r="E549" s="115"/>
    </row>
    <row r="550" spans="1:5" ht="13">
      <c r="A550" s="115"/>
      <c r="B550" s="115"/>
      <c r="C550" s="115"/>
      <c r="D550" s="115"/>
      <c r="E550" s="115"/>
    </row>
    <row r="551" spans="1:5" ht="13">
      <c r="A551" s="115"/>
      <c r="B551" s="115"/>
      <c r="C551" s="115"/>
      <c r="D551" s="115"/>
      <c r="E551" s="115"/>
    </row>
    <row r="552" spans="1:5" ht="13">
      <c r="A552" s="115"/>
      <c r="B552" s="115"/>
      <c r="C552" s="115"/>
      <c r="D552" s="115"/>
      <c r="E552" s="115"/>
    </row>
    <row r="553" spans="1:5" ht="13">
      <c r="A553" s="115"/>
      <c r="B553" s="115"/>
      <c r="C553" s="115"/>
      <c r="D553" s="115"/>
      <c r="E553" s="115"/>
    </row>
    <row r="554" spans="1:5" ht="13">
      <c r="A554" s="115"/>
      <c r="B554" s="115"/>
      <c r="C554" s="115"/>
      <c r="D554" s="115"/>
      <c r="E554" s="115"/>
    </row>
    <row r="555" spans="1:5" ht="13">
      <c r="A555" s="115"/>
      <c r="B555" s="115"/>
      <c r="C555" s="115"/>
      <c r="D555" s="115"/>
      <c r="E555" s="115"/>
    </row>
    <row r="556" spans="1:5" ht="13">
      <c r="A556" s="115"/>
      <c r="B556" s="115"/>
      <c r="C556" s="115"/>
      <c r="D556" s="115"/>
      <c r="E556" s="115"/>
    </row>
    <row r="557" spans="1:5" ht="13">
      <c r="A557" s="115"/>
      <c r="B557" s="115"/>
      <c r="C557" s="115"/>
      <c r="D557" s="115"/>
      <c r="E557" s="115"/>
    </row>
    <row r="558" spans="1:5" ht="13">
      <c r="A558" s="115"/>
      <c r="B558" s="115"/>
      <c r="C558" s="115"/>
      <c r="D558" s="115"/>
      <c r="E558" s="115"/>
    </row>
    <row r="559" spans="1:5" ht="13">
      <c r="A559" s="115"/>
      <c r="B559" s="115"/>
      <c r="C559" s="115"/>
      <c r="D559" s="115"/>
      <c r="E559" s="115"/>
    </row>
    <row r="560" spans="1:5" ht="13">
      <c r="A560" s="115"/>
      <c r="B560" s="115"/>
      <c r="C560" s="115"/>
      <c r="D560" s="115"/>
      <c r="E560" s="115"/>
    </row>
    <row r="561" spans="1:5" ht="13">
      <c r="A561" s="115"/>
      <c r="B561" s="115"/>
      <c r="C561" s="115"/>
      <c r="D561" s="115"/>
      <c r="E561" s="115"/>
    </row>
    <row r="562" spans="1:5" ht="13">
      <c r="A562" s="115"/>
      <c r="B562" s="115"/>
      <c r="C562" s="115"/>
      <c r="D562" s="115"/>
      <c r="E562" s="115"/>
    </row>
    <row r="563" spans="1:5" ht="13">
      <c r="A563" s="115"/>
      <c r="B563" s="115"/>
      <c r="C563" s="115"/>
      <c r="D563" s="115"/>
      <c r="E563" s="115"/>
    </row>
    <row r="564" spans="1:5" ht="13">
      <c r="A564" s="115"/>
      <c r="B564" s="115"/>
      <c r="C564" s="115"/>
      <c r="D564" s="115"/>
      <c r="E564" s="115"/>
    </row>
    <row r="565" spans="1:5" ht="13">
      <c r="A565" s="115"/>
      <c r="B565" s="115"/>
      <c r="C565" s="115"/>
      <c r="D565" s="115"/>
      <c r="E565" s="115"/>
    </row>
    <row r="566" spans="1:5" ht="13">
      <c r="A566" s="115"/>
      <c r="B566" s="115"/>
      <c r="C566" s="115"/>
      <c r="D566" s="115"/>
      <c r="E566" s="115"/>
    </row>
    <row r="567" spans="1:5" ht="13">
      <c r="A567" s="115"/>
      <c r="B567" s="115"/>
      <c r="C567" s="115"/>
      <c r="D567" s="115"/>
      <c r="E567" s="115"/>
    </row>
    <row r="568" spans="1:5" ht="13">
      <c r="A568" s="115"/>
      <c r="B568" s="115"/>
      <c r="C568" s="115"/>
      <c r="D568" s="115"/>
      <c r="E568" s="115"/>
    </row>
    <row r="569" spans="1:5" ht="13">
      <c r="A569" s="115"/>
      <c r="B569" s="115"/>
      <c r="C569" s="115"/>
      <c r="D569" s="115"/>
      <c r="E569" s="115"/>
    </row>
    <row r="570" spans="1:5" ht="13">
      <c r="A570" s="115"/>
      <c r="B570" s="115"/>
      <c r="C570" s="115"/>
      <c r="D570" s="115"/>
      <c r="E570" s="115"/>
    </row>
    <row r="571" spans="1:5" ht="13">
      <c r="A571" s="115"/>
      <c r="B571" s="115"/>
      <c r="C571" s="115"/>
      <c r="D571" s="115"/>
      <c r="E571" s="115"/>
    </row>
    <row r="572" spans="1:5" ht="13">
      <c r="A572" s="115"/>
      <c r="B572" s="115"/>
      <c r="C572" s="115"/>
      <c r="D572" s="115"/>
      <c r="E572" s="115"/>
    </row>
    <row r="573" spans="1:5" ht="13">
      <c r="A573" s="115"/>
      <c r="B573" s="115"/>
      <c r="C573" s="115"/>
      <c r="D573" s="115"/>
      <c r="E573" s="115"/>
    </row>
    <row r="574" spans="1:5" ht="13">
      <c r="A574" s="115"/>
      <c r="B574" s="115"/>
      <c r="C574" s="115"/>
      <c r="D574" s="115"/>
      <c r="E574" s="115"/>
    </row>
    <row r="575" spans="1:5" ht="13">
      <c r="A575" s="115"/>
      <c r="B575" s="115"/>
      <c r="C575" s="115"/>
      <c r="D575" s="115"/>
      <c r="E575" s="115"/>
    </row>
    <row r="576" spans="1:5" ht="13">
      <c r="A576" s="115"/>
      <c r="B576" s="115"/>
      <c r="C576" s="115"/>
      <c r="D576" s="115"/>
      <c r="E576" s="115"/>
    </row>
    <row r="577" spans="1:5" ht="13">
      <c r="A577" s="115"/>
      <c r="B577" s="115"/>
      <c r="C577" s="115"/>
      <c r="D577" s="115"/>
      <c r="E577" s="115"/>
    </row>
    <row r="578" spans="1:5" ht="13">
      <c r="A578" s="115"/>
      <c r="B578" s="115"/>
      <c r="C578" s="115"/>
      <c r="D578" s="115"/>
      <c r="E578" s="115"/>
    </row>
    <row r="579" spans="1:5" ht="13">
      <c r="A579" s="115"/>
      <c r="B579" s="115"/>
      <c r="C579" s="115"/>
      <c r="D579" s="115"/>
      <c r="E579" s="115"/>
    </row>
    <row r="580" spans="1:5" ht="13">
      <c r="A580" s="115"/>
      <c r="B580" s="115"/>
      <c r="C580" s="115"/>
      <c r="D580" s="115"/>
      <c r="E580" s="115"/>
    </row>
    <row r="581" spans="1:5" ht="13">
      <c r="A581" s="115"/>
      <c r="B581" s="115"/>
      <c r="C581" s="115"/>
      <c r="D581" s="115"/>
      <c r="E581" s="115"/>
    </row>
    <row r="582" spans="1:5" ht="13">
      <c r="A582" s="115"/>
      <c r="B582" s="115"/>
      <c r="C582" s="115"/>
      <c r="D582" s="115"/>
      <c r="E582" s="115"/>
    </row>
    <row r="583" spans="1:5" ht="13">
      <c r="A583" s="115"/>
      <c r="B583" s="115"/>
      <c r="C583" s="115"/>
      <c r="D583" s="115"/>
      <c r="E583" s="115"/>
    </row>
    <row r="584" spans="1:5" ht="13">
      <c r="A584" s="115"/>
      <c r="B584" s="115"/>
      <c r="C584" s="115"/>
      <c r="D584" s="115"/>
      <c r="E584" s="115"/>
    </row>
    <row r="585" spans="1:5" ht="13">
      <c r="A585" s="115"/>
      <c r="B585" s="115"/>
      <c r="C585" s="115"/>
      <c r="D585" s="115"/>
      <c r="E585" s="115"/>
    </row>
    <row r="586" spans="1:5" ht="13">
      <c r="A586" s="115"/>
      <c r="B586" s="115"/>
      <c r="C586" s="115"/>
      <c r="D586" s="115"/>
      <c r="E586" s="115"/>
    </row>
    <row r="587" spans="1:5" ht="13">
      <c r="A587" s="115"/>
      <c r="B587" s="115"/>
      <c r="C587" s="115"/>
      <c r="D587" s="115"/>
      <c r="E587" s="115"/>
    </row>
    <row r="588" spans="1:5" ht="13">
      <c r="A588" s="115"/>
      <c r="B588" s="115"/>
      <c r="C588" s="115"/>
      <c r="D588" s="115"/>
      <c r="E588" s="115"/>
    </row>
    <row r="589" spans="1:5" ht="13">
      <c r="A589" s="115"/>
      <c r="B589" s="115"/>
      <c r="C589" s="115"/>
      <c r="D589" s="115"/>
      <c r="E589" s="115"/>
    </row>
    <row r="590" spans="1:5" ht="13">
      <c r="A590" s="115"/>
      <c r="B590" s="115"/>
      <c r="C590" s="115"/>
      <c r="D590" s="115"/>
      <c r="E590" s="115"/>
    </row>
    <row r="591" spans="1:5" ht="13">
      <c r="A591" s="115"/>
      <c r="B591" s="115"/>
      <c r="C591" s="115"/>
      <c r="D591" s="115"/>
      <c r="E591" s="115"/>
    </row>
    <row r="592" spans="1:5" ht="13">
      <c r="A592" s="115"/>
      <c r="B592" s="115"/>
      <c r="C592" s="115"/>
      <c r="D592" s="115"/>
      <c r="E592" s="115"/>
    </row>
    <row r="593" spans="1:5" ht="13">
      <c r="A593" s="115"/>
      <c r="B593" s="115"/>
      <c r="C593" s="115"/>
      <c r="D593" s="115"/>
      <c r="E593" s="115"/>
    </row>
    <row r="594" spans="1:5" ht="13">
      <c r="A594" s="115"/>
      <c r="B594" s="115"/>
      <c r="C594" s="115"/>
      <c r="D594" s="115"/>
      <c r="E594" s="115"/>
    </row>
    <row r="595" spans="1:5" ht="13">
      <c r="A595" s="115"/>
      <c r="B595" s="115"/>
      <c r="C595" s="115"/>
      <c r="D595" s="115"/>
      <c r="E595" s="115"/>
    </row>
    <row r="596" spans="1:5" ht="13">
      <c r="A596" s="115"/>
      <c r="B596" s="115"/>
      <c r="C596" s="115"/>
      <c r="D596" s="115"/>
      <c r="E596" s="115"/>
    </row>
    <row r="597" spans="1:5" ht="13">
      <c r="A597" s="115"/>
      <c r="B597" s="115"/>
      <c r="C597" s="115"/>
      <c r="D597" s="115"/>
      <c r="E597" s="115"/>
    </row>
    <row r="598" spans="1:5" ht="13">
      <c r="A598" s="115"/>
      <c r="B598" s="115"/>
      <c r="C598" s="115"/>
      <c r="D598" s="115"/>
      <c r="E598" s="115"/>
    </row>
    <row r="599" spans="1:5" ht="13">
      <c r="A599" s="115"/>
      <c r="B599" s="115"/>
      <c r="C599" s="115"/>
      <c r="D599" s="115"/>
      <c r="E599" s="115"/>
    </row>
    <row r="600" spans="1:5" ht="13">
      <c r="A600" s="115"/>
      <c r="B600" s="115"/>
      <c r="C600" s="115"/>
      <c r="D600" s="115"/>
      <c r="E600" s="115"/>
    </row>
    <row r="601" spans="1:5" ht="13">
      <c r="A601" s="115"/>
      <c r="B601" s="115"/>
      <c r="C601" s="115"/>
      <c r="D601" s="115"/>
      <c r="E601" s="115"/>
    </row>
    <row r="602" spans="1:5" ht="13">
      <c r="A602" s="115"/>
      <c r="B602" s="115"/>
      <c r="C602" s="115"/>
      <c r="D602" s="115"/>
      <c r="E602" s="115"/>
    </row>
    <row r="603" spans="1:5" ht="13">
      <c r="A603" s="115"/>
      <c r="B603" s="115"/>
      <c r="C603" s="115"/>
      <c r="D603" s="115"/>
      <c r="E603" s="115"/>
    </row>
    <row r="604" spans="1:5" ht="13">
      <c r="A604" s="115"/>
      <c r="B604" s="115"/>
      <c r="C604" s="115"/>
      <c r="D604" s="115"/>
      <c r="E604" s="115"/>
    </row>
    <row r="605" spans="1:5" ht="13">
      <c r="A605" s="115"/>
      <c r="B605" s="115"/>
      <c r="C605" s="115"/>
      <c r="D605" s="115"/>
      <c r="E605" s="115"/>
    </row>
    <row r="606" spans="1:5" ht="13">
      <c r="A606" s="115"/>
      <c r="B606" s="115"/>
      <c r="C606" s="115"/>
      <c r="D606" s="115"/>
      <c r="E606" s="115"/>
    </row>
    <row r="607" spans="1:5" ht="13">
      <c r="A607" s="115"/>
      <c r="B607" s="115"/>
      <c r="C607" s="115"/>
      <c r="D607" s="115"/>
      <c r="E607" s="115"/>
    </row>
    <row r="608" spans="1:5" ht="13">
      <c r="A608" s="115"/>
      <c r="B608" s="115"/>
      <c r="C608" s="115"/>
      <c r="D608" s="115"/>
      <c r="E608" s="115"/>
    </row>
    <row r="609" spans="1:5" ht="13">
      <c r="A609" s="115"/>
      <c r="B609" s="115"/>
      <c r="C609" s="115"/>
      <c r="D609" s="115"/>
      <c r="E609" s="115"/>
    </row>
    <row r="610" spans="1:5" ht="13">
      <c r="A610" s="115"/>
      <c r="B610" s="115"/>
      <c r="C610" s="115"/>
      <c r="D610" s="115"/>
      <c r="E610" s="115"/>
    </row>
    <row r="611" spans="1:5" ht="13">
      <c r="A611" s="115"/>
      <c r="B611" s="115"/>
      <c r="C611" s="115"/>
      <c r="D611" s="115"/>
      <c r="E611" s="115"/>
    </row>
    <row r="612" spans="1:5" ht="13">
      <c r="A612" s="115"/>
      <c r="B612" s="115"/>
      <c r="C612" s="115"/>
      <c r="D612" s="115"/>
      <c r="E612" s="115"/>
    </row>
    <row r="613" spans="1:5" ht="13">
      <c r="A613" s="115"/>
      <c r="B613" s="115"/>
      <c r="C613" s="115"/>
      <c r="D613" s="115"/>
      <c r="E613" s="115"/>
    </row>
    <row r="614" spans="1:5" ht="13">
      <c r="A614" s="115"/>
      <c r="B614" s="115"/>
      <c r="C614" s="115"/>
      <c r="D614" s="115"/>
      <c r="E614" s="115"/>
    </row>
    <row r="615" spans="1:5" ht="13">
      <c r="A615" s="115"/>
      <c r="B615" s="115"/>
      <c r="C615" s="115"/>
      <c r="D615" s="115"/>
      <c r="E615" s="115"/>
    </row>
    <row r="616" spans="1:5" ht="13">
      <c r="A616" s="115"/>
      <c r="B616" s="115"/>
      <c r="C616" s="115"/>
      <c r="D616" s="115"/>
      <c r="E616" s="115"/>
    </row>
    <row r="617" spans="1:5" ht="13">
      <c r="A617" s="115"/>
      <c r="B617" s="115"/>
      <c r="C617" s="115"/>
      <c r="D617" s="115"/>
      <c r="E617" s="115"/>
    </row>
    <row r="618" spans="1:5" ht="13">
      <c r="A618" s="115"/>
      <c r="B618" s="115"/>
      <c r="C618" s="115"/>
      <c r="D618" s="115"/>
      <c r="E618" s="115"/>
    </row>
    <row r="619" spans="1:5" ht="13">
      <c r="A619" s="115"/>
      <c r="B619" s="115"/>
      <c r="C619" s="115"/>
      <c r="D619" s="115"/>
      <c r="E619" s="115"/>
    </row>
    <row r="620" spans="1:5" ht="13">
      <c r="A620" s="115"/>
      <c r="B620" s="115"/>
      <c r="C620" s="115"/>
      <c r="D620" s="115"/>
      <c r="E620" s="115"/>
    </row>
    <row r="621" spans="1:5" ht="13">
      <c r="A621" s="115"/>
      <c r="B621" s="115"/>
      <c r="C621" s="115"/>
      <c r="D621" s="115"/>
      <c r="E621" s="115"/>
    </row>
    <row r="622" spans="1:5" ht="13">
      <c r="A622" s="115"/>
      <c r="B622" s="115"/>
      <c r="C622" s="115"/>
      <c r="D622" s="115"/>
      <c r="E622" s="115"/>
    </row>
    <row r="623" spans="1:5" ht="13">
      <c r="A623" s="115"/>
      <c r="B623" s="115"/>
      <c r="C623" s="115"/>
      <c r="D623" s="115"/>
      <c r="E623" s="115"/>
    </row>
    <row r="624" spans="1:5" ht="13">
      <c r="A624" s="115"/>
      <c r="B624" s="115"/>
      <c r="C624" s="115"/>
      <c r="D624" s="115"/>
      <c r="E624" s="115"/>
    </row>
    <row r="625" spans="1:5" ht="13">
      <c r="A625" s="115"/>
      <c r="B625" s="115"/>
      <c r="C625" s="115"/>
      <c r="D625" s="115"/>
      <c r="E625" s="115"/>
    </row>
    <row r="626" spans="1:5" ht="13">
      <c r="A626" s="115"/>
      <c r="B626" s="115"/>
      <c r="C626" s="115"/>
      <c r="D626" s="115"/>
      <c r="E626" s="115"/>
    </row>
    <row r="627" spans="1:5" ht="13">
      <c r="A627" s="115"/>
      <c r="B627" s="115"/>
      <c r="C627" s="115"/>
      <c r="D627" s="115"/>
      <c r="E627" s="115"/>
    </row>
    <row r="628" spans="1:5" ht="13">
      <c r="A628" s="115"/>
      <c r="B628" s="115"/>
      <c r="C628" s="115"/>
      <c r="D628" s="115"/>
      <c r="E628" s="115"/>
    </row>
    <row r="629" spans="1:5" ht="13">
      <c r="A629" s="115"/>
      <c r="B629" s="115"/>
      <c r="C629" s="115"/>
      <c r="D629" s="115"/>
      <c r="E629" s="115"/>
    </row>
    <row r="630" spans="1:5" ht="13">
      <c r="A630" s="115"/>
      <c r="B630" s="115"/>
      <c r="C630" s="115"/>
      <c r="D630" s="115"/>
      <c r="E630" s="115"/>
    </row>
    <row r="631" spans="1:5" ht="13">
      <c r="A631" s="115"/>
      <c r="B631" s="115"/>
      <c r="C631" s="115"/>
      <c r="D631" s="115"/>
      <c r="E631" s="115"/>
    </row>
    <row r="632" spans="1:5" ht="13">
      <c r="A632" s="115"/>
      <c r="B632" s="115"/>
      <c r="C632" s="115"/>
      <c r="D632" s="115"/>
      <c r="E632" s="115"/>
    </row>
    <row r="633" spans="1:5" ht="13">
      <c r="A633" s="115"/>
      <c r="B633" s="115"/>
      <c r="C633" s="115"/>
      <c r="D633" s="115"/>
      <c r="E633" s="115"/>
    </row>
    <row r="634" spans="1:5" ht="13">
      <c r="A634" s="115"/>
      <c r="B634" s="115"/>
      <c r="C634" s="115"/>
      <c r="D634" s="115"/>
      <c r="E634" s="115"/>
    </row>
    <row r="635" spans="1:5" ht="13">
      <c r="A635" s="115"/>
      <c r="B635" s="115"/>
      <c r="C635" s="115"/>
      <c r="D635" s="115"/>
      <c r="E635" s="115"/>
    </row>
    <row r="636" spans="1:5" ht="13">
      <c r="A636" s="115"/>
      <c r="B636" s="115"/>
      <c r="C636" s="115"/>
      <c r="D636" s="115"/>
      <c r="E636" s="115"/>
    </row>
    <row r="637" spans="1:5" ht="13">
      <c r="A637" s="115"/>
      <c r="B637" s="115"/>
      <c r="C637" s="115"/>
      <c r="D637" s="115"/>
      <c r="E637" s="115"/>
    </row>
    <row r="638" spans="1:5" ht="13">
      <c r="A638" s="115"/>
      <c r="B638" s="115"/>
      <c r="C638" s="115"/>
      <c r="D638" s="115"/>
      <c r="E638" s="115"/>
    </row>
    <row r="639" spans="1:5" ht="13">
      <c r="A639" s="115"/>
      <c r="B639" s="115"/>
      <c r="C639" s="115"/>
      <c r="D639" s="115"/>
      <c r="E639" s="115"/>
    </row>
    <row r="640" spans="1:5" ht="13">
      <c r="A640" s="115"/>
      <c r="B640" s="115"/>
      <c r="C640" s="115"/>
      <c r="D640" s="115"/>
      <c r="E640" s="115"/>
    </row>
    <row r="641" spans="1:5" ht="13">
      <c r="A641" s="115"/>
      <c r="B641" s="115"/>
      <c r="C641" s="115"/>
      <c r="D641" s="115"/>
      <c r="E641" s="115"/>
    </row>
    <row r="642" spans="1:5" ht="13">
      <c r="A642" s="115"/>
      <c r="B642" s="115"/>
      <c r="C642" s="115"/>
      <c r="D642" s="115"/>
      <c r="E642" s="115"/>
    </row>
    <row r="643" spans="1:5" ht="13">
      <c r="A643" s="115"/>
      <c r="B643" s="115"/>
      <c r="C643" s="115"/>
      <c r="D643" s="115"/>
      <c r="E643" s="115"/>
    </row>
    <row r="644" spans="1:5" ht="13">
      <c r="A644" s="115"/>
      <c r="B644" s="115"/>
      <c r="C644" s="115"/>
      <c r="D644" s="115"/>
      <c r="E644" s="115"/>
    </row>
    <row r="645" spans="1:5" ht="13">
      <c r="A645" s="115"/>
      <c r="B645" s="115"/>
      <c r="C645" s="115"/>
      <c r="D645" s="115"/>
      <c r="E645" s="115"/>
    </row>
    <row r="646" spans="1:5" ht="13">
      <c r="A646" s="115"/>
      <c r="B646" s="115"/>
      <c r="C646" s="115"/>
      <c r="D646" s="115"/>
      <c r="E646" s="115"/>
    </row>
    <row r="647" spans="1:5" ht="13">
      <c r="A647" s="115"/>
      <c r="B647" s="115"/>
      <c r="C647" s="115"/>
      <c r="D647" s="115"/>
      <c r="E647" s="115"/>
    </row>
    <row r="648" spans="1:5" ht="13">
      <c r="A648" s="115"/>
      <c r="B648" s="115"/>
      <c r="C648" s="115"/>
      <c r="D648" s="115"/>
      <c r="E648" s="115"/>
    </row>
    <row r="649" spans="1:5" ht="13">
      <c r="A649" s="115"/>
      <c r="B649" s="115"/>
      <c r="C649" s="115"/>
      <c r="D649" s="115"/>
      <c r="E649" s="115"/>
    </row>
    <row r="650" spans="1:5" ht="13">
      <c r="A650" s="115"/>
      <c r="B650" s="115"/>
      <c r="C650" s="115"/>
      <c r="D650" s="115"/>
      <c r="E650" s="115"/>
    </row>
    <row r="651" spans="1:5" ht="13">
      <c r="A651" s="115"/>
      <c r="B651" s="115"/>
      <c r="C651" s="115"/>
      <c r="D651" s="115"/>
      <c r="E651" s="115"/>
    </row>
    <row r="652" spans="1:5" ht="13">
      <c r="A652" s="115"/>
      <c r="B652" s="115"/>
      <c r="C652" s="115"/>
      <c r="D652" s="115"/>
      <c r="E652" s="115"/>
    </row>
    <row r="653" spans="1:5" ht="13">
      <c r="A653" s="115"/>
      <c r="B653" s="115"/>
      <c r="C653" s="115"/>
      <c r="D653" s="115"/>
      <c r="E653" s="115"/>
    </row>
    <row r="654" spans="1:5" ht="13">
      <c r="A654" s="115"/>
      <c r="B654" s="115"/>
      <c r="C654" s="115"/>
      <c r="D654" s="115"/>
      <c r="E654" s="115"/>
    </row>
    <row r="655" spans="1:5" ht="13">
      <c r="A655" s="115"/>
      <c r="B655" s="115"/>
      <c r="C655" s="115"/>
      <c r="D655" s="115"/>
      <c r="E655" s="115"/>
    </row>
    <row r="656" spans="1:5" ht="13">
      <c r="A656" s="115"/>
      <c r="B656" s="115"/>
      <c r="C656" s="115"/>
      <c r="D656" s="115"/>
      <c r="E656" s="115"/>
    </row>
    <row r="657" spans="1:5" ht="13">
      <c r="A657" s="115"/>
      <c r="B657" s="115"/>
      <c r="C657" s="115"/>
      <c r="D657" s="115"/>
      <c r="E657" s="115"/>
    </row>
    <row r="658" spans="1:5" ht="13">
      <c r="A658" s="115"/>
      <c r="B658" s="115"/>
      <c r="C658" s="115"/>
      <c r="D658" s="115"/>
      <c r="E658" s="115"/>
    </row>
    <row r="659" spans="1:5" ht="13">
      <c r="A659" s="115"/>
      <c r="B659" s="115"/>
      <c r="C659" s="115"/>
      <c r="D659" s="115"/>
      <c r="E659" s="115"/>
    </row>
    <row r="660" spans="1:5" ht="13">
      <c r="A660" s="115"/>
      <c r="B660" s="115"/>
      <c r="C660" s="115"/>
      <c r="D660" s="115"/>
      <c r="E660" s="115"/>
    </row>
    <row r="661" spans="1:5" ht="13">
      <c r="A661" s="115"/>
      <c r="B661" s="115"/>
      <c r="C661" s="115"/>
      <c r="D661" s="115"/>
      <c r="E661" s="115"/>
    </row>
    <row r="662" spans="1:5" ht="13">
      <c r="A662" s="115"/>
      <c r="B662" s="115"/>
      <c r="C662" s="115"/>
      <c r="D662" s="115"/>
      <c r="E662" s="115"/>
    </row>
    <row r="663" spans="1:5" ht="13">
      <c r="A663" s="115"/>
      <c r="B663" s="115"/>
      <c r="C663" s="115"/>
      <c r="D663" s="115"/>
      <c r="E663" s="115"/>
    </row>
    <row r="664" spans="1:5" ht="13">
      <c r="A664" s="115"/>
      <c r="B664" s="115"/>
      <c r="C664" s="115"/>
      <c r="D664" s="115"/>
      <c r="E664" s="115"/>
    </row>
    <row r="665" spans="1:5" ht="13">
      <c r="A665" s="115"/>
      <c r="B665" s="115"/>
      <c r="C665" s="115"/>
      <c r="D665" s="115"/>
      <c r="E665" s="115"/>
    </row>
    <row r="666" spans="1:5" ht="13">
      <c r="A666" s="115"/>
      <c r="B666" s="115"/>
      <c r="C666" s="115"/>
      <c r="D666" s="115"/>
      <c r="E666" s="115"/>
    </row>
    <row r="667" spans="1:5" ht="13">
      <c r="A667" s="115"/>
      <c r="B667" s="115"/>
      <c r="C667" s="115"/>
      <c r="D667" s="115"/>
      <c r="E667" s="115"/>
    </row>
    <row r="668" spans="1:5" ht="13">
      <c r="A668" s="115"/>
      <c r="B668" s="115"/>
      <c r="C668" s="115"/>
      <c r="D668" s="115"/>
      <c r="E668" s="115"/>
    </row>
    <row r="669" spans="1:5" ht="13">
      <c r="A669" s="115"/>
      <c r="B669" s="115"/>
      <c r="C669" s="115"/>
      <c r="D669" s="115"/>
      <c r="E669" s="115"/>
    </row>
    <row r="670" spans="1:5" ht="13">
      <c r="A670" s="115"/>
      <c r="B670" s="115"/>
      <c r="C670" s="115"/>
      <c r="D670" s="115"/>
      <c r="E670" s="115"/>
    </row>
    <row r="671" spans="1:5" ht="13">
      <c r="A671" s="115"/>
      <c r="B671" s="115"/>
      <c r="C671" s="115"/>
      <c r="D671" s="115"/>
      <c r="E671" s="115"/>
    </row>
    <row r="672" spans="1:5" ht="13">
      <c r="A672" s="115"/>
      <c r="B672" s="115"/>
      <c r="C672" s="115"/>
      <c r="D672" s="115"/>
      <c r="E672" s="115"/>
    </row>
    <row r="673" spans="1:5" ht="13">
      <c r="A673" s="115"/>
      <c r="B673" s="115"/>
      <c r="C673" s="115"/>
      <c r="D673" s="115"/>
      <c r="E673" s="115"/>
    </row>
    <row r="674" spans="1:5" ht="13">
      <c r="A674" s="115"/>
      <c r="B674" s="115"/>
      <c r="C674" s="115"/>
      <c r="D674" s="115"/>
      <c r="E674" s="115"/>
    </row>
    <row r="675" spans="1:5" ht="13">
      <c r="A675" s="115"/>
      <c r="B675" s="115"/>
      <c r="C675" s="115"/>
      <c r="D675" s="115"/>
      <c r="E675" s="115"/>
    </row>
    <row r="676" spans="1:5" ht="13">
      <c r="A676" s="115"/>
      <c r="B676" s="115"/>
      <c r="C676" s="115"/>
      <c r="D676" s="115"/>
      <c r="E676" s="115"/>
    </row>
    <row r="677" spans="1:5" ht="13">
      <c r="A677" s="115"/>
      <c r="B677" s="115"/>
      <c r="C677" s="115"/>
      <c r="D677" s="115"/>
      <c r="E677" s="115"/>
    </row>
    <row r="678" spans="1:5" ht="13">
      <c r="A678" s="115"/>
      <c r="B678" s="115"/>
      <c r="C678" s="115"/>
      <c r="D678" s="115"/>
      <c r="E678" s="115"/>
    </row>
    <row r="679" spans="1:5" ht="13">
      <c r="A679" s="115"/>
      <c r="B679" s="115"/>
      <c r="C679" s="115"/>
      <c r="D679" s="115"/>
      <c r="E679" s="115"/>
    </row>
    <row r="680" spans="1:5" ht="13">
      <c r="A680" s="115"/>
      <c r="B680" s="115"/>
      <c r="C680" s="115"/>
      <c r="D680" s="115"/>
      <c r="E680" s="115"/>
    </row>
    <row r="681" spans="1:5" ht="13">
      <c r="A681" s="115"/>
      <c r="B681" s="115"/>
      <c r="C681" s="115"/>
      <c r="D681" s="115"/>
      <c r="E681" s="115"/>
    </row>
    <row r="682" spans="1:5" ht="13">
      <c r="A682" s="115"/>
      <c r="B682" s="115"/>
      <c r="C682" s="115"/>
      <c r="D682" s="115"/>
      <c r="E682" s="115"/>
    </row>
    <row r="683" spans="1:5" ht="13">
      <c r="A683" s="115"/>
      <c r="B683" s="115"/>
      <c r="C683" s="115"/>
      <c r="D683" s="115"/>
      <c r="E683" s="115"/>
    </row>
    <row r="684" spans="1:5" ht="13">
      <c r="A684" s="115"/>
      <c r="B684" s="115"/>
      <c r="C684" s="115"/>
      <c r="D684" s="115"/>
      <c r="E684" s="115"/>
    </row>
    <row r="685" spans="1:5" ht="13">
      <c r="A685" s="115"/>
      <c r="B685" s="115"/>
      <c r="C685" s="115"/>
      <c r="D685" s="115"/>
      <c r="E685" s="115"/>
    </row>
    <row r="686" spans="1:5" ht="13">
      <c r="A686" s="115"/>
      <c r="B686" s="115"/>
      <c r="C686" s="115"/>
      <c r="D686" s="115"/>
      <c r="E686" s="115"/>
    </row>
    <row r="687" spans="1:5" ht="13">
      <c r="A687" s="115"/>
      <c r="B687" s="115"/>
      <c r="C687" s="115"/>
      <c r="D687" s="115"/>
      <c r="E687" s="115"/>
    </row>
    <row r="688" spans="1:5" ht="13">
      <c r="A688" s="115"/>
      <c r="B688" s="115"/>
      <c r="C688" s="115"/>
      <c r="D688" s="115"/>
      <c r="E688" s="115"/>
    </row>
    <row r="689" spans="1:5" ht="13">
      <c r="A689" s="115"/>
      <c r="B689" s="115"/>
      <c r="C689" s="115"/>
      <c r="D689" s="115"/>
      <c r="E689" s="115"/>
    </row>
    <row r="690" spans="1:5" ht="13">
      <c r="A690" s="115"/>
      <c r="B690" s="115"/>
      <c r="C690" s="115"/>
      <c r="D690" s="115"/>
      <c r="E690" s="115"/>
    </row>
    <row r="691" spans="1:5" ht="13">
      <c r="A691" s="115"/>
      <c r="B691" s="115"/>
      <c r="C691" s="115"/>
      <c r="D691" s="115"/>
      <c r="E691" s="115"/>
    </row>
    <row r="692" spans="1:5" ht="13">
      <c r="A692" s="115"/>
      <c r="B692" s="115"/>
      <c r="C692" s="115"/>
      <c r="D692" s="115"/>
      <c r="E692" s="115"/>
    </row>
    <row r="693" spans="1:5" ht="13">
      <c r="A693" s="115"/>
      <c r="B693" s="115"/>
      <c r="C693" s="115"/>
      <c r="D693" s="115"/>
      <c r="E693" s="115"/>
    </row>
    <row r="694" spans="1:5" ht="13">
      <c r="A694" s="115"/>
      <c r="B694" s="115"/>
      <c r="C694" s="115"/>
      <c r="D694" s="115"/>
      <c r="E694" s="115"/>
    </row>
    <row r="695" spans="1:5" ht="13">
      <c r="A695" s="115"/>
      <c r="B695" s="115"/>
      <c r="C695" s="115"/>
      <c r="D695" s="115"/>
      <c r="E695" s="115"/>
    </row>
    <row r="696" spans="1:5" ht="13">
      <c r="A696" s="115"/>
      <c r="B696" s="115"/>
      <c r="C696" s="115"/>
      <c r="D696" s="115"/>
      <c r="E696" s="115"/>
    </row>
    <row r="697" spans="1:5" ht="13">
      <c r="A697" s="115"/>
      <c r="B697" s="115"/>
      <c r="C697" s="115"/>
      <c r="D697" s="115"/>
      <c r="E697" s="115"/>
    </row>
    <row r="698" spans="1:5" ht="13">
      <c r="A698" s="115"/>
      <c r="B698" s="115"/>
      <c r="C698" s="115"/>
      <c r="D698" s="115"/>
      <c r="E698" s="115"/>
    </row>
    <row r="699" spans="1:5" ht="13">
      <c r="A699" s="115"/>
      <c r="B699" s="115"/>
      <c r="C699" s="115"/>
      <c r="D699" s="115"/>
      <c r="E699" s="115"/>
    </row>
    <row r="700" spans="1:5" ht="13">
      <c r="A700" s="115"/>
      <c r="B700" s="115"/>
      <c r="C700" s="115"/>
      <c r="D700" s="115"/>
      <c r="E700" s="115"/>
    </row>
    <row r="701" spans="1:5" ht="13">
      <c r="A701" s="115"/>
      <c r="B701" s="115"/>
      <c r="C701" s="115"/>
      <c r="D701" s="115"/>
      <c r="E701" s="115"/>
    </row>
    <row r="702" spans="1:5" ht="13">
      <c r="A702" s="115"/>
      <c r="B702" s="115"/>
      <c r="C702" s="115"/>
      <c r="D702" s="115"/>
      <c r="E702" s="115"/>
    </row>
    <row r="703" spans="1:5" ht="13">
      <c r="A703" s="115"/>
      <c r="B703" s="115"/>
      <c r="C703" s="115"/>
      <c r="D703" s="115"/>
      <c r="E703" s="115"/>
    </row>
    <row r="704" spans="1:5" ht="13">
      <c r="A704" s="115"/>
      <c r="B704" s="115"/>
      <c r="C704" s="115"/>
      <c r="D704" s="115"/>
      <c r="E704" s="115"/>
    </row>
    <row r="705" spans="1:5" ht="13">
      <c r="A705" s="115"/>
      <c r="B705" s="115"/>
      <c r="C705" s="115"/>
      <c r="D705" s="115"/>
      <c r="E705" s="115"/>
    </row>
    <row r="706" spans="1:5" ht="13">
      <c r="A706" s="115"/>
      <c r="B706" s="115"/>
      <c r="C706" s="115"/>
      <c r="D706" s="115"/>
      <c r="E706" s="115"/>
    </row>
    <row r="707" spans="1:5" ht="13">
      <c r="A707" s="115"/>
      <c r="B707" s="115"/>
      <c r="C707" s="115"/>
      <c r="D707" s="115"/>
      <c r="E707" s="115"/>
    </row>
    <row r="708" spans="1:5" ht="13">
      <c r="A708" s="115"/>
      <c r="B708" s="115"/>
      <c r="C708" s="115"/>
      <c r="D708" s="115"/>
      <c r="E708" s="115"/>
    </row>
    <row r="709" spans="1:5" ht="13">
      <c r="A709" s="115"/>
      <c r="B709" s="115"/>
      <c r="C709" s="115"/>
      <c r="D709" s="115"/>
      <c r="E709" s="115"/>
    </row>
    <row r="710" spans="1:5" ht="13">
      <c r="A710" s="115"/>
      <c r="B710" s="115"/>
      <c r="C710" s="115"/>
      <c r="D710" s="115"/>
      <c r="E710" s="115"/>
    </row>
    <row r="711" spans="1:5" ht="13">
      <c r="A711" s="115"/>
      <c r="B711" s="115"/>
      <c r="C711" s="115"/>
      <c r="D711" s="115"/>
      <c r="E711" s="115"/>
    </row>
    <row r="712" spans="1:5" ht="13">
      <c r="A712" s="115"/>
      <c r="B712" s="115"/>
      <c r="C712" s="115"/>
      <c r="D712" s="115"/>
      <c r="E712" s="115"/>
    </row>
    <row r="713" spans="1:5" ht="13">
      <c r="A713" s="115"/>
      <c r="B713" s="115"/>
      <c r="C713" s="115"/>
      <c r="D713" s="115"/>
      <c r="E713" s="115"/>
    </row>
    <row r="714" spans="1:5" ht="13">
      <c r="A714" s="115"/>
      <c r="B714" s="115"/>
      <c r="C714" s="115"/>
      <c r="D714" s="115"/>
      <c r="E714" s="115"/>
    </row>
    <row r="715" spans="1:5" ht="13">
      <c r="A715" s="115"/>
      <c r="B715" s="115"/>
      <c r="C715" s="115"/>
      <c r="D715" s="115"/>
      <c r="E715" s="115"/>
    </row>
    <row r="716" spans="1:5" ht="13">
      <c r="A716" s="115"/>
      <c r="B716" s="115"/>
      <c r="C716" s="115"/>
      <c r="D716" s="115"/>
      <c r="E716" s="115"/>
    </row>
    <row r="717" spans="1:5" ht="13">
      <c r="A717" s="115"/>
      <c r="B717" s="115"/>
      <c r="C717" s="115"/>
      <c r="D717" s="115"/>
      <c r="E717" s="115"/>
    </row>
    <row r="718" spans="1:5" ht="13">
      <c r="A718" s="115"/>
      <c r="B718" s="115"/>
      <c r="C718" s="115"/>
      <c r="D718" s="115"/>
      <c r="E718" s="115"/>
    </row>
    <row r="719" spans="1:5" ht="13">
      <c r="A719" s="115"/>
      <c r="B719" s="115"/>
      <c r="C719" s="115"/>
      <c r="D719" s="115"/>
      <c r="E719" s="115"/>
    </row>
    <row r="720" spans="1:5" ht="13">
      <c r="A720" s="115"/>
      <c r="B720" s="115"/>
      <c r="C720" s="115"/>
      <c r="D720" s="115"/>
      <c r="E720" s="115"/>
    </row>
    <row r="721" spans="1:5" ht="13">
      <c r="A721" s="115"/>
      <c r="B721" s="115"/>
      <c r="C721" s="115"/>
      <c r="D721" s="115"/>
      <c r="E721" s="115"/>
    </row>
    <row r="722" spans="1:5" ht="13">
      <c r="A722" s="115"/>
      <c r="B722" s="115"/>
      <c r="C722" s="115"/>
      <c r="D722" s="115"/>
      <c r="E722" s="115"/>
    </row>
    <row r="723" spans="1:5" ht="13">
      <c r="A723" s="115"/>
      <c r="B723" s="115"/>
      <c r="C723" s="115"/>
      <c r="D723" s="115"/>
      <c r="E723" s="115"/>
    </row>
    <row r="724" spans="1:5" ht="13">
      <c r="A724" s="115"/>
      <c r="B724" s="115"/>
      <c r="C724" s="115"/>
      <c r="D724" s="115"/>
      <c r="E724" s="115"/>
    </row>
    <row r="725" spans="1:5" ht="13">
      <c r="A725" s="115"/>
      <c r="B725" s="115"/>
      <c r="C725" s="115"/>
      <c r="D725" s="115"/>
      <c r="E725" s="115"/>
    </row>
    <row r="726" spans="1:5" ht="13">
      <c r="A726" s="115"/>
      <c r="B726" s="115"/>
      <c r="C726" s="115"/>
      <c r="D726" s="115"/>
      <c r="E726" s="115"/>
    </row>
    <row r="727" spans="1:5" ht="13">
      <c r="A727" s="115"/>
      <c r="B727" s="115"/>
      <c r="C727" s="115"/>
      <c r="D727" s="115"/>
      <c r="E727" s="115"/>
    </row>
    <row r="728" spans="1:5" ht="13">
      <c r="A728" s="115"/>
      <c r="B728" s="115"/>
      <c r="C728" s="115"/>
      <c r="D728" s="115"/>
      <c r="E728" s="115"/>
    </row>
    <row r="729" spans="1:5" ht="13">
      <c r="A729" s="115"/>
      <c r="B729" s="115"/>
      <c r="C729" s="115"/>
      <c r="D729" s="115"/>
      <c r="E729" s="115"/>
    </row>
    <row r="730" spans="1:5" ht="13">
      <c r="A730" s="115"/>
      <c r="B730" s="115"/>
      <c r="C730" s="115"/>
      <c r="D730" s="115"/>
      <c r="E730" s="115"/>
    </row>
    <row r="731" spans="1:5" ht="13">
      <c r="A731" s="115"/>
      <c r="B731" s="115"/>
      <c r="C731" s="115"/>
      <c r="D731" s="115"/>
      <c r="E731" s="115"/>
    </row>
    <row r="732" spans="1:5" ht="13">
      <c r="A732" s="115"/>
      <c r="B732" s="115"/>
      <c r="C732" s="115"/>
      <c r="D732" s="115"/>
      <c r="E732" s="115"/>
    </row>
    <row r="733" spans="1:5" ht="13">
      <c r="A733" s="115"/>
      <c r="B733" s="115"/>
      <c r="C733" s="115"/>
      <c r="D733" s="115"/>
      <c r="E733" s="115"/>
    </row>
    <row r="734" spans="1:5" ht="13">
      <c r="A734" s="115"/>
      <c r="B734" s="115"/>
      <c r="C734" s="115"/>
      <c r="D734" s="115"/>
      <c r="E734" s="115"/>
    </row>
    <row r="735" spans="1:5" ht="13">
      <c r="A735" s="115"/>
      <c r="B735" s="115"/>
      <c r="C735" s="115"/>
      <c r="D735" s="115"/>
      <c r="E735" s="115"/>
    </row>
    <row r="736" spans="1:5" ht="13">
      <c r="A736" s="115"/>
      <c r="B736" s="115"/>
      <c r="C736" s="115"/>
      <c r="D736" s="115"/>
      <c r="E736" s="115"/>
    </row>
    <row r="737" spans="1:5" ht="13">
      <c r="A737" s="115"/>
      <c r="B737" s="115"/>
      <c r="C737" s="115"/>
      <c r="D737" s="115"/>
      <c r="E737" s="115"/>
    </row>
    <row r="738" spans="1:5" ht="13">
      <c r="A738" s="115"/>
      <c r="B738" s="115"/>
      <c r="C738" s="115"/>
      <c r="D738" s="115"/>
      <c r="E738" s="115"/>
    </row>
    <row r="739" spans="1:5" ht="13">
      <c r="A739" s="115"/>
      <c r="B739" s="115"/>
      <c r="C739" s="115"/>
      <c r="D739" s="115"/>
      <c r="E739" s="115"/>
    </row>
    <row r="740" spans="1:5" ht="13">
      <c r="A740" s="115"/>
      <c r="B740" s="115"/>
      <c r="C740" s="115"/>
      <c r="D740" s="115"/>
      <c r="E740" s="115"/>
    </row>
    <row r="741" spans="1:5" ht="13">
      <c r="A741" s="115"/>
      <c r="B741" s="115"/>
      <c r="C741" s="115"/>
      <c r="D741" s="115"/>
      <c r="E741" s="115"/>
    </row>
    <row r="742" spans="1:5" ht="13">
      <c r="A742" s="115"/>
      <c r="B742" s="115"/>
      <c r="C742" s="115"/>
      <c r="D742" s="115"/>
      <c r="E742" s="115"/>
    </row>
    <row r="743" spans="1:5" ht="13">
      <c r="A743" s="115"/>
      <c r="B743" s="115"/>
      <c r="C743" s="115"/>
      <c r="D743" s="115"/>
      <c r="E743" s="115"/>
    </row>
    <row r="744" spans="1:5" ht="13">
      <c r="A744" s="115"/>
      <c r="B744" s="115"/>
      <c r="C744" s="115"/>
      <c r="D744" s="115"/>
      <c r="E744" s="115"/>
    </row>
    <row r="745" spans="1:5" ht="13">
      <c r="A745" s="115"/>
      <c r="B745" s="115"/>
      <c r="C745" s="115"/>
      <c r="D745" s="115"/>
      <c r="E745" s="115"/>
    </row>
    <row r="746" spans="1:5" ht="13">
      <c r="A746" s="115"/>
      <c r="B746" s="115"/>
      <c r="C746" s="115"/>
      <c r="D746" s="115"/>
      <c r="E746" s="115"/>
    </row>
    <row r="747" spans="1:5" ht="13">
      <c r="A747" s="115"/>
      <c r="B747" s="115"/>
      <c r="C747" s="115"/>
      <c r="D747" s="115"/>
      <c r="E747" s="115"/>
    </row>
    <row r="748" spans="1:5" ht="13">
      <c r="A748" s="115"/>
      <c r="B748" s="115"/>
      <c r="C748" s="115"/>
      <c r="D748" s="115"/>
      <c r="E748" s="115"/>
    </row>
    <row r="749" spans="1:5" ht="13">
      <c r="A749" s="115"/>
      <c r="B749" s="115"/>
      <c r="C749" s="115"/>
      <c r="D749" s="115"/>
      <c r="E749" s="115"/>
    </row>
    <row r="750" spans="1:5" ht="13">
      <c r="A750" s="115"/>
      <c r="B750" s="115"/>
      <c r="C750" s="115"/>
      <c r="D750" s="115"/>
      <c r="E750" s="115"/>
    </row>
    <row r="751" spans="1:5" ht="13">
      <c r="A751" s="115"/>
      <c r="B751" s="115"/>
      <c r="C751" s="115"/>
      <c r="D751" s="115"/>
      <c r="E751" s="115"/>
    </row>
    <row r="752" spans="1:5" ht="13">
      <c r="A752" s="115"/>
      <c r="B752" s="115"/>
      <c r="C752" s="115"/>
      <c r="D752" s="115"/>
      <c r="E752" s="115"/>
    </row>
    <row r="753" spans="1:5" ht="13">
      <c r="A753" s="115"/>
      <c r="B753" s="115"/>
      <c r="C753" s="115"/>
      <c r="D753" s="115"/>
      <c r="E753" s="115"/>
    </row>
    <row r="754" spans="1:5" ht="13">
      <c r="A754" s="115"/>
      <c r="B754" s="115"/>
      <c r="C754" s="115"/>
      <c r="D754" s="115"/>
      <c r="E754" s="115"/>
    </row>
    <row r="755" spans="1:5" ht="13">
      <c r="A755" s="115"/>
      <c r="B755" s="115"/>
      <c r="C755" s="115"/>
      <c r="D755" s="115"/>
      <c r="E755" s="115"/>
    </row>
    <row r="756" spans="1:5" ht="13">
      <c r="A756" s="115"/>
      <c r="B756" s="115"/>
      <c r="C756" s="115"/>
      <c r="D756" s="115"/>
      <c r="E756" s="115"/>
    </row>
    <row r="757" spans="1:5" ht="13">
      <c r="A757" s="115"/>
      <c r="B757" s="115"/>
      <c r="C757" s="115"/>
      <c r="D757" s="115"/>
      <c r="E757" s="115"/>
    </row>
    <row r="758" spans="1:5" ht="13">
      <c r="A758" s="115"/>
      <c r="B758" s="115"/>
      <c r="C758" s="115"/>
      <c r="D758" s="115"/>
      <c r="E758" s="115"/>
    </row>
    <row r="759" spans="1:5" ht="13">
      <c r="A759" s="115"/>
      <c r="B759" s="115"/>
      <c r="C759" s="115"/>
      <c r="D759" s="115"/>
      <c r="E759" s="115"/>
    </row>
    <row r="760" spans="1:5" ht="13">
      <c r="A760" s="115"/>
      <c r="B760" s="115"/>
      <c r="C760" s="115"/>
      <c r="D760" s="115"/>
      <c r="E760" s="115"/>
    </row>
    <row r="761" spans="1:5" ht="13">
      <c r="A761" s="115"/>
      <c r="B761" s="115"/>
      <c r="C761" s="115"/>
      <c r="D761" s="115"/>
      <c r="E761" s="115"/>
    </row>
    <row r="762" spans="1:5" ht="13">
      <c r="A762" s="115"/>
      <c r="B762" s="115"/>
      <c r="C762" s="115"/>
      <c r="D762" s="115"/>
      <c r="E762" s="115"/>
    </row>
    <row r="763" spans="1:5" ht="13">
      <c r="A763" s="115"/>
      <c r="B763" s="115"/>
      <c r="C763" s="115"/>
      <c r="D763" s="115"/>
      <c r="E763" s="115"/>
    </row>
    <row r="764" spans="1:5" ht="13">
      <c r="A764" s="115"/>
      <c r="B764" s="115"/>
      <c r="C764" s="115"/>
      <c r="D764" s="115"/>
      <c r="E764" s="115"/>
    </row>
    <row r="765" spans="1:5" ht="13">
      <c r="A765" s="115"/>
      <c r="B765" s="115"/>
      <c r="C765" s="115"/>
      <c r="D765" s="115"/>
      <c r="E765" s="115"/>
    </row>
    <row r="766" spans="1:5" ht="13">
      <c r="A766" s="115"/>
      <c r="B766" s="115"/>
      <c r="C766" s="115"/>
      <c r="D766" s="115"/>
      <c r="E766" s="115"/>
    </row>
    <row r="767" spans="1:5" ht="13">
      <c r="A767" s="115"/>
      <c r="B767" s="115"/>
      <c r="C767" s="115"/>
      <c r="D767" s="115"/>
      <c r="E767" s="115"/>
    </row>
    <row r="768" spans="1:5" ht="13">
      <c r="A768" s="115"/>
      <c r="B768" s="115"/>
      <c r="C768" s="115"/>
      <c r="D768" s="115"/>
      <c r="E768" s="115"/>
    </row>
    <row r="769" spans="1:5" ht="13">
      <c r="A769" s="115"/>
      <c r="B769" s="115"/>
      <c r="C769" s="115"/>
      <c r="D769" s="115"/>
      <c r="E769" s="115"/>
    </row>
    <row r="770" spans="1:5" ht="13">
      <c r="A770" s="115"/>
      <c r="B770" s="115"/>
      <c r="C770" s="115"/>
      <c r="D770" s="115"/>
      <c r="E770" s="115"/>
    </row>
    <row r="771" spans="1:5" ht="13">
      <c r="A771" s="115"/>
      <c r="B771" s="115"/>
      <c r="C771" s="115"/>
      <c r="D771" s="115"/>
      <c r="E771" s="115"/>
    </row>
    <row r="772" spans="1:5" ht="13">
      <c r="A772" s="115"/>
      <c r="B772" s="115"/>
      <c r="C772" s="115"/>
      <c r="D772" s="115"/>
      <c r="E772" s="115"/>
    </row>
    <row r="773" spans="1:5" ht="13">
      <c r="A773" s="115"/>
      <c r="B773" s="115"/>
      <c r="C773" s="115"/>
      <c r="D773" s="115"/>
      <c r="E773" s="115"/>
    </row>
    <row r="774" spans="1:5" ht="13">
      <c r="A774" s="115"/>
      <c r="B774" s="115"/>
      <c r="C774" s="115"/>
      <c r="D774" s="115"/>
      <c r="E774" s="115"/>
    </row>
    <row r="775" spans="1:5" ht="13">
      <c r="A775" s="115"/>
      <c r="B775" s="115"/>
      <c r="C775" s="115"/>
      <c r="D775" s="115"/>
      <c r="E775" s="115"/>
    </row>
    <row r="776" spans="1:5" ht="13">
      <c r="A776" s="115"/>
      <c r="B776" s="115"/>
      <c r="C776" s="115"/>
      <c r="D776" s="115"/>
      <c r="E776" s="115"/>
    </row>
    <row r="777" spans="1:5" ht="13">
      <c r="A777" s="115"/>
      <c r="B777" s="115"/>
      <c r="C777" s="115"/>
      <c r="D777" s="115"/>
      <c r="E777" s="115"/>
    </row>
    <row r="778" spans="1:5" ht="13">
      <c r="A778" s="115"/>
      <c r="B778" s="115"/>
      <c r="C778" s="115"/>
      <c r="D778" s="115"/>
      <c r="E778" s="115"/>
    </row>
    <row r="779" spans="1:5" ht="13">
      <c r="A779" s="115"/>
      <c r="B779" s="115"/>
      <c r="C779" s="115"/>
      <c r="D779" s="115"/>
      <c r="E779" s="115"/>
    </row>
    <row r="780" spans="1:5" ht="13">
      <c r="A780" s="115"/>
      <c r="B780" s="115"/>
      <c r="C780" s="115"/>
      <c r="D780" s="115"/>
      <c r="E780" s="115"/>
    </row>
    <row r="781" spans="1:5" ht="13">
      <c r="A781" s="115"/>
      <c r="B781" s="115"/>
      <c r="C781" s="115"/>
      <c r="D781" s="115"/>
      <c r="E781" s="115"/>
    </row>
    <row r="782" spans="1:5" ht="13">
      <c r="A782" s="115"/>
      <c r="B782" s="115"/>
      <c r="C782" s="115"/>
      <c r="D782" s="115"/>
      <c r="E782" s="115"/>
    </row>
    <row r="783" spans="1:5" ht="13">
      <c r="A783" s="115"/>
      <c r="B783" s="115"/>
      <c r="C783" s="115"/>
      <c r="D783" s="115"/>
      <c r="E783" s="115"/>
    </row>
    <row r="784" spans="1:5" ht="13">
      <c r="A784" s="115"/>
      <c r="B784" s="115"/>
      <c r="C784" s="115"/>
      <c r="D784" s="115"/>
      <c r="E784" s="115"/>
    </row>
    <row r="785" spans="1:5" ht="13">
      <c r="A785" s="115"/>
      <c r="B785" s="115"/>
      <c r="C785" s="115"/>
      <c r="D785" s="115"/>
      <c r="E785" s="115"/>
    </row>
    <row r="786" spans="1:5" ht="13">
      <c r="A786" s="115"/>
      <c r="B786" s="115"/>
      <c r="C786" s="115"/>
      <c r="D786" s="115"/>
      <c r="E786" s="115"/>
    </row>
    <row r="787" spans="1:5" ht="13">
      <c r="A787" s="115"/>
      <c r="B787" s="115"/>
      <c r="C787" s="115"/>
      <c r="D787" s="115"/>
      <c r="E787" s="115"/>
    </row>
    <row r="788" spans="1:5" ht="13">
      <c r="A788" s="115"/>
      <c r="B788" s="115"/>
      <c r="C788" s="115"/>
      <c r="D788" s="115"/>
      <c r="E788" s="115"/>
    </row>
    <row r="789" spans="1:5" ht="13">
      <c r="A789" s="115"/>
      <c r="B789" s="115"/>
      <c r="C789" s="115"/>
      <c r="D789" s="115"/>
      <c r="E789" s="115"/>
    </row>
    <row r="790" spans="1:5" ht="13">
      <c r="A790" s="115"/>
      <c r="B790" s="115"/>
      <c r="C790" s="115"/>
      <c r="D790" s="115"/>
      <c r="E790" s="115"/>
    </row>
    <row r="791" spans="1:5" ht="13">
      <c r="A791" s="115"/>
      <c r="B791" s="115"/>
      <c r="C791" s="115"/>
      <c r="D791" s="115"/>
      <c r="E791" s="115"/>
    </row>
    <row r="792" spans="1:5" ht="13">
      <c r="A792" s="115"/>
      <c r="B792" s="115"/>
      <c r="C792" s="115"/>
      <c r="D792" s="115"/>
      <c r="E792" s="115"/>
    </row>
    <row r="793" spans="1:5" ht="13">
      <c r="A793" s="115"/>
      <c r="B793" s="115"/>
      <c r="C793" s="115"/>
      <c r="D793" s="115"/>
      <c r="E793" s="115"/>
    </row>
    <row r="794" spans="1:5" ht="13">
      <c r="A794" s="115"/>
      <c r="B794" s="115"/>
      <c r="C794" s="115"/>
      <c r="D794" s="115"/>
      <c r="E794" s="115"/>
    </row>
    <row r="795" spans="1:5" ht="13">
      <c r="A795" s="115"/>
      <c r="B795" s="115"/>
      <c r="C795" s="115"/>
      <c r="D795" s="115"/>
      <c r="E795" s="115"/>
    </row>
    <row r="796" spans="1:5" ht="13">
      <c r="A796" s="115"/>
      <c r="B796" s="115"/>
      <c r="C796" s="115"/>
      <c r="D796" s="115"/>
      <c r="E796" s="115"/>
    </row>
    <row r="797" spans="1:5" ht="13">
      <c r="A797" s="115"/>
      <c r="B797" s="115"/>
      <c r="C797" s="115"/>
      <c r="D797" s="115"/>
      <c r="E797" s="115"/>
    </row>
    <row r="798" spans="1:5" ht="13">
      <c r="A798" s="115"/>
      <c r="B798" s="115"/>
      <c r="C798" s="115"/>
      <c r="D798" s="115"/>
      <c r="E798" s="115"/>
    </row>
    <row r="799" spans="1:5" ht="13">
      <c r="A799" s="115"/>
      <c r="B799" s="115"/>
      <c r="C799" s="115"/>
      <c r="D799" s="115"/>
      <c r="E799" s="115"/>
    </row>
    <row r="800" spans="1:5" ht="13">
      <c r="A800" s="115"/>
      <c r="B800" s="115"/>
      <c r="C800" s="115"/>
      <c r="D800" s="115"/>
      <c r="E800" s="115"/>
    </row>
    <row r="801" spans="1:5" ht="13">
      <c r="A801" s="115"/>
      <c r="B801" s="115"/>
      <c r="C801" s="115"/>
      <c r="D801" s="115"/>
      <c r="E801" s="115"/>
    </row>
    <row r="802" spans="1:5" ht="13">
      <c r="A802" s="115"/>
      <c r="B802" s="115"/>
      <c r="C802" s="115"/>
      <c r="D802" s="115"/>
      <c r="E802" s="115"/>
    </row>
    <row r="803" spans="1:5" ht="13">
      <c r="A803" s="115"/>
      <c r="B803" s="115"/>
      <c r="C803" s="115"/>
      <c r="D803" s="115"/>
      <c r="E803" s="115"/>
    </row>
    <row r="804" spans="1:5" ht="13">
      <c r="A804" s="115"/>
      <c r="B804" s="115"/>
      <c r="C804" s="115"/>
      <c r="D804" s="115"/>
      <c r="E804" s="115"/>
    </row>
    <row r="805" spans="1:5" ht="13">
      <c r="A805" s="115"/>
      <c r="B805" s="115"/>
      <c r="C805" s="115"/>
      <c r="D805" s="115"/>
      <c r="E805" s="115"/>
    </row>
    <row r="806" spans="1:5" ht="13">
      <c r="A806" s="115"/>
      <c r="B806" s="115"/>
      <c r="C806" s="115"/>
      <c r="D806" s="115"/>
      <c r="E806" s="115"/>
    </row>
    <row r="807" spans="1:5" ht="13">
      <c r="A807" s="115"/>
      <c r="B807" s="115"/>
      <c r="C807" s="115"/>
      <c r="D807" s="115"/>
      <c r="E807" s="115"/>
    </row>
    <row r="808" spans="1:5" ht="13">
      <c r="A808" s="115"/>
      <c r="B808" s="115"/>
      <c r="C808" s="115"/>
      <c r="D808" s="115"/>
      <c r="E808" s="115"/>
    </row>
    <row r="809" spans="1:5" ht="13">
      <c r="A809" s="115"/>
      <c r="B809" s="115"/>
      <c r="C809" s="115"/>
      <c r="D809" s="115"/>
      <c r="E809" s="115"/>
    </row>
    <row r="810" spans="1:5" ht="13">
      <c r="A810" s="115"/>
      <c r="B810" s="115"/>
      <c r="C810" s="115"/>
      <c r="D810" s="115"/>
      <c r="E810" s="115"/>
    </row>
    <row r="811" spans="1:5" ht="13">
      <c r="A811" s="115"/>
      <c r="B811" s="115"/>
      <c r="C811" s="115"/>
      <c r="D811" s="115"/>
      <c r="E811" s="115"/>
    </row>
    <row r="812" spans="1:5" ht="13">
      <c r="A812" s="115"/>
      <c r="B812" s="115"/>
      <c r="C812" s="115"/>
      <c r="D812" s="115"/>
      <c r="E812" s="115"/>
    </row>
    <row r="813" spans="1:5" ht="13">
      <c r="A813" s="115"/>
      <c r="B813" s="115"/>
      <c r="C813" s="115"/>
      <c r="D813" s="115"/>
      <c r="E813" s="115"/>
    </row>
    <row r="814" spans="1:5" ht="13">
      <c r="A814" s="115"/>
      <c r="B814" s="115"/>
      <c r="C814" s="115"/>
      <c r="D814" s="115"/>
      <c r="E814" s="115"/>
    </row>
    <row r="815" spans="1:5" ht="13">
      <c r="A815" s="115"/>
      <c r="B815" s="115"/>
      <c r="C815" s="115"/>
      <c r="D815" s="115"/>
      <c r="E815" s="115"/>
    </row>
    <row r="816" spans="1:5" ht="13">
      <c r="A816" s="115"/>
      <c r="B816" s="115"/>
      <c r="C816" s="115"/>
      <c r="D816" s="115"/>
      <c r="E816" s="115"/>
    </row>
    <row r="817" spans="1:5" ht="13">
      <c r="A817" s="115"/>
      <c r="B817" s="115"/>
      <c r="C817" s="115"/>
      <c r="D817" s="115"/>
      <c r="E817" s="115"/>
    </row>
    <row r="818" spans="1:5" ht="13">
      <c r="A818" s="115"/>
      <c r="B818" s="115"/>
      <c r="C818" s="115"/>
      <c r="D818" s="115"/>
      <c r="E818" s="115"/>
    </row>
    <row r="819" spans="1:5" ht="13">
      <c r="A819" s="115"/>
      <c r="B819" s="115"/>
      <c r="C819" s="115"/>
      <c r="D819" s="115"/>
      <c r="E819" s="115"/>
    </row>
    <row r="820" spans="1:5" ht="13">
      <c r="A820" s="115"/>
      <c r="B820" s="115"/>
      <c r="C820" s="115"/>
      <c r="D820" s="115"/>
      <c r="E820" s="115"/>
    </row>
    <row r="821" spans="1:5" ht="13">
      <c r="A821" s="115"/>
      <c r="B821" s="115"/>
      <c r="C821" s="115"/>
      <c r="D821" s="115"/>
      <c r="E821" s="115"/>
    </row>
    <row r="822" spans="1:5" ht="13">
      <c r="A822" s="115"/>
      <c r="B822" s="115"/>
      <c r="C822" s="115"/>
      <c r="D822" s="115"/>
      <c r="E822" s="115"/>
    </row>
    <row r="823" spans="1:5" ht="13">
      <c r="A823" s="115"/>
      <c r="B823" s="115"/>
      <c r="C823" s="115"/>
      <c r="D823" s="115"/>
      <c r="E823" s="115"/>
    </row>
    <row r="824" spans="1:5" ht="13">
      <c r="A824" s="115"/>
      <c r="B824" s="115"/>
      <c r="C824" s="115"/>
      <c r="D824" s="115"/>
      <c r="E824" s="115"/>
    </row>
    <row r="825" spans="1:5" ht="13">
      <c r="A825" s="115"/>
      <c r="B825" s="115"/>
      <c r="C825" s="115"/>
      <c r="D825" s="115"/>
      <c r="E825" s="115"/>
    </row>
    <row r="826" spans="1:5" ht="13">
      <c r="A826" s="115"/>
      <c r="B826" s="115"/>
      <c r="C826" s="115"/>
      <c r="D826" s="115"/>
      <c r="E826" s="115"/>
    </row>
    <row r="827" spans="1:5" ht="13">
      <c r="A827" s="115"/>
      <c r="B827" s="115"/>
      <c r="C827" s="115"/>
      <c r="D827" s="115"/>
      <c r="E827" s="115"/>
    </row>
    <row r="828" spans="1:5" ht="13">
      <c r="A828" s="115"/>
      <c r="B828" s="115"/>
      <c r="C828" s="115"/>
      <c r="D828" s="115"/>
      <c r="E828" s="115"/>
    </row>
    <row r="829" spans="1:5" ht="13">
      <c r="A829" s="115"/>
      <c r="B829" s="115"/>
      <c r="C829" s="115"/>
      <c r="D829" s="115"/>
      <c r="E829" s="115"/>
    </row>
    <row r="830" spans="1:5" ht="13">
      <c r="A830" s="115"/>
      <c r="B830" s="115"/>
      <c r="C830" s="115"/>
      <c r="D830" s="115"/>
      <c r="E830" s="115"/>
    </row>
    <row r="831" spans="1:5" ht="13">
      <c r="A831" s="115"/>
      <c r="B831" s="115"/>
      <c r="C831" s="115"/>
      <c r="D831" s="115"/>
      <c r="E831" s="115"/>
    </row>
    <row r="832" spans="1:5" ht="13">
      <c r="A832" s="115"/>
      <c r="B832" s="115"/>
      <c r="C832" s="115"/>
      <c r="D832" s="115"/>
      <c r="E832" s="115"/>
    </row>
    <row r="833" spans="1:5" ht="13">
      <c r="A833" s="115"/>
      <c r="B833" s="115"/>
      <c r="C833" s="115"/>
      <c r="D833" s="115"/>
      <c r="E833" s="115"/>
    </row>
    <row r="834" spans="1:5" ht="13">
      <c r="A834" s="115"/>
      <c r="B834" s="115"/>
      <c r="C834" s="115"/>
      <c r="D834" s="115"/>
      <c r="E834" s="115"/>
    </row>
    <row r="835" spans="1:5" ht="13">
      <c r="A835" s="115"/>
      <c r="B835" s="115"/>
      <c r="C835" s="115"/>
      <c r="D835" s="115"/>
      <c r="E835" s="115"/>
    </row>
    <row r="836" spans="1:5" ht="13">
      <c r="A836" s="115"/>
      <c r="B836" s="115"/>
      <c r="C836" s="115"/>
      <c r="D836" s="115"/>
      <c r="E836" s="115"/>
    </row>
    <row r="837" spans="1:5" ht="13">
      <c r="A837" s="115"/>
      <c r="B837" s="115"/>
      <c r="C837" s="115"/>
      <c r="D837" s="115"/>
      <c r="E837" s="115"/>
    </row>
    <row r="838" spans="1:5" ht="13">
      <c r="A838" s="115"/>
      <c r="B838" s="115"/>
      <c r="C838" s="115"/>
      <c r="D838" s="115"/>
      <c r="E838" s="115"/>
    </row>
    <row r="839" spans="1:5" ht="13">
      <c r="A839" s="115"/>
      <c r="B839" s="115"/>
      <c r="C839" s="115"/>
      <c r="D839" s="115"/>
      <c r="E839" s="115"/>
    </row>
    <row r="840" spans="1:5" ht="13">
      <c r="A840" s="115"/>
      <c r="B840" s="115"/>
      <c r="C840" s="115"/>
      <c r="D840" s="115"/>
      <c r="E840" s="115"/>
    </row>
    <row r="841" spans="1:5" ht="13">
      <c r="A841" s="115"/>
      <c r="B841" s="115"/>
      <c r="C841" s="115"/>
      <c r="D841" s="115"/>
      <c r="E841" s="115"/>
    </row>
    <row r="842" spans="1:5" ht="13">
      <c r="A842" s="115"/>
      <c r="B842" s="115"/>
      <c r="C842" s="115"/>
      <c r="D842" s="115"/>
      <c r="E842" s="115"/>
    </row>
    <row r="843" spans="1:5" ht="13">
      <c r="A843" s="115"/>
      <c r="B843" s="115"/>
      <c r="C843" s="115"/>
      <c r="D843" s="115"/>
      <c r="E843" s="115"/>
    </row>
    <row r="844" spans="1:5" ht="13">
      <c r="A844" s="115"/>
      <c r="B844" s="115"/>
      <c r="C844" s="115"/>
      <c r="D844" s="115"/>
      <c r="E844" s="115"/>
    </row>
    <row r="845" spans="1:5" ht="13">
      <c r="A845" s="115"/>
      <c r="B845" s="115"/>
      <c r="C845" s="115"/>
      <c r="D845" s="115"/>
      <c r="E845" s="115"/>
    </row>
    <row r="846" spans="1:5" ht="13">
      <c r="A846" s="115"/>
      <c r="B846" s="115"/>
      <c r="C846" s="115"/>
      <c r="D846" s="115"/>
      <c r="E846" s="115"/>
    </row>
    <row r="847" spans="1:5" ht="13">
      <c r="A847" s="115"/>
      <c r="B847" s="115"/>
      <c r="C847" s="115"/>
      <c r="D847" s="115"/>
      <c r="E847" s="115"/>
    </row>
    <row r="848" spans="1:5" ht="13">
      <c r="A848" s="115"/>
      <c r="B848" s="115"/>
      <c r="C848" s="115"/>
      <c r="D848" s="115"/>
      <c r="E848" s="115"/>
    </row>
    <row r="849" spans="1:5" ht="13">
      <c r="A849" s="115"/>
      <c r="B849" s="115"/>
      <c r="C849" s="115"/>
      <c r="D849" s="115"/>
      <c r="E849" s="115"/>
    </row>
    <row r="850" spans="1:5" ht="13">
      <c r="A850" s="115"/>
      <c r="B850" s="115"/>
      <c r="C850" s="115"/>
      <c r="D850" s="115"/>
      <c r="E850" s="115"/>
    </row>
    <row r="851" spans="1:5" ht="13">
      <c r="A851" s="115"/>
      <c r="B851" s="115"/>
      <c r="C851" s="115"/>
      <c r="D851" s="115"/>
      <c r="E851" s="115"/>
    </row>
    <row r="852" spans="1:5" ht="13">
      <c r="A852" s="115"/>
      <c r="B852" s="115"/>
      <c r="C852" s="115"/>
      <c r="D852" s="115"/>
      <c r="E852" s="115"/>
    </row>
    <row r="853" spans="1:5" ht="13">
      <c r="A853" s="115"/>
      <c r="B853" s="115"/>
      <c r="C853" s="115"/>
      <c r="D853" s="115"/>
      <c r="E853" s="115"/>
    </row>
    <row r="854" spans="1:5" ht="13">
      <c r="A854" s="115"/>
      <c r="B854" s="115"/>
      <c r="C854" s="115"/>
      <c r="D854" s="115"/>
      <c r="E854" s="115"/>
    </row>
    <row r="855" spans="1:5" ht="13">
      <c r="A855" s="115"/>
      <c r="B855" s="115"/>
      <c r="C855" s="115"/>
      <c r="D855" s="115"/>
      <c r="E855" s="115"/>
    </row>
    <row r="856" spans="1:5" ht="13">
      <c r="A856" s="115"/>
      <c r="B856" s="115"/>
      <c r="C856" s="115"/>
      <c r="D856" s="115"/>
      <c r="E856" s="115"/>
    </row>
    <row r="857" spans="1:5" ht="13">
      <c r="A857" s="115"/>
      <c r="B857" s="115"/>
      <c r="C857" s="115"/>
      <c r="D857" s="115"/>
      <c r="E857" s="115"/>
    </row>
    <row r="858" spans="1:5" ht="13">
      <c r="A858" s="115"/>
      <c r="B858" s="115"/>
      <c r="C858" s="115"/>
      <c r="D858" s="115"/>
      <c r="E858" s="115"/>
    </row>
    <row r="859" spans="1:5" ht="13">
      <c r="A859" s="115"/>
      <c r="B859" s="115"/>
      <c r="C859" s="115"/>
      <c r="D859" s="115"/>
      <c r="E859" s="115"/>
    </row>
    <row r="860" spans="1:5" ht="13">
      <c r="A860" s="115"/>
      <c r="B860" s="115"/>
      <c r="C860" s="115"/>
      <c r="D860" s="115"/>
      <c r="E860" s="115"/>
    </row>
    <row r="861" spans="1:5" ht="13">
      <c r="A861" s="115"/>
      <c r="B861" s="115"/>
      <c r="C861" s="115"/>
      <c r="D861" s="115"/>
      <c r="E861" s="115"/>
    </row>
    <row r="862" spans="1:5" ht="13">
      <c r="A862" s="115"/>
      <c r="B862" s="115"/>
      <c r="C862" s="115"/>
      <c r="D862" s="115"/>
      <c r="E862" s="115"/>
    </row>
    <row r="863" spans="1:5" ht="13">
      <c r="A863" s="115"/>
      <c r="B863" s="115"/>
      <c r="C863" s="115"/>
      <c r="D863" s="115"/>
      <c r="E863" s="115"/>
    </row>
    <row r="864" spans="1:5" ht="13">
      <c r="A864" s="115"/>
      <c r="B864" s="115"/>
      <c r="C864" s="115"/>
      <c r="D864" s="115"/>
      <c r="E864" s="115"/>
    </row>
    <row r="865" spans="1:5" ht="13">
      <c r="A865" s="115"/>
      <c r="B865" s="115"/>
      <c r="C865" s="115"/>
      <c r="D865" s="115"/>
      <c r="E865" s="115"/>
    </row>
    <row r="866" spans="1:5" ht="13">
      <c r="A866" s="115"/>
      <c r="B866" s="115"/>
      <c r="C866" s="115"/>
      <c r="D866" s="115"/>
      <c r="E866" s="115"/>
    </row>
    <row r="867" spans="1:5" ht="13">
      <c r="A867" s="115"/>
      <c r="B867" s="115"/>
      <c r="C867" s="115"/>
      <c r="D867" s="115"/>
      <c r="E867" s="115"/>
    </row>
    <row r="868" spans="1:5" ht="13">
      <c r="A868" s="115"/>
      <c r="B868" s="115"/>
      <c r="C868" s="115"/>
      <c r="D868" s="115"/>
      <c r="E868" s="115"/>
    </row>
    <row r="869" spans="1:5" ht="13">
      <c r="A869" s="115"/>
      <c r="B869" s="115"/>
      <c r="C869" s="115"/>
      <c r="D869" s="115"/>
      <c r="E869" s="115"/>
    </row>
    <row r="870" spans="1:5" ht="13">
      <c r="A870" s="115"/>
      <c r="B870" s="115"/>
      <c r="C870" s="115"/>
      <c r="D870" s="115"/>
      <c r="E870" s="115"/>
    </row>
    <row r="871" spans="1:5" ht="13">
      <c r="A871" s="115"/>
      <c r="B871" s="115"/>
      <c r="C871" s="115"/>
      <c r="D871" s="115"/>
      <c r="E871" s="115"/>
    </row>
    <row r="872" spans="1:5" ht="13">
      <c r="A872" s="115"/>
      <c r="B872" s="115"/>
      <c r="C872" s="115"/>
      <c r="D872" s="115"/>
      <c r="E872" s="115"/>
    </row>
    <row r="873" spans="1:5" ht="13">
      <c r="A873" s="115"/>
      <c r="B873" s="115"/>
      <c r="C873" s="115"/>
      <c r="D873" s="115"/>
      <c r="E873" s="115"/>
    </row>
    <row r="874" spans="1:5" ht="13">
      <c r="A874" s="115"/>
      <c r="B874" s="115"/>
      <c r="C874" s="115"/>
      <c r="D874" s="115"/>
      <c r="E874" s="115"/>
    </row>
    <row r="875" spans="1:5" ht="13">
      <c r="A875" s="115"/>
      <c r="B875" s="115"/>
      <c r="C875" s="115"/>
      <c r="D875" s="115"/>
      <c r="E875" s="115"/>
    </row>
    <row r="876" spans="1:5" ht="13">
      <c r="A876" s="115"/>
      <c r="B876" s="115"/>
      <c r="C876" s="115"/>
      <c r="D876" s="115"/>
      <c r="E876" s="115"/>
    </row>
    <row r="877" spans="1:5" ht="13">
      <c r="A877" s="115"/>
      <c r="B877" s="115"/>
      <c r="C877" s="115"/>
      <c r="D877" s="115"/>
      <c r="E877" s="115"/>
    </row>
    <row r="878" spans="1:5" ht="13">
      <c r="A878" s="115"/>
      <c r="B878" s="115"/>
      <c r="C878" s="115"/>
      <c r="D878" s="115"/>
      <c r="E878" s="115"/>
    </row>
    <row r="879" spans="1:5" ht="13">
      <c r="A879" s="115"/>
      <c r="B879" s="115"/>
      <c r="C879" s="115"/>
      <c r="D879" s="115"/>
      <c r="E879" s="115"/>
    </row>
    <row r="880" spans="1:5" ht="13">
      <c r="A880" s="115"/>
      <c r="B880" s="115"/>
      <c r="C880" s="115"/>
      <c r="D880" s="115"/>
      <c r="E880" s="115"/>
    </row>
    <row r="881" spans="1:5" ht="13">
      <c r="A881" s="115"/>
      <c r="B881" s="115"/>
      <c r="C881" s="115"/>
      <c r="D881" s="115"/>
      <c r="E881" s="115"/>
    </row>
    <row r="882" spans="1:5" ht="13">
      <c r="A882" s="115"/>
      <c r="B882" s="115"/>
      <c r="C882" s="115"/>
      <c r="D882" s="115"/>
      <c r="E882" s="115"/>
    </row>
    <row r="883" spans="1:5" ht="13">
      <c r="A883" s="115"/>
      <c r="B883" s="115"/>
      <c r="C883" s="115"/>
      <c r="D883" s="115"/>
      <c r="E883" s="115"/>
    </row>
    <row r="884" spans="1:5" ht="13">
      <c r="A884" s="115"/>
      <c r="B884" s="115"/>
      <c r="C884" s="115"/>
      <c r="D884" s="115"/>
      <c r="E884" s="115"/>
    </row>
    <row r="885" spans="1:5" ht="13">
      <c r="A885" s="115"/>
      <c r="B885" s="115"/>
      <c r="C885" s="115"/>
      <c r="D885" s="115"/>
      <c r="E885" s="115"/>
    </row>
    <row r="886" spans="1:5" ht="13">
      <c r="A886" s="115"/>
      <c r="B886" s="115"/>
      <c r="C886" s="115"/>
      <c r="D886" s="115"/>
      <c r="E886" s="115"/>
    </row>
    <row r="887" spans="1:5" ht="13">
      <c r="A887" s="115"/>
      <c r="B887" s="115"/>
      <c r="C887" s="115"/>
      <c r="D887" s="115"/>
      <c r="E887" s="115"/>
    </row>
    <row r="888" spans="1:5" ht="13">
      <c r="A888" s="115"/>
      <c r="B888" s="115"/>
      <c r="C888" s="115"/>
      <c r="D888" s="115"/>
      <c r="E888" s="115"/>
    </row>
    <row r="889" spans="1:5" ht="13">
      <c r="A889" s="115"/>
      <c r="B889" s="115"/>
      <c r="C889" s="115"/>
      <c r="D889" s="115"/>
      <c r="E889" s="115"/>
    </row>
    <row r="890" spans="1:5" ht="13">
      <c r="A890" s="115"/>
      <c r="B890" s="115"/>
      <c r="C890" s="115"/>
      <c r="D890" s="115"/>
      <c r="E890" s="115"/>
    </row>
    <row r="891" spans="1:5" ht="13">
      <c r="A891" s="115"/>
      <c r="B891" s="115"/>
      <c r="C891" s="115"/>
      <c r="D891" s="115"/>
      <c r="E891" s="115"/>
    </row>
    <row r="892" spans="1:5" ht="13">
      <c r="A892" s="115"/>
      <c r="B892" s="115"/>
      <c r="C892" s="115"/>
      <c r="D892" s="115"/>
      <c r="E892" s="115"/>
    </row>
    <row r="893" spans="1:5" ht="13">
      <c r="A893" s="115"/>
      <c r="B893" s="115"/>
      <c r="C893" s="115"/>
      <c r="D893" s="115"/>
      <c r="E893" s="115"/>
    </row>
    <row r="894" spans="1:5" ht="13">
      <c r="A894" s="115"/>
      <c r="B894" s="115"/>
      <c r="C894" s="115"/>
      <c r="D894" s="115"/>
      <c r="E894" s="115"/>
    </row>
    <row r="895" spans="1:5" ht="13">
      <c r="A895" s="115"/>
      <c r="B895" s="115"/>
      <c r="C895" s="115"/>
      <c r="D895" s="115"/>
      <c r="E895" s="115"/>
    </row>
    <row r="896" spans="1:5" ht="13">
      <c r="A896" s="115"/>
      <c r="B896" s="115"/>
      <c r="C896" s="115"/>
      <c r="D896" s="115"/>
      <c r="E896" s="115"/>
    </row>
    <row r="897" spans="1:5" ht="13">
      <c r="A897" s="115"/>
      <c r="B897" s="115"/>
      <c r="C897" s="115"/>
      <c r="D897" s="115"/>
      <c r="E897" s="115"/>
    </row>
    <row r="898" spans="1:5" ht="13">
      <c r="A898" s="115"/>
      <c r="B898" s="115"/>
      <c r="C898" s="115"/>
      <c r="D898" s="115"/>
      <c r="E898" s="115"/>
    </row>
    <row r="899" spans="1:5" ht="13">
      <c r="A899" s="115"/>
      <c r="B899" s="115"/>
      <c r="C899" s="115"/>
      <c r="D899" s="115"/>
      <c r="E899" s="115"/>
    </row>
    <row r="900" spans="1:5" ht="13">
      <c r="A900" s="115"/>
      <c r="B900" s="115"/>
      <c r="C900" s="115"/>
      <c r="D900" s="115"/>
      <c r="E900" s="115"/>
    </row>
    <row r="901" spans="1:5" ht="13">
      <c r="A901" s="115"/>
      <c r="B901" s="115"/>
      <c r="C901" s="115"/>
      <c r="D901" s="115"/>
      <c r="E901" s="115"/>
    </row>
    <row r="902" spans="1:5" ht="13">
      <c r="A902" s="115"/>
      <c r="B902" s="115"/>
      <c r="C902" s="115"/>
      <c r="D902" s="115"/>
      <c r="E902" s="115"/>
    </row>
    <row r="903" spans="1:5" ht="13">
      <c r="A903" s="115"/>
      <c r="B903" s="115"/>
      <c r="C903" s="115"/>
      <c r="D903" s="115"/>
      <c r="E903" s="115"/>
    </row>
    <row r="904" spans="1:5" ht="13">
      <c r="A904" s="115"/>
      <c r="B904" s="115"/>
      <c r="C904" s="115"/>
      <c r="D904" s="115"/>
      <c r="E904" s="115"/>
    </row>
    <row r="905" spans="1:5" ht="13">
      <c r="A905" s="115"/>
      <c r="B905" s="115"/>
      <c r="C905" s="115"/>
      <c r="D905" s="115"/>
      <c r="E905" s="115"/>
    </row>
    <row r="906" spans="1:5" ht="13">
      <c r="A906" s="115"/>
      <c r="B906" s="115"/>
      <c r="C906" s="115"/>
      <c r="D906" s="115"/>
      <c r="E906" s="115"/>
    </row>
    <row r="907" spans="1:5" ht="13">
      <c r="A907" s="115"/>
      <c r="B907" s="115"/>
      <c r="C907" s="115"/>
      <c r="D907" s="115"/>
      <c r="E907" s="115"/>
    </row>
    <row r="908" spans="1:5" ht="13">
      <c r="A908" s="115"/>
      <c r="B908" s="115"/>
      <c r="C908" s="115"/>
      <c r="D908" s="115"/>
      <c r="E908" s="115"/>
    </row>
    <row r="909" spans="1:5" ht="13">
      <c r="A909" s="115"/>
      <c r="B909" s="115"/>
      <c r="C909" s="115"/>
      <c r="D909" s="115"/>
      <c r="E909" s="115"/>
    </row>
    <row r="910" spans="1:5" ht="13">
      <c r="A910" s="115"/>
      <c r="B910" s="115"/>
      <c r="C910" s="115"/>
      <c r="D910" s="115"/>
      <c r="E910" s="115"/>
    </row>
    <row r="911" spans="1:5" ht="13">
      <c r="A911" s="115"/>
      <c r="B911" s="115"/>
      <c r="C911" s="115"/>
      <c r="D911" s="115"/>
      <c r="E911" s="115"/>
    </row>
    <row r="912" spans="1:5" ht="13">
      <c r="A912" s="115"/>
      <c r="B912" s="115"/>
      <c r="C912" s="115"/>
      <c r="D912" s="115"/>
      <c r="E912" s="115"/>
    </row>
    <row r="913" spans="1:5" ht="13">
      <c r="A913" s="115"/>
      <c r="B913" s="115"/>
      <c r="C913" s="115"/>
      <c r="D913" s="115"/>
      <c r="E913" s="115"/>
    </row>
    <row r="914" spans="1:5" ht="13">
      <c r="A914" s="115"/>
      <c r="B914" s="115"/>
      <c r="C914" s="115"/>
      <c r="D914" s="115"/>
      <c r="E914" s="115"/>
    </row>
    <row r="915" spans="1:5" ht="13">
      <c r="A915" s="115"/>
      <c r="B915" s="115"/>
      <c r="C915" s="115"/>
      <c r="D915" s="115"/>
      <c r="E915" s="115"/>
    </row>
    <row r="916" spans="1:5" ht="13">
      <c r="A916" s="115"/>
      <c r="B916" s="115"/>
      <c r="C916" s="115"/>
      <c r="D916" s="115"/>
      <c r="E916" s="115"/>
    </row>
    <row r="917" spans="1:5" ht="13">
      <c r="A917" s="115"/>
      <c r="B917" s="115"/>
      <c r="C917" s="115"/>
      <c r="D917" s="115"/>
      <c r="E917" s="115"/>
    </row>
    <row r="918" spans="1:5" ht="13">
      <c r="A918" s="115"/>
      <c r="B918" s="115"/>
      <c r="C918" s="115"/>
      <c r="D918" s="115"/>
      <c r="E918" s="115"/>
    </row>
    <row r="919" spans="1:5" ht="13">
      <c r="A919" s="115"/>
      <c r="B919" s="115"/>
      <c r="C919" s="115"/>
      <c r="D919" s="115"/>
      <c r="E919" s="115"/>
    </row>
    <row r="920" spans="1:5" ht="13">
      <c r="A920" s="115"/>
      <c r="B920" s="115"/>
      <c r="C920" s="115"/>
      <c r="D920" s="115"/>
      <c r="E920" s="115"/>
    </row>
    <row r="921" spans="1:5" ht="13">
      <c r="A921" s="115"/>
      <c r="B921" s="115"/>
      <c r="C921" s="115"/>
      <c r="D921" s="115"/>
      <c r="E921" s="115"/>
    </row>
    <row r="922" spans="1:5" ht="13">
      <c r="A922" s="115"/>
      <c r="B922" s="115"/>
      <c r="C922" s="115"/>
      <c r="D922" s="115"/>
      <c r="E922" s="115"/>
    </row>
    <row r="923" spans="1:5" ht="13">
      <c r="A923" s="115"/>
      <c r="B923" s="115"/>
      <c r="C923" s="115"/>
      <c r="D923" s="115"/>
      <c r="E923" s="115"/>
    </row>
    <row r="924" spans="1:5" ht="13">
      <c r="A924" s="115"/>
      <c r="B924" s="115"/>
      <c r="C924" s="115"/>
      <c r="D924" s="115"/>
      <c r="E924" s="115"/>
    </row>
    <row r="925" spans="1:5" ht="13">
      <c r="A925" s="115"/>
      <c r="B925" s="115"/>
      <c r="C925" s="115"/>
      <c r="D925" s="115"/>
      <c r="E925" s="115"/>
    </row>
    <row r="926" spans="1:5" ht="13">
      <c r="A926" s="115"/>
      <c r="B926" s="115"/>
      <c r="C926" s="115"/>
      <c r="D926" s="115"/>
      <c r="E926" s="115"/>
    </row>
    <row r="927" spans="1:5" ht="13">
      <c r="A927" s="115"/>
      <c r="B927" s="115"/>
      <c r="C927" s="115"/>
      <c r="D927" s="115"/>
      <c r="E927" s="115"/>
    </row>
    <row r="928" spans="1:5" ht="13">
      <c r="A928" s="115"/>
      <c r="B928" s="115"/>
      <c r="C928" s="115"/>
      <c r="D928" s="115"/>
      <c r="E928" s="115"/>
    </row>
    <row r="929" spans="1:5" ht="13">
      <c r="A929" s="115"/>
      <c r="B929" s="115"/>
      <c r="C929" s="115"/>
      <c r="D929" s="115"/>
      <c r="E929" s="115"/>
    </row>
    <row r="930" spans="1:5" ht="13">
      <c r="A930" s="115"/>
      <c r="B930" s="115"/>
      <c r="C930" s="115"/>
      <c r="D930" s="115"/>
      <c r="E930" s="115"/>
    </row>
    <row r="931" spans="1:5" ht="13">
      <c r="A931" s="115"/>
      <c r="B931" s="115"/>
      <c r="C931" s="115"/>
      <c r="D931" s="115"/>
      <c r="E931" s="115"/>
    </row>
    <row r="932" spans="1:5" ht="13">
      <c r="A932" s="115"/>
      <c r="B932" s="115"/>
      <c r="C932" s="115"/>
      <c r="D932" s="115"/>
      <c r="E932" s="115"/>
    </row>
    <row r="933" spans="1:5" ht="13">
      <c r="A933" s="115"/>
      <c r="B933" s="115"/>
      <c r="C933" s="115"/>
      <c r="D933" s="115"/>
      <c r="E933" s="115"/>
    </row>
    <row r="934" spans="1:5" ht="13">
      <c r="A934" s="115"/>
      <c r="B934" s="115"/>
      <c r="C934" s="115"/>
      <c r="D934" s="115"/>
      <c r="E934" s="115"/>
    </row>
    <row r="935" spans="1:5" ht="13">
      <c r="A935" s="115"/>
      <c r="B935" s="115"/>
      <c r="C935" s="115"/>
      <c r="D935" s="115"/>
      <c r="E935" s="115"/>
    </row>
    <row r="936" spans="1:5" ht="13">
      <c r="A936" s="115"/>
      <c r="B936" s="115"/>
      <c r="C936" s="115"/>
      <c r="D936" s="115"/>
      <c r="E936" s="115"/>
    </row>
    <row r="937" spans="1:5" ht="13">
      <c r="A937" s="115"/>
      <c r="B937" s="115"/>
      <c r="C937" s="115"/>
      <c r="D937" s="115"/>
      <c r="E937" s="115"/>
    </row>
    <row r="938" spans="1:5" ht="13">
      <c r="A938" s="115"/>
      <c r="B938" s="115"/>
      <c r="C938" s="115"/>
      <c r="D938" s="115"/>
      <c r="E938" s="115"/>
    </row>
    <row r="939" spans="1:5" ht="13">
      <c r="A939" s="115"/>
      <c r="B939" s="115"/>
      <c r="C939" s="115"/>
      <c r="D939" s="115"/>
      <c r="E939" s="115"/>
    </row>
    <row r="940" spans="1:5" ht="13">
      <c r="A940" s="115"/>
      <c r="B940" s="115"/>
      <c r="C940" s="115"/>
      <c r="D940" s="115"/>
      <c r="E940" s="115"/>
    </row>
    <row r="941" spans="1:5" ht="13">
      <c r="A941" s="115"/>
      <c r="B941" s="115"/>
      <c r="C941" s="115"/>
      <c r="D941" s="115"/>
      <c r="E941" s="115"/>
    </row>
    <row r="942" spans="1:5" ht="13">
      <c r="A942" s="115"/>
      <c r="B942" s="115"/>
      <c r="C942" s="115"/>
      <c r="D942" s="115"/>
      <c r="E942" s="115"/>
    </row>
    <row r="943" spans="1:5" ht="13">
      <c r="A943" s="115"/>
      <c r="B943" s="115"/>
      <c r="C943" s="115"/>
      <c r="D943" s="115"/>
      <c r="E943" s="115"/>
    </row>
    <row r="944" spans="1:5" ht="13">
      <c r="A944" s="115"/>
      <c r="B944" s="115"/>
      <c r="C944" s="115"/>
      <c r="D944" s="115"/>
      <c r="E944" s="115"/>
    </row>
    <row r="945" spans="1:5" ht="13">
      <c r="A945" s="115"/>
      <c r="B945" s="115"/>
      <c r="C945" s="115"/>
      <c r="D945" s="115"/>
      <c r="E945" s="115"/>
    </row>
    <row r="946" spans="1:5" ht="13">
      <c r="A946" s="115"/>
      <c r="B946" s="115"/>
      <c r="C946" s="115"/>
      <c r="D946" s="115"/>
      <c r="E946" s="115"/>
    </row>
    <row r="947" spans="1:5" ht="13">
      <c r="A947" s="115"/>
      <c r="B947" s="115"/>
      <c r="C947" s="115"/>
      <c r="D947" s="115"/>
      <c r="E947" s="115"/>
    </row>
    <row r="948" spans="1:5" ht="13">
      <c r="A948" s="115"/>
      <c r="B948" s="115"/>
      <c r="C948" s="115"/>
      <c r="D948" s="115"/>
      <c r="E948" s="115"/>
    </row>
    <row r="949" spans="1:5" ht="13">
      <c r="A949" s="115"/>
      <c r="B949" s="115"/>
      <c r="C949" s="115"/>
      <c r="D949" s="115"/>
      <c r="E949" s="115"/>
    </row>
    <row r="950" spans="1:5" ht="13">
      <c r="A950" s="115"/>
      <c r="B950" s="115"/>
      <c r="C950" s="115"/>
      <c r="D950" s="115"/>
      <c r="E950" s="115"/>
    </row>
    <row r="951" spans="1:5" ht="13">
      <c r="A951" s="115"/>
      <c r="B951" s="115"/>
      <c r="C951" s="115"/>
      <c r="D951" s="115"/>
      <c r="E951" s="115"/>
    </row>
    <row r="952" spans="1:5" ht="13">
      <c r="A952" s="115"/>
      <c r="B952" s="115"/>
      <c r="C952" s="115"/>
      <c r="D952" s="115"/>
      <c r="E952" s="115"/>
    </row>
    <row r="953" spans="1:5" ht="13">
      <c r="A953" s="115"/>
      <c r="B953" s="115"/>
      <c r="C953" s="115"/>
      <c r="D953" s="115"/>
      <c r="E953" s="115"/>
    </row>
    <row r="954" spans="1:5" ht="13">
      <c r="A954" s="115"/>
      <c r="B954" s="115"/>
      <c r="C954" s="115"/>
      <c r="D954" s="115"/>
      <c r="E954" s="115"/>
    </row>
    <row r="955" spans="1:5" ht="13">
      <c r="A955" s="115"/>
      <c r="B955" s="115"/>
      <c r="C955" s="115"/>
      <c r="D955" s="115"/>
      <c r="E955" s="115"/>
    </row>
    <row r="956" spans="1:5" ht="13">
      <c r="A956" s="115"/>
      <c r="B956" s="115"/>
      <c r="C956" s="115"/>
      <c r="D956" s="115"/>
      <c r="E956" s="115"/>
    </row>
    <row r="957" spans="1:5" ht="13">
      <c r="A957" s="115"/>
      <c r="B957" s="115"/>
      <c r="C957" s="115"/>
      <c r="D957" s="115"/>
      <c r="E957" s="115"/>
    </row>
    <row r="958" spans="1:5" ht="13">
      <c r="A958" s="115"/>
      <c r="B958" s="115"/>
      <c r="C958" s="115"/>
      <c r="D958" s="115"/>
      <c r="E958" s="115"/>
    </row>
    <row r="959" spans="1:5" ht="13">
      <c r="A959" s="115"/>
      <c r="B959" s="115"/>
      <c r="C959" s="115"/>
      <c r="D959" s="115"/>
      <c r="E959" s="115"/>
    </row>
    <row r="960" spans="1:5" ht="13">
      <c r="A960" s="115"/>
      <c r="B960" s="115"/>
      <c r="C960" s="115"/>
      <c r="D960" s="115"/>
      <c r="E960" s="115"/>
    </row>
    <row r="961" spans="1:5" ht="13">
      <c r="A961" s="115"/>
      <c r="B961" s="115"/>
      <c r="C961" s="115"/>
      <c r="D961" s="115"/>
      <c r="E961" s="115"/>
    </row>
    <row r="962" spans="1:5" ht="13">
      <c r="A962" s="115"/>
      <c r="B962" s="115"/>
      <c r="C962" s="115"/>
      <c r="D962" s="115"/>
      <c r="E962" s="115"/>
    </row>
    <row r="963" spans="1:5" ht="13">
      <c r="A963" s="115"/>
      <c r="B963" s="115"/>
      <c r="C963" s="115"/>
      <c r="D963" s="115"/>
      <c r="E963" s="115"/>
    </row>
    <row r="964" spans="1:5" ht="13">
      <c r="A964" s="115"/>
      <c r="B964" s="115"/>
      <c r="C964" s="115"/>
      <c r="D964" s="115"/>
      <c r="E964" s="115"/>
    </row>
    <row r="965" spans="1:5" ht="13">
      <c r="A965" s="115"/>
      <c r="B965" s="115"/>
      <c r="C965" s="115"/>
      <c r="D965" s="115"/>
      <c r="E965" s="115"/>
    </row>
    <row r="966" spans="1:5" ht="13">
      <c r="A966" s="115"/>
      <c r="B966" s="115"/>
      <c r="C966" s="115"/>
      <c r="D966" s="115"/>
      <c r="E966" s="115"/>
    </row>
    <row r="967" spans="1:5" ht="13">
      <c r="A967" s="115"/>
      <c r="B967" s="115"/>
      <c r="C967" s="115"/>
      <c r="D967" s="115"/>
      <c r="E967" s="115"/>
    </row>
    <row r="968" spans="1:5" ht="13">
      <c r="A968" s="115"/>
      <c r="B968" s="115"/>
      <c r="C968" s="115"/>
      <c r="D968" s="115"/>
      <c r="E968" s="115"/>
    </row>
    <row r="969" spans="1:5" ht="13">
      <c r="A969" s="115"/>
      <c r="B969" s="115"/>
      <c r="C969" s="115"/>
      <c r="D969" s="115"/>
      <c r="E969" s="115"/>
    </row>
    <row r="970" spans="1:5" ht="13">
      <c r="A970" s="115"/>
      <c r="B970" s="115"/>
      <c r="C970" s="115"/>
      <c r="D970" s="115"/>
      <c r="E970" s="115"/>
    </row>
    <row r="971" spans="1:5" ht="13">
      <c r="A971" s="115"/>
      <c r="B971" s="115"/>
      <c r="C971" s="115"/>
      <c r="D971" s="115"/>
      <c r="E971" s="115"/>
    </row>
    <row r="972" spans="1:5" ht="13">
      <c r="A972" s="115"/>
      <c r="B972" s="115"/>
      <c r="C972" s="115"/>
      <c r="D972" s="115"/>
      <c r="E972" s="115"/>
    </row>
    <row r="973" spans="1:5" ht="13">
      <c r="A973" s="115"/>
      <c r="B973" s="115"/>
      <c r="C973" s="115"/>
      <c r="D973" s="115"/>
      <c r="E973" s="115"/>
    </row>
    <row r="974" spans="1:5" ht="13">
      <c r="A974" s="115"/>
      <c r="B974" s="115"/>
      <c r="C974" s="115"/>
      <c r="D974" s="115"/>
      <c r="E974" s="115"/>
    </row>
    <row r="975" spans="1:5" ht="13">
      <c r="A975" s="115"/>
      <c r="B975" s="115"/>
      <c r="C975" s="115"/>
      <c r="D975" s="115"/>
      <c r="E975" s="115"/>
    </row>
    <row r="976" spans="1:5" ht="13">
      <c r="A976" s="115"/>
      <c r="B976" s="115"/>
      <c r="C976" s="115"/>
      <c r="D976" s="115"/>
      <c r="E976" s="115"/>
    </row>
    <row r="977" spans="1:5" ht="13">
      <c r="A977" s="115"/>
      <c r="B977" s="115"/>
      <c r="C977" s="115"/>
      <c r="D977" s="115"/>
      <c r="E977" s="115"/>
    </row>
    <row r="978" spans="1:5" ht="13">
      <c r="A978" s="115"/>
      <c r="B978" s="115"/>
      <c r="C978" s="115"/>
      <c r="D978" s="115"/>
      <c r="E978" s="115"/>
    </row>
    <row r="979" spans="1:5" ht="13">
      <c r="A979" s="115"/>
      <c r="B979" s="115"/>
      <c r="C979" s="115"/>
      <c r="D979" s="115"/>
      <c r="E979" s="115"/>
    </row>
    <row r="980" spans="1:5" ht="13">
      <c r="A980" s="115"/>
      <c r="B980" s="115"/>
      <c r="C980" s="115"/>
      <c r="D980" s="115"/>
      <c r="E980" s="115"/>
    </row>
    <row r="981" spans="1:5" ht="13">
      <c r="A981" s="115"/>
      <c r="B981" s="115"/>
      <c r="C981" s="115"/>
      <c r="D981" s="115"/>
      <c r="E981" s="115"/>
    </row>
    <row r="982" spans="1:5" ht="13">
      <c r="A982" s="115"/>
      <c r="B982" s="115"/>
      <c r="C982" s="115"/>
      <c r="D982" s="115"/>
      <c r="E982" s="115"/>
    </row>
    <row r="983" spans="1:5" ht="13">
      <c r="A983" s="115"/>
      <c r="B983" s="115"/>
      <c r="C983" s="115"/>
      <c r="D983" s="115"/>
      <c r="E983" s="115"/>
    </row>
    <row r="984" spans="1:5" ht="13">
      <c r="A984" s="115"/>
      <c r="B984" s="115"/>
      <c r="C984" s="115"/>
      <c r="D984" s="115"/>
      <c r="E984" s="115"/>
    </row>
    <row r="985" spans="1:5" ht="13">
      <c r="A985" s="115"/>
      <c r="B985" s="115"/>
      <c r="C985" s="115"/>
      <c r="D985" s="115"/>
      <c r="E985" s="115"/>
    </row>
    <row r="986" spans="1:5" ht="13">
      <c r="A986" s="115"/>
      <c r="B986" s="115"/>
      <c r="C986" s="115"/>
      <c r="D986" s="115"/>
      <c r="E986" s="115"/>
    </row>
    <row r="987" spans="1:5" ht="13">
      <c r="A987" s="115"/>
      <c r="B987" s="115"/>
      <c r="C987" s="115"/>
      <c r="D987" s="115"/>
      <c r="E987" s="115"/>
    </row>
    <row r="988" spans="1:5" ht="13">
      <c r="A988" s="115"/>
      <c r="B988" s="115"/>
      <c r="C988" s="115"/>
      <c r="D988" s="115"/>
      <c r="E988" s="115"/>
    </row>
    <row r="989" spans="1:5" ht="13">
      <c r="A989" s="115"/>
      <c r="B989" s="115"/>
      <c r="C989" s="115"/>
      <c r="D989" s="115"/>
      <c r="E989" s="115"/>
    </row>
    <row r="990" spans="1:5" ht="13">
      <c r="A990" s="115"/>
      <c r="B990" s="115"/>
      <c r="C990" s="115"/>
      <c r="D990" s="115"/>
      <c r="E990" s="115"/>
    </row>
    <row r="991" spans="1:5" ht="13">
      <c r="A991" s="115"/>
      <c r="B991" s="115"/>
      <c r="C991" s="115"/>
      <c r="D991" s="115"/>
      <c r="E991" s="115"/>
    </row>
    <row r="992" spans="1:5" ht="13">
      <c r="A992" s="115"/>
      <c r="B992" s="115"/>
      <c r="C992" s="115"/>
      <c r="D992" s="115"/>
      <c r="E992" s="115"/>
    </row>
    <row r="993" spans="1:5" ht="13">
      <c r="A993" s="115"/>
      <c r="B993" s="115"/>
      <c r="C993" s="115"/>
      <c r="D993" s="115"/>
      <c r="E993" s="115"/>
    </row>
    <row r="994" spans="1:5" ht="13">
      <c r="A994" s="115"/>
      <c r="B994" s="115"/>
      <c r="C994" s="115"/>
      <c r="D994" s="115"/>
      <c r="E994" s="115"/>
    </row>
    <row r="995" spans="1:5" ht="13">
      <c r="A995" s="115"/>
      <c r="B995" s="115"/>
      <c r="C995" s="115"/>
      <c r="D995" s="115"/>
      <c r="E995" s="115"/>
    </row>
    <row r="996" spans="1:5" ht="13">
      <c r="A996" s="115"/>
      <c r="B996" s="115"/>
      <c r="C996" s="115"/>
      <c r="D996" s="115"/>
      <c r="E996" s="115"/>
    </row>
    <row r="997" spans="1:5" ht="13">
      <c r="A997" s="115"/>
      <c r="B997" s="115"/>
      <c r="C997" s="115"/>
      <c r="D997" s="115"/>
      <c r="E997" s="115"/>
    </row>
    <row r="998" spans="1:5" ht="13">
      <c r="A998" s="115"/>
      <c r="B998" s="115"/>
      <c r="C998" s="115"/>
      <c r="D998" s="115"/>
      <c r="E998" s="115"/>
    </row>
    <row r="999" spans="1:5" ht="13">
      <c r="A999" s="115"/>
      <c r="B999" s="115"/>
      <c r="C999" s="115"/>
      <c r="D999" s="115"/>
      <c r="E999" s="115"/>
    </row>
    <row r="1000" spans="1:5" ht="13">
      <c r="A1000" s="115"/>
      <c r="B1000" s="115"/>
      <c r="C1000" s="115"/>
      <c r="D1000" s="115"/>
      <c r="E1000" s="115"/>
    </row>
    <row r="1001" spans="1:5" ht="13">
      <c r="A1001" s="115"/>
      <c r="B1001" s="115"/>
      <c r="C1001" s="115"/>
      <c r="D1001" s="115"/>
      <c r="E1001" s="115"/>
    </row>
    <row r="1002" spans="1:5" ht="13">
      <c r="A1002" s="115"/>
      <c r="B1002" s="115"/>
      <c r="C1002" s="115"/>
      <c r="D1002" s="115"/>
      <c r="E1002" s="115"/>
    </row>
    <row r="1003" spans="1:5" ht="13">
      <c r="A1003" s="115"/>
      <c r="B1003" s="115"/>
      <c r="C1003" s="115"/>
      <c r="D1003" s="115"/>
      <c r="E1003" s="115"/>
    </row>
    <row r="1004" spans="1:5" ht="13">
      <c r="A1004" s="115"/>
      <c r="B1004" s="115"/>
      <c r="C1004" s="115"/>
      <c r="D1004" s="115"/>
      <c r="E1004" s="115"/>
    </row>
    <row r="1005" spans="1:5" ht="13">
      <c r="A1005" s="115"/>
      <c r="B1005" s="115"/>
      <c r="C1005" s="115"/>
      <c r="D1005" s="115"/>
      <c r="E1005" s="115"/>
    </row>
    <row r="1006" spans="1:5" ht="13">
      <c r="A1006" s="115"/>
      <c r="B1006" s="115"/>
      <c r="C1006" s="115"/>
      <c r="D1006" s="115"/>
      <c r="E1006" s="115"/>
    </row>
    <row r="1007" spans="1:5" ht="13">
      <c r="A1007" s="115"/>
      <c r="B1007" s="115"/>
      <c r="C1007" s="115"/>
      <c r="D1007" s="115"/>
      <c r="E1007" s="115"/>
    </row>
    <row r="1008" spans="1:5" ht="13">
      <c r="A1008" s="115"/>
      <c r="B1008" s="115"/>
      <c r="C1008" s="115"/>
      <c r="D1008" s="115"/>
      <c r="E1008" s="115"/>
    </row>
    <row r="1009" spans="1:5" ht="13">
      <c r="A1009" s="115"/>
      <c r="B1009" s="115"/>
      <c r="C1009" s="115"/>
      <c r="D1009" s="115"/>
      <c r="E1009" s="115"/>
    </row>
  </sheetData>
  <autoFilter ref="C4:FI43" xr:uid="{00000000-0009-0000-0000-000007000000}"/>
  <customSheetViews>
    <customSheetView guid="{AE1E0116-B636-48E1-8BE2-7262C22B7E03}" filter="1" showAutoFilter="1">
      <pageMargins left="0.7" right="0.7" top="0.75" bottom="0.75" header="0.3" footer="0.3"/>
      <autoFilter ref="C4:FI43" xr:uid="{822C84A3-F5E5-3E49-8222-3319EE3CD75F}"/>
    </customSheetView>
    <customSheetView guid="{7D8B863A-66D0-4125-B256-685BA0F9E9E4}" filter="1" showAutoFilter="1">
      <pageMargins left="0.7" right="0.7" top="0.75" bottom="0.75" header="0.3" footer="0.3"/>
      <autoFilter ref="C4:FI43" xr:uid="{3264907C-F795-0340-ABD5-10C68FED2F20}"/>
    </customSheetView>
  </customSheetViews>
  <mergeCells count="2">
    <mergeCell ref="F3:P3"/>
    <mergeCell ref="T3:AV3"/>
  </mergeCells>
  <hyperlinks>
    <hyperlink ref="C1" r:id="rId1" xr:uid="{00000000-0004-0000-0700-000000000000}"/>
  </hyperlinks>
  <printOptions horizontalCentered="1" gridLines="1"/>
  <pageMargins left="0.7" right="0.7" top="0.75" bottom="0.75" header="0" footer="0"/>
  <pageSetup fitToHeight="0" pageOrder="overThenDown" orientation="landscape" cellComments="atEnd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GG822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baseColWidth="10" defaultColWidth="14.5" defaultRowHeight="15.75" customHeight="1" outlineLevelCol="1"/>
  <cols>
    <col min="1" max="1" width="9.5" customWidth="1" outlineLevel="1"/>
    <col min="2" max="2" width="11" customWidth="1"/>
    <col min="3" max="3" width="7.6640625" customWidth="1"/>
    <col min="4" max="4" width="9.5" customWidth="1"/>
    <col min="5" max="5" width="10.5" customWidth="1" collapsed="1"/>
    <col min="6" max="6" width="9.6640625" hidden="1" customWidth="1" outlineLevel="1"/>
    <col min="7" max="16" width="14.5" hidden="1" outlineLevel="1"/>
    <col min="17" max="18" width="4.1640625" customWidth="1"/>
    <col min="19" max="19" width="4.1640625" customWidth="1" collapsed="1"/>
    <col min="20" max="48" width="8.5" hidden="1" customWidth="1" outlineLevel="1"/>
    <col min="49" max="49" width="7.83203125" customWidth="1"/>
    <col min="51" max="55" width="2.5" customWidth="1"/>
    <col min="56" max="56" width="8.33203125" customWidth="1"/>
    <col min="57" max="59" width="9.6640625" customWidth="1"/>
    <col min="60" max="62" width="6.6640625" customWidth="1"/>
    <col min="63" max="63" width="7.83203125" customWidth="1"/>
    <col min="64" max="64" width="6.6640625" customWidth="1"/>
    <col min="65" max="65" width="11.1640625" customWidth="1"/>
    <col min="66" max="71" width="10.1640625" customWidth="1"/>
    <col min="72" max="72" width="2.83203125" customWidth="1"/>
    <col min="73" max="73" width="10.1640625" customWidth="1"/>
    <col min="74" max="74" width="6.83203125" customWidth="1"/>
    <col min="75" max="76" width="10.1640625" customWidth="1"/>
    <col min="77" max="77" width="2.83203125" customWidth="1"/>
    <col min="78" max="78" width="7.5" customWidth="1"/>
    <col min="79" max="79" width="8.33203125" customWidth="1"/>
    <col min="80" max="81" width="7.5" customWidth="1"/>
    <col min="82" max="82" width="9.1640625" customWidth="1"/>
    <col min="83" max="83" width="9.33203125" customWidth="1"/>
    <col min="84" max="84" width="3.5" customWidth="1"/>
    <col min="85" max="85" width="9.33203125" customWidth="1"/>
    <col min="86" max="88" width="10.1640625" customWidth="1"/>
    <col min="89" max="89" width="3.1640625" customWidth="1"/>
    <col min="90" max="90" width="11.5" customWidth="1"/>
    <col min="91" max="91" width="16.5" customWidth="1"/>
    <col min="93" max="93" width="10.5" customWidth="1"/>
    <col min="94" max="97" width="7.6640625" customWidth="1"/>
    <col min="98" max="114" width="10" customWidth="1"/>
    <col min="115" max="115" width="3.1640625" customWidth="1"/>
    <col min="116" max="133" width="9.5" customWidth="1"/>
    <col min="134" max="134" width="10.33203125" customWidth="1"/>
    <col min="135" max="135" width="10.6640625" customWidth="1"/>
    <col min="136" max="136" width="10.5" customWidth="1"/>
    <col min="137" max="140" width="11.5" customWidth="1"/>
    <col min="141" max="141" width="9.5" customWidth="1"/>
    <col min="142" max="142" width="3" customWidth="1"/>
    <col min="143" max="144" width="11.5" customWidth="1"/>
    <col min="145" max="145" width="13.33203125" customWidth="1"/>
    <col min="146" max="146" width="2.5" customWidth="1"/>
    <col min="147" max="150" width="11.5" customWidth="1"/>
    <col min="151" max="151" width="8.83203125" customWidth="1"/>
    <col min="152" max="152" width="8.5" customWidth="1"/>
    <col min="153" max="153" width="3.1640625" customWidth="1"/>
    <col min="154" max="158" width="11.5" customWidth="1"/>
    <col min="159" max="159" width="3.83203125" customWidth="1"/>
  </cols>
  <sheetData>
    <row r="1" spans="1:189" ht="71">
      <c r="A1" s="238" t="s">
        <v>308</v>
      </c>
      <c r="E1" s="153"/>
      <c r="F1" s="64" t="s">
        <v>65</v>
      </c>
      <c r="G1" s="44" t="s">
        <v>66</v>
      </c>
      <c r="H1" s="44" t="s">
        <v>67</v>
      </c>
      <c r="I1" s="44" t="s">
        <v>68</v>
      </c>
      <c r="J1" s="44" t="s">
        <v>69</v>
      </c>
      <c r="K1" s="44" t="s">
        <v>97</v>
      </c>
      <c r="L1" s="44" t="s">
        <v>98</v>
      </c>
      <c r="M1" s="44" t="s">
        <v>72</v>
      </c>
      <c r="N1" s="44" t="s">
        <v>73</v>
      </c>
      <c r="O1" s="43" t="s">
        <v>74</v>
      </c>
      <c r="P1" s="43" t="s">
        <v>75</v>
      </c>
      <c r="T1" s="153"/>
      <c r="AY1" s="65"/>
      <c r="AZ1" s="3"/>
      <c r="BA1" s="3"/>
      <c r="BC1" s="3"/>
      <c r="BD1" s="29"/>
      <c r="BE1" s="31"/>
      <c r="BF1" s="29"/>
      <c r="BG1" s="31"/>
      <c r="BH1" s="31"/>
      <c r="BI1" s="116"/>
      <c r="BL1" s="196"/>
      <c r="BM1" s="239"/>
      <c r="BN1" s="240" t="s">
        <v>191</v>
      </c>
      <c r="BP1" s="240" t="s">
        <v>193</v>
      </c>
      <c r="BR1" s="116"/>
      <c r="BS1" s="116"/>
      <c r="BU1" s="241" t="s">
        <v>191</v>
      </c>
      <c r="BW1" s="116"/>
      <c r="BX1" s="116"/>
      <c r="BZ1" s="240" t="s">
        <v>191</v>
      </c>
      <c r="CB1" s="240" t="s">
        <v>193</v>
      </c>
      <c r="CC1" s="116"/>
      <c r="CG1" s="242"/>
      <c r="CH1" s="116"/>
      <c r="CI1" s="116"/>
      <c r="CJ1" s="116"/>
      <c r="CL1" s="116"/>
      <c r="CN1" s="239"/>
      <c r="CO1" s="243" t="s">
        <v>194</v>
      </c>
      <c r="CP1" s="3"/>
      <c r="CQ1" s="3"/>
      <c r="CR1" s="3"/>
      <c r="CS1" s="73"/>
      <c r="CT1" s="73"/>
      <c r="CU1" s="73"/>
      <c r="CW1" s="155"/>
      <c r="CX1" s="156"/>
      <c r="CY1" s="157" t="s">
        <v>195</v>
      </c>
      <c r="CZ1" s="156"/>
      <c r="DA1" s="156"/>
      <c r="DB1" s="156"/>
      <c r="DC1" s="156"/>
      <c r="DD1" s="156"/>
      <c r="DE1" s="156"/>
      <c r="DF1" s="156"/>
      <c r="DI1" s="73" t="s">
        <v>196</v>
      </c>
      <c r="DJ1" s="8">
        <v>0</v>
      </c>
      <c r="DK1" s="3"/>
      <c r="DL1" s="244" t="s">
        <v>191</v>
      </c>
      <c r="DM1" s="116"/>
      <c r="DN1" s="116"/>
      <c r="DO1" s="116"/>
      <c r="DP1" s="116"/>
      <c r="DQ1" s="116"/>
      <c r="DR1" s="116"/>
      <c r="DS1" s="116"/>
      <c r="DT1" s="116"/>
      <c r="DU1" s="116"/>
      <c r="DV1" s="116"/>
      <c r="DW1" s="116"/>
      <c r="DX1" s="219"/>
      <c r="DY1" s="219"/>
      <c r="DZ1" s="116"/>
      <c r="EA1" s="116"/>
      <c r="EB1" s="131" t="s">
        <v>191</v>
      </c>
      <c r="EC1" s="116"/>
      <c r="ED1" s="116"/>
      <c r="EE1" s="3"/>
      <c r="EF1" s="245"/>
      <c r="EG1" s="137">
        <v>2</v>
      </c>
      <c r="EH1" s="137"/>
      <c r="EI1" s="137"/>
      <c r="EJ1" s="131">
        <v>0.5</v>
      </c>
      <c r="EK1" s="116"/>
      <c r="EM1" s="116"/>
      <c r="EN1" s="116"/>
      <c r="EO1" s="116"/>
      <c r="EQ1" s="116"/>
      <c r="ER1" s="116"/>
      <c r="ES1" s="116"/>
      <c r="ET1" s="116"/>
      <c r="EU1" s="116"/>
      <c r="EV1" s="116"/>
      <c r="EX1" s="116"/>
      <c r="EY1" s="116"/>
      <c r="EZ1" s="116"/>
      <c r="FA1" s="116"/>
      <c r="FB1" s="116"/>
      <c r="GC1" s="52"/>
    </row>
    <row r="2" spans="1:189" ht="13">
      <c r="A2" s="10">
        <f>IF(HistSecRecord!$E$1&gt;=E2,1,0)</f>
        <v>1</v>
      </c>
      <c r="B2" s="66"/>
      <c r="C2" s="66"/>
      <c r="D2" s="66"/>
      <c r="E2" s="246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T2" s="247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9"/>
      <c r="AY2" s="65"/>
      <c r="AZ2" s="3"/>
      <c r="BA2" s="3"/>
      <c r="BD2" s="29"/>
      <c r="BE2" s="29"/>
      <c r="BF2" s="29"/>
      <c r="BG2" s="29"/>
      <c r="BH2" s="29"/>
      <c r="BI2" s="116"/>
      <c r="BL2" s="196"/>
      <c r="BM2" s="239"/>
      <c r="BN2" s="248"/>
      <c r="BO2" s="82"/>
      <c r="BP2" s="248"/>
      <c r="BQ2" s="82"/>
      <c r="BR2" s="249"/>
      <c r="BS2" s="249"/>
      <c r="BT2" s="82"/>
      <c r="BU2" s="250"/>
      <c r="BV2" s="110"/>
      <c r="BW2" s="251"/>
      <c r="BX2" s="251"/>
      <c r="BY2" s="110"/>
      <c r="BZ2" s="252"/>
      <c r="CA2" s="54"/>
      <c r="CB2" s="252"/>
      <c r="CC2" s="253"/>
      <c r="CD2" s="54"/>
      <c r="CE2" s="54"/>
      <c r="CF2" s="54"/>
      <c r="CG2" s="254"/>
      <c r="CH2" s="255"/>
      <c r="CI2" s="255"/>
      <c r="CJ2" s="255"/>
      <c r="CK2" s="85"/>
      <c r="CL2" s="137"/>
      <c r="CN2" s="239"/>
      <c r="CO2" s="243" t="str">
        <f>ADDRESS(1,COLUMN(BQ4))</f>
        <v>$BQ$1</v>
      </c>
      <c r="CP2" s="3" t="str">
        <f>ADDRESS(1,COLUMN(BV4))</f>
        <v>$BV$1</v>
      </c>
      <c r="CQ2" s="3" t="str">
        <f>ADDRESS(1,COLUMN(CC4))</f>
        <v>$CC$1</v>
      </c>
      <c r="CR2" s="3" t="str">
        <f>ADDRESS(1,COLUMN(CJ4))</f>
        <v>$CJ$1</v>
      </c>
      <c r="DB2" s="160" t="s">
        <v>199</v>
      </c>
      <c r="DC2" s="161"/>
      <c r="DD2" s="161"/>
      <c r="DE2" s="161"/>
      <c r="DK2" s="3"/>
      <c r="DL2" s="28"/>
      <c r="DM2" s="137"/>
      <c r="DN2" s="137"/>
      <c r="DO2" s="116"/>
      <c r="DP2" s="116"/>
      <c r="DQ2" s="116"/>
      <c r="DR2" s="116"/>
      <c r="DS2" s="116"/>
      <c r="DT2" s="137"/>
      <c r="DU2" s="137"/>
      <c r="DV2" s="137"/>
      <c r="DW2" s="116"/>
      <c r="DX2" s="219"/>
      <c r="DY2" s="219"/>
      <c r="DZ2" s="116"/>
      <c r="EA2" s="116"/>
      <c r="EB2" s="116"/>
      <c r="EC2" s="116"/>
      <c r="ED2" s="116"/>
      <c r="EE2" s="3"/>
      <c r="EF2" s="245"/>
      <c r="EG2" s="256" t="s">
        <v>203</v>
      </c>
      <c r="EH2" s="257"/>
      <c r="EI2" s="257"/>
      <c r="EJ2" s="257"/>
      <c r="EK2" s="257"/>
      <c r="EL2" s="161"/>
      <c r="EM2" s="257"/>
      <c r="EN2" s="257"/>
      <c r="EO2" s="116"/>
      <c r="EQ2" s="116"/>
      <c r="ER2" s="116"/>
      <c r="ES2" s="116"/>
      <c r="ET2" s="116"/>
      <c r="EU2" s="116"/>
      <c r="EV2" s="159">
        <v>0.5</v>
      </c>
      <c r="EX2" s="116"/>
      <c r="EY2" s="116"/>
      <c r="EZ2" s="116"/>
      <c r="FA2" s="116"/>
      <c r="FB2" s="116"/>
      <c r="GA2" s="52"/>
      <c r="GB2" s="52"/>
      <c r="GC2" s="52"/>
      <c r="GD2" s="52"/>
      <c r="GE2" s="52"/>
      <c r="GF2" s="52"/>
      <c r="GG2" s="52"/>
    </row>
    <row r="3" spans="1:189" ht="13">
      <c r="A3" s="66"/>
      <c r="B3" s="66"/>
      <c r="C3" s="66"/>
      <c r="D3" s="66"/>
      <c r="E3" s="246"/>
      <c r="F3" s="483" t="s">
        <v>99</v>
      </c>
      <c r="G3" s="484"/>
      <c r="H3" s="484"/>
      <c r="I3" s="484"/>
      <c r="J3" s="484"/>
      <c r="K3" s="484"/>
      <c r="L3" s="484"/>
      <c r="M3" s="484"/>
      <c r="N3" s="484"/>
      <c r="O3" s="484"/>
      <c r="P3" s="485"/>
      <c r="T3" s="488" t="s">
        <v>100</v>
      </c>
      <c r="U3" s="487"/>
      <c r="V3" s="487"/>
      <c r="W3" s="487"/>
      <c r="X3" s="487"/>
      <c r="Y3" s="487"/>
      <c r="Z3" s="487"/>
      <c r="AA3" s="487"/>
      <c r="AB3" s="487"/>
      <c r="AC3" s="487"/>
      <c r="AD3" s="487"/>
      <c r="AE3" s="487"/>
      <c r="AF3" s="487"/>
      <c r="AG3" s="487"/>
      <c r="AH3" s="487"/>
      <c r="AI3" s="487"/>
      <c r="AJ3" s="487"/>
      <c r="AK3" s="487"/>
      <c r="AL3" s="487"/>
      <c r="AM3" s="487"/>
      <c r="AN3" s="487"/>
      <c r="AO3" s="487"/>
      <c r="AP3" s="487"/>
      <c r="AQ3" s="487"/>
      <c r="AR3" s="487"/>
      <c r="AS3" s="487"/>
      <c r="AT3" s="487"/>
      <c r="AU3" s="487"/>
      <c r="AV3" s="487"/>
      <c r="AW3" s="69" t="s">
        <v>101</v>
      </c>
      <c r="AY3" s="65"/>
      <c r="AZ3" s="3"/>
      <c r="BA3" s="3"/>
      <c r="BB3" s="3"/>
      <c r="BC3" s="3"/>
      <c r="BD3" s="29"/>
      <c r="BE3" s="29"/>
      <c r="BF3" s="29"/>
      <c r="BG3" s="29"/>
      <c r="BH3" s="29" t="s">
        <v>204</v>
      </c>
      <c r="BI3" s="116"/>
      <c r="BL3" s="196"/>
      <c r="BM3" s="239"/>
      <c r="BN3" s="248" t="s">
        <v>16</v>
      </c>
      <c r="BO3" s="82"/>
      <c r="BP3" s="248"/>
      <c r="BQ3" s="82"/>
      <c r="BR3" s="249"/>
      <c r="BS3" s="249"/>
      <c r="BT3" s="82"/>
      <c r="BU3" s="250" t="s">
        <v>18</v>
      </c>
      <c r="BV3" s="110"/>
      <c r="BW3" s="251"/>
      <c r="BX3" s="251"/>
      <c r="BY3" s="110"/>
      <c r="BZ3" s="252" t="s">
        <v>21</v>
      </c>
      <c r="CA3" s="54"/>
      <c r="CB3" s="252"/>
      <c r="CC3" s="253"/>
      <c r="CD3" s="54"/>
      <c r="CE3" s="54"/>
      <c r="CF3" s="54"/>
      <c r="CG3" s="254" t="s">
        <v>61</v>
      </c>
      <c r="CH3" s="255"/>
      <c r="CI3" s="255"/>
      <c r="CJ3" s="255"/>
      <c r="CK3" s="85"/>
      <c r="CL3" s="137" t="s">
        <v>205</v>
      </c>
      <c r="CN3" s="239"/>
      <c r="CO3" s="258"/>
      <c r="CP3" s="165" t="s">
        <v>206</v>
      </c>
      <c r="CQ3" s="165"/>
      <c r="CR3" s="166"/>
      <c r="CS3" s="167"/>
      <c r="CT3" s="165" t="s">
        <v>207</v>
      </c>
      <c r="CU3" s="167"/>
      <c r="CV3" s="167"/>
      <c r="CW3" s="167"/>
      <c r="CX3" s="165" t="s">
        <v>208</v>
      </c>
      <c r="CY3" s="167"/>
      <c r="CZ3" s="167"/>
      <c r="DA3" s="167"/>
      <c r="DB3" s="168" t="s">
        <v>209</v>
      </c>
      <c r="DC3" s="165"/>
      <c r="DD3" s="165"/>
      <c r="DE3" s="165"/>
      <c r="DF3" s="168" t="s">
        <v>210</v>
      </c>
      <c r="DG3" s="167"/>
      <c r="DH3" s="167"/>
      <c r="DI3" s="167"/>
      <c r="DJ3" s="169"/>
      <c r="DK3" s="3"/>
      <c r="DL3" s="259"/>
      <c r="DM3" s="260"/>
      <c r="DN3" s="260"/>
      <c r="DO3" s="260"/>
      <c r="DP3" s="260"/>
      <c r="DQ3" s="260"/>
      <c r="DR3" s="260"/>
      <c r="DS3" s="260" t="s">
        <v>211</v>
      </c>
      <c r="DT3" s="260"/>
      <c r="DU3" s="260"/>
      <c r="DV3" s="260"/>
      <c r="DW3" s="261"/>
      <c r="DX3" s="262"/>
      <c r="DY3" s="262"/>
      <c r="DZ3" s="261"/>
      <c r="EA3" s="261"/>
      <c r="EB3" s="263"/>
      <c r="EC3" s="116"/>
      <c r="ED3" s="116"/>
      <c r="EE3" s="3"/>
      <c r="EF3" s="245"/>
      <c r="EG3" s="264"/>
      <c r="EH3" s="260" t="s">
        <v>212</v>
      </c>
      <c r="EI3" s="260"/>
      <c r="EJ3" s="260"/>
      <c r="EK3" s="260"/>
      <c r="EL3" s="165"/>
      <c r="EM3" s="260" t="s">
        <v>213</v>
      </c>
      <c r="EN3" s="261"/>
      <c r="EO3" s="261"/>
      <c r="EP3" s="167"/>
      <c r="EQ3" s="260" t="s">
        <v>214</v>
      </c>
      <c r="ER3" s="261"/>
      <c r="ES3" s="261"/>
      <c r="ET3" s="261"/>
      <c r="EU3" s="261"/>
      <c r="EV3" s="265"/>
      <c r="EW3" s="165"/>
      <c r="EX3" s="260" t="s">
        <v>215</v>
      </c>
      <c r="EY3" s="261"/>
      <c r="EZ3" s="261"/>
      <c r="FA3" s="261"/>
      <c r="FB3" s="261"/>
      <c r="FC3" s="171"/>
      <c r="GA3" s="52"/>
      <c r="GB3" s="52"/>
      <c r="GC3" s="52"/>
      <c r="GD3" s="52"/>
      <c r="GE3" s="52"/>
      <c r="GF3" s="52"/>
      <c r="GG3" s="52"/>
    </row>
    <row r="4" spans="1:189" ht="41.25" customHeight="1">
      <c r="A4" s="45" t="s">
        <v>216</v>
      </c>
      <c r="B4" s="45" t="s">
        <v>105</v>
      </c>
      <c r="C4" s="45" t="s">
        <v>103</v>
      </c>
      <c r="D4" s="45" t="s">
        <v>102</v>
      </c>
      <c r="E4" s="266" t="s">
        <v>106</v>
      </c>
      <c r="F4" s="45" t="s">
        <v>107</v>
      </c>
      <c r="G4" s="45" t="s">
        <v>108</v>
      </c>
      <c r="H4" s="45" t="s">
        <v>109</v>
      </c>
      <c r="I4" s="45" t="s">
        <v>110</v>
      </c>
      <c r="J4" s="45" t="s">
        <v>111</v>
      </c>
      <c r="K4" s="71" t="s">
        <v>112</v>
      </c>
      <c r="L4" s="71" t="s">
        <v>113</v>
      </c>
      <c r="M4" s="45" t="s">
        <v>114</v>
      </c>
      <c r="N4" s="45" t="s">
        <v>115</v>
      </c>
      <c r="O4" s="3" t="s">
        <v>116</v>
      </c>
      <c r="P4" s="3" t="s">
        <v>117</v>
      </c>
      <c r="Q4" s="3" t="s">
        <v>15</v>
      </c>
      <c r="R4" s="3" t="s">
        <v>15</v>
      </c>
      <c r="S4" s="3" t="s">
        <v>15</v>
      </c>
      <c r="T4" s="267" t="s">
        <v>8</v>
      </c>
      <c r="U4" s="71" t="s">
        <v>118</v>
      </c>
      <c r="V4" s="71" t="s">
        <v>119</v>
      </c>
      <c r="W4" s="71" t="s">
        <v>120</v>
      </c>
      <c r="X4" s="71" t="s">
        <v>121</v>
      </c>
      <c r="Y4" s="71" t="s">
        <v>122</v>
      </c>
      <c r="Z4" s="71" t="s">
        <v>123</v>
      </c>
      <c r="AA4" s="71" t="s">
        <v>124</v>
      </c>
      <c r="AB4" s="71" t="s">
        <v>125</v>
      </c>
      <c r="AC4" s="71" t="s">
        <v>126</v>
      </c>
      <c r="AD4" s="72" t="s">
        <v>127</v>
      </c>
      <c r="AE4" s="72" t="s">
        <v>128</v>
      </c>
      <c r="AF4" s="71" t="s">
        <v>129</v>
      </c>
      <c r="AG4" s="71" t="s">
        <v>130</v>
      </c>
      <c r="AH4" s="71" t="s">
        <v>131</v>
      </c>
      <c r="AI4" s="72" t="s">
        <v>132</v>
      </c>
      <c r="AJ4" s="71" t="s">
        <v>133</v>
      </c>
      <c r="AK4" s="71" t="s">
        <v>134</v>
      </c>
      <c r="AL4" s="71" t="s">
        <v>135</v>
      </c>
      <c r="AM4" s="71" t="s">
        <v>136</v>
      </c>
      <c r="AN4" s="71" t="s">
        <v>137</v>
      </c>
      <c r="AO4" s="71" t="s">
        <v>138</v>
      </c>
      <c r="AP4" s="71" t="s">
        <v>139</v>
      </c>
      <c r="AQ4" s="71" t="s">
        <v>140</v>
      </c>
      <c r="AR4" s="71" t="s">
        <v>141</v>
      </c>
      <c r="AS4" s="71" t="s">
        <v>142</v>
      </c>
      <c r="AT4" s="71" t="s">
        <v>143</v>
      </c>
      <c r="AU4" s="71" t="s">
        <v>61</v>
      </c>
      <c r="AV4" s="71" t="s">
        <v>144</v>
      </c>
      <c r="AW4" s="45" t="s">
        <v>145</v>
      </c>
      <c r="AX4" s="45" t="s">
        <v>146</v>
      </c>
      <c r="AY4" s="268"/>
      <c r="AZ4" s="45"/>
      <c r="BA4" s="74"/>
      <c r="BB4" s="74"/>
      <c r="BC4" s="75"/>
      <c r="BD4" s="269" t="s">
        <v>218</v>
      </c>
      <c r="BE4" s="269" t="s">
        <v>219</v>
      </c>
      <c r="BF4" s="269" t="s">
        <v>220</v>
      </c>
      <c r="BG4" s="270" t="s">
        <v>221</v>
      </c>
      <c r="BH4" s="269" t="s">
        <v>222</v>
      </c>
      <c r="BI4" s="271" t="s">
        <v>223</v>
      </c>
      <c r="BJ4" s="45" t="s">
        <v>224</v>
      </c>
      <c r="BK4" s="45" t="s">
        <v>225</v>
      </c>
      <c r="BL4" s="272" t="s">
        <v>226</v>
      </c>
      <c r="BM4" s="273" t="s">
        <v>109</v>
      </c>
      <c r="BN4" s="274" t="s">
        <v>227</v>
      </c>
      <c r="BO4" s="73" t="s">
        <v>228</v>
      </c>
      <c r="BP4" s="275" t="s">
        <v>229</v>
      </c>
      <c r="BQ4" s="175" t="s">
        <v>230</v>
      </c>
      <c r="BR4" s="276" t="s">
        <v>231</v>
      </c>
      <c r="BS4" s="271" t="s">
        <v>232</v>
      </c>
      <c r="BT4" s="177" t="s">
        <v>15</v>
      </c>
      <c r="BU4" s="277" t="s">
        <v>233</v>
      </c>
      <c r="BV4" s="73" t="s">
        <v>234</v>
      </c>
      <c r="BW4" s="276" t="s">
        <v>235</v>
      </c>
      <c r="BX4" s="271" t="s">
        <v>236</v>
      </c>
      <c r="BY4" s="177" t="s">
        <v>15</v>
      </c>
      <c r="BZ4" s="274" t="s">
        <v>237</v>
      </c>
      <c r="CA4" s="73" t="s">
        <v>238</v>
      </c>
      <c r="CB4" s="275" t="s">
        <v>239</v>
      </c>
      <c r="CC4" s="278" t="s">
        <v>240</v>
      </c>
      <c r="CD4" s="176" t="s">
        <v>241</v>
      </c>
      <c r="CE4" s="73" t="s">
        <v>242</v>
      </c>
      <c r="CF4" s="177" t="s">
        <v>15</v>
      </c>
      <c r="CG4" s="279" t="s">
        <v>243</v>
      </c>
      <c r="CH4" s="278" t="s">
        <v>244</v>
      </c>
      <c r="CI4" s="276" t="s">
        <v>245</v>
      </c>
      <c r="CJ4" s="271" t="s">
        <v>246</v>
      </c>
      <c r="CK4" s="177" t="s">
        <v>15</v>
      </c>
      <c r="CL4" s="271" t="s">
        <v>247</v>
      </c>
      <c r="CM4" s="73" t="s">
        <v>248</v>
      </c>
      <c r="CN4" s="273" t="s">
        <v>15</v>
      </c>
      <c r="CO4" s="280" t="s">
        <v>15</v>
      </c>
      <c r="CP4" s="178" t="s">
        <v>249</v>
      </c>
      <c r="CQ4" s="73" t="s">
        <v>250</v>
      </c>
      <c r="CR4" s="73" t="s">
        <v>251</v>
      </c>
      <c r="CS4" s="73" t="s">
        <v>252</v>
      </c>
      <c r="CT4" s="281" t="s">
        <v>253</v>
      </c>
      <c r="CU4" s="282" t="s">
        <v>254</v>
      </c>
      <c r="CV4" s="282" t="s">
        <v>255</v>
      </c>
      <c r="CW4" s="282" t="s">
        <v>256</v>
      </c>
      <c r="CX4" s="283" t="s">
        <v>257</v>
      </c>
      <c r="CY4" s="283" t="s">
        <v>258</v>
      </c>
      <c r="CZ4" s="283" t="s">
        <v>259</v>
      </c>
      <c r="DA4" s="283" t="s">
        <v>260</v>
      </c>
      <c r="DB4" s="181" t="s">
        <v>261</v>
      </c>
      <c r="DC4" s="181" t="s">
        <v>262</v>
      </c>
      <c r="DD4" s="181" t="s">
        <v>263</v>
      </c>
      <c r="DE4" s="181" t="s">
        <v>264</v>
      </c>
      <c r="DF4" s="73" t="s">
        <v>265</v>
      </c>
      <c r="DG4" s="73" t="s">
        <v>266</v>
      </c>
      <c r="DH4" s="73" t="s">
        <v>267</v>
      </c>
      <c r="DI4" s="73" t="s">
        <v>268</v>
      </c>
      <c r="DJ4" s="73" t="s">
        <v>269</v>
      </c>
      <c r="DK4" s="73" t="s">
        <v>15</v>
      </c>
      <c r="DL4" s="284" t="s">
        <v>270</v>
      </c>
      <c r="DM4" s="285" t="s">
        <v>271</v>
      </c>
      <c r="DN4" s="285" t="s">
        <v>272</v>
      </c>
      <c r="DO4" s="285" t="s">
        <v>273</v>
      </c>
      <c r="DP4" s="285" t="s">
        <v>274</v>
      </c>
      <c r="DQ4" s="286" t="s">
        <v>275</v>
      </c>
      <c r="DR4" s="286" t="s">
        <v>276</v>
      </c>
      <c r="DS4" s="286" t="s">
        <v>277</v>
      </c>
      <c r="DT4" s="287" t="s">
        <v>278</v>
      </c>
      <c r="DU4" s="287" t="s">
        <v>279</v>
      </c>
      <c r="DV4" s="287" t="s">
        <v>280</v>
      </c>
      <c r="DW4" s="288" t="s">
        <v>281</v>
      </c>
      <c r="DX4" s="289" t="s">
        <v>248</v>
      </c>
      <c r="DY4" s="289" t="s">
        <v>282</v>
      </c>
      <c r="DZ4" s="290" t="s">
        <v>283</v>
      </c>
      <c r="EA4" s="290" t="s">
        <v>284</v>
      </c>
      <c r="EB4" s="290" t="s">
        <v>285</v>
      </c>
      <c r="EC4" s="291" t="s">
        <v>286</v>
      </c>
      <c r="ED4" s="291" t="s">
        <v>287</v>
      </c>
      <c r="EE4" s="45" t="s">
        <v>288</v>
      </c>
      <c r="EF4" s="292" t="s">
        <v>289</v>
      </c>
      <c r="EG4" s="293" t="s">
        <v>290</v>
      </c>
      <c r="EH4" s="271" t="s">
        <v>291</v>
      </c>
      <c r="EI4" s="271" t="s">
        <v>292</v>
      </c>
      <c r="EJ4" s="271" t="s">
        <v>293</v>
      </c>
      <c r="EK4" s="294" t="s">
        <v>294</v>
      </c>
      <c r="EL4" s="73" t="s">
        <v>15</v>
      </c>
      <c r="EM4" s="271" t="s">
        <v>295</v>
      </c>
      <c r="EN4" s="271" t="s">
        <v>296</v>
      </c>
      <c r="EO4" s="294"/>
      <c r="EP4" s="73" t="s">
        <v>15</v>
      </c>
      <c r="EQ4" s="271" t="s">
        <v>297</v>
      </c>
      <c r="ER4" s="271" t="s">
        <v>298</v>
      </c>
      <c r="ES4" s="271" t="s">
        <v>299</v>
      </c>
      <c r="ET4" s="271" t="s">
        <v>300</v>
      </c>
      <c r="EU4" s="294" t="s">
        <v>301</v>
      </c>
      <c r="EV4" s="271" t="s">
        <v>302</v>
      </c>
      <c r="EW4" s="73" t="s">
        <v>15</v>
      </c>
      <c r="EX4" s="271" t="s">
        <v>303</v>
      </c>
      <c r="EY4" s="271" t="s">
        <v>304</v>
      </c>
      <c r="EZ4" s="271" t="s">
        <v>305</v>
      </c>
      <c r="FA4" s="271" t="s">
        <v>306</v>
      </c>
      <c r="FB4" s="271" t="s">
        <v>307</v>
      </c>
      <c r="FC4" s="189"/>
      <c r="FD4" s="52"/>
      <c r="FE4" s="52"/>
      <c r="FF4" s="52"/>
      <c r="FG4" s="52"/>
      <c r="FH4" s="73"/>
      <c r="FI4" s="73"/>
      <c r="FJ4" s="73"/>
      <c r="FK4" s="73"/>
      <c r="FL4" s="52"/>
      <c r="FM4" s="52"/>
      <c r="FN4" s="52"/>
      <c r="FO4" s="52"/>
      <c r="FP4" s="52"/>
      <c r="FQ4" s="52"/>
      <c r="FR4" s="52"/>
      <c r="FS4" s="52"/>
      <c r="FT4" s="52"/>
      <c r="FU4" s="52"/>
      <c r="FV4" s="52"/>
      <c r="FW4" s="52"/>
      <c r="FX4" s="52"/>
      <c r="FY4" s="52"/>
      <c r="FZ4" s="52"/>
      <c r="GA4" s="52"/>
      <c r="GD4" s="52"/>
      <c r="GE4" s="52"/>
      <c r="GF4" s="52"/>
      <c r="GG4" s="52"/>
    </row>
    <row r="5" spans="1:189" ht="13">
      <c r="A5" s="10">
        <f>IF(HistSecRecord!$E$1&gt;=E5,1,0)</f>
        <v>1</v>
      </c>
      <c r="B5" s="77">
        <v>44561000005</v>
      </c>
      <c r="C5" s="43" t="s">
        <v>183</v>
      </c>
      <c r="D5" s="29" t="s">
        <v>80</v>
      </c>
      <c r="E5" s="4">
        <v>44561</v>
      </c>
      <c r="F5" s="105"/>
      <c r="G5" s="79" t="s">
        <v>17</v>
      </c>
      <c r="H5" s="80" t="s">
        <v>64</v>
      </c>
      <c r="I5" s="81" t="s">
        <v>64</v>
      </c>
      <c r="J5" s="88"/>
      <c r="K5" s="83"/>
      <c r="L5" s="84"/>
      <c r="M5" s="89">
        <v>500000</v>
      </c>
      <c r="N5" s="82"/>
      <c r="O5" s="82"/>
      <c r="P5" s="86"/>
      <c r="Q5" s="43"/>
      <c r="T5" s="87">
        <v>44561</v>
      </c>
      <c r="U5" s="79"/>
      <c r="V5" s="81" t="s">
        <v>39</v>
      </c>
      <c r="W5" s="82"/>
      <c r="X5" s="82"/>
      <c r="Y5" s="82"/>
      <c r="Z5" s="82"/>
      <c r="AA5" s="82"/>
      <c r="AB5" s="82"/>
      <c r="AC5" s="110"/>
      <c r="AD5" s="110"/>
      <c r="AE5" s="110"/>
      <c r="AF5" s="111"/>
      <c r="AG5" s="112"/>
      <c r="AH5" s="110"/>
      <c r="AI5" s="110"/>
      <c r="AJ5" s="110"/>
      <c r="AK5" s="110"/>
      <c r="AL5" s="84"/>
      <c r="AM5" s="84"/>
      <c r="AN5" s="84"/>
      <c r="AO5" s="84"/>
      <c r="AP5" s="84"/>
      <c r="AQ5" s="84"/>
      <c r="AR5" s="84"/>
      <c r="AS5" s="84"/>
      <c r="AT5" s="84"/>
      <c r="AU5" s="89"/>
      <c r="AV5" s="89"/>
      <c r="AX5" s="90"/>
      <c r="BA5" s="43"/>
      <c r="BC5" s="295"/>
      <c r="BD5" s="296">
        <v>0</v>
      </c>
      <c r="BE5" s="296" t="s">
        <v>174</v>
      </c>
      <c r="BF5" s="296">
        <v>0</v>
      </c>
      <c r="BG5" s="297">
        <v>0</v>
      </c>
      <c r="BH5" s="298" t="s">
        <v>174</v>
      </c>
      <c r="BI5" s="299">
        <v>1</v>
      </c>
      <c r="BJ5" s="77" t="s">
        <v>174</v>
      </c>
      <c r="BK5" s="77" t="s">
        <v>39</v>
      </c>
      <c r="BL5" s="300">
        <v>1</v>
      </c>
      <c r="BM5" s="301" t="s">
        <v>64</v>
      </c>
      <c r="BN5" s="302" t="s">
        <v>174</v>
      </c>
      <c r="BO5" s="303"/>
      <c r="BP5" s="304" t="s">
        <v>174</v>
      </c>
      <c r="BQ5" s="305" t="s">
        <v>174</v>
      </c>
      <c r="BR5" s="306" t="s">
        <v>174</v>
      </c>
      <c r="BS5" s="299">
        <v>0</v>
      </c>
      <c r="BT5" s="307"/>
      <c r="BU5" s="308" t="s">
        <v>174</v>
      </c>
      <c r="BV5" s="303" t="s">
        <v>174</v>
      </c>
      <c r="BW5" s="306" t="s">
        <v>174</v>
      </c>
      <c r="BX5" s="299">
        <v>0</v>
      </c>
      <c r="BY5" s="307"/>
      <c r="BZ5" s="302" t="s">
        <v>174</v>
      </c>
      <c r="CA5" s="303"/>
      <c r="CB5" s="304" t="s">
        <v>174</v>
      </c>
      <c r="CC5" s="309" t="s">
        <v>174</v>
      </c>
      <c r="CD5" s="310" t="s">
        <v>174</v>
      </c>
      <c r="CE5" s="303">
        <v>0</v>
      </c>
      <c r="CF5" s="307"/>
      <c r="CG5" s="311" t="s">
        <v>174</v>
      </c>
      <c r="CH5" s="309" t="s">
        <v>174</v>
      </c>
      <c r="CI5" s="306" t="s">
        <v>174</v>
      </c>
      <c r="CJ5" s="299">
        <v>0</v>
      </c>
      <c r="CK5" s="307"/>
      <c r="CL5" s="299">
        <v>500000</v>
      </c>
      <c r="CM5" s="303" t="s">
        <v>174</v>
      </c>
      <c r="CN5" s="312" t="s">
        <v>64</v>
      </c>
      <c r="CO5" s="313">
        <v>44561</v>
      </c>
      <c r="CP5" s="314"/>
      <c r="CQ5" s="315"/>
      <c r="CR5" s="315">
        <v>0</v>
      </c>
      <c r="CS5" s="315">
        <v>0</v>
      </c>
      <c r="CT5" s="316">
        <v>0</v>
      </c>
      <c r="CU5" s="315">
        <v>0</v>
      </c>
      <c r="CV5" s="315">
        <v>0</v>
      </c>
      <c r="CW5" s="315">
        <v>0</v>
      </c>
      <c r="CX5" s="315">
        <v>0</v>
      </c>
      <c r="CY5" s="315">
        <v>0</v>
      </c>
      <c r="CZ5" s="315">
        <v>0</v>
      </c>
      <c r="DA5" s="315">
        <v>0</v>
      </c>
      <c r="DB5" s="303" t="s">
        <v>174</v>
      </c>
      <c r="DC5" s="303" t="s">
        <v>174</v>
      </c>
      <c r="DD5" s="303" t="s">
        <v>174</v>
      </c>
      <c r="DE5" s="303" t="s">
        <v>174</v>
      </c>
      <c r="DF5" s="315" t="s">
        <v>174</v>
      </c>
      <c r="DG5" s="315" t="s">
        <v>174</v>
      </c>
      <c r="DH5" s="315" t="s">
        <v>174</v>
      </c>
      <c r="DI5" s="315">
        <v>0</v>
      </c>
      <c r="DJ5" s="315" t="s">
        <v>309</v>
      </c>
      <c r="DK5" s="303"/>
      <c r="DL5" s="317" t="s">
        <v>174</v>
      </c>
      <c r="DM5" s="299" t="s">
        <v>174</v>
      </c>
      <c r="DN5" s="299" t="s">
        <v>174</v>
      </c>
      <c r="DO5" s="299" t="s">
        <v>174</v>
      </c>
      <c r="DP5" s="299" t="s">
        <v>174</v>
      </c>
      <c r="DQ5" s="299">
        <v>0</v>
      </c>
      <c r="DR5" s="299">
        <v>0</v>
      </c>
      <c r="DS5" s="299">
        <v>0</v>
      </c>
      <c r="DT5" s="299">
        <v>0</v>
      </c>
      <c r="DU5" s="299">
        <v>0</v>
      </c>
      <c r="DV5" s="299">
        <v>0</v>
      </c>
      <c r="DW5" s="318" t="s">
        <v>174</v>
      </c>
      <c r="DX5" s="319"/>
      <c r="DY5" s="319" t="s">
        <v>174</v>
      </c>
      <c r="DZ5" s="299" t="s">
        <v>174</v>
      </c>
      <c r="EA5" s="299" t="s">
        <v>174</v>
      </c>
      <c r="EB5" s="299">
        <v>0</v>
      </c>
      <c r="EC5" s="116">
        <v>500000</v>
      </c>
      <c r="ED5" s="116">
        <v>500000</v>
      </c>
      <c r="EE5" s="320" t="s">
        <v>174</v>
      </c>
      <c r="EF5" s="321" t="s">
        <v>174</v>
      </c>
      <c r="EG5" s="322">
        <v>0</v>
      </c>
      <c r="EH5" s="299">
        <v>0</v>
      </c>
      <c r="EI5" s="299">
        <v>0</v>
      </c>
      <c r="EJ5" s="299">
        <v>0</v>
      </c>
      <c r="EK5" s="323">
        <v>0</v>
      </c>
      <c r="EL5" s="303"/>
      <c r="EM5" s="299">
        <v>500000</v>
      </c>
      <c r="EN5" s="299">
        <v>500000</v>
      </c>
      <c r="EO5" s="323"/>
      <c r="EP5" s="303"/>
      <c r="EQ5" s="299">
        <v>500000</v>
      </c>
      <c r="ER5" s="299">
        <v>0</v>
      </c>
      <c r="ES5" s="299">
        <v>500000</v>
      </c>
      <c r="ET5" s="299">
        <v>0</v>
      </c>
      <c r="EU5" s="323">
        <v>0</v>
      </c>
      <c r="EV5" s="324">
        <v>0</v>
      </c>
      <c r="EW5" s="303"/>
      <c r="EX5" s="299">
        <v>500000</v>
      </c>
      <c r="EY5" s="299">
        <v>0</v>
      </c>
      <c r="EZ5" s="299">
        <v>500000</v>
      </c>
      <c r="FA5" s="299">
        <v>0</v>
      </c>
      <c r="FB5" s="299">
        <v>0</v>
      </c>
    </row>
    <row r="6" spans="1:189" ht="17.25" customHeight="1">
      <c r="A6" s="10">
        <f>IF(HistSecRecord!$E$1&gt;=E6,1,0)</f>
        <v>1</v>
      </c>
      <c r="B6" s="77">
        <v>44561000006</v>
      </c>
      <c r="C6" s="43" t="s">
        <v>184</v>
      </c>
      <c r="D6" s="29" t="s">
        <v>82</v>
      </c>
      <c r="E6" s="4">
        <v>44561</v>
      </c>
      <c r="F6" s="105"/>
      <c r="G6" s="79" t="s">
        <v>17</v>
      </c>
      <c r="H6" s="80" t="s">
        <v>64</v>
      </c>
      <c r="I6" s="81" t="s">
        <v>64</v>
      </c>
      <c r="J6" s="88"/>
      <c r="K6" s="83"/>
      <c r="L6" s="84"/>
      <c r="M6" s="89">
        <v>500000</v>
      </c>
      <c r="N6" s="82"/>
      <c r="O6" s="82"/>
      <c r="P6" s="86"/>
      <c r="Q6" s="43"/>
      <c r="T6" s="87">
        <v>44561</v>
      </c>
      <c r="U6" s="79"/>
      <c r="V6" s="81" t="s">
        <v>39</v>
      </c>
      <c r="W6" s="82"/>
      <c r="X6" s="82"/>
      <c r="Y6" s="82"/>
      <c r="Z6" s="82"/>
      <c r="AA6" s="82"/>
      <c r="AB6" s="82"/>
      <c r="AC6" s="83"/>
      <c r="AD6" s="83"/>
      <c r="AE6" s="83"/>
      <c r="AF6" s="83"/>
      <c r="AG6" s="83"/>
      <c r="AH6" s="83"/>
      <c r="AI6" s="83"/>
      <c r="AJ6" s="83"/>
      <c r="AK6" s="83"/>
      <c r="AL6" s="84"/>
      <c r="AM6" s="84"/>
      <c r="AN6" s="84"/>
      <c r="AO6" s="84"/>
      <c r="AP6" s="84"/>
      <c r="AQ6" s="84"/>
      <c r="AR6" s="84"/>
      <c r="AS6" s="84"/>
      <c r="AT6" s="84"/>
      <c r="AU6" s="89"/>
      <c r="AV6" s="89"/>
      <c r="AX6" s="90"/>
      <c r="BA6" s="43"/>
      <c r="BC6" s="295"/>
      <c r="BD6" s="296">
        <v>0</v>
      </c>
      <c r="BE6" s="296" t="s">
        <v>174</v>
      </c>
      <c r="BF6" s="296">
        <v>0</v>
      </c>
      <c r="BG6" s="297">
        <v>0</v>
      </c>
      <c r="BH6" s="298" t="s">
        <v>174</v>
      </c>
      <c r="BI6" s="299">
        <v>1</v>
      </c>
      <c r="BJ6" s="77" t="s">
        <v>174</v>
      </c>
      <c r="BK6" s="77" t="s">
        <v>39</v>
      </c>
      <c r="BL6" s="300">
        <v>1</v>
      </c>
      <c r="BM6" s="301" t="s">
        <v>64</v>
      </c>
      <c r="BN6" s="302" t="s">
        <v>174</v>
      </c>
      <c r="BO6" s="303"/>
      <c r="BP6" s="304" t="s">
        <v>174</v>
      </c>
      <c r="BQ6" s="305" t="s">
        <v>174</v>
      </c>
      <c r="BR6" s="306" t="s">
        <v>174</v>
      </c>
      <c r="BS6" s="299">
        <v>0</v>
      </c>
      <c r="BT6" s="307"/>
      <c r="BU6" s="308" t="s">
        <v>174</v>
      </c>
      <c r="BV6" s="303" t="s">
        <v>174</v>
      </c>
      <c r="BW6" s="306" t="s">
        <v>174</v>
      </c>
      <c r="BX6" s="299">
        <v>0</v>
      </c>
      <c r="BY6" s="307"/>
      <c r="BZ6" s="302" t="s">
        <v>174</v>
      </c>
      <c r="CA6" s="303"/>
      <c r="CB6" s="304" t="s">
        <v>174</v>
      </c>
      <c r="CC6" s="309" t="s">
        <v>174</v>
      </c>
      <c r="CD6" s="310" t="s">
        <v>174</v>
      </c>
      <c r="CE6" s="303">
        <v>0</v>
      </c>
      <c r="CF6" s="307"/>
      <c r="CG6" s="311" t="s">
        <v>174</v>
      </c>
      <c r="CH6" s="309" t="s">
        <v>174</v>
      </c>
      <c r="CI6" s="306" t="s">
        <v>174</v>
      </c>
      <c r="CJ6" s="299">
        <v>0</v>
      </c>
      <c r="CK6" s="307"/>
      <c r="CL6" s="299">
        <v>500000</v>
      </c>
      <c r="CM6" s="303" t="s">
        <v>174</v>
      </c>
      <c r="CN6" s="312" t="s">
        <v>64</v>
      </c>
      <c r="CO6" s="313">
        <v>44561</v>
      </c>
      <c r="CP6" s="314"/>
      <c r="CQ6" s="315"/>
      <c r="CR6" s="315">
        <v>0</v>
      </c>
      <c r="CS6" s="315">
        <v>0</v>
      </c>
      <c r="CT6" s="316">
        <v>0</v>
      </c>
      <c r="CU6" s="315">
        <v>0</v>
      </c>
      <c r="CV6" s="315">
        <v>0</v>
      </c>
      <c r="CW6" s="315">
        <v>0</v>
      </c>
      <c r="CX6" s="315">
        <v>0</v>
      </c>
      <c r="CY6" s="315">
        <v>0</v>
      </c>
      <c r="CZ6" s="315">
        <v>0</v>
      </c>
      <c r="DA6" s="315">
        <v>0</v>
      </c>
      <c r="DB6" s="303" t="s">
        <v>174</v>
      </c>
      <c r="DC6" s="303" t="s">
        <v>174</v>
      </c>
      <c r="DD6" s="303" t="s">
        <v>174</v>
      </c>
      <c r="DE6" s="303" t="s">
        <v>174</v>
      </c>
      <c r="DF6" s="315" t="s">
        <v>174</v>
      </c>
      <c r="DG6" s="315" t="s">
        <v>174</v>
      </c>
      <c r="DH6" s="315" t="s">
        <v>174</v>
      </c>
      <c r="DI6" s="315">
        <v>0</v>
      </c>
      <c r="DJ6" s="315" t="s">
        <v>309</v>
      </c>
      <c r="DK6" s="303"/>
      <c r="DL6" s="317" t="s">
        <v>174</v>
      </c>
      <c r="DM6" s="299" t="s">
        <v>174</v>
      </c>
      <c r="DN6" s="299" t="s">
        <v>174</v>
      </c>
      <c r="DO6" s="299" t="s">
        <v>174</v>
      </c>
      <c r="DP6" s="299" t="s">
        <v>174</v>
      </c>
      <c r="DQ6" s="299">
        <v>0</v>
      </c>
      <c r="DR6" s="299">
        <v>0</v>
      </c>
      <c r="DS6" s="299">
        <v>0</v>
      </c>
      <c r="DT6" s="299">
        <v>0</v>
      </c>
      <c r="DU6" s="299">
        <v>0</v>
      </c>
      <c r="DV6" s="299">
        <v>0</v>
      </c>
      <c r="DW6" s="318" t="s">
        <v>174</v>
      </c>
      <c r="DX6" s="319"/>
      <c r="DY6" s="319" t="s">
        <v>174</v>
      </c>
      <c r="DZ6" s="299" t="s">
        <v>174</v>
      </c>
      <c r="EA6" s="299" t="s">
        <v>174</v>
      </c>
      <c r="EB6" s="299">
        <v>0</v>
      </c>
      <c r="EC6" s="116">
        <v>500000</v>
      </c>
      <c r="ED6" s="116">
        <v>500000</v>
      </c>
      <c r="EE6" s="320" t="s">
        <v>174</v>
      </c>
      <c r="EF6" s="321" t="s">
        <v>174</v>
      </c>
      <c r="EG6" s="322">
        <v>0</v>
      </c>
      <c r="EH6" s="299">
        <v>0</v>
      </c>
      <c r="EI6" s="299">
        <v>0</v>
      </c>
      <c r="EJ6" s="299">
        <v>0</v>
      </c>
      <c r="EK6" s="323">
        <v>0</v>
      </c>
      <c r="EL6" s="303"/>
      <c r="EM6" s="299">
        <v>500000</v>
      </c>
      <c r="EN6" s="299">
        <v>500000</v>
      </c>
      <c r="EO6" s="323"/>
      <c r="EP6" s="303"/>
      <c r="EQ6" s="299">
        <v>500000</v>
      </c>
      <c r="ER6" s="299">
        <v>0</v>
      </c>
      <c r="ES6" s="299">
        <v>500000</v>
      </c>
      <c r="ET6" s="299">
        <v>0</v>
      </c>
      <c r="EU6" s="323">
        <v>0</v>
      </c>
      <c r="EV6" s="324">
        <v>0</v>
      </c>
      <c r="EW6" s="303"/>
      <c r="EX6" s="299">
        <v>500000</v>
      </c>
      <c r="EY6" s="299">
        <v>0</v>
      </c>
      <c r="EZ6" s="299">
        <v>500000</v>
      </c>
      <c r="FA6" s="299">
        <v>0</v>
      </c>
      <c r="FB6" s="299">
        <v>0</v>
      </c>
    </row>
    <row r="7" spans="1:189" ht="13">
      <c r="A7" s="10">
        <f>IF(HistSecRecord!$E$1&gt;=E7,1,0)</f>
        <v>1</v>
      </c>
      <c r="B7" s="77">
        <v>44561000007</v>
      </c>
      <c r="C7" s="43" t="s">
        <v>185</v>
      </c>
      <c r="D7" s="29" t="s">
        <v>84</v>
      </c>
      <c r="E7" s="4">
        <v>44561</v>
      </c>
      <c r="F7" s="105"/>
      <c r="G7" s="79" t="s">
        <v>17</v>
      </c>
      <c r="H7" s="80" t="s">
        <v>64</v>
      </c>
      <c r="I7" s="81" t="s">
        <v>64</v>
      </c>
      <c r="J7" s="88"/>
      <c r="K7" s="83"/>
      <c r="L7" s="84"/>
      <c r="M7" s="89">
        <v>500000</v>
      </c>
      <c r="N7" s="82"/>
      <c r="O7" s="82"/>
      <c r="P7" s="86"/>
      <c r="Q7" s="43"/>
      <c r="T7" s="87">
        <v>44561</v>
      </c>
      <c r="U7" s="79"/>
      <c r="V7" s="81" t="s">
        <v>39</v>
      </c>
      <c r="W7" s="82"/>
      <c r="X7" s="82"/>
      <c r="Y7" s="82"/>
      <c r="Z7" s="82"/>
      <c r="AA7" s="82"/>
      <c r="AB7" s="82"/>
      <c r="AC7" s="83"/>
      <c r="AD7" s="83"/>
      <c r="AE7" s="83"/>
      <c r="AF7" s="83"/>
      <c r="AG7" s="83"/>
      <c r="AH7" s="83"/>
      <c r="AI7" s="83"/>
      <c r="AJ7" s="83"/>
      <c r="AK7" s="83"/>
      <c r="AL7" s="84"/>
      <c r="AM7" s="84"/>
      <c r="AN7" s="84"/>
      <c r="AO7" s="84"/>
      <c r="AP7" s="84"/>
      <c r="AQ7" s="84"/>
      <c r="AR7" s="84"/>
      <c r="AS7" s="84"/>
      <c r="AT7" s="84"/>
      <c r="AU7" s="89"/>
      <c r="AV7" s="89"/>
      <c r="AX7" s="90"/>
      <c r="BA7" s="43"/>
      <c r="BC7" s="295"/>
      <c r="BD7" s="296">
        <v>0</v>
      </c>
      <c r="BE7" s="296" t="s">
        <v>174</v>
      </c>
      <c r="BF7" s="296">
        <v>0</v>
      </c>
      <c r="BG7" s="297">
        <v>0</v>
      </c>
      <c r="BH7" s="298" t="s">
        <v>174</v>
      </c>
      <c r="BI7" s="299">
        <v>1</v>
      </c>
      <c r="BJ7" s="77" t="s">
        <v>174</v>
      </c>
      <c r="BK7" s="77" t="s">
        <v>39</v>
      </c>
      <c r="BL7" s="300">
        <v>1</v>
      </c>
      <c r="BM7" s="301" t="s">
        <v>64</v>
      </c>
      <c r="BN7" s="302" t="s">
        <v>174</v>
      </c>
      <c r="BO7" s="303"/>
      <c r="BP7" s="304" t="s">
        <v>174</v>
      </c>
      <c r="BQ7" s="305" t="s">
        <v>174</v>
      </c>
      <c r="BR7" s="306" t="s">
        <v>174</v>
      </c>
      <c r="BS7" s="299">
        <v>0</v>
      </c>
      <c r="BT7" s="307"/>
      <c r="BU7" s="308" t="s">
        <v>174</v>
      </c>
      <c r="BV7" s="303" t="s">
        <v>174</v>
      </c>
      <c r="BW7" s="306" t="s">
        <v>174</v>
      </c>
      <c r="BX7" s="299">
        <v>0</v>
      </c>
      <c r="BY7" s="307"/>
      <c r="BZ7" s="302" t="s">
        <v>174</v>
      </c>
      <c r="CA7" s="303"/>
      <c r="CB7" s="304" t="s">
        <v>174</v>
      </c>
      <c r="CC7" s="309" t="s">
        <v>174</v>
      </c>
      <c r="CD7" s="310" t="s">
        <v>174</v>
      </c>
      <c r="CE7" s="303">
        <v>0</v>
      </c>
      <c r="CF7" s="307"/>
      <c r="CG7" s="311" t="s">
        <v>174</v>
      </c>
      <c r="CH7" s="309" t="s">
        <v>174</v>
      </c>
      <c r="CI7" s="306" t="s">
        <v>174</v>
      </c>
      <c r="CJ7" s="299">
        <v>0</v>
      </c>
      <c r="CK7" s="307"/>
      <c r="CL7" s="299">
        <v>500000</v>
      </c>
      <c r="CM7" s="303" t="s">
        <v>174</v>
      </c>
      <c r="CN7" s="312" t="s">
        <v>64</v>
      </c>
      <c r="CO7" s="313">
        <v>44561</v>
      </c>
      <c r="CP7" s="314"/>
      <c r="CQ7" s="315"/>
      <c r="CR7" s="315">
        <v>0</v>
      </c>
      <c r="CS7" s="315">
        <v>0</v>
      </c>
      <c r="CT7" s="316">
        <v>0</v>
      </c>
      <c r="CU7" s="315">
        <v>0</v>
      </c>
      <c r="CV7" s="315">
        <v>0</v>
      </c>
      <c r="CW7" s="315">
        <v>0</v>
      </c>
      <c r="CX7" s="315">
        <v>0</v>
      </c>
      <c r="CY7" s="315">
        <v>0</v>
      </c>
      <c r="CZ7" s="315">
        <v>0</v>
      </c>
      <c r="DA7" s="315">
        <v>0</v>
      </c>
      <c r="DB7" s="303" t="s">
        <v>174</v>
      </c>
      <c r="DC7" s="303" t="s">
        <v>174</v>
      </c>
      <c r="DD7" s="303" t="s">
        <v>174</v>
      </c>
      <c r="DE7" s="303" t="s">
        <v>174</v>
      </c>
      <c r="DF7" s="315" t="s">
        <v>174</v>
      </c>
      <c r="DG7" s="315" t="s">
        <v>174</v>
      </c>
      <c r="DH7" s="315" t="s">
        <v>174</v>
      </c>
      <c r="DI7" s="315">
        <v>0</v>
      </c>
      <c r="DJ7" s="315" t="s">
        <v>309</v>
      </c>
      <c r="DK7" s="303"/>
      <c r="DL7" s="317" t="s">
        <v>174</v>
      </c>
      <c r="DM7" s="299" t="s">
        <v>174</v>
      </c>
      <c r="DN7" s="299" t="s">
        <v>174</v>
      </c>
      <c r="DO7" s="299" t="s">
        <v>174</v>
      </c>
      <c r="DP7" s="299" t="s">
        <v>174</v>
      </c>
      <c r="DQ7" s="299">
        <v>0</v>
      </c>
      <c r="DR7" s="299">
        <v>0</v>
      </c>
      <c r="DS7" s="299">
        <v>0</v>
      </c>
      <c r="DT7" s="299">
        <v>0</v>
      </c>
      <c r="DU7" s="299">
        <v>0</v>
      </c>
      <c r="DV7" s="299">
        <v>0</v>
      </c>
      <c r="DW7" s="318" t="s">
        <v>174</v>
      </c>
      <c r="DX7" s="319"/>
      <c r="DY7" s="319" t="s">
        <v>174</v>
      </c>
      <c r="DZ7" s="299" t="s">
        <v>174</v>
      </c>
      <c r="EA7" s="299" t="s">
        <v>174</v>
      </c>
      <c r="EB7" s="299">
        <v>0</v>
      </c>
      <c r="EC7" s="116">
        <v>500000</v>
      </c>
      <c r="ED7" s="116">
        <v>500000</v>
      </c>
      <c r="EE7" s="320" t="s">
        <v>174</v>
      </c>
      <c r="EF7" s="321" t="s">
        <v>174</v>
      </c>
      <c r="EG7" s="322">
        <v>0</v>
      </c>
      <c r="EH7" s="299">
        <v>0</v>
      </c>
      <c r="EI7" s="299">
        <v>0</v>
      </c>
      <c r="EJ7" s="299">
        <v>0</v>
      </c>
      <c r="EK7" s="323">
        <v>0</v>
      </c>
      <c r="EL7" s="303"/>
      <c r="EM7" s="299">
        <v>500000</v>
      </c>
      <c r="EN7" s="299">
        <v>500000</v>
      </c>
      <c r="EO7" s="323"/>
      <c r="EP7" s="303"/>
      <c r="EQ7" s="299">
        <v>500000</v>
      </c>
      <c r="ER7" s="299">
        <v>0</v>
      </c>
      <c r="ES7" s="299">
        <v>500000</v>
      </c>
      <c r="ET7" s="299">
        <v>0</v>
      </c>
      <c r="EU7" s="323">
        <v>0</v>
      </c>
      <c r="EV7" s="324">
        <v>0</v>
      </c>
      <c r="EW7" s="303"/>
      <c r="EX7" s="299">
        <v>500000</v>
      </c>
      <c r="EY7" s="299">
        <v>0</v>
      </c>
      <c r="EZ7" s="299">
        <v>500000</v>
      </c>
      <c r="FA7" s="299">
        <v>0</v>
      </c>
      <c r="FB7" s="299">
        <v>0</v>
      </c>
    </row>
    <row r="8" spans="1:189" ht="13">
      <c r="A8" s="10">
        <f>IF(HistSecRecord!$E$1&gt;=E8,1,0)</f>
        <v>1</v>
      </c>
      <c r="B8" s="77">
        <v>44561000008</v>
      </c>
      <c r="C8" s="43" t="s">
        <v>186</v>
      </c>
      <c r="D8" s="29" t="s">
        <v>86</v>
      </c>
      <c r="E8" s="4">
        <v>44561</v>
      </c>
      <c r="F8" s="105"/>
      <c r="G8" s="79" t="s">
        <v>17</v>
      </c>
      <c r="H8" s="80" t="s">
        <v>64</v>
      </c>
      <c r="I8" s="81" t="s">
        <v>64</v>
      </c>
      <c r="J8" s="88"/>
      <c r="K8" s="83"/>
      <c r="L8" s="84"/>
      <c r="M8" s="89">
        <v>500000</v>
      </c>
      <c r="N8" s="82"/>
      <c r="O8" s="82"/>
      <c r="P8" s="86"/>
      <c r="Q8" s="43"/>
      <c r="T8" s="87">
        <v>44561</v>
      </c>
      <c r="U8" s="79"/>
      <c r="V8" s="81" t="s">
        <v>39</v>
      </c>
      <c r="W8" s="82"/>
      <c r="X8" s="82"/>
      <c r="Y8" s="82"/>
      <c r="Z8" s="82"/>
      <c r="AA8" s="82"/>
      <c r="AB8" s="82"/>
      <c r="AC8" s="83"/>
      <c r="AD8" s="83"/>
      <c r="AE8" s="83"/>
      <c r="AF8" s="83"/>
      <c r="AG8" s="83"/>
      <c r="AH8" s="83"/>
      <c r="AI8" s="83"/>
      <c r="AJ8" s="83"/>
      <c r="AK8" s="83"/>
      <c r="AL8" s="84"/>
      <c r="AM8" s="84"/>
      <c r="AN8" s="84"/>
      <c r="AO8" s="84"/>
      <c r="AP8" s="84"/>
      <c r="AQ8" s="84"/>
      <c r="AR8" s="84"/>
      <c r="AS8" s="84"/>
      <c r="AT8" s="84"/>
      <c r="AU8" s="89"/>
      <c r="AV8" s="89"/>
      <c r="AX8" s="90"/>
      <c r="BA8" s="43"/>
      <c r="BC8" s="295"/>
      <c r="BD8" s="296">
        <v>0</v>
      </c>
      <c r="BE8" s="296" t="s">
        <v>174</v>
      </c>
      <c r="BF8" s="296">
        <v>0</v>
      </c>
      <c r="BG8" s="297">
        <v>0</v>
      </c>
      <c r="BH8" s="298" t="s">
        <v>174</v>
      </c>
      <c r="BI8" s="299">
        <v>1</v>
      </c>
      <c r="BJ8" s="77" t="s">
        <v>174</v>
      </c>
      <c r="BK8" s="77" t="s">
        <v>39</v>
      </c>
      <c r="BL8" s="300">
        <v>1</v>
      </c>
      <c r="BM8" s="301" t="s">
        <v>64</v>
      </c>
      <c r="BN8" s="302" t="s">
        <v>174</v>
      </c>
      <c r="BO8" s="303"/>
      <c r="BP8" s="304" t="s">
        <v>174</v>
      </c>
      <c r="BQ8" s="305" t="s">
        <v>174</v>
      </c>
      <c r="BR8" s="306" t="s">
        <v>174</v>
      </c>
      <c r="BS8" s="299">
        <v>0</v>
      </c>
      <c r="BT8" s="307"/>
      <c r="BU8" s="308" t="s">
        <v>174</v>
      </c>
      <c r="BV8" s="303" t="s">
        <v>174</v>
      </c>
      <c r="BW8" s="306" t="s">
        <v>174</v>
      </c>
      <c r="BX8" s="299">
        <v>0</v>
      </c>
      <c r="BY8" s="307"/>
      <c r="BZ8" s="302" t="s">
        <v>174</v>
      </c>
      <c r="CA8" s="303"/>
      <c r="CB8" s="304" t="s">
        <v>174</v>
      </c>
      <c r="CC8" s="309" t="s">
        <v>174</v>
      </c>
      <c r="CD8" s="310" t="s">
        <v>174</v>
      </c>
      <c r="CE8" s="303">
        <v>0</v>
      </c>
      <c r="CF8" s="307"/>
      <c r="CG8" s="311" t="s">
        <v>174</v>
      </c>
      <c r="CH8" s="309" t="s">
        <v>174</v>
      </c>
      <c r="CI8" s="306" t="s">
        <v>174</v>
      </c>
      <c r="CJ8" s="299">
        <v>0</v>
      </c>
      <c r="CK8" s="307"/>
      <c r="CL8" s="299">
        <v>500000</v>
      </c>
      <c r="CM8" s="303" t="s">
        <v>174</v>
      </c>
      <c r="CN8" s="312" t="s">
        <v>64</v>
      </c>
      <c r="CO8" s="313">
        <v>44561</v>
      </c>
      <c r="CP8" s="314"/>
      <c r="CQ8" s="315"/>
      <c r="CR8" s="315">
        <v>0</v>
      </c>
      <c r="CS8" s="315">
        <v>0</v>
      </c>
      <c r="CT8" s="316">
        <v>0</v>
      </c>
      <c r="CU8" s="315">
        <v>0</v>
      </c>
      <c r="CV8" s="315">
        <v>0</v>
      </c>
      <c r="CW8" s="315">
        <v>0</v>
      </c>
      <c r="CX8" s="315">
        <v>0</v>
      </c>
      <c r="CY8" s="315">
        <v>0</v>
      </c>
      <c r="CZ8" s="315">
        <v>0</v>
      </c>
      <c r="DA8" s="315">
        <v>0</v>
      </c>
      <c r="DB8" s="303" t="s">
        <v>174</v>
      </c>
      <c r="DC8" s="303" t="s">
        <v>174</v>
      </c>
      <c r="DD8" s="303" t="s">
        <v>174</v>
      </c>
      <c r="DE8" s="303" t="s">
        <v>174</v>
      </c>
      <c r="DF8" s="315" t="s">
        <v>174</v>
      </c>
      <c r="DG8" s="315" t="s">
        <v>174</v>
      </c>
      <c r="DH8" s="315" t="s">
        <v>174</v>
      </c>
      <c r="DI8" s="315">
        <v>0</v>
      </c>
      <c r="DJ8" s="315" t="s">
        <v>309</v>
      </c>
      <c r="DK8" s="303"/>
      <c r="DL8" s="317" t="s">
        <v>174</v>
      </c>
      <c r="DM8" s="299" t="s">
        <v>174</v>
      </c>
      <c r="DN8" s="299" t="s">
        <v>174</v>
      </c>
      <c r="DO8" s="299" t="s">
        <v>174</v>
      </c>
      <c r="DP8" s="299" t="s">
        <v>174</v>
      </c>
      <c r="DQ8" s="299">
        <v>0</v>
      </c>
      <c r="DR8" s="299">
        <v>0</v>
      </c>
      <c r="DS8" s="299">
        <v>0</v>
      </c>
      <c r="DT8" s="299">
        <v>0</v>
      </c>
      <c r="DU8" s="299">
        <v>0</v>
      </c>
      <c r="DV8" s="299">
        <v>0</v>
      </c>
      <c r="DW8" s="318" t="s">
        <v>174</v>
      </c>
      <c r="DX8" s="319"/>
      <c r="DY8" s="319" t="s">
        <v>174</v>
      </c>
      <c r="DZ8" s="299" t="s">
        <v>174</v>
      </c>
      <c r="EA8" s="299" t="s">
        <v>174</v>
      </c>
      <c r="EB8" s="299">
        <v>0</v>
      </c>
      <c r="EC8" s="116">
        <v>500000</v>
      </c>
      <c r="ED8" s="116">
        <v>500000</v>
      </c>
      <c r="EE8" s="320" t="s">
        <v>174</v>
      </c>
      <c r="EF8" s="321" t="s">
        <v>174</v>
      </c>
      <c r="EG8" s="322">
        <v>0</v>
      </c>
      <c r="EH8" s="299">
        <v>0</v>
      </c>
      <c r="EI8" s="299">
        <v>0</v>
      </c>
      <c r="EJ8" s="299">
        <v>0</v>
      </c>
      <c r="EK8" s="323">
        <v>0</v>
      </c>
      <c r="EL8" s="303"/>
      <c r="EM8" s="299">
        <v>500000</v>
      </c>
      <c r="EN8" s="299">
        <v>500000</v>
      </c>
      <c r="EO8" s="323"/>
      <c r="EP8" s="303"/>
      <c r="EQ8" s="299">
        <v>500000</v>
      </c>
      <c r="ER8" s="299">
        <v>0</v>
      </c>
      <c r="ES8" s="299">
        <v>500000</v>
      </c>
      <c r="ET8" s="299">
        <v>0</v>
      </c>
      <c r="EU8" s="323">
        <v>0</v>
      </c>
      <c r="EV8" s="324">
        <v>0</v>
      </c>
      <c r="EW8" s="303"/>
      <c r="EX8" s="299">
        <v>500000</v>
      </c>
      <c r="EY8" s="299">
        <v>0</v>
      </c>
      <c r="EZ8" s="299">
        <v>500000</v>
      </c>
      <c r="FA8" s="299">
        <v>0</v>
      </c>
      <c r="FB8" s="299">
        <v>0</v>
      </c>
    </row>
    <row r="9" spans="1:189" ht="13">
      <c r="A9" s="10">
        <f>IF(HistSecRecord!$E$1&gt;=E9,1,0)</f>
        <v>1</v>
      </c>
      <c r="B9" s="77">
        <v>44561000009</v>
      </c>
      <c r="C9" s="43" t="s">
        <v>187</v>
      </c>
      <c r="D9" s="29" t="s">
        <v>88</v>
      </c>
      <c r="E9" s="4">
        <v>44561</v>
      </c>
      <c r="F9" s="105"/>
      <c r="G9" s="79" t="s">
        <v>17</v>
      </c>
      <c r="H9" s="80" t="s">
        <v>64</v>
      </c>
      <c r="I9" s="81" t="s">
        <v>64</v>
      </c>
      <c r="J9" s="88"/>
      <c r="K9" s="83"/>
      <c r="L9" s="84"/>
      <c r="M9" s="89">
        <v>500000</v>
      </c>
      <c r="N9" s="82"/>
      <c r="O9" s="82"/>
      <c r="P9" s="86"/>
      <c r="Q9" s="43"/>
      <c r="T9" s="87">
        <v>44561</v>
      </c>
      <c r="U9" s="79"/>
      <c r="V9" s="81" t="s">
        <v>39</v>
      </c>
      <c r="W9" s="82"/>
      <c r="X9" s="82"/>
      <c r="Y9" s="82"/>
      <c r="Z9" s="82"/>
      <c r="AA9" s="82"/>
      <c r="AB9" s="82"/>
      <c r="AC9" s="83"/>
      <c r="AD9" s="83"/>
      <c r="AE9" s="83"/>
      <c r="AF9" s="83"/>
      <c r="AG9" s="83"/>
      <c r="AH9" s="83"/>
      <c r="AI9" s="83"/>
      <c r="AJ9" s="83"/>
      <c r="AK9" s="83"/>
      <c r="AL9" s="84"/>
      <c r="AM9" s="84"/>
      <c r="AN9" s="84"/>
      <c r="AO9" s="84"/>
      <c r="AP9" s="84"/>
      <c r="AQ9" s="84"/>
      <c r="AR9" s="84"/>
      <c r="AS9" s="84"/>
      <c r="AT9" s="84"/>
      <c r="AU9" s="89"/>
      <c r="AV9" s="89"/>
      <c r="AX9" s="90"/>
      <c r="BA9" s="43"/>
      <c r="BC9" s="295"/>
      <c r="BD9" s="296">
        <v>0</v>
      </c>
      <c r="BE9" s="296" t="s">
        <v>174</v>
      </c>
      <c r="BF9" s="296">
        <v>0</v>
      </c>
      <c r="BG9" s="297">
        <v>0</v>
      </c>
      <c r="BH9" s="298" t="s">
        <v>174</v>
      </c>
      <c r="BI9" s="299">
        <v>1</v>
      </c>
      <c r="BJ9" s="77" t="s">
        <v>174</v>
      </c>
      <c r="BK9" s="77" t="s">
        <v>39</v>
      </c>
      <c r="BL9" s="300">
        <v>1</v>
      </c>
      <c r="BM9" s="301" t="s">
        <v>64</v>
      </c>
      <c r="BN9" s="302" t="s">
        <v>174</v>
      </c>
      <c r="BO9" s="303"/>
      <c r="BP9" s="304" t="s">
        <v>174</v>
      </c>
      <c r="BQ9" s="305" t="s">
        <v>174</v>
      </c>
      <c r="BR9" s="306" t="s">
        <v>174</v>
      </c>
      <c r="BS9" s="299">
        <v>0</v>
      </c>
      <c r="BT9" s="307"/>
      <c r="BU9" s="308" t="s">
        <v>174</v>
      </c>
      <c r="BV9" s="303" t="s">
        <v>174</v>
      </c>
      <c r="BW9" s="306" t="s">
        <v>174</v>
      </c>
      <c r="BX9" s="299">
        <v>0</v>
      </c>
      <c r="BY9" s="307"/>
      <c r="BZ9" s="302" t="s">
        <v>174</v>
      </c>
      <c r="CA9" s="303"/>
      <c r="CB9" s="304" t="s">
        <v>174</v>
      </c>
      <c r="CC9" s="309" t="s">
        <v>174</v>
      </c>
      <c r="CD9" s="310" t="s">
        <v>174</v>
      </c>
      <c r="CE9" s="303">
        <v>0</v>
      </c>
      <c r="CF9" s="307"/>
      <c r="CG9" s="311" t="s">
        <v>174</v>
      </c>
      <c r="CH9" s="309" t="s">
        <v>174</v>
      </c>
      <c r="CI9" s="306" t="s">
        <v>174</v>
      </c>
      <c r="CJ9" s="299">
        <v>0</v>
      </c>
      <c r="CK9" s="307"/>
      <c r="CL9" s="299">
        <v>500000</v>
      </c>
      <c r="CM9" s="303" t="s">
        <v>174</v>
      </c>
      <c r="CN9" s="312" t="s">
        <v>64</v>
      </c>
      <c r="CO9" s="313">
        <v>44561</v>
      </c>
      <c r="CP9" s="314"/>
      <c r="CQ9" s="315"/>
      <c r="CR9" s="315">
        <v>0</v>
      </c>
      <c r="CS9" s="315">
        <v>0</v>
      </c>
      <c r="CT9" s="316">
        <v>0</v>
      </c>
      <c r="CU9" s="315">
        <v>0</v>
      </c>
      <c r="CV9" s="315">
        <v>0</v>
      </c>
      <c r="CW9" s="315">
        <v>0</v>
      </c>
      <c r="CX9" s="315">
        <v>0</v>
      </c>
      <c r="CY9" s="315">
        <v>0</v>
      </c>
      <c r="CZ9" s="315">
        <v>0</v>
      </c>
      <c r="DA9" s="315">
        <v>0</v>
      </c>
      <c r="DB9" s="303" t="s">
        <v>174</v>
      </c>
      <c r="DC9" s="303" t="s">
        <v>174</v>
      </c>
      <c r="DD9" s="303" t="s">
        <v>174</v>
      </c>
      <c r="DE9" s="303" t="s">
        <v>174</v>
      </c>
      <c r="DF9" s="315" t="s">
        <v>174</v>
      </c>
      <c r="DG9" s="315" t="s">
        <v>174</v>
      </c>
      <c r="DH9" s="315" t="s">
        <v>174</v>
      </c>
      <c r="DI9" s="315">
        <v>0</v>
      </c>
      <c r="DJ9" s="315" t="s">
        <v>309</v>
      </c>
      <c r="DK9" s="303"/>
      <c r="DL9" s="317" t="s">
        <v>174</v>
      </c>
      <c r="DM9" s="299" t="s">
        <v>174</v>
      </c>
      <c r="DN9" s="299" t="s">
        <v>174</v>
      </c>
      <c r="DO9" s="299" t="s">
        <v>174</v>
      </c>
      <c r="DP9" s="299" t="s">
        <v>174</v>
      </c>
      <c r="DQ9" s="299">
        <v>0</v>
      </c>
      <c r="DR9" s="299">
        <v>0</v>
      </c>
      <c r="DS9" s="299">
        <v>0</v>
      </c>
      <c r="DT9" s="299">
        <v>0</v>
      </c>
      <c r="DU9" s="299">
        <v>0</v>
      </c>
      <c r="DV9" s="299">
        <v>0</v>
      </c>
      <c r="DW9" s="318" t="s">
        <v>174</v>
      </c>
      <c r="DX9" s="319"/>
      <c r="DY9" s="319" t="s">
        <v>174</v>
      </c>
      <c r="DZ9" s="299" t="s">
        <v>174</v>
      </c>
      <c r="EA9" s="299" t="s">
        <v>174</v>
      </c>
      <c r="EB9" s="299">
        <v>0</v>
      </c>
      <c r="EC9" s="116">
        <v>500000</v>
      </c>
      <c r="ED9" s="116">
        <v>500000</v>
      </c>
      <c r="EE9" s="320" t="s">
        <v>174</v>
      </c>
      <c r="EF9" s="321" t="s">
        <v>174</v>
      </c>
      <c r="EG9" s="322">
        <v>0</v>
      </c>
      <c r="EH9" s="299">
        <v>0</v>
      </c>
      <c r="EI9" s="299">
        <v>0</v>
      </c>
      <c r="EJ9" s="299">
        <v>0</v>
      </c>
      <c r="EK9" s="323">
        <v>0</v>
      </c>
      <c r="EL9" s="303"/>
      <c r="EM9" s="299">
        <v>500000</v>
      </c>
      <c r="EN9" s="299">
        <v>500000</v>
      </c>
      <c r="EO9" s="323"/>
      <c r="EP9" s="303"/>
      <c r="EQ9" s="299">
        <v>500000</v>
      </c>
      <c r="ER9" s="299">
        <v>0</v>
      </c>
      <c r="ES9" s="299">
        <v>500000</v>
      </c>
      <c r="ET9" s="299">
        <v>0</v>
      </c>
      <c r="EU9" s="323">
        <v>0</v>
      </c>
      <c r="EV9" s="324">
        <v>0</v>
      </c>
      <c r="EW9" s="303"/>
      <c r="EX9" s="299">
        <v>500000</v>
      </c>
      <c r="EY9" s="299">
        <v>0</v>
      </c>
      <c r="EZ9" s="299">
        <v>500000</v>
      </c>
      <c r="FA9" s="299">
        <v>0</v>
      </c>
      <c r="FB9" s="299">
        <v>0</v>
      </c>
    </row>
    <row r="10" spans="1:189" ht="13">
      <c r="A10" s="10">
        <f>IF(HistSecRecord!$E$1&gt;=E10,1,0)</f>
        <v>1</v>
      </c>
      <c r="B10" s="77">
        <v>44561000010</v>
      </c>
      <c r="C10" s="43" t="s">
        <v>188</v>
      </c>
      <c r="D10" s="29" t="s">
        <v>91</v>
      </c>
      <c r="E10" s="4">
        <v>44561</v>
      </c>
      <c r="F10" s="105"/>
      <c r="G10" s="79" t="s">
        <v>17</v>
      </c>
      <c r="H10" s="80" t="s">
        <v>64</v>
      </c>
      <c r="I10" s="81" t="s">
        <v>64</v>
      </c>
      <c r="J10" s="88"/>
      <c r="K10" s="83"/>
      <c r="L10" s="84"/>
      <c r="M10" s="89">
        <v>500000</v>
      </c>
      <c r="N10" s="82"/>
      <c r="O10" s="82"/>
      <c r="P10" s="86"/>
      <c r="Q10" s="43"/>
      <c r="T10" s="87">
        <v>44561</v>
      </c>
      <c r="U10" s="79"/>
      <c r="V10" s="81" t="s">
        <v>39</v>
      </c>
      <c r="W10" s="82"/>
      <c r="X10" s="82"/>
      <c r="Y10" s="82"/>
      <c r="Z10" s="82"/>
      <c r="AA10" s="82"/>
      <c r="AB10" s="82"/>
      <c r="AC10" s="83"/>
      <c r="AD10" s="83"/>
      <c r="AE10" s="83"/>
      <c r="AF10" s="83"/>
      <c r="AG10" s="83"/>
      <c r="AH10" s="83"/>
      <c r="AI10" s="83"/>
      <c r="AJ10" s="83"/>
      <c r="AK10" s="83"/>
      <c r="AL10" s="84"/>
      <c r="AM10" s="84"/>
      <c r="AN10" s="84"/>
      <c r="AO10" s="84"/>
      <c r="AP10" s="84"/>
      <c r="AQ10" s="84"/>
      <c r="AR10" s="84"/>
      <c r="AS10" s="84"/>
      <c r="AT10" s="84"/>
      <c r="AU10" s="89"/>
      <c r="AV10" s="89"/>
      <c r="AX10" s="90"/>
      <c r="BA10" s="43"/>
      <c r="BC10" s="295"/>
      <c r="BD10" s="296">
        <v>0</v>
      </c>
      <c r="BE10" s="296" t="s">
        <v>174</v>
      </c>
      <c r="BF10" s="296">
        <v>0</v>
      </c>
      <c r="BG10" s="297">
        <v>0</v>
      </c>
      <c r="BH10" s="298" t="s">
        <v>174</v>
      </c>
      <c r="BI10" s="299">
        <v>1</v>
      </c>
      <c r="BJ10" s="77" t="s">
        <v>174</v>
      </c>
      <c r="BK10" s="77" t="s">
        <v>39</v>
      </c>
      <c r="BL10" s="300">
        <v>1</v>
      </c>
      <c r="BM10" s="301" t="s">
        <v>64</v>
      </c>
      <c r="BN10" s="302" t="s">
        <v>174</v>
      </c>
      <c r="BO10" s="303"/>
      <c r="BP10" s="304" t="s">
        <v>174</v>
      </c>
      <c r="BQ10" s="305" t="s">
        <v>174</v>
      </c>
      <c r="BR10" s="306" t="s">
        <v>174</v>
      </c>
      <c r="BS10" s="299">
        <v>0</v>
      </c>
      <c r="BT10" s="307"/>
      <c r="BU10" s="308" t="s">
        <v>174</v>
      </c>
      <c r="BV10" s="303" t="s">
        <v>174</v>
      </c>
      <c r="BW10" s="306" t="s">
        <v>174</v>
      </c>
      <c r="BX10" s="299">
        <v>0</v>
      </c>
      <c r="BY10" s="307"/>
      <c r="BZ10" s="302" t="s">
        <v>174</v>
      </c>
      <c r="CA10" s="303"/>
      <c r="CB10" s="304" t="s">
        <v>174</v>
      </c>
      <c r="CC10" s="309" t="s">
        <v>174</v>
      </c>
      <c r="CD10" s="310" t="s">
        <v>174</v>
      </c>
      <c r="CE10" s="303">
        <v>0</v>
      </c>
      <c r="CF10" s="307"/>
      <c r="CG10" s="311" t="s">
        <v>174</v>
      </c>
      <c r="CH10" s="309" t="s">
        <v>174</v>
      </c>
      <c r="CI10" s="306" t="s">
        <v>174</v>
      </c>
      <c r="CJ10" s="299">
        <v>0</v>
      </c>
      <c r="CK10" s="307"/>
      <c r="CL10" s="299">
        <v>500000</v>
      </c>
      <c r="CM10" s="303" t="s">
        <v>174</v>
      </c>
      <c r="CN10" s="312" t="s">
        <v>64</v>
      </c>
      <c r="CO10" s="313">
        <v>44561</v>
      </c>
      <c r="CP10" s="314"/>
      <c r="CQ10" s="315"/>
      <c r="CR10" s="315">
        <v>0</v>
      </c>
      <c r="CS10" s="315">
        <v>0</v>
      </c>
      <c r="CT10" s="316">
        <v>0</v>
      </c>
      <c r="CU10" s="315">
        <v>0</v>
      </c>
      <c r="CV10" s="315">
        <v>0</v>
      </c>
      <c r="CW10" s="315">
        <v>0</v>
      </c>
      <c r="CX10" s="315">
        <v>0</v>
      </c>
      <c r="CY10" s="315">
        <v>0</v>
      </c>
      <c r="CZ10" s="315">
        <v>0</v>
      </c>
      <c r="DA10" s="315">
        <v>0</v>
      </c>
      <c r="DB10" s="303" t="s">
        <v>174</v>
      </c>
      <c r="DC10" s="303" t="s">
        <v>174</v>
      </c>
      <c r="DD10" s="303" t="s">
        <v>174</v>
      </c>
      <c r="DE10" s="303" t="s">
        <v>174</v>
      </c>
      <c r="DF10" s="315" t="s">
        <v>174</v>
      </c>
      <c r="DG10" s="315" t="s">
        <v>174</v>
      </c>
      <c r="DH10" s="315" t="s">
        <v>174</v>
      </c>
      <c r="DI10" s="315">
        <v>0</v>
      </c>
      <c r="DJ10" s="315" t="s">
        <v>309</v>
      </c>
      <c r="DK10" s="303"/>
      <c r="DL10" s="317" t="s">
        <v>174</v>
      </c>
      <c r="DM10" s="299" t="s">
        <v>174</v>
      </c>
      <c r="DN10" s="299" t="s">
        <v>174</v>
      </c>
      <c r="DO10" s="299" t="s">
        <v>174</v>
      </c>
      <c r="DP10" s="299" t="s">
        <v>174</v>
      </c>
      <c r="DQ10" s="299">
        <v>0</v>
      </c>
      <c r="DR10" s="299">
        <v>0</v>
      </c>
      <c r="DS10" s="299">
        <v>0</v>
      </c>
      <c r="DT10" s="299">
        <v>0</v>
      </c>
      <c r="DU10" s="299">
        <v>0</v>
      </c>
      <c r="DV10" s="299">
        <v>0</v>
      </c>
      <c r="DW10" s="318" t="s">
        <v>174</v>
      </c>
      <c r="DX10" s="319"/>
      <c r="DY10" s="319" t="s">
        <v>174</v>
      </c>
      <c r="DZ10" s="299" t="s">
        <v>174</v>
      </c>
      <c r="EA10" s="299" t="s">
        <v>174</v>
      </c>
      <c r="EB10" s="299">
        <v>0</v>
      </c>
      <c r="EC10" s="116">
        <v>500000</v>
      </c>
      <c r="ED10" s="116">
        <v>500000</v>
      </c>
      <c r="EE10" s="320" t="s">
        <v>174</v>
      </c>
      <c r="EF10" s="321" t="s">
        <v>174</v>
      </c>
      <c r="EG10" s="322">
        <v>0</v>
      </c>
      <c r="EH10" s="299">
        <v>0</v>
      </c>
      <c r="EI10" s="299">
        <v>0</v>
      </c>
      <c r="EJ10" s="299">
        <v>0</v>
      </c>
      <c r="EK10" s="323">
        <v>0</v>
      </c>
      <c r="EL10" s="303"/>
      <c r="EM10" s="299">
        <v>500000</v>
      </c>
      <c r="EN10" s="299">
        <v>500000</v>
      </c>
      <c r="EO10" s="323"/>
      <c r="EP10" s="303"/>
      <c r="EQ10" s="299">
        <v>500000</v>
      </c>
      <c r="ER10" s="299">
        <v>0</v>
      </c>
      <c r="ES10" s="299">
        <v>500000</v>
      </c>
      <c r="ET10" s="299">
        <v>0</v>
      </c>
      <c r="EU10" s="323">
        <v>0</v>
      </c>
      <c r="EV10" s="324">
        <v>0</v>
      </c>
      <c r="EW10" s="303"/>
      <c r="EX10" s="299">
        <v>500000</v>
      </c>
      <c r="EY10" s="299">
        <v>0</v>
      </c>
      <c r="EZ10" s="299">
        <v>500000</v>
      </c>
      <c r="FA10" s="299">
        <v>0</v>
      </c>
      <c r="FB10" s="299">
        <v>0</v>
      </c>
    </row>
    <row r="11" spans="1:189" ht="13">
      <c r="A11" s="10">
        <f>IF(HistSecRecord!$E$1&gt;=E11,1,0)</f>
        <v>1</v>
      </c>
      <c r="B11" s="77">
        <v>44562000011</v>
      </c>
      <c r="C11" s="43" t="s">
        <v>183</v>
      </c>
      <c r="D11" s="29" t="s">
        <v>80</v>
      </c>
      <c r="E11" s="4">
        <v>44562</v>
      </c>
      <c r="F11" s="105"/>
      <c r="G11" s="79" t="s">
        <v>17</v>
      </c>
      <c r="H11" s="80" t="s">
        <v>42</v>
      </c>
      <c r="I11" s="81" t="s">
        <v>16</v>
      </c>
      <c r="J11" s="88">
        <v>2</v>
      </c>
      <c r="K11" s="83"/>
      <c r="L11" s="84"/>
      <c r="M11" s="89"/>
      <c r="N11" s="82">
        <v>3360</v>
      </c>
      <c r="O11" s="82"/>
      <c r="P11" s="86"/>
      <c r="Q11" s="43"/>
      <c r="T11" s="87">
        <v>44562</v>
      </c>
      <c r="U11" s="79"/>
      <c r="V11" s="81" t="s">
        <v>41</v>
      </c>
      <c r="W11" s="82" t="s">
        <v>42</v>
      </c>
      <c r="X11" s="82">
        <v>3175.24</v>
      </c>
      <c r="Y11" s="82">
        <v>3185</v>
      </c>
      <c r="Z11" s="82">
        <v>3138.8</v>
      </c>
      <c r="AA11" s="82">
        <v>3178.35</v>
      </c>
      <c r="AB11" s="82">
        <v>817719</v>
      </c>
      <c r="AC11" s="83"/>
      <c r="AD11" s="83"/>
      <c r="AE11" s="83"/>
      <c r="AF11" s="83"/>
      <c r="AG11" s="83"/>
      <c r="AH11" s="83"/>
      <c r="AI11" s="83"/>
      <c r="AJ11" s="83"/>
      <c r="AK11" s="83"/>
      <c r="AL11" s="84"/>
      <c r="AM11" s="84"/>
      <c r="AN11" s="84"/>
      <c r="AO11" s="84"/>
      <c r="AP11" s="84"/>
      <c r="AQ11" s="84"/>
      <c r="AR11" s="84"/>
      <c r="AS11" s="84"/>
      <c r="AT11" s="84"/>
      <c r="AU11" s="89"/>
      <c r="AV11" s="89"/>
      <c r="AX11" s="90"/>
      <c r="BA11" s="43"/>
      <c r="BC11" s="295"/>
      <c r="BD11" s="296">
        <v>0</v>
      </c>
      <c r="BE11" s="296" t="s">
        <v>174</v>
      </c>
      <c r="BF11" s="296">
        <v>0</v>
      </c>
      <c r="BG11" s="297">
        <v>0</v>
      </c>
      <c r="BH11" s="298">
        <v>1</v>
      </c>
      <c r="BI11" s="299">
        <v>1</v>
      </c>
      <c r="BJ11" s="77">
        <v>2</v>
      </c>
      <c r="BK11" s="77" t="s">
        <v>41</v>
      </c>
      <c r="BL11" s="300">
        <v>7.7961</v>
      </c>
      <c r="BM11" s="301" t="s">
        <v>42</v>
      </c>
      <c r="BN11" s="302">
        <v>3360</v>
      </c>
      <c r="BO11" s="303"/>
      <c r="BP11" s="304">
        <v>3360</v>
      </c>
      <c r="BQ11" s="305">
        <v>2</v>
      </c>
      <c r="BR11" s="306">
        <v>6720</v>
      </c>
      <c r="BS11" s="299">
        <v>52389.792000000001</v>
      </c>
      <c r="BT11" s="307"/>
      <c r="BU11" s="308" t="s">
        <v>174</v>
      </c>
      <c r="BV11" s="303" t="s">
        <v>174</v>
      </c>
      <c r="BW11" s="306" t="s">
        <v>174</v>
      </c>
      <c r="BX11" s="299">
        <v>0</v>
      </c>
      <c r="BY11" s="307"/>
      <c r="BZ11" s="302" t="s">
        <v>174</v>
      </c>
      <c r="CA11" s="303"/>
      <c r="CB11" s="304" t="s">
        <v>174</v>
      </c>
      <c r="CC11" s="309" t="s">
        <v>174</v>
      </c>
      <c r="CD11" s="310" t="s">
        <v>174</v>
      </c>
      <c r="CE11" s="303">
        <v>0</v>
      </c>
      <c r="CF11" s="307"/>
      <c r="CG11" s="311" t="s">
        <v>174</v>
      </c>
      <c r="CH11" s="309" t="s">
        <v>174</v>
      </c>
      <c r="CI11" s="306" t="s">
        <v>174</v>
      </c>
      <c r="CJ11" s="299">
        <v>0</v>
      </c>
      <c r="CK11" s="307"/>
      <c r="CL11" s="299">
        <v>-52389.792000000001</v>
      </c>
      <c r="CM11" s="303" t="s">
        <v>174</v>
      </c>
      <c r="CN11" s="312" t="s">
        <v>42</v>
      </c>
      <c r="CO11" s="313">
        <v>44562</v>
      </c>
      <c r="CP11" s="314"/>
      <c r="CQ11" s="315"/>
      <c r="CR11" s="315">
        <v>0</v>
      </c>
      <c r="CS11" s="315">
        <v>0</v>
      </c>
      <c r="CT11" s="316">
        <v>0</v>
      </c>
      <c r="CU11" s="315">
        <v>0</v>
      </c>
      <c r="CV11" s="315">
        <v>0</v>
      </c>
      <c r="CW11" s="315">
        <v>0</v>
      </c>
      <c r="CX11" s="315">
        <v>2</v>
      </c>
      <c r="CY11" s="315">
        <v>0</v>
      </c>
      <c r="CZ11" s="315">
        <v>0</v>
      </c>
      <c r="DA11" s="315">
        <v>0</v>
      </c>
      <c r="DB11" s="303" t="s">
        <v>310</v>
      </c>
      <c r="DC11" s="303" t="s">
        <v>174</v>
      </c>
      <c r="DD11" s="303" t="s">
        <v>174</v>
      </c>
      <c r="DE11" s="303" t="s">
        <v>174</v>
      </c>
      <c r="DF11" s="315">
        <v>2</v>
      </c>
      <c r="DG11" s="315" t="s">
        <v>174</v>
      </c>
      <c r="DH11" s="315" t="s">
        <v>174</v>
      </c>
      <c r="DI11" s="315">
        <v>0</v>
      </c>
      <c r="DJ11" s="315" t="s">
        <v>310</v>
      </c>
      <c r="DK11" s="303"/>
      <c r="DL11" s="317">
        <v>26194.896000000001</v>
      </c>
      <c r="DM11" s="299">
        <v>52389.792000000001</v>
      </c>
      <c r="DN11" s="299">
        <v>-52389.792000000001</v>
      </c>
      <c r="DO11" s="299">
        <v>52389.792000000001</v>
      </c>
      <c r="DP11" s="299" t="s">
        <v>174</v>
      </c>
      <c r="DQ11" s="299">
        <v>0</v>
      </c>
      <c r="DR11" s="299">
        <v>0</v>
      </c>
      <c r="DS11" s="299">
        <v>0</v>
      </c>
      <c r="DT11" s="299">
        <v>0</v>
      </c>
      <c r="DU11" s="299">
        <v>0</v>
      </c>
      <c r="DV11" s="299">
        <v>0</v>
      </c>
      <c r="DW11" s="318" t="s">
        <v>174</v>
      </c>
      <c r="DX11" s="319"/>
      <c r="DY11" s="319" t="s">
        <v>174</v>
      </c>
      <c r="DZ11" s="299" t="s">
        <v>174</v>
      </c>
      <c r="EA11" s="299" t="s">
        <v>174</v>
      </c>
      <c r="EB11" s="299">
        <v>0</v>
      </c>
      <c r="EC11" s="116">
        <v>-52389.792000000001</v>
      </c>
      <c r="ED11" s="116">
        <v>-52389.792000000001</v>
      </c>
      <c r="EE11" s="320" t="s">
        <v>174</v>
      </c>
      <c r="EF11" s="321">
        <v>-2</v>
      </c>
      <c r="EG11" s="322">
        <v>500000</v>
      </c>
      <c r="EH11" s="299">
        <v>0</v>
      </c>
      <c r="EI11" s="299">
        <v>500000</v>
      </c>
      <c r="EJ11" s="299">
        <v>500000</v>
      </c>
      <c r="EK11" s="323">
        <v>0</v>
      </c>
      <c r="EL11" s="303"/>
      <c r="EM11" s="299">
        <v>-52389.792000000001</v>
      </c>
      <c r="EN11" s="299">
        <v>-52389.792000000001</v>
      </c>
      <c r="EO11" s="323"/>
      <c r="EP11" s="303"/>
      <c r="EQ11" s="299">
        <v>447610.20799999998</v>
      </c>
      <c r="ER11" s="299">
        <v>52389.792000000001</v>
      </c>
      <c r="ES11" s="299">
        <v>500000</v>
      </c>
      <c r="ET11" s="299">
        <v>447610.20799999998</v>
      </c>
      <c r="EU11" s="323">
        <v>0</v>
      </c>
      <c r="EV11" s="324">
        <v>0</v>
      </c>
      <c r="EW11" s="303"/>
      <c r="EX11" s="299">
        <v>447610.20799999998</v>
      </c>
      <c r="EY11" s="299">
        <v>52389.792000000001</v>
      </c>
      <c r="EZ11" s="299">
        <v>500000</v>
      </c>
      <c r="FA11" s="299">
        <v>447610.20799999998</v>
      </c>
      <c r="FB11" s="299">
        <v>0</v>
      </c>
    </row>
    <row r="12" spans="1:189" ht="13">
      <c r="A12" s="10">
        <f>IF(HistSecRecord!$E$1&gt;=E12,1,0)</f>
        <v>1</v>
      </c>
      <c r="B12" s="77">
        <v>44562000029</v>
      </c>
      <c r="C12" s="43" t="s">
        <v>185</v>
      </c>
      <c r="D12" s="29" t="s">
        <v>84</v>
      </c>
      <c r="E12" s="4">
        <v>44562</v>
      </c>
      <c r="F12" s="105"/>
      <c r="G12" s="79" t="s">
        <v>17</v>
      </c>
      <c r="H12" s="80" t="s">
        <v>63</v>
      </c>
      <c r="I12" s="81" t="s">
        <v>61</v>
      </c>
      <c r="J12" s="88"/>
      <c r="K12" s="83"/>
      <c r="L12" s="84"/>
      <c r="M12" s="89">
        <v>10000</v>
      </c>
      <c r="N12" s="82"/>
      <c r="O12" s="82"/>
      <c r="P12" s="86"/>
      <c r="Q12" s="43"/>
      <c r="T12" s="87">
        <v>44562</v>
      </c>
      <c r="U12" s="79"/>
      <c r="V12" s="81" t="s">
        <v>39</v>
      </c>
      <c r="W12" s="82"/>
      <c r="X12" s="82"/>
      <c r="Y12" s="82"/>
      <c r="Z12" s="82"/>
      <c r="AA12" s="82"/>
      <c r="AB12" s="82"/>
      <c r="AC12" s="83"/>
      <c r="AD12" s="83"/>
      <c r="AE12" s="83"/>
      <c r="AF12" s="83"/>
      <c r="AG12" s="83"/>
      <c r="AH12" s="83"/>
      <c r="AI12" s="83"/>
      <c r="AJ12" s="83"/>
      <c r="AK12" s="83"/>
      <c r="AL12" s="84"/>
      <c r="AM12" s="84"/>
      <c r="AN12" s="84"/>
      <c r="AO12" s="84"/>
      <c r="AP12" s="84"/>
      <c r="AQ12" s="84"/>
      <c r="AR12" s="84"/>
      <c r="AS12" s="84"/>
      <c r="AT12" s="84"/>
      <c r="AU12" s="89"/>
      <c r="AV12" s="89"/>
      <c r="AX12" s="90"/>
      <c r="BA12" s="43"/>
      <c r="BC12" s="295"/>
      <c r="BD12" s="296">
        <v>0</v>
      </c>
      <c r="BE12" s="296" t="s">
        <v>174</v>
      </c>
      <c r="BF12" s="296">
        <v>0</v>
      </c>
      <c r="BG12" s="297">
        <v>0</v>
      </c>
      <c r="BH12" s="298">
        <v>4</v>
      </c>
      <c r="BI12" s="299">
        <v>1</v>
      </c>
      <c r="BJ12" s="77">
        <v>10000</v>
      </c>
      <c r="BK12" s="77" t="s">
        <v>39</v>
      </c>
      <c r="BL12" s="300">
        <v>1</v>
      </c>
      <c r="BM12" s="301" t="s">
        <v>63</v>
      </c>
      <c r="BN12" s="302" t="s">
        <v>174</v>
      </c>
      <c r="BO12" s="303"/>
      <c r="BP12" s="304" t="s">
        <v>174</v>
      </c>
      <c r="BQ12" s="305" t="s">
        <v>174</v>
      </c>
      <c r="BR12" s="306" t="s">
        <v>174</v>
      </c>
      <c r="BS12" s="299">
        <v>0</v>
      </c>
      <c r="BT12" s="307"/>
      <c r="BU12" s="308" t="s">
        <v>174</v>
      </c>
      <c r="BV12" s="303" t="s">
        <v>174</v>
      </c>
      <c r="BW12" s="306" t="s">
        <v>174</v>
      </c>
      <c r="BX12" s="299">
        <v>0</v>
      </c>
      <c r="BY12" s="307"/>
      <c r="BZ12" s="302" t="s">
        <v>174</v>
      </c>
      <c r="CA12" s="303"/>
      <c r="CB12" s="304" t="s">
        <v>174</v>
      </c>
      <c r="CC12" s="309" t="s">
        <v>174</v>
      </c>
      <c r="CD12" s="310" t="s">
        <v>174</v>
      </c>
      <c r="CE12" s="303">
        <v>0</v>
      </c>
      <c r="CF12" s="307"/>
      <c r="CG12" s="311">
        <v>1.4999999999999999E-4</v>
      </c>
      <c r="CH12" s="309">
        <v>10000</v>
      </c>
      <c r="CI12" s="306">
        <v>10000</v>
      </c>
      <c r="CJ12" s="299">
        <v>10000</v>
      </c>
      <c r="CK12" s="307"/>
      <c r="CL12" s="299">
        <v>-10000</v>
      </c>
      <c r="CM12" s="303" t="s">
        <v>174</v>
      </c>
      <c r="CN12" s="312" t="s">
        <v>63</v>
      </c>
      <c r="CO12" s="313">
        <v>44562</v>
      </c>
      <c r="CP12" s="314"/>
      <c r="CQ12" s="315"/>
      <c r="CR12" s="315">
        <v>0</v>
      </c>
      <c r="CS12" s="315">
        <v>0</v>
      </c>
      <c r="CT12" s="316">
        <v>0</v>
      </c>
      <c r="CU12" s="315">
        <v>0</v>
      </c>
      <c r="CV12" s="315">
        <v>0</v>
      </c>
      <c r="CW12" s="315">
        <v>0</v>
      </c>
      <c r="CX12" s="315">
        <v>0</v>
      </c>
      <c r="CY12" s="315">
        <v>0</v>
      </c>
      <c r="CZ12" s="315">
        <v>0</v>
      </c>
      <c r="DA12" s="315">
        <v>10000</v>
      </c>
      <c r="DB12" s="303" t="s">
        <v>174</v>
      </c>
      <c r="DC12" s="303" t="s">
        <v>174</v>
      </c>
      <c r="DD12" s="303" t="s">
        <v>174</v>
      </c>
      <c r="DE12" s="303" t="s">
        <v>310</v>
      </c>
      <c r="DF12" s="315" t="s">
        <v>174</v>
      </c>
      <c r="DG12" s="315" t="s">
        <v>174</v>
      </c>
      <c r="DH12" s="315" t="s">
        <v>174</v>
      </c>
      <c r="DI12" s="315">
        <v>10000</v>
      </c>
      <c r="DJ12" s="315" t="s">
        <v>310</v>
      </c>
      <c r="DK12" s="303"/>
      <c r="DL12" s="317" t="s">
        <v>174</v>
      </c>
      <c r="DM12" s="299" t="s">
        <v>174</v>
      </c>
      <c r="DN12" s="299" t="s">
        <v>174</v>
      </c>
      <c r="DO12" s="299" t="s">
        <v>174</v>
      </c>
      <c r="DP12" s="299" t="s">
        <v>174</v>
      </c>
      <c r="DQ12" s="299">
        <v>0</v>
      </c>
      <c r="DR12" s="299">
        <v>0</v>
      </c>
      <c r="DS12" s="299">
        <v>0</v>
      </c>
      <c r="DT12" s="299">
        <v>0</v>
      </c>
      <c r="DU12" s="299">
        <v>10000</v>
      </c>
      <c r="DV12" s="299">
        <v>-10000</v>
      </c>
      <c r="DW12" s="318" t="s">
        <v>174</v>
      </c>
      <c r="DX12" s="319"/>
      <c r="DY12" s="319" t="s">
        <v>174</v>
      </c>
      <c r="DZ12" s="299" t="s">
        <v>174</v>
      </c>
      <c r="EA12" s="299" t="s">
        <v>174</v>
      </c>
      <c r="EB12" s="299">
        <v>0</v>
      </c>
      <c r="EC12" s="116">
        <v>-10000</v>
      </c>
      <c r="ED12" s="116">
        <v>-10000</v>
      </c>
      <c r="EE12" s="320" t="s">
        <v>174</v>
      </c>
      <c r="EF12" s="321">
        <v>-10000</v>
      </c>
      <c r="EG12" s="322">
        <v>500000</v>
      </c>
      <c r="EH12" s="299">
        <v>0</v>
      </c>
      <c r="EI12" s="299">
        <v>500000</v>
      </c>
      <c r="EJ12" s="299">
        <v>500000</v>
      </c>
      <c r="EK12" s="323">
        <v>0</v>
      </c>
      <c r="EL12" s="303"/>
      <c r="EM12" s="299">
        <v>-10000</v>
      </c>
      <c r="EN12" s="299">
        <v>-10000</v>
      </c>
      <c r="EO12" s="323"/>
      <c r="EP12" s="303"/>
      <c r="EQ12" s="299">
        <v>490000</v>
      </c>
      <c r="ER12" s="299">
        <v>10000</v>
      </c>
      <c r="ES12" s="299">
        <v>500000</v>
      </c>
      <c r="ET12" s="299">
        <v>490000</v>
      </c>
      <c r="EU12" s="323">
        <v>0</v>
      </c>
      <c r="EV12" s="324">
        <v>0</v>
      </c>
      <c r="EW12" s="303"/>
      <c r="EX12" s="299">
        <v>490000</v>
      </c>
      <c r="EY12" s="299">
        <v>10000</v>
      </c>
      <c r="EZ12" s="299">
        <v>500000</v>
      </c>
      <c r="FA12" s="299">
        <v>490000</v>
      </c>
      <c r="FB12" s="299">
        <v>0</v>
      </c>
    </row>
    <row r="13" spans="1:189" ht="13">
      <c r="A13" s="10">
        <f>IF(HistSecRecord!$E$1&gt;=E13,1,0)</f>
        <v>1</v>
      </c>
      <c r="B13" s="77">
        <v>44562000030</v>
      </c>
      <c r="C13" s="43" t="s">
        <v>185</v>
      </c>
      <c r="D13" s="29" t="s">
        <v>84</v>
      </c>
      <c r="E13" s="4">
        <v>44562</v>
      </c>
      <c r="F13" s="105"/>
      <c r="G13" s="79" t="s">
        <v>17</v>
      </c>
      <c r="H13" s="80" t="s">
        <v>7</v>
      </c>
      <c r="I13" s="81" t="s">
        <v>18</v>
      </c>
      <c r="J13" s="88"/>
      <c r="K13" s="103">
        <v>40</v>
      </c>
      <c r="L13" s="56"/>
      <c r="M13" s="104"/>
      <c r="N13" s="82">
        <v>25</v>
      </c>
      <c r="O13" s="82"/>
      <c r="P13" s="86"/>
      <c r="Q13" s="43"/>
      <c r="T13" s="87">
        <v>44562</v>
      </c>
      <c r="U13" s="102"/>
      <c r="V13" s="81" t="s">
        <v>41</v>
      </c>
      <c r="W13" s="82" t="s">
        <v>157</v>
      </c>
      <c r="X13" s="82" t="s">
        <v>157</v>
      </c>
      <c r="Y13" s="82" t="s">
        <v>157</v>
      </c>
      <c r="Z13" s="82" t="s">
        <v>157</v>
      </c>
      <c r="AA13" s="82" t="s">
        <v>157</v>
      </c>
      <c r="AB13" s="82" t="s">
        <v>157</v>
      </c>
      <c r="AC13" s="83" t="s">
        <v>158</v>
      </c>
      <c r="AD13" s="83">
        <v>10.79</v>
      </c>
      <c r="AE13" s="83">
        <v>13.21</v>
      </c>
      <c r="AF13" s="83">
        <v>0.115</v>
      </c>
      <c r="AG13" s="83">
        <v>44948</v>
      </c>
      <c r="AH13" s="83" t="s">
        <v>159</v>
      </c>
      <c r="AI13" s="83">
        <v>1.006</v>
      </c>
      <c r="AJ13" s="83" t="s">
        <v>160</v>
      </c>
      <c r="AK13" s="83" t="s">
        <v>161</v>
      </c>
      <c r="AL13" s="56"/>
      <c r="AM13" s="56"/>
      <c r="AN13" s="56"/>
      <c r="AO13" s="56"/>
      <c r="AP13" s="56"/>
      <c r="AQ13" s="56"/>
      <c r="AR13" s="56"/>
      <c r="AS13" s="56"/>
      <c r="AT13" s="56"/>
      <c r="AU13" s="104"/>
      <c r="AV13" s="104"/>
      <c r="AX13" s="90"/>
      <c r="BA13" s="43"/>
      <c r="BC13" s="295"/>
      <c r="BD13" s="296">
        <v>0</v>
      </c>
      <c r="BE13" s="296" t="s">
        <v>174</v>
      </c>
      <c r="BF13" s="296">
        <v>0</v>
      </c>
      <c r="BG13" s="297">
        <v>0</v>
      </c>
      <c r="BH13" s="298">
        <v>2</v>
      </c>
      <c r="BI13" s="299">
        <v>1</v>
      </c>
      <c r="BJ13" s="77">
        <v>40</v>
      </c>
      <c r="BK13" s="77" t="s">
        <v>41</v>
      </c>
      <c r="BL13" s="300">
        <v>7.7961</v>
      </c>
      <c r="BM13" s="301" t="s">
        <v>7</v>
      </c>
      <c r="BN13" s="302" t="s">
        <v>174</v>
      </c>
      <c r="BO13" s="303"/>
      <c r="BP13" s="304" t="s">
        <v>174</v>
      </c>
      <c r="BQ13" s="305" t="s">
        <v>174</v>
      </c>
      <c r="BR13" s="306" t="s">
        <v>174</v>
      </c>
      <c r="BS13" s="299">
        <v>0</v>
      </c>
      <c r="BT13" s="307"/>
      <c r="BU13" s="325">
        <v>13.21</v>
      </c>
      <c r="BV13" s="303">
        <v>40</v>
      </c>
      <c r="BW13" s="306">
        <v>5284.0000000000009</v>
      </c>
      <c r="BX13" s="299">
        <v>41194.592400000009</v>
      </c>
      <c r="BY13" s="307"/>
      <c r="BZ13" s="302" t="s">
        <v>174</v>
      </c>
      <c r="CA13" s="303"/>
      <c r="CB13" s="304" t="s">
        <v>174</v>
      </c>
      <c r="CC13" s="309" t="s">
        <v>174</v>
      </c>
      <c r="CD13" s="310" t="s">
        <v>174</v>
      </c>
      <c r="CE13" s="303">
        <v>0</v>
      </c>
      <c r="CF13" s="307"/>
      <c r="CG13" s="311" t="s">
        <v>174</v>
      </c>
      <c r="CH13" s="309" t="s">
        <v>174</v>
      </c>
      <c r="CI13" s="306" t="s">
        <v>174</v>
      </c>
      <c r="CJ13" s="299">
        <v>0</v>
      </c>
      <c r="CK13" s="307"/>
      <c r="CL13" s="299">
        <v>-41194.592400000009</v>
      </c>
      <c r="CM13" s="303" t="s">
        <v>174</v>
      </c>
      <c r="CN13" s="312" t="s">
        <v>7</v>
      </c>
      <c r="CO13" s="313">
        <v>44562</v>
      </c>
      <c r="CP13" s="314"/>
      <c r="CQ13" s="315"/>
      <c r="CR13" s="315">
        <v>0</v>
      </c>
      <c r="CS13" s="315">
        <v>0</v>
      </c>
      <c r="CT13" s="316">
        <v>0</v>
      </c>
      <c r="CU13" s="315">
        <v>0</v>
      </c>
      <c r="CV13" s="315">
        <v>0</v>
      </c>
      <c r="CW13" s="315">
        <v>0</v>
      </c>
      <c r="CX13" s="315">
        <v>0</v>
      </c>
      <c r="CY13" s="315">
        <v>40</v>
      </c>
      <c r="CZ13" s="315">
        <v>0</v>
      </c>
      <c r="DA13" s="315">
        <v>0</v>
      </c>
      <c r="DB13" s="303" t="s">
        <v>174</v>
      </c>
      <c r="DC13" s="303" t="s">
        <v>310</v>
      </c>
      <c r="DD13" s="303" t="s">
        <v>174</v>
      </c>
      <c r="DE13" s="303" t="s">
        <v>174</v>
      </c>
      <c r="DF13" s="315" t="s">
        <v>174</v>
      </c>
      <c r="DG13" s="315">
        <v>40</v>
      </c>
      <c r="DH13" s="315" t="s">
        <v>174</v>
      </c>
      <c r="DI13" s="315">
        <v>0</v>
      </c>
      <c r="DJ13" s="315" t="s">
        <v>310</v>
      </c>
      <c r="DK13" s="303"/>
      <c r="DL13" s="317" t="s">
        <v>174</v>
      </c>
      <c r="DM13" s="299" t="s">
        <v>174</v>
      </c>
      <c r="DN13" s="299" t="s">
        <v>174</v>
      </c>
      <c r="DO13" s="299" t="s">
        <v>174</v>
      </c>
      <c r="DP13" s="299" t="s">
        <v>174</v>
      </c>
      <c r="DQ13" s="299">
        <v>0</v>
      </c>
      <c r="DR13" s="299">
        <v>41194.592400000009</v>
      </c>
      <c r="DS13" s="299">
        <v>-41194.592400000001</v>
      </c>
      <c r="DT13" s="299">
        <v>0</v>
      </c>
      <c r="DU13" s="299">
        <v>0</v>
      </c>
      <c r="DV13" s="299">
        <v>0</v>
      </c>
      <c r="DW13" s="318" t="s">
        <v>174</v>
      </c>
      <c r="DX13" s="319"/>
      <c r="DY13" s="319" t="s">
        <v>174</v>
      </c>
      <c r="DZ13" s="299" t="s">
        <v>174</v>
      </c>
      <c r="EA13" s="299" t="s">
        <v>174</v>
      </c>
      <c r="EB13" s="299">
        <v>0</v>
      </c>
      <c r="EC13" s="116">
        <v>-41194.592400000009</v>
      </c>
      <c r="ED13" s="116">
        <v>-41194.592400000001</v>
      </c>
      <c r="EE13" s="320" t="s">
        <v>174</v>
      </c>
      <c r="EF13" s="321">
        <v>-40</v>
      </c>
      <c r="EG13" s="322">
        <v>490000</v>
      </c>
      <c r="EH13" s="299">
        <v>10000</v>
      </c>
      <c r="EI13" s="299">
        <v>500000</v>
      </c>
      <c r="EJ13" s="299">
        <v>500000</v>
      </c>
      <c r="EK13" s="323">
        <v>0</v>
      </c>
      <c r="EL13" s="303"/>
      <c r="EM13" s="299">
        <v>-41194.592400000009</v>
      </c>
      <c r="EN13" s="299">
        <v>-41194.592400000001</v>
      </c>
      <c r="EO13" s="323"/>
      <c r="EP13" s="303"/>
      <c r="EQ13" s="299">
        <v>448805.40759999998</v>
      </c>
      <c r="ER13" s="299">
        <v>51194.592400000009</v>
      </c>
      <c r="ES13" s="299">
        <v>500000</v>
      </c>
      <c r="ET13" s="299">
        <v>458805.40759999998</v>
      </c>
      <c r="EU13" s="323">
        <v>0</v>
      </c>
      <c r="EV13" s="324">
        <v>0</v>
      </c>
      <c r="EW13" s="303"/>
      <c r="EX13" s="299">
        <v>448805.40759999998</v>
      </c>
      <c r="EY13" s="299">
        <v>51194.592400000009</v>
      </c>
      <c r="EZ13" s="299">
        <v>500000</v>
      </c>
      <c r="FA13" s="299">
        <v>458805.40759999998</v>
      </c>
      <c r="FB13" s="299">
        <v>0</v>
      </c>
    </row>
    <row r="14" spans="1:189" ht="13">
      <c r="A14" s="10">
        <f>IF(HistSecRecord!$E$1&gt;=E14,1,0)</f>
        <v>1</v>
      </c>
      <c r="B14" s="77">
        <v>44562000031</v>
      </c>
      <c r="C14" s="43" t="s">
        <v>185</v>
      </c>
      <c r="D14" s="29" t="s">
        <v>84</v>
      </c>
      <c r="E14" s="4">
        <v>44562</v>
      </c>
      <c r="F14" s="105"/>
      <c r="G14" s="79" t="s">
        <v>17</v>
      </c>
      <c r="H14" s="80" t="s">
        <v>63</v>
      </c>
      <c r="I14" s="81" t="s">
        <v>61</v>
      </c>
      <c r="J14" s="88"/>
      <c r="K14" s="103"/>
      <c r="L14" s="56"/>
      <c r="M14" s="104">
        <v>20000</v>
      </c>
      <c r="N14" s="82"/>
      <c r="O14" s="82"/>
      <c r="P14" s="86"/>
      <c r="Q14" s="43"/>
      <c r="T14" s="87">
        <v>44562</v>
      </c>
      <c r="U14" s="102"/>
      <c r="V14" s="81" t="s">
        <v>39</v>
      </c>
      <c r="W14" s="113"/>
      <c r="X14" s="113"/>
      <c r="Y14" s="113"/>
      <c r="Z14" s="113"/>
      <c r="AA14" s="113"/>
      <c r="AB14" s="113"/>
      <c r="AC14" s="103"/>
      <c r="AD14" s="103"/>
      <c r="AE14" s="103"/>
      <c r="AF14" s="103"/>
      <c r="AG14" s="103"/>
      <c r="AH14" s="103"/>
      <c r="AI14" s="103"/>
      <c r="AJ14" s="103"/>
      <c r="AK14" s="103"/>
      <c r="AL14" s="56"/>
      <c r="AM14" s="56"/>
      <c r="AN14" s="56"/>
      <c r="AO14" s="56"/>
      <c r="AP14" s="56"/>
      <c r="AQ14" s="56"/>
      <c r="AR14" s="56"/>
      <c r="AS14" s="56"/>
      <c r="AT14" s="56"/>
      <c r="AU14" s="104"/>
      <c r="AV14" s="104"/>
      <c r="AX14" s="90"/>
      <c r="BA14" s="43"/>
      <c r="BC14" s="295"/>
      <c r="BD14" s="296">
        <v>0</v>
      </c>
      <c r="BE14" s="296" t="s">
        <v>174</v>
      </c>
      <c r="BF14" s="296">
        <v>0</v>
      </c>
      <c r="BG14" s="297">
        <v>0</v>
      </c>
      <c r="BH14" s="298">
        <v>4</v>
      </c>
      <c r="BI14" s="299">
        <v>1</v>
      </c>
      <c r="BJ14" s="77">
        <v>20000</v>
      </c>
      <c r="BK14" s="77" t="s">
        <v>39</v>
      </c>
      <c r="BL14" s="300">
        <v>1</v>
      </c>
      <c r="BM14" s="301" t="s">
        <v>63</v>
      </c>
      <c r="BN14" s="302" t="s">
        <v>174</v>
      </c>
      <c r="BO14" s="303"/>
      <c r="BP14" s="304" t="s">
        <v>174</v>
      </c>
      <c r="BQ14" s="305" t="s">
        <v>174</v>
      </c>
      <c r="BR14" s="306" t="s">
        <v>174</v>
      </c>
      <c r="BS14" s="299">
        <v>0</v>
      </c>
      <c r="BT14" s="307"/>
      <c r="BU14" s="308" t="s">
        <v>174</v>
      </c>
      <c r="BV14" s="303" t="s">
        <v>174</v>
      </c>
      <c r="BW14" s="306" t="s">
        <v>174</v>
      </c>
      <c r="BX14" s="299">
        <v>0</v>
      </c>
      <c r="BY14" s="307"/>
      <c r="BZ14" s="302" t="s">
        <v>174</v>
      </c>
      <c r="CA14" s="303"/>
      <c r="CB14" s="304" t="s">
        <v>174</v>
      </c>
      <c r="CC14" s="309" t="s">
        <v>174</v>
      </c>
      <c r="CD14" s="310" t="s">
        <v>174</v>
      </c>
      <c r="CE14" s="303">
        <v>0</v>
      </c>
      <c r="CF14" s="307"/>
      <c r="CG14" s="311">
        <v>1.4999999999999999E-4</v>
      </c>
      <c r="CH14" s="309">
        <v>20000</v>
      </c>
      <c r="CI14" s="306">
        <v>20000</v>
      </c>
      <c r="CJ14" s="299">
        <v>20000</v>
      </c>
      <c r="CK14" s="307"/>
      <c r="CL14" s="299">
        <v>-20000</v>
      </c>
      <c r="CM14" s="303" t="s">
        <v>174</v>
      </c>
      <c r="CN14" s="312" t="s">
        <v>63</v>
      </c>
      <c r="CO14" s="313">
        <v>44562</v>
      </c>
      <c r="CP14" s="314"/>
      <c r="CQ14" s="315"/>
      <c r="CR14" s="315">
        <v>0</v>
      </c>
      <c r="CS14" s="315">
        <v>0</v>
      </c>
      <c r="CT14" s="316">
        <v>0</v>
      </c>
      <c r="CU14" s="315">
        <v>0</v>
      </c>
      <c r="CV14" s="315">
        <v>0</v>
      </c>
      <c r="CW14" s="315">
        <v>10000</v>
      </c>
      <c r="CX14" s="315">
        <v>0</v>
      </c>
      <c r="CY14" s="315">
        <v>0</v>
      </c>
      <c r="CZ14" s="315">
        <v>0</v>
      </c>
      <c r="DA14" s="315">
        <v>30000</v>
      </c>
      <c r="DB14" s="303" t="s">
        <v>174</v>
      </c>
      <c r="DC14" s="303" t="s">
        <v>174</v>
      </c>
      <c r="DD14" s="303" t="s">
        <v>174</v>
      </c>
      <c r="DE14" s="303" t="s">
        <v>310</v>
      </c>
      <c r="DF14" s="315" t="s">
        <v>174</v>
      </c>
      <c r="DG14" s="315" t="s">
        <v>174</v>
      </c>
      <c r="DH14" s="315" t="s">
        <v>174</v>
      </c>
      <c r="DI14" s="315">
        <v>20000</v>
      </c>
      <c r="DJ14" s="315" t="s">
        <v>310</v>
      </c>
      <c r="DK14" s="303"/>
      <c r="DL14" s="317" t="s">
        <v>174</v>
      </c>
      <c r="DM14" s="299" t="s">
        <v>174</v>
      </c>
      <c r="DN14" s="299" t="s">
        <v>174</v>
      </c>
      <c r="DO14" s="299" t="s">
        <v>174</v>
      </c>
      <c r="DP14" s="299" t="s">
        <v>174</v>
      </c>
      <c r="DQ14" s="299">
        <v>0</v>
      </c>
      <c r="DR14" s="299">
        <v>0</v>
      </c>
      <c r="DS14" s="299">
        <v>0</v>
      </c>
      <c r="DT14" s="299">
        <v>0</v>
      </c>
      <c r="DU14" s="299">
        <v>20000</v>
      </c>
      <c r="DV14" s="299">
        <v>-20000</v>
      </c>
      <c r="DW14" s="318" t="s">
        <v>174</v>
      </c>
      <c r="DX14" s="319"/>
      <c r="DY14" s="319" t="s">
        <v>174</v>
      </c>
      <c r="DZ14" s="299" t="s">
        <v>174</v>
      </c>
      <c r="EA14" s="299" t="s">
        <v>174</v>
      </c>
      <c r="EB14" s="299">
        <v>0</v>
      </c>
      <c r="EC14" s="116">
        <v>-20000</v>
      </c>
      <c r="ED14" s="116">
        <v>-20000</v>
      </c>
      <c r="EE14" s="320" t="s">
        <v>174</v>
      </c>
      <c r="EF14" s="321">
        <v>-20000</v>
      </c>
      <c r="EG14" s="322">
        <v>448805.40759999998</v>
      </c>
      <c r="EH14" s="299">
        <v>51194.592400000009</v>
      </c>
      <c r="EI14" s="299">
        <v>500000</v>
      </c>
      <c r="EJ14" s="299">
        <v>458805.40759999998</v>
      </c>
      <c r="EK14" s="323">
        <v>0</v>
      </c>
      <c r="EL14" s="303"/>
      <c r="EM14" s="299">
        <v>-20000</v>
      </c>
      <c r="EN14" s="299">
        <v>-20000</v>
      </c>
      <c r="EO14" s="323"/>
      <c r="EP14" s="303"/>
      <c r="EQ14" s="299">
        <v>428805.40759999998</v>
      </c>
      <c r="ER14" s="299">
        <v>71194.592400000009</v>
      </c>
      <c r="ES14" s="299">
        <v>500000</v>
      </c>
      <c r="ET14" s="299">
        <v>438805.40759999998</v>
      </c>
      <c r="EU14" s="323">
        <v>0</v>
      </c>
      <c r="EV14" s="324">
        <v>0</v>
      </c>
      <c r="EW14" s="303"/>
      <c r="EX14" s="299">
        <v>428805.40759999998</v>
      </c>
      <c r="EY14" s="299">
        <v>71194.592400000009</v>
      </c>
      <c r="EZ14" s="299">
        <v>500000</v>
      </c>
      <c r="FA14" s="299">
        <v>438805.40759999998</v>
      </c>
      <c r="FB14" s="299">
        <v>0</v>
      </c>
    </row>
    <row r="15" spans="1:189" ht="13">
      <c r="A15" s="10">
        <f>IF(HistSecRecord!$E$1&gt;=E15,1,0)</f>
        <v>1</v>
      </c>
      <c r="B15" s="77">
        <v>44562000035</v>
      </c>
      <c r="C15" s="43" t="s">
        <v>185</v>
      </c>
      <c r="D15" s="29" t="s">
        <v>84</v>
      </c>
      <c r="E15" s="4">
        <v>44562</v>
      </c>
      <c r="F15" s="105"/>
      <c r="G15" s="79" t="s">
        <v>17</v>
      </c>
      <c r="H15" s="80" t="s">
        <v>38</v>
      </c>
      <c r="I15" s="81" t="s">
        <v>16</v>
      </c>
      <c r="J15" s="88">
        <v>10</v>
      </c>
      <c r="K15" s="103"/>
      <c r="L15" s="56"/>
      <c r="M15" s="104"/>
      <c r="N15" s="82">
        <v>460</v>
      </c>
      <c r="O15" s="82"/>
      <c r="P15" s="86"/>
      <c r="Q15" s="43"/>
      <c r="T15" s="87">
        <v>44562</v>
      </c>
      <c r="U15" s="102"/>
      <c r="V15" s="81" t="s">
        <v>39</v>
      </c>
      <c r="W15" s="82" t="s">
        <v>38</v>
      </c>
      <c r="X15" s="82">
        <v>453</v>
      </c>
      <c r="Y15" s="82">
        <v>458</v>
      </c>
      <c r="Z15" s="82">
        <v>450</v>
      </c>
      <c r="AA15" s="82">
        <v>452.8</v>
      </c>
      <c r="AB15" s="82">
        <v>17490032</v>
      </c>
      <c r="AC15" s="103"/>
      <c r="AD15" s="103"/>
      <c r="AE15" s="103"/>
      <c r="AF15" s="103"/>
      <c r="AG15" s="103"/>
      <c r="AH15" s="103"/>
      <c r="AI15" s="103"/>
      <c r="AJ15" s="103"/>
      <c r="AK15" s="103"/>
      <c r="AL15" s="56"/>
      <c r="AM15" s="56"/>
      <c r="AN15" s="56"/>
      <c r="AO15" s="56"/>
      <c r="AP15" s="56"/>
      <c r="AQ15" s="56"/>
      <c r="AR15" s="56"/>
      <c r="AS15" s="56"/>
      <c r="AT15" s="56"/>
      <c r="AU15" s="104"/>
      <c r="AV15" s="104"/>
      <c r="AX15" s="90" t="s">
        <v>153</v>
      </c>
      <c r="BA15" s="43"/>
      <c r="BC15" s="295"/>
      <c r="BD15" s="296">
        <v>0</v>
      </c>
      <c r="BE15" s="296" t="s">
        <v>174</v>
      </c>
      <c r="BF15" s="296">
        <v>0</v>
      </c>
      <c r="BG15" s="297">
        <v>0</v>
      </c>
      <c r="BH15" s="298">
        <v>1</v>
      </c>
      <c r="BI15" s="299">
        <v>1</v>
      </c>
      <c r="BJ15" s="77">
        <v>10</v>
      </c>
      <c r="BK15" s="77" t="s">
        <v>39</v>
      </c>
      <c r="BL15" s="300">
        <v>1</v>
      </c>
      <c r="BM15" s="301" t="s">
        <v>38</v>
      </c>
      <c r="BN15" s="302">
        <v>460</v>
      </c>
      <c r="BO15" s="303"/>
      <c r="BP15" s="304">
        <v>460</v>
      </c>
      <c r="BQ15" s="305">
        <v>10</v>
      </c>
      <c r="BR15" s="306">
        <v>4600</v>
      </c>
      <c r="BS15" s="299">
        <v>4600</v>
      </c>
      <c r="BT15" s="307"/>
      <c r="BU15" s="308" t="s">
        <v>174</v>
      </c>
      <c r="BV15" s="303" t="s">
        <v>174</v>
      </c>
      <c r="BW15" s="306" t="s">
        <v>174</v>
      </c>
      <c r="BX15" s="299">
        <v>0</v>
      </c>
      <c r="BY15" s="307"/>
      <c r="BZ15" s="302" t="s">
        <v>174</v>
      </c>
      <c r="CA15" s="303"/>
      <c r="CB15" s="304" t="s">
        <v>174</v>
      </c>
      <c r="CC15" s="309" t="s">
        <v>174</v>
      </c>
      <c r="CD15" s="310" t="s">
        <v>174</v>
      </c>
      <c r="CE15" s="303">
        <v>0</v>
      </c>
      <c r="CF15" s="307"/>
      <c r="CG15" s="311" t="s">
        <v>174</v>
      </c>
      <c r="CH15" s="309" t="s">
        <v>174</v>
      </c>
      <c r="CI15" s="306" t="s">
        <v>174</v>
      </c>
      <c r="CJ15" s="299">
        <v>0</v>
      </c>
      <c r="CK15" s="307"/>
      <c r="CL15" s="299">
        <v>-4600</v>
      </c>
      <c r="CM15" s="303" t="s">
        <v>174</v>
      </c>
      <c r="CN15" s="312" t="s">
        <v>38</v>
      </c>
      <c r="CO15" s="313">
        <v>44562</v>
      </c>
      <c r="CP15" s="314"/>
      <c r="CQ15" s="315"/>
      <c r="CR15" s="315">
        <v>0</v>
      </c>
      <c r="CS15" s="315">
        <v>0</v>
      </c>
      <c r="CT15" s="316">
        <v>0</v>
      </c>
      <c r="CU15" s="315">
        <v>0</v>
      </c>
      <c r="CV15" s="315">
        <v>0</v>
      </c>
      <c r="CW15" s="315">
        <v>0</v>
      </c>
      <c r="CX15" s="315">
        <v>10</v>
      </c>
      <c r="CY15" s="315">
        <v>0</v>
      </c>
      <c r="CZ15" s="315">
        <v>0</v>
      </c>
      <c r="DA15" s="315">
        <v>0</v>
      </c>
      <c r="DB15" s="303" t="s">
        <v>310</v>
      </c>
      <c r="DC15" s="303" t="s">
        <v>174</v>
      </c>
      <c r="DD15" s="303" t="s">
        <v>174</v>
      </c>
      <c r="DE15" s="303" t="s">
        <v>174</v>
      </c>
      <c r="DF15" s="315">
        <v>10</v>
      </c>
      <c r="DG15" s="315" t="s">
        <v>174</v>
      </c>
      <c r="DH15" s="315" t="s">
        <v>174</v>
      </c>
      <c r="DI15" s="315">
        <v>0</v>
      </c>
      <c r="DJ15" s="315" t="s">
        <v>310</v>
      </c>
      <c r="DK15" s="303"/>
      <c r="DL15" s="317">
        <v>460</v>
      </c>
      <c r="DM15" s="299">
        <v>4600</v>
      </c>
      <c r="DN15" s="299">
        <v>-4600</v>
      </c>
      <c r="DO15" s="299">
        <v>4600</v>
      </c>
      <c r="DP15" s="299" t="s">
        <v>174</v>
      </c>
      <c r="DQ15" s="299">
        <v>0</v>
      </c>
      <c r="DR15" s="299">
        <v>0</v>
      </c>
      <c r="DS15" s="299">
        <v>0</v>
      </c>
      <c r="DT15" s="299">
        <v>0</v>
      </c>
      <c r="DU15" s="299">
        <v>0</v>
      </c>
      <c r="DV15" s="299">
        <v>0</v>
      </c>
      <c r="DW15" s="318" t="s">
        <v>174</v>
      </c>
      <c r="DX15" s="319"/>
      <c r="DY15" s="319" t="s">
        <v>174</v>
      </c>
      <c r="DZ15" s="299" t="s">
        <v>174</v>
      </c>
      <c r="EA15" s="299" t="s">
        <v>174</v>
      </c>
      <c r="EB15" s="299">
        <v>0</v>
      </c>
      <c r="EC15" s="116">
        <v>-4600</v>
      </c>
      <c r="ED15" s="116">
        <v>-4600</v>
      </c>
      <c r="EE15" s="320" t="s">
        <v>174</v>
      </c>
      <c r="EF15" s="321">
        <v>-10</v>
      </c>
      <c r="EG15" s="322">
        <v>428805.40759999998</v>
      </c>
      <c r="EH15" s="299">
        <v>71194.592400000009</v>
      </c>
      <c r="EI15" s="299">
        <v>500000</v>
      </c>
      <c r="EJ15" s="299">
        <v>448805.40759999998</v>
      </c>
      <c r="EK15" s="323">
        <v>0</v>
      </c>
      <c r="EL15" s="303"/>
      <c r="EM15" s="299">
        <v>-4600</v>
      </c>
      <c r="EN15" s="299">
        <v>-4600</v>
      </c>
      <c r="EO15" s="323"/>
      <c r="EP15" s="303"/>
      <c r="EQ15" s="299">
        <v>424205.40759999998</v>
      </c>
      <c r="ER15" s="299">
        <v>75794.592400000009</v>
      </c>
      <c r="ES15" s="299">
        <v>500000</v>
      </c>
      <c r="ET15" s="299">
        <v>444205.40759999998</v>
      </c>
      <c r="EU15" s="323">
        <v>0</v>
      </c>
      <c r="EV15" s="324">
        <v>0</v>
      </c>
      <c r="EW15" s="303"/>
      <c r="EX15" s="299">
        <v>424205.40759999998</v>
      </c>
      <c r="EY15" s="299">
        <v>75794.592400000009</v>
      </c>
      <c r="EZ15" s="299">
        <v>500000</v>
      </c>
      <c r="FA15" s="299">
        <v>444205.40759999998</v>
      </c>
      <c r="FB15" s="299">
        <v>0</v>
      </c>
    </row>
    <row r="16" spans="1:189" ht="13">
      <c r="A16" s="10">
        <f>IF(HistSecRecord!$E$1&gt;=E16,1,0)</f>
        <v>1</v>
      </c>
      <c r="B16" s="77">
        <v>44563000012</v>
      </c>
      <c r="C16" s="43" t="s">
        <v>183</v>
      </c>
      <c r="D16" s="29" t="s">
        <v>80</v>
      </c>
      <c r="E16" s="4">
        <v>44563</v>
      </c>
      <c r="F16" s="105"/>
      <c r="G16" s="79" t="s">
        <v>17</v>
      </c>
      <c r="H16" s="80" t="s">
        <v>38</v>
      </c>
      <c r="I16" s="81" t="s">
        <v>16</v>
      </c>
      <c r="J16" s="88">
        <v>10</v>
      </c>
      <c r="K16" s="103"/>
      <c r="L16" s="56"/>
      <c r="M16" s="104"/>
      <c r="N16" s="82">
        <v>460</v>
      </c>
      <c r="O16" s="82"/>
      <c r="P16" s="86"/>
      <c r="Q16" s="43"/>
      <c r="T16" s="87">
        <v>44563</v>
      </c>
      <c r="U16" s="102"/>
      <c r="V16" s="81" t="s">
        <v>39</v>
      </c>
      <c r="W16" s="82" t="s">
        <v>38</v>
      </c>
      <c r="X16" s="82">
        <v>453</v>
      </c>
      <c r="Y16" s="82">
        <v>458</v>
      </c>
      <c r="Z16" s="82">
        <v>450</v>
      </c>
      <c r="AA16" s="82">
        <v>452.8</v>
      </c>
      <c r="AB16" s="82">
        <v>17490032</v>
      </c>
      <c r="AC16" s="103"/>
      <c r="AD16" s="103"/>
      <c r="AE16" s="103"/>
      <c r="AF16" s="103"/>
      <c r="AG16" s="103"/>
      <c r="AH16" s="103"/>
      <c r="AI16" s="103"/>
      <c r="AJ16" s="103"/>
      <c r="AK16" s="103"/>
      <c r="AL16" s="56"/>
      <c r="AM16" s="56"/>
      <c r="AN16" s="56"/>
      <c r="AO16" s="56"/>
      <c r="AP16" s="56"/>
      <c r="AQ16" s="56"/>
      <c r="AR16" s="56"/>
      <c r="AS16" s="56"/>
      <c r="AT16" s="56"/>
      <c r="AU16" s="104"/>
      <c r="AV16" s="104"/>
      <c r="AX16" s="90"/>
      <c r="BA16" s="43"/>
      <c r="BC16" s="295"/>
      <c r="BD16" s="296">
        <v>0</v>
      </c>
      <c r="BE16" s="296" t="s">
        <v>174</v>
      </c>
      <c r="BF16" s="296">
        <v>0</v>
      </c>
      <c r="BG16" s="297">
        <v>0</v>
      </c>
      <c r="BH16" s="298">
        <v>1</v>
      </c>
      <c r="BI16" s="299">
        <v>1</v>
      </c>
      <c r="BJ16" s="77">
        <v>10</v>
      </c>
      <c r="BK16" s="77" t="s">
        <v>39</v>
      </c>
      <c r="BL16" s="300">
        <v>1</v>
      </c>
      <c r="BM16" s="301" t="s">
        <v>38</v>
      </c>
      <c r="BN16" s="302">
        <v>460</v>
      </c>
      <c r="BO16" s="303"/>
      <c r="BP16" s="304">
        <v>460</v>
      </c>
      <c r="BQ16" s="305">
        <v>10</v>
      </c>
      <c r="BR16" s="306">
        <v>4600</v>
      </c>
      <c r="BS16" s="299">
        <v>4600</v>
      </c>
      <c r="BT16" s="307"/>
      <c r="BU16" s="308" t="s">
        <v>174</v>
      </c>
      <c r="BV16" s="303" t="s">
        <v>174</v>
      </c>
      <c r="BW16" s="306" t="s">
        <v>174</v>
      </c>
      <c r="BX16" s="299">
        <v>0</v>
      </c>
      <c r="BY16" s="307"/>
      <c r="BZ16" s="302" t="s">
        <v>174</v>
      </c>
      <c r="CA16" s="303"/>
      <c r="CB16" s="304" t="s">
        <v>174</v>
      </c>
      <c r="CC16" s="309" t="s">
        <v>174</v>
      </c>
      <c r="CD16" s="310" t="s">
        <v>174</v>
      </c>
      <c r="CE16" s="303">
        <v>0</v>
      </c>
      <c r="CF16" s="307"/>
      <c r="CG16" s="311" t="s">
        <v>174</v>
      </c>
      <c r="CH16" s="309" t="s">
        <v>174</v>
      </c>
      <c r="CI16" s="306" t="s">
        <v>174</v>
      </c>
      <c r="CJ16" s="299">
        <v>0</v>
      </c>
      <c r="CK16" s="307"/>
      <c r="CL16" s="299">
        <v>-4600</v>
      </c>
      <c r="CM16" s="303" t="s">
        <v>174</v>
      </c>
      <c r="CN16" s="312" t="s">
        <v>38</v>
      </c>
      <c r="CO16" s="313">
        <v>44563</v>
      </c>
      <c r="CP16" s="314"/>
      <c r="CQ16" s="315"/>
      <c r="CR16" s="315">
        <v>0</v>
      </c>
      <c r="CS16" s="315">
        <v>0</v>
      </c>
      <c r="CT16" s="316">
        <v>0</v>
      </c>
      <c r="CU16" s="315">
        <v>0</v>
      </c>
      <c r="CV16" s="315">
        <v>0</v>
      </c>
      <c r="CW16" s="315">
        <v>0</v>
      </c>
      <c r="CX16" s="315">
        <v>10</v>
      </c>
      <c r="CY16" s="315">
        <v>0</v>
      </c>
      <c r="CZ16" s="315">
        <v>0</v>
      </c>
      <c r="DA16" s="315">
        <v>0</v>
      </c>
      <c r="DB16" s="303" t="s">
        <v>310</v>
      </c>
      <c r="DC16" s="303" t="s">
        <v>174</v>
      </c>
      <c r="DD16" s="303" t="s">
        <v>174</v>
      </c>
      <c r="DE16" s="303" t="s">
        <v>174</v>
      </c>
      <c r="DF16" s="315">
        <v>10</v>
      </c>
      <c r="DG16" s="315" t="s">
        <v>174</v>
      </c>
      <c r="DH16" s="315" t="s">
        <v>174</v>
      </c>
      <c r="DI16" s="315">
        <v>0</v>
      </c>
      <c r="DJ16" s="315" t="s">
        <v>310</v>
      </c>
      <c r="DK16" s="303"/>
      <c r="DL16" s="317">
        <v>460</v>
      </c>
      <c r="DM16" s="299">
        <v>4600</v>
      </c>
      <c r="DN16" s="299">
        <v>-4600</v>
      </c>
      <c r="DO16" s="299">
        <v>4600</v>
      </c>
      <c r="DP16" s="299" t="s">
        <v>174</v>
      </c>
      <c r="DQ16" s="299">
        <v>0</v>
      </c>
      <c r="DR16" s="299">
        <v>0</v>
      </c>
      <c r="DS16" s="299">
        <v>0</v>
      </c>
      <c r="DT16" s="299">
        <v>0</v>
      </c>
      <c r="DU16" s="299">
        <v>0</v>
      </c>
      <c r="DV16" s="299">
        <v>0</v>
      </c>
      <c r="DW16" s="318" t="s">
        <v>174</v>
      </c>
      <c r="DX16" s="319"/>
      <c r="DY16" s="319" t="s">
        <v>174</v>
      </c>
      <c r="DZ16" s="299" t="s">
        <v>174</v>
      </c>
      <c r="EA16" s="299" t="s">
        <v>174</v>
      </c>
      <c r="EB16" s="299">
        <v>0</v>
      </c>
      <c r="EC16" s="116">
        <v>-4600</v>
      </c>
      <c r="ED16" s="116">
        <v>-4600</v>
      </c>
      <c r="EE16" s="320" t="s">
        <v>174</v>
      </c>
      <c r="EF16" s="321">
        <v>-10</v>
      </c>
      <c r="EG16" s="322">
        <v>447610.20799999998</v>
      </c>
      <c r="EH16" s="299">
        <v>52389.792000000001</v>
      </c>
      <c r="EI16" s="299">
        <v>500000</v>
      </c>
      <c r="EJ16" s="299">
        <v>447610.20799999998</v>
      </c>
      <c r="EK16" s="323">
        <v>0</v>
      </c>
      <c r="EL16" s="303"/>
      <c r="EM16" s="299">
        <v>-4600</v>
      </c>
      <c r="EN16" s="299">
        <v>-4600</v>
      </c>
      <c r="EO16" s="323"/>
      <c r="EP16" s="303"/>
      <c r="EQ16" s="299">
        <v>443010.20799999998</v>
      </c>
      <c r="ER16" s="299">
        <v>56989.792000000001</v>
      </c>
      <c r="ES16" s="299">
        <v>500000</v>
      </c>
      <c r="ET16" s="299">
        <v>443010.20799999998</v>
      </c>
      <c r="EU16" s="323">
        <v>0</v>
      </c>
      <c r="EV16" s="324">
        <v>0</v>
      </c>
      <c r="EW16" s="303"/>
      <c r="EX16" s="299">
        <v>443010.20799999998</v>
      </c>
      <c r="EY16" s="299">
        <v>56989.792000000001</v>
      </c>
      <c r="EZ16" s="299">
        <v>500000</v>
      </c>
      <c r="FA16" s="299">
        <v>443010.20799999998</v>
      </c>
      <c r="FB16" s="299">
        <v>0</v>
      </c>
    </row>
    <row r="17" spans="1:158" ht="13">
      <c r="A17" s="10">
        <f>IF(HistSecRecord!$E$1&gt;=E17,1,0)</f>
        <v>1</v>
      </c>
      <c r="B17" s="77">
        <v>44563000013</v>
      </c>
      <c r="C17" s="43" t="s">
        <v>183</v>
      </c>
      <c r="D17" s="29" t="s">
        <v>80</v>
      </c>
      <c r="E17" s="4">
        <v>44563</v>
      </c>
      <c r="F17" s="105"/>
      <c r="G17" s="79" t="s">
        <v>19</v>
      </c>
      <c r="H17" s="80" t="s">
        <v>40</v>
      </c>
      <c r="I17" s="81" t="s">
        <v>16</v>
      </c>
      <c r="J17" s="88">
        <v>15</v>
      </c>
      <c r="K17" s="103"/>
      <c r="L17" s="56"/>
      <c r="M17" s="104"/>
      <c r="N17" s="82">
        <v>2050</v>
      </c>
      <c r="O17" s="82"/>
      <c r="P17" s="86"/>
      <c r="Q17" s="43"/>
      <c r="T17" s="87">
        <v>44563</v>
      </c>
      <c r="U17" s="102"/>
      <c r="V17" s="81" t="s">
        <v>29</v>
      </c>
      <c r="W17" s="82" t="s">
        <v>40</v>
      </c>
      <c r="X17" s="82">
        <v>1919</v>
      </c>
      <c r="Y17" s="82">
        <v>1919</v>
      </c>
      <c r="Z17" s="82">
        <v>1888.88</v>
      </c>
      <c r="AA17" s="82">
        <v>1892.27</v>
      </c>
      <c r="AB17" s="82">
        <v>2637094</v>
      </c>
      <c r="AC17" s="103"/>
      <c r="AD17" s="103"/>
      <c r="AE17" s="103"/>
      <c r="AF17" s="103"/>
      <c r="AG17" s="103"/>
      <c r="AH17" s="103"/>
      <c r="AI17" s="103"/>
      <c r="AJ17" s="103"/>
      <c r="AK17" s="103"/>
      <c r="AL17" s="56"/>
      <c r="AM17" s="56"/>
      <c r="AN17" s="56"/>
      <c r="AO17" s="56"/>
      <c r="AP17" s="56"/>
      <c r="AQ17" s="56"/>
      <c r="AR17" s="56"/>
      <c r="AS17" s="56"/>
      <c r="AT17" s="56"/>
      <c r="AU17" s="104"/>
      <c r="AV17" s="104"/>
      <c r="AX17" s="90"/>
      <c r="BA17" s="43"/>
      <c r="BC17" s="295"/>
      <c r="BD17" s="296">
        <v>0</v>
      </c>
      <c r="BE17" s="296" t="s">
        <v>174</v>
      </c>
      <c r="BF17" s="296">
        <v>0</v>
      </c>
      <c r="BG17" s="297">
        <v>0</v>
      </c>
      <c r="BH17" s="298">
        <v>1</v>
      </c>
      <c r="BI17" s="299">
        <v>-1</v>
      </c>
      <c r="BJ17" s="77">
        <v>15</v>
      </c>
      <c r="BK17" s="77" t="s">
        <v>29</v>
      </c>
      <c r="BL17" s="300">
        <v>1.2268509999999999</v>
      </c>
      <c r="BM17" s="301" t="s">
        <v>40</v>
      </c>
      <c r="BN17" s="302">
        <v>2050</v>
      </c>
      <c r="BO17" s="303"/>
      <c r="BP17" s="304">
        <v>2050</v>
      </c>
      <c r="BQ17" s="305">
        <v>-15</v>
      </c>
      <c r="BR17" s="306">
        <v>-30750</v>
      </c>
      <c r="BS17" s="299">
        <v>-37725.668249999995</v>
      </c>
      <c r="BT17" s="307"/>
      <c r="BU17" s="308" t="s">
        <v>174</v>
      </c>
      <c r="BV17" s="303" t="s">
        <v>174</v>
      </c>
      <c r="BW17" s="306" t="s">
        <v>174</v>
      </c>
      <c r="BX17" s="299">
        <v>0</v>
      </c>
      <c r="BY17" s="307"/>
      <c r="BZ17" s="302" t="s">
        <v>174</v>
      </c>
      <c r="CA17" s="303"/>
      <c r="CB17" s="304" t="s">
        <v>174</v>
      </c>
      <c r="CC17" s="309" t="s">
        <v>174</v>
      </c>
      <c r="CD17" s="310" t="s">
        <v>174</v>
      </c>
      <c r="CE17" s="303">
        <v>0</v>
      </c>
      <c r="CF17" s="307"/>
      <c r="CG17" s="311" t="s">
        <v>174</v>
      </c>
      <c r="CH17" s="309" t="s">
        <v>174</v>
      </c>
      <c r="CI17" s="306" t="s">
        <v>174</v>
      </c>
      <c r="CJ17" s="299">
        <v>0</v>
      </c>
      <c r="CK17" s="307"/>
      <c r="CL17" s="299">
        <v>37725.668249999995</v>
      </c>
      <c r="CM17" s="303" t="s">
        <v>174</v>
      </c>
      <c r="CN17" s="312" t="s">
        <v>40</v>
      </c>
      <c r="CO17" s="313">
        <v>44563</v>
      </c>
      <c r="CP17" s="314"/>
      <c r="CQ17" s="315"/>
      <c r="CR17" s="315">
        <v>0</v>
      </c>
      <c r="CS17" s="315">
        <v>0</v>
      </c>
      <c r="CT17" s="316">
        <v>0</v>
      </c>
      <c r="CU17" s="315">
        <v>0</v>
      </c>
      <c r="CV17" s="315">
        <v>0</v>
      </c>
      <c r="CW17" s="315">
        <v>0</v>
      </c>
      <c r="CX17" s="315">
        <v>-15</v>
      </c>
      <c r="CY17" s="315">
        <v>0</v>
      </c>
      <c r="CZ17" s="315">
        <v>0</v>
      </c>
      <c r="DA17" s="315">
        <v>0</v>
      </c>
      <c r="DB17" s="303" t="s">
        <v>311</v>
      </c>
      <c r="DC17" s="303" t="s">
        <v>174</v>
      </c>
      <c r="DD17" s="303" t="s">
        <v>174</v>
      </c>
      <c r="DE17" s="303" t="s">
        <v>174</v>
      </c>
      <c r="DF17" s="315">
        <v>-15</v>
      </c>
      <c r="DG17" s="315" t="s">
        <v>174</v>
      </c>
      <c r="DH17" s="315" t="s">
        <v>174</v>
      </c>
      <c r="DI17" s="315">
        <v>0</v>
      </c>
      <c r="DJ17" s="315" t="s">
        <v>311</v>
      </c>
      <c r="DK17" s="303"/>
      <c r="DL17" s="317">
        <v>2515.0445499999996</v>
      </c>
      <c r="DM17" s="299">
        <v>-37725.668249999995</v>
      </c>
      <c r="DN17" s="299">
        <v>-37725.668249999995</v>
      </c>
      <c r="DO17" s="299" t="s">
        <v>174</v>
      </c>
      <c r="DP17" s="299">
        <v>-37725.668249999995</v>
      </c>
      <c r="DQ17" s="299">
        <v>0</v>
      </c>
      <c r="DR17" s="299">
        <v>0</v>
      </c>
      <c r="DS17" s="299">
        <v>0</v>
      </c>
      <c r="DT17" s="299">
        <v>0</v>
      </c>
      <c r="DU17" s="299">
        <v>0</v>
      </c>
      <c r="DV17" s="299">
        <v>0</v>
      </c>
      <c r="DW17" s="318" t="s">
        <v>174</v>
      </c>
      <c r="DX17" s="319"/>
      <c r="DY17" s="319" t="s">
        <v>174</v>
      </c>
      <c r="DZ17" s="299" t="s">
        <v>174</v>
      </c>
      <c r="EA17" s="299" t="s">
        <v>174</v>
      </c>
      <c r="EB17" s="299">
        <v>0</v>
      </c>
      <c r="EC17" s="116">
        <v>37725.668249999995</v>
      </c>
      <c r="ED17" s="116">
        <v>-37725.668249999995</v>
      </c>
      <c r="EE17" s="320" t="s">
        <v>174</v>
      </c>
      <c r="EF17" s="321">
        <v>-15</v>
      </c>
      <c r="EG17" s="322">
        <v>443010.20799999998</v>
      </c>
      <c r="EH17" s="299">
        <v>56989.792000000001</v>
      </c>
      <c r="EI17" s="299">
        <v>500000</v>
      </c>
      <c r="EJ17" s="299">
        <v>447610.20799999998</v>
      </c>
      <c r="EK17" s="323">
        <v>0</v>
      </c>
      <c r="EL17" s="303"/>
      <c r="EM17" s="299">
        <v>37725.668249999995</v>
      </c>
      <c r="EN17" s="299">
        <v>-37725.668249999995</v>
      </c>
      <c r="EO17" s="323"/>
      <c r="EP17" s="303"/>
      <c r="EQ17" s="299">
        <v>480735.87624999997</v>
      </c>
      <c r="ER17" s="299">
        <v>19264.123750000006</v>
      </c>
      <c r="ES17" s="299">
        <v>500000</v>
      </c>
      <c r="ET17" s="299">
        <v>409884.53975</v>
      </c>
      <c r="EU17" s="323">
        <v>0</v>
      </c>
      <c r="EV17" s="324">
        <v>0</v>
      </c>
      <c r="EW17" s="303"/>
      <c r="EX17" s="299">
        <v>480735.87624999997</v>
      </c>
      <c r="EY17" s="299">
        <v>19264.123750000006</v>
      </c>
      <c r="EZ17" s="299">
        <v>500000</v>
      </c>
      <c r="FA17" s="299">
        <v>409884.53975</v>
      </c>
      <c r="FB17" s="299">
        <v>0</v>
      </c>
    </row>
    <row r="18" spans="1:158" ht="13">
      <c r="A18" s="10">
        <f>IF(HistSecRecord!$E$1&gt;=E18,1,0)</f>
        <v>1</v>
      </c>
      <c r="B18" s="77">
        <v>44563000014</v>
      </c>
      <c r="C18" s="43" t="s">
        <v>183</v>
      </c>
      <c r="D18" s="29" t="s">
        <v>80</v>
      </c>
      <c r="E18" s="4">
        <v>44563</v>
      </c>
      <c r="F18" s="105"/>
      <c r="G18" s="79" t="s">
        <v>17</v>
      </c>
      <c r="H18" s="80" t="s">
        <v>36</v>
      </c>
      <c r="I18" s="81" t="s">
        <v>16</v>
      </c>
      <c r="J18" s="88">
        <v>10</v>
      </c>
      <c r="K18" s="103"/>
      <c r="L18" s="56"/>
      <c r="M18" s="104"/>
      <c r="N18" s="82">
        <v>730</v>
      </c>
      <c r="O18" s="82"/>
      <c r="P18" s="86"/>
      <c r="Q18" s="43" t="s">
        <v>154</v>
      </c>
      <c r="T18" s="87">
        <v>44563</v>
      </c>
      <c r="U18" s="102"/>
      <c r="V18" s="81" t="s">
        <v>37</v>
      </c>
      <c r="W18" s="82" t="s">
        <v>36</v>
      </c>
      <c r="X18" s="82">
        <v>679.1</v>
      </c>
      <c r="Y18" s="82">
        <v>704.7</v>
      </c>
      <c r="Z18" s="82">
        <v>676.6</v>
      </c>
      <c r="AA18" s="82">
        <v>673</v>
      </c>
      <c r="AB18" s="82">
        <v>390326</v>
      </c>
      <c r="AC18" s="103"/>
      <c r="AD18" s="103"/>
      <c r="AE18" s="103"/>
      <c r="AF18" s="103"/>
      <c r="AG18" s="103"/>
      <c r="AH18" s="103"/>
      <c r="AI18" s="103"/>
      <c r="AJ18" s="103"/>
      <c r="AK18" s="103"/>
      <c r="AL18" s="56"/>
      <c r="AM18" s="56"/>
      <c r="AN18" s="56"/>
      <c r="AO18" s="56"/>
      <c r="AP18" s="56"/>
      <c r="AQ18" s="56"/>
      <c r="AR18" s="56"/>
      <c r="AS18" s="56"/>
      <c r="AT18" s="56"/>
      <c r="AU18" s="104"/>
      <c r="AV18" s="104"/>
      <c r="AX18" s="90"/>
      <c r="BA18" s="43"/>
      <c r="BC18" s="295"/>
      <c r="BD18" s="296">
        <v>0</v>
      </c>
      <c r="BE18" s="296" t="s">
        <v>174</v>
      </c>
      <c r="BF18" s="296">
        <v>0</v>
      </c>
      <c r="BG18" s="297">
        <v>0</v>
      </c>
      <c r="BH18" s="298">
        <v>1</v>
      </c>
      <c r="BI18" s="299">
        <v>1</v>
      </c>
      <c r="BJ18" s="77">
        <v>10</v>
      </c>
      <c r="BK18" s="77" t="s">
        <v>37</v>
      </c>
      <c r="BL18" s="300">
        <v>8.8663299999999996</v>
      </c>
      <c r="BM18" s="301" t="s">
        <v>36</v>
      </c>
      <c r="BN18" s="302">
        <v>730</v>
      </c>
      <c r="BO18" s="303"/>
      <c r="BP18" s="304">
        <v>730</v>
      </c>
      <c r="BQ18" s="305">
        <v>10</v>
      </c>
      <c r="BR18" s="306">
        <v>7300</v>
      </c>
      <c r="BS18" s="299">
        <v>64724.208999999995</v>
      </c>
      <c r="BT18" s="307"/>
      <c r="BU18" s="308" t="s">
        <v>174</v>
      </c>
      <c r="BV18" s="303" t="s">
        <v>174</v>
      </c>
      <c r="BW18" s="306" t="s">
        <v>174</v>
      </c>
      <c r="BX18" s="299">
        <v>0</v>
      </c>
      <c r="BY18" s="307"/>
      <c r="BZ18" s="302" t="s">
        <v>174</v>
      </c>
      <c r="CA18" s="303"/>
      <c r="CB18" s="304" t="s">
        <v>174</v>
      </c>
      <c r="CC18" s="309" t="s">
        <v>174</v>
      </c>
      <c r="CD18" s="310" t="s">
        <v>174</v>
      </c>
      <c r="CE18" s="303">
        <v>0</v>
      </c>
      <c r="CF18" s="307"/>
      <c r="CG18" s="311" t="s">
        <v>174</v>
      </c>
      <c r="CH18" s="309" t="s">
        <v>174</v>
      </c>
      <c r="CI18" s="306" t="s">
        <v>174</v>
      </c>
      <c r="CJ18" s="299">
        <v>0</v>
      </c>
      <c r="CK18" s="307"/>
      <c r="CL18" s="299">
        <v>-64724.208999999995</v>
      </c>
      <c r="CM18" s="303" t="s">
        <v>174</v>
      </c>
      <c r="CN18" s="312" t="s">
        <v>36</v>
      </c>
      <c r="CO18" s="313">
        <v>44563</v>
      </c>
      <c r="CP18" s="314"/>
      <c r="CQ18" s="315"/>
      <c r="CR18" s="315">
        <v>0</v>
      </c>
      <c r="CS18" s="315">
        <v>0</v>
      </c>
      <c r="CT18" s="316">
        <v>0</v>
      </c>
      <c r="CU18" s="315">
        <v>0</v>
      </c>
      <c r="CV18" s="315">
        <v>0</v>
      </c>
      <c r="CW18" s="315">
        <v>0</v>
      </c>
      <c r="CX18" s="315">
        <v>10</v>
      </c>
      <c r="CY18" s="315">
        <v>0</v>
      </c>
      <c r="CZ18" s="315">
        <v>0</v>
      </c>
      <c r="DA18" s="315">
        <v>0</v>
      </c>
      <c r="DB18" s="303" t="s">
        <v>310</v>
      </c>
      <c r="DC18" s="303" t="s">
        <v>174</v>
      </c>
      <c r="DD18" s="303" t="s">
        <v>174</v>
      </c>
      <c r="DE18" s="303" t="s">
        <v>174</v>
      </c>
      <c r="DF18" s="315">
        <v>10</v>
      </c>
      <c r="DG18" s="315" t="s">
        <v>174</v>
      </c>
      <c r="DH18" s="315" t="s">
        <v>174</v>
      </c>
      <c r="DI18" s="315">
        <v>0</v>
      </c>
      <c r="DJ18" s="315" t="s">
        <v>310</v>
      </c>
      <c r="DK18" s="303"/>
      <c r="DL18" s="317">
        <v>6472.4209000000001</v>
      </c>
      <c r="DM18" s="299">
        <v>64724.209000000003</v>
      </c>
      <c r="DN18" s="299">
        <v>-64724.208999999995</v>
      </c>
      <c r="DO18" s="299">
        <v>64724.209000000003</v>
      </c>
      <c r="DP18" s="299" t="s">
        <v>174</v>
      </c>
      <c r="DQ18" s="299">
        <v>0</v>
      </c>
      <c r="DR18" s="299">
        <v>0</v>
      </c>
      <c r="DS18" s="299">
        <v>0</v>
      </c>
      <c r="DT18" s="299">
        <v>0</v>
      </c>
      <c r="DU18" s="299">
        <v>0</v>
      </c>
      <c r="DV18" s="299">
        <v>0</v>
      </c>
      <c r="DW18" s="318" t="s">
        <v>174</v>
      </c>
      <c r="DX18" s="319"/>
      <c r="DY18" s="319" t="s">
        <v>174</v>
      </c>
      <c r="DZ18" s="299" t="s">
        <v>174</v>
      </c>
      <c r="EA18" s="299" t="s">
        <v>174</v>
      </c>
      <c r="EB18" s="299">
        <v>0</v>
      </c>
      <c r="EC18" s="116">
        <v>-64724.209000000003</v>
      </c>
      <c r="ED18" s="116">
        <v>-64724.208999999995</v>
      </c>
      <c r="EE18" s="320" t="s">
        <v>174</v>
      </c>
      <c r="EF18" s="321">
        <v>-10</v>
      </c>
      <c r="EG18" s="322">
        <v>480735.87624999997</v>
      </c>
      <c r="EH18" s="299">
        <v>19264.123750000006</v>
      </c>
      <c r="EI18" s="299">
        <v>500000</v>
      </c>
      <c r="EJ18" s="299">
        <v>409884.53975</v>
      </c>
      <c r="EK18" s="323">
        <v>0</v>
      </c>
      <c r="EL18" s="303"/>
      <c r="EM18" s="299">
        <v>-64724.209000000003</v>
      </c>
      <c r="EN18" s="299">
        <v>-64724.208999999995</v>
      </c>
      <c r="EO18" s="323"/>
      <c r="EP18" s="303"/>
      <c r="EQ18" s="299">
        <v>416011.66724999994</v>
      </c>
      <c r="ER18" s="299">
        <v>83988.332750000001</v>
      </c>
      <c r="ES18" s="299">
        <v>499999.99999999994</v>
      </c>
      <c r="ET18" s="299">
        <v>345160.33075000002</v>
      </c>
      <c r="EU18" s="323">
        <v>0</v>
      </c>
      <c r="EV18" s="324">
        <v>0</v>
      </c>
      <c r="EW18" s="303"/>
      <c r="EX18" s="299">
        <v>416011.66724999994</v>
      </c>
      <c r="EY18" s="299">
        <v>83988.332750000001</v>
      </c>
      <c r="EZ18" s="299">
        <v>499999.99999999994</v>
      </c>
      <c r="FA18" s="299">
        <v>345160.33075000002</v>
      </c>
      <c r="FB18" s="299">
        <v>0</v>
      </c>
    </row>
    <row r="19" spans="1:158" ht="13">
      <c r="A19" s="10">
        <f>IF(HistSecRecord!$E$1&gt;=E19,1,0)</f>
        <v>1</v>
      </c>
      <c r="B19" s="77">
        <v>44563000025</v>
      </c>
      <c r="C19" s="43" t="s">
        <v>184</v>
      </c>
      <c r="D19" s="29" t="s">
        <v>82</v>
      </c>
      <c r="E19" s="4">
        <v>44563</v>
      </c>
      <c r="F19" s="105"/>
      <c r="G19" s="79" t="s">
        <v>17</v>
      </c>
      <c r="H19" s="80" t="s">
        <v>40</v>
      </c>
      <c r="I19" s="81" t="s">
        <v>16</v>
      </c>
      <c r="J19" s="88">
        <v>20</v>
      </c>
      <c r="K19" s="103"/>
      <c r="L19" s="56"/>
      <c r="M19" s="104"/>
      <c r="N19" s="82">
        <v>2030</v>
      </c>
      <c r="O19" s="82"/>
      <c r="P19" s="86"/>
      <c r="Q19" s="43" t="s">
        <v>155</v>
      </c>
      <c r="T19" s="87">
        <v>44563</v>
      </c>
      <c r="U19" s="102"/>
      <c r="V19" s="81" t="s">
        <v>29</v>
      </c>
      <c r="W19" s="82" t="s">
        <v>40</v>
      </c>
      <c r="X19" s="82">
        <v>1919</v>
      </c>
      <c r="Y19" s="82">
        <v>1919</v>
      </c>
      <c r="Z19" s="82">
        <v>1888.88</v>
      </c>
      <c r="AA19" s="82">
        <v>1892.27</v>
      </c>
      <c r="AB19" s="82">
        <v>2637094</v>
      </c>
      <c r="AC19" s="103"/>
      <c r="AD19" s="103"/>
      <c r="AE19" s="103"/>
      <c r="AF19" s="103"/>
      <c r="AG19" s="103"/>
      <c r="AH19" s="103"/>
      <c r="AI19" s="103"/>
      <c r="AJ19" s="103"/>
      <c r="AK19" s="103"/>
      <c r="AL19" s="56"/>
      <c r="AM19" s="56"/>
      <c r="AN19" s="56"/>
      <c r="AO19" s="56"/>
      <c r="AP19" s="56"/>
      <c r="AQ19" s="56"/>
      <c r="AR19" s="56"/>
      <c r="AS19" s="56"/>
      <c r="AT19" s="56"/>
      <c r="AU19" s="104"/>
      <c r="AV19" s="104"/>
      <c r="AX19" s="90"/>
      <c r="BA19" s="43"/>
      <c r="BC19" s="295"/>
      <c r="BD19" s="296">
        <v>0</v>
      </c>
      <c r="BE19" s="296" t="s">
        <v>174</v>
      </c>
      <c r="BF19" s="296">
        <v>0</v>
      </c>
      <c r="BG19" s="297">
        <v>0</v>
      </c>
      <c r="BH19" s="298">
        <v>1</v>
      </c>
      <c r="BI19" s="299">
        <v>1</v>
      </c>
      <c r="BJ19" s="77">
        <v>20</v>
      </c>
      <c r="BK19" s="77" t="s">
        <v>29</v>
      </c>
      <c r="BL19" s="300">
        <v>1.2268509999999999</v>
      </c>
      <c r="BM19" s="301" t="s">
        <v>40</v>
      </c>
      <c r="BN19" s="302">
        <v>2030</v>
      </c>
      <c r="BO19" s="315"/>
      <c r="BP19" s="326">
        <v>2030</v>
      </c>
      <c r="BQ19" s="305">
        <v>20</v>
      </c>
      <c r="BR19" s="306">
        <v>40600</v>
      </c>
      <c r="BS19" s="299">
        <v>49810.150599999994</v>
      </c>
      <c r="BT19" s="307"/>
      <c r="BU19" s="308" t="s">
        <v>174</v>
      </c>
      <c r="BV19" s="303" t="s">
        <v>174</v>
      </c>
      <c r="BW19" s="306" t="s">
        <v>174</v>
      </c>
      <c r="BX19" s="299">
        <v>0</v>
      </c>
      <c r="BY19" s="307"/>
      <c r="BZ19" s="302" t="s">
        <v>174</v>
      </c>
      <c r="CA19" s="315"/>
      <c r="CB19" s="326" t="s">
        <v>174</v>
      </c>
      <c r="CC19" s="309" t="s">
        <v>174</v>
      </c>
      <c r="CD19" s="310" t="s">
        <v>174</v>
      </c>
      <c r="CE19" s="303">
        <v>0</v>
      </c>
      <c r="CF19" s="307"/>
      <c r="CG19" s="327" t="s">
        <v>174</v>
      </c>
      <c r="CH19" s="328" t="s">
        <v>174</v>
      </c>
      <c r="CI19" s="306" t="s">
        <v>174</v>
      </c>
      <c r="CJ19" s="299">
        <v>0</v>
      </c>
      <c r="CK19" s="307"/>
      <c r="CL19" s="299">
        <v>-49810.150599999994</v>
      </c>
      <c r="CM19" s="303" t="s">
        <v>174</v>
      </c>
      <c r="CN19" s="312" t="s">
        <v>40</v>
      </c>
      <c r="CO19" s="313">
        <v>44563</v>
      </c>
      <c r="CP19" s="314"/>
      <c r="CQ19" s="315"/>
      <c r="CR19" s="315">
        <v>0</v>
      </c>
      <c r="CS19" s="315">
        <v>0</v>
      </c>
      <c r="CT19" s="316">
        <v>0</v>
      </c>
      <c r="CU19" s="315">
        <v>0</v>
      </c>
      <c r="CV19" s="315">
        <v>0</v>
      </c>
      <c r="CW19" s="315">
        <v>0</v>
      </c>
      <c r="CX19" s="315">
        <v>20</v>
      </c>
      <c r="CY19" s="315">
        <v>0</v>
      </c>
      <c r="CZ19" s="315">
        <v>0</v>
      </c>
      <c r="DA19" s="315">
        <v>0</v>
      </c>
      <c r="DB19" s="303" t="s">
        <v>310</v>
      </c>
      <c r="DC19" s="303" t="s">
        <v>174</v>
      </c>
      <c r="DD19" s="303" t="s">
        <v>174</v>
      </c>
      <c r="DE19" s="303" t="s">
        <v>174</v>
      </c>
      <c r="DF19" s="315">
        <v>20</v>
      </c>
      <c r="DG19" s="315" t="s">
        <v>174</v>
      </c>
      <c r="DH19" s="315" t="s">
        <v>174</v>
      </c>
      <c r="DI19" s="315">
        <v>0</v>
      </c>
      <c r="DJ19" s="315" t="s">
        <v>310</v>
      </c>
      <c r="DK19" s="303"/>
      <c r="DL19" s="317">
        <v>2490.5075299999999</v>
      </c>
      <c r="DM19" s="299">
        <v>49810.150599999994</v>
      </c>
      <c r="DN19" s="299">
        <v>-49810.150599999994</v>
      </c>
      <c r="DO19" s="299">
        <v>49810.150599999994</v>
      </c>
      <c r="DP19" s="299" t="s">
        <v>174</v>
      </c>
      <c r="DQ19" s="299">
        <v>0</v>
      </c>
      <c r="DR19" s="299">
        <v>0</v>
      </c>
      <c r="DS19" s="299">
        <v>0</v>
      </c>
      <c r="DT19" s="299">
        <v>0</v>
      </c>
      <c r="DU19" s="299">
        <v>0</v>
      </c>
      <c r="DV19" s="299">
        <v>0</v>
      </c>
      <c r="DW19" s="318" t="s">
        <v>174</v>
      </c>
      <c r="DX19" s="319"/>
      <c r="DY19" s="319" t="s">
        <v>174</v>
      </c>
      <c r="DZ19" s="299" t="s">
        <v>174</v>
      </c>
      <c r="EA19" s="299" t="s">
        <v>174</v>
      </c>
      <c r="EB19" s="299">
        <v>0</v>
      </c>
      <c r="EC19" s="116">
        <v>-49810.150599999994</v>
      </c>
      <c r="ED19" s="116">
        <v>-49810.150599999994</v>
      </c>
      <c r="EE19" s="320" t="s">
        <v>174</v>
      </c>
      <c r="EF19" s="321">
        <v>-20</v>
      </c>
      <c r="EG19" s="322">
        <v>500000</v>
      </c>
      <c r="EH19" s="299">
        <v>0</v>
      </c>
      <c r="EI19" s="299">
        <v>500000</v>
      </c>
      <c r="EJ19" s="299">
        <v>500000</v>
      </c>
      <c r="EK19" s="323">
        <v>187856.85560000001</v>
      </c>
      <c r="EL19" s="303"/>
      <c r="EM19" s="299">
        <v>-49810.150599999994</v>
      </c>
      <c r="EN19" s="299">
        <v>-49810.150599999994</v>
      </c>
      <c r="EO19" s="323"/>
      <c r="EP19" s="303"/>
      <c r="EQ19" s="299">
        <v>450189.84940000001</v>
      </c>
      <c r="ER19" s="299">
        <v>49810.150599999994</v>
      </c>
      <c r="ES19" s="299">
        <v>500000</v>
      </c>
      <c r="ET19" s="299">
        <v>450189.84940000001</v>
      </c>
      <c r="EU19" s="323">
        <v>0</v>
      </c>
      <c r="EV19" s="324">
        <v>0</v>
      </c>
      <c r="EW19" s="303"/>
      <c r="EX19" s="299">
        <v>450189.84940000001</v>
      </c>
      <c r="EY19" s="299">
        <v>49810.150599999994</v>
      </c>
      <c r="EZ19" s="299">
        <v>500000</v>
      </c>
      <c r="FA19" s="299">
        <v>450189.84940000001</v>
      </c>
      <c r="FB19" s="299">
        <v>0</v>
      </c>
    </row>
    <row r="20" spans="1:158" ht="13">
      <c r="A20" s="10">
        <f>IF(HistSecRecord!$E$1&gt;=E20,1,0)</f>
        <v>1</v>
      </c>
      <c r="B20" s="77">
        <v>44563000026</v>
      </c>
      <c r="C20" s="43" t="s">
        <v>184</v>
      </c>
      <c r="D20" s="29" t="s">
        <v>82</v>
      </c>
      <c r="E20" s="4">
        <v>44563</v>
      </c>
      <c r="F20" s="105"/>
      <c r="G20" s="79" t="s">
        <v>19</v>
      </c>
      <c r="H20" s="80" t="s">
        <v>38</v>
      </c>
      <c r="I20" s="81" t="s">
        <v>16</v>
      </c>
      <c r="J20" s="88">
        <v>5</v>
      </c>
      <c r="K20" s="103"/>
      <c r="L20" s="56"/>
      <c r="M20" s="104"/>
      <c r="N20" s="82">
        <v>460</v>
      </c>
      <c r="O20" s="82"/>
      <c r="P20" s="86"/>
      <c r="Q20" s="43"/>
      <c r="T20" s="87">
        <v>44563</v>
      </c>
      <c r="U20" s="79"/>
      <c r="V20" s="81" t="s">
        <v>39</v>
      </c>
      <c r="W20" s="82" t="s">
        <v>38</v>
      </c>
      <c r="X20" s="82">
        <v>453</v>
      </c>
      <c r="Y20" s="82">
        <v>458</v>
      </c>
      <c r="Z20" s="82">
        <v>450</v>
      </c>
      <c r="AA20" s="82">
        <v>452.8</v>
      </c>
      <c r="AB20" s="82">
        <v>17490032</v>
      </c>
      <c r="AC20" s="83"/>
      <c r="AD20" s="83"/>
      <c r="AE20" s="83"/>
      <c r="AF20" s="83"/>
      <c r="AG20" s="83"/>
      <c r="AH20" s="83"/>
      <c r="AI20" s="83"/>
      <c r="AJ20" s="83"/>
      <c r="AK20" s="83"/>
      <c r="AL20" s="84"/>
      <c r="AM20" s="84"/>
      <c r="AN20" s="84"/>
      <c r="AO20" s="84"/>
      <c r="AP20" s="84"/>
      <c r="AQ20" s="84"/>
      <c r="AR20" s="84"/>
      <c r="AS20" s="84"/>
      <c r="AT20" s="84"/>
      <c r="AU20" s="89"/>
      <c r="AV20" s="89"/>
      <c r="AX20" s="90"/>
      <c r="BA20" s="43"/>
      <c r="BC20" s="295"/>
      <c r="BD20" s="296">
        <v>0</v>
      </c>
      <c r="BE20" s="296" t="s">
        <v>174</v>
      </c>
      <c r="BF20" s="296">
        <v>0</v>
      </c>
      <c r="BG20" s="297">
        <v>0</v>
      </c>
      <c r="BH20" s="298">
        <v>1</v>
      </c>
      <c r="BI20" s="299">
        <v>-1</v>
      </c>
      <c r="BJ20" s="77">
        <v>5</v>
      </c>
      <c r="BK20" s="77" t="s">
        <v>39</v>
      </c>
      <c r="BL20" s="300">
        <v>1</v>
      </c>
      <c r="BM20" s="301" t="s">
        <v>38</v>
      </c>
      <c r="BN20" s="302">
        <v>460</v>
      </c>
      <c r="BO20" s="303"/>
      <c r="BP20" s="304">
        <v>460</v>
      </c>
      <c r="BQ20" s="305">
        <v>-5</v>
      </c>
      <c r="BR20" s="306">
        <v>-2300</v>
      </c>
      <c r="BS20" s="299">
        <v>-2300</v>
      </c>
      <c r="BT20" s="307"/>
      <c r="BU20" s="308" t="s">
        <v>174</v>
      </c>
      <c r="BV20" s="303" t="s">
        <v>174</v>
      </c>
      <c r="BW20" s="306" t="s">
        <v>174</v>
      </c>
      <c r="BX20" s="299">
        <v>0</v>
      </c>
      <c r="BY20" s="307"/>
      <c r="BZ20" s="302" t="s">
        <v>174</v>
      </c>
      <c r="CA20" s="303"/>
      <c r="CB20" s="304" t="s">
        <v>174</v>
      </c>
      <c r="CC20" s="309" t="s">
        <v>174</v>
      </c>
      <c r="CD20" s="310" t="s">
        <v>174</v>
      </c>
      <c r="CE20" s="303">
        <v>0</v>
      </c>
      <c r="CF20" s="307"/>
      <c r="CG20" s="311" t="s">
        <v>174</v>
      </c>
      <c r="CH20" s="309" t="s">
        <v>174</v>
      </c>
      <c r="CI20" s="306" t="s">
        <v>174</v>
      </c>
      <c r="CJ20" s="299">
        <v>0</v>
      </c>
      <c r="CK20" s="307"/>
      <c r="CL20" s="299">
        <v>2300</v>
      </c>
      <c r="CM20" s="303" t="s">
        <v>174</v>
      </c>
      <c r="CN20" s="312" t="s">
        <v>38</v>
      </c>
      <c r="CO20" s="313">
        <v>44563</v>
      </c>
      <c r="CP20" s="314"/>
      <c r="CQ20" s="315"/>
      <c r="CR20" s="315">
        <v>0</v>
      </c>
      <c r="CS20" s="315">
        <v>0</v>
      </c>
      <c r="CT20" s="316">
        <v>0</v>
      </c>
      <c r="CU20" s="315">
        <v>0</v>
      </c>
      <c r="CV20" s="315">
        <v>0</v>
      </c>
      <c r="CW20" s="315">
        <v>0</v>
      </c>
      <c r="CX20" s="315">
        <v>-5</v>
      </c>
      <c r="CY20" s="315">
        <v>0</v>
      </c>
      <c r="CZ20" s="315">
        <v>0</v>
      </c>
      <c r="DA20" s="315">
        <v>0</v>
      </c>
      <c r="DB20" s="303" t="s">
        <v>311</v>
      </c>
      <c r="DC20" s="303" t="s">
        <v>174</v>
      </c>
      <c r="DD20" s="303" t="s">
        <v>174</v>
      </c>
      <c r="DE20" s="303" t="s">
        <v>174</v>
      </c>
      <c r="DF20" s="315">
        <v>-5</v>
      </c>
      <c r="DG20" s="315" t="s">
        <v>174</v>
      </c>
      <c r="DH20" s="315" t="s">
        <v>174</v>
      </c>
      <c r="DI20" s="315">
        <v>0</v>
      </c>
      <c r="DJ20" s="315" t="s">
        <v>311</v>
      </c>
      <c r="DK20" s="303"/>
      <c r="DL20" s="317">
        <v>460</v>
      </c>
      <c r="DM20" s="299">
        <v>-2300</v>
      </c>
      <c r="DN20" s="299">
        <v>-2300</v>
      </c>
      <c r="DO20" s="299" t="s">
        <v>174</v>
      </c>
      <c r="DP20" s="299">
        <v>-2300</v>
      </c>
      <c r="DQ20" s="299">
        <v>0</v>
      </c>
      <c r="DR20" s="299">
        <v>0</v>
      </c>
      <c r="DS20" s="299">
        <v>0</v>
      </c>
      <c r="DT20" s="299">
        <v>0</v>
      </c>
      <c r="DU20" s="299">
        <v>0</v>
      </c>
      <c r="DV20" s="299">
        <v>0</v>
      </c>
      <c r="DW20" s="318" t="s">
        <v>174</v>
      </c>
      <c r="DX20" s="319"/>
      <c r="DY20" s="319" t="s">
        <v>174</v>
      </c>
      <c r="DZ20" s="299" t="s">
        <v>174</v>
      </c>
      <c r="EA20" s="299" t="s">
        <v>174</v>
      </c>
      <c r="EB20" s="299">
        <v>0</v>
      </c>
      <c r="EC20" s="116">
        <v>2300</v>
      </c>
      <c r="ED20" s="116">
        <v>-2300</v>
      </c>
      <c r="EE20" s="320" t="s">
        <v>174</v>
      </c>
      <c r="EF20" s="321">
        <v>-5</v>
      </c>
      <c r="EG20" s="322">
        <v>450189.84940000001</v>
      </c>
      <c r="EH20" s="299">
        <v>49810.150599999994</v>
      </c>
      <c r="EI20" s="299">
        <v>500000</v>
      </c>
      <c r="EJ20" s="299">
        <v>450189.84940000001</v>
      </c>
      <c r="EK20" s="323">
        <v>425523.86180000001</v>
      </c>
      <c r="EL20" s="303"/>
      <c r="EM20" s="299">
        <v>2300</v>
      </c>
      <c r="EN20" s="299">
        <v>-2300</v>
      </c>
      <c r="EO20" s="323"/>
      <c r="EP20" s="303"/>
      <c r="EQ20" s="299">
        <v>452489.84940000001</v>
      </c>
      <c r="ER20" s="299">
        <v>47510.150599999994</v>
      </c>
      <c r="ES20" s="299">
        <v>500000</v>
      </c>
      <c r="ET20" s="299">
        <v>447889.84940000001</v>
      </c>
      <c r="EU20" s="323">
        <v>0</v>
      </c>
      <c r="EV20" s="324">
        <v>0</v>
      </c>
      <c r="EW20" s="303"/>
      <c r="EX20" s="299">
        <v>452489.84940000001</v>
      </c>
      <c r="EY20" s="299">
        <v>47510.150599999994</v>
      </c>
      <c r="EZ20" s="299">
        <v>500000</v>
      </c>
      <c r="FA20" s="299">
        <v>447889.84940000001</v>
      </c>
      <c r="FB20" s="299">
        <v>0</v>
      </c>
    </row>
    <row r="21" spans="1:158" ht="13">
      <c r="A21" s="10">
        <f>IF(HistSecRecord!$E$1&gt;=E21,1,0)</f>
        <v>1</v>
      </c>
      <c r="B21" s="77">
        <v>44563000032</v>
      </c>
      <c r="C21" s="43" t="s">
        <v>185</v>
      </c>
      <c r="D21" s="29" t="s">
        <v>84</v>
      </c>
      <c r="E21" s="4">
        <v>44563</v>
      </c>
      <c r="F21" s="105"/>
      <c r="G21" s="79" t="s">
        <v>19</v>
      </c>
      <c r="H21" s="80" t="s">
        <v>63</v>
      </c>
      <c r="I21" s="81" t="s">
        <v>61</v>
      </c>
      <c r="J21" s="88"/>
      <c r="K21" s="103"/>
      <c r="L21" s="56"/>
      <c r="M21" s="104">
        <v>35000</v>
      </c>
      <c r="N21" s="82"/>
      <c r="O21" s="82"/>
      <c r="P21" s="86"/>
      <c r="Q21" s="43" t="s">
        <v>156</v>
      </c>
      <c r="T21" s="87">
        <v>44563</v>
      </c>
      <c r="U21" s="79"/>
      <c r="V21" s="81" t="s">
        <v>39</v>
      </c>
      <c r="W21" s="82"/>
      <c r="X21" s="82"/>
      <c r="Y21" s="82"/>
      <c r="Z21" s="82"/>
      <c r="AA21" s="82"/>
      <c r="AB21" s="82"/>
      <c r="AC21" s="83"/>
      <c r="AD21" s="83"/>
      <c r="AE21" s="83"/>
      <c r="AF21" s="83"/>
      <c r="AG21" s="83"/>
      <c r="AH21" s="83"/>
      <c r="AI21" s="83"/>
      <c r="AJ21" s="83"/>
      <c r="AK21" s="83"/>
      <c r="AL21" s="84"/>
      <c r="AM21" s="84"/>
      <c r="AN21" s="84"/>
      <c r="AO21" s="84"/>
      <c r="AP21" s="84"/>
      <c r="AQ21" s="84"/>
      <c r="AR21" s="84"/>
      <c r="AS21" s="84"/>
      <c r="AT21" s="84"/>
      <c r="AU21" s="89"/>
      <c r="AV21" s="89"/>
      <c r="AX21" s="90"/>
      <c r="BA21" s="43"/>
      <c r="BC21" s="295"/>
      <c r="BD21" s="296">
        <v>0</v>
      </c>
      <c r="BE21" s="296" t="s">
        <v>174</v>
      </c>
      <c r="BF21" s="296">
        <v>0</v>
      </c>
      <c r="BG21" s="297">
        <v>0</v>
      </c>
      <c r="BH21" s="298">
        <v>4</v>
      </c>
      <c r="BI21" s="299">
        <v>-1</v>
      </c>
      <c r="BJ21" s="77">
        <v>35000</v>
      </c>
      <c r="BK21" s="77" t="s">
        <v>39</v>
      </c>
      <c r="BL21" s="300">
        <v>1</v>
      </c>
      <c r="BM21" s="301" t="s">
        <v>63</v>
      </c>
      <c r="BN21" s="302" t="s">
        <v>174</v>
      </c>
      <c r="BO21" s="303"/>
      <c r="BP21" s="304" t="s">
        <v>174</v>
      </c>
      <c r="BQ21" s="305" t="s">
        <v>174</v>
      </c>
      <c r="BR21" s="306" t="s">
        <v>174</v>
      </c>
      <c r="BS21" s="299">
        <v>0</v>
      </c>
      <c r="BT21" s="307"/>
      <c r="BU21" s="308" t="s">
        <v>174</v>
      </c>
      <c r="BV21" s="303" t="s">
        <v>174</v>
      </c>
      <c r="BW21" s="306" t="s">
        <v>174</v>
      </c>
      <c r="BX21" s="299">
        <v>0</v>
      </c>
      <c r="BY21" s="307"/>
      <c r="BZ21" s="302" t="s">
        <v>174</v>
      </c>
      <c r="CA21" s="303"/>
      <c r="CB21" s="304" t="s">
        <v>174</v>
      </c>
      <c r="CC21" s="309" t="s">
        <v>174</v>
      </c>
      <c r="CD21" s="310" t="s">
        <v>174</v>
      </c>
      <c r="CE21" s="303">
        <v>0</v>
      </c>
      <c r="CF21" s="307"/>
      <c r="CG21" s="311">
        <v>1.4999999999999999E-4</v>
      </c>
      <c r="CH21" s="309">
        <v>-35000</v>
      </c>
      <c r="CI21" s="306">
        <v>-35000</v>
      </c>
      <c r="CJ21" s="299">
        <v>-35000</v>
      </c>
      <c r="CK21" s="307"/>
      <c r="CL21" s="299">
        <v>35000</v>
      </c>
      <c r="CM21" s="303" t="s">
        <v>174</v>
      </c>
      <c r="CN21" s="312" t="s">
        <v>63</v>
      </c>
      <c r="CO21" s="313">
        <v>44563</v>
      </c>
      <c r="CP21" s="314"/>
      <c r="CQ21" s="315"/>
      <c r="CR21" s="315">
        <v>0</v>
      </c>
      <c r="CS21" s="315">
        <v>0</v>
      </c>
      <c r="CT21" s="316">
        <v>0</v>
      </c>
      <c r="CU21" s="315">
        <v>0</v>
      </c>
      <c r="CV21" s="315">
        <v>0</v>
      </c>
      <c r="CW21" s="315">
        <v>30000</v>
      </c>
      <c r="CX21" s="315">
        <v>0</v>
      </c>
      <c r="CY21" s="315">
        <v>0</v>
      </c>
      <c r="CZ21" s="315">
        <v>0</v>
      </c>
      <c r="DA21" s="315">
        <v>-5000</v>
      </c>
      <c r="DB21" s="303" t="s">
        <v>174</v>
      </c>
      <c r="DC21" s="303" t="s">
        <v>174</v>
      </c>
      <c r="DD21" s="303" t="s">
        <v>174</v>
      </c>
      <c r="DE21" s="303" t="s">
        <v>312</v>
      </c>
      <c r="DF21" s="315" t="s">
        <v>174</v>
      </c>
      <c r="DG21" s="315" t="s">
        <v>174</v>
      </c>
      <c r="DH21" s="315" t="s">
        <v>174</v>
      </c>
      <c r="DI21" s="315">
        <v>-35000</v>
      </c>
      <c r="DJ21" s="315" t="s">
        <v>312</v>
      </c>
      <c r="DK21" s="303"/>
      <c r="DL21" s="317" t="s">
        <v>174</v>
      </c>
      <c r="DM21" s="299" t="s">
        <v>174</v>
      </c>
      <c r="DN21" s="299" t="s">
        <v>174</v>
      </c>
      <c r="DO21" s="299" t="s">
        <v>174</v>
      </c>
      <c r="DP21" s="299" t="s">
        <v>174</v>
      </c>
      <c r="DQ21" s="299">
        <v>0</v>
      </c>
      <c r="DR21" s="299">
        <v>0</v>
      </c>
      <c r="DS21" s="299">
        <v>0</v>
      </c>
      <c r="DT21" s="299">
        <v>0</v>
      </c>
      <c r="DU21" s="299">
        <v>-35000</v>
      </c>
      <c r="DV21" s="299">
        <v>25000</v>
      </c>
      <c r="DW21" s="318" t="s">
        <v>174</v>
      </c>
      <c r="DX21" s="319"/>
      <c r="DY21" s="319" t="s">
        <v>174</v>
      </c>
      <c r="DZ21" s="299" t="s">
        <v>174</v>
      </c>
      <c r="EA21" s="299" t="s">
        <v>174</v>
      </c>
      <c r="EB21" s="299">
        <v>0</v>
      </c>
      <c r="EC21" s="116">
        <v>35000</v>
      </c>
      <c r="ED21" s="116">
        <v>25000</v>
      </c>
      <c r="EE21" s="320" t="s">
        <v>174</v>
      </c>
      <c r="EF21" s="321">
        <v>25000</v>
      </c>
      <c r="EG21" s="322">
        <v>424205.40759999998</v>
      </c>
      <c r="EH21" s="299">
        <v>75794.592400000009</v>
      </c>
      <c r="EI21" s="299">
        <v>500000</v>
      </c>
      <c r="EJ21" s="299">
        <v>444205.40759999998</v>
      </c>
      <c r="EK21" s="323">
        <v>0</v>
      </c>
      <c r="EL21" s="303"/>
      <c r="EM21" s="299">
        <v>35000</v>
      </c>
      <c r="EN21" s="299">
        <v>25000</v>
      </c>
      <c r="EO21" s="323"/>
      <c r="EP21" s="303"/>
      <c r="EQ21" s="299">
        <v>459205.40759999998</v>
      </c>
      <c r="ER21" s="299">
        <v>40794.592400000009</v>
      </c>
      <c r="ES21" s="299">
        <v>500000</v>
      </c>
      <c r="ET21" s="299">
        <v>469205.40759999998</v>
      </c>
      <c r="EU21" s="323">
        <v>0</v>
      </c>
      <c r="EV21" s="324">
        <v>0</v>
      </c>
      <c r="EW21" s="303"/>
      <c r="EX21" s="299">
        <v>459205.40759999998</v>
      </c>
      <c r="EY21" s="299">
        <v>40794.592400000009</v>
      </c>
      <c r="EZ21" s="299">
        <v>500000</v>
      </c>
      <c r="FA21" s="299">
        <v>469205.40759999998</v>
      </c>
      <c r="FB21" s="299">
        <v>0</v>
      </c>
    </row>
    <row r="22" spans="1:158" ht="13">
      <c r="A22" s="10">
        <f>IF(HistSecRecord!$E$1&gt;=E22,1,0)</f>
        <v>1</v>
      </c>
      <c r="B22" s="77">
        <v>44563000037</v>
      </c>
      <c r="C22" s="43" t="s">
        <v>186</v>
      </c>
      <c r="D22" s="29" t="s">
        <v>86</v>
      </c>
      <c r="E22" s="4">
        <v>44563</v>
      </c>
      <c r="F22" s="105"/>
      <c r="G22" s="79" t="s">
        <v>17</v>
      </c>
      <c r="H22" s="80" t="s">
        <v>0</v>
      </c>
      <c r="I22" s="81" t="s">
        <v>16</v>
      </c>
      <c r="J22" s="88">
        <v>30</v>
      </c>
      <c r="K22" s="103"/>
      <c r="L22" s="56"/>
      <c r="M22" s="104"/>
      <c r="N22" s="82">
        <v>385</v>
      </c>
      <c r="O22" s="82"/>
      <c r="P22" s="86"/>
      <c r="Q22" s="43"/>
      <c r="T22" s="87">
        <v>44563</v>
      </c>
      <c r="U22" s="102"/>
      <c r="V22" s="81" t="s">
        <v>41</v>
      </c>
      <c r="W22" s="82" t="s">
        <v>0</v>
      </c>
      <c r="X22" s="82">
        <v>358.34</v>
      </c>
      <c r="Y22" s="82">
        <v>359.71</v>
      </c>
      <c r="Z22" s="82">
        <v>349.8</v>
      </c>
      <c r="AA22" s="82">
        <v>354.4</v>
      </c>
      <c r="AB22" s="82">
        <v>2421173</v>
      </c>
      <c r="AC22" s="103"/>
      <c r="AD22" s="103"/>
      <c r="AE22" s="103"/>
      <c r="AF22" s="103"/>
      <c r="AG22" s="103"/>
      <c r="AH22" s="103"/>
      <c r="AI22" s="103"/>
      <c r="AJ22" s="103"/>
      <c r="AK22" s="103"/>
      <c r="AL22" s="56"/>
      <c r="AM22" s="56"/>
      <c r="AN22" s="56"/>
      <c r="AO22" s="56"/>
      <c r="AP22" s="56"/>
      <c r="AQ22" s="56"/>
      <c r="AR22" s="56"/>
      <c r="AS22" s="56"/>
      <c r="AT22" s="56"/>
      <c r="AU22" s="104"/>
      <c r="AV22" s="104"/>
      <c r="AX22" s="90"/>
      <c r="BA22" s="43"/>
      <c r="BC22" s="295"/>
      <c r="BD22" s="296">
        <v>0</v>
      </c>
      <c r="BE22" s="296" t="s">
        <v>174</v>
      </c>
      <c r="BF22" s="296">
        <v>0</v>
      </c>
      <c r="BG22" s="297">
        <v>0</v>
      </c>
      <c r="BH22" s="298">
        <v>1</v>
      </c>
      <c r="BI22" s="299">
        <v>1</v>
      </c>
      <c r="BJ22" s="77">
        <v>30</v>
      </c>
      <c r="BK22" s="77" t="s">
        <v>41</v>
      </c>
      <c r="BL22" s="300">
        <v>7.7961499999999999</v>
      </c>
      <c r="BM22" s="301" t="s">
        <v>0</v>
      </c>
      <c r="BN22" s="302">
        <v>385</v>
      </c>
      <c r="BO22" s="303"/>
      <c r="BP22" s="304">
        <v>385</v>
      </c>
      <c r="BQ22" s="305">
        <v>30</v>
      </c>
      <c r="BR22" s="306">
        <v>11550</v>
      </c>
      <c r="BS22" s="299">
        <v>90045.532500000001</v>
      </c>
      <c r="BT22" s="307"/>
      <c r="BU22" s="308" t="s">
        <v>174</v>
      </c>
      <c r="BV22" s="303" t="s">
        <v>174</v>
      </c>
      <c r="BW22" s="306" t="s">
        <v>174</v>
      </c>
      <c r="BX22" s="299">
        <v>0</v>
      </c>
      <c r="BY22" s="307"/>
      <c r="BZ22" s="302" t="s">
        <v>174</v>
      </c>
      <c r="CA22" s="303"/>
      <c r="CB22" s="304" t="s">
        <v>174</v>
      </c>
      <c r="CC22" s="309" t="s">
        <v>174</v>
      </c>
      <c r="CD22" s="310" t="s">
        <v>174</v>
      </c>
      <c r="CE22" s="303">
        <v>0</v>
      </c>
      <c r="CF22" s="307"/>
      <c r="CG22" s="311" t="s">
        <v>174</v>
      </c>
      <c r="CH22" s="309" t="s">
        <v>174</v>
      </c>
      <c r="CI22" s="306" t="s">
        <v>174</v>
      </c>
      <c r="CJ22" s="299">
        <v>0</v>
      </c>
      <c r="CK22" s="307"/>
      <c r="CL22" s="299">
        <v>-90045.532500000001</v>
      </c>
      <c r="CM22" s="303" t="s">
        <v>174</v>
      </c>
      <c r="CN22" s="312" t="s">
        <v>0</v>
      </c>
      <c r="CO22" s="313">
        <v>44563</v>
      </c>
      <c r="CP22" s="314"/>
      <c r="CQ22" s="315"/>
      <c r="CR22" s="315">
        <v>0</v>
      </c>
      <c r="CS22" s="315">
        <v>0</v>
      </c>
      <c r="CT22" s="316">
        <v>0</v>
      </c>
      <c r="CU22" s="315">
        <v>0</v>
      </c>
      <c r="CV22" s="315">
        <v>0</v>
      </c>
      <c r="CW22" s="315">
        <v>0</v>
      </c>
      <c r="CX22" s="315">
        <v>30</v>
      </c>
      <c r="CY22" s="315">
        <v>0</v>
      </c>
      <c r="CZ22" s="315">
        <v>0</v>
      </c>
      <c r="DA22" s="315">
        <v>0</v>
      </c>
      <c r="DB22" s="303" t="s">
        <v>310</v>
      </c>
      <c r="DC22" s="303" t="s">
        <v>174</v>
      </c>
      <c r="DD22" s="303" t="s">
        <v>174</v>
      </c>
      <c r="DE22" s="303" t="s">
        <v>174</v>
      </c>
      <c r="DF22" s="315">
        <v>30</v>
      </c>
      <c r="DG22" s="315" t="s">
        <v>174</v>
      </c>
      <c r="DH22" s="315" t="s">
        <v>174</v>
      </c>
      <c r="DI22" s="315">
        <v>0</v>
      </c>
      <c r="DJ22" s="315" t="s">
        <v>310</v>
      </c>
      <c r="DK22" s="303"/>
      <c r="DL22" s="317">
        <v>3001.51775</v>
      </c>
      <c r="DM22" s="299">
        <v>90045.532500000001</v>
      </c>
      <c r="DN22" s="299">
        <v>-90045.532500000001</v>
      </c>
      <c r="DO22" s="299">
        <v>90045.532500000001</v>
      </c>
      <c r="DP22" s="299" t="s">
        <v>174</v>
      </c>
      <c r="DQ22" s="299">
        <v>0</v>
      </c>
      <c r="DR22" s="299">
        <v>0</v>
      </c>
      <c r="DS22" s="299">
        <v>0</v>
      </c>
      <c r="DT22" s="299">
        <v>0</v>
      </c>
      <c r="DU22" s="299">
        <v>0</v>
      </c>
      <c r="DV22" s="299">
        <v>0</v>
      </c>
      <c r="DW22" s="318" t="s">
        <v>174</v>
      </c>
      <c r="DX22" s="319"/>
      <c r="DY22" s="319" t="s">
        <v>174</v>
      </c>
      <c r="DZ22" s="299" t="s">
        <v>174</v>
      </c>
      <c r="EA22" s="299" t="s">
        <v>174</v>
      </c>
      <c r="EB22" s="299">
        <v>0</v>
      </c>
      <c r="EC22" s="116">
        <v>-90045.532500000001</v>
      </c>
      <c r="ED22" s="116">
        <v>-90045.532500000001</v>
      </c>
      <c r="EE22" s="320" t="s">
        <v>174</v>
      </c>
      <c r="EF22" s="321">
        <v>-30</v>
      </c>
      <c r="EG22" s="322">
        <v>500000</v>
      </c>
      <c r="EH22" s="299">
        <v>0</v>
      </c>
      <c r="EI22" s="299">
        <v>500000</v>
      </c>
      <c r="EJ22" s="299">
        <v>500000</v>
      </c>
      <c r="EK22" s="323">
        <v>0</v>
      </c>
      <c r="EL22" s="303"/>
      <c r="EM22" s="299">
        <v>-90045.532500000001</v>
      </c>
      <c r="EN22" s="299">
        <v>-90045.532500000001</v>
      </c>
      <c r="EO22" s="323"/>
      <c r="EP22" s="303"/>
      <c r="EQ22" s="299">
        <v>409954.46750000003</v>
      </c>
      <c r="ER22" s="299">
        <v>90045.532500000001</v>
      </c>
      <c r="ES22" s="299">
        <v>500000</v>
      </c>
      <c r="ET22" s="299">
        <v>409954.46750000003</v>
      </c>
      <c r="EU22" s="323">
        <v>0</v>
      </c>
      <c r="EV22" s="324">
        <v>0</v>
      </c>
      <c r="EW22" s="303"/>
      <c r="EX22" s="299">
        <v>409954.46750000003</v>
      </c>
      <c r="EY22" s="299">
        <v>90045.532500000001</v>
      </c>
      <c r="EZ22" s="299">
        <v>500000</v>
      </c>
      <c r="FA22" s="299">
        <v>409954.46750000003</v>
      </c>
      <c r="FB22" s="299">
        <v>0</v>
      </c>
    </row>
    <row r="23" spans="1:158" ht="13">
      <c r="A23" s="10">
        <f>IF(HistSecRecord!$E$1&gt;=E23,1,0)</f>
        <v>1</v>
      </c>
      <c r="B23" s="77">
        <v>44563000038</v>
      </c>
      <c r="C23" s="43" t="s">
        <v>186</v>
      </c>
      <c r="D23" s="29" t="s">
        <v>86</v>
      </c>
      <c r="E23" s="4">
        <v>44563</v>
      </c>
      <c r="F23" s="105"/>
      <c r="G23" s="79" t="s">
        <v>17</v>
      </c>
      <c r="H23" s="80" t="s">
        <v>38</v>
      </c>
      <c r="I23" s="81" t="s">
        <v>16</v>
      </c>
      <c r="J23" s="88">
        <v>30</v>
      </c>
      <c r="K23" s="103"/>
      <c r="L23" s="56"/>
      <c r="M23" s="104"/>
      <c r="N23" s="82">
        <v>460</v>
      </c>
      <c r="O23" s="82"/>
      <c r="P23" s="86"/>
      <c r="Q23" s="43"/>
      <c r="T23" s="87">
        <v>44563</v>
      </c>
      <c r="U23" s="102"/>
      <c r="V23" s="81" t="s">
        <v>39</v>
      </c>
      <c r="W23" s="82" t="s">
        <v>38</v>
      </c>
      <c r="X23" s="82">
        <v>453</v>
      </c>
      <c r="Y23" s="82">
        <v>458</v>
      </c>
      <c r="Z23" s="82">
        <v>450</v>
      </c>
      <c r="AA23" s="82">
        <v>452.8</v>
      </c>
      <c r="AB23" s="82">
        <v>17490032</v>
      </c>
      <c r="AC23" s="103"/>
      <c r="AD23" s="103"/>
      <c r="AE23" s="103"/>
      <c r="AF23" s="103"/>
      <c r="AG23" s="103"/>
      <c r="AH23" s="103"/>
      <c r="AI23" s="103"/>
      <c r="AJ23" s="103"/>
      <c r="AK23" s="103"/>
      <c r="AL23" s="56"/>
      <c r="AM23" s="56"/>
      <c r="AN23" s="56"/>
      <c r="AO23" s="56"/>
      <c r="AP23" s="56"/>
      <c r="AQ23" s="56"/>
      <c r="AR23" s="56"/>
      <c r="AS23" s="56"/>
      <c r="AT23" s="56"/>
      <c r="AU23" s="104"/>
      <c r="AV23" s="104"/>
      <c r="AX23" s="90"/>
      <c r="BA23" s="43"/>
      <c r="BC23" s="295"/>
      <c r="BD23" s="296">
        <v>0</v>
      </c>
      <c r="BE23" s="296" t="s">
        <v>174</v>
      </c>
      <c r="BF23" s="296">
        <v>0</v>
      </c>
      <c r="BG23" s="297">
        <v>0</v>
      </c>
      <c r="BH23" s="298">
        <v>1</v>
      </c>
      <c r="BI23" s="299">
        <v>1</v>
      </c>
      <c r="BJ23" s="77">
        <v>30</v>
      </c>
      <c r="BK23" s="77" t="s">
        <v>39</v>
      </c>
      <c r="BL23" s="300">
        <v>1</v>
      </c>
      <c r="BM23" s="301" t="s">
        <v>38</v>
      </c>
      <c r="BN23" s="302">
        <v>460</v>
      </c>
      <c r="BO23" s="303"/>
      <c r="BP23" s="304">
        <v>460</v>
      </c>
      <c r="BQ23" s="305">
        <v>30</v>
      </c>
      <c r="BR23" s="306">
        <v>13800</v>
      </c>
      <c r="BS23" s="299">
        <v>13800</v>
      </c>
      <c r="BT23" s="307"/>
      <c r="BU23" s="308" t="s">
        <v>174</v>
      </c>
      <c r="BV23" s="303" t="s">
        <v>174</v>
      </c>
      <c r="BW23" s="306" t="s">
        <v>174</v>
      </c>
      <c r="BX23" s="299">
        <v>0</v>
      </c>
      <c r="BY23" s="307"/>
      <c r="BZ23" s="302" t="s">
        <v>174</v>
      </c>
      <c r="CA23" s="303"/>
      <c r="CB23" s="304" t="s">
        <v>174</v>
      </c>
      <c r="CC23" s="309" t="s">
        <v>174</v>
      </c>
      <c r="CD23" s="310" t="s">
        <v>174</v>
      </c>
      <c r="CE23" s="303">
        <v>0</v>
      </c>
      <c r="CF23" s="307"/>
      <c r="CG23" s="311" t="s">
        <v>174</v>
      </c>
      <c r="CH23" s="309" t="s">
        <v>174</v>
      </c>
      <c r="CI23" s="306" t="s">
        <v>174</v>
      </c>
      <c r="CJ23" s="299">
        <v>0</v>
      </c>
      <c r="CK23" s="307"/>
      <c r="CL23" s="299">
        <v>-13800</v>
      </c>
      <c r="CM23" s="303" t="s">
        <v>174</v>
      </c>
      <c r="CN23" s="312" t="s">
        <v>38</v>
      </c>
      <c r="CO23" s="313">
        <v>44563</v>
      </c>
      <c r="CP23" s="314"/>
      <c r="CQ23" s="315"/>
      <c r="CR23" s="315">
        <v>0</v>
      </c>
      <c r="CS23" s="315">
        <v>0</v>
      </c>
      <c r="CT23" s="316">
        <v>0</v>
      </c>
      <c r="CU23" s="315">
        <v>0</v>
      </c>
      <c r="CV23" s="315">
        <v>0</v>
      </c>
      <c r="CW23" s="315">
        <v>0</v>
      </c>
      <c r="CX23" s="315">
        <v>30</v>
      </c>
      <c r="CY23" s="315">
        <v>0</v>
      </c>
      <c r="CZ23" s="315">
        <v>0</v>
      </c>
      <c r="DA23" s="315">
        <v>0</v>
      </c>
      <c r="DB23" s="303" t="s">
        <v>310</v>
      </c>
      <c r="DC23" s="303" t="s">
        <v>174</v>
      </c>
      <c r="DD23" s="303" t="s">
        <v>174</v>
      </c>
      <c r="DE23" s="303" t="s">
        <v>174</v>
      </c>
      <c r="DF23" s="315">
        <v>30</v>
      </c>
      <c r="DG23" s="315" t="s">
        <v>174</v>
      </c>
      <c r="DH23" s="315" t="s">
        <v>174</v>
      </c>
      <c r="DI23" s="315">
        <v>0</v>
      </c>
      <c r="DJ23" s="315" t="s">
        <v>310</v>
      </c>
      <c r="DK23" s="303"/>
      <c r="DL23" s="317">
        <v>460</v>
      </c>
      <c r="DM23" s="299">
        <v>13800</v>
      </c>
      <c r="DN23" s="299">
        <v>-13800</v>
      </c>
      <c r="DO23" s="299">
        <v>13800</v>
      </c>
      <c r="DP23" s="299" t="s">
        <v>174</v>
      </c>
      <c r="DQ23" s="299">
        <v>0</v>
      </c>
      <c r="DR23" s="299">
        <v>0</v>
      </c>
      <c r="DS23" s="299">
        <v>0</v>
      </c>
      <c r="DT23" s="299">
        <v>0</v>
      </c>
      <c r="DU23" s="299">
        <v>0</v>
      </c>
      <c r="DV23" s="299">
        <v>0</v>
      </c>
      <c r="DW23" s="318" t="s">
        <v>174</v>
      </c>
      <c r="DX23" s="319"/>
      <c r="DY23" s="319" t="s">
        <v>174</v>
      </c>
      <c r="DZ23" s="299" t="s">
        <v>174</v>
      </c>
      <c r="EA23" s="299" t="s">
        <v>174</v>
      </c>
      <c r="EB23" s="299">
        <v>0</v>
      </c>
      <c r="EC23" s="116">
        <v>-13800</v>
      </c>
      <c r="ED23" s="116">
        <v>-13800</v>
      </c>
      <c r="EE23" s="320" t="s">
        <v>174</v>
      </c>
      <c r="EF23" s="321">
        <v>-30</v>
      </c>
      <c r="EG23" s="322">
        <v>409954.46750000003</v>
      </c>
      <c r="EH23" s="299">
        <v>90045.532500000001</v>
      </c>
      <c r="EI23" s="299">
        <v>500000</v>
      </c>
      <c r="EJ23" s="299">
        <v>409954.46750000003</v>
      </c>
      <c r="EK23" s="323">
        <v>0</v>
      </c>
      <c r="EL23" s="303"/>
      <c r="EM23" s="299">
        <v>-13800</v>
      </c>
      <c r="EN23" s="299">
        <v>-13800</v>
      </c>
      <c r="EO23" s="323"/>
      <c r="EP23" s="303"/>
      <c r="EQ23" s="299">
        <v>396154.46750000003</v>
      </c>
      <c r="ER23" s="299">
        <v>103845.5325</v>
      </c>
      <c r="ES23" s="299">
        <v>500000</v>
      </c>
      <c r="ET23" s="299">
        <v>396154.46750000003</v>
      </c>
      <c r="EU23" s="323">
        <v>0</v>
      </c>
      <c r="EV23" s="324">
        <v>0</v>
      </c>
      <c r="EW23" s="303"/>
      <c r="EX23" s="299">
        <v>396154.46750000003</v>
      </c>
      <c r="EY23" s="299">
        <v>103845.5325</v>
      </c>
      <c r="EZ23" s="299">
        <v>500000</v>
      </c>
      <c r="FA23" s="299">
        <v>396154.46750000003</v>
      </c>
      <c r="FB23" s="299">
        <v>0</v>
      </c>
    </row>
    <row r="24" spans="1:158" ht="13">
      <c r="A24" s="10">
        <f>IF(HistSecRecord!$E$1&gt;=E24,1,0)</f>
        <v>1</v>
      </c>
      <c r="B24" s="43">
        <v>44564000027</v>
      </c>
      <c r="C24" s="43" t="s">
        <v>184</v>
      </c>
      <c r="D24" s="43" t="s">
        <v>82</v>
      </c>
      <c r="E24" s="243">
        <v>44564</v>
      </c>
      <c r="F24" s="43"/>
      <c r="G24" s="43" t="s">
        <v>19</v>
      </c>
      <c r="H24" s="43" t="s">
        <v>40</v>
      </c>
      <c r="I24" s="43" t="s">
        <v>16</v>
      </c>
      <c r="J24" s="43">
        <v>10</v>
      </c>
      <c r="N24" s="43">
        <v>2050</v>
      </c>
      <c r="O24" s="43"/>
      <c r="P24" s="43"/>
      <c r="Q24" s="43"/>
      <c r="T24" s="243">
        <v>44564</v>
      </c>
      <c r="V24" s="43" t="s">
        <v>29</v>
      </c>
      <c r="W24" s="43" t="s">
        <v>40</v>
      </c>
      <c r="X24" s="43">
        <v>1919</v>
      </c>
      <c r="Y24" s="43">
        <v>1919</v>
      </c>
      <c r="Z24" s="43">
        <v>1888.88</v>
      </c>
      <c r="AA24" s="43">
        <v>1892.27</v>
      </c>
      <c r="AB24" s="43">
        <v>2637094</v>
      </c>
      <c r="AX24" s="43"/>
      <c r="BA24" s="43"/>
      <c r="BD24" s="29">
        <v>0</v>
      </c>
      <c r="BE24" s="29" t="s">
        <v>174</v>
      </c>
      <c r="BF24" s="29">
        <v>0</v>
      </c>
      <c r="BG24" s="29">
        <v>0</v>
      </c>
      <c r="BH24" s="31">
        <v>1</v>
      </c>
      <c r="BI24" s="116">
        <v>-1</v>
      </c>
      <c r="BJ24" s="43">
        <v>10</v>
      </c>
      <c r="BK24" s="43" t="s">
        <v>29</v>
      </c>
      <c r="BL24" s="196">
        <v>1.22699</v>
      </c>
      <c r="BM24" s="329" t="s">
        <v>40</v>
      </c>
      <c r="BN24" s="330">
        <v>2050</v>
      </c>
      <c r="BP24" s="330">
        <v>2050</v>
      </c>
      <c r="BQ24" s="10">
        <v>-10</v>
      </c>
      <c r="BR24" s="10">
        <v>-20500</v>
      </c>
      <c r="BS24" s="116">
        <v>-25153.295000000002</v>
      </c>
      <c r="BU24" s="331" t="s">
        <v>174</v>
      </c>
      <c r="BV24" s="10" t="s">
        <v>174</v>
      </c>
      <c r="BW24" s="116" t="s">
        <v>174</v>
      </c>
      <c r="BX24" s="116">
        <v>0</v>
      </c>
      <c r="BZ24" s="330" t="s">
        <v>174</v>
      </c>
      <c r="CB24" s="330" t="s">
        <v>174</v>
      </c>
      <c r="CC24" s="116" t="s">
        <v>174</v>
      </c>
      <c r="CD24" s="10" t="s">
        <v>174</v>
      </c>
      <c r="CE24" s="10">
        <v>0</v>
      </c>
      <c r="CG24" s="242" t="s">
        <v>174</v>
      </c>
      <c r="CH24" s="116" t="s">
        <v>174</v>
      </c>
      <c r="CI24" s="116" t="s">
        <v>174</v>
      </c>
      <c r="CJ24" s="116">
        <v>0</v>
      </c>
      <c r="CL24" s="116">
        <v>25153.295000000002</v>
      </c>
      <c r="CM24" s="10" t="s">
        <v>174</v>
      </c>
      <c r="CN24" s="239" t="s">
        <v>40</v>
      </c>
      <c r="CO24" s="153">
        <v>44564</v>
      </c>
      <c r="CP24" s="43"/>
      <c r="CQ24" s="43"/>
      <c r="CR24" s="43">
        <v>0</v>
      </c>
      <c r="CS24" s="43">
        <v>0</v>
      </c>
      <c r="CT24" s="43">
        <v>20</v>
      </c>
      <c r="CU24" s="43">
        <v>0</v>
      </c>
      <c r="CV24" s="43">
        <v>0</v>
      </c>
      <c r="CW24" s="43">
        <v>0</v>
      </c>
      <c r="CX24" s="43">
        <v>10</v>
      </c>
      <c r="CY24" s="43">
        <v>0</v>
      </c>
      <c r="CZ24" s="43">
        <v>0</v>
      </c>
      <c r="DA24" s="43">
        <v>0</v>
      </c>
      <c r="DB24" s="10" t="s">
        <v>313</v>
      </c>
      <c r="DC24" s="10" t="s">
        <v>174</v>
      </c>
      <c r="DD24" s="10" t="s">
        <v>174</v>
      </c>
      <c r="DE24" s="10" t="s">
        <v>174</v>
      </c>
      <c r="DF24" s="43">
        <v>-10</v>
      </c>
      <c r="DG24" s="43" t="s">
        <v>174</v>
      </c>
      <c r="DH24" s="43" t="s">
        <v>174</v>
      </c>
      <c r="DI24" s="43">
        <v>0</v>
      </c>
      <c r="DJ24" s="43" t="s">
        <v>313</v>
      </c>
      <c r="DL24" s="10">
        <v>2515.3294999999998</v>
      </c>
      <c r="DM24" s="116">
        <v>-25153.294999999998</v>
      </c>
      <c r="DN24" s="116">
        <v>25153.295000000002</v>
      </c>
      <c r="DO24" s="116" t="s">
        <v>174</v>
      </c>
      <c r="DP24" s="116">
        <v>-25153.294999999998</v>
      </c>
      <c r="DQ24" s="10">
        <v>0</v>
      </c>
      <c r="DR24" s="10">
        <v>0</v>
      </c>
      <c r="DS24" s="10">
        <v>0</v>
      </c>
      <c r="DT24" s="10">
        <v>0</v>
      </c>
      <c r="DU24" s="10">
        <v>0</v>
      </c>
      <c r="DV24" s="10">
        <v>0</v>
      </c>
      <c r="DW24" s="116" t="s">
        <v>174</v>
      </c>
      <c r="DX24" s="219"/>
      <c r="DY24" s="219" t="s">
        <v>174</v>
      </c>
      <c r="DZ24" s="116" t="s">
        <v>174</v>
      </c>
      <c r="EA24" s="116" t="s">
        <v>174</v>
      </c>
      <c r="EB24" s="116">
        <v>0</v>
      </c>
      <c r="EC24" s="116">
        <v>25153.294999999998</v>
      </c>
      <c r="ED24" s="116">
        <v>25153.295000000002</v>
      </c>
      <c r="EE24" s="10" t="s">
        <v>174</v>
      </c>
      <c r="EF24" s="332">
        <v>10</v>
      </c>
      <c r="EG24" s="116">
        <v>452489.84940000001</v>
      </c>
      <c r="EH24" s="116">
        <v>47510.150599999994</v>
      </c>
      <c r="EI24" s="116">
        <v>500000</v>
      </c>
      <c r="EJ24" s="116">
        <v>447889.84940000001</v>
      </c>
      <c r="EK24" s="116">
        <v>615680.71739999996</v>
      </c>
      <c r="EM24" s="116">
        <v>25153.294999999998</v>
      </c>
      <c r="EN24" s="116">
        <v>25153.295000000002</v>
      </c>
      <c r="EO24" s="116"/>
      <c r="EQ24" s="116">
        <v>477643.14439999999</v>
      </c>
      <c r="ER24" s="116">
        <v>22356.855599999995</v>
      </c>
      <c r="ES24" s="116">
        <v>500000</v>
      </c>
      <c r="ET24" s="116">
        <v>473043.14439999999</v>
      </c>
      <c r="EU24" s="116">
        <v>0</v>
      </c>
      <c r="EV24" s="137">
        <v>0</v>
      </c>
      <c r="EX24" s="116">
        <v>477643.14439999999</v>
      </c>
      <c r="EY24" s="116">
        <v>22356.855599999995</v>
      </c>
      <c r="EZ24" s="116">
        <v>500000</v>
      </c>
      <c r="FA24" s="116">
        <v>473043.14439999999</v>
      </c>
      <c r="FB24" s="116">
        <v>0</v>
      </c>
    </row>
    <row r="25" spans="1:158" ht="13">
      <c r="A25" s="10">
        <f>IF(B25="","",IF(HistSecRecord!$E$1&gt;=E25,1,0))</f>
        <v>1</v>
      </c>
      <c r="B25" s="43">
        <v>44564000028</v>
      </c>
      <c r="C25" s="43" t="s">
        <v>184</v>
      </c>
      <c r="D25" s="43" t="s">
        <v>82</v>
      </c>
      <c r="E25" s="243">
        <v>44564</v>
      </c>
      <c r="F25" s="43"/>
      <c r="G25" s="43" t="s">
        <v>17</v>
      </c>
      <c r="H25" s="43" t="s">
        <v>38</v>
      </c>
      <c r="I25" s="43" t="s">
        <v>16</v>
      </c>
      <c r="J25" s="43">
        <v>15</v>
      </c>
      <c r="N25" s="43">
        <v>460</v>
      </c>
      <c r="O25" s="43"/>
      <c r="P25" s="43"/>
      <c r="Q25" s="43"/>
      <c r="T25" s="243">
        <v>44564</v>
      </c>
      <c r="V25" s="43" t="s">
        <v>39</v>
      </c>
      <c r="W25" s="43" t="s">
        <v>38</v>
      </c>
      <c r="X25" s="43">
        <v>453</v>
      </c>
      <c r="Y25" s="43">
        <v>458</v>
      </c>
      <c r="Z25" s="43">
        <v>450</v>
      </c>
      <c r="AA25" s="43">
        <v>452.8</v>
      </c>
      <c r="AB25" s="43">
        <v>17490032</v>
      </c>
      <c r="BA25" s="43"/>
      <c r="BD25" s="29">
        <v>0</v>
      </c>
      <c r="BE25" s="29" t="s">
        <v>174</v>
      </c>
      <c r="BF25" s="29">
        <v>0</v>
      </c>
      <c r="BG25" s="29">
        <v>0</v>
      </c>
      <c r="BH25" s="31">
        <v>1</v>
      </c>
      <c r="BI25" s="116">
        <v>1</v>
      </c>
      <c r="BJ25" s="43">
        <v>15</v>
      </c>
      <c r="BK25" s="43" t="s">
        <v>39</v>
      </c>
      <c r="BL25" s="196">
        <v>1</v>
      </c>
      <c r="BM25" s="329" t="s">
        <v>38</v>
      </c>
      <c r="BN25" s="330">
        <v>460</v>
      </c>
      <c r="BP25" s="330">
        <v>460</v>
      </c>
      <c r="BQ25" s="10">
        <v>15</v>
      </c>
      <c r="BR25" s="10">
        <v>6900</v>
      </c>
      <c r="BS25" s="116">
        <v>6900</v>
      </c>
      <c r="BU25" s="331" t="s">
        <v>174</v>
      </c>
      <c r="BV25" s="10" t="s">
        <v>174</v>
      </c>
      <c r="BW25" s="116" t="s">
        <v>174</v>
      </c>
      <c r="BX25" s="116">
        <v>0</v>
      </c>
      <c r="BZ25" s="330" t="s">
        <v>174</v>
      </c>
      <c r="CB25" s="330" t="s">
        <v>174</v>
      </c>
      <c r="CC25" s="116" t="s">
        <v>174</v>
      </c>
      <c r="CD25" s="10" t="s">
        <v>174</v>
      </c>
      <c r="CE25" s="10">
        <v>0</v>
      </c>
      <c r="CG25" s="242" t="s">
        <v>174</v>
      </c>
      <c r="CH25" s="116" t="s">
        <v>174</v>
      </c>
      <c r="CI25" s="116" t="s">
        <v>174</v>
      </c>
      <c r="CJ25" s="116">
        <v>0</v>
      </c>
      <c r="CL25" s="116">
        <v>-6900</v>
      </c>
      <c r="CM25" s="10" t="s">
        <v>174</v>
      </c>
      <c r="CN25" s="239" t="s">
        <v>38</v>
      </c>
      <c r="CO25" s="153">
        <v>44564</v>
      </c>
      <c r="CP25" s="43"/>
      <c r="CQ25" s="43"/>
      <c r="CR25" s="43">
        <v>0</v>
      </c>
      <c r="CS25" s="43">
        <v>0</v>
      </c>
      <c r="CT25" s="43">
        <v>-5</v>
      </c>
      <c r="CU25" s="43">
        <v>0</v>
      </c>
      <c r="CV25" s="43">
        <v>0</v>
      </c>
      <c r="CW25" s="43">
        <v>0</v>
      </c>
      <c r="CX25" s="43">
        <v>10</v>
      </c>
      <c r="CY25" s="43">
        <v>0</v>
      </c>
      <c r="CZ25" s="43">
        <v>0</v>
      </c>
      <c r="DA25" s="43">
        <v>0</v>
      </c>
      <c r="DB25" s="10" t="s">
        <v>314</v>
      </c>
      <c r="DC25" s="10" t="s">
        <v>174</v>
      </c>
      <c r="DD25" s="10" t="s">
        <v>174</v>
      </c>
      <c r="DE25" s="10" t="s">
        <v>174</v>
      </c>
      <c r="DF25" s="43">
        <v>15</v>
      </c>
      <c r="DG25" s="43" t="s">
        <v>174</v>
      </c>
      <c r="DH25" s="43" t="s">
        <v>174</v>
      </c>
      <c r="DI25" s="43">
        <v>0</v>
      </c>
      <c r="DJ25" s="43" t="s">
        <v>314</v>
      </c>
      <c r="DL25" s="10">
        <v>460</v>
      </c>
      <c r="DM25" s="116">
        <v>6900</v>
      </c>
      <c r="DN25" s="116">
        <v>-2300</v>
      </c>
      <c r="DO25" s="116">
        <v>6900</v>
      </c>
      <c r="DP25" s="116" t="s">
        <v>174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16" t="s">
        <v>174</v>
      </c>
      <c r="DX25" s="219"/>
      <c r="DY25" s="219" t="s">
        <v>174</v>
      </c>
      <c r="DZ25" s="116" t="s">
        <v>174</v>
      </c>
      <c r="EA25" s="116" t="s">
        <v>174</v>
      </c>
      <c r="EB25" s="116">
        <v>0</v>
      </c>
      <c r="EC25" s="116">
        <v>-6900</v>
      </c>
      <c r="ED25" s="116">
        <v>-2300</v>
      </c>
      <c r="EE25" s="10" t="s">
        <v>174</v>
      </c>
      <c r="EF25" s="332">
        <v>-5</v>
      </c>
      <c r="EG25" s="116">
        <v>477643.14439999999</v>
      </c>
      <c r="EH25" s="116">
        <v>22356.855599999995</v>
      </c>
      <c r="EI25" s="116">
        <v>500000</v>
      </c>
      <c r="EJ25" s="116">
        <v>473043.14439999999</v>
      </c>
      <c r="EK25" s="116">
        <v>778384.27799999993</v>
      </c>
      <c r="EM25" s="116">
        <v>-6900</v>
      </c>
      <c r="EN25" s="116">
        <v>-2300</v>
      </c>
      <c r="EO25" s="116"/>
      <c r="EQ25" s="116">
        <v>470743.14439999999</v>
      </c>
      <c r="ER25" s="116">
        <v>29256.855599999995</v>
      </c>
      <c r="ES25" s="116">
        <v>500000</v>
      </c>
      <c r="ET25" s="116">
        <v>470743.14439999999</v>
      </c>
      <c r="EU25" s="116">
        <v>0</v>
      </c>
      <c r="EV25" s="137">
        <v>0</v>
      </c>
      <c r="EX25" s="116">
        <v>470743.14439999999</v>
      </c>
      <c r="EY25" s="116">
        <v>29256.855599999995</v>
      </c>
      <c r="EZ25" s="116">
        <v>500000</v>
      </c>
      <c r="FA25" s="116">
        <v>470743.14439999999</v>
      </c>
      <c r="FB25" s="116">
        <v>0</v>
      </c>
    </row>
    <row r="26" spans="1:158" ht="13">
      <c r="A26" s="10">
        <f>IF(B26="","",IF(HistSecRecord!$E$1&gt;=E26,1,0))</f>
        <v>1</v>
      </c>
      <c r="B26" s="43">
        <v>44564000045</v>
      </c>
      <c r="C26" s="43" t="s">
        <v>186</v>
      </c>
      <c r="D26" s="43" t="s">
        <v>86</v>
      </c>
      <c r="E26" s="243">
        <v>44564</v>
      </c>
      <c r="F26" s="43"/>
      <c r="G26" s="43" t="s">
        <v>17</v>
      </c>
      <c r="H26" s="43" t="s">
        <v>7</v>
      </c>
      <c r="I26" s="43" t="s">
        <v>18</v>
      </c>
      <c r="J26" s="43"/>
      <c r="K26" s="10">
        <v>30</v>
      </c>
      <c r="N26" s="43">
        <v>23</v>
      </c>
      <c r="O26" s="43"/>
      <c r="P26" s="43"/>
      <c r="Q26" s="43"/>
      <c r="T26" s="243">
        <v>44564</v>
      </c>
      <c r="V26" s="43" t="s">
        <v>41</v>
      </c>
      <c r="W26" s="43" t="s">
        <v>157</v>
      </c>
      <c r="X26" s="43" t="s">
        <v>157</v>
      </c>
      <c r="Y26" s="43" t="s">
        <v>157</v>
      </c>
      <c r="Z26" s="43" t="s">
        <v>157</v>
      </c>
      <c r="AA26" s="43" t="s">
        <v>157</v>
      </c>
      <c r="AB26" s="43" t="s">
        <v>157</v>
      </c>
      <c r="AC26" s="43" t="s">
        <v>158</v>
      </c>
      <c r="AD26" s="43">
        <v>10.79</v>
      </c>
      <c r="AE26" s="43">
        <v>13.21</v>
      </c>
      <c r="AF26" s="43">
        <v>0.115</v>
      </c>
      <c r="AG26" s="43">
        <v>44948</v>
      </c>
      <c r="AH26" s="43" t="s">
        <v>159</v>
      </c>
      <c r="AI26" s="43">
        <v>1.006</v>
      </c>
      <c r="AJ26" s="43" t="s">
        <v>160</v>
      </c>
      <c r="AK26" s="43" t="s">
        <v>161</v>
      </c>
      <c r="BA26" s="43"/>
      <c r="BD26" s="29">
        <v>0</v>
      </c>
      <c r="BE26" s="29" t="s">
        <v>174</v>
      </c>
      <c r="BF26" s="29">
        <v>0</v>
      </c>
      <c r="BG26" s="29">
        <v>0</v>
      </c>
      <c r="BH26" s="31">
        <v>2</v>
      </c>
      <c r="BI26" s="116">
        <v>1</v>
      </c>
      <c r="BJ26" s="43">
        <v>30</v>
      </c>
      <c r="BK26" s="43" t="s">
        <v>41</v>
      </c>
      <c r="BL26" s="196">
        <v>7.7978500000000004</v>
      </c>
      <c r="BM26" s="329" t="s">
        <v>7</v>
      </c>
      <c r="BN26" s="330" t="s">
        <v>174</v>
      </c>
      <c r="BP26" s="330" t="s">
        <v>174</v>
      </c>
      <c r="BQ26" s="10" t="s">
        <v>174</v>
      </c>
      <c r="BR26" s="10" t="s">
        <v>174</v>
      </c>
      <c r="BS26" s="116">
        <v>0</v>
      </c>
      <c r="BU26" s="331">
        <v>13.21</v>
      </c>
      <c r="BV26" s="10">
        <v>30</v>
      </c>
      <c r="BW26" s="116">
        <v>3963</v>
      </c>
      <c r="BX26" s="116">
        <v>30902.879550000001</v>
      </c>
      <c r="BZ26" s="330" t="s">
        <v>174</v>
      </c>
      <c r="CB26" s="330" t="s">
        <v>174</v>
      </c>
      <c r="CC26" s="116" t="s">
        <v>174</v>
      </c>
      <c r="CD26" s="10" t="s">
        <v>174</v>
      </c>
      <c r="CE26" s="10">
        <v>0</v>
      </c>
      <c r="CG26" s="242" t="s">
        <v>174</v>
      </c>
      <c r="CH26" s="116" t="s">
        <v>174</v>
      </c>
      <c r="CI26" s="116" t="s">
        <v>174</v>
      </c>
      <c r="CJ26" s="116">
        <v>0</v>
      </c>
      <c r="CL26" s="116">
        <v>-30902.879550000001</v>
      </c>
      <c r="CM26" s="10" t="s">
        <v>174</v>
      </c>
      <c r="CN26" s="239" t="s">
        <v>7</v>
      </c>
      <c r="CO26" s="153">
        <v>44564</v>
      </c>
      <c r="CP26" s="43"/>
      <c r="CQ26" s="43"/>
      <c r="CR26" s="43">
        <v>0</v>
      </c>
      <c r="CS26" s="43">
        <v>0</v>
      </c>
      <c r="CT26" s="43">
        <v>0</v>
      </c>
      <c r="CU26" s="43">
        <v>0</v>
      </c>
      <c r="CV26" s="43">
        <v>0</v>
      </c>
      <c r="CW26" s="43">
        <v>0</v>
      </c>
      <c r="CX26" s="43">
        <v>0</v>
      </c>
      <c r="CY26" s="43">
        <v>30</v>
      </c>
      <c r="CZ26" s="43">
        <v>0</v>
      </c>
      <c r="DA26" s="43">
        <v>0</v>
      </c>
      <c r="DB26" s="10" t="s">
        <v>174</v>
      </c>
      <c r="DC26" s="10" t="s">
        <v>310</v>
      </c>
      <c r="DD26" s="10" t="s">
        <v>174</v>
      </c>
      <c r="DE26" s="10" t="s">
        <v>174</v>
      </c>
      <c r="DF26" s="43" t="s">
        <v>174</v>
      </c>
      <c r="DG26" s="43">
        <v>30</v>
      </c>
      <c r="DH26" s="43" t="s">
        <v>174</v>
      </c>
      <c r="DI26" s="43">
        <v>0</v>
      </c>
      <c r="DJ26" s="43" t="s">
        <v>310</v>
      </c>
      <c r="DL26" s="10" t="s">
        <v>174</v>
      </c>
      <c r="DM26" s="116" t="s">
        <v>174</v>
      </c>
      <c r="DN26" s="116" t="s">
        <v>174</v>
      </c>
      <c r="DO26" s="116" t="s">
        <v>174</v>
      </c>
      <c r="DP26" s="116" t="s">
        <v>174</v>
      </c>
      <c r="DQ26" s="10">
        <v>0</v>
      </c>
      <c r="DR26" s="10">
        <v>30902.879550000001</v>
      </c>
      <c r="DS26" s="10">
        <v>-30902.879550000005</v>
      </c>
      <c r="DT26" s="10">
        <v>0</v>
      </c>
      <c r="DU26" s="10">
        <v>0</v>
      </c>
      <c r="DV26" s="10">
        <v>0</v>
      </c>
      <c r="DW26" s="116" t="s">
        <v>174</v>
      </c>
      <c r="DX26" s="219"/>
      <c r="DY26" s="219" t="s">
        <v>174</v>
      </c>
      <c r="DZ26" s="116" t="s">
        <v>174</v>
      </c>
      <c r="EA26" s="116" t="s">
        <v>174</v>
      </c>
      <c r="EB26" s="116">
        <v>0</v>
      </c>
      <c r="EC26" s="116">
        <v>-30902.879550000001</v>
      </c>
      <c r="ED26" s="116">
        <v>-30902.879550000005</v>
      </c>
      <c r="EE26" s="10" t="s">
        <v>174</v>
      </c>
      <c r="EF26" s="332">
        <v>-30</v>
      </c>
      <c r="EG26" s="116">
        <v>396154.46750000003</v>
      </c>
      <c r="EH26" s="116">
        <v>103845.5325</v>
      </c>
      <c r="EI26" s="116">
        <v>500000</v>
      </c>
      <c r="EJ26" s="116">
        <v>396154.46750000003</v>
      </c>
      <c r="EK26" s="116">
        <v>0</v>
      </c>
      <c r="EM26" s="116">
        <v>-30902.879550000001</v>
      </c>
      <c r="EN26" s="116">
        <v>-30902.879550000005</v>
      </c>
      <c r="EO26" s="116"/>
      <c r="EQ26" s="116">
        <v>365251.58795000002</v>
      </c>
      <c r="ER26" s="116">
        <v>134748.41205000001</v>
      </c>
      <c r="ES26" s="116">
        <v>500000</v>
      </c>
      <c r="ET26" s="116">
        <v>365251.58795000002</v>
      </c>
      <c r="EU26" s="116">
        <v>0</v>
      </c>
      <c r="EV26" s="137">
        <v>0</v>
      </c>
      <c r="EX26" s="116">
        <v>365251.58795000002</v>
      </c>
      <c r="EY26" s="116">
        <v>134748.41205000001</v>
      </c>
      <c r="EZ26" s="116">
        <v>500000</v>
      </c>
      <c r="FA26" s="116">
        <v>365251.58795000002</v>
      </c>
      <c r="FB26" s="116">
        <v>0</v>
      </c>
    </row>
    <row r="27" spans="1:158" ht="13">
      <c r="A27" s="10">
        <f>IF(B27="","",IF(HistSecRecord!$E$1&gt;=E27,1,0))</f>
        <v>1</v>
      </c>
      <c r="B27" s="43">
        <v>44565000016</v>
      </c>
      <c r="C27" s="43" t="s">
        <v>183</v>
      </c>
      <c r="D27" s="43" t="s">
        <v>80</v>
      </c>
      <c r="E27" s="243">
        <v>44565</v>
      </c>
      <c r="F27" s="43"/>
      <c r="G27" s="43" t="s">
        <v>19</v>
      </c>
      <c r="H27" s="43" t="s">
        <v>36</v>
      </c>
      <c r="I27" s="43" t="s">
        <v>16</v>
      </c>
      <c r="J27" s="43">
        <v>5</v>
      </c>
      <c r="K27" s="43"/>
      <c r="L27" s="43"/>
      <c r="M27" s="43"/>
      <c r="N27" s="43">
        <v>740</v>
      </c>
      <c r="O27" s="43"/>
      <c r="P27" s="43"/>
      <c r="Q27" s="43"/>
      <c r="T27" s="243">
        <v>44565</v>
      </c>
      <c r="V27" s="43" t="s">
        <v>37</v>
      </c>
      <c r="W27" s="43" t="s">
        <v>36</v>
      </c>
      <c r="X27" s="43">
        <v>679.1</v>
      </c>
      <c r="Y27" s="43">
        <v>704.7</v>
      </c>
      <c r="Z27" s="43">
        <v>676.6</v>
      </c>
      <c r="AA27" s="43">
        <v>673</v>
      </c>
      <c r="AB27" s="43">
        <v>390326</v>
      </c>
      <c r="AX27" s="43"/>
      <c r="BA27" s="43"/>
      <c r="BD27" s="29">
        <v>0</v>
      </c>
      <c r="BE27" s="29" t="s">
        <v>174</v>
      </c>
      <c r="BF27" s="29">
        <v>0</v>
      </c>
      <c r="BG27" s="29">
        <v>0</v>
      </c>
      <c r="BH27" s="31">
        <v>1</v>
      </c>
      <c r="BI27" s="116">
        <v>-1</v>
      </c>
      <c r="BJ27" s="43">
        <v>5</v>
      </c>
      <c r="BK27" s="43" t="s">
        <v>37</v>
      </c>
      <c r="BL27" s="196">
        <v>8.7949999999999999</v>
      </c>
      <c r="BM27" s="329" t="s">
        <v>36</v>
      </c>
      <c r="BN27" s="330">
        <v>740</v>
      </c>
      <c r="BP27" s="330">
        <v>740</v>
      </c>
      <c r="BQ27" s="10">
        <v>-5</v>
      </c>
      <c r="BR27" s="10">
        <v>-3700</v>
      </c>
      <c r="BS27" s="116">
        <v>-32541.5</v>
      </c>
      <c r="BU27" s="331" t="s">
        <v>174</v>
      </c>
      <c r="BV27" s="10" t="s">
        <v>174</v>
      </c>
      <c r="BW27" s="116" t="s">
        <v>174</v>
      </c>
      <c r="BX27" s="116">
        <v>0</v>
      </c>
      <c r="BZ27" s="330" t="s">
        <v>174</v>
      </c>
      <c r="CB27" s="330" t="s">
        <v>174</v>
      </c>
      <c r="CC27" s="116" t="s">
        <v>174</v>
      </c>
      <c r="CD27" s="10" t="s">
        <v>174</v>
      </c>
      <c r="CE27" s="10">
        <v>0</v>
      </c>
      <c r="CG27" s="242" t="s">
        <v>174</v>
      </c>
      <c r="CH27" s="116" t="s">
        <v>174</v>
      </c>
      <c r="CI27" s="116" t="s">
        <v>174</v>
      </c>
      <c r="CJ27" s="116">
        <v>0</v>
      </c>
      <c r="CL27" s="116">
        <v>32541.5</v>
      </c>
      <c r="CM27" s="10" t="s">
        <v>174</v>
      </c>
      <c r="CN27" s="239" t="s">
        <v>36</v>
      </c>
      <c r="CO27" s="153">
        <v>44565</v>
      </c>
      <c r="CP27" s="43"/>
      <c r="CQ27" s="43"/>
      <c r="CR27" s="43">
        <v>0</v>
      </c>
      <c r="CS27" s="43">
        <v>0</v>
      </c>
      <c r="CT27" s="43">
        <v>10</v>
      </c>
      <c r="CU27" s="43">
        <v>0</v>
      </c>
      <c r="CV27" s="43">
        <v>0</v>
      </c>
      <c r="CW27" s="43">
        <v>0</v>
      </c>
      <c r="CX27" s="43">
        <v>5</v>
      </c>
      <c r="CY27" s="43">
        <v>0</v>
      </c>
      <c r="CZ27" s="43">
        <v>0</v>
      </c>
      <c r="DA27" s="43">
        <v>0</v>
      </c>
      <c r="DB27" s="10" t="s">
        <v>313</v>
      </c>
      <c r="DC27" s="10" t="s">
        <v>174</v>
      </c>
      <c r="DD27" s="10" t="s">
        <v>174</v>
      </c>
      <c r="DE27" s="10" t="s">
        <v>174</v>
      </c>
      <c r="DF27" s="43">
        <v>-5</v>
      </c>
      <c r="DG27" s="43" t="s">
        <v>174</v>
      </c>
      <c r="DH27" s="43" t="s">
        <v>174</v>
      </c>
      <c r="DI27" s="43">
        <v>0</v>
      </c>
      <c r="DJ27" s="43" t="s">
        <v>313</v>
      </c>
      <c r="DL27" s="10">
        <v>6508.3</v>
      </c>
      <c r="DM27" s="116">
        <v>-32541.5</v>
      </c>
      <c r="DN27" s="116">
        <v>32541.5</v>
      </c>
      <c r="DO27" s="116" t="s">
        <v>174</v>
      </c>
      <c r="DP27" s="116">
        <v>-32541.5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0</v>
      </c>
      <c r="DW27" s="116" t="s">
        <v>174</v>
      </c>
      <c r="DX27" s="219"/>
      <c r="DY27" s="219" t="s">
        <v>174</v>
      </c>
      <c r="DZ27" s="116" t="s">
        <v>174</v>
      </c>
      <c r="EA27" s="116" t="s">
        <v>174</v>
      </c>
      <c r="EB27" s="116">
        <v>0</v>
      </c>
      <c r="EC27" s="116">
        <v>32541.5</v>
      </c>
      <c r="ED27" s="116">
        <v>32541.5</v>
      </c>
      <c r="EE27" s="10" t="s">
        <v>174</v>
      </c>
      <c r="EF27" s="332">
        <v>5</v>
      </c>
      <c r="EG27" s="116">
        <v>416011.66724999994</v>
      </c>
      <c r="EH27" s="116">
        <v>83988.332750000001</v>
      </c>
      <c r="EI27" s="116">
        <v>499999.99999999994</v>
      </c>
      <c r="EJ27" s="116">
        <v>474608.74874999997</v>
      </c>
      <c r="EK27" s="116">
        <v>0</v>
      </c>
      <c r="EM27" s="116">
        <v>32541.5</v>
      </c>
      <c r="EN27" s="116">
        <v>32541.5</v>
      </c>
      <c r="EO27" s="116"/>
      <c r="EQ27" s="116">
        <v>448553.16724999994</v>
      </c>
      <c r="ER27" s="116">
        <v>51446.832750000001</v>
      </c>
      <c r="ES27" s="116">
        <v>499999.99999999994</v>
      </c>
      <c r="ET27" s="116">
        <v>507150.24874999997</v>
      </c>
      <c r="EU27" s="116">
        <v>0</v>
      </c>
      <c r="EV27" s="137">
        <v>0</v>
      </c>
      <c r="EX27" s="116">
        <v>448553.16724999994</v>
      </c>
      <c r="EY27" s="116">
        <v>51446.832750000001</v>
      </c>
      <c r="EZ27" s="116">
        <v>499999.99999999994</v>
      </c>
      <c r="FA27" s="116">
        <v>507150.24874999997</v>
      </c>
      <c r="FB27" s="116">
        <v>0</v>
      </c>
    </row>
    <row r="28" spans="1:158" ht="13">
      <c r="A28" s="10">
        <f>IF(B28="","",IF(HistSecRecord!$E$1&gt;=E28,1,0))</f>
        <v>1</v>
      </c>
      <c r="B28" s="43">
        <v>44565000036</v>
      </c>
      <c r="C28" s="43" t="s">
        <v>185</v>
      </c>
      <c r="D28" s="43" t="s">
        <v>84</v>
      </c>
      <c r="E28" s="243">
        <v>44565</v>
      </c>
      <c r="F28" s="43"/>
      <c r="G28" s="43" t="s">
        <v>17</v>
      </c>
      <c r="H28" s="43" t="s">
        <v>38</v>
      </c>
      <c r="I28" s="43" t="s">
        <v>16</v>
      </c>
      <c r="J28" s="10">
        <v>380</v>
      </c>
      <c r="K28" s="43"/>
      <c r="L28" s="43"/>
      <c r="M28" s="43"/>
      <c r="N28" s="43">
        <v>450</v>
      </c>
      <c r="O28" s="43"/>
      <c r="P28" s="43"/>
      <c r="Q28" s="43"/>
      <c r="T28" s="243">
        <v>44565</v>
      </c>
      <c r="V28" s="43" t="s">
        <v>39</v>
      </c>
      <c r="W28" s="43" t="s">
        <v>38</v>
      </c>
      <c r="X28" s="43">
        <v>453</v>
      </c>
      <c r="Y28" s="43">
        <v>458</v>
      </c>
      <c r="Z28" s="43">
        <v>450</v>
      </c>
      <c r="AA28" s="43">
        <v>452.8</v>
      </c>
      <c r="AB28" s="43">
        <v>17490032</v>
      </c>
      <c r="BA28" s="43"/>
      <c r="BD28" s="29">
        <v>0</v>
      </c>
      <c r="BE28" s="29" t="s">
        <v>174</v>
      </c>
      <c r="BF28" s="29">
        <v>0</v>
      </c>
      <c r="BG28" s="29">
        <v>0</v>
      </c>
      <c r="BH28" s="31">
        <v>1</v>
      </c>
      <c r="BI28" s="116">
        <v>1</v>
      </c>
      <c r="BJ28" s="43">
        <v>380</v>
      </c>
      <c r="BK28" s="43" t="s">
        <v>39</v>
      </c>
      <c r="BL28" s="196">
        <v>1</v>
      </c>
      <c r="BM28" s="329" t="s">
        <v>38</v>
      </c>
      <c r="BN28" s="330">
        <v>450</v>
      </c>
      <c r="BP28" s="330">
        <v>450</v>
      </c>
      <c r="BQ28" s="10">
        <v>380</v>
      </c>
      <c r="BR28" s="10">
        <v>171000</v>
      </c>
      <c r="BS28" s="116">
        <v>171000</v>
      </c>
      <c r="BU28" s="331" t="s">
        <v>174</v>
      </c>
      <c r="BV28" s="10" t="s">
        <v>174</v>
      </c>
      <c r="BW28" s="116" t="s">
        <v>174</v>
      </c>
      <c r="BX28" s="116">
        <v>0</v>
      </c>
      <c r="BZ28" s="330" t="s">
        <v>174</v>
      </c>
      <c r="CB28" s="330" t="s">
        <v>174</v>
      </c>
      <c r="CC28" s="116" t="s">
        <v>174</v>
      </c>
      <c r="CD28" s="10" t="s">
        <v>174</v>
      </c>
      <c r="CE28" s="10">
        <v>0</v>
      </c>
      <c r="CG28" s="242" t="s">
        <v>174</v>
      </c>
      <c r="CH28" s="116" t="s">
        <v>174</v>
      </c>
      <c r="CI28" s="116" t="s">
        <v>174</v>
      </c>
      <c r="CJ28" s="116">
        <v>0</v>
      </c>
      <c r="CL28" s="116">
        <v>-171000</v>
      </c>
      <c r="CM28" s="10" t="s">
        <v>174</v>
      </c>
      <c r="CN28" s="239" t="s">
        <v>38</v>
      </c>
      <c r="CO28" s="153">
        <v>44565</v>
      </c>
      <c r="CP28" s="43"/>
      <c r="CQ28" s="43"/>
      <c r="CR28" s="43">
        <v>0</v>
      </c>
      <c r="CS28" s="43">
        <v>0</v>
      </c>
      <c r="CT28" s="43">
        <v>10</v>
      </c>
      <c r="CU28" s="43">
        <v>0</v>
      </c>
      <c r="CV28" s="43">
        <v>0</v>
      </c>
      <c r="CW28" s="43">
        <v>0</v>
      </c>
      <c r="CX28" s="43">
        <v>390</v>
      </c>
      <c r="CY28" s="43">
        <v>0</v>
      </c>
      <c r="CZ28" s="43">
        <v>0</v>
      </c>
      <c r="DA28" s="43">
        <v>0</v>
      </c>
      <c r="DB28" s="10" t="s">
        <v>310</v>
      </c>
      <c r="DC28" s="10" t="s">
        <v>174</v>
      </c>
      <c r="DD28" s="10" t="s">
        <v>174</v>
      </c>
      <c r="DE28" s="10" t="s">
        <v>174</v>
      </c>
      <c r="DF28" s="43">
        <v>380</v>
      </c>
      <c r="DG28" s="43" t="s">
        <v>174</v>
      </c>
      <c r="DH28" s="43" t="s">
        <v>174</v>
      </c>
      <c r="DI28" s="43">
        <v>0</v>
      </c>
      <c r="DJ28" s="43" t="s">
        <v>310</v>
      </c>
      <c r="DL28" s="10">
        <v>450</v>
      </c>
      <c r="DM28" s="116">
        <v>171000</v>
      </c>
      <c r="DN28" s="116">
        <v>-171000</v>
      </c>
      <c r="DO28" s="116">
        <v>171000</v>
      </c>
      <c r="DP28" s="116" t="s">
        <v>174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  <c r="DV28" s="10">
        <v>0</v>
      </c>
      <c r="DW28" s="116" t="s">
        <v>174</v>
      </c>
      <c r="DX28" s="219"/>
      <c r="DY28" s="219" t="s">
        <v>174</v>
      </c>
      <c r="DZ28" s="116" t="s">
        <v>174</v>
      </c>
      <c r="EA28" s="116" t="s">
        <v>174</v>
      </c>
      <c r="EB28" s="116">
        <v>0</v>
      </c>
      <c r="EC28" s="116">
        <v>-171000</v>
      </c>
      <c r="ED28" s="116">
        <v>-171000</v>
      </c>
      <c r="EE28" s="10" t="s">
        <v>174</v>
      </c>
      <c r="EF28" s="332">
        <v>-380</v>
      </c>
      <c r="EG28" s="116">
        <v>459205.40759999998</v>
      </c>
      <c r="EH28" s="116">
        <v>40794.592400000009</v>
      </c>
      <c r="EI28" s="116">
        <v>500000</v>
      </c>
      <c r="EJ28" s="116">
        <v>409205.40759999998</v>
      </c>
      <c r="EK28" s="116">
        <v>0</v>
      </c>
      <c r="EM28" s="116">
        <v>-171000</v>
      </c>
      <c r="EN28" s="116">
        <v>-171000</v>
      </c>
      <c r="EO28" s="116"/>
      <c r="EQ28" s="116">
        <v>288205.40759999998</v>
      </c>
      <c r="ER28" s="116">
        <v>211794.59240000002</v>
      </c>
      <c r="ES28" s="116">
        <v>500000</v>
      </c>
      <c r="ET28" s="116">
        <v>238205.40759999998</v>
      </c>
      <c r="EU28" s="116">
        <v>0</v>
      </c>
      <c r="EV28" s="137">
        <v>0</v>
      </c>
      <c r="EX28" s="116">
        <v>288205.40759999998</v>
      </c>
      <c r="EY28" s="116">
        <v>211794.59240000002</v>
      </c>
      <c r="EZ28" s="116">
        <v>500000</v>
      </c>
      <c r="FA28" s="116">
        <v>238205.40759999998</v>
      </c>
      <c r="FB28" s="116">
        <v>0</v>
      </c>
    </row>
    <row r="29" spans="1:158" ht="13">
      <c r="A29" s="10">
        <f>IF(B29="","",IF(HistSecRecord!$E$1&gt;=E29,1,0))</f>
        <v>1</v>
      </c>
      <c r="B29" s="43">
        <v>44565000046</v>
      </c>
      <c r="C29" s="43" t="s">
        <v>186</v>
      </c>
      <c r="D29" s="43" t="s">
        <v>86</v>
      </c>
      <c r="E29" s="243">
        <v>44565</v>
      </c>
      <c r="F29" s="43"/>
      <c r="G29" s="43" t="s">
        <v>19</v>
      </c>
      <c r="H29" s="43" t="s">
        <v>7</v>
      </c>
      <c r="I29" s="43" t="s">
        <v>18</v>
      </c>
      <c r="K29" s="10">
        <v>20</v>
      </c>
      <c r="N29" s="43">
        <v>22</v>
      </c>
      <c r="O29" s="43"/>
      <c r="P29" s="43"/>
      <c r="Q29" s="43" t="s">
        <v>162</v>
      </c>
      <c r="T29" s="243">
        <v>44565</v>
      </c>
      <c r="V29" s="43" t="s">
        <v>41</v>
      </c>
      <c r="W29" s="43" t="s">
        <v>157</v>
      </c>
      <c r="X29" s="43" t="s">
        <v>157</v>
      </c>
      <c r="Y29" s="43" t="s">
        <v>157</v>
      </c>
      <c r="Z29" s="43" t="s">
        <v>157</v>
      </c>
      <c r="AA29" s="43" t="s">
        <v>157</v>
      </c>
      <c r="AB29" s="43" t="s">
        <v>157</v>
      </c>
      <c r="AC29" s="43" t="s">
        <v>158</v>
      </c>
      <c r="AD29" s="43">
        <v>10.79</v>
      </c>
      <c r="AE29" s="43">
        <v>13.21</v>
      </c>
      <c r="AF29" s="43">
        <v>0.115</v>
      </c>
      <c r="AG29" s="43">
        <v>44948</v>
      </c>
      <c r="AH29" s="43" t="s">
        <v>159</v>
      </c>
      <c r="AI29" s="43">
        <v>1.006</v>
      </c>
      <c r="AJ29" s="43" t="s">
        <v>160</v>
      </c>
      <c r="AK29" s="43" t="s">
        <v>161</v>
      </c>
      <c r="AL29" s="43"/>
      <c r="AM29" s="43"/>
      <c r="AN29" s="43"/>
      <c r="AO29" s="43"/>
      <c r="AP29" s="43"/>
      <c r="AQ29" s="43"/>
      <c r="AR29" s="43"/>
      <c r="AS29" s="43"/>
      <c r="BA29" s="43"/>
      <c r="BD29" s="29">
        <v>0</v>
      </c>
      <c r="BE29" s="29" t="s">
        <v>174</v>
      </c>
      <c r="BF29" s="29">
        <v>0</v>
      </c>
      <c r="BG29" s="29">
        <v>0</v>
      </c>
      <c r="BH29" s="31">
        <v>2</v>
      </c>
      <c r="BI29" s="116">
        <v>-1</v>
      </c>
      <c r="BJ29" s="43">
        <v>20</v>
      </c>
      <c r="BK29" s="43" t="s">
        <v>41</v>
      </c>
      <c r="BL29" s="196">
        <v>7.7937500000000002</v>
      </c>
      <c r="BM29" s="329" t="s">
        <v>7</v>
      </c>
      <c r="BN29" s="330" t="s">
        <v>174</v>
      </c>
      <c r="BP29" s="330" t="s">
        <v>174</v>
      </c>
      <c r="BQ29" s="10" t="s">
        <v>174</v>
      </c>
      <c r="BR29" s="10" t="s">
        <v>174</v>
      </c>
      <c r="BS29" s="116">
        <v>0</v>
      </c>
      <c r="BU29" s="331">
        <v>10.79</v>
      </c>
      <c r="BV29" s="10">
        <v>-20</v>
      </c>
      <c r="BW29" s="116">
        <v>-2158</v>
      </c>
      <c r="BX29" s="116">
        <v>-16818.912500000002</v>
      </c>
      <c r="BZ29" s="330" t="s">
        <v>174</v>
      </c>
      <c r="CB29" s="330" t="s">
        <v>174</v>
      </c>
      <c r="CC29" s="116" t="s">
        <v>174</v>
      </c>
      <c r="CD29" s="10" t="s">
        <v>174</v>
      </c>
      <c r="CE29" s="10">
        <v>0</v>
      </c>
      <c r="CG29" s="242" t="s">
        <v>174</v>
      </c>
      <c r="CH29" s="116" t="s">
        <v>174</v>
      </c>
      <c r="CI29" s="116" t="s">
        <v>174</v>
      </c>
      <c r="CJ29" s="116">
        <v>0</v>
      </c>
      <c r="CL29" s="116">
        <v>16818.912500000002</v>
      </c>
      <c r="CM29" s="10" t="s">
        <v>174</v>
      </c>
      <c r="CN29" s="239" t="s">
        <v>7</v>
      </c>
      <c r="CO29" s="153">
        <v>44565</v>
      </c>
      <c r="CP29" s="43"/>
      <c r="CQ29" s="43"/>
      <c r="CR29" s="43">
        <v>0</v>
      </c>
      <c r="CS29" s="43">
        <v>0</v>
      </c>
      <c r="CT29" s="43">
        <v>0</v>
      </c>
      <c r="CU29" s="43">
        <v>30</v>
      </c>
      <c r="CV29" s="43">
        <v>0</v>
      </c>
      <c r="CW29" s="43">
        <v>0</v>
      </c>
      <c r="CX29" s="43">
        <v>0</v>
      </c>
      <c r="CY29" s="43">
        <v>10</v>
      </c>
      <c r="CZ29" s="43">
        <v>0</v>
      </c>
      <c r="DA29" s="43">
        <v>0</v>
      </c>
      <c r="DB29" s="10" t="s">
        <v>174</v>
      </c>
      <c r="DC29" s="10" t="s">
        <v>313</v>
      </c>
      <c r="DD29" s="10" t="s">
        <v>174</v>
      </c>
      <c r="DE29" s="10" t="s">
        <v>174</v>
      </c>
      <c r="DF29" s="43" t="s">
        <v>174</v>
      </c>
      <c r="DG29" s="43">
        <v>-20</v>
      </c>
      <c r="DH29" s="43" t="s">
        <v>174</v>
      </c>
      <c r="DI29" s="43">
        <v>0</v>
      </c>
      <c r="DJ29" s="43" t="s">
        <v>313</v>
      </c>
      <c r="DL29" s="10" t="s">
        <v>174</v>
      </c>
      <c r="DM29" s="116" t="s">
        <v>174</v>
      </c>
      <c r="DN29" s="116" t="s">
        <v>174</v>
      </c>
      <c r="DO29" s="116" t="s">
        <v>174</v>
      </c>
      <c r="DP29" s="116" t="s">
        <v>174</v>
      </c>
      <c r="DQ29" s="10">
        <v>0</v>
      </c>
      <c r="DR29" s="10">
        <v>-16818.912500000002</v>
      </c>
      <c r="DS29" s="10">
        <v>16818.912500000002</v>
      </c>
      <c r="DT29" s="10">
        <v>0</v>
      </c>
      <c r="DU29" s="10">
        <v>0</v>
      </c>
      <c r="DV29" s="10">
        <v>0</v>
      </c>
      <c r="DW29" s="116" t="s">
        <v>174</v>
      </c>
      <c r="DX29" s="219"/>
      <c r="DY29" s="219" t="s">
        <v>174</v>
      </c>
      <c r="DZ29" s="116" t="s">
        <v>174</v>
      </c>
      <c r="EA29" s="116" t="s">
        <v>174</v>
      </c>
      <c r="EB29" s="116">
        <v>0</v>
      </c>
      <c r="EC29" s="116">
        <v>16818.912500000002</v>
      </c>
      <c r="ED29" s="116">
        <v>16818.912500000002</v>
      </c>
      <c r="EE29" s="10" t="s">
        <v>174</v>
      </c>
      <c r="EF29" s="332">
        <v>20</v>
      </c>
      <c r="EG29" s="116">
        <v>365251.58795000002</v>
      </c>
      <c r="EH29" s="116">
        <v>134748.41205000001</v>
      </c>
      <c r="EI29" s="116">
        <v>500000</v>
      </c>
      <c r="EJ29" s="116">
        <v>365251.58795000002</v>
      </c>
      <c r="EK29" s="116">
        <v>0</v>
      </c>
      <c r="EM29" s="116">
        <v>16818.912500000002</v>
      </c>
      <c r="EN29" s="116">
        <v>16818.912500000002</v>
      </c>
      <c r="EO29" s="116"/>
      <c r="EQ29" s="116">
        <v>382070.50044999999</v>
      </c>
      <c r="ER29" s="116">
        <v>117929.49955000001</v>
      </c>
      <c r="ES29" s="116">
        <v>500000</v>
      </c>
      <c r="ET29" s="116">
        <v>382070.50044999999</v>
      </c>
      <c r="EU29" s="116">
        <v>0</v>
      </c>
      <c r="EV29" s="137">
        <v>0</v>
      </c>
      <c r="EX29" s="116">
        <v>382070.50044999999</v>
      </c>
      <c r="EY29" s="116">
        <v>117929.49955000001</v>
      </c>
      <c r="EZ29" s="116">
        <v>500000</v>
      </c>
      <c r="FA29" s="116">
        <v>382070.50044999999</v>
      </c>
      <c r="FB29" s="116">
        <v>0</v>
      </c>
    </row>
    <row r="30" spans="1:158" ht="13">
      <c r="A30" s="10">
        <f>IF(B30="","",IF(HistSecRecord!$E$1&gt;=E30,1,0))</f>
        <v>1</v>
      </c>
      <c r="B30" s="43">
        <v>44566000017</v>
      </c>
      <c r="C30" s="43" t="s">
        <v>183</v>
      </c>
      <c r="D30" s="43" t="s">
        <v>80</v>
      </c>
      <c r="E30" s="243">
        <v>44566</v>
      </c>
      <c r="F30" s="43"/>
      <c r="G30" s="43" t="s">
        <v>17</v>
      </c>
      <c r="H30" s="43" t="s">
        <v>36</v>
      </c>
      <c r="I30" s="43" t="s">
        <v>16</v>
      </c>
      <c r="J30" s="10">
        <v>4</v>
      </c>
      <c r="N30" s="43">
        <v>740</v>
      </c>
      <c r="O30" s="43"/>
      <c r="P30" s="43"/>
      <c r="Q30" s="43" t="s">
        <v>163</v>
      </c>
      <c r="T30" s="243">
        <v>44566</v>
      </c>
      <c r="V30" s="43" t="s">
        <v>37</v>
      </c>
      <c r="W30" s="43" t="s">
        <v>36</v>
      </c>
      <c r="X30" s="43">
        <v>679.1</v>
      </c>
      <c r="Y30" s="43">
        <v>704.7</v>
      </c>
      <c r="Z30" s="43">
        <v>676.6</v>
      </c>
      <c r="AA30" s="43">
        <v>673</v>
      </c>
      <c r="AB30" s="43">
        <v>390326</v>
      </c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BA30" s="43"/>
      <c r="BD30" s="29">
        <v>0</v>
      </c>
      <c r="BE30" s="29" t="s">
        <v>174</v>
      </c>
      <c r="BF30" s="29">
        <v>0</v>
      </c>
      <c r="BG30" s="29">
        <v>0</v>
      </c>
      <c r="BH30" s="31">
        <v>1</v>
      </c>
      <c r="BI30" s="116">
        <v>1</v>
      </c>
      <c r="BJ30" s="43">
        <v>4</v>
      </c>
      <c r="BK30" s="43" t="s">
        <v>37</v>
      </c>
      <c r="BL30" s="196">
        <v>8.8180150000000008</v>
      </c>
      <c r="BM30" s="329" t="s">
        <v>36</v>
      </c>
      <c r="BN30" s="330">
        <v>740</v>
      </c>
      <c r="BP30" s="330">
        <v>740</v>
      </c>
      <c r="BQ30" s="10">
        <v>4</v>
      </c>
      <c r="BR30" s="10">
        <v>2960</v>
      </c>
      <c r="BS30" s="116">
        <v>26101.324400000001</v>
      </c>
      <c r="BU30" s="331" t="s">
        <v>174</v>
      </c>
      <c r="BV30" s="10" t="s">
        <v>174</v>
      </c>
      <c r="BW30" s="116" t="s">
        <v>174</v>
      </c>
      <c r="BX30" s="116">
        <v>0</v>
      </c>
      <c r="BZ30" s="330" t="s">
        <v>174</v>
      </c>
      <c r="CB30" s="330" t="s">
        <v>174</v>
      </c>
      <c r="CC30" s="116" t="s">
        <v>174</v>
      </c>
      <c r="CD30" s="10" t="s">
        <v>174</v>
      </c>
      <c r="CE30" s="10">
        <v>0</v>
      </c>
      <c r="CG30" s="242" t="s">
        <v>174</v>
      </c>
      <c r="CH30" s="116" t="s">
        <v>174</v>
      </c>
      <c r="CI30" s="116" t="s">
        <v>174</v>
      </c>
      <c r="CJ30" s="116">
        <v>0</v>
      </c>
      <c r="CL30" s="116">
        <v>-26101.324400000001</v>
      </c>
      <c r="CM30" s="10" t="s">
        <v>174</v>
      </c>
      <c r="CN30" s="239" t="s">
        <v>36</v>
      </c>
      <c r="CO30" s="153">
        <v>44566</v>
      </c>
      <c r="CP30" s="43"/>
      <c r="CQ30" s="43"/>
      <c r="CR30" s="43">
        <v>0</v>
      </c>
      <c r="CS30" s="43">
        <v>0</v>
      </c>
      <c r="CT30" s="43">
        <v>5</v>
      </c>
      <c r="CU30" s="43">
        <v>0</v>
      </c>
      <c r="CV30" s="43">
        <v>0</v>
      </c>
      <c r="CW30" s="43">
        <v>0</v>
      </c>
      <c r="CX30" s="43">
        <v>9</v>
      </c>
      <c r="CY30" s="43">
        <v>0</v>
      </c>
      <c r="CZ30" s="43">
        <v>0</v>
      </c>
      <c r="DA30" s="43">
        <v>0</v>
      </c>
      <c r="DB30" s="10" t="s">
        <v>310</v>
      </c>
      <c r="DC30" s="10" t="s">
        <v>174</v>
      </c>
      <c r="DD30" s="10" t="s">
        <v>174</v>
      </c>
      <c r="DE30" s="10" t="s">
        <v>174</v>
      </c>
      <c r="DF30" s="43">
        <v>4</v>
      </c>
      <c r="DG30" s="43" t="s">
        <v>174</v>
      </c>
      <c r="DH30" s="43" t="s">
        <v>174</v>
      </c>
      <c r="DI30" s="43">
        <v>0</v>
      </c>
      <c r="DJ30" s="43" t="s">
        <v>310</v>
      </c>
      <c r="DL30" s="10">
        <v>6525.3311000000003</v>
      </c>
      <c r="DM30" s="116">
        <v>26101.324400000001</v>
      </c>
      <c r="DN30" s="116">
        <v>-26101.324400000001</v>
      </c>
      <c r="DO30" s="116">
        <v>26101.324400000001</v>
      </c>
      <c r="DP30" s="116" t="s">
        <v>174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16" t="s">
        <v>174</v>
      </c>
      <c r="DX30" s="219"/>
      <c r="DY30" s="219" t="s">
        <v>174</v>
      </c>
      <c r="DZ30" s="116" t="s">
        <v>174</v>
      </c>
      <c r="EA30" s="116" t="s">
        <v>174</v>
      </c>
      <c r="EB30" s="116">
        <v>0</v>
      </c>
      <c r="EC30" s="116">
        <v>-26101.324400000001</v>
      </c>
      <c r="ED30" s="116">
        <v>-26101.324400000001</v>
      </c>
      <c r="EE30" s="10" t="s">
        <v>174</v>
      </c>
      <c r="EF30" s="332">
        <v>-4</v>
      </c>
      <c r="EG30" s="116">
        <v>448553.16724999994</v>
      </c>
      <c r="EH30" s="116">
        <v>51446.832750000001</v>
      </c>
      <c r="EI30" s="116">
        <v>499999.99999999994</v>
      </c>
      <c r="EJ30" s="116">
        <v>442067.24874999997</v>
      </c>
      <c r="EK30" s="116">
        <v>0</v>
      </c>
      <c r="EM30" s="116">
        <v>-26101.324400000001</v>
      </c>
      <c r="EN30" s="116">
        <v>-26101.324400000001</v>
      </c>
      <c r="EO30" s="116"/>
      <c r="EQ30" s="116">
        <v>422451.84284999996</v>
      </c>
      <c r="ER30" s="116">
        <v>77548.157149999999</v>
      </c>
      <c r="ES30" s="116">
        <v>499999.99999999994</v>
      </c>
      <c r="ET30" s="116">
        <v>415965.92434999999</v>
      </c>
      <c r="EU30" s="116">
        <v>0</v>
      </c>
      <c r="EV30" s="137">
        <v>0</v>
      </c>
      <c r="EX30" s="116">
        <v>422451.84284999996</v>
      </c>
      <c r="EY30" s="116">
        <v>77548.157149999999</v>
      </c>
      <c r="EZ30" s="116">
        <v>499999.99999999994</v>
      </c>
      <c r="FA30" s="116">
        <v>415965.92434999999</v>
      </c>
      <c r="FB30" s="116">
        <v>0</v>
      </c>
    </row>
    <row r="31" spans="1:158" ht="13">
      <c r="A31" s="10">
        <f>IF(B31="","",IF(HistSecRecord!$E$1&gt;=E31,1,0))</f>
        <v>1</v>
      </c>
      <c r="B31" s="43">
        <v>44566000040</v>
      </c>
      <c r="C31" s="43" t="s">
        <v>187</v>
      </c>
      <c r="D31" s="43" t="s">
        <v>88</v>
      </c>
      <c r="E31" s="243">
        <v>44566</v>
      </c>
      <c r="F31" s="43"/>
      <c r="G31" s="43" t="s">
        <v>19</v>
      </c>
      <c r="H31" s="43" t="s">
        <v>4</v>
      </c>
      <c r="I31" s="43" t="s">
        <v>21</v>
      </c>
      <c r="J31" s="43"/>
      <c r="L31" s="10">
        <v>10</v>
      </c>
      <c r="N31" s="43">
        <v>3.5</v>
      </c>
      <c r="O31" s="43"/>
      <c r="P31" s="43"/>
      <c r="Q31" s="43" t="s">
        <v>164</v>
      </c>
      <c r="T31" s="243">
        <v>44566</v>
      </c>
      <c r="V31" s="43" t="s">
        <v>41</v>
      </c>
      <c r="W31" s="43" t="s">
        <v>157</v>
      </c>
      <c r="X31" s="43" t="s">
        <v>157</v>
      </c>
      <c r="Y31" s="43" t="s">
        <v>157</v>
      </c>
      <c r="Z31" s="43" t="s">
        <v>157</v>
      </c>
      <c r="AA31" s="43" t="s">
        <v>157</v>
      </c>
      <c r="AB31" s="43" t="s">
        <v>157</v>
      </c>
      <c r="AC31" s="10" t="s">
        <v>157</v>
      </c>
      <c r="AD31" s="10" t="s">
        <v>157</v>
      </c>
      <c r="AE31" s="10" t="s">
        <v>157</v>
      </c>
      <c r="AF31" s="10" t="s">
        <v>157</v>
      </c>
      <c r="AG31" s="10" t="s">
        <v>157</v>
      </c>
      <c r="AH31" s="10" t="s">
        <v>157</v>
      </c>
      <c r="AI31" s="10" t="s">
        <v>157</v>
      </c>
      <c r="AJ31" s="10" t="s">
        <v>157</v>
      </c>
      <c r="AK31" s="10" t="s">
        <v>157</v>
      </c>
      <c r="AL31" s="43"/>
      <c r="AM31" s="43">
        <v>0.49</v>
      </c>
      <c r="AN31" s="43">
        <v>0.49</v>
      </c>
      <c r="AO31" s="43">
        <v>0.49</v>
      </c>
      <c r="AP31" s="43">
        <v>0.49</v>
      </c>
      <c r="AQ31" s="43">
        <v>40</v>
      </c>
      <c r="AR31" s="43">
        <v>44665</v>
      </c>
      <c r="AS31" s="43" t="s">
        <v>166</v>
      </c>
      <c r="AT31" s="10">
        <v>125</v>
      </c>
      <c r="AX31" s="43"/>
      <c r="BA31" s="43"/>
      <c r="BD31" s="29">
        <v>0</v>
      </c>
      <c r="BE31" s="29" t="s">
        <v>174</v>
      </c>
      <c r="BF31" s="29">
        <v>0</v>
      </c>
      <c r="BG31" s="29">
        <v>0</v>
      </c>
      <c r="BH31" s="31">
        <v>3</v>
      </c>
      <c r="BI31" s="116">
        <v>-1</v>
      </c>
      <c r="BJ31" s="43">
        <v>10</v>
      </c>
      <c r="BK31" s="43" t="s">
        <v>41</v>
      </c>
      <c r="BL31" s="196">
        <v>7.7952399999999997</v>
      </c>
      <c r="BM31" s="329" t="s">
        <v>4</v>
      </c>
      <c r="BN31" s="330" t="s">
        <v>174</v>
      </c>
      <c r="BP31" s="330" t="s">
        <v>174</v>
      </c>
      <c r="BQ31" s="10" t="s">
        <v>174</v>
      </c>
      <c r="BR31" s="10" t="s">
        <v>174</v>
      </c>
      <c r="BS31" s="116">
        <v>0</v>
      </c>
      <c r="BU31" s="331" t="s">
        <v>174</v>
      </c>
      <c r="BV31" s="10" t="s">
        <v>174</v>
      </c>
      <c r="BW31" s="116" t="s">
        <v>174</v>
      </c>
      <c r="BX31" s="116">
        <v>0</v>
      </c>
      <c r="BZ31" s="330">
        <v>3.5</v>
      </c>
      <c r="CB31" s="330">
        <v>3.5</v>
      </c>
      <c r="CC31" s="116">
        <v>-10</v>
      </c>
      <c r="CD31" s="10">
        <v>-3500</v>
      </c>
      <c r="CE31" s="10">
        <v>-27283.34</v>
      </c>
      <c r="CG31" s="242" t="s">
        <v>174</v>
      </c>
      <c r="CH31" s="116" t="s">
        <v>174</v>
      </c>
      <c r="CI31" s="116" t="s">
        <v>174</v>
      </c>
      <c r="CJ31" s="116">
        <v>0</v>
      </c>
      <c r="CL31" s="116">
        <v>27283.34</v>
      </c>
      <c r="CM31" s="10" t="s">
        <v>315</v>
      </c>
      <c r="CN31" s="239" t="s">
        <v>4</v>
      </c>
      <c r="CO31" s="153">
        <v>44566</v>
      </c>
      <c r="CP31" s="43"/>
      <c r="CQ31" s="43"/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-10</v>
      </c>
      <c r="DA31" s="43">
        <v>0</v>
      </c>
      <c r="DB31" s="10" t="s">
        <v>174</v>
      </c>
      <c r="DC31" s="10" t="s">
        <v>174</v>
      </c>
      <c r="DD31" s="10" t="s">
        <v>311</v>
      </c>
      <c r="DE31" s="10" t="s">
        <v>174</v>
      </c>
      <c r="DF31" s="43" t="s">
        <v>174</v>
      </c>
      <c r="DG31" s="43" t="s">
        <v>174</v>
      </c>
      <c r="DH31" s="43">
        <v>-10</v>
      </c>
      <c r="DI31" s="43">
        <v>0</v>
      </c>
      <c r="DJ31" s="43" t="s">
        <v>311</v>
      </c>
      <c r="DL31" s="43" t="s">
        <v>174</v>
      </c>
      <c r="DM31" s="116" t="s">
        <v>174</v>
      </c>
      <c r="DN31" s="116" t="s">
        <v>174</v>
      </c>
      <c r="DO31" s="116" t="s">
        <v>174</v>
      </c>
      <c r="DP31" s="116" t="s">
        <v>174</v>
      </c>
      <c r="DQ31" s="10">
        <v>0</v>
      </c>
      <c r="DR31" s="10">
        <v>0</v>
      </c>
      <c r="DS31" s="10">
        <v>0</v>
      </c>
      <c r="DT31" s="10">
        <v>0</v>
      </c>
      <c r="DU31" s="10">
        <v>0</v>
      </c>
      <c r="DV31" s="10">
        <v>0</v>
      </c>
      <c r="DW31" s="116">
        <v>-10</v>
      </c>
      <c r="DX31" s="219"/>
      <c r="DY31" s="219">
        <v>45</v>
      </c>
      <c r="DZ31" s="116">
        <v>-27283.34</v>
      </c>
      <c r="EA31" s="116">
        <v>-45000</v>
      </c>
      <c r="EB31" s="116">
        <v>-350785.8</v>
      </c>
      <c r="EC31" s="116">
        <v>27283.34</v>
      </c>
      <c r="ED31" s="116">
        <v>-350785.8</v>
      </c>
      <c r="EE31" s="10" t="s">
        <v>174</v>
      </c>
      <c r="EF31" s="332">
        <v>0</v>
      </c>
      <c r="EG31" s="116">
        <v>500000</v>
      </c>
      <c r="EH31" s="116">
        <v>0</v>
      </c>
      <c r="EI31" s="116">
        <v>500000</v>
      </c>
      <c r="EJ31" s="116">
        <v>500000</v>
      </c>
      <c r="EK31" s="116">
        <v>0</v>
      </c>
      <c r="EM31" s="116">
        <v>27283.34</v>
      </c>
      <c r="EN31" s="116">
        <v>-350785.8</v>
      </c>
      <c r="EO31" s="116"/>
      <c r="EQ31" s="116">
        <v>527283.34</v>
      </c>
      <c r="ER31" s="116">
        <v>-27283.34</v>
      </c>
      <c r="ES31" s="116">
        <v>499999.99999999994</v>
      </c>
      <c r="ET31" s="116">
        <v>149214.20000000001</v>
      </c>
      <c r="EU31" s="116">
        <v>0</v>
      </c>
      <c r="EV31" s="137">
        <v>0</v>
      </c>
      <c r="EX31" s="116">
        <v>527283.34</v>
      </c>
      <c r="EY31" s="116">
        <v>-27283.34</v>
      </c>
      <c r="EZ31" s="116">
        <v>499999.99999999994</v>
      </c>
      <c r="FA31" s="116">
        <v>149214.20000000001</v>
      </c>
      <c r="FB31" s="116">
        <v>0</v>
      </c>
    </row>
    <row r="32" spans="1:158" ht="13">
      <c r="A32" s="10">
        <f>IF(B32="","",IF(HistSecRecord!$E$1&gt;=E32,1,0))</f>
        <v>1</v>
      </c>
      <c r="B32" s="43">
        <v>44566000041</v>
      </c>
      <c r="C32" s="43" t="s">
        <v>187</v>
      </c>
      <c r="D32" s="43" t="s">
        <v>88</v>
      </c>
      <c r="E32" s="243">
        <v>44566</v>
      </c>
      <c r="F32" s="43"/>
      <c r="G32" s="43" t="s">
        <v>17</v>
      </c>
      <c r="H32" s="43" t="s">
        <v>5</v>
      </c>
      <c r="I32" s="43" t="s">
        <v>21</v>
      </c>
      <c r="L32" s="10">
        <v>10</v>
      </c>
      <c r="N32" s="43">
        <v>2.5</v>
      </c>
      <c r="O32" s="43"/>
      <c r="P32" s="43"/>
      <c r="T32" s="243">
        <v>44566</v>
      </c>
      <c r="V32" s="43" t="s">
        <v>41</v>
      </c>
      <c r="W32" s="43" t="s">
        <v>157</v>
      </c>
      <c r="X32" s="43" t="s">
        <v>157</v>
      </c>
      <c r="Y32" s="43" t="s">
        <v>157</v>
      </c>
      <c r="Z32" s="43" t="s">
        <v>157</v>
      </c>
      <c r="AA32" s="43" t="s">
        <v>157</v>
      </c>
      <c r="AB32" s="43" t="s">
        <v>157</v>
      </c>
      <c r="AC32" s="10" t="s">
        <v>157</v>
      </c>
      <c r="AD32" s="10" t="s">
        <v>157</v>
      </c>
      <c r="AE32" s="10" t="s">
        <v>157</v>
      </c>
      <c r="AF32" s="10" t="s">
        <v>157</v>
      </c>
      <c r="AG32" s="10" t="s">
        <v>157</v>
      </c>
      <c r="AH32" s="10" t="s">
        <v>157</v>
      </c>
      <c r="AI32" s="10" t="s">
        <v>157</v>
      </c>
      <c r="AJ32" s="10" t="s">
        <v>157</v>
      </c>
      <c r="AK32" s="10" t="s">
        <v>157</v>
      </c>
      <c r="AL32" s="43"/>
      <c r="AM32" s="43">
        <v>1.8</v>
      </c>
      <c r="AN32" s="43">
        <v>1.8</v>
      </c>
      <c r="AO32" s="43">
        <v>1.8</v>
      </c>
      <c r="AP32" s="43">
        <v>1.8</v>
      </c>
      <c r="AQ32" s="43">
        <v>45</v>
      </c>
      <c r="AR32" s="43">
        <v>44665</v>
      </c>
      <c r="AS32" s="43" t="s">
        <v>166</v>
      </c>
      <c r="AT32" s="10">
        <v>155</v>
      </c>
      <c r="AX32" s="43"/>
      <c r="BA32" s="43"/>
      <c r="BD32" s="29">
        <v>0</v>
      </c>
      <c r="BE32" s="29" t="s">
        <v>174</v>
      </c>
      <c r="BF32" s="29">
        <v>0</v>
      </c>
      <c r="BG32" s="29">
        <v>0</v>
      </c>
      <c r="BH32" s="31">
        <v>3</v>
      </c>
      <c r="BI32" s="116">
        <v>1</v>
      </c>
      <c r="BJ32" s="43">
        <v>10</v>
      </c>
      <c r="BK32" s="43" t="s">
        <v>41</v>
      </c>
      <c r="BL32" s="196">
        <v>7.7952399999999997</v>
      </c>
      <c r="BM32" s="329" t="s">
        <v>5</v>
      </c>
      <c r="BN32" s="330" t="s">
        <v>174</v>
      </c>
      <c r="BP32" s="330" t="s">
        <v>174</v>
      </c>
      <c r="BQ32" s="10" t="s">
        <v>174</v>
      </c>
      <c r="BR32" s="10" t="s">
        <v>174</v>
      </c>
      <c r="BS32" s="116">
        <v>0</v>
      </c>
      <c r="BU32" s="331" t="s">
        <v>174</v>
      </c>
      <c r="BV32" s="10" t="s">
        <v>174</v>
      </c>
      <c r="BW32" s="116" t="s">
        <v>174</v>
      </c>
      <c r="BX32" s="116">
        <v>0</v>
      </c>
      <c r="BZ32" s="330">
        <v>2.5</v>
      </c>
      <c r="CB32" s="330">
        <v>2.5</v>
      </c>
      <c r="CC32" s="116">
        <v>10</v>
      </c>
      <c r="CD32" s="10">
        <v>2500</v>
      </c>
      <c r="CE32" s="10">
        <v>19488.099999999999</v>
      </c>
      <c r="CG32" s="242" t="s">
        <v>174</v>
      </c>
      <c r="CH32" s="116" t="s">
        <v>174</v>
      </c>
      <c r="CI32" s="116" t="s">
        <v>174</v>
      </c>
      <c r="CJ32" s="116">
        <v>0</v>
      </c>
      <c r="CL32" s="116">
        <v>-19488.099999999999</v>
      </c>
      <c r="CM32" s="10" t="s">
        <v>315</v>
      </c>
      <c r="CN32" s="239" t="s">
        <v>5</v>
      </c>
      <c r="CO32" s="153">
        <v>44566</v>
      </c>
      <c r="CP32" s="43"/>
      <c r="CQ32" s="43"/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10</v>
      </c>
      <c r="DA32" s="43">
        <v>0</v>
      </c>
      <c r="DB32" s="10" t="s">
        <v>174</v>
      </c>
      <c r="DC32" s="10" t="s">
        <v>174</v>
      </c>
      <c r="DD32" s="10" t="s">
        <v>310</v>
      </c>
      <c r="DE32" s="10" t="s">
        <v>174</v>
      </c>
      <c r="DF32" s="43" t="s">
        <v>174</v>
      </c>
      <c r="DG32" s="43" t="s">
        <v>174</v>
      </c>
      <c r="DH32" s="43">
        <v>10</v>
      </c>
      <c r="DI32" s="43">
        <v>0</v>
      </c>
      <c r="DJ32" s="43" t="s">
        <v>310</v>
      </c>
      <c r="DL32" s="10" t="s">
        <v>174</v>
      </c>
      <c r="DM32" s="116" t="s">
        <v>174</v>
      </c>
      <c r="DN32" s="116" t="s">
        <v>174</v>
      </c>
      <c r="DO32" s="116" t="s">
        <v>174</v>
      </c>
      <c r="DP32" s="116" t="s">
        <v>174</v>
      </c>
      <c r="DQ32" s="10">
        <v>0</v>
      </c>
      <c r="DR32" s="10">
        <v>0</v>
      </c>
      <c r="DS32" s="10">
        <v>0</v>
      </c>
      <c r="DT32" s="10">
        <v>0</v>
      </c>
      <c r="DU32" s="10">
        <v>0</v>
      </c>
      <c r="DV32" s="10">
        <v>0</v>
      </c>
      <c r="DW32" s="116">
        <v>10</v>
      </c>
      <c r="DX32" s="219"/>
      <c r="DY32" s="219">
        <v>40</v>
      </c>
      <c r="DZ32" s="116">
        <v>19488.099999999999</v>
      </c>
      <c r="EA32" s="116">
        <v>40000</v>
      </c>
      <c r="EB32" s="116">
        <v>311809.59999999998</v>
      </c>
      <c r="EC32" s="116">
        <v>-19488.099999999999</v>
      </c>
      <c r="ED32" s="116">
        <v>311809.59999999998</v>
      </c>
      <c r="EE32" s="10">
        <v>-38976.200000000012</v>
      </c>
      <c r="EF32" s="332">
        <v>0</v>
      </c>
      <c r="EG32" s="116">
        <v>527283.34</v>
      </c>
      <c r="EH32" s="116">
        <v>-27283.34</v>
      </c>
      <c r="EI32" s="116">
        <v>499999.99999999994</v>
      </c>
      <c r="EJ32" s="116">
        <v>149214.20000000001</v>
      </c>
      <c r="EK32" s="116">
        <v>0</v>
      </c>
      <c r="EM32" s="116">
        <v>-19488.099999999999</v>
      </c>
      <c r="EN32" s="116">
        <v>311809.59999999998</v>
      </c>
      <c r="EO32" s="116"/>
      <c r="EQ32" s="116">
        <v>507795.24</v>
      </c>
      <c r="ER32" s="116">
        <v>-7795.2400000000016</v>
      </c>
      <c r="ES32" s="116">
        <v>500000</v>
      </c>
      <c r="ET32" s="116">
        <v>461023.8</v>
      </c>
      <c r="EU32" s="116">
        <v>0</v>
      </c>
      <c r="EV32" s="137">
        <v>0</v>
      </c>
      <c r="EX32" s="116">
        <v>507795.24</v>
      </c>
      <c r="EY32" s="116">
        <v>-7795.2400000000016</v>
      </c>
      <c r="EZ32" s="116">
        <v>500000</v>
      </c>
      <c r="FA32" s="116">
        <v>461023.8</v>
      </c>
      <c r="FB32" s="116">
        <v>0</v>
      </c>
    </row>
    <row r="33" spans="1:158" ht="13">
      <c r="A33" s="10">
        <f>IF(B33="","",IF(HistSecRecord!$E$1&gt;=E33,1,0))</f>
        <v>0</v>
      </c>
      <c r="B33" s="43">
        <v>44567000018</v>
      </c>
      <c r="C33" s="43" t="s">
        <v>183</v>
      </c>
      <c r="D33" s="43" t="s">
        <v>80</v>
      </c>
      <c r="E33" s="243">
        <v>44567</v>
      </c>
      <c r="F33" s="43"/>
      <c r="G33" s="43" t="s">
        <v>17</v>
      </c>
      <c r="H33" s="43" t="s">
        <v>36</v>
      </c>
      <c r="I33" s="43" t="s">
        <v>16</v>
      </c>
      <c r="J33" s="10">
        <v>12</v>
      </c>
      <c r="N33" s="43">
        <v>740</v>
      </c>
      <c r="O33" s="43"/>
      <c r="P33" s="43"/>
      <c r="Q33" s="43" t="s">
        <v>163</v>
      </c>
      <c r="T33" s="243">
        <v>44567</v>
      </c>
      <c r="V33" s="43" t="s">
        <v>37</v>
      </c>
      <c r="W33" s="43" t="s">
        <v>36</v>
      </c>
      <c r="X33" s="43">
        <v>679.1</v>
      </c>
      <c r="Y33" s="43">
        <v>704.7</v>
      </c>
      <c r="Z33" s="43">
        <v>676.6</v>
      </c>
      <c r="AA33" s="43">
        <v>673</v>
      </c>
      <c r="AB33" s="43">
        <v>390326</v>
      </c>
      <c r="AX33" s="43"/>
      <c r="BA33" s="43"/>
      <c r="BD33" s="29">
        <v>0</v>
      </c>
      <c r="BE33" s="29" t="s">
        <v>174</v>
      </c>
      <c r="BF33" s="29">
        <v>0</v>
      </c>
      <c r="BG33" s="29">
        <v>0</v>
      </c>
      <c r="BH33" s="31">
        <v>1</v>
      </c>
      <c r="BI33" s="116">
        <v>1</v>
      </c>
      <c r="BJ33" s="43">
        <v>12</v>
      </c>
      <c r="BK33" s="43" t="s">
        <v>37</v>
      </c>
      <c r="BL33" s="196">
        <v>8.8111949999999997</v>
      </c>
      <c r="BM33" s="329" t="s">
        <v>36</v>
      </c>
      <c r="BN33" s="330">
        <v>740</v>
      </c>
      <c r="BP33" s="330">
        <v>740</v>
      </c>
      <c r="BQ33" s="10">
        <v>12</v>
      </c>
      <c r="BR33" s="10">
        <v>8880</v>
      </c>
      <c r="BS33" s="116">
        <v>78243.411599999992</v>
      </c>
      <c r="BU33" s="331" t="s">
        <v>174</v>
      </c>
      <c r="BV33" s="10" t="s">
        <v>174</v>
      </c>
      <c r="BW33" s="116" t="s">
        <v>174</v>
      </c>
      <c r="BX33" s="116">
        <v>0</v>
      </c>
      <c r="BZ33" s="330" t="s">
        <v>174</v>
      </c>
      <c r="CB33" s="330" t="s">
        <v>174</v>
      </c>
      <c r="CC33" s="116" t="s">
        <v>174</v>
      </c>
      <c r="CD33" s="10" t="s">
        <v>174</v>
      </c>
      <c r="CE33" s="10">
        <v>0</v>
      </c>
      <c r="CG33" s="242" t="s">
        <v>174</v>
      </c>
      <c r="CH33" s="116" t="s">
        <v>174</v>
      </c>
      <c r="CI33" s="116" t="s">
        <v>174</v>
      </c>
      <c r="CJ33" s="116">
        <v>0</v>
      </c>
      <c r="CL33" s="116">
        <v>-78243.411599999992</v>
      </c>
      <c r="CM33" s="10" t="s">
        <v>174</v>
      </c>
      <c r="CN33" s="239" t="s">
        <v>36</v>
      </c>
      <c r="CO33" s="153">
        <v>44567</v>
      </c>
      <c r="CP33" s="43"/>
      <c r="CQ33" s="43"/>
      <c r="CR33" s="43">
        <v>0</v>
      </c>
      <c r="CS33" s="43">
        <v>0</v>
      </c>
      <c r="CT33" s="43">
        <v>9</v>
      </c>
      <c r="CU33" s="43">
        <v>0</v>
      </c>
      <c r="CV33" s="43">
        <v>0</v>
      </c>
      <c r="CW33" s="43">
        <v>0</v>
      </c>
      <c r="CX33" s="43">
        <v>21</v>
      </c>
      <c r="CY33" s="43">
        <v>0</v>
      </c>
      <c r="CZ33" s="43">
        <v>0</v>
      </c>
      <c r="DA33" s="43">
        <v>0</v>
      </c>
      <c r="DB33" s="10" t="s">
        <v>310</v>
      </c>
      <c r="DC33" s="10" t="s">
        <v>174</v>
      </c>
      <c r="DD33" s="10" t="s">
        <v>174</v>
      </c>
      <c r="DE33" s="10" t="s">
        <v>174</v>
      </c>
      <c r="DF33" s="43">
        <v>12</v>
      </c>
      <c r="DG33" s="43" t="s">
        <v>174</v>
      </c>
      <c r="DH33" s="43" t="s">
        <v>174</v>
      </c>
      <c r="DI33" s="43">
        <v>0</v>
      </c>
      <c r="DJ33" s="43" t="s">
        <v>310</v>
      </c>
      <c r="DL33" s="10">
        <v>6520.2842999999993</v>
      </c>
      <c r="DM33" s="116">
        <v>78243.411599999992</v>
      </c>
      <c r="DN33" s="116">
        <v>-78243.411599999992</v>
      </c>
      <c r="DO33" s="116">
        <v>78243.411599999992</v>
      </c>
      <c r="DP33" s="116" t="s">
        <v>174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  <c r="DV33" s="10">
        <v>0</v>
      </c>
      <c r="DW33" s="116" t="s">
        <v>174</v>
      </c>
      <c r="DX33" s="219"/>
      <c r="DY33" s="219" t="s">
        <v>174</v>
      </c>
      <c r="DZ33" s="116" t="s">
        <v>174</v>
      </c>
      <c r="EA33" s="116" t="s">
        <v>174</v>
      </c>
      <c r="EB33" s="116">
        <v>0</v>
      </c>
      <c r="EC33" s="116">
        <v>-78243.411599999992</v>
      </c>
      <c r="ED33" s="116">
        <v>-78243.411599999992</v>
      </c>
      <c r="EE33" s="10" t="s">
        <v>174</v>
      </c>
      <c r="EF33" s="332">
        <v>-12</v>
      </c>
      <c r="EG33" s="116">
        <v>422451.84284999996</v>
      </c>
      <c r="EH33" s="116">
        <v>77548.157149999999</v>
      </c>
      <c r="EI33" s="116">
        <v>499999.99999999994</v>
      </c>
      <c r="EJ33" s="116">
        <v>468168.57314999995</v>
      </c>
      <c r="EK33" s="116">
        <v>0</v>
      </c>
      <c r="EM33" s="116">
        <v>-78243.411599999992</v>
      </c>
      <c r="EN33" s="116">
        <v>-78243.411599999992</v>
      </c>
      <c r="EO33" s="116"/>
      <c r="EQ33" s="116">
        <v>344208.43124999997</v>
      </c>
      <c r="ER33" s="116">
        <v>155791.56874999998</v>
      </c>
      <c r="ES33" s="116">
        <v>499999.99999999994</v>
      </c>
      <c r="ET33" s="116">
        <v>389925.16154999996</v>
      </c>
      <c r="EU33" s="116">
        <v>0</v>
      </c>
      <c r="EV33" s="137">
        <v>0</v>
      </c>
      <c r="EX33" s="116">
        <v>344208.43124999997</v>
      </c>
      <c r="EY33" s="116">
        <v>155791.56874999998</v>
      </c>
      <c r="EZ33" s="116">
        <v>499999.99999999994</v>
      </c>
      <c r="FA33" s="116">
        <v>389925.16154999996</v>
      </c>
      <c r="FB33" s="116">
        <v>0</v>
      </c>
    </row>
    <row r="34" spans="1:158" ht="13">
      <c r="A34" s="10">
        <f>IF(B34="","",IF(HistSecRecord!$E$1&gt;=E34,1,0))</f>
        <v>0</v>
      </c>
      <c r="B34" s="43">
        <v>44567000020</v>
      </c>
      <c r="C34" s="43" t="s">
        <v>183</v>
      </c>
      <c r="D34" s="43" t="s">
        <v>80</v>
      </c>
      <c r="E34" s="243">
        <v>44567</v>
      </c>
      <c r="F34" s="43"/>
      <c r="G34" s="43" t="s">
        <v>17</v>
      </c>
      <c r="H34" s="43" t="s">
        <v>36</v>
      </c>
      <c r="I34" s="43" t="s">
        <v>16</v>
      </c>
      <c r="J34" s="10">
        <v>3</v>
      </c>
      <c r="N34" s="43">
        <v>740</v>
      </c>
      <c r="O34" s="43"/>
      <c r="P34" s="43"/>
      <c r="T34" s="243">
        <v>44567</v>
      </c>
      <c r="V34" s="43" t="s">
        <v>37</v>
      </c>
      <c r="W34" s="43" t="s">
        <v>36</v>
      </c>
      <c r="X34" s="43">
        <v>679.1</v>
      </c>
      <c r="Y34" s="43">
        <v>704.7</v>
      </c>
      <c r="Z34" s="43">
        <v>676.6</v>
      </c>
      <c r="AA34" s="43">
        <v>673</v>
      </c>
      <c r="AB34" s="43">
        <v>390326</v>
      </c>
      <c r="AX34" s="43"/>
      <c r="BA34" s="43"/>
      <c r="BD34" s="29">
        <v>0</v>
      </c>
      <c r="BE34" s="29" t="s">
        <v>174</v>
      </c>
      <c r="BF34" s="29">
        <v>0</v>
      </c>
      <c r="BG34" s="29">
        <v>0</v>
      </c>
      <c r="BH34" s="31">
        <v>1</v>
      </c>
      <c r="BI34" s="116">
        <v>1</v>
      </c>
      <c r="BJ34" s="43">
        <v>3</v>
      </c>
      <c r="BK34" s="43" t="s">
        <v>37</v>
      </c>
      <c r="BL34" s="196">
        <v>8.8111949999999997</v>
      </c>
      <c r="BM34" s="329" t="s">
        <v>36</v>
      </c>
      <c r="BN34" s="330">
        <v>740</v>
      </c>
      <c r="BP34" s="330">
        <v>740</v>
      </c>
      <c r="BQ34" s="10">
        <v>3</v>
      </c>
      <c r="BR34" s="10">
        <v>2220</v>
      </c>
      <c r="BS34" s="116">
        <v>19560.852899999998</v>
      </c>
      <c r="BU34" s="331" t="s">
        <v>174</v>
      </c>
      <c r="BV34" s="10" t="s">
        <v>174</v>
      </c>
      <c r="BW34" s="116" t="s">
        <v>174</v>
      </c>
      <c r="BX34" s="116">
        <v>0</v>
      </c>
      <c r="BZ34" s="330" t="s">
        <v>174</v>
      </c>
      <c r="CB34" s="330" t="s">
        <v>174</v>
      </c>
      <c r="CC34" s="116" t="s">
        <v>174</v>
      </c>
      <c r="CD34" s="10" t="s">
        <v>174</v>
      </c>
      <c r="CE34" s="10">
        <v>0</v>
      </c>
      <c r="CG34" s="242" t="s">
        <v>174</v>
      </c>
      <c r="CH34" s="116" t="s">
        <v>174</v>
      </c>
      <c r="CI34" s="116" t="s">
        <v>174</v>
      </c>
      <c r="CJ34" s="116">
        <v>0</v>
      </c>
      <c r="CL34" s="116">
        <v>-19560.852899999998</v>
      </c>
      <c r="CM34" s="10" t="s">
        <v>174</v>
      </c>
      <c r="CN34" s="239" t="s">
        <v>36</v>
      </c>
      <c r="CO34" s="153">
        <v>44567</v>
      </c>
      <c r="CP34" s="43"/>
      <c r="CQ34" s="43"/>
      <c r="CR34" s="43">
        <v>0</v>
      </c>
      <c r="CS34" s="43">
        <v>0</v>
      </c>
      <c r="CT34" s="43">
        <v>21</v>
      </c>
      <c r="CU34" s="43">
        <v>0</v>
      </c>
      <c r="CV34" s="43">
        <v>0</v>
      </c>
      <c r="CW34" s="43">
        <v>0</v>
      </c>
      <c r="CX34" s="43">
        <v>24</v>
      </c>
      <c r="CY34" s="43">
        <v>0</v>
      </c>
      <c r="CZ34" s="43">
        <v>0</v>
      </c>
      <c r="DA34" s="43">
        <v>0</v>
      </c>
      <c r="DB34" s="10" t="s">
        <v>310</v>
      </c>
      <c r="DC34" s="10" t="s">
        <v>174</v>
      </c>
      <c r="DD34" s="10" t="s">
        <v>174</v>
      </c>
      <c r="DE34" s="10" t="s">
        <v>174</v>
      </c>
      <c r="DF34" s="43">
        <v>3</v>
      </c>
      <c r="DG34" s="43" t="s">
        <v>174</v>
      </c>
      <c r="DH34" s="43" t="s">
        <v>174</v>
      </c>
      <c r="DI34" s="43">
        <v>0</v>
      </c>
      <c r="DJ34" s="43" t="s">
        <v>310</v>
      </c>
      <c r="DL34" s="10">
        <v>6520.2842999999993</v>
      </c>
      <c r="DM34" s="116">
        <v>19560.852899999998</v>
      </c>
      <c r="DN34" s="116">
        <v>-19560.852899999998</v>
      </c>
      <c r="DO34" s="116">
        <v>19560.852899999998</v>
      </c>
      <c r="DP34" s="116" t="s">
        <v>174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  <c r="DV34" s="10">
        <v>0</v>
      </c>
      <c r="DW34" s="116" t="s">
        <v>174</v>
      </c>
      <c r="DX34" s="219"/>
      <c r="DY34" s="219" t="s">
        <v>174</v>
      </c>
      <c r="DZ34" s="116" t="s">
        <v>174</v>
      </c>
      <c r="EA34" s="116" t="s">
        <v>174</v>
      </c>
      <c r="EB34" s="116">
        <v>0</v>
      </c>
      <c r="EC34" s="116">
        <v>-19560.852899999998</v>
      </c>
      <c r="ED34" s="116">
        <v>-19560.852899999998</v>
      </c>
      <c r="EE34" s="10" t="s">
        <v>174</v>
      </c>
      <c r="EF34" s="332">
        <v>-3</v>
      </c>
      <c r="EG34" s="116">
        <v>344208.43124999997</v>
      </c>
      <c r="EH34" s="116">
        <v>155791.56874999998</v>
      </c>
      <c r="EI34" s="116">
        <v>499999.99999999994</v>
      </c>
      <c r="EJ34" s="116">
        <v>546411.98474999995</v>
      </c>
      <c r="EK34" s="116">
        <v>0</v>
      </c>
      <c r="EM34" s="116">
        <v>-19560.852899999998</v>
      </c>
      <c r="EN34" s="116">
        <v>-19560.852899999998</v>
      </c>
      <c r="EO34" s="116"/>
      <c r="EQ34" s="116">
        <v>324647.57834999997</v>
      </c>
      <c r="ER34" s="116">
        <v>175352.42164999997</v>
      </c>
      <c r="ES34" s="116">
        <v>499999.99999999994</v>
      </c>
      <c r="ET34" s="116">
        <v>526851.13185000001</v>
      </c>
      <c r="EU34" s="116">
        <v>0</v>
      </c>
      <c r="EV34" s="137">
        <v>0</v>
      </c>
      <c r="EX34" s="116">
        <v>324647.57834999997</v>
      </c>
      <c r="EY34" s="116">
        <v>175352.42164999997</v>
      </c>
      <c r="EZ34" s="116">
        <v>499999.99999999994</v>
      </c>
      <c r="FA34" s="116">
        <v>526851.13185000001</v>
      </c>
      <c r="FB34" s="116">
        <v>0</v>
      </c>
    </row>
    <row r="35" spans="1:158" ht="13">
      <c r="A35" s="10">
        <f>IF(B35="","",IF(HistSecRecord!$E$1&gt;=E35,1,0))</f>
        <v>0</v>
      </c>
      <c r="B35" s="43">
        <v>44567000042</v>
      </c>
      <c r="C35" s="43" t="s">
        <v>187</v>
      </c>
      <c r="D35" s="43" t="s">
        <v>88</v>
      </c>
      <c r="E35" s="243">
        <v>44567</v>
      </c>
      <c r="F35" s="43"/>
      <c r="G35" s="43" t="s">
        <v>17</v>
      </c>
      <c r="H35" s="43" t="s">
        <v>38</v>
      </c>
      <c r="I35" s="43" t="s">
        <v>16</v>
      </c>
      <c r="J35" s="10">
        <v>40</v>
      </c>
      <c r="N35" s="43">
        <v>430</v>
      </c>
      <c r="O35" s="43"/>
      <c r="P35" s="43"/>
      <c r="T35" s="243">
        <v>44567</v>
      </c>
      <c r="V35" s="43" t="s">
        <v>39</v>
      </c>
      <c r="W35" s="43" t="s">
        <v>38</v>
      </c>
      <c r="X35" s="43">
        <v>453</v>
      </c>
      <c r="Y35" s="43">
        <v>458</v>
      </c>
      <c r="Z35" s="43">
        <v>450</v>
      </c>
      <c r="AA35" s="43">
        <v>452.8</v>
      </c>
      <c r="AB35" s="43">
        <v>17490032</v>
      </c>
      <c r="AX35" s="43"/>
      <c r="BA35" s="43"/>
      <c r="BD35" s="29">
        <v>0</v>
      </c>
      <c r="BE35" s="29" t="s">
        <v>174</v>
      </c>
      <c r="BF35" s="29">
        <v>0</v>
      </c>
      <c r="BG35" s="29">
        <v>0</v>
      </c>
      <c r="BH35" s="31">
        <v>1</v>
      </c>
      <c r="BI35" s="116">
        <v>1</v>
      </c>
      <c r="BJ35" s="43">
        <v>40</v>
      </c>
      <c r="BK35" s="43" t="s">
        <v>39</v>
      </c>
      <c r="BL35" s="196">
        <v>1</v>
      </c>
      <c r="BM35" s="329" t="s">
        <v>38</v>
      </c>
      <c r="BN35" s="330">
        <v>430</v>
      </c>
      <c r="BP35" s="330">
        <v>430</v>
      </c>
      <c r="BQ35" s="10">
        <v>40</v>
      </c>
      <c r="BR35" s="10">
        <v>17200</v>
      </c>
      <c r="BS35" s="116">
        <v>17200</v>
      </c>
      <c r="BU35" s="331" t="s">
        <v>174</v>
      </c>
      <c r="BV35" s="10" t="s">
        <v>174</v>
      </c>
      <c r="BW35" s="116" t="s">
        <v>174</v>
      </c>
      <c r="BX35" s="116">
        <v>0</v>
      </c>
      <c r="BZ35" s="330" t="s">
        <v>174</v>
      </c>
      <c r="CB35" s="330" t="s">
        <v>174</v>
      </c>
      <c r="CC35" s="116" t="s">
        <v>174</v>
      </c>
      <c r="CD35" s="10" t="s">
        <v>174</v>
      </c>
      <c r="CE35" s="10">
        <v>0</v>
      </c>
      <c r="CG35" s="242" t="s">
        <v>174</v>
      </c>
      <c r="CH35" s="116" t="s">
        <v>174</v>
      </c>
      <c r="CI35" s="116" t="s">
        <v>174</v>
      </c>
      <c r="CJ35" s="116">
        <v>0</v>
      </c>
      <c r="CL35" s="116">
        <v>-17200</v>
      </c>
      <c r="CM35" s="10" t="s">
        <v>174</v>
      </c>
      <c r="CN35" s="239" t="s">
        <v>38</v>
      </c>
      <c r="CO35" s="153">
        <v>44567</v>
      </c>
      <c r="CP35" s="43"/>
      <c r="CQ35" s="43"/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40</v>
      </c>
      <c r="CY35" s="43">
        <v>0</v>
      </c>
      <c r="CZ35" s="43">
        <v>0</v>
      </c>
      <c r="DA35" s="43">
        <v>0</v>
      </c>
      <c r="DB35" s="10" t="s">
        <v>310</v>
      </c>
      <c r="DC35" s="10" t="s">
        <v>174</v>
      </c>
      <c r="DD35" s="10" t="s">
        <v>174</v>
      </c>
      <c r="DE35" s="10" t="s">
        <v>174</v>
      </c>
      <c r="DF35" s="43">
        <v>40</v>
      </c>
      <c r="DG35" s="43" t="s">
        <v>174</v>
      </c>
      <c r="DH35" s="43" t="s">
        <v>174</v>
      </c>
      <c r="DI35" s="43">
        <v>0</v>
      </c>
      <c r="DJ35" s="43" t="s">
        <v>310</v>
      </c>
      <c r="DL35" s="10">
        <v>430</v>
      </c>
      <c r="DM35" s="116">
        <v>17200</v>
      </c>
      <c r="DN35" s="116">
        <v>-17200</v>
      </c>
      <c r="DO35" s="116">
        <v>17200</v>
      </c>
      <c r="DP35" s="116" t="s">
        <v>174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16" t="s">
        <v>174</v>
      </c>
      <c r="DX35" s="219"/>
      <c r="DY35" s="219" t="s">
        <v>174</v>
      </c>
      <c r="DZ35" s="116" t="s">
        <v>174</v>
      </c>
      <c r="EA35" s="116" t="s">
        <v>174</v>
      </c>
      <c r="EB35" s="116">
        <v>0</v>
      </c>
      <c r="EC35" s="116">
        <v>-17200</v>
      </c>
      <c r="ED35" s="116">
        <v>-17200</v>
      </c>
      <c r="EE35" s="10" t="s">
        <v>174</v>
      </c>
      <c r="EF35" s="332">
        <v>-40</v>
      </c>
      <c r="EG35" s="116">
        <v>507795.24</v>
      </c>
      <c r="EH35" s="116">
        <v>-7795.2400000000016</v>
      </c>
      <c r="EI35" s="116">
        <v>500000</v>
      </c>
      <c r="EJ35" s="116">
        <v>461023.8</v>
      </c>
      <c r="EK35" s="116">
        <v>0</v>
      </c>
      <c r="EM35" s="116">
        <v>-17200</v>
      </c>
      <c r="EN35" s="116">
        <v>-17200</v>
      </c>
      <c r="EO35" s="116"/>
      <c r="EQ35" s="116">
        <v>490595.24</v>
      </c>
      <c r="ER35" s="116">
        <v>9404.7599999999984</v>
      </c>
      <c r="ES35" s="116">
        <v>500000</v>
      </c>
      <c r="ET35" s="116">
        <v>443823.8</v>
      </c>
      <c r="EU35" s="116">
        <v>0</v>
      </c>
      <c r="EV35" s="137">
        <v>0</v>
      </c>
      <c r="EX35" s="116">
        <v>490595.24</v>
      </c>
      <c r="EY35" s="116">
        <v>9404.7599999999984</v>
      </c>
      <c r="EZ35" s="116">
        <v>500000</v>
      </c>
      <c r="FA35" s="116">
        <v>443823.8</v>
      </c>
      <c r="FB35" s="116">
        <v>0</v>
      </c>
    </row>
    <row r="36" spans="1:158" ht="13">
      <c r="A36" s="10">
        <f>IF(B36="","",IF(HistSecRecord!$E$1&gt;=E36,1,0))</f>
        <v>0</v>
      </c>
      <c r="B36" s="43">
        <v>44568000021</v>
      </c>
      <c r="C36" s="43" t="s">
        <v>183</v>
      </c>
      <c r="D36" s="43" t="s">
        <v>80</v>
      </c>
      <c r="E36" s="243">
        <v>44568</v>
      </c>
      <c r="F36" s="43"/>
      <c r="G36" s="43" t="s">
        <v>19</v>
      </c>
      <c r="H36" s="43" t="s">
        <v>36</v>
      </c>
      <c r="I36" s="43" t="s">
        <v>16</v>
      </c>
      <c r="J36" s="10">
        <v>13</v>
      </c>
      <c r="N36" s="43">
        <v>720</v>
      </c>
      <c r="O36" s="43"/>
      <c r="P36" s="43"/>
      <c r="Q36" s="43" t="s">
        <v>165</v>
      </c>
      <c r="T36" s="243">
        <v>44568</v>
      </c>
      <c r="V36" s="43" t="s">
        <v>37</v>
      </c>
      <c r="W36" s="43" t="s">
        <v>36</v>
      </c>
      <c r="X36" s="43">
        <v>679.1</v>
      </c>
      <c r="Y36" s="43">
        <v>704.7</v>
      </c>
      <c r="Z36" s="43">
        <v>676.6</v>
      </c>
      <c r="AA36" s="43">
        <v>673</v>
      </c>
      <c r="AB36" s="43">
        <v>390326</v>
      </c>
      <c r="AC36" s="43"/>
      <c r="AD36" s="43"/>
      <c r="AE36" s="43"/>
      <c r="AF36" s="43"/>
      <c r="AG36" s="43"/>
      <c r="AH36" s="43"/>
      <c r="AI36" s="43"/>
      <c r="AJ36" s="43"/>
      <c r="AK36" s="43"/>
      <c r="AX36" s="43"/>
      <c r="BA36" s="43"/>
      <c r="BD36" s="29">
        <v>0</v>
      </c>
      <c r="BE36" s="29" t="s">
        <v>174</v>
      </c>
      <c r="BF36" s="29">
        <v>0</v>
      </c>
      <c r="BG36" s="29">
        <v>0</v>
      </c>
      <c r="BH36" s="31">
        <v>1</v>
      </c>
      <c r="BI36" s="116">
        <v>-1</v>
      </c>
      <c r="BJ36" s="43">
        <v>13</v>
      </c>
      <c r="BK36" s="43" t="s">
        <v>37</v>
      </c>
      <c r="BL36" s="196">
        <v>8.8602000000000007</v>
      </c>
      <c r="BM36" s="329" t="s">
        <v>36</v>
      </c>
      <c r="BN36" s="330">
        <v>720</v>
      </c>
      <c r="BP36" s="330">
        <v>720</v>
      </c>
      <c r="BQ36" s="10">
        <v>-13</v>
      </c>
      <c r="BR36" s="10">
        <v>-9360</v>
      </c>
      <c r="BS36" s="116">
        <v>-82931.472000000009</v>
      </c>
      <c r="BU36" s="333" t="s">
        <v>174</v>
      </c>
      <c r="BV36" s="10" t="s">
        <v>174</v>
      </c>
      <c r="BW36" s="116" t="s">
        <v>174</v>
      </c>
      <c r="BX36" s="116">
        <v>0</v>
      </c>
      <c r="BZ36" s="330" t="s">
        <v>174</v>
      </c>
      <c r="CB36" s="330" t="s">
        <v>174</v>
      </c>
      <c r="CC36" s="116" t="s">
        <v>174</v>
      </c>
      <c r="CD36" s="10" t="s">
        <v>174</v>
      </c>
      <c r="CE36" s="10">
        <v>0</v>
      </c>
      <c r="CG36" s="242" t="s">
        <v>174</v>
      </c>
      <c r="CH36" s="116" t="s">
        <v>174</v>
      </c>
      <c r="CI36" s="116" t="s">
        <v>174</v>
      </c>
      <c r="CJ36" s="116">
        <v>0</v>
      </c>
      <c r="CL36" s="116">
        <v>82931.472000000009</v>
      </c>
      <c r="CM36" s="10" t="s">
        <v>174</v>
      </c>
      <c r="CN36" s="239" t="s">
        <v>36</v>
      </c>
      <c r="CO36" s="153">
        <v>44568</v>
      </c>
      <c r="CP36" s="43"/>
      <c r="CQ36" s="43"/>
      <c r="CR36" s="43">
        <v>0</v>
      </c>
      <c r="CS36" s="43">
        <v>0</v>
      </c>
      <c r="CT36" s="43">
        <v>24</v>
      </c>
      <c r="CU36" s="43">
        <v>0</v>
      </c>
      <c r="CV36" s="43">
        <v>0</v>
      </c>
      <c r="CW36" s="43">
        <v>0</v>
      </c>
      <c r="CX36" s="43">
        <v>11</v>
      </c>
      <c r="CY36" s="43">
        <v>0</v>
      </c>
      <c r="CZ36" s="43">
        <v>0</v>
      </c>
      <c r="DA36" s="43">
        <v>0</v>
      </c>
      <c r="DB36" s="10" t="s">
        <v>313</v>
      </c>
      <c r="DC36" s="10" t="s">
        <v>174</v>
      </c>
      <c r="DD36" s="10" t="s">
        <v>174</v>
      </c>
      <c r="DE36" s="10" t="s">
        <v>174</v>
      </c>
      <c r="DF36" s="43">
        <v>-13</v>
      </c>
      <c r="DG36" s="43" t="s">
        <v>174</v>
      </c>
      <c r="DH36" s="43" t="s">
        <v>174</v>
      </c>
      <c r="DI36" s="43">
        <v>0</v>
      </c>
      <c r="DJ36" s="43" t="s">
        <v>313</v>
      </c>
      <c r="DL36" s="10">
        <v>6379.344000000001</v>
      </c>
      <c r="DM36" s="116">
        <v>-82931.472000000009</v>
      </c>
      <c r="DN36" s="116">
        <v>82931.472000000009</v>
      </c>
      <c r="DO36" s="116" t="s">
        <v>174</v>
      </c>
      <c r="DP36" s="116">
        <v>-82931.472000000009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16" t="s">
        <v>174</v>
      </c>
      <c r="DX36" s="219"/>
      <c r="DY36" s="219" t="s">
        <v>174</v>
      </c>
      <c r="DZ36" s="116" t="s">
        <v>174</v>
      </c>
      <c r="EA36" s="116" t="s">
        <v>174</v>
      </c>
      <c r="EB36" s="116">
        <v>0</v>
      </c>
      <c r="EC36" s="116">
        <v>82931.472000000009</v>
      </c>
      <c r="ED36" s="116">
        <v>82931.472000000009</v>
      </c>
      <c r="EE36" s="10" t="s">
        <v>174</v>
      </c>
      <c r="EF36" s="332">
        <v>13</v>
      </c>
      <c r="EG36" s="116">
        <v>324647.57834999997</v>
      </c>
      <c r="EH36" s="116">
        <v>175352.42164999997</v>
      </c>
      <c r="EI36" s="116">
        <v>499999.99999999994</v>
      </c>
      <c r="EJ36" s="116">
        <v>565972.83764999988</v>
      </c>
      <c r="EK36" s="116">
        <v>0</v>
      </c>
      <c r="EM36" s="116">
        <v>82931.472000000009</v>
      </c>
      <c r="EN36" s="116">
        <v>82931.472000000009</v>
      </c>
      <c r="EO36" s="116"/>
      <c r="EQ36" s="116">
        <v>407579.05034999998</v>
      </c>
      <c r="ER36" s="116">
        <v>92420.949649999966</v>
      </c>
      <c r="ES36" s="116">
        <v>499999.99999999994</v>
      </c>
      <c r="ET36" s="116">
        <v>648904.30964999995</v>
      </c>
      <c r="EU36" s="116">
        <v>0</v>
      </c>
      <c r="EV36" s="137">
        <v>0</v>
      </c>
      <c r="EX36" s="116">
        <v>407579.05034999998</v>
      </c>
      <c r="EY36" s="116">
        <v>92420.949649999966</v>
      </c>
      <c r="EZ36" s="116">
        <v>499999.99999999994</v>
      </c>
      <c r="FA36" s="116">
        <v>648904.30964999995</v>
      </c>
      <c r="FB36" s="116">
        <v>0</v>
      </c>
    </row>
    <row r="37" spans="1:158" ht="13">
      <c r="A37" s="10">
        <f>IF(B37="","",IF(HistSecRecord!$E$1&gt;=E37,1,0))</f>
        <v>0</v>
      </c>
      <c r="B37" s="43">
        <v>44568000043</v>
      </c>
      <c r="C37" s="43" t="s">
        <v>187</v>
      </c>
      <c r="D37" s="43" t="s">
        <v>88</v>
      </c>
      <c r="E37" s="243">
        <v>44568</v>
      </c>
      <c r="F37" s="43"/>
      <c r="G37" s="43" t="s">
        <v>19</v>
      </c>
      <c r="H37" s="43" t="s">
        <v>38</v>
      </c>
      <c r="I37" s="43" t="s">
        <v>16</v>
      </c>
      <c r="J37" s="10">
        <v>50</v>
      </c>
      <c r="N37" s="43">
        <v>440</v>
      </c>
      <c r="O37" s="43"/>
      <c r="P37" s="43"/>
      <c r="T37" s="243">
        <v>44568</v>
      </c>
      <c r="V37" s="43" t="s">
        <v>39</v>
      </c>
      <c r="W37" s="43" t="s">
        <v>38</v>
      </c>
      <c r="X37" s="43">
        <v>453</v>
      </c>
      <c r="Y37" s="43">
        <v>458</v>
      </c>
      <c r="Z37" s="43">
        <v>450</v>
      </c>
      <c r="AA37" s="43">
        <v>452.8</v>
      </c>
      <c r="AB37" s="43">
        <v>17490032</v>
      </c>
      <c r="AX37" s="43"/>
      <c r="BA37" s="43"/>
      <c r="BD37" s="29">
        <v>0</v>
      </c>
      <c r="BE37" s="29" t="s">
        <v>174</v>
      </c>
      <c r="BF37" s="29">
        <v>0</v>
      </c>
      <c r="BG37" s="29">
        <v>0</v>
      </c>
      <c r="BH37" s="31">
        <v>1</v>
      </c>
      <c r="BI37" s="116">
        <v>-1</v>
      </c>
      <c r="BJ37" s="43">
        <v>50</v>
      </c>
      <c r="BK37" s="43" t="s">
        <v>39</v>
      </c>
      <c r="BL37" s="196">
        <v>1</v>
      </c>
      <c r="BM37" s="329" t="s">
        <v>38</v>
      </c>
      <c r="BN37" s="330">
        <v>440</v>
      </c>
      <c r="BP37" s="330">
        <v>440</v>
      </c>
      <c r="BQ37" s="10">
        <v>-50</v>
      </c>
      <c r="BR37" s="10">
        <v>-22000</v>
      </c>
      <c r="BS37" s="116">
        <v>-22000</v>
      </c>
      <c r="BU37" s="331" t="s">
        <v>174</v>
      </c>
      <c r="BV37" s="10" t="s">
        <v>174</v>
      </c>
      <c r="BW37" s="116" t="s">
        <v>174</v>
      </c>
      <c r="BX37" s="116">
        <v>0</v>
      </c>
      <c r="BZ37" s="330" t="s">
        <v>174</v>
      </c>
      <c r="CB37" s="330" t="s">
        <v>174</v>
      </c>
      <c r="CC37" s="116" t="s">
        <v>174</v>
      </c>
      <c r="CD37" s="10" t="s">
        <v>174</v>
      </c>
      <c r="CE37" s="10">
        <v>0</v>
      </c>
      <c r="CG37" s="242" t="s">
        <v>174</v>
      </c>
      <c r="CH37" s="116" t="s">
        <v>174</v>
      </c>
      <c r="CI37" s="116" t="s">
        <v>174</v>
      </c>
      <c r="CJ37" s="116">
        <v>0</v>
      </c>
      <c r="CL37" s="116">
        <v>22000</v>
      </c>
      <c r="CM37" s="10" t="s">
        <v>174</v>
      </c>
      <c r="CN37" s="239" t="s">
        <v>38</v>
      </c>
      <c r="CO37" s="153">
        <v>44568</v>
      </c>
      <c r="CP37" s="43"/>
      <c r="CQ37" s="43"/>
      <c r="CR37" s="43">
        <v>0</v>
      </c>
      <c r="CS37" s="43">
        <v>0</v>
      </c>
      <c r="CT37" s="43">
        <v>40</v>
      </c>
      <c r="CU37" s="43">
        <v>0</v>
      </c>
      <c r="CV37" s="43">
        <v>0</v>
      </c>
      <c r="CW37" s="43">
        <v>0</v>
      </c>
      <c r="CX37" s="43">
        <v>-10</v>
      </c>
      <c r="CY37" s="43">
        <v>0</v>
      </c>
      <c r="CZ37" s="43">
        <v>0</v>
      </c>
      <c r="DA37" s="43">
        <v>0</v>
      </c>
      <c r="DB37" s="10" t="s">
        <v>312</v>
      </c>
      <c r="DC37" s="10" t="s">
        <v>174</v>
      </c>
      <c r="DD37" s="10" t="s">
        <v>174</v>
      </c>
      <c r="DE37" s="10" t="s">
        <v>174</v>
      </c>
      <c r="DF37" s="43">
        <v>-50</v>
      </c>
      <c r="DG37" s="43" t="s">
        <v>174</v>
      </c>
      <c r="DH37" s="43" t="s">
        <v>174</v>
      </c>
      <c r="DI37" s="43">
        <v>0</v>
      </c>
      <c r="DJ37" s="43" t="s">
        <v>312</v>
      </c>
      <c r="DL37" s="10">
        <v>440</v>
      </c>
      <c r="DM37" s="116">
        <v>-22000</v>
      </c>
      <c r="DN37" s="116">
        <v>13200</v>
      </c>
      <c r="DO37" s="116" t="s">
        <v>174</v>
      </c>
      <c r="DP37" s="116">
        <v>-22000</v>
      </c>
      <c r="DQ37" s="10">
        <v>0</v>
      </c>
      <c r="DR37" s="10">
        <v>0</v>
      </c>
      <c r="DS37" s="10">
        <v>0</v>
      </c>
      <c r="DT37" s="10">
        <v>0</v>
      </c>
      <c r="DU37" s="10">
        <v>0</v>
      </c>
      <c r="DV37" s="10">
        <v>0</v>
      </c>
      <c r="DW37" s="116" t="s">
        <v>174</v>
      </c>
      <c r="DX37" s="219"/>
      <c r="DY37" s="219" t="s">
        <v>174</v>
      </c>
      <c r="DZ37" s="116" t="s">
        <v>174</v>
      </c>
      <c r="EA37" s="116" t="s">
        <v>174</v>
      </c>
      <c r="EB37" s="116">
        <v>0</v>
      </c>
      <c r="EC37" s="116">
        <v>22000</v>
      </c>
      <c r="ED37" s="116">
        <v>13200</v>
      </c>
      <c r="EE37" s="10" t="s">
        <v>174</v>
      </c>
      <c r="EF37" s="332">
        <v>30</v>
      </c>
      <c r="EG37" s="116">
        <v>490595.24</v>
      </c>
      <c r="EH37" s="116">
        <v>9404.7599999999984</v>
      </c>
      <c r="EI37" s="116">
        <v>500000</v>
      </c>
      <c r="EJ37" s="116">
        <v>452423.8</v>
      </c>
      <c r="EK37" s="116">
        <v>0</v>
      </c>
      <c r="EM37" s="116">
        <v>22000</v>
      </c>
      <c r="EN37" s="116">
        <v>13200</v>
      </c>
      <c r="EO37" s="116"/>
      <c r="EQ37" s="116">
        <v>512595.24</v>
      </c>
      <c r="ER37" s="116">
        <v>-12595.240000000002</v>
      </c>
      <c r="ES37" s="116">
        <v>500000</v>
      </c>
      <c r="ET37" s="116">
        <v>465623.8</v>
      </c>
      <c r="EU37" s="116">
        <v>0</v>
      </c>
      <c r="EV37" s="137">
        <v>0</v>
      </c>
      <c r="EX37" s="116">
        <v>512595.24</v>
      </c>
      <c r="EY37" s="116">
        <v>-12595.240000000002</v>
      </c>
      <c r="EZ37" s="116">
        <v>500000</v>
      </c>
      <c r="FA37" s="116">
        <v>465623.8</v>
      </c>
      <c r="FB37" s="116">
        <v>0</v>
      </c>
    </row>
    <row r="38" spans="1:158" ht="13">
      <c r="A38" s="10">
        <f>IF(B38="","",IF(HistSecRecord!$E$1&gt;=E38,1,0))</f>
        <v>0</v>
      </c>
      <c r="B38" s="43">
        <v>44568000044</v>
      </c>
      <c r="C38" s="43" t="s">
        <v>187</v>
      </c>
      <c r="D38" s="43" t="s">
        <v>88</v>
      </c>
      <c r="E38" s="243">
        <v>44568</v>
      </c>
      <c r="F38" s="43"/>
      <c r="G38" s="43" t="s">
        <v>19</v>
      </c>
      <c r="H38" s="43" t="s">
        <v>7</v>
      </c>
      <c r="I38" s="43" t="s">
        <v>18</v>
      </c>
      <c r="K38" s="10">
        <v>20</v>
      </c>
      <c r="N38" s="43">
        <v>19</v>
      </c>
      <c r="O38" s="43"/>
      <c r="P38" s="43"/>
      <c r="T38" s="243">
        <v>44568</v>
      </c>
      <c r="V38" s="43" t="s">
        <v>41</v>
      </c>
      <c r="W38" s="43" t="s">
        <v>157</v>
      </c>
      <c r="X38" s="43" t="s">
        <v>157</v>
      </c>
      <c r="Y38" s="43" t="s">
        <v>157</v>
      </c>
      <c r="Z38" s="43" t="s">
        <v>157</v>
      </c>
      <c r="AA38" s="43" t="s">
        <v>157</v>
      </c>
      <c r="AB38" s="43" t="s">
        <v>157</v>
      </c>
      <c r="AC38" s="43" t="s">
        <v>158</v>
      </c>
      <c r="AD38" s="43">
        <v>10.79</v>
      </c>
      <c r="AE38" s="43">
        <v>13.21</v>
      </c>
      <c r="AF38" s="43">
        <v>0.115</v>
      </c>
      <c r="AG38" s="43">
        <v>44948</v>
      </c>
      <c r="AH38" s="43" t="s">
        <v>159</v>
      </c>
      <c r="AI38" s="43">
        <v>1.006</v>
      </c>
      <c r="AJ38" s="43" t="s">
        <v>160</v>
      </c>
      <c r="AK38" s="43" t="s">
        <v>161</v>
      </c>
      <c r="AX38" s="43"/>
      <c r="BA38" s="43"/>
      <c r="BD38" s="29">
        <v>0</v>
      </c>
      <c r="BE38" s="29" t="s">
        <v>174</v>
      </c>
      <c r="BF38" s="29">
        <v>0</v>
      </c>
      <c r="BG38" s="29">
        <v>0</v>
      </c>
      <c r="BH38" s="31">
        <v>2</v>
      </c>
      <c r="BI38" s="116">
        <v>-1</v>
      </c>
      <c r="BJ38" s="43">
        <v>20</v>
      </c>
      <c r="BK38" s="43" t="s">
        <v>41</v>
      </c>
      <c r="BL38" s="196">
        <v>7.7976700000000001</v>
      </c>
      <c r="BM38" s="329" t="s">
        <v>7</v>
      </c>
      <c r="BN38" s="330" t="s">
        <v>174</v>
      </c>
      <c r="BP38" s="330" t="s">
        <v>174</v>
      </c>
      <c r="BQ38" s="10" t="s">
        <v>174</v>
      </c>
      <c r="BR38" s="10" t="s">
        <v>174</v>
      </c>
      <c r="BS38" s="116">
        <v>0</v>
      </c>
      <c r="BU38" s="331">
        <v>10.79</v>
      </c>
      <c r="BV38" s="10">
        <v>-20</v>
      </c>
      <c r="BW38" s="116">
        <v>-2158</v>
      </c>
      <c r="BX38" s="116">
        <v>-16827.371859999999</v>
      </c>
      <c r="BZ38" s="330" t="s">
        <v>174</v>
      </c>
      <c r="CB38" s="330" t="s">
        <v>174</v>
      </c>
      <c r="CC38" s="116" t="s">
        <v>174</v>
      </c>
      <c r="CD38" s="10" t="s">
        <v>174</v>
      </c>
      <c r="CE38" s="10">
        <v>0</v>
      </c>
      <c r="CG38" s="242" t="s">
        <v>174</v>
      </c>
      <c r="CH38" s="116" t="s">
        <v>174</v>
      </c>
      <c r="CI38" s="116" t="s">
        <v>174</v>
      </c>
      <c r="CJ38" s="116">
        <v>0</v>
      </c>
      <c r="CL38" s="116">
        <v>16827.371859999999</v>
      </c>
      <c r="CM38" s="10" t="s">
        <v>174</v>
      </c>
      <c r="CN38" s="239" t="s">
        <v>7</v>
      </c>
      <c r="CO38" s="153">
        <v>44568</v>
      </c>
      <c r="CP38" s="43"/>
      <c r="CQ38" s="43"/>
      <c r="CR38" s="43">
        <v>0</v>
      </c>
      <c r="CS38" s="43">
        <v>0</v>
      </c>
      <c r="CT38" s="43">
        <v>0</v>
      </c>
      <c r="CU38" s="43">
        <v>0</v>
      </c>
      <c r="CV38" s="43">
        <v>0</v>
      </c>
      <c r="CW38" s="43">
        <v>0</v>
      </c>
      <c r="CX38" s="43">
        <v>0</v>
      </c>
      <c r="CY38" s="43">
        <v>-20</v>
      </c>
      <c r="CZ38" s="43">
        <v>0</v>
      </c>
      <c r="DA38" s="43">
        <v>0</v>
      </c>
      <c r="DB38" s="10" t="s">
        <v>174</v>
      </c>
      <c r="DC38" s="10" t="s">
        <v>311</v>
      </c>
      <c r="DD38" s="10" t="s">
        <v>174</v>
      </c>
      <c r="DE38" s="10" t="s">
        <v>174</v>
      </c>
      <c r="DF38" s="43" t="s">
        <v>174</v>
      </c>
      <c r="DG38" s="43">
        <v>-20</v>
      </c>
      <c r="DH38" s="43" t="s">
        <v>174</v>
      </c>
      <c r="DI38" s="43">
        <v>0</v>
      </c>
      <c r="DJ38" s="43" t="s">
        <v>311</v>
      </c>
      <c r="DL38" s="10" t="s">
        <v>174</v>
      </c>
      <c r="DM38" s="116" t="s">
        <v>174</v>
      </c>
      <c r="DN38" s="116" t="s">
        <v>174</v>
      </c>
      <c r="DO38" s="116" t="s">
        <v>174</v>
      </c>
      <c r="DP38" s="116" t="s">
        <v>174</v>
      </c>
      <c r="DQ38" s="10">
        <v>0</v>
      </c>
      <c r="DR38" s="10">
        <v>-16827.371859999999</v>
      </c>
      <c r="DS38" s="10">
        <v>-16827.371859999999</v>
      </c>
      <c r="DT38" s="10">
        <v>0</v>
      </c>
      <c r="DU38" s="10">
        <v>0</v>
      </c>
      <c r="DV38" s="10">
        <v>0</v>
      </c>
      <c r="DW38" s="116" t="s">
        <v>174</v>
      </c>
      <c r="DX38" s="219"/>
      <c r="DY38" s="219" t="s">
        <v>174</v>
      </c>
      <c r="DZ38" s="116" t="s">
        <v>174</v>
      </c>
      <c r="EA38" s="116" t="s">
        <v>174</v>
      </c>
      <c r="EB38" s="116">
        <v>0</v>
      </c>
      <c r="EC38" s="116">
        <v>16827.371859999999</v>
      </c>
      <c r="ED38" s="116">
        <v>-16827.371859999999</v>
      </c>
      <c r="EE38" s="10" t="s">
        <v>174</v>
      </c>
      <c r="EF38" s="332">
        <v>-20</v>
      </c>
      <c r="EG38" s="116">
        <v>512595.24</v>
      </c>
      <c r="EH38" s="116">
        <v>-12595.240000000002</v>
      </c>
      <c r="EI38" s="116">
        <v>500000</v>
      </c>
      <c r="EJ38" s="116">
        <v>430423.8</v>
      </c>
      <c r="EK38" s="116">
        <v>0</v>
      </c>
      <c r="EM38" s="116">
        <v>16827.371859999999</v>
      </c>
      <c r="EN38" s="116">
        <v>-16827.371859999999</v>
      </c>
      <c r="EO38" s="116"/>
      <c r="EQ38" s="116">
        <v>529422.61185999995</v>
      </c>
      <c r="ER38" s="116">
        <v>-29422.611860000001</v>
      </c>
      <c r="ES38" s="116">
        <v>499999.99999999994</v>
      </c>
      <c r="ET38" s="116">
        <v>413596.42813999997</v>
      </c>
      <c r="EU38" s="116">
        <v>0</v>
      </c>
      <c r="EV38" s="137">
        <v>0</v>
      </c>
      <c r="EX38" s="116">
        <v>529422.61185999995</v>
      </c>
      <c r="EY38" s="116">
        <v>-29422.611860000001</v>
      </c>
      <c r="EZ38" s="116">
        <v>499999.99999999994</v>
      </c>
      <c r="FA38" s="116">
        <v>413596.42813999997</v>
      </c>
      <c r="FB38" s="116">
        <v>0</v>
      </c>
    </row>
    <row r="39" spans="1:158" ht="13">
      <c r="A39" s="10">
        <f>IF(B39="","",IF(HistSecRecord!$E$1&gt;=E39,1,0))</f>
        <v>0</v>
      </c>
      <c r="B39" s="43">
        <v>44569000022</v>
      </c>
      <c r="C39" s="43" t="s">
        <v>183</v>
      </c>
      <c r="D39" s="43" t="s">
        <v>80</v>
      </c>
      <c r="E39" s="243">
        <v>44569</v>
      </c>
      <c r="F39" s="43"/>
      <c r="G39" s="43" t="s">
        <v>19</v>
      </c>
      <c r="H39" s="43" t="s">
        <v>36</v>
      </c>
      <c r="I39" s="43" t="s">
        <v>16</v>
      </c>
      <c r="J39" s="10">
        <v>51</v>
      </c>
      <c r="N39" s="43">
        <v>720</v>
      </c>
      <c r="O39" s="43"/>
      <c r="P39" s="43"/>
      <c r="T39" s="243">
        <v>44569</v>
      </c>
      <c r="V39" s="43" t="s">
        <v>37</v>
      </c>
      <c r="W39" s="43" t="s">
        <v>36</v>
      </c>
      <c r="X39" s="43">
        <v>679.1</v>
      </c>
      <c r="Y39" s="43">
        <v>704.7</v>
      </c>
      <c r="Z39" s="43">
        <v>676.6</v>
      </c>
      <c r="AA39" s="43">
        <v>673</v>
      </c>
      <c r="AB39" s="43">
        <v>390326</v>
      </c>
      <c r="AX39" s="43"/>
      <c r="BA39" s="43"/>
      <c r="BD39" s="29">
        <v>0</v>
      </c>
      <c r="BE39" s="29" t="s">
        <v>174</v>
      </c>
      <c r="BF39" s="29">
        <v>0</v>
      </c>
      <c r="BG39" s="29">
        <v>0</v>
      </c>
      <c r="BH39" s="31">
        <v>1</v>
      </c>
      <c r="BI39" s="116">
        <v>-1</v>
      </c>
      <c r="BJ39" s="43">
        <v>51</v>
      </c>
      <c r="BK39" s="43" t="s">
        <v>37</v>
      </c>
      <c r="BL39" s="196">
        <v>8.8601500000000009</v>
      </c>
      <c r="BM39" s="329" t="s">
        <v>36</v>
      </c>
      <c r="BN39" s="330">
        <v>720</v>
      </c>
      <c r="BP39" s="330">
        <v>720</v>
      </c>
      <c r="BQ39" s="10">
        <v>-51</v>
      </c>
      <c r="BR39" s="10">
        <v>-36720</v>
      </c>
      <c r="BS39" s="116">
        <v>-325344.70800000004</v>
      </c>
      <c r="BU39" s="331" t="s">
        <v>174</v>
      </c>
      <c r="BV39" s="10" t="s">
        <v>174</v>
      </c>
      <c r="BW39" s="116" t="s">
        <v>174</v>
      </c>
      <c r="BX39" s="116">
        <v>0</v>
      </c>
      <c r="BZ39" s="330" t="s">
        <v>174</v>
      </c>
      <c r="CB39" s="330" t="s">
        <v>174</v>
      </c>
      <c r="CC39" s="116" t="s">
        <v>174</v>
      </c>
      <c r="CD39" s="10" t="s">
        <v>174</v>
      </c>
      <c r="CE39" s="10">
        <v>0</v>
      </c>
      <c r="CG39" s="242" t="s">
        <v>174</v>
      </c>
      <c r="CH39" s="116" t="s">
        <v>174</v>
      </c>
      <c r="CI39" s="116" t="s">
        <v>174</v>
      </c>
      <c r="CJ39" s="116">
        <v>0</v>
      </c>
      <c r="CL39" s="116">
        <v>325344.70800000004</v>
      </c>
      <c r="CM39" s="10" t="s">
        <v>174</v>
      </c>
      <c r="CN39" s="239" t="s">
        <v>36</v>
      </c>
      <c r="CO39" s="153">
        <v>44569</v>
      </c>
      <c r="CP39" s="43"/>
      <c r="CQ39" s="43"/>
      <c r="CR39" s="43">
        <v>0</v>
      </c>
      <c r="CS39" s="43">
        <v>0</v>
      </c>
      <c r="CT39" s="43">
        <v>11</v>
      </c>
      <c r="CU39" s="43">
        <v>0</v>
      </c>
      <c r="CV39" s="43">
        <v>0</v>
      </c>
      <c r="CW39" s="43">
        <v>0</v>
      </c>
      <c r="CX39" s="43">
        <v>-40</v>
      </c>
      <c r="CY39" s="43">
        <v>0</v>
      </c>
      <c r="CZ39" s="43">
        <v>0</v>
      </c>
      <c r="DA39" s="43">
        <v>0</v>
      </c>
      <c r="DB39" s="10" t="s">
        <v>312</v>
      </c>
      <c r="DC39" s="10" t="s">
        <v>174</v>
      </c>
      <c r="DD39" s="10" t="s">
        <v>174</v>
      </c>
      <c r="DE39" s="10" t="s">
        <v>174</v>
      </c>
      <c r="DF39" s="43">
        <v>-51</v>
      </c>
      <c r="DG39" s="43" t="s">
        <v>174</v>
      </c>
      <c r="DH39" s="43" t="s">
        <v>174</v>
      </c>
      <c r="DI39" s="43">
        <v>0</v>
      </c>
      <c r="DJ39" s="43" t="s">
        <v>312</v>
      </c>
      <c r="DL39" s="10">
        <v>6379.3080000000009</v>
      </c>
      <c r="DM39" s="116">
        <v>-325344.70800000004</v>
      </c>
      <c r="DN39" s="116">
        <v>-184999.93200000003</v>
      </c>
      <c r="DO39" s="116" t="s">
        <v>174</v>
      </c>
      <c r="DP39" s="116">
        <v>-325344.70800000004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  <c r="DV39" s="10">
        <v>0</v>
      </c>
      <c r="DW39" s="116" t="s">
        <v>174</v>
      </c>
      <c r="DX39" s="219"/>
      <c r="DY39" s="219" t="s">
        <v>174</v>
      </c>
      <c r="DZ39" s="116" t="s">
        <v>174</v>
      </c>
      <c r="EA39" s="116" t="s">
        <v>174</v>
      </c>
      <c r="EB39" s="116">
        <v>0</v>
      </c>
      <c r="EC39" s="116">
        <v>325344.70800000004</v>
      </c>
      <c r="ED39" s="116">
        <v>-184999.93200000003</v>
      </c>
      <c r="EE39" s="10" t="s">
        <v>174</v>
      </c>
      <c r="EF39" s="332">
        <v>-29</v>
      </c>
      <c r="EG39" s="116">
        <v>407579.05034999998</v>
      </c>
      <c r="EH39" s="116">
        <v>92420.949649999966</v>
      </c>
      <c r="EI39" s="116">
        <v>499999.99999999994</v>
      </c>
      <c r="EJ39" s="116">
        <v>483041.36564999988</v>
      </c>
      <c r="EK39" s="116">
        <v>0</v>
      </c>
      <c r="EM39" s="116">
        <v>325344.70800000004</v>
      </c>
      <c r="EN39" s="116">
        <v>-184999.93200000003</v>
      </c>
      <c r="EO39" s="116"/>
      <c r="EQ39" s="116">
        <v>732923.75835000002</v>
      </c>
      <c r="ER39" s="116">
        <v>-232923.75835000008</v>
      </c>
      <c r="ES39" s="116">
        <v>499999.99999999994</v>
      </c>
      <c r="ET39" s="116">
        <v>298041.43364999985</v>
      </c>
      <c r="EU39" s="116">
        <v>0</v>
      </c>
      <c r="EV39" s="137">
        <v>0</v>
      </c>
      <c r="EX39" s="116">
        <v>732923.75835000002</v>
      </c>
      <c r="EY39" s="116">
        <v>-232923.75835000008</v>
      </c>
      <c r="EZ39" s="116">
        <v>499999.99999999994</v>
      </c>
      <c r="FA39" s="116">
        <v>298041.43364999985</v>
      </c>
      <c r="FB39" s="116">
        <v>0</v>
      </c>
    </row>
    <row r="40" spans="1:158" ht="13">
      <c r="A40" s="10">
        <f>IF(B40="","",IF(HistSecRecord!$E$1&gt;=E40,1,0))</f>
        <v>0</v>
      </c>
      <c r="B40" s="43">
        <v>44570000023</v>
      </c>
      <c r="C40" s="43" t="s">
        <v>183</v>
      </c>
      <c r="D40" s="43" t="s">
        <v>80</v>
      </c>
      <c r="E40" s="243">
        <v>44570</v>
      </c>
      <c r="F40" s="43"/>
      <c r="G40" s="43" t="s">
        <v>19</v>
      </c>
      <c r="H40" s="43" t="s">
        <v>38</v>
      </c>
      <c r="I40" s="43" t="s">
        <v>16</v>
      </c>
      <c r="J40" s="10">
        <v>15</v>
      </c>
      <c r="N40" s="43">
        <v>445</v>
      </c>
      <c r="O40" s="43"/>
      <c r="P40" s="43"/>
      <c r="T40" s="243">
        <v>44570</v>
      </c>
      <c r="V40" s="43" t="s">
        <v>39</v>
      </c>
      <c r="W40" s="43" t="s">
        <v>38</v>
      </c>
      <c r="X40" s="43">
        <v>453</v>
      </c>
      <c r="Y40" s="43">
        <v>458</v>
      </c>
      <c r="Z40" s="43">
        <v>450</v>
      </c>
      <c r="AA40" s="43">
        <v>452.8</v>
      </c>
      <c r="AB40" s="43">
        <v>17490032</v>
      </c>
      <c r="AX40" s="43"/>
      <c r="BA40" s="43"/>
      <c r="BD40" s="29">
        <v>0</v>
      </c>
      <c r="BE40" s="29" t="s">
        <v>174</v>
      </c>
      <c r="BF40" s="29">
        <v>0</v>
      </c>
      <c r="BG40" s="29">
        <v>0</v>
      </c>
      <c r="BH40" s="31">
        <v>1</v>
      </c>
      <c r="BI40" s="116">
        <v>-1</v>
      </c>
      <c r="BJ40" s="43">
        <v>15</v>
      </c>
      <c r="BK40" s="43" t="s">
        <v>39</v>
      </c>
      <c r="BL40" s="196">
        <v>1</v>
      </c>
      <c r="BM40" s="329" t="s">
        <v>38</v>
      </c>
      <c r="BN40" s="330">
        <v>445</v>
      </c>
      <c r="BP40" s="330">
        <v>445</v>
      </c>
      <c r="BQ40" s="10">
        <v>-15</v>
      </c>
      <c r="BR40" s="10">
        <v>-6675</v>
      </c>
      <c r="BS40" s="116">
        <v>-6675</v>
      </c>
      <c r="BU40" s="331" t="s">
        <v>174</v>
      </c>
      <c r="BV40" s="10" t="s">
        <v>174</v>
      </c>
      <c r="BW40" s="116" t="s">
        <v>174</v>
      </c>
      <c r="BX40" s="116">
        <v>0</v>
      </c>
      <c r="BZ40" s="330" t="s">
        <v>174</v>
      </c>
      <c r="CB40" s="330" t="s">
        <v>174</v>
      </c>
      <c r="CC40" s="116" t="s">
        <v>174</v>
      </c>
      <c r="CD40" s="10" t="s">
        <v>174</v>
      </c>
      <c r="CE40" s="10">
        <v>0</v>
      </c>
      <c r="CG40" s="242" t="s">
        <v>174</v>
      </c>
      <c r="CH40" s="116" t="s">
        <v>174</v>
      </c>
      <c r="CI40" s="116" t="s">
        <v>174</v>
      </c>
      <c r="CJ40" s="116">
        <v>0</v>
      </c>
      <c r="CL40" s="116">
        <v>6675</v>
      </c>
      <c r="CM40" s="10" t="s">
        <v>174</v>
      </c>
      <c r="CN40" s="239" t="s">
        <v>38</v>
      </c>
      <c r="CO40" s="153">
        <v>44570</v>
      </c>
      <c r="CP40" s="43"/>
      <c r="CQ40" s="43"/>
      <c r="CR40" s="43">
        <v>0</v>
      </c>
      <c r="CS40" s="43">
        <v>0</v>
      </c>
      <c r="CT40" s="43">
        <v>10</v>
      </c>
      <c r="CU40" s="43">
        <v>0</v>
      </c>
      <c r="CV40" s="43">
        <v>0</v>
      </c>
      <c r="CW40" s="43">
        <v>0</v>
      </c>
      <c r="CX40" s="43">
        <v>-5</v>
      </c>
      <c r="CY40" s="43">
        <v>0</v>
      </c>
      <c r="CZ40" s="43">
        <v>0</v>
      </c>
      <c r="DA40" s="43">
        <v>0</v>
      </c>
      <c r="DB40" s="10" t="s">
        <v>312</v>
      </c>
      <c r="DC40" s="10" t="s">
        <v>174</v>
      </c>
      <c r="DD40" s="10" t="s">
        <v>174</v>
      </c>
      <c r="DE40" s="10" t="s">
        <v>174</v>
      </c>
      <c r="DF40" s="43">
        <v>-15</v>
      </c>
      <c r="DG40" s="43" t="s">
        <v>174</v>
      </c>
      <c r="DH40" s="43" t="s">
        <v>174</v>
      </c>
      <c r="DI40" s="43">
        <v>0</v>
      </c>
      <c r="DJ40" s="43" t="s">
        <v>312</v>
      </c>
      <c r="DL40" s="10">
        <v>445</v>
      </c>
      <c r="DM40" s="116">
        <v>-6675</v>
      </c>
      <c r="DN40" s="116">
        <v>2225</v>
      </c>
      <c r="DO40" s="116" t="s">
        <v>174</v>
      </c>
      <c r="DP40" s="116">
        <v>-6675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16" t="s">
        <v>174</v>
      </c>
      <c r="DX40" s="219"/>
      <c r="DY40" s="219" t="s">
        <v>174</v>
      </c>
      <c r="DZ40" s="116" t="s">
        <v>174</v>
      </c>
      <c r="EA40" s="116" t="s">
        <v>174</v>
      </c>
      <c r="EB40" s="116">
        <v>0</v>
      </c>
      <c r="EC40" s="116">
        <v>6675</v>
      </c>
      <c r="ED40" s="116">
        <v>2225</v>
      </c>
      <c r="EE40" s="10" t="s">
        <v>174</v>
      </c>
      <c r="EF40" s="332">
        <v>5</v>
      </c>
      <c r="EG40" s="116">
        <v>732923.75835000002</v>
      </c>
      <c r="EH40" s="116">
        <v>-232923.75835000008</v>
      </c>
      <c r="EI40" s="116">
        <v>499999.99999999994</v>
      </c>
      <c r="EJ40" s="116">
        <v>157696.65764999983</v>
      </c>
      <c r="EK40" s="116">
        <v>175991.92615000001</v>
      </c>
      <c r="EM40" s="116">
        <v>6675</v>
      </c>
      <c r="EN40" s="116">
        <v>2225</v>
      </c>
      <c r="EO40" s="116"/>
      <c r="EQ40" s="116">
        <v>739598.75835000002</v>
      </c>
      <c r="ER40" s="116">
        <v>-239598.75835000008</v>
      </c>
      <c r="ES40" s="116">
        <v>499999.99999999994</v>
      </c>
      <c r="ET40" s="116">
        <v>159921.65764999983</v>
      </c>
      <c r="EU40" s="116">
        <v>0</v>
      </c>
      <c r="EV40" s="137">
        <v>0</v>
      </c>
      <c r="EX40" s="116">
        <v>739598.75835000002</v>
      </c>
      <c r="EY40" s="116">
        <v>-239598.75835000008</v>
      </c>
      <c r="EZ40" s="116">
        <v>499999.99999999994</v>
      </c>
      <c r="FA40" s="116">
        <v>159921.65764999983</v>
      </c>
      <c r="FB40" s="116">
        <v>0</v>
      </c>
    </row>
    <row r="41" spans="1:158" ht="13">
      <c r="A41" s="10">
        <f>IF(B41="","",IF(HistSecRecord!$E$1&gt;=E41,1,0))</f>
        <v>0</v>
      </c>
      <c r="B41" s="43">
        <v>44571000024</v>
      </c>
      <c r="C41" s="43" t="s">
        <v>184</v>
      </c>
      <c r="D41" s="43" t="s">
        <v>82</v>
      </c>
      <c r="E41" s="243">
        <v>44571</v>
      </c>
      <c r="F41" s="43"/>
      <c r="G41" s="43" t="s">
        <v>19</v>
      </c>
      <c r="H41" s="43" t="s">
        <v>38</v>
      </c>
      <c r="I41" s="43" t="s">
        <v>16</v>
      </c>
      <c r="J41" s="10">
        <v>1500</v>
      </c>
      <c r="N41" s="43">
        <v>445</v>
      </c>
      <c r="O41" s="43"/>
      <c r="P41" s="43"/>
      <c r="T41" s="243">
        <v>44571</v>
      </c>
      <c r="V41" s="43" t="s">
        <v>39</v>
      </c>
      <c r="W41" s="43" t="s">
        <v>38</v>
      </c>
      <c r="X41" s="43">
        <v>453</v>
      </c>
      <c r="Y41" s="43">
        <v>458</v>
      </c>
      <c r="Z41" s="43">
        <v>450</v>
      </c>
      <c r="AA41" s="43">
        <v>452.8</v>
      </c>
      <c r="AB41" s="43">
        <v>17490032</v>
      </c>
      <c r="AX41" s="43"/>
      <c r="BA41" s="43"/>
      <c r="BD41" s="29">
        <v>0</v>
      </c>
      <c r="BE41" s="29" t="s">
        <v>174</v>
      </c>
      <c r="BF41" s="29">
        <v>0</v>
      </c>
      <c r="BG41" s="29">
        <v>0</v>
      </c>
      <c r="BH41" s="31">
        <v>1</v>
      </c>
      <c r="BI41" s="116">
        <v>-1</v>
      </c>
      <c r="BJ41" s="43">
        <v>1500</v>
      </c>
      <c r="BK41" s="43" t="s">
        <v>39</v>
      </c>
      <c r="BL41" s="196">
        <v>1</v>
      </c>
      <c r="BM41" s="329" t="s">
        <v>38</v>
      </c>
      <c r="BN41" s="330">
        <v>445</v>
      </c>
      <c r="BP41" s="330">
        <v>445</v>
      </c>
      <c r="BQ41" s="10">
        <v>-1500</v>
      </c>
      <c r="BR41" s="10">
        <v>-667500</v>
      </c>
      <c r="BS41" s="116">
        <v>-667500</v>
      </c>
      <c r="BU41" s="331" t="s">
        <v>174</v>
      </c>
      <c r="BV41" s="10" t="s">
        <v>174</v>
      </c>
      <c r="BW41" s="116" t="s">
        <v>174</v>
      </c>
      <c r="BX41" s="116">
        <v>0</v>
      </c>
      <c r="BZ41" s="330" t="s">
        <v>174</v>
      </c>
      <c r="CB41" s="330" t="s">
        <v>174</v>
      </c>
      <c r="CC41" s="116" t="s">
        <v>174</v>
      </c>
      <c r="CD41" s="10" t="s">
        <v>174</v>
      </c>
      <c r="CE41" s="10">
        <v>0</v>
      </c>
      <c r="CG41" s="242" t="s">
        <v>174</v>
      </c>
      <c r="CH41" s="116" t="s">
        <v>174</v>
      </c>
      <c r="CI41" s="116" t="s">
        <v>174</v>
      </c>
      <c r="CJ41" s="116">
        <v>0</v>
      </c>
      <c r="CL41" s="116">
        <v>667500</v>
      </c>
      <c r="CM41" s="10" t="s">
        <v>174</v>
      </c>
      <c r="CN41" s="239" t="s">
        <v>38</v>
      </c>
      <c r="CO41" s="153">
        <v>44571</v>
      </c>
      <c r="CP41" s="43"/>
      <c r="CQ41" s="43"/>
      <c r="CR41" s="43">
        <v>0</v>
      </c>
      <c r="CS41" s="43">
        <v>0</v>
      </c>
      <c r="CT41" s="43">
        <v>10</v>
      </c>
      <c r="CU41" s="43">
        <v>0</v>
      </c>
      <c r="CV41" s="43">
        <v>0</v>
      </c>
      <c r="CW41" s="43">
        <v>0</v>
      </c>
      <c r="CX41" s="43">
        <v>-1490</v>
      </c>
      <c r="CY41" s="43">
        <v>0</v>
      </c>
      <c r="CZ41" s="43">
        <v>0</v>
      </c>
      <c r="DA41" s="43">
        <v>0</v>
      </c>
      <c r="DB41" s="10" t="s">
        <v>312</v>
      </c>
      <c r="DC41" s="10" t="s">
        <v>174</v>
      </c>
      <c r="DD41" s="10" t="s">
        <v>174</v>
      </c>
      <c r="DE41" s="10" t="s">
        <v>174</v>
      </c>
      <c r="DF41" s="43">
        <v>-1500</v>
      </c>
      <c r="DG41" s="43" t="s">
        <v>174</v>
      </c>
      <c r="DH41" s="43" t="s">
        <v>174</v>
      </c>
      <c r="DI41" s="43">
        <v>0</v>
      </c>
      <c r="DJ41" s="43" t="s">
        <v>312</v>
      </c>
      <c r="DL41" s="10">
        <v>445</v>
      </c>
      <c r="DM41" s="116">
        <v>-667500</v>
      </c>
      <c r="DN41" s="116">
        <v>-658600</v>
      </c>
      <c r="DO41" s="116" t="s">
        <v>174</v>
      </c>
      <c r="DP41" s="116">
        <v>-667500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16" t="s">
        <v>174</v>
      </c>
      <c r="DX41" s="219"/>
      <c r="DY41" s="219" t="s">
        <v>174</v>
      </c>
      <c r="DZ41" s="116" t="s">
        <v>174</v>
      </c>
      <c r="EA41" s="116" t="s">
        <v>174</v>
      </c>
      <c r="EB41" s="116">
        <v>0</v>
      </c>
      <c r="EC41" s="116">
        <v>667500</v>
      </c>
      <c r="ED41" s="116">
        <v>-658600</v>
      </c>
      <c r="EE41" s="10" t="s">
        <v>174</v>
      </c>
      <c r="EF41" s="332">
        <v>-1480</v>
      </c>
      <c r="EG41" s="116">
        <v>470743.14439999999</v>
      </c>
      <c r="EH41" s="116">
        <v>29256.855599999995</v>
      </c>
      <c r="EI41" s="116">
        <v>500000</v>
      </c>
      <c r="EJ41" s="116">
        <v>479943.14439999999</v>
      </c>
      <c r="EK41" s="116">
        <v>959341.13359999994</v>
      </c>
      <c r="EM41" s="116">
        <v>667500</v>
      </c>
      <c r="EN41" s="116">
        <v>-658600</v>
      </c>
      <c r="EO41" s="116"/>
      <c r="EQ41" s="116">
        <v>1138243.1444000001</v>
      </c>
      <c r="ER41" s="116">
        <v>-638243.14439999999</v>
      </c>
      <c r="ES41" s="116">
        <v>500000.00000000012</v>
      </c>
      <c r="ET41" s="116">
        <v>-178656.85560000001</v>
      </c>
      <c r="EU41" s="116">
        <v>178656.85560000001</v>
      </c>
      <c r="EV41" s="137">
        <v>0</v>
      </c>
      <c r="EX41" s="116">
        <v>1138243.1444000001</v>
      </c>
      <c r="EY41" s="116">
        <v>-638243.14439999999</v>
      </c>
      <c r="EZ41" s="116">
        <v>500000.00000000012</v>
      </c>
      <c r="FA41" s="116">
        <v>-178656.85560000001</v>
      </c>
      <c r="FB41" s="116">
        <v>178656.85560000001</v>
      </c>
    </row>
    <row r="42" spans="1:158" ht="13">
      <c r="A42" s="10" t="str">
        <f>IF(B42="","",IF(HistSecRecord!$E$1&gt;=E42,1,0))</f>
        <v/>
      </c>
      <c r="B42" s="43"/>
      <c r="D42" s="43"/>
      <c r="E42" s="243"/>
      <c r="F42" s="43"/>
      <c r="G42" s="43"/>
      <c r="H42" s="43"/>
      <c r="I42" s="43"/>
      <c r="N42" s="43"/>
      <c r="O42" s="43"/>
      <c r="P42" s="43"/>
      <c r="T42" s="243"/>
      <c r="V42" s="43"/>
      <c r="AX42" s="43"/>
      <c r="BA42" s="43"/>
      <c r="BD42" s="29"/>
      <c r="BE42" s="29"/>
      <c r="BF42" s="29"/>
      <c r="BG42" s="29"/>
      <c r="BH42" s="31"/>
      <c r="BI42" s="116"/>
      <c r="BL42" s="196"/>
      <c r="BM42" s="329"/>
      <c r="BN42" s="330"/>
      <c r="BP42" s="330"/>
      <c r="BS42" s="116"/>
      <c r="BU42" s="331"/>
      <c r="BW42" s="116"/>
      <c r="BX42" s="116"/>
      <c r="BZ42" s="330"/>
      <c r="CB42" s="330"/>
      <c r="CC42" s="116"/>
      <c r="CG42" s="242"/>
      <c r="CH42" s="116"/>
      <c r="CI42" s="116"/>
      <c r="CJ42" s="116"/>
      <c r="CL42" s="116"/>
      <c r="CN42" s="239"/>
      <c r="CO42" s="15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F42" s="43"/>
      <c r="DG42" s="43"/>
      <c r="DH42" s="43"/>
      <c r="DI42" s="43"/>
      <c r="DJ42" s="43"/>
      <c r="DM42" s="116"/>
      <c r="DN42" s="116"/>
      <c r="DO42" s="116"/>
      <c r="DP42" s="116"/>
      <c r="DW42" s="116"/>
      <c r="DX42" s="219"/>
      <c r="DY42" s="219"/>
      <c r="DZ42" s="116"/>
      <c r="EA42" s="116"/>
      <c r="EB42" s="137"/>
      <c r="EC42" s="116"/>
      <c r="ED42" s="116"/>
      <c r="EF42" s="332"/>
      <c r="EG42" s="116"/>
      <c r="EH42" s="116"/>
      <c r="EI42" s="116"/>
      <c r="EJ42" s="116"/>
      <c r="EK42" s="116"/>
      <c r="EM42" s="116"/>
      <c r="EN42" s="116"/>
      <c r="EO42" s="116"/>
      <c r="EQ42" s="116"/>
      <c r="ER42" s="116"/>
      <c r="ES42" s="116"/>
      <c r="ET42" s="116"/>
      <c r="EU42" s="116"/>
      <c r="EV42" s="137"/>
      <c r="EX42" s="116"/>
      <c r="EY42" s="116"/>
      <c r="EZ42" s="116"/>
      <c r="FA42" s="116"/>
      <c r="FB42" s="116"/>
    </row>
    <row r="43" spans="1:158" ht="13">
      <c r="A43" s="10" t="str">
        <f>IF(B43="","",IF(HistSecRecord!$E$1&gt;=E43,1,0))</f>
        <v/>
      </c>
      <c r="E43" s="153"/>
      <c r="T43" s="153"/>
      <c r="BD43" s="31"/>
      <c r="BE43" s="31"/>
      <c r="BF43" s="31"/>
      <c r="BG43" s="31"/>
      <c r="BH43" s="31"/>
      <c r="BI43" s="116"/>
      <c r="BL43" s="196"/>
      <c r="BM43" s="239"/>
      <c r="BN43" s="330"/>
      <c r="BP43" s="330"/>
      <c r="BS43" s="116"/>
      <c r="BU43" s="331"/>
      <c r="BW43" s="116"/>
      <c r="BX43" s="116"/>
      <c r="BZ43" s="330"/>
      <c r="CB43" s="330"/>
      <c r="CC43" s="116"/>
      <c r="CG43" s="242"/>
      <c r="CH43" s="116"/>
      <c r="CI43" s="116"/>
      <c r="CJ43" s="116"/>
      <c r="CL43" s="116"/>
      <c r="CN43" s="239"/>
      <c r="CO43" s="153"/>
      <c r="DM43" s="116"/>
      <c r="DN43" s="116"/>
      <c r="DO43" s="116"/>
      <c r="DP43" s="116"/>
      <c r="DW43" s="116"/>
      <c r="DX43" s="219"/>
      <c r="DY43" s="219"/>
      <c r="DZ43" s="116"/>
      <c r="EA43" s="116"/>
      <c r="EB43" s="116"/>
      <c r="EC43" s="116"/>
      <c r="ED43" s="116"/>
      <c r="EF43" s="332"/>
      <c r="EG43" s="116"/>
      <c r="EH43" s="116"/>
      <c r="EI43" s="116"/>
      <c r="EJ43" s="116"/>
      <c r="EK43" s="116"/>
      <c r="EM43" s="116"/>
      <c r="EN43" s="116"/>
      <c r="EO43" s="116"/>
      <c r="EQ43" s="116"/>
      <c r="ER43" s="116"/>
      <c r="ES43" s="116"/>
      <c r="ET43" s="116"/>
      <c r="EU43" s="116"/>
      <c r="EV43" s="116"/>
      <c r="EX43" s="116"/>
      <c r="EY43" s="116"/>
      <c r="EZ43" s="116"/>
      <c r="FA43" s="116"/>
      <c r="FB43" s="116"/>
    </row>
    <row r="44" spans="1:158" ht="13">
      <c r="A44" s="10" t="str">
        <f>IF(B44="","",IF(HistSecRecord!$E$1&gt;=E44,1,0))</f>
        <v/>
      </c>
      <c r="E44" s="153"/>
      <c r="T44" s="153"/>
      <c r="BD44" s="31"/>
      <c r="BE44" s="31"/>
      <c r="BF44" s="31"/>
      <c r="BG44" s="31"/>
      <c r="BH44" s="31"/>
      <c r="BI44" s="116"/>
      <c r="BL44" s="196"/>
      <c r="BM44" s="239"/>
      <c r="BN44" s="330"/>
      <c r="BP44" s="330"/>
      <c r="BS44" s="116"/>
      <c r="BU44" s="331"/>
      <c r="BW44" s="116"/>
      <c r="BX44" s="116"/>
      <c r="BZ44" s="330"/>
      <c r="CB44" s="330"/>
      <c r="CC44" s="116"/>
      <c r="CG44" s="242"/>
      <c r="CH44" s="116"/>
      <c r="CI44" s="116"/>
      <c r="CJ44" s="116"/>
      <c r="CL44" s="116"/>
      <c r="CN44" s="239"/>
      <c r="CO44" s="153"/>
      <c r="DM44" s="116"/>
      <c r="DN44" s="116"/>
      <c r="DO44" s="116"/>
      <c r="DP44" s="116"/>
      <c r="DW44" s="116"/>
      <c r="DX44" s="219"/>
      <c r="DY44" s="219"/>
      <c r="DZ44" s="116"/>
      <c r="EA44" s="116"/>
      <c r="EB44" s="116"/>
      <c r="EC44" s="116"/>
      <c r="ED44" s="116"/>
      <c r="EF44" s="332"/>
      <c r="EG44" s="116"/>
      <c r="EH44" s="116"/>
      <c r="EI44" s="116"/>
      <c r="EJ44" s="116"/>
      <c r="EK44" s="116"/>
      <c r="EM44" s="116"/>
      <c r="EN44" s="116"/>
      <c r="EO44" s="116"/>
      <c r="EQ44" s="116"/>
      <c r="ER44" s="116"/>
      <c r="ES44" s="116"/>
      <c r="ET44" s="116"/>
      <c r="EU44" s="116"/>
      <c r="EV44" s="116"/>
      <c r="EX44" s="116"/>
      <c r="EY44" s="116"/>
      <c r="EZ44" s="116"/>
      <c r="FA44" s="116"/>
      <c r="FB44" s="116"/>
    </row>
    <row r="45" spans="1:158" ht="13">
      <c r="A45" s="10" t="str">
        <f>IF(B45="","",IF(HistSecRecord!$E$1&gt;=E45,1,0))</f>
        <v/>
      </c>
      <c r="E45" s="153"/>
      <c r="T45" s="153"/>
      <c r="BD45" s="31"/>
      <c r="BE45" s="31"/>
      <c r="BF45" s="31"/>
      <c r="BG45" s="31"/>
      <c r="BH45" s="31"/>
      <c r="BI45" s="116"/>
      <c r="BL45" s="196"/>
      <c r="BM45" s="239"/>
      <c r="BN45" s="330"/>
      <c r="BP45" s="330"/>
      <c r="BS45" s="116"/>
      <c r="BU45" s="331"/>
      <c r="BW45" s="116"/>
      <c r="BX45" s="116"/>
      <c r="BZ45" s="330"/>
      <c r="CB45" s="330"/>
      <c r="CC45" s="116"/>
      <c r="CG45" s="242"/>
      <c r="CH45" s="116"/>
      <c r="CI45" s="116"/>
      <c r="CJ45" s="116"/>
      <c r="CL45" s="116"/>
      <c r="CN45" s="239"/>
      <c r="CO45" s="153"/>
      <c r="CT45" s="10">
        <v>0</v>
      </c>
      <c r="DM45" s="116"/>
      <c r="DN45" s="116"/>
      <c r="DO45" s="116"/>
      <c r="DP45" s="116"/>
      <c r="DW45" s="116"/>
      <c r="DX45" s="219"/>
      <c r="DY45" s="219"/>
      <c r="DZ45" s="116"/>
      <c r="EA45" s="116"/>
      <c r="EB45" s="116"/>
      <c r="EC45" s="116"/>
      <c r="ED45" s="116"/>
      <c r="EE45" s="10" t="s">
        <v>174</v>
      </c>
      <c r="EF45" s="332"/>
      <c r="EG45" s="116"/>
      <c r="EH45" s="116"/>
      <c r="EI45" s="116"/>
      <c r="EJ45" s="116"/>
      <c r="EK45" s="116"/>
      <c r="EM45" s="116"/>
      <c r="EN45" s="116"/>
      <c r="EO45" s="116"/>
      <c r="EQ45" s="116"/>
      <c r="ER45" s="116"/>
      <c r="ES45" s="116"/>
      <c r="ET45" s="116"/>
      <c r="EU45" s="116"/>
      <c r="EV45" s="116"/>
      <c r="EX45" s="116"/>
      <c r="EY45" s="116"/>
      <c r="EZ45" s="116"/>
      <c r="FA45" s="116"/>
      <c r="FB45" s="116"/>
    </row>
    <row r="46" spans="1:158" ht="13">
      <c r="A46" s="10" t="str">
        <f>IF(B46="","",IF(HistSecRecord!$E$1&gt;=E46,1,0))</f>
        <v/>
      </c>
      <c r="E46" s="153"/>
      <c r="T46" s="153"/>
      <c r="BD46" s="31"/>
      <c r="BE46" s="31"/>
      <c r="BF46" s="31"/>
      <c r="BG46" s="31"/>
      <c r="BH46" s="31"/>
      <c r="BI46" s="116"/>
      <c r="BL46" s="196"/>
      <c r="BM46" s="239"/>
      <c r="BN46" s="330"/>
      <c r="BP46" s="330"/>
      <c r="BS46" s="116"/>
      <c r="BU46" s="331"/>
      <c r="BW46" s="116"/>
      <c r="BX46" s="116"/>
      <c r="BZ46" s="330"/>
      <c r="CB46" s="330"/>
      <c r="CC46" s="116"/>
      <c r="CG46" s="242"/>
      <c r="CH46" s="116"/>
      <c r="CI46" s="116"/>
      <c r="CJ46" s="116"/>
      <c r="CL46" s="116"/>
      <c r="CN46" s="239"/>
      <c r="CO46" s="153"/>
      <c r="DM46" s="116"/>
      <c r="DN46" s="116"/>
      <c r="DO46" s="116"/>
      <c r="DP46" s="116"/>
      <c r="DW46" s="116"/>
      <c r="DX46" s="219"/>
      <c r="DY46" s="219"/>
      <c r="DZ46" s="116"/>
      <c r="EA46" s="116"/>
      <c r="EB46" s="116"/>
      <c r="EC46" s="116"/>
      <c r="ED46" s="116"/>
      <c r="EF46" s="332"/>
      <c r="EG46" s="116"/>
      <c r="EH46" s="116"/>
      <c r="EI46" s="116"/>
      <c r="EJ46" s="116"/>
      <c r="EK46" s="116"/>
      <c r="EM46" s="116"/>
      <c r="EN46" s="116"/>
      <c r="EO46" s="116"/>
      <c r="EQ46" s="116"/>
      <c r="ER46" s="116"/>
      <c r="ES46" s="116"/>
      <c r="ET46" s="116"/>
      <c r="EU46" s="116"/>
      <c r="EV46" s="116"/>
      <c r="EX46" s="116"/>
      <c r="EY46" s="116"/>
      <c r="EZ46" s="116"/>
      <c r="FA46" s="116"/>
      <c r="FB46" s="116"/>
    </row>
    <row r="47" spans="1:158" ht="13">
      <c r="A47" s="10" t="str">
        <f>IF(B47="","",IF(HistSecRecord!$E$1&gt;=E47,1,0))</f>
        <v/>
      </c>
      <c r="E47" s="153"/>
      <c r="T47" s="153"/>
      <c r="BD47" s="31"/>
      <c r="BE47" s="31"/>
      <c r="BF47" s="31"/>
      <c r="BG47" s="31"/>
      <c r="BH47" s="31"/>
      <c r="BI47" s="116"/>
      <c r="BL47" s="196"/>
      <c r="BM47" s="239"/>
      <c r="BN47" s="330"/>
      <c r="BP47" s="330"/>
      <c r="BS47" s="116"/>
      <c r="BU47" s="331"/>
      <c r="BW47" s="116"/>
      <c r="BX47" s="116"/>
      <c r="BZ47" s="330"/>
      <c r="CB47" s="330"/>
      <c r="CC47" s="116"/>
      <c r="CG47" s="242"/>
      <c r="CH47" s="116"/>
      <c r="CI47" s="116"/>
      <c r="CJ47" s="116"/>
      <c r="CL47" s="116"/>
      <c r="CN47" s="239"/>
      <c r="CO47" s="153"/>
      <c r="DM47" s="116"/>
      <c r="DN47" s="116"/>
      <c r="DO47" s="116"/>
      <c r="DP47" s="116"/>
      <c r="DW47" s="116"/>
      <c r="DX47" s="219"/>
      <c r="DY47" s="219"/>
      <c r="DZ47" s="116"/>
      <c r="EA47" s="116"/>
      <c r="EB47" s="116"/>
      <c r="EC47" s="116"/>
      <c r="ED47" s="116"/>
      <c r="EF47" s="332"/>
      <c r="EG47" s="116"/>
      <c r="EH47" s="116"/>
      <c r="EI47" s="116"/>
      <c r="EJ47" s="116"/>
      <c r="EK47" s="116"/>
      <c r="EM47" s="116"/>
      <c r="EN47" s="116"/>
      <c r="EO47" s="116"/>
      <c r="EQ47" s="116"/>
      <c r="ER47" s="116"/>
      <c r="ES47" s="116"/>
      <c r="ET47" s="116"/>
      <c r="EU47" s="116"/>
      <c r="EV47" s="116"/>
      <c r="EX47" s="116"/>
      <c r="EY47" s="116"/>
      <c r="EZ47" s="116"/>
      <c r="FA47" s="116"/>
      <c r="FB47" s="116"/>
    </row>
    <row r="48" spans="1:158" ht="13">
      <c r="A48" s="10" t="str">
        <f>IF(B48="","",IF(HistSecRecord!$E$1&gt;=E48,1,0))</f>
        <v/>
      </c>
      <c r="E48" s="153"/>
      <c r="T48" s="153"/>
      <c r="BD48" s="31"/>
      <c r="BE48" s="31"/>
      <c r="BF48" s="31"/>
      <c r="BG48" s="31"/>
      <c r="BH48" s="31"/>
      <c r="BI48" s="116"/>
      <c r="BL48" s="196"/>
      <c r="BM48" s="239"/>
      <c r="BN48" s="330"/>
      <c r="BP48" s="330"/>
      <c r="BS48" s="116"/>
      <c r="BU48" s="331"/>
      <c r="BW48" s="116"/>
      <c r="BX48" s="116"/>
      <c r="BZ48" s="330"/>
      <c r="CB48" s="330"/>
      <c r="CC48" s="116"/>
      <c r="CG48" s="242"/>
      <c r="CH48" s="116"/>
      <c r="CI48" s="116"/>
      <c r="CJ48" s="116"/>
      <c r="CL48" s="116"/>
      <c r="CN48" s="239"/>
      <c r="CO48" s="153"/>
      <c r="DM48" s="116"/>
      <c r="DN48" s="116"/>
      <c r="DO48" s="116"/>
      <c r="DP48" s="116"/>
      <c r="DW48" s="116"/>
      <c r="DX48" s="219"/>
      <c r="DY48" s="219"/>
      <c r="DZ48" s="116"/>
      <c r="EA48" s="116"/>
      <c r="EB48" s="116"/>
      <c r="EC48" s="116"/>
      <c r="ED48" s="116"/>
      <c r="EF48" s="332"/>
      <c r="EG48" s="116"/>
      <c r="EH48" s="116"/>
      <c r="EI48" s="116"/>
      <c r="EJ48" s="116"/>
      <c r="EK48" s="116"/>
      <c r="EM48" s="116"/>
      <c r="EN48" s="116"/>
      <c r="EO48" s="116"/>
      <c r="EQ48" s="116"/>
      <c r="ER48" s="116"/>
      <c r="ES48" s="116"/>
      <c r="ET48" s="116"/>
      <c r="EU48" s="116"/>
      <c r="EV48" s="116"/>
      <c r="EX48" s="116"/>
      <c r="EY48" s="116"/>
      <c r="EZ48" s="116"/>
      <c r="FA48" s="116"/>
      <c r="FB48" s="116"/>
    </row>
    <row r="49" spans="1:158" ht="13">
      <c r="A49" s="10" t="str">
        <f>IF(B49="","",IF(HistSecRecord!$E$1&gt;=E49,1,0))</f>
        <v/>
      </c>
      <c r="E49" s="153"/>
      <c r="T49" s="153"/>
      <c r="BD49" s="31"/>
      <c r="BE49" s="31"/>
      <c r="BF49" s="31"/>
      <c r="BG49" s="31"/>
      <c r="BH49" s="31"/>
      <c r="BI49" s="116"/>
      <c r="BL49" s="196"/>
      <c r="BM49" s="239"/>
      <c r="BN49" s="330"/>
      <c r="BP49" s="330"/>
      <c r="BS49" s="116"/>
      <c r="BU49" s="331"/>
      <c r="BW49" s="116"/>
      <c r="BX49" s="116"/>
      <c r="BZ49" s="330"/>
      <c r="CB49" s="330"/>
      <c r="CC49" s="116"/>
      <c r="CG49" s="242"/>
      <c r="CH49" s="116"/>
      <c r="CI49" s="116"/>
      <c r="CJ49" s="116"/>
      <c r="CL49" s="116"/>
      <c r="CN49" s="239"/>
      <c r="CO49" s="153"/>
      <c r="DM49" s="116"/>
      <c r="DN49" s="116"/>
      <c r="DO49" s="116"/>
      <c r="DP49" s="116"/>
      <c r="DW49" s="116"/>
      <c r="DX49" s="219"/>
      <c r="DY49" s="219"/>
      <c r="DZ49" s="116"/>
      <c r="EA49" s="116"/>
      <c r="EB49" s="116"/>
      <c r="EC49" s="116"/>
      <c r="ED49" s="116"/>
      <c r="EF49" s="332"/>
      <c r="EG49" s="116"/>
      <c r="EH49" s="116"/>
      <c r="EI49" s="116"/>
      <c r="EJ49" s="116"/>
      <c r="EK49" s="116"/>
      <c r="EM49" s="116"/>
      <c r="EN49" s="116"/>
      <c r="EO49" s="116"/>
      <c r="EQ49" s="116"/>
      <c r="ER49" s="116"/>
      <c r="ES49" s="116"/>
      <c r="ET49" s="116"/>
      <c r="EU49" s="116"/>
      <c r="EV49" s="116"/>
      <c r="EX49" s="116"/>
      <c r="EY49" s="116"/>
      <c r="EZ49" s="116"/>
      <c r="FA49" s="116"/>
      <c r="FB49" s="116"/>
    </row>
    <row r="50" spans="1:158" ht="13">
      <c r="A50" s="10" t="str">
        <f>IF(B50="","",IF(HistSecRecord!$E$1&gt;=E50,1,0))</f>
        <v/>
      </c>
      <c r="E50" s="153"/>
      <c r="T50" s="153"/>
      <c r="BD50" s="31"/>
      <c r="BE50" s="31"/>
      <c r="BF50" s="31"/>
      <c r="BG50" s="31"/>
      <c r="BH50" s="31"/>
      <c r="BI50" s="116"/>
      <c r="BL50" s="196"/>
      <c r="BM50" s="239"/>
      <c r="BN50" s="330"/>
      <c r="BP50" s="330"/>
      <c r="BS50" s="116"/>
      <c r="BU50" s="331"/>
      <c r="BW50" s="116"/>
      <c r="BX50" s="116"/>
      <c r="BZ50" s="330"/>
      <c r="CB50" s="330"/>
      <c r="CC50" s="116"/>
      <c r="CG50" s="242"/>
      <c r="CH50" s="116"/>
      <c r="CI50" s="116"/>
      <c r="CJ50" s="116"/>
      <c r="CL50" s="116"/>
      <c r="CN50" s="239"/>
      <c r="CO50" s="153"/>
      <c r="DM50" s="116"/>
      <c r="DN50" s="116"/>
      <c r="DO50" s="116"/>
      <c r="DP50" s="116"/>
      <c r="DW50" s="116"/>
      <c r="DX50" s="219"/>
      <c r="DY50" s="219"/>
      <c r="DZ50" s="116"/>
      <c r="EA50" s="116"/>
      <c r="EB50" s="116"/>
      <c r="EC50" s="116"/>
      <c r="ED50" s="116"/>
      <c r="EF50" s="332"/>
      <c r="EG50" s="116"/>
      <c r="EH50" s="116"/>
      <c r="EI50" s="116"/>
      <c r="EJ50" s="116"/>
      <c r="EK50" s="116"/>
      <c r="EM50" s="116"/>
      <c r="EN50" s="116"/>
      <c r="EO50" s="116"/>
      <c r="EQ50" s="116"/>
      <c r="ER50" s="116"/>
      <c r="ES50" s="116"/>
      <c r="ET50" s="116"/>
      <c r="EU50" s="116"/>
      <c r="EV50" s="116"/>
      <c r="EX50" s="116"/>
      <c r="EY50" s="116"/>
      <c r="EZ50" s="116"/>
      <c r="FA50" s="116"/>
      <c r="FB50" s="116"/>
    </row>
    <row r="51" spans="1:158" ht="13">
      <c r="A51" s="10" t="str">
        <f>IF(B51="","",IF(HistSecRecord!$E$1&gt;=E51,1,0))</f>
        <v/>
      </c>
      <c r="E51" s="153"/>
      <c r="T51" s="153"/>
      <c r="BD51" s="31"/>
      <c r="BE51" s="31"/>
      <c r="BF51" s="31"/>
      <c r="BG51" s="31"/>
      <c r="BH51" s="31"/>
      <c r="BI51" s="116"/>
      <c r="BL51" s="196"/>
      <c r="BM51" s="239"/>
      <c r="BN51" s="330"/>
      <c r="BP51" s="330"/>
      <c r="BS51" s="116"/>
      <c r="BU51" s="331"/>
      <c r="BW51" s="116"/>
      <c r="BX51" s="116"/>
      <c r="BZ51" s="330"/>
      <c r="CB51" s="330"/>
      <c r="CC51" s="116"/>
      <c r="CG51" s="242"/>
      <c r="CH51" s="116"/>
      <c r="CI51" s="116"/>
      <c r="CJ51" s="116"/>
      <c r="CL51" s="116"/>
      <c r="CN51" s="239"/>
      <c r="CO51" s="153"/>
      <c r="DM51" s="116"/>
      <c r="DN51" s="116"/>
      <c r="DO51" s="116"/>
      <c r="DP51" s="116"/>
      <c r="DW51" s="116"/>
      <c r="DX51" s="219"/>
      <c r="DY51" s="219"/>
      <c r="DZ51" s="116"/>
      <c r="EA51" s="116"/>
      <c r="EB51" s="116"/>
      <c r="EC51" s="116"/>
      <c r="ED51" s="116"/>
      <c r="EF51" s="332"/>
      <c r="EG51" s="116"/>
      <c r="EH51" s="116"/>
      <c r="EI51" s="116"/>
      <c r="EJ51" s="116"/>
      <c r="EK51" s="116"/>
      <c r="EM51" s="116"/>
      <c r="EN51" s="116"/>
      <c r="EO51" s="116"/>
      <c r="EQ51" s="116"/>
      <c r="ER51" s="116"/>
      <c r="ES51" s="116"/>
      <c r="ET51" s="116"/>
      <c r="EU51" s="116"/>
      <c r="EV51" s="116"/>
      <c r="EX51" s="116"/>
      <c r="EY51" s="116"/>
      <c r="EZ51" s="116"/>
      <c r="FA51" s="116"/>
      <c r="FB51" s="116"/>
    </row>
    <row r="52" spans="1:158" ht="13">
      <c r="A52" s="10" t="str">
        <f>IF(B52="","",IF(HistSecRecord!$E$1&gt;=E52,1,0))</f>
        <v/>
      </c>
      <c r="E52" s="153"/>
      <c r="T52" s="153"/>
      <c r="BD52" s="31"/>
      <c r="BE52" s="31"/>
      <c r="BF52" s="31"/>
      <c r="BG52" s="31"/>
      <c r="BH52" s="31"/>
      <c r="BI52" s="116"/>
      <c r="BL52" s="196"/>
      <c r="BM52" s="239"/>
      <c r="BN52" s="330"/>
      <c r="BP52" s="330"/>
      <c r="BS52" s="116"/>
      <c r="BU52" s="331"/>
      <c r="BW52" s="116"/>
      <c r="BX52" s="116"/>
      <c r="BZ52" s="330"/>
      <c r="CB52" s="330"/>
      <c r="CC52" s="116"/>
      <c r="CG52" s="242"/>
      <c r="CH52" s="116"/>
      <c r="CI52" s="116"/>
      <c r="CJ52" s="116"/>
      <c r="CL52" s="116"/>
      <c r="CN52" s="239"/>
      <c r="CO52" s="153"/>
      <c r="DM52" s="116"/>
      <c r="DN52" s="116"/>
      <c r="DO52" s="116"/>
      <c r="DP52" s="116"/>
      <c r="DW52" s="116"/>
      <c r="DX52" s="219"/>
      <c r="DY52" s="219"/>
      <c r="DZ52" s="116"/>
      <c r="EA52" s="116"/>
      <c r="EB52" s="116"/>
      <c r="EC52" s="116"/>
      <c r="ED52" s="116"/>
      <c r="EF52" s="332"/>
      <c r="EG52" s="116"/>
      <c r="EH52" s="116"/>
      <c r="EI52" s="116"/>
      <c r="EJ52" s="116"/>
      <c r="EK52" s="116"/>
      <c r="EM52" s="116"/>
      <c r="EN52" s="116"/>
      <c r="EO52" s="116"/>
      <c r="EQ52" s="116"/>
      <c r="ER52" s="116"/>
      <c r="ES52" s="116"/>
      <c r="ET52" s="116"/>
      <c r="EU52" s="116"/>
      <c r="EV52" s="116"/>
      <c r="EX52" s="116"/>
      <c r="EY52" s="116"/>
      <c r="EZ52" s="116"/>
      <c r="FA52" s="116"/>
      <c r="FB52" s="116"/>
    </row>
    <row r="53" spans="1:158" ht="13">
      <c r="A53" s="10" t="str">
        <f>IF(B53="","",IF(HistSecRecord!$E$1&gt;=E53,1,0))</f>
        <v/>
      </c>
      <c r="E53" s="153"/>
      <c r="T53" s="153"/>
      <c r="BD53" s="31"/>
      <c r="BE53" s="31"/>
      <c r="BF53" s="31"/>
      <c r="BG53" s="31"/>
      <c r="BH53" s="31"/>
      <c r="BI53" s="116"/>
      <c r="BL53" s="196"/>
      <c r="BM53" s="239"/>
      <c r="BN53" s="330"/>
      <c r="BP53" s="330"/>
      <c r="BS53" s="116"/>
      <c r="BU53" s="331"/>
      <c r="BW53" s="116"/>
      <c r="BX53" s="116"/>
      <c r="BZ53" s="330"/>
      <c r="CB53" s="330"/>
      <c r="CC53" s="116"/>
      <c r="CG53" s="242"/>
      <c r="CH53" s="116"/>
      <c r="CI53" s="116"/>
      <c r="CJ53" s="116"/>
      <c r="CL53" s="116"/>
      <c r="CN53" s="239"/>
      <c r="CO53" s="153"/>
      <c r="DM53" s="116"/>
      <c r="DN53" s="116"/>
      <c r="DO53" s="116"/>
      <c r="DP53" s="116"/>
      <c r="DW53" s="116"/>
      <c r="DX53" s="219"/>
      <c r="DY53" s="219"/>
      <c r="DZ53" s="116"/>
      <c r="EA53" s="116"/>
      <c r="EB53" s="116"/>
      <c r="EC53" s="116"/>
      <c r="ED53" s="116"/>
      <c r="EF53" s="332"/>
      <c r="EG53" s="116"/>
      <c r="EH53" s="116"/>
      <c r="EI53" s="116"/>
      <c r="EJ53" s="116"/>
      <c r="EK53" s="116"/>
      <c r="EM53" s="116"/>
      <c r="EN53" s="116"/>
      <c r="EO53" s="116"/>
      <c r="EQ53" s="116"/>
      <c r="ER53" s="116"/>
      <c r="ES53" s="116"/>
      <c r="ET53" s="116"/>
      <c r="EU53" s="116"/>
      <c r="EV53" s="116"/>
      <c r="EX53" s="116"/>
      <c r="EY53" s="116"/>
      <c r="EZ53" s="116"/>
      <c r="FA53" s="116"/>
      <c r="FB53" s="116"/>
    </row>
    <row r="54" spans="1:158" ht="13">
      <c r="A54" s="10" t="str">
        <f>IF(B54="","",IF(HistSecRecord!$E$1&gt;=E54,1,0))</f>
        <v/>
      </c>
      <c r="E54" s="153"/>
      <c r="T54" s="153"/>
      <c r="BD54" s="31"/>
      <c r="BE54" s="31"/>
      <c r="BF54" s="31"/>
      <c r="BG54" s="31"/>
      <c r="BH54" s="31"/>
      <c r="BI54" s="116"/>
      <c r="BL54" s="196"/>
      <c r="BM54" s="239"/>
      <c r="BN54" s="330"/>
      <c r="BP54" s="330"/>
      <c r="BS54" s="116"/>
      <c r="BU54" s="331"/>
      <c r="BW54" s="116"/>
      <c r="BX54" s="116"/>
      <c r="BZ54" s="330"/>
      <c r="CB54" s="330"/>
      <c r="CC54" s="116"/>
      <c r="CG54" s="242"/>
      <c r="CH54" s="116"/>
      <c r="CI54" s="116"/>
      <c r="CJ54" s="116"/>
      <c r="CL54" s="116"/>
      <c r="CN54" s="239"/>
      <c r="CO54" s="153"/>
      <c r="DM54" s="116"/>
      <c r="DN54" s="116"/>
      <c r="DO54" s="116"/>
      <c r="DP54" s="116"/>
      <c r="DW54" s="116"/>
      <c r="DX54" s="219"/>
      <c r="DY54" s="219"/>
      <c r="DZ54" s="116"/>
      <c r="EA54" s="116"/>
      <c r="EB54" s="116"/>
      <c r="EC54" s="116"/>
      <c r="ED54" s="116"/>
      <c r="EF54" s="332"/>
      <c r="EG54" s="116"/>
      <c r="EH54" s="116"/>
      <c r="EI54" s="116"/>
      <c r="EJ54" s="116"/>
      <c r="EK54" s="116"/>
      <c r="EM54" s="116"/>
      <c r="EN54" s="116"/>
      <c r="EO54" s="116"/>
      <c r="EQ54" s="116"/>
      <c r="ER54" s="116"/>
      <c r="ES54" s="116"/>
      <c r="ET54" s="116"/>
      <c r="EU54" s="116"/>
      <c r="EV54" s="116"/>
      <c r="EX54" s="116"/>
      <c r="EY54" s="116"/>
      <c r="EZ54" s="116"/>
      <c r="FA54" s="116"/>
      <c r="FB54" s="116"/>
    </row>
    <row r="55" spans="1:158" ht="13">
      <c r="A55" s="10" t="str">
        <f>IF(B55="","",IF(HistSecRecord!$E$1&gt;=E55,1,0))</f>
        <v/>
      </c>
      <c r="E55" s="153"/>
      <c r="T55" s="153"/>
      <c r="BD55" s="31"/>
      <c r="BE55" s="31"/>
      <c r="BF55" s="31"/>
      <c r="BG55" s="31"/>
      <c r="BH55" s="31"/>
      <c r="BI55" s="116"/>
      <c r="BL55" s="196"/>
      <c r="BM55" s="239"/>
      <c r="BN55" s="330"/>
      <c r="BP55" s="330"/>
      <c r="BS55" s="116"/>
      <c r="BU55" s="331"/>
      <c r="BW55" s="116"/>
      <c r="BX55" s="116"/>
      <c r="BZ55" s="330"/>
      <c r="CB55" s="330"/>
      <c r="CC55" s="116"/>
      <c r="CG55" s="242"/>
      <c r="CH55" s="116"/>
      <c r="CI55" s="116"/>
      <c r="CJ55" s="116"/>
      <c r="CL55" s="116"/>
      <c r="CN55" s="239"/>
      <c r="CO55" s="153"/>
      <c r="DM55" s="116"/>
      <c r="DN55" s="116"/>
      <c r="DO55" s="116"/>
      <c r="DP55" s="116"/>
      <c r="DW55" s="116"/>
      <c r="DX55" s="219"/>
      <c r="DY55" s="219"/>
      <c r="DZ55" s="116"/>
      <c r="EA55" s="116"/>
      <c r="EB55" s="116"/>
      <c r="EC55" s="116"/>
      <c r="ED55" s="116"/>
      <c r="EF55" s="332"/>
      <c r="EG55" s="116"/>
      <c r="EH55" s="116"/>
      <c r="EI55" s="116"/>
      <c r="EJ55" s="116"/>
      <c r="EK55" s="116"/>
      <c r="EM55" s="116"/>
      <c r="EN55" s="116"/>
      <c r="EO55" s="116"/>
      <c r="EQ55" s="116"/>
      <c r="ER55" s="116"/>
      <c r="ES55" s="116"/>
      <c r="ET55" s="116"/>
      <c r="EU55" s="116"/>
      <c r="EV55" s="116"/>
      <c r="EX55" s="116"/>
      <c r="EY55" s="116"/>
      <c r="EZ55" s="116"/>
      <c r="FA55" s="116"/>
      <c r="FB55" s="116"/>
    </row>
    <row r="56" spans="1:158" ht="13">
      <c r="A56" s="10" t="str">
        <f>IF(B56="","",IF(HistSecRecord!$E$1&gt;=E56,1,0))</f>
        <v/>
      </c>
      <c r="E56" s="153"/>
      <c r="T56" s="153"/>
      <c r="BD56" s="31"/>
      <c r="BE56" s="31"/>
      <c r="BF56" s="31"/>
      <c r="BG56" s="31"/>
      <c r="BH56" s="31"/>
      <c r="BI56" s="116"/>
      <c r="BL56" s="196"/>
      <c r="BM56" s="239"/>
      <c r="BN56" s="330"/>
      <c r="BP56" s="330"/>
      <c r="BS56" s="116"/>
      <c r="BU56" s="331"/>
      <c r="BW56" s="116"/>
      <c r="BX56" s="116"/>
      <c r="BZ56" s="330"/>
      <c r="CB56" s="330"/>
      <c r="CC56" s="116"/>
      <c r="CG56" s="242"/>
      <c r="CH56" s="116"/>
      <c r="CI56" s="116"/>
      <c r="CJ56" s="116"/>
      <c r="CL56" s="116"/>
      <c r="CN56" s="239"/>
      <c r="CO56" s="153"/>
      <c r="DM56" s="116"/>
      <c r="DN56" s="116"/>
      <c r="DO56" s="116"/>
      <c r="DP56" s="116"/>
      <c r="DW56" s="116"/>
      <c r="DX56" s="219"/>
      <c r="DY56" s="219"/>
      <c r="DZ56" s="116"/>
      <c r="EA56" s="116"/>
      <c r="EB56" s="116"/>
      <c r="EC56" s="116"/>
      <c r="ED56" s="116"/>
      <c r="EF56" s="332"/>
      <c r="EG56" s="116"/>
      <c r="EH56" s="116"/>
      <c r="EI56" s="116"/>
      <c r="EJ56" s="116"/>
      <c r="EK56" s="116"/>
      <c r="EM56" s="116"/>
      <c r="EN56" s="116"/>
      <c r="EO56" s="116"/>
      <c r="EQ56" s="116"/>
      <c r="ER56" s="116"/>
      <c r="ES56" s="116"/>
      <c r="ET56" s="116"/>
      <c r="EU56" s="116"/>
      <c r="EV56" s="116"/>
      <c r="EX56" s="116"/>
      <c r="EY56" s="116"/>
      <c r="EZ56" s="116"/>
      <c r="FA56" s="116"/>
      <c r="FB56" s="116"/>
    </row>
    <row r="57" spans="1:158" ht="13">
      <c r="A57" s="10" t="str">
        <f>IF(B57="","",IF(HistSecRecord!$E$1&gt;=E57,1,0))</f>
        <v/>
      </c>
      <c r="E57" s="153"/>
      <c r="T57" s="153"/>
      <c r="BD57" s="31"/>
      <c r="BE57" s="31"/>
      <c r="BF57" s="31"/>
      <c r="BG57" s="31"/>
      <c r="BH57" s="31"/>
      <c r="BI57" s="116"/>
      <c r="BL57" s="196"/>
      <c r="BM57" s="239"/>
      <c r="BN57" s="330"/>
      <c r="BP57" s="330"/>
      <c r="BS57" s="116"/>
      <c r="BU57" s="331"/>
      <c r="BW57" s="116"/>
      <c r="BX57" s="116"/>
      <c r="BZ57" s="330"/>
      <c r="CB57" s="330"/>
      <c r="CC57" s="116"/>
      <c r="CG57" s="242"/>
      <c r="CH57" s="116"/>
      <c r="CI57" s="116"/>
      <c r="CJ57" s="116"/>
      <c r="CL57" s="116"/>
      <c r="CN57" s="239"/>
      <c r="CO57" s="153"/>
      <c r="DM57" s="116"/>
      <c r="DN57" s="116"/>
      <c r="DO57" s="116"/>
      <c r="DP57" s="116"/>
      <c r="DW57" s="116"/>
      <c r="DX57" s="219"/>
      <c r="DY57" s="219"/>
      <c r="DZ57" s="116"/>
      <c r="EA57" s="116"/>
      <c r="EB57" s="116"/>
      <c r="EC57" s="116"/>
      <c r="ED57" s="116"/>
      <c r="EF57" s="332"/>
      <c r="EG57" s="116"/>
      <c r="EH57" s="116"/>
      <c r="EI57" s="116"/>
      <c r="EJ57" s="116"/>
      <c r="EK57" s="116"/>
      <c r="EM57" s="116"/>
      <c r="EN57" s="116"/>
      <c r="EO57" s="116"/>
      <c r="EQ57" s="116"/>
      <c r="ER57" s="116"/>
      <c r="ES57" s="116"/>
      <c r="ET57" s="116"/>
      <c r="EU57" s="116"/>
      <c r="EV57" s="116"/>
      <c r="EX57" s="116"/>
      <c r="EY57" s="116"/>
      <c r="EZ57" s="116"/>
      <c r="FA57" s="116"/>
      <c r="FB57" s="116"/>
    </row>
    <row r="58" spans="1:158" ht="13">
      <c r="A58" s="10" t="str">
        <f>IF(B58="","",IF(HistSecRecord!$E$1&gt;=E58,1,0))</f>
        <v/>
      </c>
      <c r="E58" s="153"/>
      <c r="T58" s="153"/>
      <c r="BD58" s="31"/>
      <c r="BE58" s="31"/>
      <c r="BF58" s="31"/>
      <c r="BG58" s="31"/>
      <c r="BH58" s="31"/>
      <c r="BI58" s="116"/>
      <c r="BL58" s="196"/>
      <c r="BM58" s="239"/>
      <c r="BN58" s="330"/>
      <c r="BP58" s="330"/>
      <c r="BS58" s="116"/>
      <c r="BU58" s="331"/>
      <c r="BW58" s="116"/>
      <c r="BX58" s="116"/>
      <c r="BZ58" s="330"/>
      <c r="CB58" s="330"/>
      <c r="CC58" s="116"/>
      <c r="CG58" s="242"/>
      <c r="CH58" s="116"/>
      <c r="CI58" s="116"/>
      <c r="CJ58" s="116"/>
      <c r="CL58" s="116"/>
      <c r="CN58" s="239"/>
      <c r="CO58" s="153"/>
      <c r="DM58" s="116"/>
      <c r="DN58" s="116"/>
      <c r="DO58" s="116"/>
      <c r="DP58" s="116"/>
      <c r="DW58" s="116"/>
      <c r="DX58" s="219"/>
      <c r="DY58" s="219"/>
      <c r="DZ58" s="116"/>
      <c r="EA58" s="116"/>
      <c r="EB58" s="116"/>
      <c r="EC58" s="116"/>
      <c r="ED58" s="116"/>
      <c r="EF58" s="332"/>
      <c r="EG58" s="116"/>
      <c r="EH58" s="116"/>
      <c r="EI58" s="116"/>
      <c r="EJ58" s="116"/>
      <c r="EK58" s="116"/>
      <c r="EM58" s="116"/>
      <c r="EN58" s="116"/>
      <c r="EO58" s="116"/>
      <c r="EQ58" s="116"/>
      <c r="ER58" s="116"/>
      <c r="ES58" s="116"/>
      <c r="ET58" s="116"/>
      <c r="EU58" s="116"/>
      <c r="EV58" s="116"/>
      <c r="EX58" s="116"/>
      <c r="EY58" s="116"/>
      <c r="EZ58" s="116"/>
      <c r="FA58" s="116"/>
      <c r="FB58" s="116"/>
    </row>
    <row r="59" spans="1:158" ht="13">
      <c r="A59" s="10" t="str">
        <f>IF(B59="","",IF(HistSecRecord!$E$1&gt;=E59,1,0))</f>
        <v/>
      </c>
      <c r="E59" s="153"/>
      <c r="T59" s="153"/>
      <c r="BD59" s="31"/>
      <c r="BE59" s="31"/>
      <c r="BF59" s="31"/>
      <c r="BG59" s="31"/>
      <c r="BH59" s="31"/>
      <c r="BI59" s="116"/>
      <c r="BL59" s="196"/>
      <c r="BM59" s="239"/>
      <c r="BN59" s="330"/>
      <c r="BP59" s="330"/>
      <c r="BS59" s="116"/>
      <c r="BU59" s="331"/>
      <c r="BW59" s="116"/>
      <c r="BX59" s="116"/>
      <c r="BZ59" s="330"/>
      <c r="CB59" s="330"/>
      <c r="CC59" s="116"/>
      <c r="CG59" s="242"/>
      <c r="CH59" s="116"/>
      <c r="CI59" s="116"/>
      <c r="CJ59" s="116"/>
      <c r="CL59" s="116"/>
      <c r="CN59" s="239"/>
      <c r="CO59" s="153"/>
      <c r="DM59" s="116"/>
      <c r="DN59" s="116"/>
      <c r="DO59" s="116"/>
      <c r="DP59" s="116"/>
      <c r="DW59" s="116"/>
      <c r="DX59" s="219"/>
      <c r="DY59" s="219"/>
      <c r="DZ59" s="116"/>
      <c r="EA59" s="116"/>
      <c r="EB59" s="116"/>
      <c r="EC59" s="116"/>
      <c r="ED59" s="116"/>
      <c r="EF59" s="332"/>
      <c r="EG59" s="116"/>
      <c r="EH59" s="116"/>
      <c r="EI59" s="116"/>
      <c r="EJ59" s="116"/>
      <c r="EK59" s="116"/>
      <c r="EM59" s="116"/>
      <c r="EN59" s="116"/>
      <c r="EO59" s="116"/>
      <c r="EQ59" s="116"/>
      <c r="ER59" s="116"/>
      <c r="ES59" s="116"/>
      <c r="ET59" s="116"/>
      <c r="EU59" s="116"/>
      <c r="EV59" s="116"/>
      <c r="EX59" s="116"/>
      <c r="EY59" s="116"/>
      <c r="EZ59" s="116"/>
      <c r="FA59" s="116"/>
      <c r="FB59" s="116"/>
    </row>
    <row r="60" spans="1:158" ht="13">
      <c r="A60" s="10" t="str">
        <f>IF(B60="","",IF(HistSecRecord!$E$1&gt;=E60,1,0))</f>
        <v/>
      </c>
      <c r="E60" s="153"/>
      <c r="T60" s="153"/>
      <c r="BD60" s="31"/>
      <c r="BE60" s="31"/>
      <c r="BF60" s="31"/>
      <c r="BG60" s="31"/>
      <c r="BH60" s="31"/>
      <c r="BI60" s="116"/>
      <c r="BL60" s="196"/>
      <c r="BM60" s="239"/>
      <c r="BN60" s="330"/>
      <c r="BP60" s="330"/>
      <c r="BS60" s="116"/>
      <c r="BU60" s="331"/>
      <c r="BW60" s="116"/>
      <c r="BX60" s="116"/>
      <c r="BZ60" s="330"/>
      <c r="CB60" s="330"/>
      <c r="CC60" s="116"/>
      <c r="CG60" s="242"/>
      <c r="CH60" s="116"/>
      <c r="CI60" s="116"/>
      <c r="CJ60" s="116"/>
      <c r="CL60" s="116"/>
      <c r="CN60" s="239"/>
      <c r="CO60" s="153"/>
      <c r="DM60" s="116"/>
      <c r="DN60" s="116"/>
      <c r="DO60" s="116"/>
      <c r="DP60" s="116"/>
      <c r="DW60" s="116"/>
      <c r="DX60" s="219"/>
      <c r="DY60" s="219"/>
      <c r="DZ60" s="116"/>
      <c r="EA60" s="116"/>
      <c r="EB60" s="116"/>
      <c r="EC60" s="116"/>
      <c r="ED60" s="116"/>
      <c r="EF60" s="332"/>
      <c r="EG60" s="116"/>
      <c r="EH60" s="116"/>
      <c r="EI60" s="116"/>
      <c r="EJ60" s="116"/>
      <c r="EK60" s="116"/>
      <c r="EM60" s="116"/>
      <c r="EN60" s="116"/>
      <c r="EO60" s="116"/>
      <c r="EQ60" s="116"/>
      <c r="ER60" s="116"/>
      <c r="ES60" s="116"/>
      <c r="ET60" s="116"/>
      <c r="EU60" s="116"/>
      <c r="EV60" s="116"/>
      <c r="EX60" s="116"/>
      <c r="EY60" s="116"/>
      <c r="EZ60" s="116"/>
      <c r="FA60" s="116"/>
      <c r="FB60" s="116"/>
    </row>
    <row r="61" spans="1:158" ht="13">
      <c r="A61" s="10" t="str">
        <f>IF(B61="","",IF(HistSecRecord!$E$1&gt;=E61,1,0))</f>
        <v/>
      </c>
      <c r="E61" s="153"/>
      <c r="T61" s="153"/>
      <c r="BD61" s="31"/>
      <c r="BE61" s="31"/>
      <c r="BF61" s="31"/>
      <c r="BG61" s="31"/>
      <c r="BH61" s="31"/>
      <c r="BI61" s="116"/>
      <c r="BL61" s="196"/>
      <c r="BM61" s="239"/>
      <c r="BN61" s="330"/>
      <c r="BP61" s="330"/>
      <c r="BS61" s="116"/>
      <c r="BU61" s="331"/>
      <c r="BW61" s="116"/>
      <c r="BX61" s="116"/>
      <c r="BZ61" s="330"/>
      <c r="CB61" s="330"/>
      <c r="CC61" s="116"/>
      <c r="CG61" s="242"/>
      <c r="CH61" s="116"/>
      <c r="CI61" s="116"/>
      <c r="CJ61" s="116"/>
      <c r="CL61" s="116"/>
      <c r="CN61" s="239"/>
      <c r="CO61" s="153"/>
      <c r="DM61" s="116"/>
      <c r="DN61" s="116"/>
      <c r="DO61" s="116"/>
      <c r="DP61" s="116"/>
      <c r="DW61" s="116"/>
      <c r="DX61" s="219"/>
      <c r="DY61" s="219"/>
      <c r="DZ61" s="116"/>
      <c r="EA61" s="116"/>
      <c r="EB61" s="116"/>
      <c r="EC61" s="116"/>
      <c r="ED61" s="116"/>
      <c r="EF61" s="332"/>
      <c r="EG61" s="116"/>
      <c r="EH61" s="116"/>
      <c r="EI61" s="116"/>
      <c r="EJ61" s="116"/>
      <c r="EK61" s="116"/>
      <c r="EM61" s="116"/>
      <c r="EN61" s="116"/>
      <c r="EO61" s="116"/>
      <c r="EQ61" s="116"/>
      <c r="ER61" s="116"/>
      <c r="ES61" s="116"/>
      <c r="ET61" s="116"/>
      <c r="EU61" s="116"/>
      <c r="EV61" s="116"/>
      <c r="EX61" s="116"/>
      <c r="EY61" s="116"/>
      <c r="EZ61" s="116"/>
      <c r="FA61" s="116"/>
      <c r="FB61" s="116"/>
    </row>
    <row r="62" spans="1:158" ht="13">
      <c r="A62" s="10" t="str">
        <f>IF(B62="","",IF(HistSecRecord!$E$1&gt;=E62,1,0))</f>
        <v/>
      </c>
      <c r="E62" s="153"/>
      <c r="T62" s="153"/>
      <c r="BD62" s="31"/>
      <c r="BE62" s="31"/>
      <c r="BF62" s="31"/>
      <c r="BG62" s="31"/>
      <c r="BH62" s="31"/>
      <c r="BI62" s="116"/>
      <c r="BL62" s="196"/>
      <c r="BM62" s="239"/>
      <c r="BN62" s="330"/>
      <c r="BP62" s="330"/>
      <c r="BS62" s="116"/>
      <c r="BU62" s="331"/>
      <c r="BW62" s="116"/>
      <c r="BX62" s="116"/>
      <c r="BZ62" s="330"/>
      <c r="CB62" s="330"/>
      <c r="CC62" s="116"/>
      <c r="CG62" s="242"/>
      <c r="CH62" s="116"/>
      <c r="CI62" s="116"/>
      <c r="CJ62" s="116"/>
      <c r="CL62" s="116"/>
      <c r="CN62" s="239"/>
      <c r="CO62" s="153"/>
      <c r="DM62" s="116"/>
      <c r="DN62" s="116"/>
      <c r="DO62" s="116"/>
      <c r="DP62" s="116"/>
      <c r="DW62" s="116"/>
      <c r="DX62" s="219"/>
      <c r="DY62" s="219"/>
      <c r="DZ62" s="116"/>
      <c r="EA62" s="116"/>
      <c r="EB62" s="116"/>
      <c r="EC62" s="116"/>
      <c r="ED62" s="116"/>
      <c r="EF62" s="332"/>
      <c r="EG62" s="116"/>
      <c r="EH62" s="116"/>
      <c r="EI62" s="116"/>
      <c r="EJ62" s="116"/>
      <c r="EK62" s="116"/>
      <c r="EM62" s="116"/>
      <c r="EN62" s="116"/>
      <c r="EO62" s="116"/>
      <c r="EQ62" s="116"/>
      <c r="ER62" s="116"/>
      <c r="ES62" s="116"/>
      <c r="ET62" s="116"/>
      <c r="EU62" s="116"/>
      <c r="EV62" s="116"/>
      <c r="EX62" s="116"/>
      <c r="EY62" s="116"/>
      <c r="EZ62" s="116"/>
      <c r="FA62" s="116"/>
      <c r="FB62" s="116"/>
    </row>
    <row r="63" spans="1:158" ht="13">
      <c r="A63" s="10" t="str">
        <f>IF(B63="","",IF(HistSecRecord!$E$1&gt;=E63,1,0))</f>
        <v/>
      </c>
      <c r="E63" s="153"/>
      <c r="T63" s="153"/>
      <c r="BD63" s="31"/>
      <c r="BE63" s="31"/>
      <c r="BF63" s="31"/>
      <c r="BG63" s="31"/>
      <c r="BH63" s="31"/>
      <c r="BI63" s="116"/>
      <c r="BL63" s="196"/>
      <c r="BM63" s="239"/>
      <c r="BN63" s="330"/>
      <c r="BP63" s="330"/>
      <c r="BS63" s="116"/>
      <c r="BU63" s="331"/>
      <c r="BW63" s="116"/>
      <c r="BX63" s="116"/>
      <c r="BZ63" s="330"/>
      <c r="CB63" s="330"/>
      <c r="CC63" s="116"/>
      <c r="CG63" s="242"/>
      <c r="CH63" s="116"/>
      <c r="CI63" s="116"/>
      <c r="CJ63" s="116"/>
      <c r="CL63" s="116"/>
      <c r="CN63" s="239"/>
      <c r="CO63" s="153"/>
      <c r="DM63" s="116"/>
      <c r="DN63" s="116"/>
      <c r="DO63" s="116"/>
      <c r="DP63" s="116"/>
      <c r="DW63" s="116"/>
      <c r="DX63" s="219"/>
      <c r="DY63" s="219"/>
      <c r="DZ63" s="116"/>
      <c r="EA63" s="116"/>
      <c r="EB63" s="116"/>
      <c r="EC63" s="116"/>
      <c r="ED63" s="116"/>
      <c r="EF63" s="332"/>
      <c r="EG63" s="116"/>
      <c r="EH63" s="116"/>
      <c r="EI63" s="116"/>
      <c r="EJ63" s="116"/>
      <c r="EK63" s="116"/>
      <c r="EM63" s="116"/>
      <c r="EN63" s="116"/>
      <c r="EO63" s="116"/>
      <c r="EQ63" s="116"/>
      <c r="ER63" s="116"/>
      <c r="ES63" s="116"/>
      <c r="ET63" s="116"/>
      <c r="EU63" s="116"/>
      <c r="EV63" s="116"/>
      <c r="EX63" s="116"/>
      <c r="EY63" s="116"/>
      <c r="EZ63" s="116"/>
      <c r="FA63" s="116"/>
      <c r="FB63" s="116"/>
    </row>
    <row r="64" spans="1:158" ht="13">
      <c r="A64" s="10" t="str">
        <f>IF(B64="","",IF(HistSecRecord!$E$1&gt;=E64,1,0))</f>
        <v/>
      </c>
      <c r="E64" s="153"/>
      <c r="T64" s="153"/>
      <c r="BD64" s="31"/>
      <c r="BE64" s="31"/>
      <c r="BF64" s="31"/>
      <c r="BG64" s="31"/>
      <c r="BH64" s="31"/>
      <c r="BI64" s="116"/>
      <c r="BL64" s="196"/>
      <c r="BM64" s="239"/>
      <c r="BN64" s="330"/>
      <c r="BP64" s="330"/>
      <c r="BS64" s="116"/>
      <c r="BU64" s="331"/>
      <c r="BW64" s="116"/>
      <c r="BX64" s="116"/>
      <c r="BZ64" s="330"/>
      <c r="CB64" s="330"/>
      <c r="CC64" s="116"/>
      <c r="CG64" s="242"/>
      <c r="CH64" s="116"/>
      <c r="CI64" s="116"/>
      <c r="CJ64" s="116"/>
      <c r="CL64" s="116"/>
      <c r="CN64" s="239"/>
      <c r="CO64" s="153"/>
      <c r="DM64" s="116"/>
      <c r="DN64" s="116"/>
      <c r="DO64" s="116"/>
      <c r="DP64" s="116"/>
      <c r="DW64" s="116"/>
      <c r="DX64" s="219"/>
      <c r="DY64" s="219"/>
      <c r="DZ64" s="116"/>
      <c r="EA64" s="116"/>
      <c r="EB64" s="116"/>
      <c r="EC64" s="116"/>
      <c r="ED64" s="116"/>
      <c r="EF64" s="332"/>
      <c r="EG64" s="116"/>
      <c r="EH64" s="116"/>
      <c r="EI64" s="116"/>
      <c r="EJ64" s="116"/>
      <c r="EK64" s="116"/>
      <c r="EM64" s="116"/>
      <c r="EN64" s="116"/>
      <c r="EO64" s="116"/>
      <c r="EQ64" s="116"/>
      <c r="ER64" s="116"/>
      <c r="ES64" s="116"/>
      <c r="ET64" s="116"/>
      <c r="EU64" s="116"/>
      <c r="EV64" s="116"/>
      <c r="EX64" s="116"/>
      <c r="EY64" s="116"/>
      <c r="EZ64" s="116"/>
      <c r="FA64" s="116"/>
      <c r="FB64" s="116"/>
    </row>
    <row r="65" spans="1:158" ht="13">
      <c r="A65" s="10" t="str">
        <f>IF(B65="","",IF(HistSecRecord!$E$1&gt;=E65,1,0))</f>
        <v/>
      </c>
      <c r="E65" s="153"/>
      <c r="T65" s="153"/>
      <c r="BD65" s="31"/>
      <c r="BE65" s="31"/>
      <c r="BF65" s="31"/>
      <c r="BG65" s="31"/>
      <c r="BH65" s="31"/>
      <c r="BI65" s="116"/>
      <c r="BL65" s="196"/>
      <c r="BM65" s="239"/>
      <c r="BN65" s="330"/>
      <c r="BP65" s="330"/>
      <c r="BS65" s="116"/>
      <c r="BU65" s="331"/>
      <c r="BW65" s="116"/>
      <c r="BX65" s="116"/>
      <c r="BZ65" s="330"/>
      <c r="CB65" s="330"/>
      <c r="CC65" s="116"/>
      <c r="CG65" s="242"/>
      <c r="CH65" s="116"/>
      <c r="CI65" s="116"/>
      <c r="CJ65" s="116"/>
      <c r="CL65" s="116"/>
      <c r="CN65" s="239"/>
      <c r="CO65" s="153"/>
      <c r="DM65" s="116"/>
      <c r="DN65" s="116"/>
      <c r="DO65" s="116"/>
      <c r="DP65" s="116"/>
      <c r="DW65" s="116"/>
      <c r="DX65" s="219"/>
      <c r="DY65" s="219"/>
      <c r="DZ65" s="116"/>
      <c r="EA65" s="116"/>
      <c r="EB65" s="116"/>
      <c r="EC65" s="116"/>
      <c r="ED65" s="116"/>
      <c r="EF65" s="332"/>
      <c r="EG65" s="116"/>
      <c r="EH65" s="116"/>
      <c r="EI65" s="116"/>
      <c r="EJ65" s="116"/>
      <c r="EK65" s="116"/>
      <c r="EM65" s="116"/>
      <c r="EN65" s="116"/>
      <c r="EO65" s="116"/>
      <c r="EQ65" s="116"/>
      <c r="ER65" s="116"/>
      <c r="ES65" s="116"/>
      <c r="ET65" s="116"/>
      <c r="EU65" s="116"/>
      <c r="EV65" s="116"/>
      <c r="EX65" s="116"/>
      <c r="EY65" s="116"/>
      <c r="EZ65" s="116"/>
      <c r="FA65" s="116"/>
      <c r="FB65" s="116"/>
    </row>
    <row r="66" spans="1:158" ht="13">
      <c r="A66" s="10" t="str">
        <f>IF(B66="","",IF(HistSecRecord!$E$1&gt;=E66,1,0))</f>
        <v/>
      </c>
      <c r="E66" s="153"/>
      <c r="T66" s="153"/>
      <c r="BD66" s="31"/>
      <c r="BE66" s="31"/>
      <c r="BF66" s="31"/>
      <c r="BG66" s="31"/>
      <c r="BH66" s="31"/>
      <c r="BI66" s="116"/>
      <c r="BL66" s="196"/>
      <c r="BM66" s="239"/>
      <c r="BN66" s="330"/>
      <c r="BP66" s="330"/>
      <c r="BS66" s="116"/>
      <c r="BU66" s="331"/>
      <c r="BW66" s="116"/>
      <c r="BX66" s="116"/>
      <c r="BZ66" s="330"/>
      <c r="CB66" s="330"/>
      <c r="CC66" s="116"/>
      <c r="CG66" s="242"/>
      <c r="CH66" s="116"/>
      <c r="CI66" s="116"/>
      <c r="CJ66" s="116"/>
      <c r="CL66" s="116"/>
      <c r="CN66" s="239"/>
      <c r="CO66" s="153"/>
      <c r="DM66" s="116"/>
      <c r="DN66" s="116"/>
      <c r="DO66" s="116"/>
      <c r="DP66" s="116"/>
      <c r="DW66" s="116"/>
      <c r="DX66" s="219"/>
      <c r="DY66" s="219"/>
      <c r="DZ66" s="116"/>
      <c r="EA66" s="116"/>
      <c r="EB66" s="116"/>
      <c r="EC66" s="116"/>
      <c r="ED66" s="116"/>
      <c r="EF66" s="332"/>
      <c r="EG66" s="116"/>
      <c r="EH66" s="116"/>
      <c r="EI66" s="116"/>
      <c r="EJ66" s="116"/>
      <c r="EK66" s="116"/>
      <c r="EM66" s="116"/>
      <c r="EN66" s="116"/>
      <c r="EO66" s="116"/>
      <c r="EQ66" s="116"/>
      <c r="ER66" s="116"/>
      <c r="ES66" s="116"/>
      <c r="ET66" s="116"/>
      <c r="EU66" s="116"/>
      <c r="EV66" s="116"/>
      <c r="EX66" s="116"/>
      <c r="EY66" s="116"/>
      <c r="EZ66" s="116"/>
      <c r="FA66" s="116"/>
      <c r="FB66" s="116"/>
    </row>
    <row r="67" spans="1:158" ht="13">
      <c r="A67" s="10" t="str">
        <f>IF(B67="","",IF(HistSecRecord!$E$1&gt;=E67,1,0))</f>
        <v/>
      </c>
      <c r="E67" s="153"/>
      <c r="T67" s="153"/>
      <c r="BD67" s="31"/>
      <c r="BE67" s="31"/>
      <c r="BF67" s="31"/>
      <c r="BG67" s="31"/>
      <c r="BH67" s="31"/>
      <c r="BI67" s="116"/>
      <c r="BL67" s="196"/>
      <c r="BM67" s="239"/>
      <c r="BN67" s="330"/>
      <c r="BP67" s="330"/>
      <c r="BS67" s="116"/>
      <c r="BU67" s="331"/>
      <c r="BW67" s="116"/>
      <c r="BX67" s="116"/>
      <c r="BZ67" s="330"/>
      <c r="CB67" s="330"/>
      <c r="CC67" s="116"/>
      <c r="CG67" s="242"/>
      <c r="CH67" s="116"/>
      <c r="CI67" s="116"/>
      <c r="CJ67" s="116"/>
      <c r="CL67" s="116"/>
      <c r="CN67" s="239"/>
      <c r="CO67" s="153"/>
      <c r="DM67" s="116"/>
      <c r="DN67" s="116"/>
      <c r="DO67" s="116"/>
      <c r="DP67" s="116"/>
      <c r="DW67" s="116"/>
      <c r="DX67" s="219"/>
      <c r="DY67" s="219"/>
      <c r="DZ67" s="116"/>
      <c r="EA67" s="116"/>
      <c r="EB67" s="116"/>
      <c r="EC67" s="116"/>
      <c r="ED67" s="116"/>
      <c r="EF67" s="332"/>
      <c r="EG67" s="116"/>
      <c r="EH67" s="116"/>
      <c r="EI67" s="116"/>
      <c r="EJ67" s="116"/>
      <c r="EK67" s="116"/>
      <c r="EM67" s="116"/>
      <c r="EN67" s="116"/>
      <c r="EO67" s="116"/>
      <c r="EQ67" s="116"/>
      <c r="ER67" s="116"/>
      <c r="ES67" s="116"/>
      <c r="ET67" s="116"/>
      <c r="EU67" s="116"/>
      <c r="EV67" s="116"/>
      <c r="EX67" s="116"/>
      <c r="EY67" s="116"/>
      <c r="EZ67" s="116"/>
      <c r="FA67" s="116"/>
      <c r="FB67" s="116"/>
    </row>
    <row r="68" spans="1:158" ht="13">
      <c r="A68" s="10" t="str">
        <f>IF(B68="","",IF(HistSecRecord!$E$1&gt;=E68,1,0))</f>
        <v/>
      </c>
      <c r="E68" s="153"/>
      <c r="T68" s="153"/>
      <c r="BD68" s="31"/>
      <c r="BE68" s="31"/>
      <c r="BF68" s="31"/>
      <c r="BG68" s="31"/>
      <c r="BH68" s="31"/>
      <c r="BI68" s="116"/>
      <c r="BL68" s="196"/>
      <c r="BM68" s="239"/>
      <c r="BN68" s="330"/>
      <c r="BP68" s="330"/>
      <c r="BS68" s="116"/>
      <c r="BU68" s="331"/>
      <c r="BW68" s="116"/>
      <c r="BX68" s="116"/>
      <c r="BZ68" s="330"/>
      <c r="CB68" s="330"/>
      <c r="CC68" s="116"/>
      <c r="CG68" s="242"/>
      <c r="CH68" s="116"/>
      <c r="CI68" s="116"/>
      <c r="CJ68" s="116"/>
      <c r="CL68" s="116"/>
      <c r="CN68" s="239"/>
      <c r="CO68" s="153"/>
      <c r="DM68" s="116"/>
      <c r="DN68" s="116"/>
      <c r="DO68" s="116"/>
      <c r="DP68" s="116"/>
      <c r="DW68" s="116"/>
      <c r="DX68" s="219"/>
      <c r="DY68" s="219"/>
      <c r="DZ68" s="116"/>
      <c r="EA68" s="116"/>
      <c r="EB68" s="116"/>
      <c r="EC68" s="116"/>
      <c r="ED68" s="116"/>
      <c r="EF68" s="332"/>
      <c r="EG68" s="116"/>
      <c r="EH68" s="116"/>
      <c r="EI68" s="116"/>
      <c r="EJ68" s="116"/>
      <c r="EK68" s="116"/>
      <c r="EM68" s="116"/>
      <c r="EN68" s="116"/>
      <c r="EO68" s="116"/>
      <c r="EQ68" s="116"/>
      <c r="ER68" s="116"/>
      <c r="ES68" s="116"/>
      <c r="ET68" s="116"/>
      <c r="EU68" s="116"/>
      <c r="EV68" s="116"/>
      <c r="EX68" s="116"/>
      <c r="EY68" s="116"/>
      <c r="EZ68" s="116"/>
      <c r="FA68" s="116"/>
      <c r="FB68" s="116"/>
    </row>
    <row r="69" spans="1:158" ht="13">
      <c r="A69" s="10" t="str">
        <f>IF(B69="","",IF(HistSecRecord!$E$1&gt;=E69,1,0))</f>
        <v/>
      </c>
      <c r="E69" s="153"/>
      <c r="T69" s="153"/>
      <c r="BD69" s="31"/>
      <c r="BE69" s="31"/>
      <c r="BF69" s="31"/>
      <c r="BG69" s="31"/>
      <c r="BH69" s="31"/>
      <c r="BI69" s="116"/>
      <c r="BL69" s="196"/>
      <c r="BM69" s="239"/>
      <c r="BN69" s="330"/>
      <c r="BP69" s="330"/>
      <c r="BS69" s="116"/>
      <c r="BU69" s="331"/>
      <c r="BW69" s="116"/>
      <c r="BX69" s="116"/>
      <c r="BZ69" s="330"/>
      <c r="CB69" s="330"/>
      <c r="CC69" s="116"/>
      <c r="CG69" s="242"/>
      <c r="CH69" s="116"/>
      <c r="CI69" s="116"/>
      <c r="CJ69" s="116"/>
      <c r="CL69" s="116"/>
      <c r="CN69" s="239"/>
      <c r="CO69" s="153"/>
      <c r="DM69" s="116"/>
      <c r="DN69" s="116"/>
      <c r="DO69" s="116"/>
      <c r="DP69" s="116"/>
      <c r="DW69" s="116"/>
      <c r="DX69" s="219"/>
      <c r="DY69" s="219"/>
      <c r="DZ69" s="116"/>
      <c r="EA69" s="116"/>
      <c r="EB69" s="116"/>
      <c r="EC69" s="116"/>
      <c r="ED69" s="116"/>
      <c r="EF69" s="332"/>
      <c r="EG69" s="116"/>
      <c r="EH69" s="116"/>
      <c r="EI69" s="116"/>
      <c r="EJ69" s="116"/>
      <c r="EK69" s="116"/>
      <c r="EM69" s="116"/>
      <c r="EN69" s="116"/>
      <c r="EO69" s="116"/>
      <c r="EQ69" s="116"/>
      <c r="ER69" s="116"/>
      <c r="ES69" s="116"/>
      <c r="ET69" s="116"/>
      <c r="EU69" s="116"/>
      <c r="EV69" s="116"/>
      <c r="EX69" s="116"/>
      <c r="EY69" s="116"/>
      <c r="EZ69" s="116"/>
      <c r="FA69" s="116"/>
      <c r="FB69" s="116"/>
    </row>
    <row r="70" spans="1:158" ht="13">
      <c r="A70" s="10" t="str">
        <f>IF(B70="","",IF(HistSecRecord!$E$1&gt;=E70,1,0))</f>
        <v/>
      </c>
      <c r="E70" s="153"/>
      <c r="T70" s="153"/>
      <c r="BD70" s="31"/>
      <c r="BE70" s="31"/>
      <c r="BF70" s="31"/>
      <c r="BG70" s="31"/>
      <c r="BH70" s="31"/>
      <c r="BI70" s="116"/>
      <c r="BL70" s="196"/>
      <c r="BM70" s="239"/>
      <c r="BN70" s="330"/>
      <c r="BP70" s="330"/>
      <c r="BS70" s="116"/>
      <c r="BU70" s="331"/>
      <c r="BW70" s="116"/>
      <c r="BX70" s="116"/>
      <c r="BZ70" s="330"/>
      <c r="CB70" s="330"/>
      <c r="CC70" s="116"/>
      <c r="CG70" s="242"/>
      <c r="CH70" s="116"/>
      <c r="CI70" s="116"/>
      <c r="CJ70" s="116"/>
      <c r="CL70" s="116"/>
      <c r="CN70" s="239"/>
      <c r="CO70" s="153"/>
      <c r="DM70" s="116"/>
      <c r="DN70" s="116"/>
      <c r="DO70" s="116"/>
      <c r="DP70" s="116"/>
      <c r="DW70" s="116"/>
      <c r="DX70" s="219"/>
      <c r="DY70" s="219"/>
      <c r="DZ70" s="116"/>
      <c r="EA70" s="116"/>
      <c r="EB70" s="116"/>
      <c r="EC70" s="116"/>
      <c r="ED70" s="116"/>
      <c r="EF70" s="332"/>
      <c r="EG70" s="116"/>
      <c r="EH70" s="116"/>
      <c r="EI70" s="116"/>
      <c r="EJ70" s="116"/>
      <c r="EK70" s="116"/>
      <c r="EM70" s="116"/>
      <c r="EN70" s="116"/>
      <c r="EO70" s="116"/>
      <c r="EQ70" s="116"/>
      <c r="ER70" s="116"/>
      <c r="ES70" s="116"/>
      <c r="ET70" s="116"/>
      <c r="EU70" s="116"/>
      <c r="EV70" s="116"/>
      <c r="EX70" s="116"/>
      <c r="EY70" s="116"/>
      <c r="EZ70" s="116"/>
      <c r="FA70" s="116"/>
      <c r="FB70" s="116"/>
    </row>
    <row r="71" spans="1:158" ht="13">
      <c r="A71" s="10" t="str">
        <f>IF(B71="","",IF(HistSecRecord!$E$1&gt;=E71,1,0))</f>
        <v/>
      </c>
      <c r="E71" s="153"/>
      <c r="T71" s="153"/>
      <c r="BD71" s="31"/>
      <c r="BE71" s="31"/>
      <c r="BF71" s="31"/>
      <c r="BG71" s="31"/>
      <c r="BH71" s="31"/>
      <c r="BI71" s="116"/>
      <c r="BL71" s="196"/>
      <c r="BM71" s="239"/>
      <c r="BN71" s="330"/>
      <c r="BP71" s="330"/>
      <c r="BS71" s="116"/>
      <c r="BU71" s="331"/>
      <c r="BW71" s="116"/>
      <c r="BX71" s="116"/>
      <c r="BZ71" s="330"/>
      <c r="CB71" s="330"/>
      <c r="CC71" s="116"/>
      <c r="CG71" s="242"/>
      <c r="CH71" s="116"/>
      <c r="CI71" s="116"/>
      <c r="CJ71" s="116"/>
      <c r="CL71" s="116"/>
      <c r="CN71" s="239"/>
      <c r="CO71" s="153"/>
      <c r="DM71" s="116"/>
      <c r="DN71" s="116"/>
      <c r="DO71" s="116"/>
      <c r="DP71" s="116"/>
      <c r="DW71" s="116"/>
      <c r="DX71" s="219"/>
      <c r="DY71" s="219"/>
      <c r="DZ71" s="116"/>
      <c r="EA71" s="116"/>
      <c r="EB71" s="116"/>
      <c r="EC71" s="116"/>
      <c r="ED71" s="116"/>
      <c r="EF71" s="332"/>
      <c r="EG71" s="116"/>
      <c r="EH71" s="116"/>
      <c r="EI71" s="116"/>
      <c r="EJ71" s="116"/>
      <c r="EK71" s="116"/>
      <c r="EM71" s="116"/>
      <c r="EN71" s="116"/>
      <c r="EO71" s="116"/>
      <c r="EQ71" s="116"/>
      <c r="ER71" s="116"/>
      <c r="ES71" s="116"/>
      <c r="ET71" s="116"/>
      <c r="EU71" s="116"/>
      <c r="EV71" s="116"/>
      <c r="EX71" s="116"/>
      <c r="EY71" s="116"/>
      <c r="EZ71" s="116"/>
      <c r="FA71" s="116"/>
      <c r="FB71" s="116"/>
    </row>
    <row r="72" spans="1:158" ht="13">
      <c r="A72" s="10" t="str">
        <f>IF(B72="","",IF(HistSecRecord!$E$1&gt;=E72,1,0))</f>
        <v/>
      </c>
      <c r="E72" s="153"/>
      <c r="T72" s="153"/>
      <c r="BD72" s="31"/>
      <c r="BE72" s="31"/>
      <c r="BF72" s="31"/>
      <c r="BG72" s="31"/>
      <c r="BH72" s="31"/>
      <c r="BI72" s="116"/>
      <c r="BL72" s="196"/>
      <c r="BM72" s="239"/>
      <c r="BN72" s="330"/>
      <c r="BP72" s="330"/>
      <c r="BS72" s="116"/>
      <c r="BU72" s="331"/>
      <c r="BW72" s="116"/>
      <c r="BX72" s="116"/>
      <c r="BZ72" s="330"/>
      <c r="CB72" s="330"/>
      <c r="CC72" s="116"/>
      <c r="CG72" s="242"/>
      <c r="CH72" s="116"/>
      <c r="CI72" s="116"/>
      <c r="CJ72" s="116"/>
      <c r="CL72" s="116"/>
      <c r="CN72" s="239"/>
      <c r="CO72" s="153"/>
      <c r="DM72" s="116"/>
      <c r="DN72" s="116"/>
      <c r="DO72" s="116"/>
      <c r="DP72" s="116"/>
      <c r="DW72" s="116"/>
      <c r="DX72" s="219"/>
      <c r="DY72" s="219"/>
      <c r="DZ72" s="116"/>
      <c r="EA72" s="116"/>
      <c r="EB72" s="116"/>
      <c r="EC72" s="116"/>
      <c r="ED72" s="116"/>
      <c r="EF72" s="332"/>
      <c r="EG72" s="116"/>
      <c r="EH72" s="116"/>
      <c r="EI72" s="116"/>
      <c r="EJ72" s="116"/>
      <c r="EK72" s="116"/>
      <c r="EM72" s="116"/>
      <c r="EN72" s="116"/>
      <c r="EO72" s="116"/>
      <c r="EQ72" s="116"/>
      <c r="ER72" s="116"/>
      <c r="ES72" s="116"/>
      <c r="ET72" s="116"/>
      <c r="EU72" s="116"/>
      <c r="EV72" s="116"/>
      <c r="EX72" s="116"/>
      <c r="EY72" s="116"/>
      <c r="EZ72" s="116"/>
      <c r="FA72" s="116"/>
      <c r="FB72" s="116"/>
    </row>
    <row r="73" spans="1:158" ht="13">
      <c r="A73" s="10" t="str">
        <f>IF(B73="","",IF(HistSecRecord!$E$1&gt;=E73,1,0))</f>
        <v/>
      </c>
      <c r="E73" s="153"/>
      <c r="T73" s="153"/>
      <c r="BD73" s="31"/>
      <c r="BE73" s="31"/>
      <c r="BF73" s="31"/>
      <c r="BG73" s="31"/>
      <c r="BH73" s="31"/>
      <c r="BI73" s="116"/>
      <c r="BL73" s="196"/>
      <c r="BM73" s="239"/>
      <c r="BN73" s="330"/>
      <c r="BP73" s="330"/>
      <c r="BS73" s="116"/>
      <c r="BU73" s="331"/>
      <c r="BW73" s="116"/>
      <c r="BX73" s="116"/>
      <c r="BZ73" s="330"/>
      <c r="CB73" s="330"/>
      <c r="CC73" s="116"/>
      <c r="CG73" s="242"/>
      <c r="CH73" s="116"/>
      <c r="CI73" s="116"/>
      <c r="CJ73" s="116"/>
      <c r="CL73" s="116"/>
      <c r="CN73" s="239"/>
      <c r="CO73" s="153"/>
      <c r="DM73" s="116"/>
      <c r="DN73" s="116"/>
      <c r="DO73" s="116"/>
      <c r="DP73" s="116"/>
      <c r="DW73" s="116"/>
      <c r="DX73" s="219"/>
      <c r="DY73" s="219"/>
      <c r="DZ73" s="116"/>
      <c r="EA73" s="116"/>
      <c r="EB73" s="116"/>
      <c r="EC73" s="116"/>
      <c r="ED73" s="116"/>
      <c r="EF73" s="332"/>
      <c r="EG73" s="116"/>
      <c r="EH73" s="116"/>
      <c r="EI73" s="116"/>
      <c r="EJ73" s="116"/>
      <c r="EK73" s="116"/>
      <c r="EM73" s="116"/>
      <c r="EN73" s="116"/>
      <c r="EO73" s="116"/>
      <c r="EQ73" s="116"/>
      <c r="ER73" s="116"/>
      <c r="ES73" s="116"/>
      <c r="ET73" s="116"/>
      <c r="EU73" s="116"/>
      <c r="EV73" s="116"/>
      <c r="EX73" s="116"/>
      <c r="EY73" s="116"/>
      <c r="EZ73" s="116"/>
      <c r="FA73" s="116"/>
      <c r="FB73" s="116"/>
    </row>
    <row r="74" spans="1:158" ht="13">
      <c r="A74" s="10" t="str">
        <f>IF(B74="","",IF(HistSecRecord!$E$1&gt;=E74,1,0))</f>
        <v/>
      </c>
      <c r="E74" s="153"/>
      <c r="T74" s="153"/>
      <c r="BD74" s="31"/>
      <c r="BE74" s="31"/>
      <c r="BF74" s="31"/>
      <c r="BG74" s="31"/>
      <c r="BH74" s="31"/>
      <c r="BI74" s="116"/>
      <c r="BL74" s="196"/>
      <c r="BM74" s="239"/>
      <c r="BN74" s="330"/>
      <c r="BP74" s="330"/>
      <c r="BS74" s="116"/>
      <c r="BU74" s="331"/>
      <c r="BW74" s="116"/>
      <c r="BX74" s="116"/>
      <c r="BZ74" s="330"/>
      <c r="CB74" s="330"/>
      <c r="CC74" s="116"/>
      <c r="CG74" s="242"/>
      <c r="CH74" s="116"/>
      <c r="CI74" s="116"/>
      <c r="CJ74" s="116"/>
      <c r="CL74" s="116"/>
      <c r="CN74" s="239"/>
      <c r="CO74" s="153"/>
      <c r="DM74" s="116"/>
      <c r="DN74" s="116"/>
      <c r="DO74" s="116"/>
      <c r="DP74" s="116"/>
      <c r="DW74" s="116"/>
      <c r="DX74" s="219"/>
      <c r="DY74" s="219"/>
      <c r="DZ74" s="116"/>
      <c r="EA74" s="116"/>
      <c r="EB74" s="116"/>
      <c r="EC74" s="116"/>
      <c r="ED74" s="116"/>
      <c r="EF74" s="332"/>
      <c r="EG74" s="116"/>
      <c r="EH74" s="116"/>
      <c r="EI74" s="116"/>
      <c r="EJ74" s="116"/>
      <c r="EK74" s="116"/>
      <c r="EM74" s="116"/>
      <c r="EN74" s="116"/>
      <c r="EO74" s="116"/>
      <c r="EQ74" s="116"/>
      <c r="ER74" s="116"/>
      <c r="ES74" s="116"/>
      <c r="ET74" s="116"/>
      <c r="EU74" s="116"/>
      <c r="EV74" s="116"/>
      <c r="EX74" s="116"/>
      <c r="EY74" s="116"/>
      <c r="EZ74" s="116"/>
      <c r="FA74" s="116"/>
      <c r="FB74" s="116"/>
    </row>
    <row r="75" spans="1:158" ht="13">
      <c r="A75" s="10" t="str">
        <f>IF(B75="","",IF(HistSecRecord!$E$1&gt;=E75,1,0))</f>
        <v/>
      </c>
      <c r="E75" s="153"/>
      <c r="T75" s="153"/>
      <c r="BD75" s="31"/>
      <c r="BE75" s="31"/>
      <c r="BF75" s="31"/>
      <c r="BG75" s="31"/>
      <c r="BH75" s="31"/>
      <c r="BI75" s="116"/>
      <c r="BL75" s="196"/>
      <c r="BM75" s="239"/>
      <c r="BN75" s="330"/>
      <c r="BP75" s="330"/>
      <c r="BS75" s="116"/>
      <c r="BU75" s="331"/>
      <c r="BW75" s="116"/>
      <c r="BX75" s="116"/>
      <c r="BZ75" s="330"/>
      <c r="CB75" s="330"/>
      <c r="CC75" s="116"/>
      <c r="CG75" s="242"/>
      <c r="CH75" s="116"/>
      <c r="CI75" s="116"/>
      <c r="CJ75" s="116"/>
      <c r="CL75" s="116"/>
      <c r="CN75" s="239"/>
      <c r="CO75" s="153"/>
      <c r="DM75" s="116"/>
      <c r="DN75" s="116"/>
      <c r="DO75" s="116"/>
      <c r="DP75" s="116"/>
      <c r="DW75" s="116"/>
      <c r="DX75" s="219"/>
      <c r="DY75" s="219"/>
      <c r="DZ75" s="116"/>
      <c r="EA75" s="116"/>
      <c r="EB75" s="116"/>
      <c r="EC75" s="116"/>
      <c r="ED75" s="116"/>
      <c r="EF75" s="332"/>
      <c r="EG75" s="116"/>
      <c r="EH75" s="116"/>
      <c r="EI75" s="116"/>
      <c r="EJ75" s="116"/>
      <c r="EK75" s="116"/>
      <c r="EM75" s="116"/>
      <c r="EN75" s="116"/>
      <c r="EO75" s="116"/>
      <c r="EQ75" s="116"/>
      <c r="ER75" s="116"/>
      <c r="ES75" s="116"/>
      <c r="ET75" s="116"/>
      <c r="EU75" s="116"/>
      <c r="EV75" s="116"/>
      <c r="EX75" s="116"/>
      <c r="EY75" s="116"/>
      <c r="EZ75" s="116"/>
      <c r="FA75" s="116"/>
      <c r="FB75" s="116"/>
    </row>
    <row r="76" spans="1:158" ht="13">
      <c r="A76" s="10" t="str">
        <f>IF(B76="","",IF(HistSecRecord!$E$1&gt;=E76,1,0))</f>
        <v/>
      </c>
      <c r="E76" s="153"/>
      <c r="T76" s="153"/>
      <c r="BD76" s="31"/>
      <c r="BE76" s="31"/>
      <c r="BF76" s="31"/>
      <c r="BG76" s="31"/>
      <c r="BH76" s="31"/>
      <c r="BI76" s="116"/>
      <c r="BL76" s="196"/>
      <c r="BM76" s="239"/>
      <c r="BN76" s="330"/>
      <c r="BP76" s="330"/>
      <c r="BS76" s="116"/>
      <c r="BU76" s="331"/>
      <c r="BW76" s="116"/>
      <c r="BX76" s="116"/>
      <c r="BZ76" s="330"/>
      <c r="CB76" s="330"/>
      <c r="CC76" s="116"/>
      <c r="CG76" s="242"/>
      <c r="CH76" s="116"/>
      <c r="CI76" s="116"/>
      <c r="CJ76" s="116"/>
      <c r="CL76" s="116"/>
      <c r="CN76" s="239"/>
      <c r="CO76" s="153"/>
      <c r="DM76" s="116"/>
      <c r="DN76" s="116"/>
      <c r="DO76" s="116"/>
      <c r="DP76" s="116"/>
      <c r="DW76" s="116"/>
      <c r="DX76" s="219"/>
      <c r="DY76" s="219"/>
      <c r="DZ76" s="116"/>
      <c r="EA76" s="116"/>
      <c r="EB76" s="116"/>
      <c r="EC76" s="116"/>
      <c r="ED76" s="116"/>
      <c r="EF76" s="332"/>
      <c r="EG76" s="116"/>
      <c r="EH76" s="116"/>
      <c r="EI76" s="116"/>
      <c r="EJ76" s="116"/>
      <c r="EK76" s="116"/>
      <c r="EM76" s="116"/>
      <c r="EN76" s="116"/>
      <c r="EO76" s="116"/>
      <c r="EQ76" s="116"/>
      <c r="ER76" s="116"/>
      <c r="ES76" s="116"/>
      <c r="ET76" s="116"/>
      <c r="EU76" s="116"/>
      <c r="EV76" s="116"/>
      <c r="EX76" s="116"/>
      <c r="EY76" s="116"/>
      <c r="EZ76" s="116"/>
      <c r="FA76" s="116"/>
      <c r="FB76" s="116"/>
    </row>
    <row r="77" spans="1:158" ht="13">
      <c r="A77" s="10" t="str">
        <f>IF(B77="","",IF(HistSecRecord!$E$1&gt;=E77,1,0))</f>
        <v/>
      </c>
      <c r="E77" s="153"/>
      <c r="T77" s="153"/>
      <c r="BD77" s="31"/>
      <c r="BE77" s="31"/>
      <c r="BF77" s="31"/>
      <c r="BG77" s="31"/>
      <c r="BH77" s="31"/>
      <c r="BI77" s="116"/>
      <c r="BL77" s="196"/>
      <c r="BM77" s="239"/>
      <c r="BN77" s="330"/>
      <c r="BP77" s="330"/>
      <c r="BS77" s="116"/>
      <c r="BU77" s="331"/>
      <c r="BW77" s="116"/>
      <c r="BX77" s="116"/>
      <c r="BZ77" s="330"/>
      <c r="CB77" s="330"/>
      <c r="CC77" s="116"/>
      <c r="CG77" s="242"/>
      <c r="CH77" s="116"/>
      <c r="CI77" s="116"/>
      <c r="CJ77" s="116"/>
      <c r="CL77" s="116"/>
      <c r="CN77" s="239"/>
      <c r="CO77" s="153"/>
      <c r="DM77" s="116"/>
      <c r="DN77" s="116"/>
      <c r="DO77" s="116"/>
      <c r="DP77" s="116"/>
      <c r="DW77" s="116"/>
      <c r="DX77" s="219"/>
      <c r="DY77" s="219"/>
      <c r="DZ77" s="116"/>
      <c r="EA77" s="116"/>
      <c r="EB77" s="116"/>
      <c r="EC77" s="116"/>
      <c r="ED77" s="116"/>
      <c r="EF77" s="332"/>
      <c r="EG77" s="116"/>
      <c r="EH77" s="116"/>
      <c r="EI77" s="116"/>
      <c r="EJ77" s="116"/>
      <c r="EK77" s="116"/>
      <c r="EM77" s="116"/>
      <c r="EN77" s="116"/>
      <c r="EO77" s="116"/>
      <c r="EQ77" s="116"/>
      <c r="ER77" s="116"/>
      <c r="ES77" s="116"/>
      <c r="ET77" s="116"/>
      <c r="EU77" s="116"/>
      <c r="EV77" s="116"/>
      <c r="EX77" s="116"/>
      <c r="EY77" s="116"/>
      <c r="EZ77" s="116"/>
      <c r="FA77" s="116"/>
      <c r="FB77" s="116"/>
    </row>
    <row r="78" spans="1:158" ht="13">
      <c r="A78" s="10" t="str">
        <f>IF(B78="","",IF(HistSecRecord!$E$1&gt;=E78,1,0))</f>
        <v/>
      </c>
      <c r="E78" s="153"/>
      <c r="T78" s="153"/>
      <c r="BD78" s="31"/>
      <c r="BE78" s="31"/>
      <c r="BF78" s="31"/>
      <c r="BG78" s="31"/>
      <c r="BH78" s="31"/>
      <c r="BI78" s="116"/>
      <c r="BL78" s="196"/>
      <c r="BM78" s="239"/>
      <c r="BN78" s="330"/>
      <c r="BP78" s="330"/>
      <c r="BS78" s="116"/>
      <c r="BU78" s="331"/>
      <c r="BW78" s="116"/>
      <c r="BX78" s="116"/>
      <c r="BZ78" s="330"/>
      <c r="CB78" s="330"/>
      <c r="CC78" s="116"/>
      <c r="CG78" s="242"/>
      <c r="CH78" s="116"/>
      <c r="CI78" s="116"/>
      <c r="CJ78" s="116"/>
      <c r="CL78" s="116"/>
      <c r="CN78" s="239"/>
      <c r="CO78" s="153"/>
      <c r="DM78" s="116"/>
      <c r="DN78" s="116"/>
      <c r="DO78" s="116"/>
      <c r="DP78" s="116"/>
      <c r="DW78" s="116"/>
      <c r="DX78" s="219"/>
      <c r="DY78" s="219"/>
      <c r="DZ78" s="116"/>
      <c r="EA78" s="116"/>
      <c r="EB78" s="116"/>
      <c r="EC78" s="116"/>
      <c r="ED78" s="116"/>
      <c r="EF78" s="332"/>
      <c r="EG78" s="116"/>
      <c r="EH78" s="116"/>
      <c r="EI78" s="116"/>
      <c r="EJ78" s="116"/>
      <c r="EK78" s="116"/>
      <c r="EM78" s="116"/>
      <c r="EN78" s="116"/>
      <c r="EO78" s="116"/>
      <c r="EQ78" s="116"/>
      <c r="ER78" s="116"/>
      <c r="ES78" s="116"/>
      <c r="ET78" s="116"/>
      <c r="EU78" s="116"/>
      <c r="EV78" s="116"/>
      <c r="EX78" s="116"/>
      <c r="EY78" s="116"/>
      <c r="EZ78" s="116"/>
      <c r="FA78" s="116"/>
      <c r="FB78" s="116"/>
    </row>
    <row r="79" spans="1:158" ht="13">
      <c r="A79" s="10" t="str">
        <f>IF(B79="","",IF(HistSecRecord!$E$1&gt;=E79,1,0))</f>
        <v/>
      </c>
      <c r="E79" s="153"/>
      <c r="T79" s="153"/>
      <c r="BD79" s="31"/>
      <c r="BE79" s="31"/>
      <c r="BF79" s="31"/>
      <c r="BG79" s="31"/>
      <c r="BH79" s="31"/>
      <c r="BI79" s="116"/>
      <c r="BL79" s="196"/>
      <c r="BM79" s="239"/>
      <c r="BN79" s="330"/>
      <c r="BP79" s="330"/>
      <c r="BS79" s="116"/>
      <c r="BU79" s="331"/>
      <c r="BW79" s="116"/>
      <c r="BX79" s="116"/>
      <c r="BZ79" s="330"/>
      <c r="CB79" s="330"/>
      <c r="CC79" s="116"/>
      <c r="CG79" s="242"/>
      <c r="CH79" s="116"/>
      <c r="CI79" s="116"/>
      <c r="CJ79" s="116"/>
      <c r="CL79" s="116"/>
      <c r="CN79" s="239"/>
      <c r="CO79" s="153"/>
      <c r="DM79" s="116"/>
      <c r="DN79" s="116"/>
      <c r="DO79" s="116"/>
      <c r="DP79" s="116"/>
      <c r="DW79" s="116"/>
      <c r="DX79" s="219"/>
      <c r="DY79" s="219"/>
      <c r="DZ79" s="116"/>
      <c r="EA79" s="116"/>
      <c r="EB79" s="116"/>
      <c r="EC79" s="116"/>
      <c r="ED79" s="116"/>
      <c r="EF79" s="332"/>
      <c r="EG79" s="116"/>
      <c r="EH79" s="116"/>
      <c r="EI79" s="116"/>
      <c r="EJ79" s="116"/>
      <c r="EK79" s="116"/>
      <c r="EM79" s="116"/>
      <c r="EN79" s="116"/>
      <c r="EO79" s="116"/>
      <c r="EQ79" s="116"/>
      <c r="ER79" s="116"/>
      <c r="ES79" s="116"/>
      <c r="ET79" s="116"/>
      <c r="EU79" s="116"/>
      <c r="EV79" s="116"/>
      <c r="EX79" s="116"/>
      <c r="EY79" s="116"/>
      <c r="EZ79" s="116"/>
      <c r="FA79" s="116"/>
      <c r="FB79" s="116"/>
    </row>
    <row r="80" spans="1:158" ht="13">
      <c r="A80" s="10" t="str">
        <f>IF(B80="","",IF(HistSecRecord!$E$1&gt;=E80,1,0))</f>
        <v/>
      </c>
      <c r="E80" s="153"/>
      <c r="T80" s="153"/>
      <c r="BD80" s="31"/>
      <c r="BE80" s="31"/>
      <c r="BF80" s="31"/>
      <c r="BG80" s="31"/>
      <c r="BH80" s="31"/>
      <c r="BI80" s="116"/>
      <c r="BL80" s="196"/>
      <c r="BM80" s="239"/>
      <c r="BN80" s="330"/>
      <c r="BP80" s="330"/>
      <c r="BS80" s="116"/>
      <c r="BU80" s="331"/>
      <c r="BW80" s="116"/>
      <c r="BX80" s="116"/>
      <c r="BZ80" s="330"/>
      <c r="CB80" s="330"/>
      <c r="CC80" s="116"/>
      <c r="CG80" s="242"/>
      <c r="CH80" s="116"/>
      <c r="CI80" s="116"/>
      <c r="CJ80" s="116"/>
      <c r="CL80" s="116"/>
      <c r="CN80" s="239"/>
      <c r="CO80" s="153"/>
      <c r="DM80" s="116"/>
      <c r="DN80" s="116"/>
      <c r="DO80" s="116"/>
      <c r="DP80" s="116"/>
      <c r="DW80" s="116"/>
      <c r="DX80" s="219"/>
      <c r="DY80" s="219"/>
      <c r="DZ80" s="116"/>
      <c r="EA80" s="116"/>
      <c r="EB80" s="116"/>
      <c r="EC80" s="116"/>
      <c r="ED80" s="116"/>
      <c r="EF80" s="332"/>
      <c r="EG80" s="116"/>
      <c r="EH80" s="116"/>
      <c r="EI80" s="116"/>
      <c r="EJ80" s="116"/>
      <c r="EK80" s="116"/>
      <c r="EM80" s="116"/>
      <c r="EN80" s="116"/>
      <c r="EO80" s="116"/>
      <c r="EQ80" s="116"/>
      <c r="ER80" s="116"/>
      <c r="ES80" s="116"/>
      <c r="ET80" s="116"/>
      <c r="EU80" s="116"/>
      <c r="EV80" s="116"/>
      <c r="EX80" s="116"/>
      <c r="EY80" s="116"/>
      <c r="EZ80" s="116"/>
      <c r="FA80" s="116"/>
      <c r="FB80" s="116"/>
    </row>
    <row r="81" spans="1:158" ht="13">
      <c r="A81" s="10" t="str">
        <f>IF(B81="","",IF(HistSecRecord!$E$1&gt;=E81,1,0))</f>
        <v/>
      </c>
      <c r="E81" s="153"/>
      <c r="T81" s="153"/>
      <c r="BD81" s="31"/>
      <c r="BE81" s="31"/>
      <c r="BF81" s="31"/>
      <c r="BG81" s="31"/>
      <c r="BH81" s="31"/>
      <c r="BI81" s="116"/>
      <c r="BL81" s="196"/>
      <c r="BM81" s="239"/>
      <c r="BN81" s="330"/>
      <c r="BP81" s="330"/>
      <c r="BS81" s="116"/>
      <c r="BU81" s="331"/>
      <c r="BW81" s="116"/>
      <c r="BX81" s="116"/>
      <c r="BZ81" s="330"/>
      <c r="CB81" s="330"/>
      <c r="CC81" s="116"/>
      <c r="CG81" s="242"/>
      <c r="CH81" s="116"/>
      <c r="CI81" s="116"/>
      <c r="CJ81" s="116"/>
      <c r="CL81" s="116"/>
      <c r="CN81" s="239"/>
      <c r="CO81" s="153"/>
      <c r="DM81" s="116"/>
      <c r="DN81" s="116"/>
      <c r="DO81" s="116"/>
      <c r="DP81" s="116"/>
      <c r="DW81" s="116"/>
      <c r="DX81" s="219"/>
      <c r="DY81" s="219"/>
      <c r="DZ81" s="116"/>
      <c r="EA81" s="116"/>
      <c r="EB81" s="116"/>
      <c r="EC81" s="116"/>
      <c r="ED81" s="116"/>
      <c r="EF81" s="332"/>
      <c r="EG81" s="116"/>
      <c r="EH81" s="116"/>
      <c r="EI81" s="116"/>
      <c r="EJ81" s="116"/>
      <c r="EK81" s="116"/>
      <c r="EM81" s="116"/>
      <c r="EN81" s="116"/>
      <c r="EO81" s="116"/>
      <c r="EQ81" s="116"/>
      <c r="ER81" s="116"/>
      <c r="ES81" s="116"/>
      <c r="ET81" s="116"/>
      <c r="EU81" s="116"/>
      <c r="EV81" s="116"/>
      <c r="EX81" s="116"/>
      <c r="EY81" s="116"/>
      <c r="EZ81" s="116"/>
      <c r="FA81" s="116"/>
      <c r="FB81" s="116"/>
    </row>
    <row r="82" spans="1:158" ht="13">
      <c r="A82" s="10" t="str">
        <f>IF(B82="","",IF(HistSecRecord!$E$1&gt;=E82,1,0))</f>
        <v/>
      </c>
      <c r="E82" s="153"/>
      <c r="T82" s="153"/>
      <c r="BD82" s="31"/>
      <c r="BE82" s="31"/>
      <c r="BF82" s="31"/>
      <c r="BG82" s="31"/>
      <c r="BH82" s="31"/>
      <c r="BI82" s="116"/>
      <c r="BL82" s="196"/>
      <c r="BM82" s="239"/>
      <c r="BN82" s="330"/>
      <c r="BP82" s="330"/>
      <c r="BS82" s="116"/>
      <c r="BU82" s="331"/>
      <c r="BW82" s="116"/>
      <c r="BX82" s="116"/>
      <c r="BZ82" s="330"/>
      <c r="CB82" s="330"/>
      <c r="CC82" s="116"/>
      <c r="CG82" s="242"/>
      <c r="CH82" s="116"/>
      <c r="CI82" s="116"/>
      <c r="CJ82" s="116"/>
      <c r="CL82" s="116"/>
      <c r="CN82" s="239"/>
      <c r="CO82" s="153"/>
      <c r="DM82" s="116"/>
      <c r="DN82" s="116"/>
      <c r="DO82" s="116"/>
      <c r="DP82" s="116"/>
      <c r="DW82" s="116"/>
      <c r="DX82" s="219"/>
      <c r="DY82" s="219"/>
      <c r="DZ82" s="116"/>
      <c r="EA82" s="116"/>
      <c r="EB82" s="116"/>
      <c r="EC82" s="116"/>
      <c r="ED82" s="116"/>
      <c r="EF82" s="332"/>
      <c r="EG82" s="116"/>
      <c r="EH82" s="116"/>
      <c r="EI82" s="116"/>
      <c r="EJ82" s="116"/>
      <c r="EK82" s="116"/>
      <c r="EM82" s="116"/>
      <c r="EN82" s="116"/>
      <c r="EO82" s="116"/>
      <c r="EQ82" s="116"/>
      <c r="ER82" s="116"/>
      <c r="ES82" s="116"/>
      <c r="ET82" s="116"/>
      <c r="EU82" s="116"/>
      <c r="EV82" s="116"/>
      <c r="EX82" s="116"/>
      <c r="EY82" s="116"/>
      <c r="EZ82" s="116"/>
      <c r="FA82" s="116"/>
      <c r="FB82" s="116"/>
    </row>
    <row r="83" spans="1:158" ht="13">
      <c r="A83" s="10" t="str">
        <f>IF(B83="","",IF(HistSecRecord!$E$1&gt;=E83,1,0))</f>
        <v/>
      </c>
      <c r="E83" s="153"/>
      <c r="T83" s="153"/>
      <c r="BD83" s="31"/>
      <c r="BE83" s="31"/>
      <c r="BF83" s="31"/>
      <c r="BG83" s="31"/>
      <c r="BH83" s="31"/>
      <c r="BI83" s="116"/>
      <c r="BL83" s="196"/>
      <c r="BM83" s="239"/>
      <c r="BN83" s="330"/>
      <c r="BP83" s="330"/>
      <c r="BS83" s="116"/>
      <c r="BU83" s="331"/>
      <c r="BW83" s="116"/>
      <c r="BX83" s="116"/>
      <c r="BZ83" s="330"/>
      <c r="CB83" s="330"/>
      <c r="CC83" s="116"/>
      <c r="CG83" s="242"/>
      <c r="CH83" s="116"/>
      <c r="CI83" s="116"/>
      <c r="CJ83" s="116"/>
      <c r="CL83" s="116"/>
      <c r="CN83" s="239"/>
      <c r="CO83" s="153"/>
      <c r="DM83" s="116"/>
      <c r="DN83" s="116"/>
      <c r="DO83" s="116"/>
      <c r="DP83" s="116"/>
      <c r="DW83" s="116"/>
      <c r="DX83" s="219"/>
      <c r="DY83" s="219"/>
      <c r="DZ83" s="116"/>
      <c r="EA83" s="116"/>
      <c r="EB83" s="116"/>
      <c r="EC83" s="116"/>
      <c r="ED83" s="116"/>
      <c r="EF83" s="332"/>
      <c r="EG83" s="116"/>
      <c r="EH83" s="116"/>
      <c r="EI83" s="116"/>
      <c r="EJ83" s="116"/>
      <c r="EK83" s="116"/>
      <c r="EM83" s="116"/>
      <c r="EN83" s="116"/>
      <c r="EO83" s="116"/>
      <c r="EQ83" s="116"/>
      <c r="ER83" s="116"/>
      <c r="ES83" s="116"/>
      <c r="ET83" s="116"/>
      <c r="EU83" s="116"/>
      <c r="EV83" s="116"/>
      <c r="EX83" s="116"/>
      <c r="EY83" s="116"/>
      <c r="EZ83" s="116"/>
      <c r="FA83" s="116"/>
      <c r="FB83" s="116"/>
    </row>
    <row r="84" spans="1:158" ht="13">
      <c r="A84" s="10" t="str">
        <f>IF(B84="","",IF(HistSecRecord!$E$1&gt;=E84,1,0))</f>
        <v/>
      </c>
      <c r="E84" s="153"/>
      <c r="T84" s="153"/>
      <c r="BD84" s="31"/>
      <c r="BE84" s="31"/>
      <c r="BF84" s="31"/>
      <c r="BG84" s="31"/>
      <c r="BH84" s="31"/>
      <c r="BI84" s="116"/>
      <c r="BL84" s="196"/>
      <c r="BM84" s="239"/>
      <c r="BN84" s="330"/>
      <c r="BP84" s="330"/>
      <c r="BS84" s="116"/>
      <c r="BU84" s="331"/>
      <c r="BW84" s="116"/>
      <c r="BX84" s="116"/>
      <c r="BZ84" s="330"/>
      <c r="CB84" s="330"/>
      <c r="CC84" s="116"/>
      <c r="CG84" s="242"/>
      <c r="CH84" s="116"/>
      <c r="CI84" s="116"/>
      <c r="CJ84" s="116"/>
      <c r="CL84" s="116"/>
      <c r="CN84" s="239"/>
      <c r="CO84" s="153"/>
      <c r="DM84" s="116"/>
      <c r="DN84" s="116"/>
      <c r="DO84" s="116"/>
      <c r="DP84" s="116"/>
      <c r="DW84" s="116"/>
      <c r="DX84" s="219"/>
      <c r="DY84" s="219"/>
      <c r="DZ84" s="116"/>
      <c r="EA84" s="116"/>
      <c r="EB84" s="116"/>
      <c r="EC84" s="116"/>
      <c r="ED84" s="116"/>
      <c r="EF84" s="332"/>
      <c r="EG84" s="116"/>
      <c r="EH84" s="116"/>
      <c r="EI84" s="116"/>
      <c r="EJ84" s="116"/>
      <c r="EK84" s="116"/>
      <c r="EM84" s="116"/>
      <c r="EN84" s="116"/>
      <c r="EO84" s="116"/>
      <c r="EQ84" s="116"/>
      <c r="ER84" s="116"/>
      <c r="ES84" s="116"/>
      <c r="ET84" s="116"/>
      <c r="EU84" s="116"/>
      <c r="EV84" s="116"/>
      <c r="EX84" s="116"/>
      <c r="EY84" s="116"/>
      <c r="EZ84" s="116"/>
      <c r="FA84" s="116"/>
      <c r="FB84" s="116"/>
    </row>
    <row r="85" spans="1:158" ht="13">
      <c r="A85" s="10" t="str">
        <f>IF(B85="","",IF(HistSecRecord!$E$1&gt;=E85,1,0))</f>
        <v/>
      </c>
      <c r="E85" s="153"/>
      <c r="T85" s="153"/>
      <c r="BD85" s="31"/>
      <c r="BE85" s="31"/>
      <c r="BF85" s="31"/>
      <c r="BG85" s="31"/>
      <c r="BH85" s="31"/>
      <c r="BI85" s="116"/>
      <c r="BL85" s="196"/>
      <c r="BM85" s="239"/>
      <c r="BN85" s="330"/>
      <c r="BP85" s="330"/>
      <c r="BS85" s="116"/>
      <c r="BU85" s="331"/>
      <c r="BW85" s="116"/>
      <c r="BX85" s="116"/>
      <c r="BZ85" s="330"/>
      <c r="CB85" s="330"/>
      <c r="CC85" s="116"/>
      <c r="CG85" s="242"/>
      <c r="CH85" s="116"/>
      <c r="CI85" s="116"/>
      <c r="CJ85" s="116"/>
      <c r="CL85" s="116"/>
      <c r="CN85" s="239"/>
      <c r="CO85" s="153"/>
      <c r="DM85" s="116"/>
      <c r="DN85" s="116"/>
      <c r="DO85" s="116"/>
      <c r="DP85" s="116"/>
      <c r="DW85" s="116"/>
      <c r="DX85" s="219"/>
      <c r="DY85" s="219"/>
      <c r="DZ85" s="116"/>
      <c r="EA85" s="116"/>
      <c r="EB85" s="116"/>
      <c r="EC85" s="116"/>
      <c r="ED85" s="116"/>
      <c r="EF85" s="332"/>
      <c r="EG85" s="116"/>
      <c r="EH85" s="116"/>
      <c r="EI85" s="116"/>
      <c r="EJ85" s="116"/>
      <c r="EK85" s="116"/>
      <c r="EM85" s="116"/>
      <c r="EN85" s="116"/>
      <c r="EO85" s="116"/>
      <c r="EQ85" s="116"/>
      <c r="ER85" s="116"/>
      <c r="ES85" s="116"/>
      <c r="ET85" s="116"/>
      <c r="EU85" s="116"/>
      <c r="EV85" s="116"/>
      <c r="EX85" s="116"/>
      <c r="EY85" s="116"/>
      <c r="EZ85" s="116"/>
      <c r="FA85" s="116"/>
      <c r="FB85" s="116"/>
    </row>
    <row r="86" spans="1:158" ht="13">
      <c r="A86" s="10" t="str">
        <f>IF(B86="","",IF(HistSecRecord!$E$1&gt;=E86,1,0))</f>
        <v/>
      </c>
      <c r="E86" s="153"/>
      <c r="T86" s="153"/>
      <c r="BD86" s="31"/>
      <c r="BE86" s="31"/>
      <c r="BF86" s="31"/>
      <c r="BG86" s="31"/>
      <c r="BH86" s="31"/>
      <c r="BI86" s="116"/>
      <c r="BL86" s="196"/>
      <c r="BM86" s="239"/>
      <c r="BN86" s="330"/>
      <c r="BP86" s="330"/>
      <c r="BS86" s="116"/>
      <c r="BU86" s="331"/>
      <c r="BW86" s="116"/>
      <c r="BX86" s="116"/>
      <c r="BZ86" s="330"/>
      <c r="CB86" s="330"/>
      <c r="CC86" s="116"/>
      <c r="CG86" s="242"/>
      <c r="CH86" s="116"/>
      <c r="CI86" s="116"/>
      <c r="CJ86" s="116"/>
      <c r="CL86" s="116"/>
      <c r="CN86" s="239"/>
      <c r="CO86" s="153"/>
      <c r="DM86" s="116"/>
      <c r="DN86" s="116"/>
      <c r="DO86" s="116"/>
      <c r="DP86" s="116"/>
      <c r="DW86" s="116"/>
      <c r="DX86" s="219"/>
      <c r="DY86" s="219"/>
      <c r="DZ86" s="116"/>
      <c r="EA86" s="116"/>
      <c r="EB86" s="116"/>
      <c r="EC86" s="116"/>
      <c r="ED86" s="116"/>
      <c r="EF86" s="332"/>
      <c r="EG86" s="116"/>
      <c r="EH86" s="116"/>
      <c r="EI86" s="116"/>
      <c r="EJ86" s="116"/>
      <c r="EK86" s="116"/>
      <c r="EM86" s="116"/>
      <c r="EN86" s="116"/>
      <c r="EO86" s="116"/>
      <c r="EQ86" s="116"/>
      <c r="ER86" s="116"/>
      <c r="ES86" s="116"/>
      <c r="ET86" s="116"/>
      <c r="EU86" s="116"/>
      <c r="EV86" s="116"/>
      <c r="EX86" s="116"/>
      <c r="EY86" s="116"/>
      <c r="EZ86" s="116"/>
      <c r="FA86" s="116"/>
      <c r="FB86" s="116"/>
    </row>
    <row r="87" spans="1:158" ht="13">
      <c r="A87" s="10" t="str">
        <f>IF(B87="","",IF(HistSecRecord!$E$1&gt;=E87,1,0))</f>
        <v/>
      </c>
      <c r="E87" s="153"/>
      <c r="T87" s="153"/>
      <c r="BD87" s="31"/>
      <c r="BE87" s="31"/>
      <c r="BF87" s="31"/>
      <c r="BG87" s="31"/>
      <c r="BH87" s="31"/>
      <c r="BI87" s="116"/>
      <c r="BL87" s="196"/>
      <c r="BM87" s="239"/>
      <c r="BN87" s="330"/>
      <c r="BP87" s="330"/>
      <c r="BS87" s="116"/>
      <c r="BU87" s="331"/>
      <c r="BW87" s="116"/>
      <c r="BX87" s="116"/>
      <c r="BZ87" s="330"/>
      <c r="CB87" s="330"/>
      <c r="CC87" s="116"/>
      <c r="CG87" s="242"/>
      <c r="CH87" s="116"/>
      <c r="CI87" s="116"/>
      <c r="CJ87" s="116"/>
      <c r="CL87" s="116"/>
      <c r="CN87" s="239"/>
      <c r="CO87" s="153"/>
      <c r="DM87" s="116"/>
      <c r="DN87" s="116"/>
      <c r="DO87" s="116"/>
      <c r="DP87" s="116"/>
      <c r="DW87" s="116"/>
      <c r="DX87" s="219"/>
      <c r="DY87" s="219"/>
      <c r="DZ87" s="116"/>
      <c r="EA87" s="116"/>
      <c r="EB87" s="116"/>
      <c r="EC87" s="116"/>
      <c r="ED87" s="116"/>
      <c r="EF87" s="332"/>
      <c r="EG87" s="116"/>
      <c r="EH87" s="116"/>
      <c r="EI87" s="116"/>
      <c r="EJ87" s="116"/>
      <c r="EK87" s="116"/>
      <c r="EM87" s="116"/>
      <c r="EN87" s="116"/>
      <c r="EO87" s="116"/>
      <c r="EQ87" s="116"/>
      <c r="ER87" s="116"/>
      <c r="ES87" s="116"/>
      <c r="ET87" s="116"/>
      <c r="EU87" s="116"/>
      <c r="EV87" s="116"/>
      <c r="EX87" s="116"/>
      <c r="EY87" s="116"/>
      <c r="EZ87" s="116"/>
      <c r="FA87" s="116"/>
      <c r="FB87" s="116"/>
    </row>
    <row r="88" spans="1:158" ht="13">
      <c r="A88" s="10" t="str">
        <f>IF(B88="","",IF(HistSecRecord!$E$1&gt;=E88,1,0))</f>
        <v/>
      </c>
      <c r="E88" s="153"/>
      <c r="T88" s="153"/>
      <c r="BD88" s="31"/>
      <c r="BE88" s="31"/>
      <c r="BF88" s="31"/>
      <c r="BG88" s="31"/>
      <c r="BH88" s="31"/>
      <c r="BI88" s="116"/>
      <c r="BL88" s="196"/>
      <c r="BM88" s="239"/>
      <c r="BN88" s="330"/>
      <c r="BP88" s="330"/>
      <c r="BS88" s="116"/>
      <c r="BU88" s="331"/>
      <c r="BW88" s="116"/>
      <c r="BX88" s="116"/>
      <c r="BZ88" s="330"/>
      <c r="CB88" s="330"/>
      <c r="CC88" s="116"/>
      <c r="CG88" s="242"/>
      <c r="CH88" s="116"/>
      <c r="CI88" s="116"/>
      <c r="CJ88" s="116"/>
      <c r="CL88" s="116"/>
      <c r="CN88" s="239"/>
      <c r="CO88" s="153"/>
      <c r="DM88" s="116"/>
      <c r="DN88" s="116"/>
      <c r="DO88" s="116"/>
      <c r="DP88" s="116"/>
      <c r="DW88" s="116"/>
      <c r="DX88" s="219"/>
      <c r="DY88" s="219"/>
      <c r="DZ88" s="116"/>
      <c r="EA88" s="116"/>
      <c r="EB88" s="116"/>
      <c r="EC88" s="116"/>
      <c r="ED88" s="116"/>
      <c r="EF88" s="332"/>
      <c r="EG88" s="116"/>
      <c r="EH88" s="116"/>
      <c r="EI88" s="116"/>
      <c r="EJ88" s="116"/>
      <c r="EK88" s="116"/>
      <c r="EM88" s="116"/>
      <c r="EN88" s="116"/>
      <c r="EO88" s="116"/>
      <c r="EQ88" s="116"/>
      <c r="ER88" s="116"/>
      <c r="ES88" s="116"/>
      <c r="ET88" s="116"/>
      <c r="EU88" s="116"/>
      <c r="EV88" s="116"/>
      <c r="EX88" s="116"/>
      <c r="EY88" s="116"/>
      <c r="EZ88" s="116"/>
      <c r="FA88" s="116"/>
      <c r="FB88" s="116"/>
    </row>
    <row r="89" spans="1:158" ht="13">
      <c r="A89" s="10" t="str">
        <f>IF(B89="","",IF(HistSecRecord!$E$1&gt;=E89,1,0))</f>
        <v/>
      </c>
      <c r="E89" s="153"/>
      <c r="T89" s="153"/>
      <c r="BD89" s="31"/>
      <c r="BE89" s="31"/>
      <c r="BF89" s="31"/>
      <c r="BG89" s="31"/>
      <c r="BH89" s="31"/>
      <c r="BI89" s="116"/>
      <c r="BL89" s="196"/>
      <c r="BM89" s="239"/>
      <c r="BN89" s="330"/>
      <c r="BP89" s="330"/>
      <c r="BS89" s="116"/>
      <c r="BU89" s="331"/>
      <c r="BW89" s="116"/>
      <c r="BX89" s="116"/>
      <c r="BZ89" s="330"/>
      <c r="CB89" s="330"/>
      <c r="CC89" s="116"/>
      <c r="CG89" s="242"/>
      <c r="CH89" s="116"/>
      <c r="CI89" s="116"/>
      <c r="CJ89" s="116"/>
      <c r="CL89" s="116"/>
      <c r="CN89" s="239"/>
      <c r="CO89" s="153"/>
      <c r="DM89" s="116"/>
      <c r="DN89" s="116"/>
      <c r="DO89" s="116"/>
      <c r="DP89" s="116"/>
      <c r="DW89" s="116"/>
      <c r="DX89" s="219"/>
      <c r="DY89" s="219"/>
      <c r="DZ89" s="116"/>
      <c r="EA89" s="116"/>
      <c r="EB89" s="116"/>
      <c r="EC89" s="116"/>
      <c r="ED89" s="116"/>
      <c r="EF89" s="332"/>
      <c r="EG89" s="116"/>
      <c r="EH89" s="116"/>
      <c r="EI89" s="116"/>
      <c r="EJ89" s="116"/>
      <c r="EK89" s="116"/>
      <c r="EM89" s="116"/>
      <c r="EN89" s="116"/>
      <c r="EO89" s="116"/>
      <c r="EQ89" s="116"/>
      <c r="ER89" s="116"/>
      <c r="ES89" s="116"/>
      <c r="ET89" s="116"/>
      <c r="EU89" s="116"/>
      <c r="EV89" s="116"/>
      <c r="EX89" s="116"/>
      <c r="EY89" s="116"/>
      <c r="EZ89" s="116"/>
      <c r="FA89" s="116"/>
      <c r="FB89" s="116"/>
    </row>
    <row r="90" spans="1:158" ht="13">
      <c r="A90" s="10" t="str">
        <f>IF(B90="","",IF(HistSecRecord!$E$1&gt;=E90,1,0))</f>
        <v/>
      </c>
      <c r="E90" s="153"/>
      <c r="T90" s="153"/>
      <c r="BD90" s="31"/>
      <c r="BE90" s="31"/>
      <c r="BF90" s="31"/>
      <c r="BG90" s="31"/>
      <c r="BH90" s="31"/>
      <c r="BI90" s="116"/>
      <c r="BL90" s="196"/>
      <c r="BM90" s="239"/>
      <c r="BN90" s="330"/>
      <c r="BP90" s="330"/>
      <c r="BS90" s="116"/>
      <c r="BU90" s="331"/>
      <c r="BW90" s="116"/>
      <c r="BX90" s="116"/>
      <c r="BZ90" s="330"/>
      <c r="CB90" s="330"/>
      <c r="CC90" s="116"/>
      <c r="CG90" s="242"/>
      <c r="CH90" s="116"/>
      <c r="CI90" s="116"/>
      <c r="CJ90" s="116"/>
      <c r="CL90" s="116"/>
      <c r="CN90" s="239"/>
      <c r="CO90" s="153"/>
      <c r="DM90" s="116"/>
      <c r="DN90" s="116"/>
      <c r="DO90" s="116"/>
      <c r="DP90" s="116"/>
      <c r="DW90" s="116"/>
      <c r="DX90" s="219"/>
      <c r="DY90" s="219"/>
      <c r="DZ90" s="116"/>
      <c r="EA90" s="116"/>
      <c r="EB90" s="116"/>
      <c r="EC90" s="116"/>
      <c r="ED90" s="116"/>
      <c r="EF90" s="332"/>
      <c r="EG90" s="116"/>
      <c r="EH90" s="116"/>
      <c r="EI90" s="116"/>
      <c r="EJ90" s="116"/>
      <c r="EK90" s="116"/>
      <c r="EM90" s="116"/>
      <c r="EN90" s="116"/>
      <c r="EO90" s="116"/>
      <c r="EQ90" s="116"/>
      <c r="ER90" s="116"/>
      <c r="ES90" s="116"/>
      <c r="ET90" s="116"/>
      <c r="EU90" s="116"/>
      <c r="EV90" s="116"/>
      <c r="EX90" s="116"/>
      <c r="EY90" s="116"/>
      <c r="EZ90" s="116"/>
      <c r="FA90" s="116"/>
      <c r="FB90" s="116"/>
    </row>
    <row r="91" spans="1:158" ht="13">
      <c r="A91" s="10" t="str">
        <f>IF(B91="","",IF(HistSecRecord!$E$1&gt;=E91,1,0))</f>
        <v/>
      </c>
      <c r="E91" s="153"/>
      <c r="T91" s="153"/>
      <c r="BD91" s="31"/>
      <c r="BE91" s="31"/>
      <c r="BF91" s="31"/>
      <c r="BG91" s="31"/>
      <c r="BH91" s="31"/>
      <c r="BI91" s="116"/>
      <c r="BL91" s="196"/>
      <c r="BM91" s="239"/>
      <c r="BN91" s="330"/>
      <c r="BP91" s="330"/>
      <c r="BS91" s="116"/>
      <c r="BU91" s="331"/>
      <c r="BW91" s="116"/>
      <c r="BX91" s="116"/>
      <c r="BZ91" s="330"/>
      <c r="CB91" s="330"/>
      <c r="CC91" s="116"/>
      <c r="CG91" s="242"/>
      <c r="CH91" s="116"/>
      <c r="CI91" s="116"/>
      <c r="CJ91" s="116"/>
      <c r="CL91" s="116"/>
      <c r="CN91" s="239"/>
      <c r="CO91" s="153"/>
      <c r="DM91" s="116"/>
      <c r="DN91" s="116"/>
      <c r="DO91" s="116"/>
      <c r="DP91" s="116"/>
      <c r="DW91" s="116"/>
      <c r="DX91" s="219"/>
      <c r="DY91" s="219"/>
      <c r="DZ91" s="116"/>
      <c r="EA91" s="116"/>
      <c r="EB91" s="116"/>
      <c r="EC91" s="116"/>
      <c r="ED91" s="116"/>
      <c r="EF91" s="332"/>
      <c r="EG91" s="116"/>
      <c r="EH91" s="116"/>
      <c r="EI91" s="116"/>
      <c r="EJ91" s="116"/>
      <c r="EK91" s="116"/>
      <c r="EM91" s="116"/>
      <c r="EN91" s="116"/>
      <c r="EO91" s="116"/>
      <c r="EQ91" s="116"/>
      <c r="ER91" s="116"/>
      <c r="ES91" s="116"/>
      <c r="ET91" s="116"/>
      <c r="EU91" s="116"/>
      <c r="EV91" s="116"/>
      <c r="EX91" s="116"/>
      <c r="EY91" s="116"/>
      <c r="EZ91" s="116"/>
      <c r="FA91" s="116"/>
      <c r="FB91" s="116"/>
    </row>
    <row r="92" spans="1:158" ht="13">
      <c r="A92" s="10" t="str">
        <f>IF(B92="","",IF(HistSecRecord!$E$1&gt;=E92,1,0))</f>
        <v/>
      </c>
      <c r="E92" s="153"/>
      <c r="T92" s="153"/>
      <c r="BD92" s="31"/>
      <c r="BE92" s="31"/>
      <c r="BF92" s="31"/>
      <c r="BG92" s="31"/>
      <c r="BH92" s="31"/>
      <c r="BI92" s="116"/>
      <c r="BL92" s="196"/>
      <c r="BM92" s="239"/>
      <c r="BN92" s="330"/>
      <c r="BP92" s="330"/>
      <c r="BS92" s="116"/>
      <c r="BU92" s="331"/>
      <c r="BW92" s="116"/>
      <c r="BX92" s="116"/>
      <c r="BZ92" s="330"/>
      <c r="CB92" s="330"/>
      <c r="CC92" s="116"/>
      <c r="CG92" s="242"/>
      <c r="CH92" s="116"/>
      <c r="CI92" s="116"/>
      <c r="CJ92" s="116"/>
      <c r="CL92" s="116"/>
      <c r="CN92" s="239"/>
      <c r="CO92" s="153"/>
      <c r="DM92" s="116"/>
      <c r="DN92" s="116"/>
      <c r="DO92" s="116"/>
      <c r="DP92" s="116"/>
      <c r="DW92" s="116"/>
      <c r="DX92" s="219"/>
      <c r="DY92" s="219"/>
      <c r="DZ92" s="116"/>
      <c r="EA92" s="116"/>
      <c r="EB92" s="116"/>
      <c r="EC92" s="116"/>
      <c r="ED92" s="116"/>
      <c r="EF92" s="332"/>
      <c r="EG92" s="116"/>
      <c r="EH92" s="116"/>
      <c r="EI92" s="116"/>
      <c r="EJ92" s="116"/>
      <c r="EK92" s="116"/>
      <c r="EM92" s="116"/>
      <c r="EN92" s="116"/>
      <c r="EO92" s="116"/>
      <c r="EQ92" s="116"/>
      <c r="ER92" s="116"/>
      <c r="ES92" s="116"/>
      <c r="ET92" s="116"/>
      <c r="EU92" s="116"/>
      <c r="EV92" s="116"/>
      <c r="EX92" s="116"/>
      <c r="EY92" s="116"/>
      <c r="EZ92" s="116"/>
      <c r="FA92" s="116"/>
      <c r="FB92" s="116"/>
    </row>
    <row r="93" spans="1:158" ht="13">
      <c r="A93" s="10" t="str">
        <f>IF(B93="","",IF(HistSecRecord!$E$1&gt;=E93,1,0))</f>
        <v/>
      </c>
      <c r="E93" s="153"/>
      <c r="T93" s="153"/>
      <c r="BD93" s="31"/>
      <c r="BE93" s="31"/>
      <c r="BF93" s="31"/>
      <c r="BG93" s="31"/>
      <c r="BH93" s="31"/>
      <c r="BI93" s="116"/>
      <c r="BL93" s="196"/>
      <c r="BM93" s="239"/>
      <c r="BN93" s="330"/>
      <c r="BP93" s="330"/>
      <c r="BS93" s="116"/>
      <c r="BU93" s="331"/>
      <c r="BW93" s="116"/>
      <c r="BX93" s="116"/>
      <c r="BZ93" s="330"/>
      <c r="CB93" s="330"/>
      <c r="CC93" s="116"/>
      <c r="CG93" s="242"/>
      <c r="CH93" s="116"/>
      <c r="CI93" s="116"/>
      <c r="CJ93" s="116"/>
      <c r="CL93" s="116"/>
      <c r="CN93" s="239"/>
      <c r="CO93" s="153"/>
      <c r="DM93" s="116"/>
      <c r="DN93" s="116"/>
      <c r="DO93" s="116"/>
      <c r="DP93" s="116"/>
      <c r="DW93" s="116"/>
      <c r="DX93" s="219"/>
      <c r="DY93" s="219"/>
      <c r="DZ93" s="116"/>
      <c r="EA93" s="116"/>
      <c r="EB93" s="116"/>
      <c r="EC93" s="116"/>
      <c r="ED93" s="116"/>
      <c r="EF93" s="332"/>
      <c r="EG93" s="116"/>
      <c r="EH93" s="116"/>
      <c r="EI93" s="116"/>
      <c r="EJ93" s="116"/>
      <c r="EK93" s="116"/>
      <c r="EM93" s="116"/>
      <c r="EN93" s="116"/>
      <c r="EO93" s="116"/>
      <c r="EQ93" s="116"/>
      <c r="ER93" s="116"/>
      <c r="ES93" s="116"/>
      <c r="ET93" s="116"/>
      <c r="EU93" s="116"/>
      <c r="EV93" s="116"/>
      <c r="EX93" s="116"/>
      <c r="EY93" s="116"/>
      <c r="EZ93" s="116"/>
      <c r="FA93" s="116"/>
      <c r="FB93" s="116"/>
    </row>
    <row r="94" spans="1:158" ht="13">
      <c r="A94" s="10" t="str">
        <f>IF(B94="","",IF(HistSecRecord!$E$1&gt;=E94,1,0))</f>
        <v/>
      </c>
      <c r="E94" s="153"/>
      <c r="T94" s="153"/>
      <c r="BD94" s="31"/>
      <c r="BE94" s="31"/>
      <c r="BF94" s="31"/>
      <c r="BG94" s="31"/>
      <c r="BH94" s="31"/>
      <c r="BI94" s="116"/>
      <c r="BL94" s="196"/>
      <c r="BM94" s="239"/>
      <c r="BN94" s="330"/>
      <c r="BP94" s="330"/>
      <c r="BS94" s="116"/>
      <c r="BU94" s="331"/>
      <c r="BW94" s="116"/>
      <c r="BX94" s="116"/>
      <c r="BZ94" s="330"/>
      <c r="CB94" s="330"/>
      <c r="CC94" s="116"/>
      <c r="CG94" s="242"/>
      <c r="CH94" s="116"/>
      <c r="CI94" s="116"/>
      <c r="CJ94" s="116"/>
      <c r="CL94" s="116"/>
      <c r="CN94" s="239"/>
      <c r="CO94" s="153"/>
      <c r="DM94" s="116"/>
      <c r="DN94" s="116"/>
      <c r="DO94" s="116"/>
      <c r="DP94" s="116"/>
      <c r="DW94" s="116"/>
      <c r="DX94" s="219"/>
      <c r="DY94" s="219"/>
      <c r="DZ94" s="116"/>
      <c r="EA94" s="116"/>
      <c r="EB94" s="116"/>
      <c r="EC94" s="116"/>
      <c r="ED94" s="116"/>
      <c r="EF94" s="332"/>
      <c r="EG94" s="116"/>
      <c r="EH94" s="116"/>
      <c r="EI94" s="116"/>
      <c r="EJ94" s="116"/>
      <c r="EK94" s="116"/>
      <c r="EM94" s="116"/>
      <c r="EN94" s="116"/>
      <c r="EO94" s="116"/>
      <c r="EQ94" s="116"/>
      <c r="ER94" s="116"/>
      <c r="ES94" s="116"/>
      <c r="ET94" s="116"/>
      <c r="EU94" s="116"/>
      <c r="EV94" s="116"/>
      <c r="EX94" s="116"/>
      <c r="EY94" s="116"/>
      <c r="EZ94" s="116"/>
      <c r="FA94" s="116"/>
      <c r="FB94" s="116"/>
    </row>
    <row r="95" spans="1:158" ht="13">
      <c r="A95" s="10" t="str">
        <f>IF(B95="","",IF(HistSecRecord!$E$1&gt;=E95,1,0))</f>
        <v/>
      </c>
      <c r="E95" s="153"/>
      <c r="T95" s="153"/>
      <c r="BD95" s="31"/>
      <c r="BE95" s="31"/>
      <c r="BF95" s="31"/>
      <c r="BG95" s="31"/>
      <c r="BH95" s="31"/>
      <c r="BI95" s="116"/>
      <c r="BL95" s="196"/>
      <c r="BM95" s="239"/>
      <c r="BN95" s="330"/>
      <c r="BP95" s="330"/>
      <c r="BS95" s="116"/>
      <c r="BU95" s="331"/>
      <c r="BW95" s="116"/>
      <c r="BX95" s="116"/>
      <c r="BZ95" s="330"/>
      <c r="CB95" s="330"/>
      <c r="CC95" s="116"/>
      <c r="CG95" s="242"/>
      <c r="CH95" s="116"/>
      <c r="CI95" s="116"/>
      <c r="CJ95" s="116"/>
      <c r="CL95" s="116"/>
      <c r="CN95" s="239"/>
      <c r="CO95" s="153"/>
      <c r="DM95" s="116"/>
      <c r="DN95" s="116"/>
      <c r="DO95" s="116"/>
      <c r="DP95" s="116"/>
      <c r="DW95" s="116"/>
      <c r="DX95" s="219"/>
      <c r="DY95" s="219"/>
      <c r="DZ95" s="116"/>
      <c r="EA95" s="116"/>
      <c r="EB95" s="116"/>
      <c r="EC95" s="116"/>
      <c r="ED95" s="116"/>
      <c r="EF95" s="332"/>
      <c r="EG95" s="116"/>
      <c r="EH95" s="116"/>
      <c r="EI95" s="116"/>
      <c r="EJ95" s="116"/>
      <c r="EK95" s="116"/>
      <c r="EM95" s="116"/>
      <c r="EN95" s="116"/>
      <c r="EO95" s="116"/>
      <c r="EQ95" s="116"/>
      <c r="ER95" s="116"/>
      <c r="ES95" s="116"/>
      <c r="ET95" s="116"/>
      <c r="EU95" s="116"/>
      <c r="EV95" s="116"/>
      <c r="EX95" s="116"/>
      <c r="EY95" s="116"/>
      <c r="EZ95" s="116"/>
      <c r="FA95" s="116"/>
      <c r="FB95" s="116"/>
    </row>
    <row r="96" spans="1:158" ht="13">
      <c r="A96" s="10" t="str">
        <f>IF(B96="","",IF(HistSecRecord!$E$1&gt;=E96,1,0))</f>
        <v/>
      </c>
      <c r="E96" s="153"/>
      <c r="T96" s="153"/>
      <c r="BD96" s="31"/>
      <c r="BE96" s="31"/>
      <c r="BF96" s="31"/>
      <c r="BG96" s="31"/>
      <c r="BH96" s="31"/>
      <c r="BI96" s="116"/>
      <c r="BL96" s="196"/>
      <c r="BM96" s="239"/>
      <c r="BN96" s="330"/>
      <c r="BP96" s="330"/>
      <c r="BS96" s="116"/>
      <c r="BU96" s="331"/>
      <c r="BW96" s="116"/>
      <c r="BX96" s="116"/>
      <c r="BZ96" s="330"/>
      <c r="CB96" s="330"/>
      <c r="CC96" s="116"/>
      <c r="CG96" s="242"/>
      <c r="CH96" s="116"/>
      <c r="CI96" s="116"/>
      <c r="CJ96" s="116"/>
      <c r="CL96" s="116"/>
      <c r="CN96" s="239"/>
      <c r="CO96" s="153"/>
      <c r="DM96" s="116"/>
      <c r="DN96" s="116"/>
      <c r="DO96" s="116"/>
      <c r="DP96" s="116"/>
      <c r="DW96" s="116"/>
      <c r="DX96" s="219"/>
      <c r="DY96" s="219"/>
      <c r="DZ96" s="116"/>
      <c r="EA96" s="116"/>
      <c r="EB96" s="116"/>
      <c r="EC96" s="116"/>
      <c r="ED96" s="116"/>
      <c r="EF96" s="332"/>
      <c r="EG96" s="116"/>
      <c r="EH96" s="116"/>
      <c r="EI96" s="116"/>
      <c r="EJ96" s="116"/>
      <c r="EK96" s="116"/>
      <c r="EM96" s="116"/>
      <c r="EN96" s="116"/>
      <c r="EO96" s="116"/>
      <c r="EQ96" s="116"/>
      <c r="ER96" s="116"/>
      <c r="ES96" s="116"/>
      <c r="ET96" s="116"/>
      <c r="EU96" s="116"/>
      <c r="EV96" s="116"/>
      <c r="EX96" s="116"/>
      <c r="EY96" s="116"/>
      <c r="EZ96" s="116"/>
      <c r="FA96" s="116"/>
      <c r="FB96" s="116"/>
    </row>
    <row r="97" spans="1:158" ht="13">
      <c r="A97" s="10" t="str">
        <f>IF(B97="","",IF(HistSecRecord!$E$1&gt;=E97,1,0))</f>
        <v/>
      </c>
      <c r="E97" s="153"/>
      <c r="T97" s="153"/>
      <c r="BD97" s="31"/>
      <c r="BE97" s="31"/>
      <c r="BF97" s="31"/>
      <c r="BG97" s="31"/>
      <c r="BH97" s="31"/>
      <c r="BI97" s="116"/>
      <c r="BL97" s="196"/>
      <c r="BM97" s="239"/>
      <c r="BN97" s="330"/>
      <c r="BP97" s="330"/>
      <c r="BS97" s="116"/>
      <c r="BU97" s="331"/>
      <c r="BW97" s="116"/>
      <c r="BX97" s="116"/>
      <c r="BZ97" s="330"/>
      <c r="CB97" s="330"/>
      <c r="CC97" s="116"/>
      <c r="CG97" s="242"/>
      <c r="CH97" s="116"/>
      <c r="CI97" s="116"/>
      <c r="CJ97" s="116"/>
      <c r="CL97" s="116"/>
      <c r="CN97" s="239"/>
      <c r="CO97" s="153"/>
      <c r="DM97" s="116"/>
      <c r="DN97" s="116"/>
      <c r="DO97" s="116"/>
      <c r="DP97" s="116"/>
      <c r="DW97" s="116"/>
      <c r="DX97" s="219"/>
      <c r="DY97" s="219"/>
      <c r="DZ97" s="116"/>
      <c r="EA97" s="116"/>
      <c r="EB97" s="116"/>
      <c r="EC97" s="116"/>
      <c r="ED97" s="116"/>
      <c r="EF97" s="332"/>
      <c r="EG97" s="116"/>
      <c r="EH97" s="116"/>
      <c r="EI97" s="116"/>
      <c r="EJ97" s="116"/>
      <c r="EK97" s="116"/>
      <c r="EM97" s="116"/>
      <c r="EN97" s="116"/>
      <c r="EO97" s="116"/>
      <c r="EQ97" s="116"/>
      <c r="ER97" s="116"/>
      <c r="ES97" s="116"/>
      <c r="ET97" s="116"/>
      <c r="EU97" s="116"/>
      <c r="EV97" s="116"/>
      <c r="EX97" s="116"/>
      <c r="EY97" s="116"/>
      <c r="EZ97" s="116"/>
      <c r="FA97" s="116"/>
      <c r="FB97" s="116"/>
    </row>
    <row r="98" spans="1:158" ht="13">
      <c r="A98" s="10" t="str">
        <f>IF(B98="","",IF(HistSecRecord!$E$1&gt;=E98,1,0))</f>
        <v/>
      </c>
      <c r="E98" s="153"/>
      <c r="T98" s="153"/>
      <c r="BD98" s="31"/>
      <c r="BE98" s="31"/>
      <c r="BF98" s="31"/>
      <c r="BG98" s="31"/>
      <c r="BH98" s="31"/>
      <c r="BI98" s="116"/>
      <c r="BL98" s="196"/>
      <c r="BM98" s="239"/>
      <c r="BN98" s="330"/>
      <c r="BP98" s="330"/>
      <c r="BS98" s="116"/>
      <c r="BU98" s="331"/>
      <c r="BW98" s="116"/>
      <c r="BX98" s="116"/>
      <c r="BZ98" s="330"/>
      <c r="CB98" s="330"/>
      <c r="CC98" s="116"/>
      <c r="CG98" s="242"/>
      <c r="CH98" s="116"/>
      <c r="CI98" s="116"/>
      <c r="CJ98" s="116"/>
      <c r="CL98" s="116"/>
      <c r="CN98" s="239"/>
      <c r="CO98" s="153"/>
      <c r="DM98" s="116"/>
      <c r="DN98" s="116"/>
      <c r="DO98" s="116"/>
      <c r="DP98" s="116"/>
      <c r="DW98" s="116"/>
      <c r="DX98" s="219"/>
      <c r="DY98" s="219"/>
      <c r="DZ98" s="116"/>
      <c r="EA98" s="116"/>
      <c r="EB98" s="116"/>
      <c r="EC98" s="116"/>
      <c r="ED98" s="116"/>
      <c r="EF98" s="332"/>
      <c r="EG98" s="116"/>
      <c r="EH98" s="116"/>
      <c r="EI98" s="116"/>
      <c r="EJ98" s="116"/>
      <c r="EK98" s="116"/>
      <c r="EM98" s="116"/>
      <c r="EN98" s="116"/>
      <c r="EO98" s="116"/>
      <c r="EQ98" s="116"/>
      <c r="ER98" s="116"/>
      <c r="ES98" s="116"/>
      <c r="ET98" s="116"/>
      <c r="EU98" s="116"/>
      <c r="EV98" s="116"/>
      <c r="EX98" s="116"/>
      <c r="EY98" s="116"/>
      <c r="EZ98" s="116"/>
      <c r="FA98" s="116"/>
      <c r="FB98" s="116"/>
    </row>
    <row r="99" spans="1:158" ht="13">
      <c r="A99" s="10" t="str">
        <f>IF(B99="","",IF(HistSecRecord!$E$1&gt;=E99,1,0))</f>
        <v/>
      </c>
      <c r="E99" s="153"/>
      <c r="T99" s="153"/>
      <c r="BD99" s="31"/>
      <c r="BE99" s="31"/>
      <c r="BF99" s="31"/>
      <c r="BG99" s="31"/>
      <c r="BH99" s="31"/>
      <c r="BI99" s="116"/>
      <c r="BL99" s="196"/>
      <c r="BM99" s="239"/>
      <c r="BN99" s="330"/>
      <c r="BP99" s="330"/>
      <c r="BS99" s="116"/>
      <c r="BU99" s="331"/>
      <c r="BW99" s="116"/>
      <c r="BX99" s="116"/>
      <c r="BZ99" s="330"/>
      <c r="CB99" s="330"/>
      <c r="CC99" s="116"/>
      <c r="CG99" s="242"/>
      <c r="CH99" s="116"/>
      <c r="CI99" s="116"/>
      <c r="CJ99" s="116"/>
      <c r="CL99" s="116"/>
      <c r="CN99" s="239"/>
      <c r="CO99" s="153"/>
      <c r="DM99" s="116"/>
      <c r="DN99" s="116"/>
      <c r="DO99" s="116"/>
      <c r="DP99" s="116"/>
      <c r="DW99" s="116"/>
      <c r="DX99" s="219"/>
      <c r="DY99" s="219"/>
      <c r="DZ99" s="116"/>
      <c r="EA99" s="116"/>
      <c r="EB99" s="116"/>
      <c r="EC99" s="116"/>
      <c r="ED99" s="116"/>
      <c r="EF99" s="332"/>
      <c r="EG99" s="116"/>
      <c r="EH99" s="116"/>
      <c r="EI99" s="116"/>
      <c r="EJ99" s="116"/>
      <c r="EK99" s="116"/>
      <c r="EM99" s="116"/>
      <c r="EN99" s="116"/>
      <c r="EO99" s="116"/>
      <c r="EQ99" s="116"/>
      <c r="ER99" s="116"/>
      <c r="ES99" s="116"/>
      <c r="ET99" s="116"/>
      <c r="EU99" s="116"/>
      <c r="EV99" s="116"/>
      <c r="EX99" s="116"/>
      <c r="EY99" s="116"/>
      <c r="EZ99" s="116"/>
      <c r="FA99" s="116"/>
      <c r="FB99" s="116"/>
    </row>
    <row r="100" spans="1:158" ht="13">
      <c r="A100" s="10" t="str">
        <f>IF(B100="","",IF(HistSecRecord!$E$1&gt;=E100,1,0))</f>
        <v/>
      </c>
      <c r="E100" s="153"/>
      <c r="T100" s="153"/>
      <c r="BD100" s="31"/>
      <c r="BE100" s="31"/>
      <c r="BF100" s="31"/>
      <c r="BG100" s="31"/>
      <c r="BH100" s="31"/>
      <c r="BI100" s="116"/>
      <c r="BL100" s="196"/>
      <c r="BM100" s="239"/>
      <c r="BN100" s="330"/>
      <c r="BP100" s="330"/>
      <c r="BS100" s="116"/>
      <c r="BU100" s="331"/>
      <c r="BW100" s="116"/>
      <c r="BX100" s="116"/>
      <c r="BZ100" s="330"/>
      <c r="CB100" s="330"/>
      <c r="CC100" s="116"/>
      <c r="CG100" s="242"/>
      <c r="CH100" s="116"/>
      <c r="CI100" s="116"/>
      <c r="CJ100" s="116"/>
      <c r="CL100" s="116"/>
      <c r="CN100" s="239"/>
      <c r="CO100" s="153"/>
      <c r="DM100" s="116"/>
      <c r="DN100" s="116"/>
      <c r="DO100" s="116"/>
      <c r="DP100" s="116"/>
      <c r="DW100" s="116"/>
      <c r="DX100" s="219"/>
      <c r="DY100" s="219"/>
      <c r="DZ100" s="116"/>
      <c r="EA100" s="116"/>
      <c r="EB100" s="116"/>
      <c r="EC100" s="116"/>
      <c r="ED100" s="116"/>
      <c r="EF100" s="332"/>
      <c r="EG100" s="116"/>
      <c r="EH100" s="116"/>
      <c r="EI100" s="116"/>
      <c r="EJ100" s="116"/>
      <c r="EK100" s="116"/>
      <c r="EM100" s="116"/>
      <c r="EN100" s="116"/>
      <c r="EO100" s="116"/>
      <c r="EQ100" s="116"/>
      <c r="ER100" s="116"/>
      <c r="ES100" s="116"/>
      <c r="ET100" s="116"/>
      <c r="EU100" s="116"/>
      <c r="EV100" s="116"/>
      <c r="EX100" s="116"/>
      <c r="EY100" s="116"/>
      <c r="EZ100" s="116"/>
      <c r="FA100" s="116"/>
      <c r="FB100" s="116"/>
    </row>
    <row r="101" spans="1:158" ht="13">
      <c r="A101" s="10" t="str">
        <f>IF(B101="","",IF(HistSecRecord!$E$1&gt;=E101,1,0))</f>
        <v/>
      </c>
      <c r="E101" s="153"/>
      <c r="T101" s="153"/>
      <c r="BD101" s="31"/>
      <c r="BE101" s="31"/>
      <c r="BF101" s="31"/>
      <c r="BG101" s="31"/>
      <c r="BH101" s="31"/>
      <c r="BI101" s="116"/>
      <c r="BL101" s="196"/>
      <c r="BM101" s="239"/>
      <c r="BN101" s="330"/>
      <c r="BP101" s="330"/>
      <c r="BS101" s="116"/>
      <c r="BU101" s="331"/>
      <c r="BW101" s="116"/>
      <c r="BX101" s="116"/>
      <c r="BZ101" s="330"/>
      <c r="CB101" s="330"/>
      <c r="CC101" s="116"/>
      <c r="CG101" s="242"/>
      <c r="CH101" s="116"/>
      <c r="CI101" s="116"/>
      <c r="CJ101" s="116"/>
      <c r="CL101" s="116"/>
      <c r="CN101" s="239"/>
      <c r="CO101" s="153"/>
      <c r="DM101" s="116"/>
      <c r="DN101" s="116"/>
      <c r="DO101" s="116"/>
      <c r="DP101" s="116"/>
      <c r="DW101" s="116"/>
      <c r="DX101" s="219"/>
      <c r="DY101" s="219"/>
      <c r="DZ101" s="116"/>
      <c r="EA101" s="116"/>
      <c r="EB101" s="116"/>
      <c r="EC101" s="116"/>
      <c r="ED101" s="116"/>
      <c r="EF101" s="332"/>
      <c r="EG101" s="116"/>
      <c r="EH101" s="116"/>
      <c r="EI101" s="116"/>
      <c r="EJ101" s="116"/>
      <c r="EK101" s="116"/>
      <c r="EM101" s="116"/>
      <c r="EN101" s="116"/>
      <c r="EO101" s="116"/>
      <c r="EQ101" s="116"/>
      <c r="ER101" s="116"/>
      <c r="ES101" s="116"/>
      <c r="ET101" s="116"/>
      <c r="EU101" s="116"/>
      <c r="EV101" s="116"/>
      <c r="EX101" s="116"/>
      <c r="EY101" s="116"/>
      <c r="EZ101" s="116"/>
      <c r="FA101" s="116"/>
      <c r="FB101" s="116"/>
    </row>
    <row r="102" spans="1:158" ht="13">
      <c r="A102" s="10" t="str">
        <f>IF(B102="","",IF(HistSecRecord!$E$1&gt;=E102,1,0))</f>
        <v/>
      </c>
      <c r="E102" s="153"/>
      <c r="T102" s="153"/>
      <c r="BD102" s="31"/>
      <c r="BE102" s="31"/>
      <c r="BF102" s="31"/>
      <c r="BG102" s="31"/>
      <c r="BH102" s="31"/>
      <c r="BI102" s="116"/>
      <c r="BL102" s="196"/>
      <c r="BM102" s="239"/>
      <c r="BN102" s="330"/>
      <c r="BP102" s="330"/>
      <c r="BS102" s="116"/>
      <c r="BU102" s="331"/>
      <c r="BW102" s="116"/>
      <c r="BX102" s="116"/>
      <c r="BZ102" s="330"/>
      <c r="CB102" s="330"/>
      <c r="CC102" s="116"/>
      <c r="CG102" s="242"/>
      <c r="CH102" s="116"/>
      <c r="CI102" s="116"/>
      <c r="CJ102" s="116"/>
      <c r="CL102" s="116"/>
      <c r="CN102" s="239"/>
      <c r="CO102" s="153"/>
      <c r="DM102" s="116"/>
      <c r="DN102" s="116"/>
      <c r="DO102" s="116"/>
      <c r="DP102" s="116"/>
      <c r="DW102" s="116"/>
      <c r="DX102" s="219"/>
      <c r="DY102" s="219"/>
      <c r="DZ102" s="116"/>
      <c r="EA102" s="116"/>
      <c r="EB102" s="116"/>
      <c r="EC102" s="116"/>
      <c r="ED102" s="116"/>
      <c r="EF102" s="332"/>
      <c r="EG102" s="116"/>
      <c r="EH102" s="116"/>
      <c r="EI102" s="116"/>
      <c r="EJ102" s="116"/>
      <c r="EK102" s="116"/>
      <c r="EM102" s="116"/>
      <c r="EN102" s="116"/>
      <c r="EO102" s="116"/>
      <c r="EQ102" s="116"/>
      <c r="ER102" s="116"/>
      <c r="ES102" s="116"/>
      <c r="ET102" s="116"/>
      <c r="EU102" s="116"/>
      <c r="EV102" s="116"/>
      <c r="EX102" s="116"/>
      <c r="EY102" s="116"/>
      <c r="EZ102" s="116"/>
      <c r="FA102" s="116"/>
      <c r="FB102" s="116"/>
    </row>
    <row r="103" spans="1:158" ht="13">
      <c r="A103" s="10" t="str">
        <f>IF(B103="","",IF(HistSecRecord!$E$1&gt;=E103,1,0))</f>
        <v/>
      </c>
      <c r="E103" s="153"/>
      <c r="T103" s="153"/>
      <c r="BD103" s="31"/>
      <c r="BE103" s="31"/>
      <c r="BF103" s="31"/>
      <c r="BG103" s="31"/>
      <c r="BH103" s="31"/>
      <c r="BI103" s="116"/>
      <c r="BL103" s="196"/>
      <c r="BM103" s="239"/>
      <c r="BN103" s="330"/>
      <c r="BP103" s="330"/>
      <c r="BS103" s="116"/>
      <c r="BU103" s="331"/>
      <c r="BW103" s="116"/>
      <c r="BX103" s="116"/>
      <c r="BZ103" s="330"/>
      <c r="CB103" s="330"/>
      <c r="CC103" s="116"/>
      <c r="CG103" s="242"/>
      <c r="CH103" s="116"/>
      <c r="CI103" s="116"/>
      <c r="CJ103" s="116"/>
      <c r="CL103" s="116"/>
      <c r="CN103" s="239"/>
      <c r="CO103" s="153"/>
      <c r="DM103" s="116"/>
      <c r="DN103" s="116"/>
      <c r="DO103" s="116"/>
      <c r="DP103" s="116"/>
      <c r="DW103" s="116"/>
      <c r="DX103" s="219"/>
      <c r="DY103" s="219"/>
      <c r="DZ103" s="116"/>
      <c r="EA103" s="116"/>
      <c r="EB103" s="116"/>
      <c r="EC103" s="116"/>
      <c r="ED103" s="116"/>
      <c r="EF103" s="332"/>
      <c r="EG103" s="116"/>
      <c r="EH103" s="116"/>
      <c r="EI103" s="116"/>
      <c r="EJ103" s="116"/>
      <c r="EK103" s="116"/>
      <c r="EM103" s="116"/>
      <c r="EN103" s="116"/>
      <c r="EO103" s="116"/>
      <c r="EQ103" s="116"/>
      <c r="ER103" s="116"/>
      <c r="ES103" s="116"/>
      <c r="ET103" s="116"/>
      <c r="EU103" s="116"/>
      <c r="EV103" s="116"/>
      <c r="EX103" s="116"/>
      <c r="EY103" s="116"/>
      <c r="EZ103" s="116"/>
      <c r="FA103" s="116"/>
      <c r="FB103" s="116"/>
    </row>
    <row r="104" spans="1:158" ht="13">
      <c r="A104" s="10" t="str">
        <f>IF(B104="","",IF(HistSecRecord!$E$1&gt;=E104,1,0))</f>
        <v/>
      </c>
      <c r="E104" s="153"/>
      <c r="T104" s="153"/>
      <c r="BD104" s="31"/>
      <c r="BE104" s="31"/>
      <c r="BF104" s="31"/>
      <c r="BG104" s="31"/>
      <c r="BH104" s="31"/>
      <c r="BI104" s="116"/>
      <c r="BL104" s="196"/>
      <c r="BM104" s="239"/>
      <c r="BN104" s="330"/>
      <c r="BP104" s="330"/>
      <c r="BS104" s="116"/>
      <c r="BU104" s="331"/>
      <c r="BW104" s="116"/>
      <c r="BX104" s="116"/>
      <c r="BZ104" s="330"/>
      <c r="CB104" s="330"/>
      <c r="CC104" s="116"/>
      <c r="CG104" s="242"/>
      <c r="CH104" s="116"/>
      <c r="CI104" s="116"/>
      <c r="CJ104" s="116"/>
      <c r="CL104" s="116"/>
      <c r="CN104" s="239"/>
      <c r="CO104" s="153"/>
      <c r="DM104" s="116"/>
      <c r="DN104" s="116"/>
      <c r="DO104" s="116"/>
      <c r="DP104" s="116"/>
      <c r="DW104" s="116"/>
      <c r="DX104" s="219"/>
      <c r="DY104" s="219"/>
      <c r="DZ104" s="116"/>
      <c r="EA104" s="116"/>
      <c r="EB104" s="116"/>
      <c r="EC104" s="116"/>
      <c r="ED104" s="116"/>
      <c r="EF104" s="332"/>
      <c r="EG104" s="116"/>
      <c r="EH104" s="116"/>
      <c r="EI104" s="116"/>
      <c r="EJ104" s="116"/>
      <c r="EK104" s="116"/>
      <c r="EM104" s="116"/>
      <c r="EN104" s="116"/>
      <c r="EO104" s="116"/>
      <c r="EQ104" s="116"/>
      <c r="ER104" s="116"/>
      <c r="ES104" s="116"/>
      <c r="ET104" s="116"/>
      <c r="EU104" s="116"/>
      <c r="EV104" s="116"/>
      <c r="EX104" s="116"/>
      <c r="EY104" s="116"/>
      <c r="EZ104" s="116"/>
      <c r="FA104" s="116"/>
      <c r="FB104" s="116"/>
    </row>
    <row r="105" spans="1:158" ht="13">
      <c r="A105" s="10" t="str">
        <f>IF(B105="","",IF(HistSecRecord!$E$1&gt;=E105,1,0))</f>
        <v/>
      </c>
      <c r="E105" s="153"/>
      <c r="T105" s="153"/>
      <c r="BD105" s="31"/>
      <c r="BE105" s="31"/>
      <c r="BF105" s="31"/>
      <c r="BG105" s="31"/>
      <c r="BH105" s="31"/>
      <c r="BI105" s="116"/>
      <c r="BL105" s="196"/>
      <c r="BM105" s="239"/>
      <c r="BN105" s="330"/>
      <c r="BP105" s="330"/>
      <c r="BS105" s="116"/>
      <c r="BU105" s="331"/>
      <c r="BW105" s="116"/>
      <c r="BX105" s="116"/>
      <c r="BZ105" s="330"/>
      <c r="CB105" s="330"/>
      <c r="CC105" s="116"/>
      <c r="CG105" s="242"/>
      <c r="CH105" s="116"/>
      <c r="CI105" s="116"/>
      <c r="CJ105" s="116"/>
      <c r="CL105" s="116"/>
      <c r="CN105" s="239"/>
      <c r="CO105" s="153"/>
      <c r="DM105" s="116"/>
      <c r="DN105" s="116"/>
      <c r="DO105" s="116"/>
      <c r="DP105" s="116"/>
      <c r="DW105" s="116"/>
      <c r="DX105" s="219"/>
      <c r="DY105" s="219"/>
      <c r="DZ105" s="116"/>
      <c r="EA105" s="116"/>
      <c r="EB105" s="116"/>
      <c r="EC105" s="116"/>
      <c r="ED105" s="116"/>
      <c r="EF105" s="332"/>
      <c r="EG105" s="116"/>
      <c r="EH105" s="116"/>
      <c r="EI105" s="116"/>
      <c r="EJ105" s="116"/>
      <c r="EK105" s="116"/>
      <c r="EM105" s="116"/>
      <c r="EN105" s="116"/>
      <c r="EO105" s="116"/>
      <c r="EQ105" s="116"/>
      <c r="ER105" s="116"/>
      <c r="ES105" s="116"/>
      <c r="ET105" s="116"/>
      <c r="EU105" s="116"/>
      <c r="EV105" s="116"/>
      <c r="EX105" s="116"/>
      <c r="EY105" s="116"/>
      <c r="EZ105" s="116"/>
      <c r="FA105" s="116"/>
      <c r="FB105" s="116"/>
    </row>
    <row r="106" spans="1:158" ht="13">
      <c r="A106" s="10" t="str">
        <f>IF(B106="","",IF(HistSecRecord!$E$1&gt;=E106,1,0))</f>
        <v/>
      </c>
      <c r="E106" s="153"/>
      <c r="T106" s="153"/>
      <c r="BD106" s="31"/>
      <c r="BE106" s="31"/>
      <c r="BF106" s="31"/>
      <c r="BG106" s="31"/>
      <c r="BH106" s="31"/>
      <c r="BI106" s="116"/>
      <c r="BL106" s="196"/>
      <c r="BM106" s="239"/>
      <c r="BN106" s="330"/>
      <c r="BP106" s="330"/>
      <c r="BS106" s="116"/>
      <c r="BU106" s="331"/>
      <c r="BW106" s="116"/>
      <c r="BX106" s="116"/>
      <c r="BZ106" s="330"/>
      <c r="CB106" s="330"/>
      <c r="CC106" s="116"/>
      <c r="CG106" s="242"/>
      <c r="CH106" s="116"/>
      <c r="CI106" s="116"/>
      <c r="CJ106" s="116"/>
      <c r="CL106" s="116"/>
      <c r="CN106" s="239"/>
      <c r="CO106" s="153"/>
      <c r="DM106" s="116"/>
      <c r="DN106" s="116"/>
      <c r="DO106" s="116"/>
      <c r="DP106" s="116"/>
      <c r="DW106" s="116"/>
      <c r="DX106" s="219"/>
      <c r="DY106" s="219"/>
      <c r="DZ106" s="116"/>
      <c r="EA106" s="116"/>
      <c r="EB106" s="116"/>
      <c r="EC106" s="116"/>
      <c r="ED106" s="116"/>
      <c r="EF106" s="332"/>
      <c r="EG106" s="116"/>
      <c r="EH106" s="116"/>
      <c r="EI106" s="116"/>
      <c r="EJ106" s="116"/>
      <c r="EK106" s="116"/>
      <c r="EM106" s="116"/>
      <c r="EN106" s="116"/>
      <c r="EO106" s="116"/>
      <c r="EQ106" s="116"/>
      <c r="ER106" s="116"/>
      <c r="ES106" s="116"/>
      <c r="ET106" s="116"/>
      <c r="EU106" s="116"/>
      <c r="EV106" s="116"/>
      <c r="EX106" s="116"/>
      <c r="EY106" s="116"/>
      <c r="EZ106" s="116"/>
      <c r="FA106" s="116"/>
      <c r="FB106" s="116"/>
    </row>
    <row r="107" spans="1:158" ht="13">
      <c r="A107" s="10" t="str">
        <f>IF(B107="","",IF(HistSecRecord!$E$1&gt;=E107,1,0))</f>
        <v/>
      </c>
      <c r="E107" s="153"/>
      <c r="T107" s="153"/>
      <c r="BD107" s="31"/>
      <c r="BE107" s="31"/>
      <c r="BF107" s="31"/>
      <c r="BG107" s="31"/>
      <c r="BH107" s="31"/>
      <c r="BI107" s="116"/>
      <c r="BL107" s="196"/>
      <c r="BM107" s="239"/>
      <c r="BN107" s="330"/>
      <c r="BP107" s="330"/>
      <c r="BS107" s="116"/>
      <c r="BU107" s="331"/>
      <c r="BW107" s="116"/>
      <c r="BX107" s="116"/>
      <c r="BZ107" s="330"/>
      <c r="CB107" s="330"/>
      <c r="CC107" s="116"/>
      <c r="CG107" s="242"/>
      <c r="CH107" s="116"/>
      <c r="CI107" s="116"/>
      <c r="CJ107" s="116"/>
      <c r="CL107" s="116"/>
      <c r="CN107" s="239"/>
      <c r="CO107" s="153"/>
      <c r="DM107" s="116"/>
      <c r="DN107" s="116"/>
      <c r="DO107" s="116"/>
      <c r="DP107" s="116"/>
      <c r="DW107" s="116"/>
      <c r="DX107" s="219"/>
      <c r="DY107" s="219"/>
      <c r="DZ107" s="116"/>
      <c r="EA107" s="116"/>
      <c r="EB107" s="116"/>
      <c r="EC107" s="116"/>
      <c r="ED107" s="116"/>
      <c r="EF107" s="332"/>
      <c r="EG107" s="116"/>
      <c r="EH107" s="116"/>
      <c r="EI107" s="116"/>
      <c r="EJ107" s="116"/>
      <c r="EK107" s="116"/>
      <c r="EM107" s="116"/>
      <c r="EN107" s="116"/>
      <c r="EO107" s="116"/>
      <c r="EQ107" s="116"/>
      <c r="ER107" s="116"/>
      <c r="ES107" s="116"/>
      <c r="ET107" s="116"/>
      <c r="EU107" s="116"/>
      <c r="EV107" s="116"/>
      <c r="EX107" s="116"/>
      <c r="EY107" s="116"/>
      <c r="EZ107" s="116"/>
      <c r="FA107" s="116"/>
      <c r="FB107" s="116"/>
    </row>
    <row r="108" spans="1:158" ht="13">
      <c r="A108" s="10" t="str">
        <f>IF(B108="","",IF(HistSecRecord!$E$1&gt;=E108,1,0))</f>
        <v/>
      </c>
      <c r="E108" s="153"/>
      <c r="T108" s="153"/>
      <c r="BD108" s="31"/>
      <c r="BE108" s="31"/>
      <c r="BF108" s="31"/>
      <c r="BG108" s="31"/>
      <c r="BH108" s="31"/>
      <c r="BI108" s="116"/>
      <c r="BL108" s="196"/>
      <c r="BM108" s="239"/>
      <c r="BN108" s="330"/>
      <c r="BP108" s="330"/>
      <c r="BS108" s="116"/>
      <c r="BU108" s="331"/>
      <c r="BW108" s="116"/>
      <c r="BX108" s="116"/>
      <c r="BZ108" s="330"/>
      <c r="CB108" s="330"/>
      <c r="CC108" s="116"/>
      <c r="CG108" s="242"/>
      <c r="CH108" s="116"/>
      <c r="CI108" s="116"/>
      <c r="CJ108" s="116"/>
      <c r="CL108" s="116"/>
      <c r="CN108" s="239"/>
      <c r="CO108" s="153"/>
      <c r="DM108" s="116"/>
      <c r="DN108" s="116"/>
      <c r="DO108" s="116"/>
      <c r="DP108" s="116"/>
      <c r="DW108" s="116"/>
      <c r="DX108" s="219"/>
      <c r="DY108" s="219"/>
      <c r="DZ108" s="116"/>
      <c r="EA108" s="116"/>
      <c r="EB108" s="116"/>
      <c r="EC108" s="116"/>
      <c r="ED108" s="116"/>
      <c r="EF108" s="332"/>
      <c r="EG108" s="116"/>
      <c r="EH108" s="116"/>
      <c r="EI108" s="116"/>
      <c r="EJ108" s="116"/>
      <c r="EK108" s="116"/>
      <c r="EM108" s="116"/>
      <c r="EN108" s="116"/>
      <c r="EO108" s="116"/>
      <c r="EQ108" s="116"/>
      <c r="ER108" s="116"/>
      <c r="ES108" s="116"/>
      <c r="ET108" s="116"/>
      <c r="EU108" s="116"/>
      <c r="EV108" s="116"/>
      <c r="EX108" s="116"/>
      <c r="EY108" s="116"/>
      <c r="EZ108" s="116"/>
      <c r="FA108" s="116"/>
      <c r="FB108" s="116"/>
    </row>
    <row r="109" spans="1:158" ht="13">
      <c r="A109" s="10" t="str">
        <f>IF(B109="","",IF(HistSecRecord!$E$1&gt;=E109,1,0))</f>
        <v/>
      </c>
      <c r="E109" s="153"/>
      <c r="T109" s="153"/>
      <c r="BD109" s="31"/>
      <c r="BE109" s="31"/>
      <c r="BF109" s="31"/>
      <c r="BG109" s="31"/>
      <c r="BH109" s="31"/>
      <c r="BI109" s="116"/>
      <c r="BL109" s="196"/>
      <c r="BM109" s="239"/>
      <c r="BN109" s="330"/>
      <c r="BP109" s="330"/>
      <c r="BS109" s="116"/>
      <c r="BU109" s="331"/>
      <c r="BW109" s="116"/>
      <c r="BX109" s="116"/>
      <c r="BZ109" s="330"/>
      <c r="CB109" s="330"/>
      <c r="CC109" s="116"/>
      <c r="CG109" s="242"/>
      <c r="CH109" s="116"/>
      <c r="CI109" s="116"/>
      <c r="CJ109" s="116"/>
      <c r="CL109" s="116"/>
      <c r="CN109" s="239"/>
      <c r="CO109" s="153"/>
      <c r="DM109" s="116"/>
      <c r="DN109" s="116"/>
      <c r="DO109" s="116"/>
      <c r="DP109" s="116"/>
      <c r="DW109" s="116"/>
      <c r="DX109" s="219"/>
      <c r="DY109" s="219"/>
      <c r="DZ109" s="116"/>
      <c r="EA109" s="116"/>
      <c r="EB109" s="116"/>
      <c r="EC109" s="116"/>
      <c r="ED109" s="116"/>
      <c r="EF109" s="332"/>
      <c r="EG109" s="116"/>
      <c r="EH109" s="116"/>
      <c r="EI109" s="116"/>
      <c r="EJ109" s="116"/>
      <c r="EK109" s="116"/>
      <c r="EM109" s="116"/>
      <c r="EN109" s="116"/>
      <c r="EO109" s="116"/>
      <c r="EQ109" s="116"/>
      <c r="ER109" s="116"/>
      <c r="ES109" s="116"/>
      <c r="ET109" s="116"/>
      <c r="EU109" s="116"/>
      <c r="EV109" s="116"/>
      <c r="EX109" s="116"/>
      <c r="EY109" s="116"/>
      <c r="EZ109" s="116"/>
      <c r="FA109" s="116"/>
      <c r="FB109" s="116"/>
    </row>
    <row r="110" spans="1:158" ht="13">
      <c r="A110" s="10" t="str">
        <f>IF(B110="","",IF(HistSecRecord!$E$1&gt;=E110,1,0))</f>
        <v/>
      </c>
      <c r="E110" s="153"/>
      <c r="T110" s="153"/>
      <c r="BD110" s="31"/>
      <c r="BE110" s="31"/>
      <c r="BF110" s="31"/>
      <c r="BG110" s="31"/>
      <c r="BH110" s="31"/>
      <c r="BI110" s="116"/>
      <c r="BL110" s="196"/>
      <c r="BM110" s="239"/>
      <c r="BN110" s="330"/>
      <c r="BP110" s="330"/>
      <c r="BS110" s="116"/>
      <c r="BU110" s="331"/>
      <c r="BW110" s="116"/>
      <c r="BX110" s="116"/>
      <c r="BZ110" s="330"/>
      <c r="CB110" s="330"/>
      <c r="CC110" s="116"/>
      <c r="CG110" s="242"/>
      <c r="CH110" s="116"/>
      <c r="CI110" s="116"/>
      <c r="CJ110" s="116"/>
      <c r="CL110" s="116"/>
      <c r="CN110" s="239"/>
      <c r="CO110" s="153"/>
      <c r="DM110" s="116"/>
      <c r="DN110" s="116"/>
      <c r="DO110" s="116"/>
      <c r="DP110" s="116"/>
      <c r="DW110" s="116"/>
      <c r="DX110" s="219"/>
      <c r="DY110" s="219"/>
      <c r="DZ110" s="116"/>
      <c r="EA110" s="116"/>
      <c r="EB110" s="116"/>
      <c r="EC110" s="116"/>
      <c r="ED110" s="116"/>
      <c r="EF110" s="332"/>
      <c r="EG110" s="116"/>
      <c r="EH110" s="116"/>
      <c r="EI110" s="116"/>
      <c r="EJ110" s="116"/>
      <c r="EK110" s="116"/>
      <c r="EM110" s="116"/>
      <c r="EN110" s="116"/>
      <c r="EO110" s="116"/>
      <c r="EQ110" s="116"/>
      <c r="ER110" s="116"/>
      <c r="ES110" s="116"/>
      <c r="ET110" s="116"/>
      <c r="EU110" s="116"/>
      <c r="EV110" s="116"/>
      <c r="EX110" s="116"/>
      <c r="EY110" s="116"/>
      <c r="EZ110" s="116"/>
      <c r="FA110" s="116"/>
      <c r="FB110" s="116"/>
    </row>
    <row r="111" spans="1:158" ht="13">
      <c r="A111" s="10" t="str">
        <f>IF(B111="","",IF(HistSecRecord!$E$1&gt;=E111,1,0))</f>
        <v/>
      </c>
      <c r="E111" s="153"/>
      <c r="T111" s="153"/>
      <c r="BD111" s="31"/>
      <c r="BE111" s="31"/>
      <c r="BF111" s="31"/>
      <c r="BG111" s="31"/>
      <c r="BH111" s="31"/>
      <c r="BI111" s="116"/>
      <c r="BL111" s="196"/>
      <c r="BM111" s="239"/>
      <c r="BN111" s="330"/>
      <c r="BP111" s="330"/>
      <c r="BS111" s="116"/>
      <c r="BU111" s="331"/>
      <c r="BW111" s="116"/>
      <c r="BX111" s="116"/>
      <c r="BZ111" s="330"/>
      <c r="CB111" s="330"/>
      <c r="CC111" s="116"/>
      <c r="CG111" s="242"/>
      <c r="CH111" s="116"/>
      <c r="CI111" s="116"/>
      <c r="CJ111" s="116"/>
      <c r="CL111" s="116"/>
      <c r="CN111" s="239"/>
      <c r="CO111" s="153"/>
      <c r="DM111" s="116"/>
      <c r="DN111" s="116"/>
      <c r="DO111" s="116"/>
      <c r="DP111" s="116"/>
      <c r="DW111" s="116"/>
      <c r="DX111" s="219"/>
      <c r="DY111" s="219"/>
      <c r="DZ111" s="116"/>
      <c r="EA111" s="116"/>
      <c r="EB111" s="116"/>
      <c r="EC111" s="116"/>
      <c r="ED111" s="116"/>
      <c r="EF111" s="332"/>
      <c r="EG111" s="116"/>
      <c r="EH111" s="116"/>
      <c r="EI111" s="116"/>
      <c r="EJ111" s="116"/>
      <c r="EK111" s="116"/>
      <c r="EM111" s="116"/>
      <c r="EN111" s="116"/>
      <c r="EO111" s="116"/>
      <c r="EQ111" s="116"/>
      <c r="ER111" s="116"/>
      <c r="ES111" s="116"/>
      <c r="ET111" s="116"/>
      <c r="EU111" s="116"/>
      <c r="EV111" s="116"/>
      <c r="EX111" s="116"/>
      <c r="EY111" s="116"/>
      <c r="EZ111" s="116"/>
      <c r="FA111" s="116"/>
      <c r="FB111" s="116"/>
    </row>
    <row r="112" spans="1:158" ht="13">
      <c r="A112" s="10" t="str">
        <f>IF(B112="","",IF(HistSecRecord!$E$1&gt;=E112,1,0))</f>
        <v/>
      </c>
      <c r="E112" s="153"/>
      <c r="T112" s="153"/>
      <c r="BD112" s="31"/>
      <c r="BE112" s="31"/>
      <c r="BF112" s="31"/>
      <c r="BG112" s="31"/>
      <c r="BH112" s="31"/>
      <c r="BI112" s="116"/>
      <c r="BL112" s="196"/>
      <c r="BM112" s="239"/>
      <c r="BN112" s="330"/>
      <c r="BP112" s="330"/>
      <c r="BS112" s="116"/>
      <c r="BU112" s="331"/>
      <c r="BW112" s="116"/>
      <c r="BX112" s="116"/>
      <c r="BZ112" s="330"/>
      <c r="CB112" s="330"/>
      <c r="CC112" s="116"/>
      <c r="CG112" s="242"/>
      <c r="CH112" s="116"/>
      <c r="CI112" s="116"/>
      <c r="CJ112" s="116"/>
      <c r="CL112" s="116"/>
      <c r="CN112" s="239"/>
      <c r="CO112" s="153"/>
      <c r="DM112" s="116"/>
      <c r="DN112" s="116"/>
      <c r="DO112" s="116"/>
      <c r="DP112" s="116"/>
      <c r="DW112" s="116"/>
      <c r="DX112" s="219"/>
      <c r="DY112" s="219"/>
      <c r="DZ112" s="116"/>
      <c r="EA112" s="116"/>
      <c r="EB112" s="116"/>
      <c r="EC112" s="116"/>
      <c r="ED112" s="116"/>
      <c r="EF112" s="332"/>
      <c r="EG112" s="116"/>
      <c r="EH112" s="116"/>
      <c r="EI112" s="116"/>
      <c r="EJ112" s="116"/>
      <c r="EK112" s="116"/>
      <c r="EM112" s="116"/>
      <c r="EN112" s="116"/>
      <c r="EO112" s="116"/>
      <c r="EQ112" s="116"/>
      <c r="ER112" s="116"/>
      <c r="ES112" s="116"/>
      <c r="ET112" s="116"/>
      <c r="EU112" s="116"/>
      <c r="EV112" s="116"/>
      <c r="EX112" s="116"/>
      <c r="EY112" s="116"/>
      <c r="EZ112" s="116"/>
      <c r="FA112" s="116"/>
      <c r="FB112" s="116"/>
    </row>
    <row r="113" spans="1:158" ht="13">
      <c r="A113" s="10" t="str">
        <f>IF(B113="","",IF(HistSecRecord!$E$1&gt;=E113,1,0))</f>
        <v/>
      </c>
      <c r="E113" s="153"/>
      <c r="T113" s="153"/>
      <c r="BD113" s="31"/>
      <c r="BE113" s="31"/>
      <c r="BF113" s="31"/>
      <c r="BG113" s="31"/>
      <c r="BH113" s="31"/>
      <c r="BI113" s="116"/>
      <c r="BL113" s="196"/>
      <c r="BM113" s="239"/>
      <c r="BN113" s="330"/>
      <c r="BP113" s="330"/>
      <c r="BS113" s="116"/>
      <c r="BU113" s="331"/>
      <c r="BW113" s="116"/>
      <c r="BX113" s="116"/>
      <c r="BZ113" s="330"/>
      <c r="CB113" s="330"/>
      <c r="CC113" s="116"/>
      <c r="CG113" s="242"/>
      <c r="CH113" s="116"/>
      <c r="CI113" s="116"/>
      <c r="CJ113" s="116"/>
      <c r="CL113" s="116"/>
      <c r="CN113" s="239"/>
      <c r="CO113" s="153"/>
      <c r="DM113" s="116"/>
      <c r="DN113" s="116"/>
      <c r="DO113" s="116"/>
      <c r="DP113" s="116"/>
      <c r="DW113" s="116"/>
      <c r="DX113" s="219"/>
      <c r="DY113" s="219"/>
      <c r="DZ113" s="116"/>
      <c r="EA113" s="116"/>
      <c r="EB113" s="116"/>
      <c r="EC113" s="116"/>
      <c r="ED113" s="116"/>
      <c r="EF113" s="332"/>
      <c r="EG113" s="116"/>
      <c r="EH113" s="116"/>
      <c r="EI113" s="116"/>
      <c r="EJ113" s="116"/>
      <c r="EK113" s="116"/>
      <c r="EM113" s="116"/>
      <c r="EN113" s="116"/>
      <c r="EO113" s="116"/>
      <c r="EQ113" s="116"/>
      <c r="ER113" s="116"/>
      <c r="ES113" s="116"/>
      <c r="ET113" s="116"/>
      <c r="EU113" s="116"/>
      <c r="EV113" s="116"/>
      <c r="EX113" s="116"/>
      <c r="EY113" s="116"/>
      <c r="EZ113" s="116"/>
      <c r="FA113" s="116"/>
      <c r="FB113" s="116"/>
    </row>
    <row r="114" spans="1:158" ht="13">
      <c r="A114" s="10" t="str">
        <f>IF(B114="","",IF(HistSecRecord!$E$1&gt;=E114,1,0))</f>
        <v/>
      </c>
      <c r="E114" s="153"/>
      <c r="T114" s="153"/>
      <c r="BD114" s="31"/>
      <c r="BE114" s="31"/>
      <c r="BF114" s="31"/>
      <c r="BG114" s="31"/>
      <c r="BH114" s="31"/>
      <c r="BI114" s="116"/>
      <c r="BL114" s="196"/>
      <c r="BM114" s="239"/>
      <c r="BN114" s="330"/>
      <c r="BP114" s="330"/>
      <c r="BS114" s="116"/>
      <c r="BU114" s="331"/>
      <c r="BW114" s="116"/>
      <c r="BX114" s="116"/>
      <c r="BZ114" s="330"/>
      <c r="CB114" s="330"/>
      <c r="CC114" s="116"/>
      <c r="CG114" s="242"/>
      <c r="CH114" s="116"/>
      <c r="CI114" s="116"/>
      <c r="CJ114" s="116"/>
      <c r="CL114" s="116"/>
      <c r="CN114" s="239"/>
      <c r="CO114" s="153"/>
      <c r="DM114" s="116"/>
      <c r="DN114" s="116"/>
      <c r="DO114" s="116"/>
      <c r="DP114" s="116"/>
      <c r="DW114" s="116"/>
      <c r="DX114" s="219"/>
      <c r="DY114" s="219"/>
      <c r="DZ114" s="116"/>
      <c r="EA114" s="116"/>
      <c r="EB114" s="116"/>
      <c r="EC114" s="116"/>
      <c r="ED114" s="116"/>
      <c r="EF114" s="332"/>
      <c r="EG114" s="116"/>
      <c r="EH114" s="116"/>
      <c r="EI114" s="116"/>
      <c r="EJ114" s="116"/>
      <c r="EK114" s="116"/>
      <c r="EM114" s="116"/>
      <c r="EN114" s="116"/>
      <c r="EO114" s="116"/>
      <c r="EQ114" s="116"/>
      <c r="ER114" s="116"/>
      <c r="ES114" s="116"/>
      <c r="ET114" s="116"/>
      <c r="EU114" s="116"/>
      <c r="EV114" s="116"/>
      <c r="EX114" s="116"/>
      <c r="EY114" s="116"/>
      <c r="EZ114" s="116"/>
      <c r="FA114" s="116"/>
      <c r="FB114" s="116"/>
    </row>
    <row r="115" spans="1:158" ht="13">
      <c r="A115" s="10" t="str">
        <f>IF(B115="","",IF(HistSecRecord!$E$1&gt;=E115,1,0))</f>
        <v/>
      </c>
      <c r="E115" s="153"/>
      <c r="T115" s="153"/>
      <c r="BD115" s="31"/>
      <c r="BE115" s="31"/>
      <c r="BF115" s="31"/>
      <c r="BG115" s="31"/>
      <c r="BH115" s="31"/>
      <c r="BI115" s="116"/>
      <c r="BL115" s="196"/>
      <c r="BM115" s="239"/>
      <c r="BN115" s="330"/>
      <c r="BP115" s="330"/>
      <c r="BS115" s="116"/>
      <c r="BU115" s="331"/>
      <c r="BW115" s="116"/>
      <c r="BX115" s="116"/>
      <c r="BZ115" s="330"/>
      <c r="CB115" s="330"/>
      <c r="CC115" s="116"/>
      <c r="CG115" s="242"/>
      <c r="CH115" s="116"/>
      <c r="CI115" s="116"/>
      <c r="CJ115" s="116"/>
      <c r="CL115" s="116"/>
      <c r="CN115" s="239"/>
      <c r="CO115" s="153"/>
      <c r="DM115" s="116"/>
      <c r="DN115" s="116"/>
      <c r="DO115" s="116"/>
      <c r="DP115" s="116"/>
      <c r="DW115" s="116"/>
      <c r="DX115" s="219"/>
      <c r="DY115" s="219"/>
      <c r="DZ115" s="116"/>
      <c r="EA115" s="116"/>
      <c r="EB115" s="116"/>
      <c r="EC115" s="116"/>
      <c r="ED115" s="116"/>
      <c r="EF115" s="332"/>
      <c r="EG115" s="116"/>
      <c r="EH115" s="116"/>
      <c r="EI115" s="116"/>
      <c r="EJ115" s="116"/>
      <c r="EK115" s="116"/>
      <c r="EM115" s="116"/>
      <c r="EN115" s="116"/>
      <c r="EO115" s="116"/>
      <c r="EQ115" s="116"/>
      <c r="ER115" s="116"/>
      <c r="ES115" s="116"/>
      <c r="ET115" s="116"/>
      <c r="EU115" s="116"/>
      <c r="EV115" s="116"/>
      <c r="EX115" s="116"/>
      <c r="EY115" s="116"/>
      <c r="EZ115" s="116"/>
      <c r="FA115" s="116"/>
      <c r="FB115" s="116"/>
    </row>
    <row r="116" spans="1:158" ht="13">
      <c r="A116" s="10" t="str">
        <f>IF(B116="","",IF(HistSecRecord!$E$1&gt;=E116,1,0))</f>
        <v/>
      </c>
      <c r="E116" s="153"/>
      <c r="T116" s="153"/>
      <c r="BD116" s="31"/>
      <c r="BE116" s="31"/>
      <c r="BF116" s="31"/>
      <c r="BG116" s="31"/>
      <c r="BH116" s="31"/>
      <c r="BI116" s="116"/>
      <c r="BL116" s="196"/>
      <c r="BM116" s="239"/>
      <c r="BN116" s="330"/>
      <c r="BP116" s="330"/>
      <c r="BS116" s="116"/>
      <c r="BU116" s="331"/>
      <c r="BW116" s="116"/>
      <c r="BX116" s="116"/>
      <c r="BZ116" s="330"/>
      <c r="CB116" s="330"/>
      <c r="CC116" s="116"/>
      <c r="CG116" s="242"/>
      <c r="CH116" s="116"/>
      <c r="CI116" s="116"/>
      <c r="CJ116" s="116"/>
      <c r="CL116" s="116"/>
      <c r="CN116" s="239"/>
      <c r="CO116" s="153"/>
      <c r="DM116" s="116"/>
      <c r="DN116" s="116"/>
      <c r="DO116" s="116"/>
      <c r="DP116" s="116"/>
      <c r="DW116" s="116"/>
      <c r="DX116" s="219"/>
      <c r="DY116" s="219"/>
      <c r="DZ116" s="116"/>
      <c r="EA116" s="116"/>
      <c r="EB116" s="116"/>
      <c r="EC116" s="116"/>
      <c r="ED116" s="116"/>
      <c r="EF116" s="332"/>
      <c r="EG116" s="116"/>
      <c r="EH116" s="116"/>
      <c r="EI116" s="116"/>
      <c r="EJ116" s="116"/>
      <c r="EK116" s="116"/>
      <c r="EM116" s="116"/>
      <c r="EN116" s="116"/>
      <c r="EO116" s="116"/>
      <c r="EQ116" s="116"/>
      <c r="ER116" s="116"/>
      <c r="ES116" s="116"/>
      <c r="ET116" s="116"/>
      <c r="EU116" s="116"/>
      <c r="EV116" s="116"/>
      <c r="EX116" s="116"/>
      <c r="EY116" s="116"/>
      <c r="EZ116" s="116"/>
      <c r="FA116" s="116"/>
      <c r="FB116" s="116"/>
    </row>
    <row r="117" spans="1:158" ht="13">
      <c r="A117" s="10" t="str">
        <f>IF(B117="","",IF(HistSecRecord!$E$1&gt;=E117,1,0))</f>
        <v/>
      </c>
      <c r="E117" s="153"/>
      <c r="T117" s="153"/>
      <c r="BD117" s="31"/>
      <c r="BE117" s="31"/>
      <c r="BF117" s="31"/>
      <c r="BG117" s="31"/>
      <c r="BH117" s="31"/>
      <c r="BI117" s="116"/>
      <c r="BL117" s="196"/>
      <c r="BM117" s="239"/>
      <c r="BN117" s="330"/>
      <c r="BP117" s="330"/>
      <c r="BS117" s="116"/>
      <c r="BU117" s="331"/>
      <c r="BW117" s="116"/>
      <c r="BX117" s="116"/>
      <c r="BZ117" s="330"/>
      <c r="CB117" s="330"/>
      <c r="CC117" s="116"/>
      <c r="CG117" s="242"/>
      <c r="CH117" s="116"/>
      <c r="CI117" s="116"/>
      <c r="CJ117" s="116"/>
      <c r="CL117" s="116"/>
      <c r="CN117" s="239"/>
      <c r="CO117" s="153"/>
      <c r="DM117" s="116"/>
      <c r="DN117" s="116"/>
      <c r="DO117" s="116"/>
      <c r="DP117" s="116"/>
      <c r="DW117" s="116"/>
      <c r="DX117" s="219"/>
      <c r="DY117" s="219"/>
      <c r="DZ117" s="116"/>
      <c r="EA117" s="116"/>
      <c r="EB117" s="116"/>
      <c r="EC117" s="116"/>
      <c r="ED117" s="116"/>
      <c r="EF117" s="332"/>
      <c r="EG117" s="116"/>
      <c r="EH117" s="116"/>
      <c r="EI117" s="116"/>
      <c r="EJ117" s="116"/>
      <c r="EK117" s="116"/>
      <c r="EM117" s="116"/>
      <c r="EN117" s="116"/>
      <c r="EO117" s="116"/>
      <c r="EQ117" s="116"/>
      <c r="ER117" s="116"/>
      <c r="ES117" s="116"/>
      <c r="ET117" s="116"/>
      <c r="EU117" s="116"/>
      <c r="EV117" s="116"/>
      <c r="EX117" s="116"/>
      <c r="EY117" s="116"/>
      <c r="EZ117" s="116"/>
      <c r="FA117" s="116"/>
      <c r="FB117" s="116"/>
    </row>
    <row r="118" spans="1:158" ht="13">
      <c r="A118" s="10" t="str">
        <f>IF(B118="","",IF(HistSecRecord!$E$1&gt;=E118,1,0))</f>
        <v/>
      </c>
      <c r="E118" s="153"/>
      <c r="T118" s="153"/>
      <c r="BD118" s="31"/>
      <c r="BE118" s="31"/>
      <c r="BF118" s="31"/>
      <c r="BG118" s="31"/>
      <c r="BH118" s="31"/>
      <c r="BI118" s="116"/>
      <c r="BL118" s="196"/>
      <c r="BM118" s="239"/>
      <c r="BN118" s="330"/>
      <c r="BP118" s="330"/>
      <c r="BS118" s="116"/>
      <c r="BU118" s="331"/>
      <c r="BW118" s="116"/>
      <c r="BX118" s="116"/>
      <c r="BZ118" s="330"/>
      <c r="CB118" s="330"/>
      <c r="CC118" s="116"/>
      <c r="CG118" s="242"/>
      <c r="CH118" s="116"/>
      <c r="CI118" s="116"/>
      <c r="CJ118" s="116"/>
      <c r="CL118" s="116"/>
      <c r="CN118" s="239"/>
      <c r="CO118" s="153"/>
      <c r="DM118" s="116"/>
      <c r="DN118" s="116"/>
      <c r="DO118" s="116"/>
      <c r="DP118" s="116"/>
      <c r="DW118" s="116"/>
      <c r="DX118" s="219"/>
      <c r="DY118" s="219"/>
      <c r="DZ118" s="116"/>
      <c r="EA118" s="116"/>
      <c r="EB118" s="116"/>
      <c r="EC118" s="116"/>
      <c r="ED118" s="116"/>
      <c r="EF118" s="332"/>
      <c r="EG118" s="116"/>
      <c r="EH118" s="116"/>
      <c r="EI118" s="116"/>
      <c r="EJ118" s="116"/>
      <c r="EK118" s="116"/>
      <c r="EM118" s="116"/>
      <c r="EN118" s="116"/>
      <c r="EO118" s="116"/>
      <c r="EQ118" s="116"/>
      <c r="ER118" s="116"/>
      <c r="ES118" s="116"/>
      <c r="ET118" s="116"/>
      <c r="EU118" s="116"/>
      <c r="EV118" s="116"/>
      <c r="EX118" s="116"/>
      <c r="EY118" s="116"/>
      <c r="EZ118" s="116"/>
      <c r="FA118" s="116"/>
      <c r="FB118" s="116"/>
    </row>
    <row r="119" spans="1:158" ht="13">
      <c r="A119" s="10" t="str">
        <f>IF(B119="","",IF(HistSecRecord!$E$1&gt;=E119,1,0))</f>
        <v/>
      </c>
      <c r="E119" s="153"/>
      <c r="T119" s="153"/>
      <c r="BD119" s="31"/>
      <c r="BE119" s="31"/>
      <c r="BF119" s="31"/>
      <c r="BG119" s="31"/>
      <c r="BH119" s="31"/>
      <c r="BI119" s="116"/>
      <c r="BL119" s="196"/>
      <c r="BM119" s="239"/>
      <c r="BN119" s="330"/>
      <c r="BP119" s="330"/>
      <c r="BS119" s="116"/>
      <c r="BU119" s="331"/>
      <c r="BW119" s="116"/>
      <c r="BX119" s="116"/>
      <c r="BZ119" s="330"/>
      <c r="CB119" s="330"/>
      <c r="CC119" s="116"/>
      <c r="CG119" s="242"/>
      <c r="CH119" s="116"/>
      <c r="CI119" s="116"/>
      <c r="CJ119" s="116"/>
      <c r="CL119" s="116"/>
      <c r="CN119" s="239"/>
      <c r="CO119" s="153"/>
      <c r="DM119" s="116"/>
      <c r="DN119" s="116"/>
      <c r="DO119" s="116"/>
      <c r="DP119" s="116"/>
      <c r="DW119" s="116"/>
      <c r="DX119" s="219"/>
      <c r="DY119" s="219"/>
      <c r="DZ119" s="116"/>
      <c r="EA119" s="116"/>
      <c r="EB119" s="116"/>
      <c r="EC119" s="116"/>
      <c r="ED119" s="116"/>
      <c r="EF119" s="332"/>
      <c r="EG119" s="116"/>
      <c r="EH119" s="116"/>
      <c r="EI119" s="116"/>
      <c r="EJ119" s="116"/>
      <c r="EK119" s="116"/>
      <c r="EM119" s="116"/>
      <c r="EN119" s="116"/>
      <c r="EO119" s="116"/>
      <c r="EQ119" s="116"/>
      <c r="ER119" s="116"/>
      <c r="ES119" s="116"/>
      <c r="ET119" s="116"/>
      <c r="EU119" s="116"/>
      <c r="EV119" s="116"/>
      <c r="EX119" s="116"/>
      <c r="EY119" s="116"/>
      <c r="EZ119" s="116"/>
      <c r="FA119" s="116"/>
      <c r="FB119" s="116"/>
    </row>
    <row r="120" spans="1:158" ht="13">
      <c r="A120" s="10" t="str">
        <f>IF(B120="","",IF(HistSecRecord!$E$1&gt;=E120,1,0))</f>
        <v/>
      </c>
      <c r="E120" s="153"/>
      <c r="T120" s="153"/>
      <c r="BD120" s="31"/>
      <c r="BE120" s="31"/>
      <c r="BF120" s="31"/>
      <c r="BG120" s="31"/>
      <c r="BH120" s="31"/>
      <c r="BI120" s="116"/>
      <c r="BL120" s="196"/>
      <c r="BM120" s="239"/>
      <c r="BN120" s="330"/>
      <c r="BP120" s="330"/>
      <c r="BS120" s="116"/>
      <c r="BU120" s="331"/>
      <c r="BW120" s="116"/>
      <c r="BX120" s="116"/>
      <c r="BZ120" s="330"/>
      <c r="CB120" s="330"/>
      <c r="CC120" s="116"/>
      <c r="CG120" s="242"/>
      <c r="CH120" s="116"/>
      <c r="CI120" s="116"/>
      <c r="CJ120" s="116"/>
      <c r="CL120" s="116"/>
      <c r="CN120" s="239"/>
      <c r="CO120" s="153"/>
      <c r="DM120" s="116"/>
      <c r="DN120" s="116"/>
      <c r="DO120" s="116"/>
      <c r="DP120" s="116"/>
      <c r="DW120" s="116"/>
      <c r="DX120" s="219"/>
      <c r="DY120" s="219"/>
      <c r="DZ120" s="116"/>
      <c r="EA120" s="116"/>
      <c r="EB120" s="116"/>
      <c r="EC120" s="116"/>
      <c r="ED120" s="116"/>
      <c r="EF120" s="332"/>
      <c r="EG120" s="116"/>
      <c r="EH120" s="116"/>
      <c r="EI120" s="116"/>
      <c r="EJ120" s="116"/>
      <c r="EK120" s="116"/>
      <c r="EM120" s="116"/>
      <c r="EN120" s="116"/>
      <c r="EO120" s="116"/>
      <c r="EQ120" s="116"/>
      <c r="ER120" s="116"/>
      <c r="ES120" s="116"/>
      <c r="ET120" s="116"/>
      <c r="EU120" s="116"/>
      <c r="EV120" s="116"/>
      <c r="EX120" s="116"/>
      <c r="EY120" s="116"/>
      <c r="EZ120" s="116"/>
      <c r="FA120" s="116"/>
      <c r="FB120" s="116"/>
    </row>
    <row r="121" spans="1:158" ht="13">
      <c r="A121" s="10" t="str">
        <f>IF(B121="","",IF(HistSecRecord!$E$1&gt;=E121,1,0))</f>
        <v/>
      </c>
      <c r="E121" s="153"/>
      <c r="T121" s="153"/>
      <c r="BD121" s="31"/>
      <c r="BE121" s="31"/>
      <c r="BF121" s="31"/>
      <c r="BG121" s="31"/>
      <c r="BH121" s="31"/>
      <c r="BI121" s="116"/>
      <c r="BL121" s="196"/>
      <c r="BM121" s="239"/>
      <c r="BN121" s="330"/>
      <c r="BP121" s="330"/>
      <c r="BS121" s="116"/>
      <c r="BU121" s="331"/>
      <c r="BW121" s="116"/>
      <c r="BX121" s="116"/>
      <c r="BZ121" s="330"/>
      <c r="CB121" s="330"/>
      <c r="CC121" s="116"/>
      <c r="CG121" s="242"/>
      <c r="CH121" s="116"/>
      <c r="CI121" s="116"/>
      <c r="CJ121" s="116"/>
      <c r="CL121" s="116"/>
      <c r="CN121" s="239"/>
      <c r="CO121" s="153"/>
      <c r="DM121" s="116"/>
      <c r="DN121" s="116"/>
      <c r="DO121" s="116"/>
      <c r="DP121" s="116"/>
      <c r="DW121" s="116"/>
      <c r="DX121" s="219"/>
      <c r="DY121" s="219"/>
      <c r="DZ121" s="116"/>
      <c r="EA121" s="116"/>
      <c r="EB121" s="116"/>
      <c r="EC121" s="116"/>
      <c r="ED121" s="116"/>
      <c r="EF121" s="332"/>
      <c r="EG121" s="116"/>
      <c r="EH121" s="116"/>
      <c r="EI121" s="116"/>
      <c r="EJ121" s="116"/>
      <c r="EK121" s="116"/>
      <c r="EM121" s="116"/>
      <c r="EN121" s="116"/>
      <c r="EO121" s="116"/>
      <c r="EQ121" s="116"/>
      <c r="ER121" s="116"/>
      <c r="ES121" s="116"/>
      <c r="ET121" s="116"/>
      <c r="EU121" s="116"/>
      <c r="EV121" s="116"/>
      <c r="EX121" s="116"/>
      <c r="EY121" s="116"/>
      <c r="EZ121" s="116"/>
      <c r="FA121" s="116"/>
      <c r="FB121" s="116"/>
    </row>
    <row r="122" spans="1:158" ht="13">
      <c r="A122" s="10" t="str">
        <f>IF(B122="","",IF(HistSecRecord!$E$1&gt;=E122,1,0))</f>
        <v/>
      </c>
      <c r="E122" s="153"/>
      <c r="T122" s="153"/>
      <c r="BD122" s="31"/>
      <c r="BE122" s="31"/>
      <c r="BF122" s="31"/>
      <c r="BG122" s="31"/>
      <c r="BH122" s="31"/>
      <c r="BI122" s="116"/>
      <c r="BL122" s="196"/>
      <c r="BM122" s="239"/>
      <c r="BN122" s="330"/>
      <c r="BP122" s="330"/>
      <c r="BS122" s="116"/>
      <c r="BU122" s="331"/>
      <c r="BW122" s="116"/>
      <c r="BX122" s="116"/>
      <c r="BZ122" s="330"/>
      <c r="CB122" s="330"/>
      <c r="CC122" s="116"/>
      <c r="CG122" s="242"/>
      <c r="CH122" s="116"/>
      <c r="CI122" s="116"/>
      <c r="CJ122" s="116"/>
      <c r="CL122" s="116"/>
      <c r="CN122" s="239"/>
      <c r="CO122" s="153"/>
      <c r="DM122" s="116"/>
      <c r="DN122" s="116"/>
      <c r="DO122" s="116"/>
      <c r="DP122" s="116"/>
      <c r="DW122" s="116"/>
      <c r="DX122" s="219"/>
      <c r="DY122" s="219"/>
      <c r="DZ122" s="116"/>
      <c r="EA122" s="116"/>
      <c r="EB122" s="116"/>
      <c r="EC122" s="116"/>
      <c r="ED122" s="116"/>
      <c r="EF122" s="332"/>
      <c r="EG122" s="116"/>
      <c r="EH122" s="116"/>
      <c r="EI122" s="116"/>
      <c r="EJ122" s="116"/>
      <c r="EK122" s="116"/>
      <c r="EM122" s="116"/>
      <c r="EN122" s="116"/>
      <c r="EO122" s="116"/>
      <c r="EQ122" s="116"/>
      <c r="ER122" s="116"/>
      <c r="ES122" s="116"/>
      <c r="ET122" s="116"/>
      <c r="EU122" s="116"/>
      <c r="EV122" s="116"/>
      <c r="EX122" s="116"/>
      <c r="EY122" s="116"/>
      <c r="EZ122" s="116"/>
      <c r="FA122" s="116"/>
      <c r="FB122" s="116"/>
    </row>
    <row r="123" spans="1:158" ht="13">
      <c r="A123" s="10" t="str">
        <f>IF(B123="","",IF(HistSecRecord!$E$1&gt;=E123,1,0))</f>
        <v/>
      </c>
      <c r="E123" s="153"/>
      <c r="T123" s="153"/>
      <c r="BD123" s="31"/>
      <c r="BE123" s="31"/>
      <c r="BF123" s="31"/>
      <c r="BG123" s="31"/>
      <c r="BH123" s="31"/>
      <c r="BI123" s="116"/>
      <c r="BL123" s="196"/>
      <c r="BM123" s="239"/>
      <c r="BN123" s="330"/>
      <c r="BP123" s="330"/>
      <c r="BS123" s="116"/>
      <c r="BU123" s="331"/>
      <c r="BW123" s="116"/>
      <c r="BX123" s="116"/>
      <c r="BZ123" s="330"/>
      <c r="CB123" s="330"/>
      <c r="CC123" s="116"/>
      <c r="CG123" s="242"/>
      <c r="CH123" s="116"/>
      <c r="CI123" s="116"/>
      <c r="CJ123" s="116"/>
      <c r="CL123" s="116"/>
      <c r="CN123" s="239"/>
      <c r="CO123" s="153"/>
      <c r="DM123" s="116"/>
      <c r="DN123" s="116"/>
      <c r="DO123" s="116"/>
      <c r="DP123" s="116"/>
      <c r="DW123" s="116"/>
      <c r="DX123" s="219"/>
      <c r="DY123" s="219"/>
      <c r="DZ123" s="116"/>
      <c r="EA123" s="116"/>
      <c r="EB123" s="116"/>
      <c r="EC123" s="116"/>
      <c r="ED123" s="116"/>
      <c r="EF123" s="332"/>
      <c r="EG123" s="116"/>
      <c r="EH123" s="116"/>
      <c r="EI123" s="116"/>
      <c r="EJ123" s="116"/>
      <c r="EK123" s="116"/>
      <c r="EM123" s="116"/>
      <c r="EN123" s="116"/>
      <c r="EO123" s="116"/>
      <c r="EQ123" s="116"/>
      <c r="ER123" s="116"/>
      <c r="ES123" s="116"/>
      <c r="ET123" s="116"/>
      <c r="EU123" s="116"/>
      <c r="EV123" s="116"/>
      <c r="EX123" s="116"/>
      <c r="EY123" s="116"/>
      <c r="EZ123" s="116"/>
      <c r="FA123" s="116"/>
      <c r="FB123" s="116"/>
    </row>
    <row r="124" spans="1:158" ht="13">
      <c r="A124" s="10" t="str">
        <f>IF(B124="","",IF(HistSecRecord!$E$1&gt;=E124,1,0))</f>
        <v/>
      </c>
      <c r="E124" s="153"/>
      <c r="T124" s="153"/>
      <c r="BD124" s="31"/>
      <c r="BE124" s="31"/>
      <c r="BF124" s="31"/>
      <c r="BG124" s="31"/>
      <c r="BH124" s="31"/>
      <c r="BI124" s="116"/>
      <c r="BL124" s="196"/>
      <c r="BM124" s="239"/>
      <c r="BN124" s="330"/>
      <c r="BP124" s="330"/>
      <c r="BS124" s="116"/>
      <c r="BU124" s="331"/>
      <c r="BW124" s="116"/>
      <c r="BX124" s="116"/>
      <c r="BZ124" s="330"/>
      <c r="CB124" s="330"/>
      <c r="CC124" s="116"/>
      <c r="CG124" s="242"/>
      <c r="CH124" s="116"/>
      <c r="CI124" s="116"/>
      <c r="CJ124" s="116"/>
      <c r="CL124" s="116"/>
      <c r="CN124" s="239"/>
      <c r="CO124" s="153"/>
      <c r="DM124" s="116"/>
      <c r="DN124" s="116"/>
      <c r="DO124" s="116"/>
      <c r="DP124" s="116"/>
      <c r="DW124" s="116"/>
      <c r="DX124" s="219"/>
      <c r="DY124" s="219"/>
      <c r="DZ124" s="116"/>
      <c r="EA124" s="116"/>
      <c r="EB124" s="116"/>
      <c r="EC124" s="116"/>
      <c r="ED124" s="116"/>
      <c r="EF124" s="332"/>
      <c r="EG124" s="116"/>
      <c r="EH124" s="116"/>
      <c r="EI124" s="116"/>
      <c r="EJ124" s="116"/>
      <c r="EK124" s="116"/>
      <c r="EM124" s="116"/>
      <c r="EN124" s="116"/>
      <c r="EO124" s="116"/>
      <c r="EQ124" s="116"/>
      <c r="ER124" s="116"/>
      <c r="ES124" s="116"/>
      <c r="ET124" s="116"/>
      <c r="EU124" s="116"/>
      <c r="EV124" s="116"/>
      <c r="EX124" s="116"/>
      <c r="EY124" s="116"/>
      <c r="EZ124" s="116"/>
      <c r="FA124" s="116"/>
      <c r="FB124" s="116"/>
    </row>
    <row r="125" spans="1:158" ht="13">
      <c r="A125" s="10" t="str">
        <f>IF(B125="","",IF(HistSecRecord!$E$1&gt;=E125,1,0))</f>
        <v/>
      </c>
      <c r="E125" s="153"/>
      <c r="T125" s="153"/>
      <c r="BD125" s="31"/>
      <c r="BE125" s="31"/>
      <c r="BF125" s="31"/>
      <c r="BG125" s="31"/>
      <c r="BH125" s="31"/>
      <c r="BI125" s="116"/>
      <c r="BL125" s="196"/>
      <c r="BM125" s="239"/>
      <c r="BN125" s="330"/>
      <c r="BP125" s="330"/>
      <c r="BS125" s="116"/>
      <c r="BU125" s="331"/>
      <c r="BW125" s="116"/>
      <c r="BX125" s="116"/>
      <c r="BZ125" s="330"/>
      <c r="CB125" s="330"/>
      <c r="CC125" s="116"/>
      <c r="CG125" s="242"/>
      <c r="CH125" s="116"/>
      <c r="CI125" s="116"/>
      <c r="CJ125" s="116"/>
      <c r="CL125" s="116"/>
      <c r="CN125" s="239"/>
      <c r="CO125" s="153"/>
      <c r="DM125" s="116"/>
      <c r="DN125" s="116"/>
      <c r="DO125" s="116"/>
      <c r="DP125" s="116"/>
      <c r="DW125" s="116"/>
      <c r="DX125" s="219"/>
      <c r="DY125" s="219"/>
      <c r="DZ125" s="116"/>
      <c r="EA125" s="116"/>
      <c r="EB125" s="116"/>
      <c r="EC125" s="116"/>
      <c r="ED125" s="116"/>
      <c r="EF125" s="332"/>
      <c r="EG125" s="116"/>
      <c r="EH125" s="116"/>
      <c r="EI125" s="116"/>
      <c r="EJ125" s="116"/>
      <c r="EK125" s="116"/>
      <c r="EM125" s="116"/>
      <c r="EN125" s="116"/>
      <c r="EO125" s="116"/>
      <c r="EQ125" s="116"/>
      <c r="ER125" s="116"/>
      <c r="ES125" s="116"/>
      <c r="ET125" s="116"/>
      <c r="EU125" s="116"/>
      <c r="EV125" s="116"/>
      <c r="EX125" s="116"/>
      <c r="EY125" s="116"/>
      <c r="EZ125" s="116"/>
      <c r="FA125" s="116"/>
      <c r="FB125" s="116"/>
    </row>
    <row r="126" spans="1:158" ht="13">
      <c r="A126" s="10" t="str">
        <f>IF(B126="","",IF(HistSecRecord!$E$1&gt;=E126,1,0))</f>
        <v/>
      </c>
      <c r="E126" s="153"/>
      <c r="T126" s="153"/>
      <c r="BD126" s="31"/>
      <c r="BE126" s="31"/>
      <c r="BF126" s="31"/>
      <c r="BG126" s="31"/>
      <c r="BH126" s="31"/>
      <c r="BI126" s="116"/>
      <c r="BL126" s="196"/>
      <c r="BM126" s="239"/>
      <c r="BN126" s="330"/>
      <c r="BP126" s="330"/>
      <c r="BS126" s="116"/>
      <c r="BU126" s="331"/>
      <c r="BW126" s="116"/>
      <c r="BX126" s="116"/>
      <c r="BZ126" s="330"/>
      <c r="CB126" s="330"/>
      <c r="CC126" s="116"/>
      <c r="CG126" s="242"/>
      <c r="CH126" s="116"/>
      <c r="CI126" s="116"/>
      <c r="CJ126" s="116"/>
      <c r="CL126" s="116"/>
      <c r="CN126" s="239"/>
      <c r="CO126" s="153"/>
      <c r="DM126" s="116"/>
      <c r="DN126" s="116"/>
      <c r="DO126" s="116"/>
      <c r="DP126" s="116"/>
      <c r="DW126" s="116"/>
      <c r="DX126" s="219"/>
      <c r="DY126" s="219"/>
      <c r="DZ126" s="116"/>
      <c r="EA126" s="116"/>
      <c r="EB126" s="116"/>
      <c r="EC126" s="116"/>
      <c r="ED126" s="116"/>
      <c r="EF126" s="332"/>
      <c r="EG126" s="116"/>
      <c r="EH126" s="116"/>
      <c r="EI126" s="116"/>
      <c r="EJ126" s="116"/>
      <c r="EK126" s="116"/>
      <c r="EM126" s="116"/>
      <c r="EN126" s="116"/>
      <c r="EO126" s="116"/>
      <c r="EQ126" s="116"/>
      <c r="ER126" s="116"/>
      <c r="ES126" s="116"/>
      <c r="ET126" s="116"/>
      <c r="EU126" s="116"/>
      <c r="EV126" s="116"/>
      <c r="EX126" s="116"/>
      <c r="EY126" s="116"/>
      <c r="EZ126" s="116"/>
      <c r="FA126" s="116"/>
      <c r="FB126" s="116"/>
    </row>
    <row r="127" spans="1:158" ht="13">
      <c r="A127" s="10" t="str">
        <f>IF(B127="","",IF(HistSecRecord!$E$1&gt;=E127,1,0))</f>
        <v/>
      </c>
      <c r="E127" s="153"/>
      <c r="T127" s="153"/>
      <c r="BD127" s="31"/>
      <c r="BE127" s="31"/>
      <c r="BF127" s="31"/>
      <c r="BG127" s="31"/>
      <c r="BH127" s="31"/>
      <c r="BI127" s="116"/>
      <c r="BL127" s="196"/>
      <c r="BM127" s="239"/>
      <c r="BN127" s="330"/>
      <c r="BP127" s="330"/>
      <c r="BS127" s="116"/>
      <c r="BU127" s="331"/>
      <c r="BW127" s="116"/>
      <c r="BX127" s="116"/>
      <c r="BZ127" s="330"/>
      <c r="CB127" s="330"/>
      <c r="CC127" s="116"/>
      <c r="CG127" s="242"/>
      <c r="CH127" s="116"/>
      <c r="CI127" s="116"/>
      <c r="CJ127" s="116"/>
      <c r="CL127" s="116"/>
      <c r="CN127" s="239"/>
      <c r="CO127" s="153"/>
      <c r="DM127" s="116"/>
      <c r="DN127" s="116"/>
      <c r="DO127" s="116"/>
      <c r="DP127" s="116"/>
      <c r="DW127" s="116"/>
      <c r="DX127" s="219"/>
      <c r="DY127" s="219"/>
      <c r="DZ127" s="116"/>
      <c r="EA127" s="116"/>
      <c r="EB127" s="116"/>
      <c r="EC127" s="116"/>
      <c r="ED127" s="116"/>
      <c r="EF127" s="332"/>
      <c r="EG127" s="116"/>
      <c r="EH127" s="116"/>
      <c r="EI127" s="116"/>
      <c r="EJ127" s="116"/>
      <c r="EK127" s="116"/>
      <c r="EM127" s="116"/>
      <c r="EN127" s="116"/>
      <c r="EO127" s="116"/>
      <c r="EQ127" s="116"/>
      <c r="ER127" s="116"/>
      <c r="ES127" s="116"/>
      <c r="ET127" s="116"/>
      <c r="EU127" s="116"/>
      <c r="EV127" s="116"/>
      <c r="EX127" s="116"/>
      <c r="EY127" s="116"/>
      <c r="EZ127" s="116"/>
      <c r="FA127" s="116"/>
      <c r="FB127" s="116"/>
    </row>
    <row r="128" spans="1:158" ht="13">
      <c r="A128" s="10" t="str">
        <f>IF(B128="","",IF(HistSecRecord!$E$1&gt;=E128,1,0))</f>
        <v/>
      </c>
      <c r="E128" s="153"/>
      <c r="T128" s="153"/>
      <c r="BD128" s="31"/>
      <c r="BE128" s="31"/>
      <c r="BF128" s="31"/>
      <c r="BG128" s="31"/>
      <c r="BH128" s="31"/>
      <c r="BI128" s="116"/>
      <c r="BL128" s="196"/>
      <c r="BM128" s="239"/>
      <c r="BN128" s="330"/>
      <c r="BP128" s="330"/>
      <c r="BS128" s="116"/>
      <c r="BU128" s="331"/>
      <c r="BW128" s="116"/>
      <c r="BX128" s="116"/>
      <c r="BZ128" s="330"/>
      <c r="CB128" s="330"/>
      <c r="CC128" s="116"/>
      <c r="CG128" s="242"/>
      <c r="CH128" s="116"/>
      <c r="CI128" s="116"/>
      <c r="CJ128" s="116"/>
      <c r="CL128" s="116"/>
      <c r="CN128" s="239"/>
      <c r="CO128" s="153"/>
      <c r="DM128" s="116"/>
      <c r="DN128" s="116"/>
      <c r="DO128" s="116"/>
      <c r="DP128" s="116"/>
      <c r="DW128" s="116"/>
      <c r="DX128" s="219"/>
      <c r="DY128" s="219"/>
      <c r="DZ128" s="116"/>
      <c r="EA128" s="116"/>
      <c r="EB128" s="116"/>
      <c r="EC128" s="116"/>
      <c r="ED128" s="116"/>
      <c r="EF128" s="332"/>
      <c r="EG128" s="116"/>
      <c r="EH128" s="116"/>
      <c r="EI128" s="116"/>
      <c r="EJ128" s="116"/>
      <c r="EK128" s="116"/>
      <c r="EM128" s="116"/>
      <c r="EN128" s="116"/>
      <c r="EO128" s="116"/>
      <c r="EQ128" s="116"/>
      <c r="ER128" s="116"/>
      <c r="ES128" s="116"/>
      <c r="ET128" s="116"/>
      <c r="EU128" s="116"/>
      <c r="EV128" s="116"/>
      <c r="EX128" s="116"/>
      <c r="EY128" s="116"/>
      <c r="EZ128" s="116"/>
      <c r="FA128" s="116"/>
      <c r="FB128" s="116"/>
    </row>
    <row r="129" spans="1:158" ht="13">
      <c r="A129" s="10" t="str">
        <f>IF(B129="","",IF(HistSecRecord!$E$1&gt;=E129,1,0))</f>
        <v/>
      </c>
      <c r="E129" s="153"/>
      <c r="T129" s="153"/>
      <c r="BD129" s="31"/>
      <c r="BE129" s="31"/>
      <c r="BF129" s="31"/>
      <c r="BG129" s="31"/>
      <c r="BH129" s="31"/>
      <c r="BI129" s="116"/>
      <c r="BL129" s="196"/>
      <c r="BM129" s="239"/>
      <c r="BN129" s="330"/>
      <c r="BP129" s="330"/>
      <c r="BS129" s="116"/>
      <c r="BU129" s="331"/>
      <c r="BW129" s="116"/>
      <c r="BX129" s="116"/>
      <c r="BZ129" s="330"/>
      <c r="CB129" s="330"/>
      <c r="CC129" s="116"/>
      <c r="CG129" s="242"/>
      <c r="CH129" s="116"/>
      <c r="CI129" s="116"/>
      <c r="CJ129" s="116"/>
      <c r="CL129" s="116"/>
      <c r="CN129" s="239"/>
      <c r="CO129" s="153"/>
      <c r="DM129" s="116"/>
      <c r="DN129" s="116"/>
      <c r="DO129" s="116"/>
      <c r="DP129" s="116"/>
      <c r="DW129" s="116"/>
      <c r="DX129" s="219"/>
      <c r="DY129" s="219"/>
      <c r="DZ129" s="116"/>
      <c r="EA129" s="116"/>
      <c r="EB129" s="116"/>
      <c r="EC129" s="116"/>
      <c r="ED129" s="116"/>
      <c r="EF129" s="332"/>
      <c r="EG129" s="116"/>
      <c r="EH129" s="116"/>
      <c r="EI129" s="116"/>
      <c r="EJ129" s="116"/>
      <c r="EK129" s="116"/>
      <c r="EM129" s="116"/>
      <c r="EN129" s="116"/>
      <c r="EO129" s="116"/>
      <c r="EQ129" s="116"/>
      <c r="ER129" s="116"/>
      <c r="ES129" s="116"/>
      <c r="ET129" s="116"/>
      <c r="EU129" s="116"/>
      <c r="EV129" s="116"/>
      <c r="EX129" s="116"/>
      <c r="EY129" s="116"/>
      <c r="EZ129" s="116"/>
      <c r="FA129" s="116"/>
      <c r="FB129" s="116"/>
    </row>
    <row r="130" spans="1:158" ht="13">
      <c r="A130" s="10" t="str">
        <f>IF(B130="","",IF(HistSecRecord!$E$1&gt;=E130,1,0))</f>
        <v/>
      </c>
      <c r="E130" s="153"/>
      <c r="T130" s="153"/>
      <c r="BD130" s="31"/>
      <c r="BE130" s="31"/>
      <c r="BF130" s="31"/>
      <c r="BG130" s="31"/>
      <c r="BH130" s="31"/>
      <c r="BI130" s="116"/>
      <c r="BL130" s="196"/>
      <c r="BM130" s="239"/>
      <c r="BN130" s="330"/>
      <c r="BP130" s="330"/>
      <c r="BS130" s="116"/>
      <c r="BU130" s="331"/>
      <c r="BW130" s="116"/>
      <c r="BX130" s="116"/>
      <c r="BZ130" s="330"/>
      <c r="CB130" s="330"/>
      <c r="CC130" s="116"/>
      <c r="CG130" s="242"/>
      <c r="CH130" s="116"/>
      <c r="CI130" s="116"/>
      <c r="CJ130" s="116"/>
      <c r="CL130" s="116"/>
      <c r="CN130" s="239"/>
      <c r="CO130" s="153"/>
      <c r="DM130" s="116"/>
      <c r="DN130" s="116"/>
      <c r="DO130" s="116"/>
      <c r="DP130" s="116"/>
      <c r="DW130" s="116"/>
      <c r="DX130" s="219"/>
      <c r="DY130" s="219"/>
      <c r="DZ130" s="116"/>
      <c r="EA130" s="116"/>
      <c r="EB130" s="116"/>
      <c r="EC130" s="116"/>
      <c r="ED130" s="116"/>
      <c r="EF130" s="332"/>
      <c r="EG130" s="116"/>
      <c r="EH130" s="116"/>
      <c r="EI130" s="116"/>
      <c r="EJ130" s="116"/>
      <c r="EK130" s="116"/>
      <c r="EM130" s="116"/>
      <c r="EN130" s="116"/>
      <c r="EO130" s="116"/>
      <c r="EQ130" s="116"/>
      <c r="ER130" s="116"/>
      <c r="ES130" s="116"/>
      <c r="ET130" s="116"/>
      <c r="EU130" s="116"/>
      <c r="EV130" s="116"/>
      <c r="EX130" s="116"/>
      <c r="EY130" s="116"/>
      <c r="EZ130" s="116"/>
      <c r="FA130" s="116"/>
      <c r="FB130" s="116"/>
    </row>
    <row r="131" spans="1:158" ht="13">
      <c r="A131" s="10" t="str">
        <f>IF(B131="","",IF(HistSecRecord!$E$1&gt;=E131,1,0))</f>
        <v/>
      </c>
      <c r="E131" s="153"/>
      <c r="T131" s="153"/>
      <c r="BD131" s="31"/>
      <c r="BE131" s="31"/>
      <c r="BF131" s="31"/>
      <c r="BG131" s="31"/>
      <c r="BH131" s="31"/>
      <c r="BI131" s="116"/>
      <c r="BL131" s="196"/>
      <c r="BM131" s="239"/>
      <c r="BN131" s="330"/>
      <c r="BP131" s="330"/>
      <c r="BS131" s="116"/>
      <c r="BU131" s="331"/>
      <c r="BW131" s="116"/>
      <c r="BX131" s="116"/>
      <c r="BZ131" s="330"/>
      <c r="CB131" s="330"/>
      <c r="CC131" s="116"/>
      <c r="CG131" s="242"/>
      <c r="CH131" s="116"/>
      <c r="CI131" s="116"/>
      <c r="CJ131" s="116"/>
      <c r="CL131" s="116"/>
      <c r="CN131" s="239"/>
      <c r="CO131" s="153"/>
      <c r="DM131" s="116"/>
      <c r="DN131" s="116"/>
      <c r="DO131" s="116"/>
      <c r="DP131" s="116"/>
      <c r="DW131" s="116"/>
      <c r="DX131" s="219"/>
      <c r="DY131" s="219"/>
      <c r="DZ131" s="116"/>
      <c r="EA131" s="116"/>
      <c r="EB131" s="116"/>
      <c r="EC131" s="116"/>
      <c r="ED131" s="116"/>
      <c r="EF131" s="332"/>
      <c r="EG131" s="116"/>
      <c r="EH131" s="116"/>
      <c r="EI131" s="116"/>
      <c r="EJ131" s="116"/>
      <c r="EK131" s="116"/>
      <c r="EM131" s="116"/>
      <c r="EN131" s="116"/>
      <c r="EO131" s="116"/>
      <c r="EQ131" s="116"/>
      <c r="ER131" s="116"/>
      <c r="ES131" s="116"/>
      <c r="ET131" s="116"/>
      <c r="EU131" s="116"/>
      <c r="EV131" s="116"/>
      <c r="EX131" s="116"/>
      <c r="EY131" s="116"/>
      <c r="EZ131" s="116"/>
      <c r="FA131" s="116"/>
      <c r="FB131" s="116"/>
    </row>
    <row r="132" spans="1:158" ht="13">
      <c r="A132" s="10" t="str">
        <f>IF(B132="","",IF(HistSecRecord!$E$1&gt;=E132,1,0))</f>
        <v/>
      </c>
      <c r="E132" s="153"/>
      <c r="T132" s="153"/>
      <c r="BD132" s="31"/>
      <c r="BE132" s="31"/>
      <c r="BF132" s="31"/>
      <c r="BG132" s="31"/>
      <c r="BH132" s="31"/>
      <c r="BI132" s="116"/>
      <c r="BL132" s="196"/>
      <c r="BM132" s="239"/>
      <c r="BN132" s="330"/>
      <c r="BP132" s="330"/>
      <c r="BS132" s="116"/>
      <c r="BU132" s="331"/>
      <c r="BW132" s="116"/>
      <c r="BX132" s="116"/>
      <c r="BZ132" s="330"/>
      <c r="CB132" s="330"/>
      <c r="CC132" s="116"/>
      <c r="CG132" s="242"/>
      <c r="CH132" s="116"/>
      <c r="CI132" s="116"/>
      <c r="CJ132" s="116"/>
      <c r="CL132" s="116"/>
      <c r="CN132" s="239"/>
      <c r="CO132" s="153"/>
      <c r="DM132" s="116"/>
      <c r="DN132" s="116"/>
      <c r="DO132" s="116"/>
      <c r="DP132" s="116"/>
      <c r="DW132" s="116"/>
      <c r="DX132" s="219"/>
      <c r="DY132" s="219"/>
      <c r="DZ132" s="116"/>
      <c r="EA132" s="116"/>
      <c r="EB132" s="116"/>
      <c r="EC132" s="116"/>
      <c r="ED132" s="116"/>
      <c r="EF132" s="332"/>
      <c r="EG132" s="116"/>
      <c r="EH132" s="116"/>
      <c r="EI132" s="116"/>
      <c r="EJ132" s="116"/>
      <c r="EK132" s="116"/>
      <c r="EM132" s="116"/>
      <c r="EN132" s="116"/>
      <c r="EO132" s="116"/>
      <c r="EQ132" s="116"/>
      <c r="ER132" s="116"/>
      <c r="ES132" s="116"/>
      <c r="ET132" s="116"/>
      <c r="EU132" s="116"/>
      <c r="EV132" s="116"/>
      <c r="EX132" s="116"/>
      <c r="EY132" s="116"/>
      <c r="EZ132" s="116"/>
      <c r="FA132" s="116"/>
      <c r="FB132" s="116"/>
    </row>
    <row r="133" spans="1:158" ht="13">
      <c r="A133" s="10" t="str">
        <f>IF(B133="","",IF(HistSecRecord!$E$1&gt;=E133,1,0))</f>
        <v/>
      </c>
      <c r="E133" s="153"/>
      <c r="T133" s="153"/>
      <c r="BD133" s="31"/>
      <c r="BE133" s="31"/>
      <c r="BF133" s="31"/>
      <c r="BG133" s="31"/>
      <c r="BH133" s="31"/>
      <c r="BI133" s="116"/>
      <c r="BL133" s="196"/>
      <c r="BM133" s="239"/>
      <c r="BN133" s="330"/>
      <c r="BP133" s="330"/>
      <c r="BS133" s="116"/>
      <c r="BU133" s="331"/>
      <c r="BW133" s="116"/>
      <c r="BX133" s="116"/>
      <c r="BZ133" s="330"/>
      <c r="CB133" s="330"/>
      <c r="CC133" s="116"/>
      <c r="CG133" s="242"/>
      <c r="CH133" s="116"/>
      <c r="CI133" s="116"/>
      <c r="CJ133" s="116"/>
      <c r="CL133" s="116"/>
      <c r="CN133" s="239"/>
      <c r="CO133" s="153"/>
      <c r="DM133" s="116"/>
      <c r="DN133" s="116"/>
      <c r="DO133" s="116"/>
      <c r="DP133" s="116"/>
      <c r="DW133" s="116"/>
      <c r="DX133" s="219"/>
      <c r="DY133" s="219"/>
      <c r="DZ133" s="116"/>
      <c r="EA133" s="116"/>
      <c r="EB133" s="116"/>
      <c r="EC133" s="116"/>
      <c r="ED133" s="116"/>
      <c r="EF133" s="332"/>
      <c r="EG133" s="116"/>
      <c r="EH133" s="116"/>
      <c r="EI133" s="116"/>
      <c r="EJ133" s="116"/>
      <c r="EK133" s="116"/>
      <c r="EM133" s="116"/>
      <c r="EN133" s="116"/>
      <c r="EO133" s="116"/>
      <c r="EQ133" s="116"/>
      <c r="ER133" s="116"/>
      <c r="ES133" s="116"/>
      <c r="ET133" s="116"/>
      <c r="EU133" s="116"/>
      <c r="EV133" s="116"/>
      <c r="EX133" s="116"/>
      <c r="EY133" s="116"/>
      <c r="EZ133" s="116"/>
      <c r="FA133" s="116"/>
      <c r="FB133" s="116"/>
    </row>
    <row r="134" spans="1:158" ht="13">
      <c r="A134" s="10" t="str">
        <f>IF(B134="","",IF(HistSecRecord!$E$1&gt;=E134,1,0))</f>
        <v/>
      </c>
      <c r="E134" s="153"/>
      <c r="T134" s="153"/>
      <c r="BD134" s="31"/>
      <c r="BE134" s="31"/>
      <c r="BF134" s="31"/>
      <c r="BG134" s="31"/>
      <c r="BH134" s="31"/>
      <c r="BI134" s="116"/>
      <c r="BL134" s="196"/>
      <c r="BM134" s="239"/>
      <c r="BN134" s="330"/>
      <c r="BP134" s="330"/>
      <c r="BS134" s="116"/>
      <c r="BU134" s="331"/>
      <c r="BW134" s="116"/>
      <c r="BX134" s="116"/>
      <c r="BZ134" s="330"/>
      <c r="CB134" s="330"/>
      <c r="CC134" s="116"/>
      <c r="CG134" s="242"/>
      <c r="CH134" s="116"/>
      <c r="CI134" s="116"/>
      <c r="CJ134" s="116"/>
      <c r="CL134" s="116"/>
      <c r="CN134" s="239"/>
      <c r="CO134" s="153"/>
      <c r="DM134" s="116"/>
      <c r="DN134" s="116"/>
      <c r="DO134" s="116"/>
      <c r="DP134" s="116"/>
      <c r="DW134" s="116"/>
      <c r="DX134" s="219"/>
      <c r="DY134" s="219"/>
      <c r="DZ134" s="116"/>
      <c r="EA134" s="116"/>
      <c r="EB134" s="116"/>
      <c r="EC134" s="116"/>
      <c r="ED134" s="116"/>
      <c r="EF134" s="332"/>
      <c r="EG134" s="116"/>
      <c r="EH134" s="116"/>
      <c r="EI134" s="116"/>
      <c r="EJ134" s="116"/>
      <c r="EK134" s="116"/>
      <c r="EM134" s="116"/>
      <c r="EN134" s="116"/>
      <c r="EO134" s="116"/>
      <c r="EQ134" s="116"/>
      <c r="ER134" s="116"/>
      <c r="ES134" s="116"/>
      <c r="ET134" s="116"/>
      <c r="EU134" s="116"/>
      <c r="EV134" s="116"/>
      <c r="EX134" s="116"/>
      <c r="EY134" s="116"/>
      <c r="EZ134" s="116"/>
      <c r="FA134" s="116"/>
      <c r="FB134" s="116"/>
    </row>
    <row r="135" spans="1:158" ht="13">
      <c r="A135" s="10" t="str">
        <f>IF(B135="","",IF(HistSecRecord!$E$1&gt;=E135,1,0))</f>
        <v/>
      </c>
      <c r="E135" s="153"/>
      <c r="T135" s="153"/>
      <c r="BD135" s="31"/>
      <c r="BE135" s="31"/>
      <c r="BF135" s="31"/>
      <c r="BG135" s="31"/>
      <c r="BH135" s="31"/>
      <c r="BI135" s="116"/>
      <c r="BL135" s="196"/>
      <c r="BM135" s="239"/>
      <c r="BN135" s="330"/>
      <c r="BP135" s="330"/>
      <c r="BS135" s="116"/>
      <c r="BU135" s="331"/>
      <c r="BW135" s="116"/>
      <c r="BX135" s="116"/>
      <c r="BZ135" s="330"/>
      <c r="CB135" s="330"/>
      <c r="CC135" s="116"/>
      <c r="CG135" s="242"/>
      <c r="CH135" s="116"/>
      <c r="CI135" s="116"/>
      <c r="CJ135" s="116"/>
      <c r="CL135" s="116"/>
      <c r="CN135" s="239"/>
      <c r="CO135" s="153"/>
      <c r="DM135" s="116"/>
      <c r="DN135" s="116"/>
      <c r="DO135" s="116"/>
      <c r="DP135" s="116"/>
      <c r="DW135" s="116"/>
      <c r="DX135" s="219"/>
      <c r="DY135" s="219"/>
      <c r="DZ135" s="116"/>
      <c r="EA135" s="116"/>
      <c r="EB135" s="116"/>
      <c r="EC135" s="116"/>
      <c r="ED135" s="116"/>
      <c r="EF135" s="332"/>
      <c r="EG135" s="116"/>
      <c r="EH135" s="116"/>
      <c r="EI135" s="116"/>
      <c r="EJ135" s="116"/>
      <c r="EK135" s="116"/>
      <c r="EM135" s="116"/>
      <c r="EN135" s="116"/>
      <c r="EO135" s="116"/>
      <c r="EQ135" s="116"/>
      <c r="ER135" s="116"/>
      <c r="ES135" s="116"/>
      <c r="ET135" s="116"/>
      <c r="EU135" s="116"/>
      <c r="EV135" s="116"/>
      <c r="EX135" s="116"/>
      <c r="EY135" s="116"/>
      <c r="EZ135" s="116"/>
      <c r="FA135" s="116"/>
      <c r="FB135" s="116"/>
    </row>
    <row r="136" spans="1:158" ht="13">
      <c r="A136" s="10" t="str">
        <f>IF(B136="","",IF(HistSecRecord!$E$1&gt;=E136,1,0))</f>
        <v/>
      </c>
      <c r="E136" s="153"/>
      <c r="T136" s="153"/>
      <c r="BD136" s="31"/>
      <c r="BE136" s="31"/>
      <c r="BF136" s="31"/>
      <c r="BG136" s="31"/>
      <c r="BH136" s="31"/>
      <c r="BI136" s="116"/>
      <c r="BL136" s="196"/>
      <c r="BM136" s="239"/>
      <c r="BN136" s="330"/>
      <c r="BP136" s="330"/>
      <c r="BS136" s="116"/>
      <c r="BU136" s="331"/>
      <c r="BW136" s="116"/>
      <c r="BX136" s="116"/>
      <c r="BZ136" s="330"/>
      <c r="CB136" s="330"/>
      <c r="CC136" s="116"/>
      <c r="CG136" s="242"/>
      <c r="CH136" s="116"/>
      <c r="CI136" s="116"/>
      <c r="CJ136" s="116"/>
      <c r="CL136" s="116"/>
      <c r="CN136" s="239"/>
      <c r="CO136" s="153"/>
      <c r="DM136" s="116"/>
      <c r="DN136" s="116"/>
      <c r="DO136" s="116"/>
      <c r="DP136" s="116"/>
      <c r="DW136" s="116"/>
      <c r="DX136" s="219"/>
      <c r="DY136" s="219"/>
      <c r="DZ136" s="116"/>
      <c r="EA136" s="116"/>
      <c r="EB136" s="116"/>
      <c r="EC136" s="116"/>
      <c r="ED136" s="116"/>
      <c r="EF136" s="332"/>
      <c r="EG136" s="116"/>
      <c r="EH136" s="116"/>
      <c r="EI136" s="116"/>
      <c r="EJ136" s="116"/>
      <c r="EK136" s="116"/>
      <c r="EM136" s="116"/>
      <c r="EN136" s="116"/>
      <c r="EO136" s="116"/>
      <c r="EQ136" s="116"/>
      <c r="ER136" s="116"/>
      <c r="ES136" s="116"/>
      <c r="ET136" s="116"/>
      <c r="EU136" s="116"/>
      <c r="EV136" s="116"/>
      <c r="EX136" s="116"/>
      <c r="EY136" s="116"/>
      <c r="EZ136" s="116"/>
      <c r="FA136" s="116"/>
      <c r="FB136" s="116"/>
    </row>
    <row r="137" spans="1:158" ht="13">
      <c r="A137" s="10" t="str">
        <f>IF(B137="","",IF(HistSecRecord!$E$1&gt;=E137,1,0))</f>
        <v/>
      </c>
      <c r="E137" s="153"/>
      <c r="T137" s="153"/>
      <c r="BD137" s="31"/>
      <c r="BE137" s="31"/>
      <c r="BF137" s="31"/>
      <c r="BG137" s="31"/>
      <c r="BH137" s="31"/>
      <c r="BI137" s="116"/>
      <c r="BL137" s="196"/>
      <c r="BM137" s="239"/>
      <c r="BN137" s="330"/>
      <c r="BP137" s="330"/>
      <c r="BS137" s="116"/>
      <c r="BU137" s="331"/>
      <c r="BW137" s="116"/>
      <c r="BX137" s="116"/>
      <c r="BZ137" s="330"/>
      <c r="CB137" s="330"/>
      <c r="CC137" s="116"/>
      <c r="CG137" s="242"/>
      <c r="CH137" s="116"/>
      <c r="CI137" s="116"/>
      <c r="CJ137" s="116"/>
      <c r="CL137" s="116"/>
      <c r="CN137" s="239"/>
      <c r="CO137" s="153"/>
      <c r="DM137" s="116"/>
      <c r="DN137" s="116"/>
      <c r="DO137" s="116"/>
      <c r="DP137" s="116"/>
      <c r="DW137" s="116"/>
      <c r="DX137" s="219"/>
      <c r="DY137" s="219"/>
      <c r="DZ137" s="116"/>
      <c r="EA137" s="116"/>
      <c r="EB137" s="116"/>
      <c r="EC137" s="116"/>
      <c r="ED137" s="116"/>
      <c r="EF137" s="332"/>
      <c r="EG137" s="116"/>
      <c r="EH137" s="116"/>
      <c r="EI137" s="116"/>
      <c r="EJ137" s="116"/>
      <c r="EK137" s="116"/>
      <c r="EM137" s="116"/>
      <c r="EN137" s="116"/>
      <c r="EO137" s="116"/>
      <c r="EQ137" s="116"/>
      <c r="ER137" s="116"/>
      <c r="ES137" s="116"/>
      <c r="ET137" s="116"/>
      <c r="EU137" s="116"/>
      <c r="EV137" s="116"/>
      <c r="EX137" s="116"/>
      <c r="EY137" s="116"/>
      <c r="EZ137" s="116"/>
      <c r="FA137" s="116"/>
      <c r="FB137" s="116"/>
    </row>
    <row r="138" spans="1:158" ht="13">
      <c r="A138" s="10" t="str">
        <f>IF(B138="","",IF(HistSecRecord!$E$1&gt;=E138,1,0))</f>
        <v/>
      </c>
      <c r="E138" s="153"/>
      <c r="T138" s="153"/>
      <c r="BD138" s="31"/>
      <c r="BE138" s="31"/>
      <c r="BF138" s="31"/>
      <c r="BG138" s="31"/>
      <c r="BH138" s="31"/>
      <c r="BI138" s="116"/>
      <c r="BL138" s="196"/>
      <c r="BM138" s="239"/>
      <c r="BN138" s="330"/>
      <c r="BP138" s="330"/>
      <c r="BS138" s="116"/>
      <c r="BU138" s="331"/>
      <c r="BW138" s="116"/>
      <c r="BX138" s="116"/>
      <c r="BZ138" s="330"/>
      <c r="CB138" s="330"/>
      <c r="CC138" s="116"/>
      <c r="CG138" s="242"/>
      <c r="CH138" s="116"/>
      <c r="CI138" s="116"/>
      <c r="CJ138" s="116"/>
      <c r="CL138" s="116"/>
      <c r="CN138" s="239"/>
      <c r="CO138" s="153"/>
      <c r="DM138" s="116"/>
      <c r="DN138" s="116"/>
      <c r="DO138" s="116"/>
      <c r="DP138" s="116"/>
      <c r="DW138" s="116"/>
      <c r="DX138" s="219"/>
      <c r="DY138" s="219"/>
      <c r="DZ138" s="116"/>
      <c r="EA138" s="116"/>
      <c r="EB138" s="116"/>
      <c r="EC138" s="116"/>
      <c r="ED138" s="116"/>
      <c r="EF138" s="332"/>
      <c r="EG138" s="116"/>
      <c r="EH138" s="116"/>
      <c r="EI138" s="116"/>
      <c r="EJ138" s="116"/>
      <c r="EK138" s="116"/>
      <c r="EM138" s="116"/>
      <c r="EN138" s="116"/>
      <c r="EO138" s="116"/>
      <c r="EQ138" s="116"/>
      <c r="ER138" s="116"/>
      <c r="ES138" s="116"/>
      <c r="ET138" s="116"/>
      <c r="EU138" s="116"/>
      <c r="EV138" s="116"/>
      <c r="EX138" s="116"/>
      <c r="EY138" s="116"/>
      <c r="EZ138" s="116"/>
      <c r="FA138" s="116"/>
      <c r="FB138" s="116"/>
    </row>
    <row r="139" spans="1:158" ht="13">
      <c r="A139" s="10" t="str">
        <f>IF(B139="","",IF(HistSecRecord!$E$1&gt;=E139,1,0))</f>
        <v/>
      </c>
      <c r="E139" s="153"/>
      <c r="T139" s="153"/>
      <c r="BD139" s="31"/>
      <c r="BE139" s="31"/>
      <c r="BF139" s="31"/>
      <c r="BG139" s="31"/>
      <c r="BH139" s="31"/>
      <c r="BI139" s="116"/>
      <c r="BL139" s="196"/>
      <c r="BM139" s="239"/>
      <c r="BN139" s="330"/>
      <c r="BP139" s="330"/>
      <c r="BS139" s="116"/>
      <c r="BU139" s="331"/>
      <c r="BW139" s="116"/>
      <c r="BX139" s="116"/>
      <c r="BZ139" s="330"/>
      <c r="CB139" s="330"/>
      <c r="CC139" s="116"/>
      <c r="CG139" s="242"/>
      <c r="CH139" s="116"/>
      <c r="CI139" s="116"/>
      <c r="CJ139" s="116"/>
      <c r="CL139" s="116"/>
      <c r="CN139" s="239"/>
      <c r="CO139" s="153"/>
      <c r="DM139" s="116"/>
      <c r="DN139" s="116"/>
      <c r="DO139" s="116"/>
      <c r="DP139" s="116"/>
      <c r="DW139" s="116"/>
      <c r="DX139" s="219"/>
      <c r="DY139" s="219"/>
      <c r="DZ139" s="116"/>
      <c r="EA139" s="116"/>
      <c r="EB139" s="116"/>
      <c r="EC139" s="116"/>
      <c r="ED139" s="116"/>
      <c r="EF139" s="332"/>
      <c r="EG139" s="116"/>
      <c r="EH139" s="116"/>
      <c r="EI139" s="116"/>
      <c r="EJ139" s="116"/>
      <c r="EK139" s="116"/>
      <c r="EM139" s="116"/>
      <c r="EN139" s="116"/>
      <c r="EO139" s="116"/>
      <c r="EQ139" s="116"/>
      <c r="ER139" s="116"/>
      <c r="ES139" s="116"/>
      <c r="ET139" s="116"/>
      <c r="EU139" s="116"/>
      <c r="EV139" s="116"/>
      <c r="EX139" s="116"/>
      <c r="EY139" s="116"/>
      <c r="EZ139" s="116"/>
      <c r="FA139" s="116"/>
      <c r="FB139" s="116"/>
    </row>
    <row r="140" spans="1:158" ht="13">
      <c r="A140" s="10" t="str">
        <f>IF(B140="","",IF(HistSecRecord!$E$1&gt;=E140,1,0))</f>
        <v/>
      </c>
      <c r="E140" s="153"/>
      <c r="T140" s="153"/>
      <c r="BD140" s="31"/>
      <c r="BE140" s="31"/>
      <c r="BF140" s="31"/>
      <c r="BG140" s="31"/>
      <c r="BH140" s="31"/>
      <c r="BI140" s="116"/>
      <c r="BL140" s="196"/>
      <c r="BM140" s="239"/>
      <c r="BN140" s="330"/>
      <c r="BP140" s="330"/>
      <c r="BS140" s="116"/>
      <c r="BU140" s="331"/>
      <c r="BW140" s="116"/>
      <c r="BX140" s="116"/>
      <c r="BZ140" s="330"/>
      <c r="CB140" s="330"/>
      <c r="CC140" s="116"/>
      <c r="CG140" s="242"/>
      <c r="CH140" s="116"/>
      <c r="CI140" s="116"/>
      <c r="CJ140" s="116"/>
      <c r="CL140" s="116"/>
      <c r="CN140" s="239"/>
      <c r="CO140" s="153"/>
      <c r="DM140" s="116"/>
      <c r="DN140" s="116"/>
      <c r="DO140" s="116"/>
      <c r="DP140" s="116"/>
      <c r="DW140" s="116"/>
      <c r="DX140" s="219"/>
      <c r="DY140" s="219"/>
      <c r="DZ140" s="116"/>
      <c r="EA140" s="116"/>
      <c r="EB140" s="116"/>
      <c r="EC140" s="116"/>
      <c r="ED140" s="116"/>
      <c r="EF140" s="332"/>
      <c r="EG140" s="116"/>
      <c r="EH140" s="116"/>
      <c r="EI140" s="116"/>
      <c r="EJ140" s="116"/>
      <c r="EK140" s="116"/>
      <c r="EM140" s="116"/>
      <c r="EN140" s="116"/>
      <c r="EO140" s="116"/>
      <c r="EQ140" s="116"/>
      <c r="ER140" s="116"/>
      <c r="ES140" s="116"/>
      <c r="ET140" s="116"/>
      <c r="EU140" s="116"/>
      <c r="EV140" s="116"/>
      <c r="EX140" s="116"/>
      <c r="EY140" s="116"/>
      <c r="EZ140" s="116"/>
      <c r="FA140" s="116"/>
      <c r="FB140" s="116"/>
    </row>
    <row r="141" spans="1:158" ht="13">
      <c r="A141" s="10" t="str">
        <f>IF(B141="","",IF(HistSecRecord!$E$1&gt;=E141,1,0))</f>
        <v/>
      </c>
      <c r="E141" s="153"/>
      <c r="T141" s="153"/>
      <c r="BD141" s="31"/>
      <c r="BE141" s="31"/>
      <c r="BF141" s="31"/>
      <c r="BG141" s="31"/>
      <c r="BH141" s="31"/>
      <c r="BI141" s="116"/>
      <c r="BL141" s="196"/>
      <c r="BM141" s="239"/>
      <c r="BN141" s="330"/>
      <c r="BP141" s="330"/>
      <c r="BS141" s="116"/>
      <c r="BU141" s="331"/>
      <c r="BW141" s="116"/>
      <c r="BX141" s="116"/>
      <c r="BZ141" s="330"/>
      <c r="CB141" s="330"/>
      <c r="CC141" s="116"/>
      <c r="CG141" s="242"/>
      <c r="CH141" s="116"/>
      <c r="CI141" s="116"/>
      <c r="CJ141" s="116"/>
      <c r="CL141" s="116"/>
      <c r="CN141" s="239"/>
      <c r="CO141" s="153"/>
      <c r="DM141" s="116"/>
      <c r="DN141" s="116"/>
      <c r="DO141" s="116"/>
      <c r="DP141" s="116"/>
      <c r="DW141" s="116"/>
      <c r="DX141" s="219"/>
      <c r="DY141" s="219"/>
      <c r="DZ141" s="116"/>
      <c r="EA141" s="116"/>
      <c r="EB141" s="116"/>
      <c r="EC141" s="116"/>
      <c r="ED141" s="116"/>
      <c r="EF141" s="332"/>
      <c r="EG141" s="116"/>
      <c r="EH141" s="116"/>
      <c r="EI141" s="116"/>
      <c r="EJ141" s="116"/>
      <c r="EK141" s="116"/>
      <c r="EM141" s="116"/>
      <c r="EN141" s="116"/>
      <c r="EO141" s="116"/>
      <c r="EQ141" s="116"/>
      <c r="ER141" s="116"/>
      <c r="ES141" s="116"/>
      <c r="ET141" s="116"/>
      <c r="EU141" s="116"/>
      <c r="EV141" s="116"/>
      <c r="EX141" s="116"/>
      <c r="EY141" s="116"/>
      <c r="EZ141" s="116"/>
      <c r="FA141" s="116"/>
      <c r="FB141" s="116"/>
    </row>
    <row r="142" spans="1:158" ht="13">
      <c r="A142" s="10" t="str">
        <f>IF(B142="","",IF(HistSecRecord!$E$1&gt;=E142,1,0))</f>
        <v/>
      </c>
      <c r="E142" s="153"/>
      <c r="T142" s="153"/>
      <c r="BD142" s="31"/>
      <c r="BE142" s="31"/>
      <c r="BF142" s="31"/>
      <c r="BG142" s="31"/>
      <c r="BH142" s="31"/>
      <c r="BI142" s="116"/>
      <c r="BL142" s="196"/>
      <c r="BM142" s="239"/>
      <c r="BN142" s="330"/>
      <c r="BP142" s="330"/>
      <c r="BS142" s="116"/>
      <c r="BU142" s="331"/>
      <c r="BW142" s="116"/>
      <c r="BX142" s="116"/>
      <c r="BZ142" s="330"/>
      <c r="CB142" s="330"/>
      <c r="CC142" s="116"/>
      <c r="CG142" s="242"/>
      <c r="CH142" s="116"/>
      <c r="CI142" s="116"/>
      <c r="CJ142" s="116"/>
      <c r="CL142" s="116"/>
      <c r="CN142" s="239"/>
      <c r="CO142" s="153"/>
      <c r="DM142" s="116"/>
      <c r="DN142" s="116"/>
      <c r="DO142" s="116"/>
      <c r="DP142" s="116"/>
      <c r="DW142" s="116"/>
      <c r="DX142" s="219"/>
      <c r="DY142" s="219"/>
      <c r="DZ142" s="116"/>
      <c r="EA142" s="116"/>
      <c r="EB142" s="116"/>
      <c r="EC142" s="116"/>
      <c r="ED142" s="116"/>
      <c r="EF142" s="332"/>
      <c r="EG142" s="116"/>
      <c r="EH142" s="116"/>
      <c r="EI142" s="116"/>
      <c r="EJ142" s="116"/>
      <c r="EK142" s="116"/>
      <c r="EM142" s="116"/>
      <c r="EN142" s="116"/>
      <c r="EO142" s="116"/>
      <c r="EQ142" s="116"/>
      <c r="ER142" s="116"/>
      <c r="ES142" s="116"/>
      <c r="ET142" s="116"/>
      <c r="EU142" s="116"/>
      <c r="EV142" s="116"/>
      <c r="EX142" s="116"/>
      <c r="EY142" s="116"/>
      <c r="EZ142" s="116"/>
      <c r="FA142" s="116"/>
      <c r="FB142" s="116"/>
    </row>
    <row r="143" spans="1:158" ht="13">
      <c r="A143" s="10" t="str">
        <f>IF(B143="","",IF(HistSecRecord!$E$1&gt;=E143,1,0))</f>
        <v/>
      </c>
      <c r="E143" s="153"/>
      <c r="T143" s="153"/>
      <c r="BD143" s="31"/>
      <c r="BE143" s="31"/>
      <c r="BF143" s="31"/>
      <c r="BG143" s="31"/>
      <c r="BH143" s="31"/>
      <c r="BI143" s="116"/>
      <c r="BL143" s="196"/>
      <c r="BM143" s="239"/>
      <c r="BN143" s="330"/>
      <c r="BP143" s="330"/>
      <c r="BS143" s="116"/>
      <c r="BU143" s="331"/>
      <c r="BW143" s="116"/>
      <c r="BX143" s="116"/>
      <c r="BZ143" s="330"/>
      <c r="CB143" s="330"/>
      <c r="CC143" s="116"/>
      <c r="CG143" s="242"/>
      <c r="CH143" s="116"/>
      <c r="CI143" s="116"/>
      <c r="CJ143" s="116"/>
      <c r="CL143" s="116"/>
      <c r="CN143" s="239"/>
      <c r="CO143" s="153"/>
      <c r="DM143" s="116"/>
      <c r="DN143" s="116"/>
      <c r="DO143" s="116"/>
      <c r="DP143" s="116"/>
      <c r="DW143" s="116"/>
      <c r="DX143" s="219"/>
      <c r="DY143" s="219"/>
      <c r="DZ143" s="116"/>
      <c r="EA143" s="116"/>
      <c r="EB143" s="116"/>
      <c r="EC143" s="116"/>
      <c r="ED143" s="116"/>
      <c r="EF143" s="332"/>
      <c r="EG143" s="116"/>
      <c r="EH143" s="116"/>
      <c r="EI143" s="116"/>
      <c r="EJ143" s="116"/>
      <c r="EK143" s="116"/>
      <c r="EM143" s="116"/>
      <c r="EN143" s="116"/>
      <c r="EO143" s="116"/>
      <c r="EQ143" s="116"/>
      <c r="ER143" s="116"/>
      <c r="ES143" s="116"/>
      <c r="ET143" s="116"/>
      <c r="EU143" s="116"/>
      <c r="EV143" s="116"/>
      <c r="EX143" s="116"/>
      <c r="EY143" s="116"/>
      <c r="EZ143" s="116"/>
      <c r="FA143" s="116"/>
      <c r="FB143" s="116"/>
    </row>
    <row r="144" spans="1:158" ht="13">
      <c r="A144" s="10" t="str">
        <f>IF(B144="","",IF(HistSecRecord!$E$1&gt;=E144,1,0))</f>
        <v/>
      </c>
      <c r="E144" s="153"/>
      <c r="T144" s="153"/>
      <c r="BD144" s="31"/>
      <c r="BE144" s="31"/>
      <c r="BF144" s="31"/>
      <c r="BG144" s="31"/>
      <c r="BH144" s="31"/>
      <c r="BI144" s="116"/>
      <c r="BL144" s="196"/>
      <c r="BM144" s="239"/>
      <c r="BN144" s="330"/>
      <c r="BP144" s="330"/>
      <c r="BS144" s="116"/>
      <c r="BU144" s="331"/>
      <c r="BW144" s="116"/>
      <c r="BX144" s="116"/>
      <c r="BZ144" s="330"/>
      <c r="CB144" s="330"/>
      <c r="CC144" s="116"/>
      <c r="CG144" s="242"/>
      <c r="CH144" s="116"/>
      <c r="CI144" s="116"/>
      <c r="CJ144" s="116"/>
      <c r="CL144" s="116"/>
      <c r="CN144" s="239"/>
      <c r="CO144" s="153"/>
      <c r="DM144" s="116"/>
      <c r="DN144" s="116"/>
      <c r="DO144" s="116"/>
      <c r="DP144" s="116"/>
      <c r="DW144" s="116"/>
      <c r="DX144" s="219"/>
      <c r="DY144" s="219"/>
      <c r="DZ144" s="116"/>
      <c r="EA144" s="116"/>
      <c r="EB144" s="116"/>
      <c r="EC144" s="116"/>
      <c r="ED144" s="116"/>
      <c r="EF144" s="332"/>
      <c r="EG144" s="116"/>
      <c r="EH144" s="116"/>
      <c r="EI144" s="116"/>
      <c r="EJ144" s="116"/>
      <c r="EK144" s="116"/>
      <c r="EM144" s="116"/>
      <c r="EN144" s="116"/>
      <c r="EO144" s="116"/>
      <c r="EQ144" s="116"/>
      <c r="ER144" s="116"/>
      <c r="ES144" s="116"/>
      <c r="ET144" s="116"/>
      <c r="EU144" s="116"/>
      <c r="EV144" s="116"/>
      <c r="EX144" s="116"/>
      <c r="EY144" s="116"/>
      <c r="EZ144" s="116"/>
      <c r="FA144" s="116"/>
      <c r="FB144" s="116"/>
    </row>
    <row r="145" spans="1:158" ht="13">
      <c r="A145" s="10" t="str">
        <f>IF(B145="","",IF(HistSecRecord!$E$1&gt;=E145,1,0))</f>
        <v/>
      </c>
      <c r="E145" s="153"/>
      <c r="T145" s="153"/>
      <c r="BD145" s="31"/>
      <c r="BE145" s="31"/>
      <c r="BF145" s="31"/>
      <c r="BG145" s="31"/>
      <c r="BH145" s="31"/>
      <c r="BI145" s="116"/>
      <c r="BL145" s="196"/>
      <c r="BM145" s="239"/>
      <c r="BN145" s="330"/>
      <c r="BP145" s="330"/>
      <c r="BS145" s="116"/>
      <c r="BU145" s="331"/>
      <c r="BW145" s="116"/>
      <c r="BX145" s="116"/>
      <c r="BZ145" s="330"/>
      <c r="CB145" s="330"/>
      <c r="CC145" s="116"/>
      <c r="CG145" s="242"/>
      <c r="CH145" s="116"/>
      <c r="CI145" s="116"/>
      <c r="CJ145" s="116"/>
      <c r="CL145" s="116"/>
      <c r="CN145" s="239"/>
      <c r="CO145" s="153"/>
      <c r="DM145" s="116"/>
      <c r="DN145" s="116"/>
      <c r="DO145" s="116"/>
      <c r="DP145" s="116"/>
      <c r="DW145" s="116"/>
      <c r="DX145" s="219"/>
      <c r="DY145" s="219"/>
      <c r="DZ145" s="116"/>
      <c r="EA145" s="116"/>
      <c r="EB145" s="116"/>
      <c r="EC145" s="116"/>
      <c r="ED145" s="116"/>
      <c r="EF145" s="332"/>
      <c r="EG145" s="116"/>
      <c r="EH145" s="116"/>
      <c r="EI145" s="116"/>
      <c r="EJ145" s="116"/>
      <c r="EK145" s="116"/>
      <c r="EM145" s="116"/>
      <c r="EN145" s="116"/>
      <c r="EO145" s="116"/>
      <c r="EQ145" s="116"/>
      <c r="ER145" s="116"/>
      <c r="ES145" s="116"/>
      <c r="ET145" s="116"/>
      <c r="EU145" s="116"/>
      <c r="EV145" s="116"/>
      <c r="EX145" s="116"/>
      <c r="EY145" s="116"/>
      <c r="EZ145" s="116"/>
      <c r="FA145" s="116"/>
      <c r="FB145" s="116"/>
    </row>
    <row r="146" spans="1:158" ht="13">
      <c r="A146" s="10" t="str">
        <f>IF(B146="","",IF(HistSecRecord!$E$1&gt;=E146,1,0))</f>
        <v/>
      </c>
      <c r="E146" s="153"/>
      <c r="T146" s="153"/>
      <c r="BD146" s="31"/>
      <c r="BE146" s="31"/>
      <c r="BF146" s="31"/>
      <c r="BG146" s="31"/>
      <c r="BH146" s="31"/>
      <c r="BI146" s="116"/>
      <c r="BL146" s="196"/>
      <c r="BM146" s="239"/>
      <c r="BN146" s="330"/>
      <c r="BP146" s="330"/>
      <c r="BS146" s="116"/>
      <c r="BU146" s="331"/>
      <c r="BW146" s="116"/>
      <c r="BX146" s="116"/>
      <c r="BZ146" s="330"/>
      <c r="CB146" s="330"/>
      <c r="CC146" s="116"/>
      <c r="CG146" s="242"/>
      <c r="CH146" s="116"/>
      <c r="CI146" s="116"/>
      <c r="CJ146" s="116"/>
      <c r="CL146" s="116"/>
      <c r="CN146" s="239"/>
      <c r="CO146" s="153"/>
      <c r="DM146" s="116"/>
      <c r="DN146" s="116"/>
      <c r="DO146" s="116"/>
      <c r="DP146" s="116"/>
      <c r="DW146" s="116"/>
      <c r="DX146" s="219"/>
      <c r="DY146" s="219"/>
      <c r="DZ146" s="116"/>
      <c r="EA146" s="116"/>
      <c r="EB146" s="116"/>
      <c r="EC146" s="116"/>
      <c r="ED146" s="116"/>
      <c r="EF146" s="332"/>
      <c r="EG146" s="116"/>
      <c r="EH146" s="116"/>
      <c r="EI146" s="116"/>
      <c r="EJ146" s="116"/>
      <c r="EK146" s="116"/>
      <c r="EM146" s="116"/>
      <c r="EN146" s="116"/>
      <c r="EO146" s="116"/>
      <c r="EQ146" s="116"/>
      <c r="ER146" s="116"/>
      <c r="ES146" s="116"/>
      <c r="ET146" s="116"/>
      <c r="EU146" s="116"/>
      <c r="EV146" s="116"/>
      <c r="EX146" s="116"/>
      <c r="EY146" s="116"/>
      <c r="EZ146" s="116"/>
      <c r="FA146" s="116"/>
      <c r="FB146" s="116"/>
    </row>
    <row r="147" spans="1:158" ht="13">
      <c r="A147" s="10" t="str">
        <f>IF(B147="","",IF(HistSecRecord!$E$1&gt;=E147,1,0))</f>
        <v/>
      </c>
      <c r="E147" s="153"/>
      <c r="T147" s="153"/>
      <c r="BD147" s="31"/>
      <c r="BE147" s="31"/>
      <c r="BF147" s="31"/>
      <c r="BG147" s="31"/>
      <c r="BH147" s="31"/>
      <c r="BI147" s="116"/>
      <c r="BL147" s="196"/>
      <c r="BM147" s="239"/>
      <c r="BN147" s="330"/>
      <c r="BP147" s="330"/>
      <c r="BS147" s="116"/>
      <c r="BU147" s="331"/>
      <c r="BW147" s="116"/>
      <c r="BX147" s="116"/>
      <c r="BZ147" s="330"/>
      <c r="CB147" s="330"/>
      <c r="CC147" s="116"/>
      <c r="CG147" s="242"/>
      <c r="CH147" s="116"/>
      <c r="CI147" s="116"/>
      <c r="CJ147" s="116"/>
      <c r="CL147" s="116"/>
      <c r="CN147" s="239"/>
      <c r="CO147" s="153"/>
      <c r="DM147" s="116"/>
      <c r="DN147" s="116"/>
      <c r="DO147" s="116"/>
      <c r="DP147" s="116"/>
      <c r="DW147" s="116"/>
      <c r="DX147" s="219"/>
      <c r="DY147" s="219"/>
      <c r="DZ147" s="116"/>
      <c r="EA147" s="116"/>
      <c r="EB147" s="116"/>
      <c r="EC147" s="116"/>
      <c r="ED147" s="116"/>
      <c r="EF147" s="332"/>
      <c r="EG147" s="116"/>
      <c r="EH147" s="116"/>
      <c r="EI147" s="116"/>
      <c r="EJ147" s="116"/>
      <c r="EK147" s="116"/>
      <c r="EM147" s="116"/>
      <c r="EN147" s="116"/>
      <c r="EO147" s="116"/>
      <c r="EQ147" s="116"/>
      <c r="ER147" s="116"/>
      <c r="ES147" s="116"/>
      <c r="ET147" s="116"/>
      <c r="EU147" s="116"/>
      <c r="EV147" s="116"/>
      <c r="EX147" s="116"/>
      <c r="EY147" s="116"/>
      <c r="EZ147" s="116"/>
      <c r="FA147" s="116"/>
      <c r="FB147" s="116"/>
    </row>
    <row r="148" spans="1:158" ht="13">
      <c r="A148" s="10" t="str">
        <f>IF(B148="","",IF(HistSecRecord!$E$1&gt;=E148,1,0))</f>
        <v/>
      </c>
      <c r="E148" s="153"/>
      <c r="T148" s="153"/>
      <c r="BD148" s="31"/>
      <c r="BE148" s="31"/>
      <c r="BF148" s="31"/>
      <c r="BG148" s="31"/>
      <c r="BH148" s="31"/>
      <c r="BI148" s="116"/>
      <c r="BL148" s="196"/>
      <c r="BM148" s="239"/>
      <c r="BN148" s="330"/>
      <c r="BP148" s="330"/>
      <c r="BS148" s="116"/>
      <c r="BU148" s="331"/>
      <c r="BW148" s="116"/>
      <c r="BX148" s="116"/>
      <c r="BZ148" s="330"/>
      <c r="CB148" s="330"/>
      <c r="CC148" s="116"/>
      <c r="CG148" s="242"/>
      <c r="CH148" s="116"/>
      <c r="CI148" s="116"/>
      <c r="CJ148" s="116"/>
      <c r="CL148" s="116"/>
      <c r="CN148" s="239"/>
      <c r="CO148" s="153"/>
      <c r="DM148" s="116"/>
      <c r="DN148" s="116"/>
      <c r="DO148" s="116"/>
      <c r="DP148" s="116"/>
      <c r="DW148" s="116"/>
      <c r="DX148" s="219"/>
      <c r="DY148" s="219"/>
      <c r="DZ148" s="116"/>
      <c r="EA148" s="116"/>
      <c r="EB148" s="116"/>
      <c r="EC148" s="116"/>
      <c r="ED148" s="116"/>
      <c r="EF148" s="332"/>
      <c r="EG148" s="116"/>
      <c r="EH148" s="116"/>
      <c r="EI148" s="116"/>
      <c r="EJ148" s="116"/>
      <c r="EK148" s="116"/>
      <c r="EM148" s="116"/>
      <c r="EN148" s="116"/>
      <c r="EO148" s="116"/>
      <c r="EQ148" s="116"/>
      <c r="ER148" s="116"/>
      <c r="ES148" s="116"/>
      <c r="ET148" s="116"/>
      <c r="EU148" s="116"/>
      <c r="EV148" s="116"/>
      <c r="EX148" s="116"/>
      <c r="EY148" s="116"/>
      <c r="EZ148" s="116"/>
      <c r="FA148" s="116"/>
      <c r="FB148" s="116"/>
    </row>
    <row r="149" spans="1:158" ht="13">
      <c r="A149" s="10" t="str">
        <f>IF(B149="","",IF(HistSecRecord!$E$1&gt;=E149,1,0))</f>
        <v/>
      </c>
      <c r="E149" s="153"/>
      <c r="T149" s="153"/>
      <c r="BD149" s="31"/>
      <c r="BE149" s="31"/>
      <c r="BF149" s="31"/>
      <c r="BG149" s="31"/>
      <c r="BH149" s="31"/>
      <c r="BI149" s="116"/>
      <c r="BL149" s="196"/>
      <c r="BM149" s="239"/>
      <c r="BN149" s="330"/>
      <c r="BP149" s="330"/>
      <c r="BS149" s="116"/>
      <c r="BU149" s="331"/>
      <c r="BW149" s="116"/>
      <c r="BX149" s="116"/>
      <c r="BZ149" s="330"/>
      <c r="CB149" s="330"/>
      <c r="CC149" s="116"/>
      <c r="CG149" s="242"/>
      <c r="CH149" s="116"/>
      <c r="CI149" s="116"/>
      <c r="CJ149" s="116"/>
      <c r="CL149" s="116"/>
      <c r="CN149" s="239"/>
      <c r="CO149" s="153"/>
      <c r="DM149" s="116"/>
      <c r="DN149" s="116"/>
      <c r="DO149" s="116"/>
      <c r="DP149" s="116"/>
      <c r="DW149" s="116"/>
      <c r="DX149" s="219"/>
      <c r="DY149" s="219"/>
      <c r="DZ149" s="116"/>
      <c r="EA149" s="116"/>
      <c r="EB149" s="116"/>
      <c r="EC149" s="116"/>
      <c r="ED149" s="116"/>
      <c r="EF149" s="332"/>
      <c r="EG149" s="116"/>
      <c r="EH149" s="116"/>
      <c r="EI149" s="116"/>
      <c r="EJ149" s="116"/>
      <c r="EK149" s="116"/>
      <c r="EM149" s="116"/>
      <c r="EN149" s="116"/>
      <c r="EO149" s="116"/>
      <c r="EQ149" s="116"/>
      <c r="ER149" s="116"/>
      <c r="ES149" s="116"/>
      <c r="ET149" s="116"/>
      <c r="EU149" s="116"/>
      <c r="EV149" s="116"/>
      <c r="EX149" s="116"/>
      <c r="EY149" s="116"/>
      <c r="EZ149" s="116"/>
      <c r="FA149" s="116"/>
      <c r="FB149" s="116"/>
    </row>
    <row r="150" spans="1:158" ht="13">
      <c r="A150" s="10" t="str">
        <f>IF(B150="","",IF(HistSecRecord!$E$1&gt;=E150,1,0))</f>
        <v/>
      </c>
      <c r="E150" s="153"/>
      <c r="T150" s="153"/>
      <c r="BD150" s="31"/>
      <c r="BE150" s="31"/>
      <c r="BF150" s="31"/>
      <c r="BG150" s="31"/>
      <c r="BH150" s="31"/>
      <c r="BI150" s="116"/>
      <c r="BL150" s="196"/>
      <c r="BM150" s="239"/>
      <c r="BN150" s="330"/>
      <c r="BP150" s="330"/>
      <c r="BS150" s="116"/>
      <c r="BU150" s="331"/>
      <c r="BW150" s="116"/>
      <c r="BX150" s="116"/>
      <c r="BZ150" s="330"/>
      <c r="CB150" s="330"/>
      <c r="CC150" s="116"/>
      <c r="CG150" s="242"/>
      <c r="CH150" s="116"/>
      <c r="CI150" s="116"/>
      <c r="CJ150" s="116"/>
      <c r="CL150" s="116"/>
      <c r="CN150" s="239"/>
      <c r="CO150" s="153"/>
      <c r="DM150" s="116"/>
      <c r="DN150" s="116"/>
      <c r="DO150" s="116"/>
      <c r="DP150" s="116"/>
      <c r="DW150" s="116"/>
      <c r="DX150" s="219"/>
      <c r="DY150" s="219"/>
      <c r="DZ150" s="116"/>
      <c r="EA150" s="116"/>
      <c r="EB150" s="116"/>
      <c r="EC150" s="116"/>
      <c r="ED150" s="116"/>
      <c r="EF150" s="332"/>
      <c r="EG150" s="116"/>
      <c r="EH150" s="116"/>
      <c r="EI150" s="116"/>
      <c r="EJ150" s="116"/>
      <c r="EK150" s="116"/>
      <c r="EM150" s="116"/>
      <c r="EN150" s="116"/>
      <c r="EO150" s="116"/>
      <c r="EQ150" s="116"/>
      <c r="ER150" s="116"/>
      <c r="ES150" s="116"/>
      <c r="ET150" s="116"/>
      <c r="EU150" s="116"/>
      <c r="EV150" s="116"/>
      <c r="EX150" s="116"/>
      <c r="EY150" s="116"/>
      <c r="EZ150" s="116"/>
      <c r="FA150" s="116"/>
      <c r="FB150" s="116"/>
    </row>
    <row r="151" spans="1:158" ht="13">
      <c r="A151" s="10" t="str">
        <f>IF(B151="","",IF(HistSecRecord!$E$1&gt;=E151,1,0))</f>
        <v/>
      </c>
      <c r="E151" s="153"/>
      <c r="T151" s="153"/>
      <c r="BD151" s="31"/>
      <c r="BE151" s="31"/>
      <c r="BF151" s="31"/>
      <c r="BG151" s="31"/>
      <c r="BH151" s="31"/>
      <c r="BI151" s="116"/>
      <c r="BL151" s="196"/>
      <c r="BM151" s="239"/>
      <c r="BN151" s="330"/>
      <c r="BP151" s="330"/>
      <c r="BS151" s="116"/>
      <c r="BU151" s="331"/>
      <c r="BW151" s="116"/>
      <c r="BX151" s="116"/>
      <c r="BZ151" s="330"/>
      <c r="CB151" s="330"/>
      <c r="CC151" s="116"/>
      <c r="CG151" s="242"/>
      <c r="CH151" s="116"/>
      <c r="CI151" s="116"/>
      <c r="CJ151" s="116"/>
      <c r="CL151" s="116"/>
      <c r="CN151" s="239"/>
      <c r="CO151" s="153"/>
      <c r="DM151" s="116"/>
      <c r="DN151" s="116"/>
      <c r="DO151" s="116"/>
      <c r="DP151" s="116"/>
      <c r="DW151" s="116"/>
      <c r="DX151" s="219"/>
      <c r="DY151" s="219"/>
      <c r="DZ151" s="116"/>
      <c r="EA151" s="116"/>
      <c r="EB151" s="116"/>
      <c r="EC151" s="116"/>
      <c r="ED151" s="116"/>
      <c r="EF151" s="332"/>
      <c r="EG151" s="116"/>
      <c r="EH151" s="116"/>
      <c r="EI151" s="116"/>
      <c r="EJ151" s="116"/>
      <c r="EK151" s="116"/>
      <c r="EM151" s="116"/>
      <c r="EN151" s="116"/>
      <c r="EO151" s="116"/>
      <c r="EQ151" s="116"/>
      <c r="ER151" s="116"/>
      <c r="ES151" s="116"/>
      <c r="ET151" s="116"/>
      <c r="EU151" s="116"/>
      <c r="EV151" s="116"/>
      <c r="EX151" s="116"/>
      <c r="EY151" s="116"/>
      <c r="EZ151" s="116"/>
      <c r="FA151" s="116"/>
      <c r="FB151" s="116"/>
    </row>
    <row r="152" spans="1:158" ht="13">
      <c r="A152" s="10" t="str">
        <f>IF(B152="","",IF(HistSecRecord!$E$1&gt;=E152,1,0))</f>
        <v/>
      </c>
      <c r="E152" s="153"/>
      <c r="T152" s="153"/>
      <c r="BD152" s="31"/>
      <c r="BE152" s="31"/>
      <c r="BF152" s="31"/>
      <c r="BG152" s="31"/>
      <c r="BH152" s="31"/>
      <c r="BI152" s="116"/>
      <c r="BL152" s="196"/>
      <c r="BM152" s="239"/>
      <c r="BN152" s="330"/>
      <c r="BP152" s="330"/>
      <c r="BS152" s="116"/>
      <c r="BU152" s="331"/>
      <c r="BW152" s="116"/>
      <c r="BX152" s="116"/>
      <c r="BZ152" s="330"/>
      <c r="CB152" s="330"/>
      <c r="CC152" s="116"/>
      <c r="CG152" s="242"/>
      <c r="CH152" s="116"/>
      <c r="CI152" s="116"/>
      <c r="CJ152" s="116"/>
      <c r="CL152" s="116"/>
      <c r="CN152" s="239"/>
      <c r="CO152" s="153"/>
      <c r="DM152" s="116"/>
      <c r="DN152" s="116"/>
      <c r="DO152" s="116"/>
      <c r="DP152" s="116"/>
      <c r="DW152" s="116"/>
      <c r="DX152" s="219"/>
      <c r="DY152" s="219"/>
      <c r="DZ152" s="116"/>
      <c r="EA152" s="116"/>
      <c r="EB152" s="116"/>
      <c r="EC152" s="116"/>
      <c r="ED152" s="116"/>
      <c r="EF152" s="332"/>
      <c r="EG152" s="116"/>
      <c r="EH152" s="116"/>
      <c r="EI152" s="116"/>
      <c r="EJ152" s="116"/>
      <c r="EK152" s="116"/>
      <c r="EM152" s="116"/>
      <c r="EN152" s="116"/>
      <c r="EO152" s="116"/>
      <c r="EQ152" s="116"/>
      <c r="ER152" s="116"/>
      <c r="ES152" s="116"/>
      <c r="ET152" s="116"/>
      <c r="EU152" s="116"/>
      <c r="EV152" s="116"/>
      <c r="EX152" s="116"/>
      <c r="EY152" s="116"/>
      <c r="EZ152" s="116"/>
      <c r="FA152" s="116"/>
      <c r="FB152" s="116"/>
    </row>
    <row r="153" spans="1:158" ht="13">
      <c r="A153" s="10" t="str">
        <f>IF(B153="","",IF(HistSecRecord!$E$1&gt;=E153,1,0))</f>
        <v/>
      </c>
      <c r="E153" s="153"/>
      <c r="T153" s="153"/>
      <c r="BD153" s="31"/>
      <c r="BE153" s="31"/>
      <c r="BF153" s="31"/>
      <c r="BG153" s="31"/>
      <c r="BH153" s="31"/>
      <c r="BI153" s="116"/>
      <c r="BL153" s="196"/>
      <c r="BM153" s="239"/>
      <c r="BN153" s="330"/>
      <c r="BP153" s="330"/>
      <c r="BS153" s="116"/>
      <c r="BU153" s="331"/>
      <c r="BW153" s="116"/>
      <c r="BX153" s="116"/>
      <c r="BZ153" s="330"/>
      <c r="CB153" s="330"/>
      <c r="CC153" s="116"/>
      <c r="CG153" s="242"/>
      <c r="CH153" s="116"/>
      <c r="CI153" s="116"/>
      <c r="CJ153" s="116"/>
      <c r="CL153" s="116"/>
      <c r="CN153" s="239"/>
      <c r="CO153" s="153"/>
      <c r="DM153" s="116"/>
      <c r="DN153" s="116"/>
      <c r="DO153" s="116"/>
      <c r="DP153" s="116"/>
      <c r="DW153" s="116"/>
      <c r="DX153" s="219"/>
      <c r="DY153" s="219"/>
      <c r="DZ153" s="116"/>
      <c r="EA153" s="116"/>
      <c r="EB153" s="116"/>
      <c r="EC153" s="116"/>
      <c r="ED153" s="116"/>
      <c r="EF153" s="332"/>
      <c r="EG153" s="116"/>
      <c r="EH153" s="116"/>
      <c r="EI153" s="116"/>
      <c r="EJ153" s="116"/>
      <c r="EK153" s="116"/>
      <c r="EM153" s="116"/>
      <c r="EN153" s="116"/>
      <c r="EO153" s="116"/>
      <c r="EQ153" s="116"/>
      <c r="ER153" s="116"/>
      <c r="ES153" s="116"/>
      <c r="ET153" s="116"/>
      <c r="EU153" s="116"/>
      <c r="EV153" s="116"/>
      <c r="EX153" s="116"/>
      <c r="EY153" s="116"/>
      <c r="EZ153" s="116"/>
      <c r="FA153" s="116"/>
      <c r="FB153" s="116"/>
    </row>
    <row r="154" spans="1:158" ht="13">
      <c r="A154" s="10" t="str">
        <f>IF(B154="","",IF(HistSecRecord!$E$1&gt;=E154,1,0))</f>
        <v/>
      </c>
      <c r="E154" s="153"/>
      <c r="T154" s="153"/>
      <c r="BD154" s="31"/>
      <c r="BE154" s="31"/>
      <c r="BF154" s="31"/>
      <c r="BG154" s="31"/>
      <c r="BH154" s="31"/>
      <c r="BI154" s="116"/>
      <c r="BL154" s="196"/>
      <c r="BM154" s="239"/>
      <c r="BN154" s="330"/>
      <c r="BP154" s="330"/>
      <c r="BS154" s="116"/>
      <c r="BU154" s="331"/>
      <c r="BW154" s="116"/>
      <c r="BX154" s="116"/>
      <c r="BZ154" s="330"/>
      <c r="CB154" s="330"/>
      <c r="CC154" s="116"/>
      <c r="CG154" s="242"/>
      <c r="CH154" s="116"/>
      <c r="CI154" s="116"/>
      <c r="CJ154" s="116"/>
      <c r="CL154" s="116"/>
      <c r="CN154" s="239"/>
      <c r="CO154" s="153"/>
      <c r="DM154" s="116"/>
      <c r="DN154" s="116"/>
      <c r="DO154" s="116"/>
      <c r="DP154" s="116"/>
      <c r="DW154" s="116"/>
      <c r="DX154" s="219"/>
      <c r="DY154" s="219"/>
      <c r="DZ154" s="116"/>
      <c r="EA154" s="116"/>
      <c r="EB154" s="116"/>
      <c r="EC154" s="116"/>
      <c r="ED154" s="116"/>
      <c r="EF154" s="332"/>
      <c r="EG154" s="116"/>
      <c r="EH154" s="116"/>
      <c r="EI154" s="116"/>
      <c r="EJ154" s="116"/>
      <c r="EK154" s="116"/>
      <c r="EM154" s="116"/>
      <c r="EN154" s="116"/>
      <c r="EO154" s="116"/>
      <c r="EQ154" s="116"/>
      <c r="ER154" s="116"/>
      <c r="ES154" s="116"/>
      <c r="ET154" s="116"/>
      <c r="EU154" s="116"/>
      <c r="EV154" s="116"/>
      <c r="EX154" s="116"/>
      <c r="EY154" s="116"/>
      <c r="EZ154" s="116"/>
      <c r="FA154" s="116"/>
      <c r="FB154" s="116"/>
    </row>
    <row r="155" spans="1:158" ht="13">
      <c r="A155" s="10" t="str">
        <f>IF(B155="","",IF(HistSecRecord!$E$1&gt;=E155,1,0))</f>
        <v/>
      </c>
      <c r="E155" s="153"/>
      <c r="T155" s="153"/>
      <c r="BD155" s="31"/>
      <c r="BE155" s="31"/>
      <c r="BF155" s="31"/>
      <c r="BG155" s="31"/>
      <c r="BH155" s="31"/>
      <c r="BI155" s="116"/>
      <c r="BL155" s="196"/>
      <c r="BM155" s="239"/>
      <c r="BN155" s="330"/>
      <c r="BP155" s="330"/>
      <c r="BS155" s="116"/>
      <c r="BU155" s="331"/>
      <c r="BW155" s="116"/>
      <c r="BX155" s="116"/>
      <c r="BZ155" s="330"/>
      <c r="CB155" s="330"/>
      <c r="CC155" s="116"/>
      <c r="CG155" s="242"/>
      <c r="CH155" s="116"/>
      <c r="CI155" s="116"/>
      <c r="CJ155" s="116"/>
      <c r="CL155" s="116"/>
      <c r="CN155" s="239"/>
      <c r="CO155" s="153"/>
      <c r="DM155" s="116"/>
      <c r="DN155" s="116"/>
      <c r="DO155" s="116"/>
      <c r="DP155" s="116"/>
      <c r="DW155" s="116"/>
      <c r="DX155" s="219"/>
      <c r="DY155" s="219"/>
      <c r="DZ155" s="116"/>
      <c r="EA155" s="116"/>
      <c r="EB155" s="116"/>
      <c r="EC155" s="116"/>
      <c r="ED155" s="116"/>
      <c r="EF155" s="332"/>
      <c r="EG155" s="116"/>
      <c r="EH155" s="116"/>
      <c r="EI155" s="116"/>
      <c r="EJ155" s="116"/>
      <c r="EK155" s="116"/>
      <c r="EM155" s="116"/>
      <c r="EN155" s="116"/>
      <c r="EO155" s="116"/>
      <c r="EQ155" s="116"/>
      <c r="ER155" s="116"/>
      <c r="ES155" s="116"/>
      <c r="ET155" s="116"/>
      <c r="EU155" s="116"/>
      <c r="EV155" s="116"/>
      <c r="EX155" s="116"/>
      <c r="EY155" s="116"/>
      <c r="EZ155" s="116"/>
      <c r="FA155" s="116"/>
      <c r="FB155" s="116"/>
    </row>
    <row r="156" spans="1:158" ht="13">
      <c r="A156" s="10" t="str">
        <f>IF(B156="","",IF(HistSecRecord!$E$1&gt;=E156,1,0))</f>
        <v/>
      </c>
      <c r="E156" s="153"/>
      <c r="T156" s="153"/>
      <c r="BD156" s="31"/>
      <c r="BE156" s="31"/>
      <c r="BF156" s="31"/>
      <c r="BG156" s="31"/>
      <c r="BH156" s="31"/>
      <c r="BI156" s="116"/>
      <c r="BL156" s="196"/>
      <c r="BM156" s="239"/>
      <c r="BN156" s="330"/>
      <c r="BP156" s="330"/>
      <c r="BS156" s="116"/>
      <c r="BU156" s="331"/>
      <c r="BW156" s="116"/>
      <c r="BX156" s="116"/>
      <c r="BZ156" s="330"/>
      <c r="CB156" s="330"/>
      <c r="CC156" s="116"/>
      <c r="CG156" s="242"/>
      <c r="CH156" s="116"/>
      <c r="CI156" s="116"/>
      <c r="CJ156" s="116"/>
      <c r="CL156" s="116"/>
      <c r="CN156" s="239"/>
      <c r="CO156" s="153"/>
      <c r="DM156" s="116"/>
      <c r="DN156" s="116"/>
      <c r="DO156" s="116"/>
      <c r="DP156" s="116"/>
      <c r="DW156" s="116"/>
      <c r="DX156" s="219"/>
      <c r="DY156" s="219"/>
      <c r="DZ156" s="116"/>
      <c r="EA156" s="116"/>
      <c r="EB156" s="116"/>
      <c r="EC156" s="116"/>
      <c r="ED156" s="116"/>
      <c r="EF156" s="332"/>
      <c r="EG156" s="116"/>
      <c r="EH156" s="116"/>
      <c r="EI156" s="116"/>
      <c r="EJ156" s="116"/>
      <c r="EK156" s="116"/>
      <c r="EM156" s="116"/>
      <c r="EN156" s="116"/>
      <c r="EO156" s="116"/>
      <c r="EQ156" s="116"/>
      <c r="ER156" s="116"/>
      <c r="ES156" s="116"/>
      <c r="ET156" s="116"/>
      <c r="EU156" s="116"/>
      <c r="EV156" s="116"/>
      <c r="EX156" s="116"/>
      <c r="EY156" s="116"/>
      <c r="EZ156" s="116"/>
      <c r="FA156" s="116"/>
      <c r="FB156" s="116"/>
    </row>
    <row r="157" spans="1:158" ht="13">
      <c r="A157" s="10" t="str">
        <f>IF(B157="","",IF(HistSecRecord!$E$1&gt;=E157,1,0))</f>
        <v/>
      </c>
      <c r="E157" s="153"/>
      <c r="T157" s="153"/>
      <c r="BD157" s="31"/>
      <c r="BE157" s="31"/>
      <c r="BF157" s="31"/>
      <c r="BG157" s="31"/>
      <c r="BH157" s="31"/>
      <c r="BI157" s="116"/>
      <c r="BL157" s="196"/>
      <c r="BM157" s="239"/>
      <c r="BN157" s="330"/>
      <c r="BP157" s="330"/>
      <c r="BS157" s="116"/>
      <c r="BU157" s="331"/>
      <c r="BW157" s="116"/>
      <c r="BX157" s="116"/>
      <c r="BZ157" s="330"/>
      <c r="CB157" s="330"/>
      <c r="CC157" s="116"/>
      <c r="CG157" s="242"/>
      <c r="CH157" s="116"/>
      <c r="CI157" s="116"/>
      <c r="CJ157" s="116"/>
      <c r="CL157" s="116"/>
      <c r="CN157" s="239"/>
      <c r="CO157" s="153"/>
      <c r="DM157" s="116"/>
      <c r="DN157" s="116"/>
      <c r="DO157" s="116"/>
      <c r="DP157" s="116"/>
      <c r="DW157" s="116"/>
      <c r="DX157" s="219"/>
      <c r="DY157" s="219"/>
      <c r="DZ157" s="116"/>
      <c r="EA157" s="116"/>
      <c r="EB157" s="116"/>
      <c r="EC157" s="116"/>
      <c r="ED157" s="116"/>
      <c r="EF157" s="332"/>
      <c r="EG157" s="116"/>
      <c r="EH157" s="116"/>
      <c r="EI157" s="116"/>
      <c r="EJ157" s="116"/>
      <c r="EK157" s="116"/>
      <c r="EM157" s="116"/>
      <c r="EN157" s="116"/>
      <c r="EO157" s="116"/>
      <c r="EQ157" s="116"/>
      <c r="ER157" s="116"/>
      <c r="ES157" s="116"/>
      <c r="ET157" s="116"/>
      <c r="EU157" s="116"/>
      <c r="EV157" s="116"/>
      <c r="EX157" s="116"/>
      <c r="EY157" s="116"/>
      <c r="EZ157" s="116"/>
      <c r="FA157" s="116"/>
      <c r="FB157" s="116"/>
    </row>
    <row r="158" spans="1:158" ht="13">
      <c r="A158" s="10" t="str">
        <f>IF(B158="","",IF(HistSecRecord!$E$1&gt;=E158,1,0))</f>
        <v/>
      </c>
      <c r="E158" s="153"/>
      <c r="T158" s="153"/>
      <c r="BD158" s="31"/>
      <c r="BE158" s="31"/>
      <c r="BF158" s="31"/>
      <c r="BG158" s="31"/>
      <c r="BH158" s="31"/>
      <c r="BI158" s="116"/>
      <c r="BL158" s="196"/>
      <c r="BM158" s="239"/>
      <c r="BN158" s="330"/>
      <c r="BP158" s="330"/>
      <c r="BS158" s="116"/>
      <c r="BU158" s="331"/>
      <c r="BW158" s="116"/>
      <c r="BX158" s="116"/>
      <c r="BZ158" s="330"/>
      <c r="CB158" s="330"/>
      <c r="CC158" s="116"/>
      <c r="CG158" s="242"/>
      <c r="CH158" s="116"/>
      <c r="CI158" s="116"/>
      <c r="CJ158" s="116"/>
      <c r="CL158" s="116"/>
      <c r="CN158" s="239"/>
      <c r="CO158" s="153"/>
      <c r="DM158" s="116"/>
      <c r="DN158" s="116"/>
      <c r="DO158" s="116"/>
      <c r="DP158" s="116"/>
      <c r="DW158" s="116"/>
      <c r="DX158" s="219"/>
      <c r="DY158" s="219"/>
      <c r="DZ158" s="116"/>
      <c r="EA158" s="116"/>
      <c r="EB158" s="116"/>
      <c r="EC158" s="116"/>
      <c r="ED158" s="116"/>
      <c r="EF158" s="332"/>
      <c r="EG158" s="116"/>
      <c r="EH158" s="116"/>
      <c r="EI158" s="116"/>
      <c r="EJ158" s="116"/>
      <c r="EK158" s="116"/>
      <c r="EM158" s="116"/>
      <c r="EN158" s="116"/>
      <c r="EO158" s="116"/>
      <c r="EQ158" s="116"/>
      <c r="ER158" s="116"/>
      <c r="ES158" s="116"/>
      <c r="ET158" s="116"/>
      <c r="EU158" s="116"/>
      <c r="EV158" s="116"/>
      <c r="EX158" s="116"/>
      <c r="EY158" s="116"/>
      <c r="EZ158" s="116"/>
      <c r="FA158" s="116"/>
      <c r="FB158" s="116"/>
    </row>
    <row r="159" spans="1:158" ht="13">
      <c r="A159" s="10" t="str">
        <f>IF(B159="","",IF(HistSecRecord!$E$1&gt;=E159,1,0))</f>
        <v/>
      </c>
      <c r="E159" s="153"/>
      <c r="T159" s="153"/>
      <c r="BD159" s="31"/>
      <c r="BE159" s="31"/>
      <c r="BF159" s="31"/>
      <c r="BG159" s="31"/>
      <c r="BH159" s="31"/>
      <c r="BI159" s="116"/>
      <c r="BL159" s="196"/>
      <c r="BM159" s="239"/>
      <c r="BN159" s="330"/>
      <c r="BP159" s="330"/>
      <c r="BS159" s="116"/>
      <c r="BU159" s="331"/>
      <c r="BW159" s="116"/>
      <c r="BX159" s="116"/>
      <c r="BZ159" s="330"/>
      <c r="CB159" s="330"/>
      <c r="CC159" s="116"/>
      <c r="CG159" s="242"/>
      <c r="CH159" s="116"/>
      <c r="CI159" s="116"/>
      <c r="CJ159" s="116"/>
      <c r="CL159" s="116"/>
      <c r="CN159" s="239"/>
      <c r="CO159" s="153"/>
      <c r="DM159" s="116"/>
      <c r="DN159" s="116"/>
      <c r="DO159" s="116"/>
      <c r="DP159" s="116"/>
      <c r="DW159" s="116"/>
      <c r="DX159" s="219"/>
      <c r="DY159" s="219"/>
      <c r="DZ159" s="116"/>
      <c r="EA159" s="116"/>
      <c r="EB159" s="116"/>
      <c r="EC159" s="116"/>
      <c r="ED159" s="116"/>
      <c r="EF159" s="332"/>
      <c r="EG159" s="116"/>
      <c r="EH159" s="116"/>
      <c r="EI159" s="116"/>
      <c r="EJ159" s="116"/>
      <c r="EK159" s="116"/>
      <c r="EM159" s="116"/>
      <c r="EN159" s="116"/>
      <c r="EO159" s="116"/>
      <c r="EQ159" s="116"/>
      <c r="ER159" s="116"/>
      <c r="ES159" s="116"/>
      <c r="ET159" s="116"/>
      <c r="EU159" s="116"/>
      <c r="EV159" s="116"/>
      <c r="EX159" s="116"/>
      <c r="EY159" s="116"/>
      <c r="EZ159" s="116"/>
      <c r="FA159" s="116"/>
      <c r="FB159" s="116"/>
    </row>
    <row r="160" spans="1:158" ht="13">
      <c r="A160" s="10" t="str">
        <f>IF(B160="","",IF(HistSecRecord!$E$1&gt;=E160,1,0))</f>
        <v/>
      </c>
      <c r="E160" s="153"/>
      <c r="T160" s="153"/>
      <c r="BD160" s="31"/>
      <c r="BE160" s="31"/>
      <c r="BF160" s="31"/>
      <c r="BG160" s="31"/>
      <c r="BH160" s="31"/>
      <c r="BI160" s="116"/>
      <c r="BL160" s="196"/>
      <c r="BM160" s="239"/>
      <c r="BN160" s="330"/>
      <c r="BP160" s="330"/>
      <c r="BS160" s="116"/>
      <c r="BU160" s="331"/>
      <c r="BW160" s="116"/>
      <c r="BX160" s="116"/>
      <c r="BZ160" s="330"/>
      <c r="CB160" s="330"/>
      <c r="CC160" s="116"/>
      <c r="CG160" s="242"/>
      <c r="CH160" s="116"/>
      <c r="CI160" s="116"/>
      <c r="CJ160" s="116"/>
      <c r="CL160" s="116"/>
      <c r="CN160" s="239"/>
      <c r="CO160" s="153"/>
      <c r="DM160" s="116"/>
      <c r="DN160" s="116"/>
      <c r="DO160" s="116"/>
      <c r="DP160" s="116"/>
      <c r="DW160" s="116"/>
      <c r="DX160" s="219"/>
      <c r="DY160" s="219"/>
      <c r="DZ160" s="116"/>
      <c r="EA160" s="116"/>
      <c r="EB160" s="116"/>
      <c r="EC160" s="116"/>
      <c r="ED160" s="116"/>
      <c r="EF160" s="332"/>
      <c r="EG160" s="116"/>
      <c r="EH160" s="116"/>
      <c r="EI160" s="116"/>
      <c r="EJ160" s="116"/>
      <c r="EK160" s="116"/>
      <c r="EM160" s="116"/>
      <c r="EN160" s="116"/>
      <c r="EO160" s="116"/>
      <c r="EQ160" s="116"/>
      <c r="ER160" s="116"/>
      <c r="ES160" s="116"/>
      <c r="ET160" s="116"/>
      <c r="EU160" s="116"/>
      <c r="EV160" s="116"/>
      <c r="EX160" s="116"/>
      <c r="EY160" s="116"/>
      <c r="EZ160" s="116"/>
      <c r="FA160" s="116"/>
      <c r="FB160" s="116"/>
    </row>
    <row r="161" spans="1:158" ht="13">
      <c r="A161" s="10" t="str">
        <f>IF(B161="","",IF(HistSecRecord!$E$1&gt;=E161,1,0))</f>
        <v/>
      </c>
      <c r="E161" s="153"/>
      <c r="T161" s="153"/>
      <c r="BD161" s="31"/>
      <c r="BE161" s="31"/>
      <c r="BF161" s="31"/>
      <c r="BG161" s="31"/>
      <c r="BH161" s="31"/>
      <c r="BI161" s="116"/>
      <c r="BL161" s="196"/>
      <c r="BM161" s="239"/>
      <c r="BN161" s="330"/>
      <c r="BP161" s="330"/>
      <c r="BS161" s="116"/>
      <c r="BU161" s="331"/>
      <c r="BW161" s="116"/>
      <c r="BX161" s="116"/>
      <c r="BZ161" s="330"/>
      <c r="CB161" s="330"/>
      <c r="CC161" s="116"/>
      <c r="CG161" s="242"/>
      <c r="CH161" s="116"/>
      <c r="CI161" s="116"/>
      <c r="CJ161" s="116"/>
      <c r="CL161" s="116"/>
      <c r="CN161" s="239"/>
      <c r="CO161" s="153"/>
      <c r="DM161" s="116"/>
      <c r="DN161" s="116"/>
      <c r="DO161" s="116"/>
      <c r="DP161" s="116"/>
      <c r="DW161" s="116"/>
      <c r="DX161" s="219"/>
      <c r="DY161" s="219"/>
      <c r="DZ161" s="116"/>
      <c r="EA161" s="116"/>
      <c r="EB161" s="116"/>
      <c r="EC161" s="116"/>
      <c r="ED161" s="116"/>
      <c r="EF161" s="332"/>
      <c r="EG161" s="116"/>
      <c r="EH161" s="116"/>
      <c r="EI161" s="116"/>
      <c r="EJ161" s="116"/>
      <c r="EK161" s="116"/>
      <c r="EM161" s="116"/>
      <c r="EN161" s="116"/>
      <c r="EO161" s="116"/>
      <c r="EQ161" s="116"/>
      <c r="ER161" s="116"/>
      <c r="ES161" s="116"/>
      <c r="ET161" s="116"/>
      <c r="EU161" s="116"/>
      <c r="EV161" s="116"/>
      <c r="EX161" s="116"/>
      <c r="EY161" s="116"/>
      <c r="EZ161" s="116"/>
      <c r="FA161" s="116"/>
      <c r="FB161" s="116"/>
    </row>
    <row r="162" spans="1:158" ht="13">
      <c r="A162" s="10" t="str">
        <f>IF(B162="","",IF(HistSecRecord!$E$1&gt;=E162,1,0))</f>
        <v/>
      </c>
      <c r="E162" s="153"/>
      <c r="T162" s="153"/>
      <c r="BD162" s="31"/>
      <c r="BE162" s="31"/>
      <c r="BF162" s="31"/>
      <c r="BG162" s="31"/>
      <c r="BH162" s="31"/>
      <c r="BI162" s="116"/>
      <c r="BL162" s="196"/>
      <c r="BM162" s="239"/>
      <c r="BN162" s="330"/>
      <c r="BP162" s="330"/>
      <c r="BS162" s="116"/>
      <c r="BU162" s="331"/>
      <c r="BW162" s="116"/>
      <c r="BX162" s="116"/>
      <c r="BZ162" s="330"/>
      <c r="CB162" s="330"/>
      <c r="CC162" s="116"/>
      <c r="CG162" s="242"/>
      <c r="CH162" s="116"/>
      <c r="CI162" s="116"/>
      <c r="CJ162" s="116"/>
      <c r="CL162" s="116"/>
      <c r="CN162" s="239"/>
      <c r="CO162" s="153"/>
      <c r="DM162" s="116"/>
      <c r="DN162" s="116"/>
      <c r="DO162" s="116"/>
      <c r="DP162" s="116"/>
      <c r="DW162" s="116"/>
      <c r="DX162" s="219"/>
      <c r="DY162" s="219"/>
      <c r="DZ162" s="116"/>
      <c r="EA162" s="116"/>
      <c r="EB162" s="116"/>
      <c r="EC162" s="116"/>
      <c r="ED162" s="116"/>
      <c r="EF162" s="332"/>
      <c r="EG162" s="116"/>
      <c r="EH162" s="116"/>
      <c r="EI162" s="116"/>
      <c r="EJ162" s="116"/>
      <c r="EK162" s="116"/>
      <c r="EM162" s="116"/>
      <c r="EN162" s="116"/>
      <c r="EO162" s="116"/>
      <c r="EQ162" s="116"/>
      <c r="ER162" s="116"/>
      <c r="ES162" s="116"/>
      <c r="ET162" s="116"/>
      <c r="EU162" s="116"/>
      <c r="EV162" s="116"/>
      <c r="EX162" s="116"/>
      <c r="EY162" s="116"/>
      <c r="EZ162" s="116"/>
      <c r="FA162" s="116"/>
      <c r="FB162" s="116"/>
    </row>
    <row r="163" spans="1:158" ht="13">
      <c r="A163" s="10" t="str">
        <f>IF(B163="","",IF(HistSecRecord!$E$1&gt;=E163,1,0))</f>
        <v/>
      </c>
      <c r="E163" s="153"/>
      <c r="T163" s="153"/>
      <c r="BD163" s="31"/>
      <c r="BE163" s="31"/>
      <c r="BF163" s="31"/>
      <c r="BG163" s="31"/>
      <c r="BH163" s="31"/>
      <c r="BI163" s="116"/>
      <c r="BL163" s="196"/>
      <c r="BM163" s="239"/>
      <c r="BN163" s="330"/>
      <c r="BP163" s="330"/>
      <c r="BS163" s="116"/>
      <c r="BU163" s="331"/>
      <c r="BW163" s="116"/>
      <c r="BX163" s="116"/>
      <c r="BZ163" s="330"/>
      <c r="CB163" s="330"/>
      <c r="CC163" s="116"/>
      <c r="CG163" s="242"/>
      <c r="CH163" s="116"/>
      <c r="CI163" s="116"/>
      <c r="CJ163" s="116"/>
      <c r="CL163" s="116"/>
      <c r="CN163" s="239"/>
      <c r="CO163" s="153"/>
      <c r="DM163" s="116"/>
      <c r="DN163" s="116"/>
      <c r="DO163" s="116"/>
      <c r="DP163" s="116"/>
      <c r="DW163" s="116"/>
      <c r="DX163" s="219"/>
      <c r="DY163" s="219"/>
      <c r="DZ163" s="116"/>
      <c r="EA163" s="116"/>
      <c r="EB163" s="116"/>
      <c r="EC163" s="116"/>
      <c r="ED163" s="116"/>
      <c r="EF163" s="332"/>
      <c r="EG163" s="116"/>
      <c r="EH163" s="116"/>
      <c r="EI163" s="116"/>
      <c r="EJ163" s="116"/>
      <c r="EK163" s="116"/>
      <c r="EM163" s="116"/>
      <c r="EN163" s="116"/>
      <c r="EO163" s="116"/>
      <c r="EQ163" s="116"/>
      <c r="ER163" s="116"/>
      <c r="ES163" s="116"/>
      <c r="ET163" s="116"/>
      <c r="EU163" s="116"/>
      <c r="EV163" s="116"/>
      <c r="EX163" s="116"/>
      <c r="EY163" s="116"/>
      <c r="EZ163" s="116"/>
      <c r="FA163" s="116"/>
      <c r="FB163" s="116"/>
    </row>
    <row r="164" spans="1:158" ht="13">
      <c r="E164" s="153"/>
      <c r="T164" s="153"/>
      <c r="BD164" s="31"/>
      <c r="BE164" s="31"/>
      <c r="BF164" s="31"/>
      <c r="BG164" s="31"/>
      <c r="BH164" s="31"/>
      <c r="BI164" s="116"/>
      <c r="BL164" s="196"/>
      <c r="BM164" s="239"/>
      <c r="BN164" s="330"/>
      <c r="BP164" s="330"/>
      <c r="BS164" s="116"/>
      <c r="BU164" s="331"/>
      <c r="BW164" s="116"/>
      <c r="BX164" s="116"/>
      <c r="BZ164" s="330"/>
      <c r="CB164" s="330"/>
      <c r="CC164" s="116"/>
      <c r="CG164" s="242"/>
      <c r="CH164" s="116"/>
      <c r="CI164" s="116"/>
      <c r="CJ164" s="116"/>
      <c r="CL164" s="116"/>
      <c r="CN164" s="239"/>
      <c r="CO164" s="153"/>
      <c r="DM164" s="116"/>
      <c r="DN164" s="116"/>
      <c r="DO164" s="116"/>
      <c r="DP164" s="116"/>
      <c r="DW164" s="116"/>
      <c r="DX164" s="219"/>
      <c r="DY164" s="219"/>
      <c r="DZ164" s="116"/>
      <c r="EA164" s="116"/>
      <c r="EB164" s="116"/>
      <c r="EC164" s="116"/>
      <c r="ED164" s="116"/>
      <c r="EF164" s="332"/>
      <c r="EG164" s="116"/>
      <c r="EH164" s="116"/>
      <c r="EI164" s="116"/>
      <c r="EJ164" s="116"/>
      <c r="EK164" s="116"/>
      <c r="EM164" s="116"/>
      <c r="EN164" s="116"/>
      <c r="EO164" s="116"/>
      <c r="EQ164" s="116"/>
      <c r="ER164" s="116"/>
      <c r="ES164" s="116"/>
      <c r="ET164" s="116"/>
      <c r="EU164" s="116"/>
      <c r="EV164" s="116"/>
      <c r="EX164" s="116"/>
      <c r="EY164" s="116"/>
      <c r="EZ164" s="116"/>
      <c r="FA164" s="116"/>
      <c r="FB164" s="116"/>
    </row>
    <row r="165" spans="1:158" ht="13">
      <c r="E165" s="153"/>
      <c r="T165" s="153"/>
      <c r="BD165" s="31"/>
      <c r="BE165" s="31"/>
      <c r="BF165" s="31"/>
      <c r="BG165" s="31"/>
      <c r="BH165" s="31"/>
      <c r="BI165" s="116"/>
      <c r="BL165" s="196"/>
      <c r="BM165" s="239"/>
      <c r="BN165" s="330"/>
      <c r="BP165" s="330"/>
      <c r="BS165" s="116"/>
      <c r="BU165" s="331"/>
      <c r="BW165" s="116"/>
      <c r="BX165" s="116"/>
      <c r="BZ165" s="330"/>
      <c r="CB165" s="330"/>
      <c r="CC165" s="116"/>
      <c r="CG165" s="242"/>
      <c r="CH165" s="116"/>
      <c r="CI165" s="116"/>
      <c r="CJ165" s="116"/>
      <c r="CL165" s="116"/>
      <c r="CN165" s="239"/>
      <c r="CO165" s="153"/>
      <c r="DM165" s="116"/>
      <c r="DN165" s="116"/>
      <c r="DO165" s="116"/>
      <c r="DP165" s="116"/>
      <c r="DW165" s="116"/>
      <c r="DX165" s="219"/>
      <c r="DY165" s="219"/>
      <c r="DZ165" s="116"/>
      <c r="EA165" s="116"/>
      <c r="EB165" s="116"/>
      <c r="EC165" s="116"/>
      <c r="ED165" s="116"/>
      <c r="EF165" s="332"/>
      <c r="EG165" s="116"/>
      <c r="EH165" s="116"/>
      <c r="EI165" s="116"/>
      <c r="EJ165" s="116"/>
      <c r="EK165" s="116"/>
      <c r="EM165" s="116"/>
      <c r="EN165" s="116"/>
      <c r="EO165" s="116"/>
      <c r="EQ165" s="116"/>
      <c r="ER165" s="116"/>
      <c r="ES165" s="116"/>
      <c r="ET165" s="116"/>
      <c r="EU165" s="116"/>
      <c r="EV165" s="116"/>
      <c r="EX165" s="116"/>
      <c r="EY165" s="116"/>
      <c r="EZ165" s="116"/>
      <c r="FA165" s="116"/>
      <c r="FB165" s="116"/>
    </row>
    <row r="166" spans="1:158" ht="13">
      <c r="E166" s="153"/>
      <c r="T166" s="153"/>
      <c r="BD166" s="31"/>
      <c r="BE166" s="31"/>
      <c r="BF166" s="31"/>
      <c r="BG166" s="31"/>
      <c r="BH166" s="31"/>
      <c r="BI166" s="116"/>
      <c r="BL166" s="196"/>
      <c r="BM166" s="239"/>
      <c r="BN166" s="330"/>
      <c r="BP166" s="330"/>
      <c r="BS166" s="116"/>
      <c r="BU166" s="331"/>
      <c r="BW166" s="116"/>
      <c r="BX166" s="116"/>
      <c r="BZ166" s="330"/>
      <c r="CB166" s="330"/>
      <c r="CC166" s="116"/>
      <c r="CG166" s="242"/>
      <c r="CH166" s="116"/>
      <c r="CI166" s="116"/>
      <c r="CJ166" s="116"/>
      <c r="CL166" s="116"/>
      <c r="CN166" s="239"/>
      <c r="CO166" s="153"/>
      <c r="DM166" s="116"/>
      <c r="DN166" s="116"/>
      <c r="DO166" s="116"/>
      <c r="DP166" s="116"/>
      <c r="DW166" s="116"/>
      <c r="DX166" s="219"/>
      <c r="DY166" s="219"/>
      <c r="DZ166" s="116"/>
      <c r="EA166" s="116"/>
      <c r="EB166" s="116"/>
      <c r="EC166" s="116"/>
      <c r="ED166" s="116"/>
      <c r="EF166" s="332"/>
      <c r="EG166" s="116"/>
      <c r="EH166" s="116"/>
      <c r="EI166" s="116"/>
      <c r="EJ166" s="116"/>
      <c r="EK166" s="116"/>
      <c r="EM166" s="116"/>
      <c r="EN166" s="116"/>
      <c r="EO166" s="116"/>
      <c r="EQ166" s="116"/>
      <c r="ER166" s="116"/>
      <c r="ES166" s="116"/>
      <c r="ET166" s="116"/>
      <c r="EU166" s="116"/>
      <c r="EV166" s="116"/>
      <c r="EX166" s="116"/>
      <c r="EY166" s="116"/>
      <c r="EZ166" s="116"/>
      <c r="FA166" s="116"/>
      <c r="FB166" s="116"/>
    </row>
    <row r="167" spans="1:158" ht="13">
      <c r="E167" s="153"/>
      <c r="T167" s="153"/>
      <c r="BD167" s="31"/>
      <c r="BE167" s="31"/>
      <c r="BF167" s="31"/>
      <c r="BG167" s="31"/>
      <c r="BH167" s="31"/>
      <c r="BI167" s="116"/>
      <c r="BL167" s="196"/>
      <c r="BM167" s="239"/>
      <c r="BN167" s="330"/>
      <c r="BP167" s="330"/>
      <c r="BS167" s="116"/>
      <c r="BU167" s="331"/>
      <c r="BW167" s="116"/>
      <c r="BX167" s="116"/>
      <c r="BZ167" s="330"/>
      <c r="CB167" s="330"/>
      <c r="CC167" s="116"/>
      <c r="CG167" s="242"/>
      <c r="CH167" s="116"/>
      <c r="CI167" s="116"/>
      <c r="CJ167" s="116"/>
      <c r="CL167" s="116"/>
      <c r="CN167" s="239"/>
      <c r="CO167" s="153"/>
      <c r="DM167" s="116"/>
      <c r="DN167" s="116"/>
      <c r="DO167" s="116"/>
      <c r="DP167" s="116"/>
      <c r="DW167" s="116"/>
      <c r="DX167" s="219"/>
      <c r="DY167" s="219"/>
      <c r="DZ167" s="116"/>
      <c r="EA167" s="116"/>
      <c r="EB167" s="116"/>
      <c r="EC167" s="116"/>
      <c r="ED167" s="116"/>
      <c r="EF167" s="332"/>
      <c r="EG167" s="116"/>
      <c r="EH167" s="116"/>
      <c r="EI167" s="116"/>
      <c r="EJ167" s="116"/>
      <c r="EK167" s="116"/>
      <c r="EM167" s="116"/>
      <c r="EN167" s="116"/>
      <c r="EO167" s="116"/>
      <c r="EQ167" s="116"/>
      <c r="ER167" s="116"/>
      <c r="ES167" s="116"/>
      <c r="ET167" s="116"/>
      <c r="EU167" s="116"/>
      <c r="EV167" s="116"/>
      <c r="EX167" s="116"/>
      <c r="EY167" s="116"/>
      <c r="EZ167" s="116"/>
      <c r="FA167" s="116"/>
      <c r="FB167" s="116"/>
    </row>
    <row r="168" spans="1:158" ht="13">
      <c r="E168" s="153"/>
      <c r="T168" s="153"/>
      <c r="BD168" s="31"/>
      <c r="BE168" s="31"/>
      <c r="BF168" s="31"/>
      <c r="BG168" s="31"/>
      <c r="BH168" s="31"/>
      <c r="BI168" s="116"/>
      <c r="BL168" s="196"/>
      <c r="BM168" s="239"/>
      <c r="BN168" s="330"/>
      <c r="BP168" s="330"/>
      <c r="BS168" s="116"/>
      <c r="BU168" s="331"/>
      <c r="BW168" s="116"/>
      <c r="BX168" s="116"/>
      <c r="BZ168" s="330"/>
      <c r="CB168" s="330"/>
      <c r="CC168" s="116"/>
      <c r="CG168" s="242"/>
      <c r="CH168" s="116"/>
      <c r="CI168" s="116"/>
      <c r="CJ168" s="116"/>
      <c r="CL168" s="116"/>
      <c r="CN168" s="239"/>
      <c r="CO168" s="153"/>
      <c r="DM168" s="116"/>
      <c r="DN168" s="116"/>
      <c r="DO168" s="116"/>
      <c r="DP168" s="116"/>
      <c r="DW168" s="116"/>
      <c r="DX168" s="219"/>
      <c r="DY168" s="219"/>
      <c r="DZ168" s="116"/>
      <c r="EA168" s="116"/>
      <c r="EB168" s="116"/>
      <c r="EC168" s="116"/>
      <c r="ED168" s="116"/>
      <c r="EF168" s="332"/>
      <c r="EG168" s="116"/>
      <c r="EH168" s="116"/>
      <c r="EI168" s="116"/>
      <c r="EJ168" s="116"/>
      <c r="EK168" s="116"/>
      <c r="EM168" s="116"/>
      <c r="EN168" s="116"/>
      <c r="EO168" s="116"/>
      <c r="EQ168" s="116"/>
      <c r="ER168" s="116"/>
      <c r="ES168" s="116"/>
      <c r="ET168" s="116"/>
      <c r="EU168" s="116"/>
      <c r="EV168" s="116"/>
      <c r="EX168" s="116"/>
      <c r="EY168" s="116"/>
      <c r="EZ168" s="116"/>
      <c r="FA168" s="116"/>
      <c r="FB168" s="116"/>
    </row>
    <row r="169" spans="1:158" ht="13">
      <c r="E169" s="153"/>
      <c r="T169" s="153"/>
      <c r="BD169" s="31"/>
      <c r="BE169" s="31"/>
      <c r="BF169" s="31"/>
      <c r="BG169" s="31"/>
      <c r="BH169" s="31"/>
      <c r="BI169" s="116"/>
      <c r="BL169" s="196"/>
      <c r="BM169" s="239"/>
      <c r="BN169" s="330"/>
      <c r="BP169" s="330"/>
      <c r="BS169" s="116"/>
      <c r="BU169" s="331"/>
      <c r="BW169" s="116"/>
      <c r="BX169" s="116"/>
      <c r="BZ169" s="330"/>
      <c r="CB169" s="330"/>
      <c r="CC169" s="116"/>
      <c r="CG169" s="242"/>
      <c r="CH169" s="116"/>
      <c r="CI169" s="116"/>
      <c r="CJ169" s="116"/>
      <c r="CL169" s="116"/>
      <c r="CN169" s="239"/>
      <c r="CO169" s="153"/>
      <c r="DM169" s="116"/>
      <c r="DN169" s="116"/>
      <c r="DO169" s="116"/>
      <c r="DP169" s="116"/>
      <c r="DW169" s="116"/>
      <c r="DX169" s="219"/>
      <c r="DY169" s="219"/>
      <c r="DZ169" s="116"/>
      <c r="EA169" s="116"/>
      <c r="EB169" s="116"/>
      <c r="EC169" s="116"/>
      <c r="ED169" s="116"/>
      <c r="EF169" s="332"/>
      <c r="EG169" s="116"/>
      <c r="EH169" s="116"/>
      <c r="EI169" s="116"/>
      <c r="EJ169" s="116"/>
      <c r="EK169" s="116"/>
      <c r="EM169" s="116"/>
      <c r="EN169" s="116"/>
      <c r="EO169" s="116"/>
      <c r="EQ169" s="116"/>
      <c r="ER169" s="116"/>
      <c r="ES169" s="116"/>
      <c r="ET169" s="116"/>
      <c r="EU169" s="116"/>
      <c r="EV169" s="116"/>
      <c r="EX169" s="116"/>
      <c r="EY169" s="116"/>
      <c r="EZ169" s="116"/>
      <c r="FA169" s="116"/>
      <c r="FB169" s="116"/>
    </row>
    <row r="170" spans="1:158" ht="13">
      <c r="E170" s="153"/>
      <c r="T170" s="153"/>
      <c r="BD170" s="31"/>
      <c r="BE170" s="31"/>
      <c r="BF170" s="31"/>
      <c r="BG170" s="31"/>
      <c r="BH170" s="31"/>
      <c r="BI170" s="116"/>
      <c r="BL170" s="196"/>
      <c r="BM170" s="239"/>
      <c r="BN170" s="330"/>
      <c r="BP170" s="330"/>
      <c r="BS170" s="116"/>
      <c r="BU170" s="331"/>
      <c r="BW170" s="116"/>
      <c r="BX170" s="116"/>
      <c r="BZ170" s="330"/>
      <c r="CB170" s="330"/>
      <c r="CC170" s="116"/>
      <c r="CG170" s="242"/>
      <c r="CH170" s="116"/>
      <c r="CI170" s="116"/>
      <c r="CJ170" s="116"/>
      <c r="CL170" s="116"/>
      <c r="CN170" s="239"/>
      <c r="CO170" s="153"/>
      <c r="DM170" s="116"/>
      <c r="DN170" s="116"/>
      <c r="DO170" s="116"/>
      <c r="DP170" s="116"/>
      <c r="DW170" s="116"/>
      <c r="DX170" s="219"/>
      <c r="DY170" s="219"/>
      <c r="DZ170" s="116"/>
      <c r="EA170" s="116"/>
      <c r="EB170" s="116"/>
      <c r="EC170" s="116"/>
      <c r="ED170" s="116"/>
      <c r="EF170" s="332"/>
      <c r="EG170" s="116"/>
      <c r="EH170" s="116"/>
      <c r="EI170" s="116"/>
      <c r="EJ170" s="116"/>
      <c r="EK170" s="116"/>
      <c r="EM170" s="116"/>
      <c r="EN170" s="116"/>
      <c r="EO170" s="116"/>
      <c r="EQ170" s="116"/>
      <c r="ER170" s="116"/>
      <c r="ES170" s="116"/>
      <c r="ET170" s="116"/>
      <c r="EU170" s="116"/>
      <c r="EV170" s="116"/>
      <c r="EX170" s="116"/>
      <c r="EY170" s="116"/>
      <c r="EZ170" s="116"/>
      <c r="FA170" s="116"/>
      <c r="FB170" s="116"/>
    </row>
    <row r="171" spans="1:158" ht="13">
      <c r="E171" s="153"/>
      <c r="T171" s="153"/>
      <c r="BD171" s="31"/>
      <c r="BE171" s="31"/>
      <c r="BF171" s="31"/>
      <c r="BG171" s="31"/>
      <c r="BH171" s="31"/>
      <c r="BI171" s="116"/>
      <c r="BL171" s="196"/>
      <c r="BM171" s="239"/>
      <c r="BN171" s="330"/>
      <c r="BP171" s="330"/>
      <c r="BS171" s="116"/>
      <c r="BU171" s="331"/>
      <c r="BW171" s="116"/>
      <c r="BX171" s="116"/>
      <c r="BZ171" s="330"/>
      <c r="CB171" s="330"/>
      <c r="CC171" s="116"/>
      <c r="CG171" s="242"/>
      <c r="CH171" s="116"/>
      <c r="CI171" s="116"/>
      <c r="CJ171" s="116"/>
      <c r="CL171" s="116"/>
      <c r="CN171" s="239"/>
      <c r="CO171" s="153"/>
      <c r="DM171" s="116"/>
      <c r="DN171" s="116"/>
      <c r="DO171" s="116"/>
      <c r="DP171" s="116"/>
      <c r="DW171" s="116"/>
      <c r="DX171" s="219"/>
      <c r="DY171" s="219"/>
      <c r="DZ171" s="116"/>
      <c r="EA171" s="116"/>
      <c r="EB171" s="116"/>
      <c r="EC171" s="116"/>
      <c r="ED171" s="116"/>
      <c r="EF171" s="332"/>
      <c r="EG171" s="116"/>
      <c r="EH171" s="116"/>
      <c r="EI171" s="116"/>
      <c r="EJ171" s="116"/>
      <c r="EK171" s="116"/>
      <c r="EM171" s="116"/>
      <c r="EN171" s="116"/>
      <c r="EO171" s="116"/>
      <c r="EQ171" s="116"/>
      <c r="ER171" s="116"/>
      <c r="ES171" s="116"/>
      <c r="ET171" s="116"/>
      <c r="EU171" s="116"/>
      <c r="EV171" s="116"/>
      <c r="EX171" s="116"/>
      <c r="EY171" s="116"/>
      <c r="EZ171" s="116"/>
      <c r="FA171" s="116"/>
      <c r="FB171" s="116"/>
    </row>
    <row r="172" spans="1:158" ht="13">
      <c r="E172" s="153"/>
      <c r="T172" s="153"/>
      <c r="BD172" s="31"/>
      <c r="BE172" s="31"/>
      <c r="BF172" s="31"/>
      <c r="BG172" s="31"/>
      <c r="BH172" s="31"/>
      <c r="BI172" s="116"/>
      <c r="BL172" s="196"/>
      <c r="BM172" s="239"/>
      <c r="BN172" s="330"/>
      <c r="BP172" s="330"/>
      <c r="BS172" s="116"/>
      <c r="BU172" s="331"/>
      <c r="BW172" s="116"/>
      <c r="BX172" s="116"/>
      <c r="BZ172" s="330"/>
      <c r="CB172" s="330"/>
      <c r="CC172" s="116"/>
      <c r="CG172" s="242"/>
      <c r="CH172" s="116"/>
      <c r="CI172" s="116"/>
      <c r="CJ172" s="116"/>
      <c r="CL172" s="116"/>
      <c r="CN172" s="239"/>
      <c r="CO172" s="153"/>
      <c r="DM172" s="116"/>
      <c r="DN172" s="116"/>
      <c r="DO172" s="116"/>
      <c r="DP172" s="116"/>
      <c r="DW172" s="116"/>
      <c r="DX172" s="219"/>
      <c r="DY172" s="219"/>
      <c r="DZ172" s="116"/>
      <c r="EA172" s="116"/>
      <c r="EB172" s="116"/>
      <c r="EC172" s="116"/>
      <c r="ED172" s="116"/>
      <c r="EF172" s="332"/>
      <c r="EG172" s="116"/>
      <c r="EH172" s="116"/>
      <c r="EI172" s="116"/>
      <c r="EJ172" s="116"/>
      <c r="EK172" s="116"/>
      <c r="EM172" s="116"/>
      <c r="EN172" s="116"/>
      <c r="EO172" s="116"/>
      <c r="EQ172" s="116"/>
      <c r="ER172" s="116"/>
      <c r="ES172" s="116"/>
      <c r="ET172" s="116"/>
      <c r="EU172" s="116"/>
      <c r="EV172" s="116"/>
      <c r="EX172" s="116"/>
      <c r="EY172" s="116"/>
      <c r="EZ172" s="116"/>
      <c r="FA172" s="116"/>
      <c r="FB172" s="116"/>
    </row>
    <row r="173" spans="1:158" ht="13">
      <c r="E173" s="153"/>
      <c r="T173" s="153"/>
      <c r="BD173" s="31"/>
      <c r="BE173" s="31"/>
      <c r="BF173" s="31"/>
      <c r="BG173" s="31"/>
      <c r="BH173" s="31"/>
      <c r="BI173" s="116"/>
      <c r="BL173" s="196"/>
      <c r="BM173" s="239"/>
      <c r="BN173" s="330"/>
      <c r="BP173" s="330"/>
      <c r="BS173" s="116"/>
      <c r="BU173" s="331"/>
      <c r="BW173" s="116"/>
      <c r="BX173" s="116"/>
      <c r="BZ173" s="330"/>
      <c r="CB173" s="330"/>
      <c r="CC173" s="116"/>
      <c r="CG173" s="242"/>
      <c r="CH173" s="116"/>
      <c r="CI173" s="116"/>
      <c r="CJ173" s="116"/>
      <c r="CL173" s="116"/>
      <c r="CN173" s="239"/>
      <c r="CO173" s="153"/>
      <c r="DM173" s="116"/>
      <c r="DN173" s="116"/>
      <c r="DO173" s="116"/>
      <c r="DP173" s="116"/>
      <c r="DW173" s="116"/>
      <c r="DX173" s="219"/>
      <c r="DY173" s="219"/>
      <c r="DZ173" s="116"/>
      <c r="EA173" s="116"/>
      <c r="EB173" s="116"/>
      <c r="EC173" s="116"/>
      <c r="ED173" s="116"/>
      <c r="EF173" s="332"/>
      <c r="EG173" s="116"/>
      <c r="EH173" s="116"/>
      <c r="EI173" s="116"/>
      <c r="EJ173" s="116"/>
      <c r="EK173" s="116"/>
      <c r="EM173" s="116"/>
      <c r="EN173" s="116"/>
      <c r="EO173" s="116"/>
      <c r="EQ173" s="116"/>
      <c r="ER173" s="116"/>
      <c r="ES173" s="116"/>
      <c r="ET173" s="116"/>
      <c r="EU173" s="116"/>
      <c r="EV173" s="116"/>
      <c r="EX173" s="116"/>
      <c r="EY173" s="116"/>
      <c r="EZ173" s="116"/>
      <c r="FA173" s="116"/>
      <c r="FB173" s="116"/>
    </row>
    <row r="174" spans="1:158" ht="13">
      <c r="E174" s="153"/>
      <c r="T174" s="153"/>
      <c r="BD174" s="31"/>
      <c r="BE174" s="31"/>
      <c r="BF174" s="31"/>
      <c r="BG174" s="31"/>
      <c r="BH174" s="31"/>
      <c r="BI174" s="116"/>
      <c r="BL174" s="196"/>
      <c r="BM174" s="239"/>
      <c r="BN174" s="330"/>
      <c r="BP174" s="330"/>
      <c r="BS174" s="116"/>
      <c r="BU174" s="331"/>
      <c r="BW174" s="116"/>
      <c r="BX174" s="116"/>
      <c r="BZ174" s="330"/>
      <c r="CB174" s="330"/>
      <c r="CC174" s="116"/>
      <c r="CG174" s="242"/>
      <c r="CH174" s="116"/>
      <c r="CI174" s="116"/>
      <c r="CJ174" s="116"/>
      <c r="CL174" s="116"/>
      <c r="CN174" s="239"/>
      <c r="CO174" s="153"/>
      <c r="DM174" s="116"/>
      <c r="DN174" s="116"/>
      <c r="DO174" s="116"/>
      <c r="DP174" s="116"/>
      <c r="DW174" s="116"/>
      <c r="DX174" s="219"/>
      <c r="DY174" s="219"/>
      <c r="DZ174" s="116"/>
      <c r="EA174" s="116"/>
      <c r="EB174" s="116"/>
      <c r="EC174" s="116"/>
      <c r="ED174" s="116"/>
      <c r="EF174" s="332"/>
      <c r="EG174" s="116"/>
      <c r="EH174" s="116"/>
      <c r="EI174" s="116"/>
      <c r="EJ174" s="116"/>
      <c r="EK174" s="116"/>
      <c r="EM174" s="116"/>
      <c r="EN174" s="116"/>
      <c r="EO174" s="116"/>
      <c r="EQ174" s="116"/>
      <c r="ER174" s="116"/>
      <c r="ES174" s="116"/>
      <c r="ET174" s="116"/>
      <c r="EU174" s="116"/>
      <c r="EV174" s="116"/>
      <c r="EX174" s="116"/>
      <c r="EY174" s="116"/>
      <c r="EZ174" s="116"/>
      <c r="FA174" s="116"/>
      <c r="FB174" s="116"/>
    </row>
    <row r="175" spans="1:158" ht="13">
      <c r="E175" s="153"/>
      <c r="T175" s="153"/>
      <c r="BD175" s="31"/>
      <c r="BE175" s="31"/>
      <c r="BF175" s="31"/>
      <c r="BG175" s="31"/>
      <c r="BH175" s="31"/>
      <c r="BI175" s="116"/>
      <c r="BL175" s="196"/>
      <c r="BM175" s="239"/>
      <c r="BN175" s="330"/>
      <c r="BP175" s="330"/>
      <c r="BS175" s="116"/>
      <c r="BU175" s="331"/>
      <c r="BW175" s="116"/>
      <c r="BX175" s="116"/>
      <c r="BZ175" s="330"/>
      <c r="CB175" s="330"/>
      <c r="CC175" s="116"/>
      <c r="CG175" s="242"/>
      <c r="CH175" s="116"/>
      <c r="CI175" s="116"/>
      <c r="CJ175" s="116"/>
      <c r="CL175" s="116"/>
      <c r="CN175" s="239"/>
      <c r="CO175" s="153"/>
      <c r="DM175" s="116"/>
      <c r="DN175" s="116"/>
      <c r="DO175" s="116"/>
      <c r="DP175" s="116"/>
      <c r="DW175" s="116"/>
      <c r="DX175" s="219"/>
      <c r="DY175" s="219"/>
      <c r="DZ175" s="116"/>
      <c r="EA175" s="116"/>
      <c r="EB175" s="116"/>
      <c r="EC175" s="116"/>
      <c r="ED175" s="116"/>
      <c r="EF175" s="332"/>
      <c r="EG175" s="116"/>
      <c r="EH175" s="116"/>
      <c r="EI175" s="116"/>
      <c r="EJ175" s="116"/>
      <c r="EK175" s="116"/>
      <c r="EM175" s="116"/>
      <c r="EN175" s="116"/>
      <c r="EO175" s="116"/>
      <c r="EQ175" s="116"/>
      <c r="ER175" s="116"/>
      <c r="ES175" s="116"/>
      <c r="ET175" s="116"/>
      <c r="EU175" s="116"/>
      <c r="EV175" s="116"/>
      <c r="EX175" s="116"/>
      <c r="EY175" s="116"/>
      <c r="EZ175" s="116"/>
      <c r="FA175" s="116"/>
      <c r="FB175" s="116"/>
    </row>
    <row r="176" spans="1:158" ht="13">
      <c r="E176" s="153"/>
      <c r="T176" s="153"/>
      <c r="BD176" s="31"/>
      <c r="BE176" s="31"/>
      <c r="BF176" s="31"/>
      <c r="BG176" s="31"/>
      <c r="BH176" s="31"/>
      <c r="BI176" s="116"/>
      <c r="BL176" s="196"/>
      <c r="BM176" s="239"/>
      <c r="BN176" s="330"/>
      <c r="BP176" s="330"/>
      <c r="BS176" s="116"/>
      <c r="BU176" s="331"/>
      <c r="BW176" s="116"/>
      <c r="BX176" s="116"/>
      <c r="BZ176" s="330"/>
      <c r="CB176" s="330"/>
      <c r="CC176" s="116"/>
      <c r="CG176" s="242"/>
      <c r="CH176" s="116"/>
      <c r="CI176" s="116"/>
      <c r="CJ176" s="116"/>
      <c r="CL176" s="116"/>
      <c r="CN176" s="239"/>
      <c r="CO176" s="153"/>
      <c r="DM176" s="116"/>
      <c r="DN176" s="116"/>
      <c r="DO176" s="116"/>
      <c r="DP176" s="116"/>
      <c r="DW176" s="116"/>
      <c r="DX176" s="219"/>
      <c r="DY176" s="219"/>
      <c r="DZ176" s="116"/>
      <c r="EA176" s="116"/>
      <c r="EB176" s="116"/>
      <c r="EC176" s="116"/>
      <c r="ED176" s="116"/>
      <c r="EF176" s="332"/>
      <c r="EG176" s="116"/>
      <c r="EH176" s="116"/>
      <c r="EI176" s="116"/>
      <c r="EJ176" s="116"/>
      <c r="EK176" s="116"/>
      <c r="EM176" s="116"/>
      <c r="EN176" s="116"/>
      <c r="EO176" s="116"/>
      <c r="EQ176" s="116"/>
      <c r="ER176" s="116"/>
      <c r="ES176" s="116"/>
      <c r="ET176" s="116"/>
      <c r="EU176" s="116"/>
      <c r="EV176" s="116"/>
      <c r="EX176" s="116"/>
      <c r="EY176" s="116"/>
      <c r="EZ176" s="116"/>
      <c r="FA176" s="116"/>
      <c r="FB176" s="116"/>
    </row>
    <row r="177" spans="5:158" ht="13">
      <c r="E177" s="153"/>
      <c r="T177" s="153"/>
      <c r="BD177" s="31"/>
      <c r="BE177" s="31"/>
      <c r="BF177" s="31"/>
      <c r="BG177" s="31"/>
      <c r="BH177" s="31"/>
      <c r="BI177" s="116"/>
      <c r="BL177" s="196"/>
      <c r="BM177" s="239"/>
      <c r="BN177" s="330"/>
      <c r="BP177" s="330"/>
      <c r="BS177" s="116"/>
      <c r="BU177" s="331"/>
      <c r="BW177" s="116"/>
      <c r="BX177" s="116"/>
      <c r="BZ177" s="330"/>
      <c r="CB177" s="330"/>
      <c r="CC177" s="116"/>
      <c r="CG177" s="242"/>
      <c r="CH177" s="116"/>
      <c r="CI177" s="116"/>
      <c r="CJ177" s="116"/>
      <c r="CL177" s="116"/>
      <c r="CN177" s="239"/>
      <c r="CO177" s="153"/>
      <c r="DM177" s="116"/>
      <c r="DN177" s="116"/>
      <c r="DO177" s="116"/>
      <c r="DP177" s="116"/>
      <c r="DW177" s="116"/>
      <c r="DX177" s="219"/>
      <c r="DY177" s="219"/>
      <c r="DZ177" s="116"/>
      <c r="EA177" s="116"/>
      <c r="EB177" s="116"/>
      <c r="EC177" s="116"/>
      <c r="ED177" s="116"/>
      <c r="EF177" s="332"/>
      <c r="EG177" s="116"/>
      <c r="EH177" s="116"/>
      <c r="EI177" s="116"/>
      <c r="EJ177" s="116"/>
      <c r="EK177" s="116"/>
      <c r="EM177" s="116"/>
      <c r="EN177" s="116"/>
      <c r="EO177" s="116"/>
      <c r="EQ177" s="116"/>
      <c r="ER177" s="116"/>
      <c r="ES177" s="116"/>
      <c r="ET177" s="116"/>
      <c r="EU177" s="116"/>
      <c r="EV177" s="116"/>
      <c r="EX177" s="116"/>
      <c r="EY177" s="116"/>
      <c r="EZ177" s="116"/>
      <c r="FA177" s="116"/>
      <c r="FB177" s="116"/>
    </row>
    <row r="178" spans="5:158" ht="13">
      <c r="E178" s="153"/>
      <c r="T178" s="153"/>
      <c r="BD178" s="31"/>
      <c r="BE178" s="31"/>
      <c r="BF178" s="31"/>
      <c r="BG178" s="31"/>
      <c r="BH178" s="31"/>
      <c r="BI178" s="116"/>
      <c r="BL178" s="196"/>
      <c r="BM178" s="239"/>
      <c r="BN178" s="330"/>
      <c r="BP178" s="330"/>
      <c r="BS178" s="116"/>
      <c r="BU178" s="331"/>
      <c r="BW178" s="116"/>
      <c r="BX178" s="116"/>
      <c r="BZ178" s="330"/>
      <c r="CB178" s="330"/>
      <c r="CC178" s="116"/>
      <c r="CG178" s="242"/>
      <c r="CH178" s="116"/>
      <c r="CI178" s="116"/>
      <c r="CJ178" s="116"/>
      <c r="CL178" s="116"/>
      <c r="CN178" s="239"/>
      <c r="CO178" s="153"/>
      <c r="DM178" s="116"/>
      <c r="DN178" s="116"/>
      <c r="DO178" s="116"/>
      <c r="DP178" s="116"/>
      <c r="DW178" s="116"/>
      <c r="DX178" s="219"/>
      <c r="DY178" s="219"/>
      <c r="DZ178" s="116"/>
      <c r="EA178" s="116"/>
      <c r="EB178" s="116"/>
      <c r="EC178" s="116"/>
      <c r="ED178" s="116"/>
      <c r="EF178" s="332"/>
      <c r="EG178" s="116"/>
      <c r="EH178" s="116"/>
      <c r="EI178" s="116"/>
      <c r="EJ178" s="116"/>
      <c r="EK178" s="116"/>
      <c r="EM178" s="116"/>
      <c r="EN178" s="116"/>
      <c r="EO178" s="116"/>
      <c r="EQ178" s="116"/>
      <c r="ER178" s="116"/>
      <c r="ES178" s="116"/>
      <c r="ET178" s="116"/>
      <c r="EU178" s="116"/>
      <c r="EV178" s="116"/>
      <c r="EX178" s="116"/>
      <c r="EY178" s="116"/>
      <c r="EZ178" s="116"/>
      <c r="FA178" s="116"/>
      <c r="FB178" s="116"/>
    </row>
    <row r="179" spans="5:158" ht="13">
      <c r="E179" s="153"/>
      <c r="T179" s="153"/>
      <c r="BD179" s="31"/>
      <c r="BE179" s="31"/>
      <c r="BF179" s="31"/>
      <c r="BG179" s="31"/>
      <c r="BH179" s="31"/>
      <c r="BI179" s="116"/>
      <c r="BL179" s="196"/>
      <c r="BM179" s="239"/>
      <c r="BN179" s="330"/>
      <c r="BP179" s="330"/>
      <c r="BS179" s="116"/>
      <c r="BU179" s="331"/>
      <c r="BW179" s="116"/>
      <c r="BX179" s="116"/>
      <c r="BZ179" s="330"/>
      <c r="CB179" s="330"/>
      <c r="CC179" s="116"/>
      <c r="CG179" s="242"/>
      <c r="CH179" s="116"/>
      <c r="CI179" s="116"/>
      <c r="CJ179" s="116"/>
      <c r="CL179" s="116"/>
      <c r="CN179" s="239"/>
      <c r="CO179" s="153"/>
      <c r="DM179" s="116"/>
      <c r="DN179" s="116"/>
      <c r="DO179" s="116"/>
      <c r="DP179" s="116"/>
      <c r="DW179" s="116"/>
      <c r="DX179" s="219"/>
      <c r="DY179" s="219"/>
      <c r="DZ179" s="116"/>
      <c r="EA179" s="116"/>
      <c r="EB179" s="116"/>
      <c r="EC179" s="116"/>
      <c r="ED179" s="116"/>
      <c r="EF179" s="332"/>
      <c r="EG179" s="116"/>
      <c r="EH179" s="116"/>
      <c r="EI179" s="116"/>
      <c r="EJ179" s="116"/>
      <c r="EK179" s="116"/>
      <c r="EM179" s="116"/>
      <c r="EN179" s="116"/>
      <c r="EO179" s="116"/>
      <c r="EQ179" s="116"/>
      <c r="ER179" s="116"/>
      <c r="ES179" s="116"/>
      <c r="ET179" s="116"/>
      <c r="EU179" s="116"/>
      <c r="EV179" s="116"/>
      <c r="EX179" s="116"/>
      <c r="EY179" s="116"/>
      <c r="EZ179" s="116"/>
      <c r="FA179" s="116"/>
      <c r="FB179" s="116"/>
    </row>
    <row r="180" spans="5:158" ht="13">
      <c r="E180" s="153"/>
      <c r="T180" s="153"/>
      <c r="BD180" s="31"/>
      <c r="BE180" s="31"/>
      <c r="BF180" s="31"/>
      <c r="BG180" s="31"/>
      <c r="BH180" s="31"/>
      <c r="BI180" s="116"/>
      <c r="BL180" s="196"/>
      <c r="BM180" s="239"/>
      <c r="BN180" s="330"/>
      <c r="BP180" s="330"/>
      <c r="BS180" s="116"/>
      <c r="BU180" s="331"/>
      <c r="BW180" s="116"/>
      <c r="BX180" s="116"/>
      <c r="BZ180" s="330"/>
      <c r="CB180" s="330"/>
      <c r="CC180" s="116"/>
      <c r="CG180" s="242"/>
      <c r="CH180" s="116"/>
      <c r="CI180" s="116"/>
      <c r="CJ180" s="116"/>
      <c r="CL180" s="116"/>
      <c r="CN180" s="239"/>
      <c r="CO180" s="153"/>
      <c r="DM180" s="116"/>
      <c r="DN180" s="116"/>
      <c r="DO180" s="116"/>
      <c r="DP180" s="116"/>
      <c r="DW180" s="116"/>
      <c r="DX180" s="219"/>
      <c r="DY180" s="219"/>
      <c r="DZ180" s="116"/>
      <c r="EA180" s="116"/>
      <c r="EB180" s="116"/>
      <c r="EC180" s="116"/>
      <c r="ED180" s="116"/>
      <c r="EF180" s="332"/>
      <c r="EG180" s="116"/>
      <c r="EH180" s="116"/>
      <c r="EI180" s="116"/>
      <c r="EJ180" s="116"/>
      <c r="EK180" s="116"/>
      <c r="EM180" s="116"/>
      <c r="EN180" s="116"/>
      <c r="EO180" s="116"/>
      <c r="EQ180" s="116"/>
      <c r="ER180" s="116"/>
      <c r="ES180" s="116"/>
      <c r="ET180" s="116"/>
      <c r="EU180" s="116"/>
      <c r="EV180" s="116"/>
      <c r="EX180" s="116"/>
      <c r="EY180" s="116"/>
      <c r="EZ180" s="116"/>
      <c r="FA180" s="116"/>
      <c r="FB180" s="116"/>
    </row>
    <row r="181" spans="5:158" ht="13">
      <c r="E181" s="153"/>
      <c r="T181" s="153"/>
      <c r="BD181" s="31"/>
      <c r="BE181" s="31"/>
      <c r="BF181" s="31"/>
      <c r="BG181" s="31"/>
      <c r="BH181" s="31"/>
      <c r="BI181" s="116"/>
      <c r="BL181" s="196"/>
      <c r="BM181" s="239"/>
      <c r="BN181" s="330"/>
      <c r="BP181" s="330"/>
      <c r="BS181" s="116"/>
      <c r="BU181" s="331"/>
      <c r="BW181" s="116"/>
      <c r="BX181" s="116"/>
      <c r="BZ181" s="330"/>
      <c r="CB181" s="330"/>
      <c r="CC181" s="116"/>
      <c r="CG181" s="242"/>
      <c r="CH181" s="116"/>
      <c r="CI181" s="116"/>
      <c r="CJ181" s="116"/>
      <c r="CL181" s="116"/>
      <c r="CN181" s="239"/>
      <c r="CO181" s="153"/>
      <c r="DM181" s="116"/>
      <c r="DN181" s="116"/>
      <c r="DO181" s="116"/>
      <c r="DP181" s="116"/>
      <c r="DW181" s="116"/>
      <c r="DX181" s="219"/>
      <c r="DY181" s="219"/>
      <c r="DZ181" s="116"/>
      <c r="EA181" s="116"/>
      <c r="EB181" s="116"/>
      <c r="EC181" s="116"/>
      <c r="ED181" s="116"/>
      <c r="EF181" s="332"/>
      <c r="EG181" s="116"/>
      <c r="EH181" s="116"/>
      <c r="EI181" s="116"/>
      <c r="EJ181" s="116"/>
      <c r="EK181" s="116"/>
      <c r="EM181" s="116"/>
      <c r="EN181" s="116"/>
      <c r="EO181" s="116"/>
      <c r="EQ181" s="116"/>
      <c r="ER181" s="116"/>
      <c r="ES181" s="116"/>
      <c r="ET181" s="116"/>
      <c r="EU181" s="116"/>
      <c r="EV181" s="116"/>
      <c r="EX181" s="116"/>
      <c r="EY181" s="116"/>
      <c r="EZ181" s="116"/>
      <c r="FA181" s="116"/>
      <c r="FB181" s="116"/>
    </row>
    <row r="182" spans="5:158" ht="13">
      <c r="E182" s="153"/>
      <c r="T182" s="153"/>
      <c r="BD182" s="31"/>
      <c r="BE182" s="31"/>
      <c r="BF182" s="31"/>
      <c r="BG182" s="31"/>
      <c r="BH182" s="31"/>
      <c r="BI182" s="116"/>
      <c r="BL182" s="196"/>
      <c r="BM182" s="239"/>
      <c r="BN182" s="330"/>
      <c r="BP182" s="330"/>
      <c r="BS182" s="116"/>
      <c r="BU182" s="331"/>
      <c r="BW182" s="116"/>
      <c r="BX182" s="116"/>
      <c r="BZ182" s="330"/>
      <c r="CB182" s="330"/>
      <c r="CC182" s="116"/>
      <c r="CG182" s="242"/>
      <c r="CH182" s="116"/>
      <c r="CI182" s="116"/>
      <c r="CJ182" s="116"/>
      <c r="CL182" s="116"/>
      <c r="CN182" s="239"/>
      <c r="CO182" s="153"/>
      <c r="DM182" s="116"/>
      <c r="DN182" s="116"/>
      <c r="DO182" s="116"/>
      <c r="DP182" s="116"/>
      <c r="DW182" s="116"/>
      <c r="DX182" s="219"/>
      <c r="DY182" s="219"/>
      <c r="DZ182" s="116"/>
      <c r="EA182" s="116"/>
      <c r="EB182" s="116"/>
      <c r="EC182" s="116"/>
      <c r="ED182" s="116"/>
      <c r="EF182" s="332"/>
      <c r="EG182" s="116"/>
      <c r="EH182" s="116"/>
      <c r="EI182" s="116"/>
      <c r="EJ182" s="116"/>
      <c r="EK182" s="116"/>
      <c r="EM182" s="116"/>
      <c r="EN182" s="116"/>
      <c r="EO182" s="116"/>
      <c r="EQ182" s="116"/>
      <c r="ER182" s="116"/>
      <c r="ES182" s="116"/>
      <c r="ET182" s="116"/>
      <c r="EU182" s="116"/>
      <c r="EV182" s="116"/>
      <c r="EX182" s="116"/>
      <c r="EY182" s="116"/>
      <c r="EZ182" s="116"/>
      <c r="FA182" s="116"/>
      <c r="FB182" s="116"/>
    </row>
    <row r="183" spans="5:158" ht="13">
      <c r="E183" s="153"/>
      <c r="T183" s="153"/>
      <c r="BD183" s="31"/>
      <c r="BE183" s="31"/>
      <c r="BF183" s="31"/>
      <c r="BG183" s="31"/>
      <c r="BH183" s="31"/>
      <c r="BI183" s="116"/>
      <c r="BL183" s="196"/>
      <c r="BM183" s="239"/>
      <c r="BN183" s="330"/>
      <c r="BP183" s="330"/>
      <c r="BS183" s="116"/>
      <c r="BU183" s="331"/>
      <c r="BW183" s="116"/>
      <c r="BX183" s="116"/>
      <c r="BZ183" s="330"/>
      <c r="CB183" s="330"/>
      <c r="CC183" s="116"/>
      <c r="CG183" s="242"/>
      <c r="CH183" s="116"/>
      <c r="CI183" s="116"/>
      <c r="CJ183" s="116"/>
      <c r="CL183" s="116"/>
      <c r="CN183" s="239"/>
      <c r="CO183" s="153"/>
      <c r="DM183" s="116"/>
      <c r="DN183" s="116"/>
      <c r="DO183" s="116"/>
      <c r="DP183" s="116"/>
      <c r="DW183" s="116"/>
      <c r="DX183" s="219"/>
      <c r="DY183" s="219"/>
      <c r="DZ183" s="116"/>
      <c r="EA183" s="116"/>
      <c r="EB183" s="116"/>
      <c r="EC183" s="116"/>
      <c r="ED183" s="116"/>
      <c r="EF183" s="332"/>
      <c r="EG183" s="116"/>
      <c r="EH183" s="116"/>
      <c r="EI183" s="116"/>
      <c r="EJ183" s="116"/>
      <c r="EK183" s="116"/>
      <c r="EM183" s="116"/>
      <c r="EN183" s="116"/>
      <c r="EO183" s="116"/>
      <c r="EQ183" s="116"/>
      <c r="ER183" s="116"/>
      <c r="ES183" s="116"/>
      <c r="ET183" s="116"/>
      <c r="EU183" s="116"/>
      <c r="EV183" s="116"/>
      <c r="EX183" s="116"/>
      <c r="EY183" s="116"/>
      <c r="EZ183" s="116"/>
      <c r="FA183" s="116"/>
      <c r="FB183" s="116"/>
    </row>
    <row r="184" spans="5:158" ht="13">
      <c r="E184" s="153"/>
      <c r="T184" s="153"/>
      <c r="BD184" s="31"/>
      <c r="BE184" s="31"/>
      <c r="BF184" s="31"/>
      <c r="BG184" s="31"/>
      <c r="BH184" s="31"/>
      <c r="BI184" s="116"/>
      <c r="BL184" s="196"/>
      <c r="BM184" s="239"/>
      <c r="BN184" s="330"/>
      <c r="BP184" s="330"/>
      <c r="BS184" s="116"/>
      <c r="BU184" s="331"/>
      <c r="BW184" s="116"/>
      <c r="BX184" s="116"/>
      <c r="BZ184" s="330"/>
      <c r="CB184" s="330"/>
      <c r="CC184" s="116"/>
      <c r="CG184" s="242"/>
      <c r="CH184" s="116"/>
      <c r="CI184" s="116"/>
      <c r="CJ184" s="116"/>
      <c r="CL184" s="116"/>
      <c r="CN184" s="239"/>
      <c r="CO184" s="153"/>
      <c r="DM184" s="116"/>
      <c r="DN184" s="116"/>
      <c r="DO184" s="116"/>
      <c r="DP184" s="116"/>
      <c r="DW184" s="116"/>
      <c r="DX184" s="219"/>
      <c r="DY184" s="219"/>
      <c r="DZ184" s="116"/>
      <c r="EA184" s="116"/>
      <c r="EB184" s="116"/>
      <c r="EC184" s="116"/>
      <c r="ED184" s="116"/>
      <c r="EF184" s="332"/>
      <c r="EG184" s="116"/>
      <c r="EH184" s="116"/>
      <c r="EI184" s="116"/>
      <c r="EJ184" s="116"/>
      <c r="EK184" s="116"/>
      <c r="EM184" s="116"/>
      <c r="EN184" s="116"/>
      <c r="EO184" s="116"/>
      <c r="EQ184" s="116"/>
      <c r="ER184" s="116"/>
      <c r="ES184" s="116"/>
      <c r="ET184" s="116"/>
      <c r="EU184" s="116"/>
      <c r="EV184" s="116"/>
      <c r="EX184" s="116"/>
      <c r="EY184" s="116"/>
      <c r="EZ184" s="116"/>
      <c r="FA184" s="116"/>
      <c r="FB184" s="116"/>
    </row>
    <row r="185" spans="5:158" ht="13">
      <c r="E185" s="153"/>
      <c r="T185" s="153"/>
      <c r="BD185" s="31"/>
      <c r="BE185" s="31"/>
      <c r="BF185" s="31"/>
      <c r="BG185" s="31"/>
      <c r="BH185" s="31"/>
      <c r="BI185" s="116"/>
      <c r="BL185" s="196"/>
      <c r="BM185" s="239"/>
      <c r="BN185" s="330"/>
      <c r="BP185" s="330"/>
      <c r="BS185" s="116"/>
      <c r="BU185" s="331"/>
      <c r="BW185" s="116"/>
      <c r="BX185" s="116"/>
      <c r="BZ185" s="330"/>
      <c r="CB185" s="330"/>
      <c r="CC185" s="116"/>
      <c r="CG185" s="242"/>
      <c r="CH185" s="116"/>
      <c r="CI185" s="116"/>
      <c r="CJ185" s="116"/>
      <c r="CL185" s="116"/>
      <c r="CN185" s="239"/>
      <c r="CO185" s="153"/>
      <c r="DM185" s="116"/>
      <c r="DN185" s="116"/>
      <c r="DO185" s="116"/>
      <c r="DP185" s="116"/>
      <c r="DW185" s="116"/>
      <c r="DX185" s="219"/>
      <c r="DY185" s="219"/>
      <c r="DZ185" s="116"/>
      <c r="EA185" s="116"/>
      <c r="EB185" s="116"/>
      <c r="EC185" s="116"/>
      <c r="ED185" s="116"/>
      <c r="EF185" s="332"/>
      <c r="EG185" s="116"/>
      <c r="EH185" s="116"/>
      <c r="EI185" s="116"/>
      <c r="EJ185" s="116"/>
      <c r="EK185" s="116"/>
      <c r="EM185" s="116"/>
      <c r="EN185" s="116"/>
      <c r="EO185" s="116"/>
      <c r="EQ185" s="116"/>
      <c r="ER185" s="116"/>
      <c r="ES185" s="116"/>
      <c r="ET185" s="116"/>
      <c r="EU185" s="116"/>
      <c r="EV185" s="116"/>
      <c r="EX185" s="116"/>
      <c r="EY185" s="116"/>
      <c r="EZ185" s="116"/>
      <c r="FA185" s="116"/>
      <c r="FB185" s="116"/>
    </row>
    <row r="186" spans="5:158" ht="13">
      <c r="E186" s="153"/>
      <c r="T186" s="153"/>
      <c r="BD186" s="31"/>
      <c r="BE186" s="31"/>
      <c r="BF186" s="31"/>
      <c r="BG186" s="31"/>
      <c r="BH186" s="31"/>
      <c r="BI186" s="116"/>
      <c r="BL186" s="196"/>
      <c r="BM186" s="239"/>
      <c r="BN186" s="330"/>
      <c r="BP186" s="330"/>
      <c r="BS186" s="116"/>
      <c r="BU186" s="331"/>
      <c r="BW186" s="116"/>
      <c r="BX186" s="116"/>
      <c r="BZ186" s="330"/>
      <c r="CB186" s="330"/>
      <c r="CC186" s="116"/>
      <c r="CG186" s="242"/>
      <c r="CH186" s="116"/>
      <c r="CI186" s="116"/>
      <c r="CJ186" s="116"/>
      <c r="CL186" s="116"/>
      <c r="CN186" s="239"/>
      <c r="CO186" s="153"/>
      <c r="DM186" s="116"/>
      <c r="DN186" s="116"/>
      <c r="DO186" s="116"/>
      <c r="DP186" s="116"/>
      <c r="DW186" s="116"/>
      <c r="DX186" s="219"/>
      <c r="DY186" s="219"/>
      <c r="DZ186" s="116"/>
      <c r="EA186" s="116"/>
      <c r="EB186" s="116"/>
      <c r="EC186" s="116"/>
      <c r="ED186" s="116"/>
      <c r="EF186" s="332"/>
      <c r="EG186" s="116"/>
      <c r="EH186" s="116"/>
      <c r="EI186" s="116"/>
      <c r="EJ186" s="116"/>
      <c r="EK186" s="116"/>
      <c r="EM186" s="116"/>
      <c r="EN186" s="116"/>
      <c r="EO186" s="116"/>
      <c r="EQ186" s="116"/>
      <c r="ER186" s="116"/>
      <c r="ES186" s="116"/>
      <c r="ET186" s="116"/>
      <c r="EU186" s="116"/>
      <c r="EV186" s="116"/>
      <c r="EX186" s="116"/>
      <c r="EY186" s="116"/>
      <c r="EZ186" s="116"/>
      <c r="FA186" s="116"/>
      <c r="FB186" s="116"/>
    </row>
    <row r="187" spans="5:158" ht="13">
      <c r="E187" s="153"/>
      <c r="T187" s="153"/>
      <c r="BD187" s="31"/>
      <c r="BE187" s="31"/>
      <c r="BF187" s="31"/>
      <c r="BG187" s="31"/>
      <c r="BH187" s="31"/>
      <c r="BI187" s="116"/>
      <c r="BL187" s="196"/>
      <c r="BM187" s="239"/>
      <c r="BN187" s="330"/>
      <c r="BP187" s="330"/>
      <c r="BS187" s="116"/>
      <c r="BU187" s="331"/>
      <c r="BW187" s="116"/>
      <c r="BX187" s="116"/>
      <c r="BZ187" s="330"/>
      <c r="CB187" s="330"/>
      <c r="CC187" s="116"/>
      <c r="CG187" s="242"/>
      <c r="CH187" s="116"/>
      <c r="CI187" s="116"/>
      <c r="CJ187" s="116"/>
      <c r="CL187" s="116"/>
      <c r="CN187" s="239"/>
      <c r="CO187" s="153"/>
      <c r="DM187" s="116"/>
      <c r="DN187" s="116"/>
      <c r="DO187" s="116"/>
      <c r="DP187" s="116"/>
      <c r="DW187" s="116"/>
      <c r="DX187" s="219"/>
      <c r="DY187" s="219"/>
      <c r="DZ187" s="116"/>
      <c r="EA187" s="116"/>
      <c r="EB187" s="116"/>
      <c r="EC187" s="116"/>
      <c r="ED187" s="116"/>
      <c r="EF187" s="332"/>
      <c r="EG187" s="116"/>
      <c r="EH187" s="116"/>
      <c r="EI187" s="116"/>
      <c r="EJ187" s="116"/>
      <c r="EK187" s="116"/>
      <c r="EM187" s="116"/>
      <c r="EN187" s="116"/>
      <c r="EO187" s="116"/>
      <c r="EQ187" s="116"/>
      <c r="ER187" s="116"/>
      <c r="ES187" s="116"/>
      <c r="ET187" s="116"/>
      <c r="EU187" s="116"/>
      <c r="EV187" s="116"/>
      <c r="EX187" s="116"/>
      <c r="EY187" s="116"/>
      <c r="EZ187" s="116"/>
      <c r="FA187" s="116"/>
      <c r="FB187" s="116"/>
    </row>
    <row r="188" spans="5:158" ht="13">
      <c r="E188" s="153"/>
      <c r="T188" s="153"/>
      <c r="BD188" s="31"/>
      <c r="BE188" s="31"/>
      <c r="BF188" s="31"/>
      <c r="BG188" s="31"/>
      <c r="BH188" s="31"/>
      <c r="BI188" s="116"/>
      <c r="BL188" s="196"/>
      <c r="BM188" s="239"/>
      <c r="BN188" s="330"/>
      <c r="BP188" s="330"/>
      <c r="BS188" s="116"/>
      <c r="BU188" s="331"/>
      <c r="BW188" s="116"/>
      <c r="BX188" s="116"/>
      <c r="BZ188" s="330"/>
      <c r="CB188" s="330"/>
      <c r="CC188" s="116"/>
      <c r="CG188" s="242"/>
      <c r="CH188" s="116"/>
      <c r="CI188" s="116"/>
      <c r="CJ188" s="116"/>
      <c r="CL188" s="116"/>
      <c r="CN188" s="239"/>
      <c r="CO188" s="153"/>
      <c r="DM188" s="116"/>
      <c r="DN188" s="116"/>
      <c r="DO188" s="116"/>
      <c r="DP188" s="116"/>
      <c r="DW188" s="116"/>
      <c r="DX188" s="219"/>
      <c r="DY188" s="219"/>
      <c r="DZ188" s="116"/>
      <c r="EA188" s="116"/>
      <c r="EB188" s="116"/>
      <c r="EC188" s="116"/>
      <c r="ED188" s="116"/>
      <c r="EF188" s="332"/>
      <c r="EG188" s="116"/>
      <c r="EH188" s="116"/>
      <c r="EI188" s="116"/>
      <c r="EJ188" s="116"/>
      <c r="EK188" s="116"/>
      <c r="EM188" s="116"/>
      <c r="EN188" s="116"/>
      <c r="EO188" s="116"/>
      <c r="EQ188" s="116"/>
      <c r="ER188" s="116"/>
      <c r="ES188" s="116"/>
      <c r="ET188" s="116"/>
      <c r="EU188" s="116"/>
      <c r="EV188" s="116"/>
      <c r="EX188" s="116"/>
      <c r="EY188" s="116"/>
      <c r="EZ188" s="116"/>
      <c r="FA188" s="116"/>
      <c r="FB188" s="116"/>
    </row>
    <row r="189" spans="5:158" ht="13">
      <c r="E189" s="153"/>
      <c r="T189" s="153"/>
      <c r="BD189" s="31"/>
      <c r="BE189" s="31"/>
      <c r="BF189" s="31"/>
      <c r="BG189" s="31"/>
      <c r="BH189" s="31"/>
      <c r="BI189" s="116"/>
      <c r="BL189" s="196"/>
      <c r="BM189" s="239"/>
      <c r="BN189" s="330"/>
      <c r="BP189" s="330"/>
      <c r="BS189" s="116"/>
      <c r="BU189" s="331"/>
      <c r="BW189" s="116"/>
      <c r="BX189" s="116"/>
      <c r="BZ189" s="330"/>
      <c r="CB189" s="330"/>
      <c r="CC189" s="116"/>
      <c r="CG189" s="242"/>
      <c r="CH189" s="116"/>
      <c r="CI189" s="116"/>
      <c r="CJ189" s="116"/>
      <c r="CL189" s="116"/>
      <c r="CN189" s="239"/>
      <c r="CO189" s="153"/>
      <c r="DM189" s="116"/>
      <c r="DN189" s="116"/>
      <c r="DO189" s="116"/>
      <c r="DP189" s="116"/>
      <c r="DW189" s="116"/>
      <c r="DX189" s="219"/>
      <c r="DY189" s="219"/>
      <c r="DZ189" s="116"/>
      <c r="EA189" s="116"/>
      <c r="EB189" s="116"/>
      <c r="EC189" s="116"/>
      <c r="ED189" s="116"/>
      <c r="EF189" s="332"/>
      <c r="EG189" s="116"/>
      <c r="EH189" s="116"/>
      <c r="EI189" s="116"/>
      <c r="EJ189" s="116"/>
      <c r="EK189" s="116"/>
      <c r="EM189" s="116"/>
      <c r="EN189" s="116"/>
      <c r="EO189" s="116"/>
      <c r="EQ189" s="116"/>
      <c r="ER189" s="116"/>
      <c r="ES189" s="116"/>
      <c r="ET189" s="116"/>
      <c r="EU189" s="116"/>
      <c r="EV189" s="116"/>
      <c r="EX189" s="116"/>
      <c r="EY189" s="116"/>
      <c r="EZ189" s="116"/>
      <c r="FA189" s="116"/>
      <c r="FB189" s="116"/>
    </row>
    <row r="190" spans="5:158" ht="13">
      <c r="E190" s="153"/>
      <c r="T190" s="153"/>
      <c r="BD190" s="31"/>
      <c r="BE190" s="31"/>
      <c r="BF190" s="31"/>
      <c r="BG190" s="31"/>
      <c r="BH190" s="31"/>
      <c r="BI190" s="116"/>
      <c r="BL190" s="196"/>
      <c r="BM190" s="239"/>
      <c r="BN190" s="330"/>
      <c r="BP190" s="330"/>
      <c r="BS190" s="116"/>
      <c r="BU190" s="331"/>
      <c r="BW190" s="116"/>
      <c r="BX190" s="116"/>
      <c r="BZ190" s="330"/>
      <c r="CB190" s="330"/>
      <c r="CC190" s="116"/>
      <c r="CG190" s="242"/>
      <c r="CH190" s="116"/>
      <c r="CI190" s="116"/>
      <c r="CJ190" s="116"/>
      <c r="CL190" s="116"/>
      <c r="CN190" s="239"/>
      <c r="CO190" s="153"/>
      <c r="DM190" s="116"/>
      <c r="DN190" s="116"/>
      <c r="DO190" s="116"/>
      <c r="DP190" s="116"/>
      <c r="DW190" s="116"/>
      <c r="DX190" s="219"/>
      <c r="DY190" s="219"/>
      <c r="DZ190" s="116"/>
      <c r="EA190" s="116"/>
      <c r="EB190" s="116"/>
      <c r="EC190" s="116"/>
      <c r="ED190" s="116"/>
      <c r="EF190" s="332"/>
      <c r="EG190" s="116"/>
      <c r="EH190" s="116"/>
      <c r="EI190" s="116"/>
      <c r="EJ190" s="116"/>
      <c r="EK190" s="116"/>
      <c r="EM190" s="116"/>
      <c r="EN190" s="116"/>
      <c r="EO190" s="116"/>
      <c r="EQ190" s="116"/>
      <c r="ER190" s="116"/>
      <c r="ES190" s="116"/>
      <c r="ET190" s="116"/>
      <c r="EU190" s="116"/>
      <c r="EV190" s="116"/>
      <c r="EX190" s="116"/>
      <c r="EY190" s="116"/>
      <c r="EZ190" s="116"/>
      <c r="FA190" s="116"/>
      <c r="FB190" s="116"/>
    </row>
    <row r="191" spans="5:158" ht="13">
      <c r="E191" s="153"/>
      <c r="T191" s="153"/>
      <c r="BD191" s="31"/>
      <c r="BE191" s="31"/>
      <c r="BF191" s="31"/>
      <c r="BG191" s="31"/>
      <c r="BH191" s="31"/>
      <c r="BI191" s="116"/>
      <c r="BL191" s="196"/>
      <c r="BM191" s="239"/>
      <c r="BN191" s="330"/>
      <c r="BP191" s="330"/>
      <c r="BS191" s="116"/>
      <c r="BU191" s="331"/>
      <c r="BW191" s="116"/>
      <c r="BX191" s="116"/>
      <c r="BZ191" s="330"/>
      <c r="CB191" s="330"/>
      <c r="CC191" s="116"/>
      <c r="CG191" s="242"/>
      <c r="CH191" s="116"/>
      <c r="CI191" s="116"/>
      <c r="CJ191" s="116"/>
      <c r="CL191" s="116"/>
      <c r="CN191" s="239"/>
      <c r="CO191" s="153"/>
      <c r="DM191" s="116"/>
      <c r="DN191" s="116"/>
      <c r="DO191" s="116"/>
      <c r="DP191" s="116"/>
      <c r="DW191" s="116"/>
      <c r="DX191" s="219"/>
      <c r="DY191" s="219"/>
      <c r="DZ191" s="116"/>
      <c r="EA191" s="116"/>
      <c r="EB191" s="116"/>
      <c r="EC191" s="116"/>
      <c r="ED191" s="116"/>
      <c r="EF191" s="332"/>
      <c r="EG191" s="116"/>
      <c r="EH191" s="116"/>
      <c r="EI191" s="116"/>
      <c r="EJ191" s="116"/>
      <c r="EK191" s="116"/>
      <c r="EM191" s="116"/>
      <c r="EN191" s="116"/>
      <c r="EO191" s="116"/>
      <c r="EQ191" s="116"/>
      <c r="ER191" s="116"/>
      <c r="ES191" s="116"/>
      <c r="ET191" s="116"/>
      <c r="EU191" s="116"/>
      <c r="EV191" s="116"/>
      <c r="EX191" s="116"/>
      <c r="EY191" s="116"/>
      <c r="EZ191" s="116"/>
      <c r="FA191" s="116"/>
      <c r="FB191" s="116"/>
    </row>
    <row r="192" spans="5:158" ht="13">
      <c r="E192" s="153"/>
      <c r="T192" s="153"/>
      <c r="BD192" s="31"/>
      <c r="BE192" s="31"/>
      <c r="BF192" s="31"/>
      <c r="BG192" s="31"/>
      <c r="BH192" s="31"/>
      <c r="BI192" s="116"/>
      <c r="BL192" s="196"/>
      <c r="BM192" s="239"/>
      <c r="BN192" s="330"/>
      <c r="BP192" s="330"/>
      <c r="BS192" s="116"/>
      <c r="BU192" s="331"/>
      <c r="BW192" s="116"/>
      <c r="BX192" s="116"/>
      <c r="BZ192" s="330"/>
      <c r="CB192" s="330"/>
      <c r="CC192" s="116"/>
      <c r="CG192" s="242"/>
      <c r="CH192" s="116"/>
      <c r="CI192" s="116"/>
      <c r="CJ192" s="116"/>
      <c r="CL192" s="116"/>
      <c r="CN192" s="239"/>
      <c r="CO192" s="153"/>
      <c r="DM192" s="116"/>
      <c r="DN192" s="116"/>
      <c r="DO192" s="116"/>
      <c r="DP192" s="116"/>
      <c r="DW192" s="116"/>
      <c r="DX192" s="219"/>
      <c r="DY192" s="219"/>
      <c r="DZ192" s="116"/>
      <c r="EA192" s="116"/>
      <c r="EB192" s="116"/>
      <c r="EC192" s="116"/>
      <c r="ED192" s="116"/>
      <c r="EF192" s="332"/>
      <c r="EG192" s="116"/>
      <c r="EH192" s="116"/>
      <c r="EI192" s="116"/>
      <c r="EJ192" s="116"/>
      <c r="EK192" s="116"/>
      <c r="EM192" s="116"/>
      <c r="EN192" s="116"/>
      <c r="EO192" s="116"/>
      <c r="EQ192" s="116"/>
      <c r="ER192" s="116"/>
      <c r="ES192" s="116"/>
      <c r="ET192" s="116"/>
      <c r="EU192" s="116"/>
      <c r="EV192" s="116"/>
      <c r="EX192" s="116"/>
      <c r="EY192" s="116"/>
      <c r="EZ192" s="116"/>
      <c r="FA192" s="116"/>
      <c r="FB192" s="116"/>
    </row>
    <row r="193" spans="5:158" ht="13">
      <c r="E193" s="153"/>
      <c r="T193" s="153"/>
      <c r="BD193" s="31"/>
      <c r="BE193" s="31"/>
      <c r="BF193" s="31"/>
      <c r="BG193" s="31"/>
      <c r="BH193" s="31"/>
      <c r="BI193" s="116"/>
      <c r="BL193" s="196"/>
      <c r="BM193" s="239"/>
      <c r="BN193" s="330"/>
      <c r="BP193" s="330"/>
      <c r="BS193" s="116"/>
      <c r="BU193" s="331"/>
      <c r="BW193" s="116"/>
      <c r="BX193" s="116"/>
      <c r="BZ193" s="330"/>
      <c r="CB193" s="330"/>
      <c r="CC193" s="116"/>
      <c r="CG193" s="242"/>
      <c r="CH193" s="116"/>
      <c r="CI193" s="116"/>
      <c r="CJ193" s="116"/>
      <c r="CL193" s="116"/>
      <c r="CN193" s="239"/>
      <c r="CO193" s="153"/>
      <c r="DM193" s="116"/>
      <c r="DN193" s="116"/>
      <c r="DO193" s="116"/>
      <c r="DP193" s="116"/>
      <c r="DW193" s="116"/>
      <c r="DX193" s="219"/>
      <c r="DY193" s="219"/>
      <c r="DZ193" s="116"/>
      <c r="EA193" s="116"/>
      <c r="EB193" s="116"/>
      <c r="EC193" s="116"/>
      <c r="ED193" s="116"/>
      <c r="EF193" s="332"/>
      <c r="EG193" s="116"/>
      <c r="EH193" s="116"/>
      <c r="EI193" s="116"/>
      <c r="EJ193" s="116"/>
      <c r="EK193" s="116"/>
      <c r="EM193" s="116"/>
      <c r="EN193" s="116"/>
      <c r="EO193" s="116"/>
      <c r="EQ193" s="116"/>
      <c r="ER193" s="116"/>
      <c r="ES193" s="116"/>
      <c r="ET193" s="116"/>
      <c r="EU193" s="116"/>
      <c r="EV193" s="116"/>
      <c r="EX193" s="116"/>
      <c r="EY193" s="116"/>
      <c r="EZ193" s="116"/>
      <c r="FA193" s="116"/>
      <c r="FB193" s="116"/>
    </row>
    <row r="194" spans="5:158" ht="13">
      <c r="E194" s="153"/>
      <c r="T194" s="153"/>
      <c r="BD194" s="31"/>
      <c r="BE194" s="31"/>
      <c r="BF194" s="31"/>
      <c r="BG194" s="31"/>
      <c r="BH194" s="31"/>
      <c r="BI194" s="116"/>
      <c r="BL194" s="196"/>
      <c r="BM194" s="239"/>
      <c r="BN194" s="330"/>
      <c r="BP194" s="330"/>
      <c r="BS194" s="116"/>
      <c r="BU194" s="331"/>
      <c r="BW194" s="116"/>
      <c r="BX194" s="116"/>
      <c r="BZ194" s="330"/>
      <c r="CB194" s="330"/>
      <c r="CC194" s="116"/>
      <c r="CG194" s="242"/>
      <c r="CH194" s="116"/>
      <c r="CI194" s="116"/>
      <c r="CJ194" s="116"/>
      <c r="CL194" s="116"/>
      <c r="CN194" s="239"/>
      <c r="CO194" s="153"/>
      <c r="DM194" s="116"/>
      <c r="DN194" s="116"/>
      <c r="DO194" s="116"/>
      <c r="DP194" s="116"/>
      <c r="DW194" s="116"/>
      <c r="DX194" s="219"/>
      <c r="DY194" s="219"/>
      <c r="DZ194" s="116"/>
      <c r="EA194" s="116"/>
      <c r="EB194" s="116"/>
      <c r="EC194" s="116"/>
      <c r="ED194" s="116"/>
      <c r="EF194" s="332"/>
      <c r="EG194" s="116"/>
      <c r="EH194" s="116"/>
      <c r="EI194" s="116"/>
      <c r="EJ194" s="116"/>
      <c r="EK194" s="116"/>
      <c r="EM194" s="116"/>
      <c r="EN194" s="116"/>
      <c r="EO194" s="116"/>
      <c r="EQ194" s="116"/>
      <c r="ER194" s="116"/>
      <c r="ES194" s="116"/>
      <c r="ET194" s="116"/>
      <c r="EU194" s="116"/>
      <c r="EV194" s="116"/>
      <c r="EX194" s="116"/>
      <c r="EY194" s="116"/>
      <c r="EZ194" s="116"/>
      <c r="FA194" s="116"/>
      <c r="FB194" s="116"/>
    </row>
    <row r="195" spans="5:158" ht="13">
      <c r="E195" s="153"/>
      <c r="T195" s="153"/>
      <c r="BD195" s="31"/>
      <c r="BE195" s="31"/>
      <c r="BF195" s="31"/>
      <c r="BG195" s="31"/>
      <c r="BH195" s="31"/>
      <c r="BI195" s="116"/>
      <c r="BL195" s="196"/>
      <c r="BM195" s="239"/>
      <c r="BN195" s="330"/>
      <c r="BP195" s="330"/>
      <c r="BS195" s="116"/>
      <c r="BU195" s="331"/>
      <c r="BW195" s="116"/>
      <c r="BX195" s="116"/>
      <c r="BZ195" s="330"/>
      <c r="CB195" s="330"/>
      <c r="CC195" s="116"/>
      <c r="CG195" s="242"/>
      <c r="CH195" s="116"/>
      <c r="CI195" s="116"/>
      <c r="CJ195" s="116"/>
      <c r="CL195" s="116"/>
      <c r="CN195" s="239"/>
      <c r="CO195" s="153"/>
      <c r="DM195" s="116"/>
      <c r="DN195" s="116"/>
      <c r="DO195" s="116"/>
      <c r="DP195" s="116"/>
      <c r="DW195" s="116"/>
      <c r="DX195" s="219"/>
      <c r="DY195" s="219"/>
      <c r="DZ195" s="116"/>
      <c r="EA195" s="116"/>
      <c r="EB195" s="116"/>
      <c r="EC195" s="116"/>
      <c r="ED195" s="116"/>
      <c r="EF195" s="332"/>
      <c r="EG195" s="116"/>
      <c r="EH195" s="116"/>
      <c r="EI195" s="116"/>
      <c r="EJ195" s="116"/>
      <c r="EK195" s="116"/>
      <c r="EM195" s="116"/>
      <c r="EN195" s="116"/>
      <c r="EO195" s="116"/>
      <c r="EQ195" s="116"/>
      <c r="ER195" s="116"/>
      <c r="ES195" s="116"/>
      <c r="ET195" s="116"/>
      <c r="EU195" s="116"/>
      <c r="EV195" s="116"/>
      <c r="EX195" s="116"/>
      <c r="EY195" s="116"/>
      <c r="EZ195" s="116"/>
      <c r="FA195" s="116"/>
      <c r="FB195" s="116"/>
    </row>
    <row r="196" spans="5:158" ht="13">
      <c r="E196" s="153"/>
      <c r="T196" s="153"/>
      <c r="BD196" s="31"/>
      <c r="BE196" s="31"/>
      <c r="BF196" s="31"/>
      <c r="BG196" s="31"/>
      <c r="BH196" s="31"/>
      <c r="BI196" s="116"/>
      <c r="BL196" s="196"/>
      <c r="BM196" s="239"/>
      <c r="BN196" s="330"/>
      <c r="BP196" s="330"/>
      <c r="BS196" s="116"/>
      <c r="BU196" s="331"/>
      <c r="BW196" s="116"/>
      <c r="BX196" s="116"/>
      <c r="BZ196" s="330"/>
      <c r="CB196" s="330"/>
      <c r="CC196" s="116"/>
      <c r="CG196" s="242"/>
      <c r="CH196" s="116"/>
      <c r="CI196" s="116"/>
      <c r="CJ196" s="116"/>
      <c r="CL196" s="116"/>
      <c r="CN196" s="239"/>
      <c r="CO196" s="153"/>
      <c r="DM196" s="116"/>
      <c r="DN196" s="116"/>
      <c r="DO196" s="116"/>
      <c r="DP196" s="116"/>
      <c r="DW196" s="116"/>
      <c r="DX196" s="219"/>
      <c r="DY196" s="219"/>
      <c r="DZ196" s="116"/>
      <c r="EA196" s="116"/>
      <c r="EB196" s="116"/>
      <c r="EC196" s="116"/>
      <c r="ED196" s="116"/>
      <c r="EF196" s="332"/>
      <c r="EG196" s="116"/>
      <c r="EH196" s="116"/>
      <c r="EI196" s="116"/>
      <c r="EJ196" s="116"/>
      <c r="EK196" s="116"/>
      <c r="EM196" s="116"/>
      <c r="EN196" s="116"/>
      <c r="EO196" s="116"/>
      <c r="EQ196" s="116"/>
      <c r="ER196" s="116"/>
      <c r="ES196" s="116"/>
      <c r="ET196" s="116"/>
      <c r="EU196" s="116"/>
      <c r="EV196" s="116"/>
      <c r="EX196" s="116"/>
      <c r="EY196" s="116"/>
      <c r="EZ196" s="116"/>
      <c r="FA196" s="116"/>
      <c r="FB196" s="116"/>
    </row>
    <row r="197" spans="5:158" ht="13">
      <c r="E197" s="153"/>
      <c r="T197" s="153"/>
      <c r="BD197" s="31"/>
      <c r="BE197" s="31"/>
      <c r="BF197" s="31"/>
      <c r="BG197" s="31"/>
      <c r="BH197" s="31"/>
      <c r="BI197" s="116"/>
      <c r="BL197" s="196"/>
      <c r="BM197" s="239"/>
      <c r="BN197" s="330"/>
      <c r="BP197" s="330"/>
      <c r="BS197" s="116"/>
      <c r="BU197" s="331"/>
      <c r="BW197" s="116"/>
      <c r="BX197" s="116"/>
      <c r="BZ197" s="330"/>
      <c r="CB197" s="330"/>
      <c r="CC197" s="116"/>
      <c r="CG197" s="242"/>
      <c r="CH197" s="116"/>
      <c r="CI197" s="116"/>
      <c r="CJ197" s="116"/>
      <c r="CL197" s="116"/>
      <c r="CN197" s="239"/>
      <c r="CO197" s="153"/>
      <c r="DM197" s="116"/>
      <c r="DN197" s="116"/>
      <c r="DO197" s="116"/>
      <c r="DP197" s="116"/>
      <c r="DW197" s="116"/>
      <c r="DX197" s="219"/>
      <c r="DY197" s="219"/>
      <c r="DZ197" s="116"/>
      <c r="EA197" s="116"/>
      <c r="EB197" s="116"/>
      <c r="EC197" s="116"/>
      <c r="ED197" s="116"/>
      <c r="EF197" s="332"/>
      <c r="EG197" s="116"/>
      <c r="EH197" s="116"/>
      <c r="EI197" s="116"/>
      <c r="EJ197" s="116"/>
      <c r="EK197" s="116"/>
      <c r="EM197" s="116"/>
      <c r="EN197" s="116"/>
      <c r="EO197" s="116"/>
      <c r="EQ197" s="116"/>
      <c r="ER197" s="116"/>
      <c r="ES197" s="116"/>
      <c r="ET197" s="116"/>
      <c r="EU197" s="116"/>
      <c r="EV197" s="116"/>
      <c r="EX197" s="116"/>
      <c r="EY197" s="116"/>
      <c r="EZ197" s="116"/>
      <c r="FA197" s="116"/>
      <c r="FB197" s="116"/>
    </row>
    <row r="198" spans="5:158" ht="13">
      <c r="E198" s="153"/>
      <c r="T198" s="153"/>
      <c r="BD198" s="31"/>
      <c r="BE198" s="31"/>
      <c r="BF198" s="31"/>
      <c r="BG198" s="31"/>
      <c r="BH198" s="31"/>
      <c r="BI198" s="116"/>
      <c r="BL198" s="196"/>
      <c r="BM198" s="239"/>
      <c r="BN198" s="330"/>
      <c r="BP198" s="330"/>
      <c r="BS198" s="116"/>
      <c r="BU198" s="331"/>
      <c r="BW198" s="116"/>
      <c r="BX198" s="116"/>
      <c r="BZ198" s="330"/>
      <c r="CB198" s="330"/>
      <c r="CC198" s="116"/>
      <c r="CG198" s="242"/>
      <c r="CH198" s="116"/>
      <c r="CI198" s="116"/>
      <c r="CJ198" s="116"/>
      <c r="CL198" s="116"/>
      <c r="CN198" s="239"/>
      <c r="CO198" s="153"/>
      <c r="DM198" s="116"/>
      <c r="DN198" s="116"/>
      <c r="DO198" s="116"/>
      <c r="DP198" s="116"/>
      <c r="DW198" s="116"/>
      <c r="DX198" s="219"/>
      <c r="DY198" s="219"/>
      <c r="DZ198" s="116"/>
      <c r="EA198" s="116"/>
      <c r="EB198" s="116"/>
      <c r="EC198" s="116"/>
      <c r="ED198" s="116"/>
      <c r="EF198" s="332"/>
      <c r="EG198" s="116"/>
      <c r="EH198" s="116"/>
      <c r="EI198" s="116"/>
      <c r="EJ198" s="116"/>
      <c r="EK198" s="116"/>
      <c r="EM198" s="116"/>
      <c r="EN198" s="116"/>
      <c r="EO198" s="116"/>
      <c r="EQ198" s="116"/>
      <c r="ER198" s="116"/>
      <c r="ES198" s="116"/>
      <c r="ET198" s="116"/>
      <c r="EU198" s="116"/>
      <c r="EV198" s="116"/>
      <c r="EX198" s="116"/>
      <c r="EY198" s="116"/>
      <c r="EZ198" s="116"/>
      <c r="FA198" s="116"/>
      <c r="FB198" s="116"/>
    </row>
    <row r="199" spans="5:158" ht="13">
      <c r="E199" s="153"/>
      <c r="T199" s="153"/>
      <c r="BD199" s="31"/>
      <c r="BE199" s="31"/>
      <c r="BF199" s="31"/>
      <c r="BG199" s="31"/>
      <c r="BH199" s="31"/>
      <c r="BI199" s="116"/>
      <c r="BL199" s="196"/>
      <c r="BM199" s="239"/>
      <c r="BN199" s="330"/>
      <c r="BP199" s="330"/>
      <c r="BS199" s="116"/>
      <c r="BU199" s="331"/>
      <c r="BW199" s="116"/>
      <c r="BX199" s="116"/>
      <c r="BZ199" s="330"/>
      <c r="CB199" s="330"/>
      <c r="CC199" s="116"/>
      <c r="CG199" s="242"/>
      <c r="CH199" s="116"/>
      <c r="CI199" s="116"/>
      <c r="CJ199" s="116"/>
      <c r="CL199" s="116"/>
      <c r="CN199" s="239"/>
      <c r="CO199" s="153"/>
      <c r="DM199" s="116"/>
      <c r="DN199" s="116"/>
      <c r="DO199" s="116"/>
      <c r="DP199" s="116"/>
      <c r="DW199" s="116"/>
      <c r="DX199" s="219"/>
      <c r="DY199" s="219"/>
      <c r="DZ199" s="116"/>
      <c r="EA199" s="116"/>
      <c r="EB199" s="116"/>
      <c r="EC199" s="116"/>
      <c r="ED199" s="116"/>
      <c r="EF199" s="332"/>
      <c r="EG199" s="116"/>
      <c r="EH199" s="116"/>
      <c r="EI199" s="116"/>
      <c r="EJ199" s="116"/>
      <c r="EK199" s="116"/>
      <c r="EM199" s="116"/>
      <c r="EN199" s="116"/>
      <c r="EO199" s="116"/>
      <c r="EQ199" s="116"/>
      <c r="ER199" s="116"/>
      <c r="ES199" s="116"/>
      <c r="ET199" s="116"/>
      <c r="EU199" s="116"/>
      <c r="EV199" s="116"/>
      <c r="EX199" s="116"/>
      <c r="EY199" s="116"/>
      <c r="EZ199" s="116"/>
      <c r="FA199" s="116"/>
      <c r="FB199" s="116"/>
    </row>
    <row r="200" spans="5:158" ht="13">
      <c r="E200" s="153"/>
      <c r="T200" s="153"/>
      <c r="BD200" s="31"/>
      <c r="BE200" s="31"/>
      <c r="BF200" s="31"/>
      <c r="BG200" s="31"/>
      <c r="BH200" s="31"/>
      <c r="BI200" s="116"/>
      <c r="BL200" s="196"/>
      <c r="BM200" s="239"/>
      <c r="BN200" s="330"/>
      <c r="BP200" s="330"/>
      <c r="BS200" s="116"/>
      <c r="BU200" s="331"/>
      <c r="BW200" s="116"/>
      <c r="BX200" s="116"/>
      <c r="BZ200" s="330"/>
      <c r="CB200" s="330"/>
      <c r="CC200" s="116"/>
      <c r="CG200" s="242"/>
      <c r="CH200" s="116"/>
      <c r="CI200" s="116"/>
      <c r="CJ200" s="116"/>
      <c r="CL200" s="116"/>
      <c r="CN200" s="239"/>
      <c r="CO200" s="153"/>
      <c r="DM200" s="116"/>
      <c r="DN200" s="116"/>
      <c r="DO200" s="116"/>
      <c r="DP200" s="116"/>
      <c r="DW200" s="116"/>
      <c r="DX200" s="219"/>
      <c r="DY200" s="219"/>
      <c r="DZ200" s="116"/>
      <c r="EA200" s="116"/>
      <c r="EB200" s="116"/>
      <c r="EC200" s="116"/>
      <c r="ED200" s="116"/>
      <c r="EF200" s="332"/>
      <c r="EG200" s="116"/>
      <c r="EH200" s="116"/>
      <c r="EI200" s="116"/>
      <c r="EJ200" s="116"/>
      <c r="EK200" s="116"/>
      <c r="EM200" s="116"/>
      <c r="EN200" s="116"/>
      <c r="EO200" s="116"/>
      <c r="EQ200" s="116"/>
      <c r="ER200" s="116"/>
      <c r="ES200" s="116"/>
      <c r="ET200" s="116"/>
      <c r="EU200" s="116"/>
      <c r="EV200" s="116"/>
      <c r="EX200" s="116"/>
      <c r="EY200" s="116"/>
      <c r="EZ200" s="116"/>
      <c r="FA200" s="116"/>
      <c r="FB200" s="116"/>
    </row>
    <row r="201" spans="5:158" ht="13">
      <c r="E201" s="153"/>
      <c r="T201" s="153"/>
      <c r="BD201" s="31"/>
      <c r="BE201" s="31"/>
      <c r="BF201" s="31"/>
      <c r="BG201" s="31"/>
      <c r="BH201" s="31"/>
      <c r="BI201" s="116"/>
      <c r="BL201" s="196"/>
      <c r="BM201" s="239"/>
      <c r="BN201" s="330"/>
      <c r="BP201" s="330"/>
      <c r="BS201" s="116"/>
      <c r="BU201" s="331"/>
      <c r="BW201" s="116"/>
      <c r="BX201" s="116"/>
      <c r="BZ201" s="330"/>
      <c r="CB201" s="330"/>
      <c r="CC201" s="116"/>
      <c r="CG201" s="242"/>
      <c r="CH201" s="116"/>
      <c r="CI201" s="116"/>
      <c r="CJ201" s="116"/>
      <c r="CL201" s="116"/>
      <c r="CN201" s="239"/>
      <c r="CO201" s="153"/>
      <c r="DM201" s="116"/>
      <c r="DN201" s="116"/>
      <c r="DO201" s="116"/>
      <c r="DP201" s="116"/>
      <c r="DW201" s="116"/>
      <c r="DX201" s="219"/>
      <c r="DY201" s="219"/>
      <c r="DZ201" s="116"/>
      <c r="EA201" s="116"/>
      <c r="EB201" s="116"/>
      <c r="EC201" s="116"/>
      <c r="ED201" s="116"/>
      <c r="EF201" s="332"/>
      <c r="EG201" s="116"/>
      <c r="EH201" s="116"/>
      <c r="EI201" s="116"/>
      <c r="EJ201" s="116"/>
      <c r="EK201" s="116"/>
      <c r="EM201" s="116"/>
      <c r="EN201" s="116"/>
      <c r="EO201" s="116"/>
      <c r="EQ201" s="116"/>
      <c r="ER201" s="116"/>
      <c r="ES201" s="116"/>
      <c r="ET201" s="116"/>
      <c r="EU201" s="116"/>
      <c r="EV201" s="116"/>
      <c r="EX201" s="116"/>
      <c r="EY201" s="116"/>
      <c r="EZ201" s="116"/>
      <c r="FA201" s="116"/>
      <c r="FB201" s="116"/>
    </row>
    <row r="202" spans="5:158" ht="13">
      <c r="E202" s="153"/>
      <c r="T202" s="153"/>
      <c r="BD202" s="31"/>
      <c r="BE202" s="31"/>
      <c r="BF202" s="31"/>
      <c r="BG202" s="31"/>
      <c r="BH202" s="31"/>
      <c r="BI202" s="116"/>
      <c r="BL202" s="196"/>
      <c r="BM202" s="239"/>
      <c r="BN202" s="330"/>
      <c r="BP202" s="330"/>
      <c r="BS202" s="116"/>
      <c r="BU202" s="331"/>
      <c r="BW202" s="116"/>
      <c r="BX202" s="116"/>
      <c r="BZ202" s="330"/>
      <c r="CB202" s="330"/>
      <c r="CC202" s="116"/>
      <c r="CG202" s="242"/>
      <c r="CH202" s="116"/>
      <c r="CI202" s="116"/>
      <c r="CJ202" s="116"/>
      <c r="CL202" s="116"/>
      <c r="CN202" s="239"/>
      <c r="CO202" s="153"/>
      <c r="DM202" s="116"/>
      <c r="DN202" s="116"/>
      <c r="DO202" s="116"/>
      <c r="DP202" s="116"/>
      <c r="DW202" s="116"/>
      <c r="DX202" s="219"/>
      <c r="DY202" s="219"/>
      <c r="DZ202" s="116"/>
      <c r="EA202" s="116"/>
      <c r="EB202" s="116"/>
      <c r="EC202" s="116"/>
      <c r="ED202" s="116"/>
      <c r="EF202" s="332"/>
      <c r="EG202" s="116"/>
      <c r="EH202" s="116"/>
      <c r="EI202" s="116"/>
      <c r="EJ202" s="116"/>
      <c r="EK202" s="116"/>
      <c r="EM202" s="116"/>
      <c r="EN202" s="116"/>
      <c r="EO202" s="116"/>
      <c r="EQ202" s="116"/>
      <c r="ER202" s="116"/>
      <c r="ES202" s="116"/>
      <c r="ET202" s="116"/>
      <c r="EU202" s="116"/>
      <c r="EV202" s="116"/>
      <c r="EX202" s="116"/>
      <c r="EY202" s="116"/>
      <c r="EZ202" s="116"/>
      <c r="FA202" s="116"/>
      <c r="FB202" s="116"/>
    </row>
    <row r="203" spans="5:158" ht="13">
      <c r="E203" s="153"/>
      <c r="T203" s="153"/>
      <c r="BD203" s="31"/>
      <c r="BE203" s="31"/>
      <c r="BF203" s="31"/>
      <c r="BG203" s="31"/>
      <c r="BH203" s="31"/>
      <c r="BI203" s="116"/>
      <c r="BL203" s="196"/>
      <c r="BM203" s="239"/>
      <c r="BN203" s="330"/>
      <c r="BP203" s="330"/>
      <c r="BS203" s="116"/>
      <c r="BU203" s="331"/>
      <c r="BW203" s="116"/>
      <c r="BX203" s="116"/>
      <c r="BZ203" s="330"/>
      <c r="CB203" s="330"/>
      <c r="CC203" s="116"/>
      <c r="CG203" s="242"/>
      <c r="CH203" s="116"/>
      <c r="CI203" s="116"/>
      <c r="CJ203" s="116"/>
      <c r="CL203" s="116"/>
      <c r="CN203" s="239"/>
      <c r="CO203" s="153"/>
      <c r="DM203" s="116"/>
      <c r="DN203" s="116"/>
      <c r="DO203" s="116"/>
      <c r="DP203" s="116"/>
      <c r="DW203" s="116"/>
      <c r="DX203" s="219"/>
      <c r="DY203" s="219"/>
      <c r="DZ203" s="116"/>
      <c r="EA203" s="116"/>
      <c r="EB203" s="116"/>
      <c r="EC203" s="116"/>
      <c r="ED203" s="116"/>
      <c r="EF203" s="332"/>
      <c r="EG203" s="116"/>
      <c r="EH203" s="116"/>
      <c r="EI203" s="116"/>
      <c r="EJ203" s="116"/>
      <c r="EK203" s="116"/>
      <c r="EM203" s="116"/>
      <c r="EN203" s="116"/>
      <c r="EO203" s="116"/>
      <c r="EQ203" s="116"/>
      <c r="ER203" s="116"/>
      <c r="ES203" s="116"/>
      <c r="ET203" s="116"/>
      <c r="EU203" s="116"/>
      <c r="EV203" s="116"/>
      <c r="EX203" s="116"/>
      <c r="EY203" s="116"/>
      <c r="EZ203" s="116"/>
      <c r="FA203" s="116"/>
      <c r="FB203" s="116"/>
    </row>
    <row r="204" spans="5:158" ht="13">
      <c r="E204" s="153"/>
      <c r="T204" s="153"/>
      <c r="BD204" s="31"/>
      <c r="BE204" s="31"/>
      <c r="BF204" s="31"/>
      <c r="BG204" s="31"/>
      <c r="BH204" s="31"/>
      <c r="BI204" s="116"/>
      <c r="BL204" s="196"/>
      <c r="BM204" s="239"/>
      <c r="BN204" s="330"/>
      <c r="BP204" s="330"/>
      <c r="BS204" s="116"/>
      <c r="BU204" s="331"/>
      <c r="BW204" s="116"/>
      <c r="BX204" s="116"/>
      <c r="BZ204" s="330"/>
      <c r="CB204" s="330"/>
      <c r="CC204" s="116"/>
      <c r="CG204" s="242"/>
      <c r="CH204" s="116"/>
      <c r="CI204" s="116"/>
      <c r="CJ204" s="116"/>
      <c r="CL204" s="116"/>
      <c r="CN204" s="239"/>
      <c r="CO204" s="153"/>
      <c r="DM204" s="116"/>
      <c r="DN204" s="116"/>
      <c r="DO204" s="116"/>
      <c r="DP204" s="116"/>
      <c r="DW204" s="116"/>
      <c r="DX204" s="219"/>
      <c r="DY204" s="219"/>
      <c r="DZ204" s="116"/>
      <c r="EA204" s="116"/>
      <c r="EB204" s="116"/>
      <c r="EC204" s="116"/>
      <c r="ED204" s="116"/>
      <c r="EF204" s="332"/>
      <c r="EG204" s="116"/>
      <c r="EH204" s="116"/>
      <c r="EI204" s="116"/>
      <c r="EJ204" s="116"/>
      <c r="EK204" s="116"/>
      <c r="EM204" s="116"/>
      <c r="EN204" s="116"/>
      <c r="EO204" s="116"/>
      <c r="EQ204" s="116"/>
      <c r="ER204" s="116"/>
      <c r="ES204" s="116"/>
      <c r="ET204" s="116"/>
      <c r="EU204" s="116"/>
      <c r="EV204" s="116"/>
      <c r="EX204" s="116"/>
      <c r="EY204" s="116"/>
      <c r="EZ204" s="116"/>
      <c r="FA204" s="116"/>
      <c r="FB204" s="116"/>
    </row>
    <row r="205" spans="5:158" ht="13">
      <c r="E205" s="153"/>
      <c r="T205" s="153"/>
      <c r="BD205" s="31"/>
      <c r="BE205" s="31"/>
      <c r="BF205" s="31"/>
      <c r="BG205" s="31"/>
      <c r="BH205" s="31"/>
      <c r="BI205" s="116"/>
      <c r="BL205" s="196"/>
      <c r="BM205" s="239"/>
      <c r="BN205" s="330"/>
      <c r="BP205" s="330"/>
      <c r="BS205" s="116"/>
      <c r="BU205" s="331"/>
      <c r="BW205" s="116"/>
      <c r="BX205" s="116"/>
      <c r="BZ205" s="330"/>
      <c r="CB205" s="330"/>
      <c r="CC205" s="116"/>
      <c r="CG205" s="242"/>
      <c r="CH205" s="116"/>
      <c r="CI205" s="116"/>
      <c r="CJ205" s="116"/>
      <c r="CL205" s="116"/>
      <c r="CN205" s="239"/>
      <c r="CO205" s="153"/>
      <c r="DM205" s="116"/>
      <c r="DN205" s="116"/>
      <c r="DO205" s="116"/>
      <c r="DP205" s="116"/>
      <c r="DW205" s="116"/>
      <c r="DX205" s="219"/>
      <c r="DY205" s="219"/>
      <c r="DZ205" s="116"/>
      <c r="EA205" s="116"/>
      <c r="EB205" s="116"/>
      <c r="EC205" s="116"/>
      <c r="ED205" s="116"/>
      <c r="EF205" s="332"/>
      <c r="EG205" s="116"/>
      <c r="EH205" s="116"/>
      <c r="EI205" s="116"/>
      <c r="EJ205" s="116"/>
      <c r="EK205" s="116"/>
      <c r="EM205" s="116"/>
      <c r="EN205" s="116"/>
      <c r="EO205" s="116"/>
      <c r="EQ205" s="116"/>
      <c r="ER205" s="116"/>
      <c r="ES205" s="116"/>
      <c r="ET205" s="116"/>
      <c r="EU205" s="116"/>
      <c r="EV205" s="116"/>
      <c r="EX205" s="116"/>
      <c r="EY205" s="116"/>
      <c r="EZ205" s="116"/>
      <c r="FA205" s="116"/>
      <c r="FB205" s="116"/>
    </row>
    <row r="206" spans="5:158" ht="13">
      <c r="E206" s="153"/>
      <c r="T206" s="153"/>
      <c r="BD206" s="31"/>
      <c r="BE206" s="31"/>
      <c r="BF206" s="31"/>
      <c r="BG206" s="31"/>
      <c r="BH206" s="31"/>
      <c r="BI206" s="116"/>
      <c r="BL206" s="196"/>
      <c r="BM206" s="239"/>
      <c r="BN206" s="330"/>
      <c r="BP206" s="330"/>
      <c r="BS206" s="116"/>
      <c r="BU206" s="331"/>
      <c r="BW206" s="116"/>
      <c r="BX206" s="116"/>
      <c r="BZ206" s="330"/>
      <c r="CB206" s="330"/>
      <c r="CC206" s="116"/>
      <c r="CG206" s="242"/>
      <c r="CH206" s="116"/>
      <c r="CI206" s="116"/>
      <c r="CJ206" s="116"/>
      <c r="CL206" s="116"/>
      <c r="CN206" s="239"/>
      <c r="CO206" s="153"/>
      <c r="DM206" s="116"/>
      <c r="DN206" s="116"/>
      <c r="DO206" s="116"/>
      <c r="DP206" s="116"/>
      <c r="DW206" s="116"/>
      <c r="DX206" s="219"/>
      <c r="DY206" s="219"/>
      <c r="DZ206" s="116"/>
      <c r="EA206" s="116"/>
      <c r="EB206" s="116"/>
      <c r="EC206" s="116"/>
      <c r="ED206" s="116"/>
      <c r="EF206" s="332"/>
      <c r="EG206" s="116"/>
      <c r="EH206" s="116"/>
      <c r="EI206" s="116"/>
      <c r="EJ206" s="116"/>
      <c r="EK206" s="116"/>
      <c r="EM206" s="116"/>
      <c r="EN206" s="116"/>
      <c r="EO206" s="116"/>
      <c r="EQ206" s="116"/>
      <c r="ER206" s="116"/>
      <c r="ES206" s="116"/>
      <c r="ET206" s="116"/>
      <c r="EU206" s="116"/>
      <c r="EV206" s="116"/>
      <c r="EX206" s="116"/>
      <c r="EY206" s="116"/>
      <c r="EZ206" s="116"/>
      <c r="FA206" s="116"/>
      <c r="FB206" s="116"/>
    </row>
    <row r="207" spans="5:158" ht="13">
      <c r="E207" s="153"/>
      <c r="T207" s="153"/>
      <c r="BD207" s="31"/>
      <c r="BE207" s="31"/>
      <c r="BF207" s="31"/>
      <c r="BG207" s="31"/>
      <c r="BH207" s="31"/>
      <c r="BI207" s="116"/>
      <c r="BL207" s="196"/>
      <c r="BM207" s="239"/>
      <c r="BN207" s="330"/>
      <c r="BP207" s="330"/>
      <c r="BS207" s="116"/>
      <c r="BU207" s="331"/>
      <c r="BW207" s="116"/>
      <c r="BX207" s="116"/>
      <c r="BZ207" s="330"/>
      <c r="CB207" s="330"/>
      <c r="CC207" s="116"/>
      <c r="CG207" s="242"/>
      <c r="CH207" s="116"/>
      <c r="CI207" s="116"/>
      <c r="CJ207" s="116"/>
      <c r="CL207" s="116"/>
      <c r="CN207" s="239"/>
      <c r="CO207" s="153"/>
      <c r="DM207" s="116"/>
      <c r="DN207" s="116"/>
      <c r="DO207" s="116"/>
      <c r="DP207" s="116"/>
      <c r="DW207" s="116"/>
      <c r="DX207" s="219"/>
      <c r="DY207" s="219"/>
      <c r="DZ207" s="116"/>
      <c r="EA207" s="116"/>
      <c r="EB207" s="116"/>
      <c r="EC207" s="116"/>
      <c r="ED207" s="116"/>
      <c r="EF207" s="332"/>
      <c r="EG207" s="116"/>
      <c r="EH207" s="116"/>
      <c r="EI207" s="116"/>
      <c r="EJ207" s="116"/>
      <c r="EK207" s="116"/>
      <c r="EM207" s="116"/>
      <c r="EN207" s="116"/>
      <c r="EO207" s="116"/>
      <c r="EQ207" s="116"/>
      <c r="ER207" s="116"/>
      <c r="ES207" s="116"/>
      <c r="ET207" s="116"/>
      <c r="EU207" s="116"/>
      <c r="EV207" s="116"/>
      <c r="EX207" s="116"/>
      <c r="EY207" s="116"/>
      <c r="EZ207" s="116"/>
      <c r="FA207" s="116"/>
      <c r="FB207" s="116"/>
    </row>
    <row r="208" spans="5:158" ht="13">
      <c r="E208" s="153"/>
      <c r="T208" s="153"/>
      <c r="BD208" s="31"/>
      <c r="BE208" s="31"/>
      <c r="BF208" s="31"/>
      <c r="BG208" s="31"/>
      <c r="BH208" s="31"/>
      <c r="BI208" s="116"/>
      <c r="BL208" s="196"/>
      <c r="BM208" s="239"/>
      <c r="BN208" s="330"/>
      <c r="BP208" s="330"/>
      <c r="BS208" s="116"/>
      <c r="BU208" s="331"/>
      <c r="BW208" s="116"/>
      <c r="BX208" s="116"/>
      <c r="BZ208" s="330"/>
      <c r="CB208" s="330"/>
      <c r="CC208" s="116"/>
      <c r="CG208" s="242"/>
      <c r="CH208" s="116"/>
      <c r="CI208" s="116"/>
      <c r="CJ208" s="116"/>
      <c r="CL208" s="116"/>
      <c r="CN208" s="239"/>
      <c r="CO208" s="153"/>
      <c r="DM208" s="116"/>
      <c r="DN208" s="116"/>
      <c r="DO208" s="116"/>
      <c r="DP208" s="116"/>
      <c r="DW208" s="116"/>
      <c r="DX208" s="219"/>
      <c r="DY208" s="219"/>
      <c r="DZ208" s="116"/>
      <c r="EA208" s="116"/>
      <c r="EB208" s="116"/>
      <c r="EC208" s="116"/>
      <c r="ED208" s="116"/>
      <c r="EF208" s="332"/>
      <c r="EG208" s="116"/>
      <c r="EH208" s="116"/>
      <c r="EI208" s="116"/>
      <c r="EJ208" s="116"/>
      <c r="EK208" s="116"/>
      <c r="EM208" s="116"/>
      <c r="EN208" s="116"/>
      <c r="EO208" s="116"/>
      <c r="EQ208" s="116"/>
      <c r="ER208" s="116"/>
      <c r="ES208" s="116"/>
      <c r="ET208" s="116"/>
      <c r="EU208" s="116"/>
      <c r="EV208" s="116"/>
      <c r="EX208" s="116"/>
      <c r="EY208" s="116"/>
      <c r="EZ208" s="116"/>
      <c r="FA208" s="116"/>
      <c r="FB208" s="116"/>
    </row>
    <row r="209" spans="5:158" ht="13">
      <c r="E209" s="153"/>
      <c r="T209" s="153"/>
      <c r="BD209" s="31"/>
      <c r="BE209" s="31"/>
      <c r="BF209" s="31"/>
      <c r="BG209" s="31"/>
      <c r="BH209" s="31"/>
      <c r="BI209" s="116"/>
      <c r="BL209" s="196"/>
      <c r="BM209" s="239"/>
      <c r="BN209" s="330"/>
      <c r="BP209" s="330"/>
      <c r="BS209" s="116"/>
      <c r="BU209" s="331"/>
      <c r="BW209" s="116"/>
      <c r="BX209" s="116"/>
      <c r="BZ209" s="330"/>
      <c r="CB209" s="330"/>
      <c r="CC209" s="116"/>
      <c r="CG209" s="242"/>
      <c r="CH209" s="116"/>
      <c r="CI209" s="116"/>
      <c r="CJ209" s="116"/>
      <c r="CL209" s="116"/>
      <c r="CN209" s="239"/>
      <c r="CO209" s="153"/>
      <c r="DM209" s="116"/>
      <c r="DN209" s="116"/>
      <c r="DO209" s="116"/>
      <c r="DP209" s="116"/>
      <c r="DW209" s="116"/>
      <c r="DX209" s="219"/>
      <c r="DY209" s="219"/>
      <c r="DZ209" s="116"/>
      <c r="EA209" s="116"/>
      <c r="EB209" s="116"/>
      <c r="EC209" s="116"/>
      <c r="ED209" s="116"/>
      <c r="EF209" s="332"/>
      <c r="EG209" s="116"/>
      <c r="EH209" s="116"/>
      <c r="EI209" s="116"/>
      <c r="EJ209" s="116"/>
      <c r="EK209" s="116"/>
      <c r="EM209" s="116"/>
      <c r="EN209" s="116"/>
      <c r="EO209" s="116"/>
      <c r="EQ209" s="116"/>
      <c r="ER209" s="116"/>
      <c r="ES209" s="116"/>
      <c r="ET209" s="116"/>
      <c r="EU209" s="116"/>
      <c r="EV209" s="116"/>
      <c r="EX209" s="116"/>
      <c r="EY209" s="116"/>
      <c r="EZ209" s="116"/>
      <c r="FA209" s="116"/>
      <c r="FB209" s="116"/>
    </row>
    <row r="210" spans="5:158" ht="13">
      <c r="E210" s="153"/>
      <c r="T210" s="153"/>
      <c r="BD210" s="31"/>
      <c r="BE210" s="31"/>
      <c r="BF210" s="31"/>
      <c r="BG210" s="31"/>
      <c r="BH210" s="31"/>
      <c r="BI210" s="116"/>
      <c r="BL210" s="196"/>
      <c r="BM210" s="239"/>
      <c r="BN210" s="330"/>
      <c r="BP210" s="330"/>
      <c r="BS210" s="116"/>
      <c r="BU210" s="331"/>
      <c r="BW210" s="116"/>
      <c r="BX210" s="116"/>
      <c r="BZ210" s="330"/>
      <c r="CB210" s="330"/>
      <c r="CC210" s="116"/>
      <c r="CG210" s="242"/>
      <c r="CH210" s="116"/>
      <c r="CI210" s="116"/>
      <c r="CJ210" s="116"/>
      <c r="CL210" s="116"/>
      <c r="CN210" s="239"/>
      <c r="CO210" s="153"/>
      <c r="DM210" s="116"/>
      <c r="DN210" s="116"/>
      <c r="DO210" s="116"/>
      <c r="DP210" s="116"/>
      <c r="DW210" s="116"/>
      <c r="DX210" s="219"/>
      <c r="DY210" s="219"/>
      <c r="DZ210" s="116"/>
      <c r="EA210" s="116"/>
      <c r="EB210" s="116"/>
      <c r="EC210" s="116"/>
      <c r="ED210" s="116"/>
      <c r="EF210" s="332"/>
      <c r="EG210" s="116"/>
      <c r="EH210" s="116"/>
      <c r="EI210" s="116"/>
      <c r="EJ210" s="116"/>
      <c r="EK210" s="116"/>
      <c r="EM210" s="116"/>
      <c r="EN210" s="116"/>
      <c r="EO210" s="116"/>
      <c r="EQ210" s="116"/>
      <c r="ER210" s="116"/>
      <c r="ES210" s="116"/>
      <c r="ET210" s="116"/>
      <c r="EU210" s="116"/>
      <c r="EV210" s="116"/>
      <c r="EX210" s="116"/>
      <c r="EY210" s="116"/>
      <c r="EZ210" s="116"/>
      <c r="FA210" s="116"/>
      <c r="FB210" s="116"/>
    </row>
    <row r="211" spans="5:158" ht="13">
      <c r="E211" s="153"/>
      <c r="T211" s="153"/>
      <c r="BD211" s="31"/>
      <c r="BE211" s="31"/>
      <c r="BF211" s="31"/>
      <c r="BG211" s="31"/>
      <c r="BH211" s="31"/>
      <c r="BI211" s="116"/>
      <c r="BL211" s="196"/>
      <c r="BM211" s="239"/>
      <c r="BN211" s="330"/>
      <c r="BP211" s="330"/>
      <c r="BS211" s="116"/>
      <c r="BU211" s="331"/>
      <c r="BW211" s="116"/>
      <c r="BX211" s="116"/>
      <c r="BZ211" s="330"/>
      <c r="CB211" s="330"/>
      <c r="CC211" s="116"/>
      <c r="CG211" s="242"/>
      <c r="CH211" s="116"/>
      <c r="CI211" s="116"/>
      <c r="CJ211" s="116"/>
      <c r="CL211" s="116"/>
      <c r="CN211" s="239"/>
      <c r="CO211" s="153"/>
      <c r="DM211" s="116"/>
      <c r="DN211" s="116"/>
      <c r="DO211" s="116"/>
      <c r="DP211" s="116"/>
      <c r="DW211" s="116"/>
      <c r="DX211" s="219"/>
      <c r="DY211" s="219"/>
      <c r="DZ211" s="116"/>
      <c r="EA211" s="116"/>
      <c r="EB211" s="116"/>
      <c r="EC211" s="116"/>
      <c r="ED211" s="116"/>
      <c r="EF211" s="332"/>
      <c r="EG211" s="116"/>
      <c r="EH211" s="116"/>
      <c r="EI211" s="116"/>
      <c r="EJ211" s="116"/>
      <c r="EK211" s="116"/>
      <c r="EM211" s="116"/>
      <c r="EN211" s="116"/>
      <c r="EO211" s="116"/>
      <c r="EQ211" s="116"/>
      <c r="ER211" s="116"/>
      <c r="ES211" s="116"/>
      <c r="ET211" s="116"/>
      <c r="EU211" s="116"/>
      <c r="EV211" s="116"/>
      <c r="EX211" s="116"/>
      <c r="EY211" s="116"/>
      <c r="EZ211" s="116"/>
      <c r="FA211" s="116"/>
      <c r="FB211" s="116"/>
    </row>
    <row r="212" spans="5:158" ht="13">
      <c r="E212" s="153"/>
      <c r="T212" s="153"/>
      <c r="BD212" s="31"/>
      <c r="BE212" s="31"/>
      <c r="BF212" s="31"/>
      <c r="BG212" s="31"/>
      <c r="BH212" s="31"/>
      <c r="BI212" s="116"/>
      <c r="BL212" s="196"/>
      <c r="BM212" s="239"/>
      <c r="BN212" s="330"/>
      <c r="BP212" s="330"/>
      <c r="BS212" s="116"/>
      <c r="BU212" s="331"/>
      <c r="BW212" s="116"/>
      <c r="BX212" s="116"/>
      <c r="BZ212" s="330"/>
      <c r="CB212" s="330"/>
      <c r="CC212" s="116"/>
      <c r="CG212" s="242"/>
      <c r="CH212" s="116"/>
      <c r="CI212" s="116"/>
      <c r="CJ212" s="116"/>
      <c r="CL212" s="116"/>
      <c r="CN212" s="239"/>
      <c r="CO212" s="153"/>
      <c r="DM212" s="116"/>
      <c r="DN212" s="116"/>
      <c r="DO212" s="116"/>
      <c r="DP212" s="116"/>
      <c r="DW212" s="116"/>
      <c r="DX212" s="219"/>
      <c r="DY212" s="219"/>
      <c r="DZ212" s="116"/>
      <c r="EA212" s="116"/>
      <c r="EB212" s="116"/>
      <c r="EC212" s="116"/>
      <c r="ED212" s="116"/>
      <c r="EF212" s="332"/>
      <c r="EG212" s="116"/>
      <c r="EH212" s="116"/>
      <c r="EI212" s="116"/>
      <c r="EJ212" s="116"/>
      <c r="EK212" s="116"/>
      <c r="EM212" s="116"/>
      <c r="EN212" s="116"/>
      <c r="EO212" s="116"/>
      <c r="EQ212" s="116"/>
      <c r="ER212" s="116"/>
      <c r="ES212" s="116"/>
      <c r="ET212" s="116"/>
      <c r="EU212" s="116"/>
      <c r="EV212" s="116"/>
      <c r="EX212" s="116"/>
      <c r="EY212" s="116"/>
      <c r="EZ212" s="116"/>
      <c r="FA212" s="116"/>
      <c r="FB212" s="116"/>
    </row>
    <row r="213" spans="5:158" ht="13">
      <c r="E213" s="153"/>
      <c r="T213" s="153"/>
      <c r="BD213" s="31"/>
      <c r="BE213" s="31"/>
      <c r="BF213" s="31"/>
      <c r="BG213" s="31"/>
      <c r="BH213" s="31"/>
      <c r="BI213" s="116"/>
      <c r="BL213" s="196"/>
      <c r="BM213" s="239"/>
      <c r="BN213" s="330"/>
      <c r="BP213" s="330"/>
      <c r="BS213" s="116"/>
      <c r="BU213" s="331"/>
      <c r="BW213" s="116"/>
      <c r="BX213" s="116"/>
      <c r="BZ213" s="330"/>
      <c r="CB213" s="330"/>
      <c r="CC213" s="116"/>
      <c r="CG213" s="242"/>
      <c r="CH213" s="116"/>
      <c r="CI213" s="116"/>
      <c r="CJ213" s="116"/>
      <c r="CL213" s="116"/>
      <c r="CN213" s="239"/>
      <c r="CO213" s="153"/>
      <c r="DM213" s="116"/>
      <c r="DN213" s="116"/>
      <c r="DO213" s="116"/>
      <c r="DP213" s="116"/>
      <c r="DW213" s="116"/>
      <c r="DX213" s="219"/>
      <c r="DY213" s="219"/>
      <c r="DZ213" s="116"/>
      <c r="EA213" s="116"/>
      <c r="EB213" s="116"/>
      <c r="EC213" s="116"/>
      <c r="ED213" s="116"/>
      <c r="EF213" s="332"/>
      <c r="EG213" s="116"/>
      <c r="EH213" s="116"/>
      <c r="EI213" s="116"/>
      <c r="EJ213" s="116"/>
      <c r="EK213" s="116"/>
      <c r="EM213" s="116"/>
      <c r="EN213" s="116"/>
      <c r="EO213" s="116"/>
      <c r="EQ213" s="116"/>
      <c r="ER213" s="116"/>
      <c r="ES213" s="116"/>
      <c r="ET213" s="116"/>
      <c r="EU213" s="116"/>
      <c r="EV213" s="116"/>
      <c r="EX213" s="116"/>
      <c r="EY213" s="116"/>
      <c r="EZ213" s="116"/>
      <c r="FA213" s="116"/>
      <c r="FB213" s="116"/>
    </row>
    <row r="214" spans="5:158" ht="13">
      <c r="E214" s="153"/>
      <c r="T214" s="153"/>
      <c r="BD214" s="31"/>
      <c r="BE214" s="31"/>
      <c r="BF214" s="31"/>
      <c r="BG214" s="31"/>
      <c r="BH214" s="31"/>
      <c r="BI214" s="116"/>
      <c r="BL214" s="196"/>
      <c r="BM214" s="239"/>
      <c r="BN214" s="330"/>
      <c r="BP214" s="330"/>
      <c r="BS214" s="116"/>
      <c r="BU214" s="331"/>
      <c r="BW214" s="116"/>
      <c r="BX214" s="116"/>
      <c r="BZ214" s="330"/>
      <c r="CB214" s="330"/>
      <c r="CC214" s="116"/>
      <c r="CG214" s="242"/>
      <c r="CH214" s="116"/>
      <c r="CI214" s="116"/>
      <c r="CJ214" s="116"/>
      <c r="CL214" s="116"/>
      <c r="CN214" s="239"/>
      <c r="CO214" s="153"/>
      <c r="DM214" s="116"/>
      <c r="DN214" s="116"/>
      <c r="DO214" s="116"/>
      <c r="DP214" s="116"/>
      <c r="DW214" s="116"/>
      <c r="DX214" s="219"/>
      <c r="DY214" s="219"/>
      <c r="DZ214" s="116"/>
      <c r="EA214" s="116"/>
      <c r="EB214" s="116"/>
      <c r="EC214" s="116"/>
      <c r="ED214" s="116"/>
      <c r="EF214" s="332"/>
      <c r="EG214" s="116"/>
      <c r="EH214" s="116"/>
      <c r="EI214" s="116"/>
      <c r="EJ214" s="116"/>
      <c r="EK214" s="116"/>
      <c r="EM214" s="116"/>
      <c r="EN214" s="116"/>
      <c r="EO214" s="116"/>
      <c r="EQ214" s="116"/>
      <c r="ER214" s="116"/>
      <c r="ES214" s="116"/>
      <c r="ET214" s="116"/>
      <c r="EU214" s="116"/>
      <c r="EV214" s="116"/>
      <c r="EX214" s="116"/>
      <c r="EY214" s="116"/>
      <c r="EZ214" s="116"/>
      <c r="FA214" s="116"/>
      <c r="FB214" s="116"/>
    </row>
    <row r="215" spans="5:158" ht="13">
      <c r="E215" s="153"/>
      <c r="T215" s="153"/>
      <c r="BD215" s="31"/>
      <c r="BE215" s="31"/>
      <c r="BF215" s="31"/>
      <c r="BG215" s="31"/>
      <c r="BH215" s="31"/>
      <c r="BI215" s="116"/>
      <c r="BL215" s="196"/>
      <c r="BM215" s="239"/>
      <c r="BN215" s="330"/>
      <c r="BP215" s="330"/>
      <c r="BS215" s="116"/>
      <c r="BU215" s="331"/>
      <c r="BW215" s="116"/>
      <c r="BX215" s="116"/>
      <c r="BZ215" s="330"/>
      <c r="CB215" s="330"/>
      <c r="CC215" s="116"/>
      <c r="CG215" s="242"/>
      <c r="CH215" s="116"/>
      <c r="CI215" s="116"/>
      <c r="CJ215" s="116"/>
      <c r="CL215" s="116"/>
      <c r="CN215" s="239"/>
      <c r="CO215" s="153"/>
      <c r="DM215" s="116"/>
      <c r="DN215" s="116"/>
      <c r="DO215" s="116"/>
      <c r="DP215" s="116"/>
      <c r="DW215" s="116"/>
      <c r="DX215" s="219"/>
      <c r="DY215" s="219"/>
      <c r="DZ215" s="116"/>
      <c r="EA215" s="116"/>
      <c r="EB215" s="116"/>
      <c r="EC215" s="116"/>
      <c r="ED215" s="116"/>
      <c r="EF215" s="332"/>
      <c r="EG215" s="116"/>
      <c r="EH215" s="116"/>
      <c r="EI215" s="116"/>
      <c r="EJ215" s="116"/>
      <c r="EK215" s="116"/>
      <c r="EM215" s="116"/>
      <c r="EN215" s="116"/>
      <c r="EO215" s="116"/>
      <c r="EQ215" s="116"/>
      <c r="ER215" s="116"/>
      <c r="ES215" s="116"/>
      <c r="ET215" s="116"/>
      <c r="EU215" s="116"/>
      <c r="EV215" s="116"/>
      <c r="EX215" s="116"/>
      <c r="EY215" s="116"/>
      <c r="EZ215" s="116"/>
      <c r="FA215" s="116"/>
      <c r="FB215" s="116"/>
    </row>
    <row r="216" spans="5:158" ht="13">
      <c r="E216" s="153"/>
      <c r="T216" s="153"/>
      <c r="BD216" s="31"/>
      <c r="BE216" s="31"/>
      <c r="BF216" s="31"/>
      <c r="BG216" s="31"/>
      <c r="BH216" s="31"/>
      <c r="BI216" s="116"/>
      <c r="BL216" s="196"/>
      <c r="BM216" s="239"/>
      <c r="BN216" s="330"/>
      <c r="BP216" s="330"/>
      <c r="BS216" s="116"/>
      <c r="BU216" s="331"/>
      <c r="BW216" s="116"/>
      <c r="BX216" s="116"/>
      <c r="BZ216" s="330"/>
      <c r="CB216" s="330"/>
      <c r="CC216" s="116"/>
      <c r="CG216" s="242"/>
      <c r="CH216" s="116"/>
      <c r="CI216" s="116"/>
      <c r="CJ216" s="116"/>
      <c r="CL216" s="116"/>
      <c r="CN216" s="239"/>
      <c r="CO216" s="153"/>
      <c r="DM216" s="116"/>
      <c r="DN216" s="116"/>
      <c r="DO216" s="116"/>
      <c r="DP216" s="116"/>
      <c r="DW216" s="116"/>
      <c r="DX216" s="219"/>
      <c r="DY216" s="219"/>
      <c r="DZ216" s="116"/>
      <c r="EA216" s="116"/>
      <c r="EB216" s="116"/>
      <c r="EC216" s="116"/>
      <c r="ED216" s="116"/>
      <c r="EF216" s="332"/>
      <c r="EG216" s="116"/>
      <c r="EH216" s="116"/>
      <c r="EI216" s="116"/>
      <c r="EJ216" s="116"/>
      <c r="EK216" s="116"/>
      <c r="EM216" s="116"/>
      <c r="EN216" s="116"/>
      <c r="EO216" s="116"/>
      <c r="EQ216" s="116"/>
      <c r="ER216" s="116"/>
      <c r="ES216" s="116"/>
      <c r="ET216" s="116"/>
      <c r="EU216" s="116"/>
      <c r="EV216" s="116"/>
      <c r="EX216" s="116"/>
      <c r="EY216" s="116"/>
      <c r="EZ216" s="116"/>
      <c r="FA216" s="116"/>
      <c r="FB216" s="116"/>
    </row>
    <row r="217" spans="5:158" ht="13">
      <c r="E217" s="153"/>
      <c r="T217" s="153"/>
      <c r="BD217" s="31"/>
      <c r="BE217" s="31"/>
      <c r="BF217" s="31"/>
      <c r="BG217" s="31"/>
      <c r="BH217" s="31"/>
      <c r="BI217" s="116"/>
      <c r="BL217" s="196"/>
      <c r="BM217" s="239"/>
      <c r="BN217" s="330"/>
      <c r="BP217" s="330"/>
      <c r="BS217" s="116"/>
      <c r="BU217" s="331"/>
      <c r="BW217" s="116"/>
      <c r="BX217" s="116"/>
      <c r="BZ217" s="330"/>
      <c r="CB217" s="330"/>
      <c r="CC217" s="116"/>
      <c r="CG217" s="242"/>
      <c r="CH217" s="116"/>
      <c r="CI217" s="116"/>
      <c r="CJ217" s="116"/>
      <c r="CL217" s="116"/>
      <c r="CN217" s="239"/>
      <c r="CO217" s="153"/>
      <c r="DM217" s="116"/>
      <c r="DN217" s="116"/>
      <c r="DO217" s="116"/>
      <c r="DP217" s="116"/>
      <c r="DW217" s="116"/>
      <c r="DX217" s="219"/>
      <c r="DY217" s="219"/>
      <c r="DZ217" s="116"/>
      <c r="EA217" s="116"/>
      <c r="EB217" s="116"/>
      <c r="EC217" s="116"/>
      <c r="ED217" s="116"/>
      <c r="EF217" s="332"/>
      <c r="EG217" s="116"/>
      <c r="EH217" s="116"/>
      <c r="EI217" s="116"/>
      <c r="EJ217" s="116"/>
      <c r="EK217" s="116"/>
      <c r="EM217" s="116"/>
      <c r="EN217" s="116"/>
      <c r="EO217" s="116"/>
      <c r="EQ217" s="116"/>
      <c r="ER217" s="116"/>
      <c r="ES217" s="116"/>
      <c r="ET217" s="116"/>
      <c r="EU217" s="116"/>
      <c r="EV217" s="116"/>
      <c r="EX217" s="116"/>
      <c r="EY217" s="116"/>
      <c r="EZ217" s="116"/>
      <c r="FA217" s="116"/>
      <c r="FB217" s="116"/>
    </row>
    <row r="218" spans="5:158" ht="13">
      <c r="E218" s="153"/>
      <c r="T218" s="153"/>
      <c r="BD218" s="31"/>
      <c r="BE218" s="31"/>
      <c r="BF218" s="31"/>
      <c r="BG218" s="31"/>
      <c r="BH218" s="31"/>
      <c r="BI218" s="116"/>
      <c r="BL218" s="196"/>
      <c r="BM218" s="239"/>
      <c r="BN218" s="330"/>
      <c r="BP218" s="330"/>
      <c r="BS218" s="116"/>
      <c r="BU218" s="331"/>
      <c r="BW218" s="116"/>
      <c r="BX218" s="116"/>
      <c r="BZ218" s="330"/>
      <c r="CB218" s="330"/>
      <c r="CC218" s="116"/>
      <c r="CG218" s="242"/>
      <c r="CH218" s="116"/>
      <c r="CI218" s="116"/>
      <c r="CJ218" s="116"/>
      <c r="CL218" s="116"/>
      <c r="CN218" s="239"/>
      <c r="CO218" s="153"/>
      <c r="DM218" s="116"/>
      <c r="DN218" s="116"/>
      <c r="DO218" s="116"/>
      <c r="DP218" s="116"/>
      <c r="DW218" s="116"/>
      <c r="DX218" s="219"/>
      <c r="DY218" s="219"/>
      <c r="DZ218" s="116"/>
      <c r="EA218" s="116"/>
      <c r="EB218" s="116"/>
      <c r="EC218" s="116"/>
      <c r="ED218" s="116"/>
      <c r="EF218" s="332"/>
      <c r="EG218" s="116"/>
      <c r="EH218" s="116"/>
      <c r="EI218" s="116"/>
      <c r="EJ218" s="116"/>
      <c r="EK218" s="116"/>
      <c r="EM218" s="116"/>
      <c r="EN218" s="116"/>
      <c r="EO218" s="116"/>
      <c r="EQ218" s="116"/>
      <c r="ER218" s="116"/>
      <c r="ES218" s="116"/>
      <c r="ET218" s="116"/>
      <c r="EU218" s="116"/>
      <c r="EV218" s="116"/>
      <c r="EX218" s="116"/>
      <c r="EY218" s="116"/>
      <c r="EZ218" s="116"/>
      <c r="FA218" s="116"/>
      <c r="FB218" s="116"/>
    </row>
    <row r="219" spans="5:158" ht="13">
      <c r="E219" s="153"/>
      <c r="T219" s="153"/>
      <c r="BD219" s="31"/>
      <c r="BE219" s="31"/>
      <c r="BF219" s="31"/>
      <c r="BG219" s="31"/>
      <c r="BH219" s="31"/>
      <c r="BI219" s="116"/>
      <c r="BL219" s="196"/>
      <c r="BM219" s="239"/>
      <c r="BN219" s="330"/>
      <c r="BP219" s="330"/>
      <c r="BS219" s="116"/>
      <c r="BU219" s="331"/>
      <c r="BW219" s="116"/>
      <c r="BX219" s="116"/>
      <c r="BZ219" s="330"/>
      <c r="CB219" s="330"/>
      <c r="CC219" s="116"/>
      <c r="CG219" s="242"/>
      <c r="CH219" s="116"/>
      <c r="CI219" s="116"/>
      <c r="CJ219" s="116"/>
      <c r="CL219" s="116"/>
      <c r="CN219" s="239"/>
      <c r="CO219" s="153"/>
      <c r="DM219" s="116"/>
      <c r="DN219" s="116"/>
      <c r="DO219" s="116"/>
      <c r="DP219" s="116"/>
      <c r="DW219" s="116"/>
      <c r="DX219" s="219"/>
      <c r="DY219" s="219"/>
      <c r="DZ219" s="116"/>
      <c r="EA219" s="116"/>
      <c r="EB219" s="116"/>
      <c r="EC219" s="116"/>
      <c r="ED219" s="116"/>
      <c r="EF219" s="332"/>
      <c r="EG219" s="116"/>
      <c r="EH219" s="116"/>
      <c r="EI219" s="116"/>
      <c r="EJ219" s="116"/>
      <c r="EK219" s="116"/>
      <c r="EM219" s="116"/>
      <c r="EN219" s="116"/>
      <c r="EO219" s="116"/>
      <c r="EQ219" s="116"/>
      <c r="ER219" s="116"/>
      <c r="ES219" s="116"/>
      <c r="ET219" s="116"/>
      <c r="EU219" s="116"/>
      <c r="EV219" s="116"/>
      <c r="EX219" s="116"/>
      <c r="EY219" s="116"/>
      <c r="EZ219" s="116"/>
      <c r="FA219" s="116"/>
      <c r="FB219" s="116"/>
    </row>
    <row r="220" spans="5:158" ht="13">
      <c r="E220" s="153"/>
      <c r="T220" s="153"/>
      <c r="BD220" s="31"/>
      <c r="BE220" s="31"/>
      <c r="BF220" s="31"/>
      <c r="BG220" s="31"/>
      <c r="BH220" s="31"/>
      <c r="BI220" s="116"/>
      <c r="BL220" s="196"/>
      <c r="BM220" s="239"/>
      <c r="BN220" s="330"/>
      <c r="BP220" s="330"/>
      <c r="BS220" s="116"/>
      <c r="BU220" s="331"/>
      <c r="BW220" s="116"/>
      <c r="BX220" s="116"/>
      <c r="BZ220" s="330"/>
      <c r="CB220" s="330"/>
      <c r="CC220" s="116"/>
      <c r="CG220" s="242"/>
      <c r="CH220" s="116"/>
      <c r="CI220" s="116"/>
      <c r="CJ220" s="116"/>
      <c r="CL220" s="116"/>
      <c r="CN220" s="239"/>
      <c r="CO220" s="153"/>
      <c r="DM220" s="116"/>
      <c r="DN220" s="116"/>
      <c r="DO220" s="116"/>
      <c r="DP220" s="116"/>
      <c r="DW220" s="116"/>
      <c r="DX220" s="219"/>
      <c r="DY220" s="219"/>
      <c r="DZ220" s="116"/>
      <c r="EA220" s="116"/>
      <c r="EB220" s="116"/>
      <c r="EC220" s="116"/>
      <c r="ED220" s="116"/>
      <c r="EF220" s="332"/>
      <c r="EG220" s="116"/>
      <c r="EH220" s="116"/>
      <c r="EI220" s="116"/>
      <c r="EJ220" s="116"/>
      <c r="EK220" s="116"/>
      <c r="EM220" s="116"/>
      <c r="EN220" s="116"/>
      <c r="EO220" s="116"/>
      <c r="EQ220" s="116"/>
      <c r="ER220" s="116"/>
      <c r="ES220" s="116"/>
      <c r="ET220" s="116"/>
      <c r="EU220" s="116"/>
      <c r="EV220" s="116"/>
      <c r="EX220" s="116"/>
      <c r="EY220" s="116"/>
      <c r="EZ220" s="116"/>
      <c r="FA220" s="116"/>
      <c r="FB220" s="116"/>
    </row>
    <row r="221" spans="5:158" ht="13">
      <c r="E221" s="153"/>
      <c r="T221" s="153"/>
      <c r="BD221" s="31"/>
      <c r="BE221" s="31"/>
      <c r="BF221" s="31"/>
      <c r="BG221" s="31"/>
      <c r="BH221" s="31"/>
      <c r="BI221" s="116"/>
      <c r="BL221" s="196"/>
      <c r="BM221" s="239"/>
      <c r="BN221" s="330"/>
      <c r="BP221" s="330"/>
      <c r="BS221" s="116"/>
      <c r="BU221" s="331"/>
      <c r="BW221" s="116"/>
      <c r="BX221" s="116"/>
      <c r="BZ221" s="330"/>
      <c r="CB221" s="330"/>
      <c r="CC221" s="116"/>
      <c r="CG221" s="242"/>
      <c r="CH221" s="116"/>
      <c r="CI221" s="116"/>
      <c r="CJ221" s="116"/>
      <c r="CL221" s="116"/>
      <c r="CN221" s="239"/>
      <c r="CO221" s="153"/>
      <c r="DM221" s="116"/>
      <c r="DN221" s="116"/>
      <c r="DO221" s="116"/>
      <c r="DP221" s="116"/>
      <c r="DW221" s="116"/>
      <c r="DX221" s="219"/>
      <c r="DY221" s="219"/>
      <c r="DZ221" s="116"/>
      <c r="EA221" s="116"/>
      <c r="EB221" s="116"/>
      <c r="EC221" s="116"/>
      <c r="ED221" s="116"/>
      <c r="EF221" s="332"/>
      <c r="EG221" s="116"/>
      <c r="EH221" s="116"/>
      <c r="EI221" s="116"/>
      <c r="EJ221" s="116"/>
      <c r="EK221" s="116"/>
      <c r="EM221" s="116"/>
      <c r="EN221" s="116"/>
      <c r="EO221" s="116"/>
      <c r="EQ221" s="116"/>
      <c r="ER221" s="116"/>
      <c r="ES221" s="116"/>
      <c r="ET221" s="116"/>
      <c r="EU221" s="116"/>
      <c r="EV221" s="116"/>
      <c r="EX221" s="116"/>
      <c r="EY221" s="116"/>
      <c r="EZ221" s="116"/>
      <c r="FA221" s="116"/>
      <c r="FB221" s="116"/>
    </row>
    <row r="222" spans="5:158" ht="13">
      <c r="E222" s="153"/>
      <c r="T222" s="153"/>
      <c r="BD222" s="31"/>
      <c r="BE222" s="31"/>
      <c r="BF222" s="31"/>
      <c r="BG222" s="31"/>
      <c r="BH222" s="31"/>
      <c r="BI222" s="116"/>
      <c r="BL222" s="196"/>
      <c r="BM222" s="239"/>
      <c r="BN222" s="330"/>
      <c r="BP222" s="330"/>
      <c r="BS222" s="116"/>
      <c r="BU222" s="331"/>
      <c r="BW222" s="116"/>
      <c r="BX222" s="116"/>
      <c r="BZ222" s="330"/>
      <c r="CB222" s="330"/>
      <c r="CC222" s="116"/>
      <c r="CG222" s="242"/>
      <c r="CH222" s="116"/>
      <c r="CI222" s="116"/>
      <c r="CJ222" s="116"/>
      <c r="CL222" s="116"/>
      <c r="CN222" s="239"/>
      <c r="CO222" s="153"/>
      <c r="DM222" s="116"/>
      <c r="DN222" s="116"/>
      <c r="DO222" s="116"/>
      <c r="DP222" s="116"/>
      <c r="DW222" s="116"/>
      <c r="DX222" s="219"/>
      <c r="DY222" s="219"/>
      <c r="DZ222" s="116"/>
      <c r="EA222" s="116"/>
      <c r="EB222" s="116"/>
      <c r="EC222" s="116"/>
      <c r="ED222" s="116"/>
      <c r="EF222" s="332"/>
      <c r="EG222" s="116"/>
      <c r="EH222" s="116"/>
      <c r="EI222" s="116"/>
      <c r="EJ222" s="116"/>
      <c r="EK222" s="116"/>
      <c r="EM222" s="116"/>
      <c r="EN222" s="116"/>
      <c r="EO222" s="116"/>
      <c r="EQ222" s="116"/>
      <c r="ER222" s="116"/>
      <c r="ES222" s="116"/>
      <c r="ET222" s="116"/>
      <c r="EU222" s="116"/>
      <c r="EV222" s="116"/>
      <c r="EX222" s="116"/>
      <c r="EY222" s="116"/>
      <c r="EZ222" s="116"/>
      <c r="FA222" s="116"/>
      <c r="FB222" s="116"/>
    </row>
    <row r="223" spans="5:158" ht="13">
      <c r="E223" s="153"/>
      <c r="T223" s="153"/>
      <c r="BD223" s="31"/>
      <c r="BE223" s="31"/>
      <c r="BF223" s="31"/>
      <c r="BG223" s="31"/>
      <c r="BH223" s="31"/>
      <c r="BI223" s="116"/>
      <c r="BL223" s="196"/>
      <c r="BM223" s="239"/>
      <c r="BN223" s="330"/>
      <c r="BP223" s="330"/>
      <c r="BS223" s="116"/>
      <c r="BU223" s="331"/>
      <c r="BW223" s="116"/>
      <c r="BX223" s="116"/>
      <c r="BZ223" s="330"/>
      <c r="CB223" s="330"/>
      <c r="CC223" s="116"/>
      <c r="CG223" s="242"/>
      <c r="CH223" s="116"/>
      <c r="CI223" s="116"/>
      <c r="CJ223" s="116"/>
      <c r="CL223" s="116"/>
      <c r="CN223" s="239"/>
      <c r="CO223" s="153"/>
      <c r="DM223" s="116"/>
      <c r="DN223" s="116"/>
      <c r="DO223" s="116"/>
      <c r="DP223" s="116"/>
      <c r="DW223" s="116"/>
      <c r="DX223" s="219"/>
      <c r="DY223" s="219"/>
      <c r="DZ223" s="116"/>
      <c r="EA223" s="116"/>
      <c r="EB223" s="116"/>
      <c r="EC223" s="116"/>
      <c r="ED223" s="116"/>
      <c r="EF223" s="332"/>
      <c r="EG223" s="116"/>
      <c r="EH223" s="116"/>
      <c r="EI223" s="116"/>
      <c r="EJ223" s="116"/>
      <c r="EK223" s="116"/>
      <c r="EM223" s="116"/>
      <c r="EN223" s="116"/>
      <c r="EO223" s="116"/>
      <c r="EQ223" s="116"/>
      <c r="ER223" s="116"/>
      <c r="ES223" s="116"/>
      <c r="ET223" s="116"/>
      <c r="EU223" s="116"/>
      <c r="EV223" s="116"/>
      <c r="EX223" s="116"/>
      <c r="EY223" s="116"/>
      <c r="EZ223" s="116"/>
      <c r="FA223" s="116"/>
      <c r="FB223" s="116"/>
    </row>
    <row r="224" spans="5:158" ht="13">
      <c r="E224" s="153"/>
      <c r="T224" s="153"/>
      <c r="BD224" s="31"/>
      <c r="BE224" s="31"/>
      <c r="BF224" s="31"/>
      <c r="BG224" s="31"/>
      <c r="BH224" s="31"/>
      <c r="BI224" s="116"/>
      <c r="BL224" s="196"/>
      <c r="BM224" s="239"/>
      <c r="BN224" s="330"/>
      <c r="BP224" s="330"/>
      <c r="BS224" s="116"/>
      <c r="BU224" s="331"/>
      <c r="BW224" s="116"/>
      <c r="BX224" s="116"/>
      <c r="BZ224" s="330"/>
      <c r="CB224" s="330"/>
      <c r="CC224" s="116"/>
      <c r="CG224" s="242"/>
      <c r="CH224" s="116"/>
      <c r="CI224" s="116"/>
      <c r="CJ224" s="116"/>
      <c r="CL224" s="116"/>
      <c r="CN224" s="239"/>
      <c r="CO224" s="153"/>
      <c r="DM224" s="116"/>
      <c r="DN224" s="116"/>
      <c r="DO224" s="116"/>
      <c r="DP224" s="116"/>
      <c r="DW224" s="116"/>
      <c r="DX224" s="219"/>
      <c r="DY224" s="219"/>
      <c r="DZ224" s="116"/>
      <c r="EA224" s="116"/>
      <c r="EB224" s="116"/>
      <c r="EC224" s="116"/>
      <c r="ED224" s="116"/>
      <c r="EF224" s="332"/>
      <c r="EG224" s="116"/>
      <c r="EH224" s="116"/>
      <c r="EI224" s="116"/>
      <c r="EJ224" s="116"/>
      <c r="EK224" s="116"/>
      <c r="EM224" s="116"/>
      <c r="EN224" s="116"/>
      <c r="EO224" s="116"/>
      <c r="EQ224" s="116"/>
      <c r="ER224" s="116"/>
      <c r="ES224" s="116"/>
      <c r="ET224" s="116"/>
      <c r="EU224" s="116"/>
      <c r="EV224" s="116"/>
      <c r="EX224" s="116"/>
      <c r="EY224" s="116"/>
      <c r="EZ224" s="116"/>
      <c r="FA224" s="116"/>
      <c r="FB224" s="116"/>
    </row>
    <row r="225" spans="5:158" ht="13">
      <c r="E225" s="153"/>
      <c r="T225" s="153"/>
      <c r="BD225" s="31"/>
      <c r="BE225" s="31"/>
      <c r="BF225" s="31"/>
      <c r="BG225" s="31"/>
      <c r="BH225" s="31"/>
      <c r="BI225" s="116"/>
      <c r="BL225" s="196"/>
      <c r="BM225" s="239"/>
      <c r="BN225" s="330"/>
      <c r="BP225" s="330"/>
      <c r="BS225" s="116"/>
      <c r="BU225" s="331"/>
      <c r="BW225" s="116"/>
      <c r="BX225" s="116"/>
      <c r="BZ225" s="330"/>
      <c r="CB225" s="330"/>
      <c r="CC225" s="116"/>
      <c r="CG225" s="242"/>
      <c r="CH225" s="116"/>
      <c r="CI225" s="116"/>
      <c r="CJ225" s="116"/>
      <c r="CL225" s="116"/>
      <c r="CN225" s="239"/>
      <c r="CO225" s="153"/>
      <c r="DM225" s="116"/>
      <c r="DN225" s="116"/>
      <c r="DO225" s="116"/>
      <c r="DP225" s="116"/>
      <c r="DW225" s="116"/>
      <c r="DX225" s="219"/>
      <c r="DY225" s="219"/>
      <c r="DZ225" s="116"/>
      <c r="EA225" s="116"/>
      <c r="EB225" s="116"/>
      <c r="EC225" s="116"/>
      <c r="ED225" s="116"/>
      <c r="EF225" s="332"/>
      <c r="EG225" s="116"/>
      <c r="EH225" s="116"/>
      <c r="EI225" s="116"/>
      <c r="EJ225" s="116"/>
      <c r="EK225" s="116"/>
      <c r="EM225" s="116"/>
      <c r="EN225" s="116"/>
      <c r="EO225" s="116"/>
      <c r="EQ225" s="116"/>
      <c r="ER225" s="116"/>
      <c r="ES225" s="116"/>
      <c r="ET225" s="116"/>
      <c r="EU225" s="116"/>
      <c r="EV225" s="116"/>
      <c r="EX225" s="116"/>
      <c r="EY225" s="116"/>
      <c r="EZ225" s="116"/>
      <c r="FA225" s="116"/>
      <c r="FB225" s="116"/>
    </row>
    <row r="226" spans="5:158" ht="13">
      <c r="E226" s="153"/>
      <c r="T226" s="153"/>
      <c r="BD226" s="31"/>
      <c r="BE226" s="31"/>
      <c r="BF226" s="31"/>
      <c r="BG226" s="31"/>
      <c r="BH226" s="31"/>
      <c r="BI226" s="116"/>
      <c r="BL226" s="196"/>
      <c r="BM226" s="239"/>
      <c r="BN226" s="330"/>
      <c r="BP226" s="330"/>
      <c r="BS226" s="116"/>
      <c r="BU226" s="331"/>
      <c r="BW226" s="116"/>
      <c r="BX226" s="116"/>
      <c r="BZ226" s="330"/>
      <c r="CB226" s="330"/>
      <c r="CC226" s="116"/>
      <c r="CG226" s="242"/>
      <c r="CH226" s="116"/>
      <c r="CI226" s="116"/>
      <c r="CJ226" s="116"/>
      <c r="CL226" s="116"/>
      <c r="CN226" s="239"/>
      <c r="CO226" s="153"/>
      <c r="DM226" s="116"/>
      <c r="DN226" s="116"/>
      <c r="DO226" s="116"/>
      <c r="DP226" s="116"/>
      <c r="DW226" s="116"/>
      <c r="DX226" s="219"/>
      <c r="DY226" s="219"/>
      <c r="DZ226" s="116"/>
      <c r="EA226" s="116"/>
      <c r="EB226" s="116"/>
      <c r="EC226" s="116"/>
      <c r="ED226" s="116"/>
      <c r="EF226" s="332"/>
      <c r="EG226" s="116"/>
      <c r="EH226" s="116"/>
      <c r="EI226" s="116"/>
      <c r="EJ226" s="116"/>
      <c r="EK226" s="116"/>
      <c r="EM226" s="116"/>
      <c r="EN226" s="116"/>
      <c r="EO226" s="116"/>
      <c r="EQ226" s="116"/>
      <c r="ER226" s="116"/>
      <c r="ES226" s="116"/>
      <c r="ET226" s="116"/>
      <c r="EU226" s="116"/>
      <c r="EV226" s="116"/>
      <c r="EX226" s="116"/>
      <c r="EY226" s="116"/>
      <c r="EZ226" s="116"/>
      <c r="FA226" s="116"/>
      <c r="FB226" s="116"/>
    </row>
    <row r="227" spans="5:158" ht="13">
      <c r="E227" s="153"/>
      <c r="T227" s="153"/>
      <c r="BD227" s="31"/>
      <c r="BE227" s="31"/>
      <c r="BF227" s="31"/>
      <c r="BG227" s="31"/>
      <c r="BH227" s="31"/>
      <c r="BI227" s="116"/>
      <c r="BL227" s="196"/>
      <c r="BM227" s="239"/>
      <c r="BN227" s="330"/>
      <c r="BP227" s="330"/>
      <c r="BS227" s="116"/>
      <c r="BU227" s="331"/>
      <c r="BW227" s="116"/>
      <c r="BX227" s="116"/>
      <c r="BZ227" s="330"/>
      <c r="CB227" s="330"/>
      <c r="CC227" s="116"/>
      <c r="CG227" s="242"/>
      <c r="CH227" s="116"/>
      <c r="CI227" s="116"/>
      <c r="CJ227" s="116"/>
      <c r="CL227" s="116"/>
      <c r="CN227" s="239"/>
      <c r="CO227" s="153"/>
      <c r="DM227" s="116"/>
      <c r="DN227" s="116"/>
      <c r="DO227" s="116"/>
      <c r="DP227" s="116"/>
      <c r="DW227" s="116"/>
      <c r="DX227" s="219"/>
      <c r="DY227" s="219"/>
      <c r="DZ227" s="116"/>
      <c r="EA227" s="116"/>
      <c r="EB227" s="116"/>
      <c r="EC227" s="116"/>
      <c r="ED227" s="116"/>
      <c r="EF227" s="332"/>
      <c r="EG227" s="116"/>
      <c r="EH227" s="116"/>
      <c r="EI227" s="116"/>
      <c r="EJ227" s="116"/>
      <c r="EK227" s="116"/>
      <c r="EM227" s="116"/>
      <c r="EN227" s="116"/>
      <c r="EO227" s="116"/>
      <c r="EQ227" s="116"/>
      <c r="ER227" s="116"/>
      <c r="ES227" s="116"/>
      <c r="ET227" s="116"/>
      <c r="EU227" s="116"/>
      <c r="EV227" s="116"/>
      <c r="EX227" s="116"/>
      <c r="EY227" s="116"/>
      <c r="EZ227" s="116"/>
      <c r="FA227" s="116"/>
      <c r="FB227" s="116"/>
    </row>
    <row r="228" spans="5:158" ht="13">
      <c r="E228" s="153"/>
      <c r="T228" s="153"/>
      <c r="BD228" s="31"/>
      <c r="BE228" s="31"/>
      <c r="BF228" s="31"/>
      <c r="BG228" s="31"/>
      <c r="BH228" s="31"/>
      <c r="BI228" s="116"/>
      <c r="BL228" s="196"/>
      <c r="BM228" s="239"/>
      <c r="BN228" s="330"/>
      <c r="BP228" s="330"/>
      <c r="BS228" s="116"/>
      <c r="BU228" s="331"/>
      <c r="BW228" s="116"/>
      <c r="BX228" s="116"/>
      <c r="BZ228" s="330"/>
      <c r="CB228" s="330"/>
      <c r="CC228" s="116"/>
      <c r="CG228" s="242"/>
      <c r="CH228" s="116"/>
      <c r="CI228" s="116"/>
      <c r="CJ228" s="116"/>
      <c r="CL228" s="116"/>
      <c r="CN228" s="239"/>
      <c r="CO228" s="153"/>
      <c r="DM228" s="116"/>
      <c r="DN228" s="116"/>
      <c r="DO228" s="116"/>
      <c r="DP228" s="116"/>
      <c r="DW228" s="116"/>
      <c r="DX228" s="219"/>
      <c r="DY228" s="219"/>
      <c r="DZ228" s="116"/>
      <c r="EA228" s="116"/>
      <c r="EB228" s="116"/>
      <c r="EC228" s="116"/>
      <c r="ED228" s="116"/>
      <c r="EF228" s="332"/>
      <c r="EG228" s="116"/>
      <c r="EH228" s="116"/>
      <c r="EI228" s="116"/>
      <c r="EJ228" s="116"/>
      <c r="EK228" s="116"/>
      <c r="EM228" s="116"/>
      <c r="EN228" s="116"/>
      <c r="EO228" s="116"/>
      <c r="EQ228" s="116"/>
      <c r="ER228" s="116"/>
      <c r="ES228" s="116"/>
      <c r="ET228" s="116"/>
      <c r="EU228" s="116"/>
      <c r="EV228" s="116"/>
      <c r="EX228" s="116"/>
      <c r="EY228" s="116"/>
      <c r="EZ228" s="116"/>
      <c r="FA228" s="116"/>
      <c r="FB228" s="116"/>
    </row>
    <row r="229" spans="5:158" ht="13">
      <c r="E229" s="153"/>
      <c r="T229" s="153"/>
      <c r="BD229" s="31"/>
      <c r="BE229" s="31"/>
      <c r="BF229" s="31"/>
      <c r="BG229" s="31"/>
      <c r="BH229" s="31"/>
      <c r="BI229" s="116"/>
      <c r="BL229" s="196"/>
      <c r="BM229" s="239"/>
      <c r="BN229" s="330"/>
      <c r="BP229" s="330"/>
      <c r="BS229" s="116"/>
      <c r="BU229" s="331"/>
      <c r="BW229" s="116"/>
      <c r="BX229" s="116"/>
      <c r="BZ229" s="330"/>
      <c r="CB229" s="330"/>
      <c r="CC229" s="116"/>
      <c r="CG229" s="242"/>
      <c r="CH229" s="116"/>
      <c r="CI229" s="116"/>
      <c r="CJ229" s="116"/>
      <c r="CL229" s="116"/>
      <c r="CN229" s="239"/>
      <c r="CO229" s="153"/>
      <c r="DM229" s="116"/>
      <c r="DN229" s="116"/>
      <c r="DO229" s="116"/>
      <c r="DP229" s="116"/>
      <c r="DW229" s="116"/>
      <c r="DX229" s="219"/>
      <c r="DY229" s="219"/>
      <c r="DZ229" s="116"/>
      <c r="EA229" s="116"/>
      <c r="EB229" s="116"/>
      <c r="EC229" s="116"/>
      <c r="ED229" s="116"/>
      <c r="EF229" s="332"/>
      <c r="EG229" s="116"/>
      <c r="EH229" s="116"/>
      <c r="EI229" s="116"/>
      <c r="EJ229" s="116"/>
      <c r="EK229" s="116"/>
      <c r="EM229" s="116"/>
      <c r="EN229" s="116"/>
      <c r="EO229" s="116"/>
      <c r="EQ229" s="116"/>
      <c r="ER229" s="116"/>
      <c r="ES229" s="116"/>
      <c r="ET229" s="116"/>
      <c r="EU229" s="116"/>
      <c r="EV229" s="116"/>
      <c r="EX229" s="116"/>
      <c r="EY229" s="116"/>
      <c r="EZ229" s="116"/>
      <c r="FA229" s="116"/>
      <c r="FB229" s="116"/>
    </row>
    <row r="230" spans="5:158" ht="13">
      <c r="E230" s="153"/>
      <c r="T230" s="153"/>
      <c r="BD230" s="31"/>
      <c r="BE230" s="31"/>
      <c r="BF230" s="31"/>
      <c r="BG230" s="31"/>
      <c r="BH230" s="31"/>
      <c r="BI230" s="116"/>
      <c r="BL230" s="196"/>
      <c r="BM230" s="239"/>
      <c r="BN230" s="330"/>
      <c r="BP230" s="330"/>
      <c r="BS230" s="116"/>
      <c r="BU230" s="331"/>
      <c r="BW230" s="116"/>
      <c r="BX230" s="116"/>
      <c r="BZ230" s="330"/>
      <c r="CB230" s="330"/>
      <c r="CC230" s="116"/>
      <c r="CG230" s="242"/>
      <c r="CH230" s="116"/>
      <c r="CI230" s="116"/>
      <c r="CJ230" s="116"/>
      <c r="CL230" s="116"/>
      <c r="CN230" s="239"/>
      <c r="CO230" s="153"/>
      <c r="DM230" s="116"/>
      <c r="DN230" s="116"/>
      <c r="DO230" s="116"/>
      <c r="DP230" s="116"/>
      <c r="DW230" s="116"/>
      <c r="DX230" s="219"/>
      <c r="DY230" s="219"/>
      <c r="DZ230" s="116"/>
      <c r="EA230" s="116"/>
      <c r="EB230" s="116"/>
      <c r="EC230" s="116"/>
      <c r="ED230" s="116"/>
      <c r="EF230" s="332"/>
      <c r="EG230" s="116"/>
      <c r="EH230" s="116"/>
      <c r="EI230" s="116"/>
      <c r="EJ230" s="116"/>
      <c r="EK230" s="116"/>
      <c r="EM230" s="116"/>
      <c r="EN230" s="116"/>
      <c r="EO230" s="116"/>
      <c r="EQ230" s="116"/>
      <c r="ER230" s="116"/>
      <c r="ES230" s="116"/>
      <c r="ET230" s="116"/>
      <c r="EU230" s="116"/>
      <c r="EV230" s="116"/>
      <c r="EX230" s="116"/>
      <c r="EY230" s="116"/>
      <c r="EZ230" s="116"/>
      <c r="FA230" s="116"/>
      <c r="FB230" s="116"/>
    </row>
    <row r="231" spans="5:158" ht="13">
      <c r="E231" s="153"/>
      <c r="T231" s="153"/>
      <c r="BD231" s="31"/>
      <c r="BE231" s="31"/>
      <c r="BF231" s="31"/>
      <c r="BG231" s="31"/>
      <c r="BH231" s="31"/>
      <c r="BI231" s="116"/>
      <c r="BL231" s="196"/>
      <c r="BM231" s="239"/>
      <c r="BN231" s="330"/>
      <c r="BP231" s="330"/>
      <c r="BS231" s="116"/>
      <c r="BU231" s="331"/>
      <c r="BW231" s="116"/>
      <c r="BX231" s="116"/>
      <c r="BZ231" s="330"/>
      <c r="CB231" s="330"/>
      <c r="CC231" s="116"/>
      <c r="CG231" s="242"/>
      <c r="CH231" s="116"/>
      <c r="CI231" s="116"/>
      <c r="CJ231" s="116"/>
      <c r="CL231" s="116"/>
      <c r="CN231" s="239"/>
      <c r="CO231" s="153"/>
      <c r="DM231" s="116"/>
      <c r="DN231" s="116"/>
      <c r="DO231" s="116"/>
      <c r="DP231" s="116"/>
      <c r="DW231" s="116"/>
      <c r="DX231" s="219"/>
      <c r="DY231" s="219"/>
      <c r="DZ231" s="116"/>
      <c r="EA231" s="116"/>
      <c r="EB231" s="116"/>
      <c r="EC231" s="116"/>
      <c r="ED231" s="116"/>
      <c r="EF231" s="332"/>
      <c r="EG231" s="116"/>
      <c r="EH231" s="116"/>
      <c r="EI231" s="116"/>
      <c r="EJ231" s="116"/>
      <c r="EK231" s="116"/>
      <c r="EM231" s="116"/>
      <c r="EN231" s="116"/>
      <c r="EO231" s="116"/>
      <c r="EQ231" s="116"/>
      <c r="ER231" s="116"/>
      <c r="ES231" s="116"/>
      <c r="ET231" s="116"/>
      <c r="EU231" s="116"/>
      <c r="EV231" s="116"/>
      <c r="EX231" s="116"/>
      <c r="EY231" s="116"/>
      <c r="EZ231" s="116"/>
      <c r="FA231" s="116"/>
      <c r="FB231" s="116"/>
    </row>
    <row r="232" spans="5:158" ht="13">
      <c r="E232" s="153"/>
      <c r="T232" s="153"/>
      <c r="BD232" s="31"/>
      <c r="BE232" s="31"/>
      <c r="BF232" s="31"/>
      <c r="BG232" s="31"/>
      <c r="BH232" s="31"/>
      <c r="BI232" s="116"/>
      <c r="BL232" s="196"/>
      <c r="BM232" s="239"/>
      <c r="BN232" s="330"/>
      <c r="BP232" s="330"/>
      <c r="BS232" s="116"/>
      <c r="BU232" s="331"/>
      <c r="BW232" s="116"/>
      <c r="BX232" s="116"/>
      <c r="BZ232" s="330"/>
      <c r="CB232" s="330"/>
      <c r="CC232" s="116"/>
      <c r="CG232" s="242"/>
      <c r="CH232" s="116"/>
      <c r="CI232" s="116"/>
      <c r="CJ232" s="116"/>
      <c r="CL232" s="116"/>
      <c r="CN232" s="239"/>
      <c r="CO232" s="153"/>
      <c r="DM232" s="116"/>
      <c r="DN232" s="116"/>
      <c r="DO232" s="116"/>
      <c r="DP232" s="116"/>
      <c r="DW232" s="116"/>
      <c r="DX232" s="219"/>
      <c r="DY232" s="219"/>
      <c r="DZ232" s="116"/>
      <c r="EA232" s="116"/>
      <c r="EB232" s="116"/>
      <c r="EC232" s="116"/>
      <c r="ED232" s="116"/>
      <c r="EF232" s="332"/>
      <c r="EG232" s="116"/>
      <c r="EH232" s="116"/>
      <c r="EI232" s="116"/>
      <c r="EJ232" s="116"/>
      <c r="EK232" s="116"/>
      <c r="EM232" s="116"/>
      <c r="EN232" s="116"/>
      <c r="EO232" s="116"/>
      <c r="EQ232" s="116"/>
      <c r="ER232" s="116"/>
      <c r="ES232" s="116"/>
      <c r="ET232" s="116"/>
      <c r="EU232" s="116"/>
      <c r="EV232" s="116"/>
      <c r="EX232" s="116"/>
      <c r="EY232" s="116"/>
      <c r="EZ232" s="116"/>
      <c r="FA232" s="116"/>
      <c r="FB232" s="116"/>
    </row>
    <row r="233" spans="5:158" ht="13">
      <c r="E233" s="153"/>
      <c r="T233" s="153"/>
      <c r="BD233" s="31"/>
      <c r="BE233" s="31"/>
      <c r="BF233" s="31"/>
      <c r="BG233" s="31"/>
      <c r="BH233" s="31"/>
      <c r="BI233" s="116"/>
      <c r="BL233" s="196"/>
      <c r="BM233" s="239"/>
      <c r="BN233" s="330"/>
      <c r="BP233" s="330"/>
      <c r="BS233" s="116"/>
      <c r="BU233" s="331"/>
      <c r="BW233" s="116"/>
      <c r="BX233" s="116"/>
      <c r="BZ233" s="330"/>
      <c r="CB233" s="330"/>
      <c r="CC233" s="116"/>
      <c r="CG233" s="242"/>
      <c r="CH233" s="116"/>
      <c r="CI233" s="116"/>
      <c r="CJ233" s="116"/>
      <c r="CL233" s="116"/>
      <c r="CN233" s="239"/>
      <c r="CO233" s="153"/>
      <c r="DM233" s="116"/>
      <c r="DN233" s="116"/>
      <c r="DO233" s="116"/>
      <c r="DP233" s="116"/>
      <c r="DW233" s="116"/>
      <c r="DX233" s="219"/>
      <c r="DY233" s="219"/>
      <c r="DZ233" s="116"/>
      <c r="EA233" s="116"/>
      <c r="EB233" s="116"/>
      <c r="EC233" s="116"/>
      <c r="ED233" s="116"/>
      <c r="EF233" s="332"/>
      <c r="EG233" s="116"/>
      <c r="EH233" s="116"/>
      <c r="EI233" s="116"/>
      <c r="EJ233" s="116"/>
      <c r="EK233" s="116"/>
      <c r="EM233" s="116"/>
      <c r="EN233" s="116"/>
      <c r="EO233" s="116"/>
      <c r="EQ233" s="116"/>
      <c r="ER233" s="116"/>
      <c r="ES233" s="116"/>
      <c r="ET233" s="116"/>
      <c r="EU233" s="116"/>
      <c r="EV233" s="116"/>
      <c r="EX233" s="116"/>
      <c r="EY233" s="116"/>
      <c r="EZ233" s="116"/>
      <c r="FA233" s="116"/>
      <c r="FB233" s="116"/>
    </row>
    <row r="234" spans="5:158" ht="13">
      <c r="E234" s="153"/>
      <c r="T234" s="153"/>
      <c r="BD234" s="31"/>
      <c r="BE234" s="31"/>
      <c r="BF234" s="31"/>
      <c r="BG234" s="31"/>
      <c r="BH234" s="31"/>
      <c r="BI234" s="116"/>
      <c r="BL234" s="196"/>
      <c r="BM234" s="239"/>
      <c r="BN234" s="330"/>
      <c r="BP234" s="330"/>
      <c r="BS234" s="116"/>
      <c r="BU234" s="331"/>
      <c r="BW234" s="116"/>
      <c r="BX234" s="116"/>
      <c r="BZ234" s="330"/>
      <c r="CB234" s="330"/>
      <c r="CC234" s="116"/>
      <c r="CG234" s="242"/>
      <c r="CH234" s="116"/>
      <c r="CI234" s="116"/>
      <c r="CJ234" s="116"/>
      <c r="CL234" s="116"/>
      <c r="CN234" s="239"/>
      <c r="CO234" s="153"/>
      <c r="DM234" s="116"/>
      <c r="DN234" s="116"/>
      <c r="DO234" s="116"/>
      <c r="DP234" s="116"/>
      <c r="DW234" s="116"/>
      <c r="DX234" s="219"/>
      <c r="DY234" s="219"/>
      <c r="DZ234" s="116"/>
      <c r="EA234" s="116"/>
      <c r="EB234" s="116"/>
      <c r="EC234" s="116"/>
      <c r="ED234" s="116"/>
      <c r="EF234" s="332"/>
      <c r="EG234" s="116"/>
      <c r="EH234" s="116"/>
      <c r="EI234" s="116"/>
      <c r="EJ234" s="116"/>
      <c r="EK234" s="116"/>
      <c r="EM234" s="116"/>
      <c r="EN234" s="116"/>
      <c r="EO234" s="116"/>
      <c r="EQ234" s="116"/>
      <c r="ER234" s="116"/>
      <c r="ES234" s="116"/>
      <c r="ET234" s="116"/>
      <c r="EU234" s="116"/>
      <c r="EV234" s="116"/>
      <c r="EX234" s="116"/>
      <c r="EY234" s="116"/>
      <c r="EZ234" s="116"/>
      <c r="FA234" s="116"/>
      <c r="FB234" s="116"/>
    </row>
    <row r="235" spans="5:158" ht="13">
      <c r="E235" s="153"/>
      <c r="T235" s="153"/>
      <c r="BD235" s="31"/>
      <c r="BE235" s="31"/>
      <c r="BF235" s="31"/>
      <c r="BG235" s="31"/>
      <c r="BH235" s="31"/>
      <c r="BI235" s="116"/>
      <c r="BL235" s="196"/>
      <c r="BM235" s="239"/>
      <c r="BN235" s="330"/>
      <c r="BP235" s="330"/>
      <c r="BS235" s="116"/>
      <c r="BU235" s="331"/>
      <c r="BW235" s="116"/>
      <c r="BX235" s="116"/>
      <c r="BZ235" s="330"/>
      <c r="CB235" s="330"/>
      <c r="CC235" s="116"/>
      <c r="CG235" s="242"/>
      <c r="CH235" s="116"/>
      <c r="CI235" s="116"/>
      <c r="CJ235" s="116"/>
      <c r="CL235" s="116"/>
      <c r="CN235" s="239"/>
      <c r="CO235" s="153"/>
      <c r="DM235" s="116"/>
      <c r="DN235" s="116"/>
      <c r="DO235" s="116"/>
      <c r="DP235" s="116"/>
      <c r="DW235" s="116"/>
      <c r="DX235" s="219"/>
      <c r="DY235" s="219"/>
      <c r="DZ235" s="116"/>
      <c r="EA235" s="116"/>
      <c r="EB235" s="116"/>
      <c r="EC235" s="116"/>
      <c r="ED235" s="116"/>
      <c r="EF235" s="332"/>
      <c r="EG235" s="116"/>
      <c r="EH235" s="116"/>
      <c r="EI235" s="116"/>
      <c r="EJ235" s="116"/>
      <c r="EK235" s="116"/>
      <c r="EM235" s="116"/>
      <c r="EN235" s="116"/>
      <c r="EO235" s="116"/>
      <c r="EQ235" s="116"/>
      <c r="ER235" s="116"/>
      <c r="ES235" s="116"/>
      <c r="ET235" s="116"/>
      <c r="EU235" s="116"/>
      <c r="EV235" s="116"/>
      <c r="EX235" s="116"/>
      <c r="EY235" s="116"/>
      <c r="EZ235" s="116"/>
      <c r="FA235" s="116"/>
      <c r="FB235" s="116"/>
    </row>
    <row r="236" spans="5:158" ht="13">
      <c r="E236" s="153"/>
      <c r="T236" s="153"/>
      <c r="BD236" s="31"/>
      <c r="BE236" s="31"/>
      <c r="BF236" s="31"/>
      <c r="BG236" s="31"/>
      <c r="BH236" s="31"/>
      <c r="BI236" s="116"/>
      <c r="BL236" s="196"/>
      <c r="BM236" s="239"/>
      <c r="BN236" s="330"/>
      <c r="BP236" s="330"/>
      <c r="BS236" s="116"/>
      <c r="BU236" s="331"/>
      <c r="BW236" s="116"/>
      <c r="BX236" s="116"/>
      <c r="BZ236" s="330"/>
      <c r="CB236" s="330"/>
      <c r="CC236" s="116"/>
      <c r="CG236" s="242"/>
      <c r="CH236" s="116"/>
      <c r="CI236" s="116"/>
      <c r="CJ236" s="116"/>
      <c r="CL236" s="116"/>
      <c r="CN236" s="239"/>
      <c r="CO236" s="153"/>
      <c r="DM236" s="116"/>
      <c r="DN236" s="116"/>
      <c r="DO236" s="116"/>
      <c r="DP236" s="116"/>
      <c r="DW236" s="116"/>
      <c r="DX236" s="219"/>
      <c r="DY236" s="219"/>
      <c r="DZ236" s="116"/>
      <c r="EA236" s="116"/>
      <c r="EB236" s="116"/>
      <c r="EC236" s="116"/>
      <c r="ED236" s="116"/>
      <c r="EF236" s="332"/>
      <c r="EG236" s="116"/>
      <c r="EH236" s="116"/>
      <c r="EI236" s="116"/>
      <c r="EJ236" s="116"/>
      <c r="EK236" s="116"/>
      <c r="EM236" s="116"/>
      <c r="EN236" s="116"/>
      <c r="EO236" s="116"/>
      <c r="EQ236" s="116"/>
      <c r="ER236" s="116"/>
      <c r="ES236" s="116"/>
      <c r="ET236" s="116"/>
      <c r="EU236" s="116"/>
      <c r="EV236" s="116"/>
      <c r="EX236" s="116"/>
      <c r="EY236" s="116"/>
      <c r="EZ236" s="116"/>
      <c r="FA236" s="116"/>
      <c r="FB236" s="116"/>
    </row>
    <row r="237" spans="5:158" ht="13">
      <c r="E237" s="153"/>
      <c r="T237" s="153"/>
      <c r="BD237" s="31"/>
      <c r="BE237" s="31"/>
      <c r="BF237" s="31"/>
      <c r="BG237" s="31"/>
      <c r="BH237" s="31"/>
      <c r="BI237" s="116"/>
      <c r="BL237" s="196"/>
      <c r="BM237" s="239"/>
      <c r="BN237" s="330"/>
      <c r="BP237" s="330"/>
      <c r="BS237" s="116"/>
      <c r="BU237" s="331"/>
      <c r="BW237" s="116"/>
      <c r="BX237" s="116"/>
      <c r="BZ237" s="330"/>
      <c r="CB237" s="330"/>
      <c r="CC237" s="116"/>
      <c r="CG237" s="242"/>
      <c r="CH237" s="116"/>
      <c r="CI237" s="116"/>
      <c r="CJ237" s="116"/>
      <c r="CL237" s="116"/>
      <c r="CN237" s="239"/>
      <c r="CO237" s="153"/>
      <c r="DM237" s="116"/>
      <c r="DN237" s="116"/>
      <c r="DO237" s="116"/>
      <c r="DP237" s="116"/>
      <c r="DW237" s="116"/>
      <c r="DX237" s="219"/>
      <c r="DY237" s="219"/>
      <c r="DZ237" s="116"/>
      <c r="EA237" s="116"/>
      <c r="EB237" s="116"/>
      <c r="EC237" s="116"/>
      <c r="ED237" s="116"/>
      <c r="EF237" s="332"/>
      <c r="EG237" s="116"/>
      <c r="EH237" s="116"/>
      <c r="EI237" s="116"/>
      <c r="EJ237" s="116"/>
      <c r="EK237" s="116"/>
      <c r="EM237" s="116"/>
      <c r="EN237" s="116"/>
      <c r="EO237" s="116"/>
      <c r="EQ237" s="116"/>
      <c r="ER237" s="116"/>
      <c r="ES237" s="116"/>
      <c r="ET237" s="116"/>
      <c r="EU237" s="116"/>
      <c r="EV237" s="116"/>
      <c r="EX237" s="116"/>
      <c r="EY237" s="116"/>
      <c r="EZ237" s="116"/>
      <c r="FA237" s="116"/>
      <c r="FB237" s="116"/>
    </row>
    <row r="238" spans="5:158" ht="13">
      <c r="E238" s="153"/>
      <c r="T238" s="153"/>
      <c r="BD238" s="31"/>
      <c r="BE238" s="31"/>
      <c r="BF238" s="31"/>
      <c r="BG238" s="31"/>
      <c r="BH238" s="31"/>
      <c r="BI238" s="116"/>
      <c r="BL238" s="196"/>
      <c r="BM238" s="239"/>
      <c r="BN238" s="330"/>
      <c r="BP238" s="330"/>
      <c r="BS238" s="116"/>
      <c r="BU238" s="331"/>
      <c r="BW238" s="116"/>
      <c r="BX238" s="116"/>
      <c r="BZ238" s="330"/>
      <c r="CB238" s="330"/>
      <c r="CC238" s="116"/>
      <c r="CG238" s="242"/>
      <c r="CH238" s="116"/>
      <c r="CI238" s="116"/>
      <c r="CJ238" s="116"/>
      <c r="CL238" s="116"/>
      <c r="CN238" s="239"/>
      <c r="CO238" s="153"/>
      <c r="DM238" s="116"/>
      <c r="DN238" s="116"/>
      <c r="DO238" s="116"/>
      <c r="DP238" s="116"/>
      <c r="DW238" s="116"/>
      <c r="DX238" s="219"/>
      <c r="DY238" s="219"/>
      <c r="DZ238" s="116"/>
      <c r="EA238" s="116"/>
      <c r="EB238" s="116"/>
      <c r="EC238" s="116"/>
      <c r="ED238" s="116"/>
      <c r="EF238" s="332"/>
      <c r="EG238" s="116"/>
      <c r="EH238" s="116"/>
      <c r="EI238" s="116"/>
      <c r="EJ238" s="116"/>
      <c r="EK238" s="116"/>
      <c r="EM238" s="116"/>
      <c r="EN238" s="116"/>
      <c r="EO238" s="116"/>
      <c r="EQ238" s="116"/>
      <c r="ER238" s="116"/>
      <c r="ES238" s="116"/>
      <c r="ET238" s="116"/>
      <c r="EU238" s="116"/>
      <c r="EV238" s="116"/>
      <c r="EX238" s="116"/>
      <c r="EY238" s="116"/>
      <c r="EZ238" s="116"/>
      <c r="FA238" s="116"/>
      <c r="FB238" s="116"/>
    </row>
    <row r="239" spans="5:158" ht="13">
      <c r="E239" s="153"/>
      <c r="T239" s="153"/>
      <c r="BD239" s="31"/>
      <c r="BE239" s="31"/>
      <c r="BF239" s="31"/>
      <c r="BG239" s="31"/>
      <c r="BH239" s="31"/>
      <c r="BI239" s="116"/>
      <c r="BL239" s="196"/>
      <c r="BM239" s="239"/>
      <c r="BN239" s="330"/>
      <c r="BP239" s="330"/>
      <c r="BS239" s="116"/>
      <c r="BU239" s="331"/>
      <c r="BW239" s="116"/>
      <c r="BX239" s="116"/>
      <c r="BZ239" s="330"/>
      <c r="CB239" s="330"/>
      <c r="CC239" s="116"/>
      <c r="CG239" s="242"/>
      <c r="CH239" s="116"/>
      <c r="CI239" s="116"/>
      <c r="CJ239" s="116"/>
      <c r="CL239" s="116"/>
      <c r="CN239" s="239"/>
      <c r="CO239" s="153"/>
      <c r="DM239" s="116"/>
      <c r="DN239" s="116"/>
      <c r="DO239" s="116"/>
      <c r="DP239" s="116"/>
      <c r="DW239" s="116"/>
      <c r="DX239" s="219"/>
      <c r="DY239" s="219"/>
      <c r="DZ239" s="116"/>
      <c r="EA239" s="116"/>
      <c r="EB239" s="116"/>
      <c r="EC239" s="116"/>
      <c r="ED239" s="116"/>
      <c r="EF239" s="332"/>
      <c r="EG239" s="116"/>
      <c r="EH239" s="116"/>
      <c r="EI239" s="116"/>
      <c r="EJ239" s="116"/>
      <c r="EK239" s="116"/>
      <c r="EM239" s="116"/>
      <c r="EN239" s="116"/>
      <c r="EO239" s="116"/>
      <c r="EQ239" s="116"/>
      <c r="ER239" s="116"/>
      <c r="ES239" s="116"/>
      <c r="ET239" s="116"/>
      <c r="EU239" s="116"/>
      <c r="EV239" s="116"/>
      <c r="EX239" s="116"/>
      <c r="EY239" s="116"/>
      <c r="EZ239" s="116"/>
      <c r="FA239" s="116"/>
      <c r="FB239" s="116"/>
    </row>
    <row r="240" spans="5:158" ht="13">
      <c r="E240" s="153"/>
      <c r="T240" s="153"/>
      <c r="BD240" s="31"/>
      <c r="BE240" s="31"/>
      <c r="BF240" s="31"/>
      <c r="BG240" s="31"/>
      <c r="BH240" s="31"/>
      <c r="BI240" s="116"/>
      <c r="BL240" s="196"/>
      <c r="BM240" s="239"/>
      <c r="BN240" s="330"/>
      <c r="BP240" s="330"/>
      <c r="BS240" s="116"/>
      <c r="BU240" s="331"/>
      <c r="BW240" s="116"/>
      <c r="BX240" s="116"/>
      <c r="BZ240" s="330"/>
      <c r="CB240" s="330"/>
      <c r="CC240" s="116"/>
      <c r="CG240" s="242"/>
      <c r="CH240" s="116"/>
      <c r="CI240" s="116"/>
      <c r="CJ240" s="116"/>
      <c r="CL240" s="116"/>
      <c r="CN240" s="239"/>
      <c r="CO240" s="153"/>
      <c r="DM240" s="116"/>
      <c r="DN240" s="116"/>
      <c r="DO240" s="116"/>
      <c r="DP240" s="116"/>
      <c r="DW240" s="116"/>
      <c r="DX240" s="219"/>
      <c r="DY240" s="219"/>
      <c r="DZ240" s="116"/>
      <c r="EA240" s="116"/>
      <c r="EB240" s="116"/>
      <c r="EC240" s="116"/>
      <c r="ED240" s="116"/>
      <c r="EF240" s="332"/>
      <c r="EG240" s="116"/>
      <c r="EH240" s="116"/>
      <c r="EI240" s="116"/>
      <c r="EJ240" s="116"/>
      <c r="EK240" s="116"/>
      <c r="EM240" s="116"/>
      <c r="EN240" s="116"/>
      <c r="EO240" s="116"/>
      <c r="EQ240" s="116"/>
      <c r="ER240" s="116"/>
      <c r="ES240" s="116"/>
      <c r="ET240" s="116"/>
      <c r="EU240" s="116"/>
      <c r="EV240" s="116"/>
      <c r="EX240" s="116"/>
      <c r="EY240" s="116"/>
      <c r="EZ240" s="116"/>
      <c r="FA240" s="116"/>
      <c r="FB240" s="116"/>
    </row>
    <row r="241" spans="5:158" ht="13">
      <c r="E241" s="153"/>
      <c r="T241" s="153"/>
      <c r="BD241" s="31"/>
      <c r="BE241" s="31"/>
      <c r="BF241" s="31"/>
      <c r="BG241" s="31"/>
      <c r="BH241" s="31"/>
      <c r="BI241" s="116"/>
      <c r="BL241" s="196"/>
      <c r="BM241" s="239"/>
      <c r="BN241" s="330"/>
      <c r="BP241" s="330"/>
      <c r="BS241" s="116"/>
      <c r="BU241" s="331"/>
      <c r="BW241" s="116"/>
      <c r="BX241" s="116"/>
      <c r="BZ241" s="330"/>
      <c r="CB241" s="330"/>
      <c r="CC241" s="116"/>
      <c r="CG241" s="242"/>
      <c r="CH241" s="116"/>
      <c r="CI241" s="116"/>
      <c r="CJ241" s="116"/>
      <c r="CL241" s="116"/>
      <c r="CN241" s="239"/>
      <c r="CO241" s="153"/>
      <c r="DM241" s="116"/>
      <c r="DN241" s="116"/>
      <c r="DO241" s="116"/>
      <c r="DP241" s="116"/>
      <c r="DW241" s="116"/>
      <c r="DX241" s="219"/>
      <c r="DY241" s="219"/>
      <c r="DZ241" s="116"/>
      <c r="EA241" s="116"/>
      <c r="EB241" s="116"/>
      <c r="EC241" s="116"/>
      <c r="ED241" s="116"/>
      <c r="EF241" s="332"/>
      <c r="EG241" s="116"/>
      <c r="EH241" s="116"/>
      <c r="EI241" s="116"/>
      <c r="EJ241" s="116"/>
      <c r="EK241" s="116"/>
      <c r="EM241" s="116"/>
      <c r="EN241" s="116"/>
      <c r="EO241" s="116"/>
      <c r="EQ241" s="116"/>
      <c r="ER241" s="116"/>
      <c r="ES241" s="116"/>
      <c r="ET241" s="116"/>
      <c r="EU241" s="116"/>
      <c r="EV241" s="116"/>
      <c r="EX241" s="116"/>
      <c r="EY241" s="116"/>
      <c r="EZ241" s="116"/>
      <c r="FA241" s="116"/>
      <c r="FB241" s="116"/>
    </row>
    <row r="242" spans="5:158" ht="13">
      <c r="E242" s="153"/>
      <c r="T242" s="153"/>
      <c r="BD242" s="31"/>
      <c r="BE242" s="31"/>
      <c r="BF242" s="31"/>
      <c r="BG242" s="31"/>
      <c r="BH242" s="31"/>
      <c r="BI242" s="116"/>
      <c r="BL242" s="196"/>
      <c r="BM242" s="239"/>
      <c r="BN242" s="330"/>
      <c r="BP242" s="330"/>
      <c r="BS242" s="116"/>
      <c r="BU242" s="331"/>
      <c r="BW242" s="116"/>
      <c r="BX242" s="116"/>
      <c r="BZ242" s="330"/>
      <c r="CB242" s="330"/>
      <c r="CC242" s="116"/>
      <c r="CG242" s="242"/>
      <c r="CH242" s="116"/>
      <c r="CI242" s="116"/>
      <c r="CJ242" s="116"/>
      <c r="CL242" s="116"/>
      <c r="CN242" s="239"/>
      <c r="CO242" s="153"/>
      <c r="DM242" s="116"/>
      <c r="DN242" s="116"/>
      <c r="DO242" s="116"/>
      <c r="DP242" s="116"/>
      <c r="DW242" s="116"/>
      <c r="DX242" s="219"/>
      <c r="DY242" s="219"/>
      <c r="DZ242" s="116"/>
      <c r="EA242" s="116"/>
      <c r="EB242" s="116"/>
      <c r="EC242" s="116"/>
      <c r="ED242" s="116"/>
      <c r="EF242" s="332"/>
      <c r="EG242" s="116"/>
      <c r="EH242" s="116"/>
      <c r="EI242" s="116"/>
      <c r="EJ242" s="116"/>
      <c r="EK242" s="116"/>
      <c r="EM242" s="116"/>
      <c r="EN242" s="116"/>
      <c r="EO242" s="116"/>
      <c r="EQ242" s="116"/>
      <c r="ER242" s="116"/>
      <c r="ES242" s="116"/>
      <c r="ET242" s="116"/>
      <c r="EU242" s="116"/>
      <c r="EV242" s="116"/>
      <c r="EX242" s="116"/>
      <c r="EY242" s="116"/>
      <c r="EZ242" s="116"/>
      <c r="FA242" s="116"/>
      <c r="FB242" s="116"/>
    </row>
    <row r="243" spans="5:158" ht="13">
      <c r="E243" s="153"/>
      <c r="T243" s="153"/>
      <c r="BD243" s="31"/>
      <c r="BE243" s="31"/>
      <c r="BF243" s="31"/>
      <c r="BG243" s="31"/>
      <c r="BH243" s="31"/>
      <c r="BI243" s="116"/>
      <c r="BL243" s="196"/>
      <c r="BM243" s="239"/>
      <c r="BN243" s="330"/>
      <c r="BP243" s="330"/>
      <c r="BS243" s="116"/>
      <c r="BU243" s="331"/>
      <c r="BW243" s="116"/>
      <c r="BX243" s="116"/>
      <c r="BZ243" s="330"/>
      <c r="CB243" s="330"/>
      <c r="CC243" s="116"/>
      <c r="CG243" s="242"/>
      <c r="CH243" s="116"/>
      <c r="CI243" s="116"/>
      <c r="CJ243" s="116"/>
      <c r="CL243" s="116"/>
      <c r="CN243" s="239"/>
      <c r="CO243" s="153"/>
      <c r="DM243" s="116"/>
      <c r="DN243" s="116"/>
      <c r="DO243" s="116"/>
      <c r="DP243" s="116"/>
      <c r="DW243" s="116"/>
      <c r="DX243" s="219"/>
      <c r="DY243" s="219"/>
      <c r="DZ243" s="116"/>
      <c r="EA243" s="116"/>
      <c r="EB243" s="116"/>
      <c r="EC243" s="116"/>
      <c r="ED243" s="116"/>
      <c r="EF243" s="332"/>
      <c r="EG243" s="116"/>
      <c r="EH243" s="116"/>
      <c r="EI243" s="116"/>
      <c r="EJ243" s="116"/>
      <c r="EK243" s="116"/>
      <c r="EM243" s="116"/>
      <c r="EN243" s="116"/>
      <c r="EO243" s="116"/>
      <c r="EQ243" s="116"/>
      <c r="ER243" s="116"/>
      <c r="ES243" s="116"/>
      <c r="ET243" s="116"/>
      <c r="EU243" s="116"/>
      <c r="EV243" s="116"/>
      <c r="EX243" s="116"/>
      <c r="EY243" s="116"/>
      <c r="EZ243" s="116"/>
      <c r="FA243" s="116"/>
      <c r="FB243" s="116"/>
    </row>
    <row r="244" spans="5:158" ht="13">
      <c r="E244" s="153"/>
      <c r="T244" s="153"/>
      <c r="BD244" s="31"/>
      <c r="BE244" s="31"/>
      <c r="BF244" s="31"/>
      <c r="BG244" s="31"/>
      <c r="BH244" s="31"/>
      <c r="BI244" s="116"/>
      <c r="BL244" s="196"/>
      <c r="BM244" s="239"/>
      <c r="BN244" s="330"/>
      <c r="BP244" s="330"/>
      <c r="BS244" s="116"/>
      <c r="BU244" s="331"/>
      <c r="BW244" s="116"/>
      <c r="BX244" s="116"/>
      <c r="BZ244" s="330"/>
      <c r="CB244" s="330"/>
      <c r="CC244" s="116"/>
      <c r="CG244" s="242"/>
      <c r="CH244" s="116"/>
      <c r="CI244" s="116"/>
      <c r="CJ244" s="116"/>
      <c r="CL244" s="116"/>
      <c r="CN244" s="239"/>
      <c r="CO244" s="153"/>
      <c r="DM244" s="116"/>
      <c r="DN244" s="116"/>
      <c r="DO244" s="116"/>
      <c r="DP244" s="116"/>
      <c r="DW244" s="116"/>
      <c r="DX244" s="219"/>
      <c r="DY244" s="219"/>
      <c r="DZ244" s="116"/>
      <c r="EA244" s="116"/>
      <c r="EB244" s="116"/>
      <c r="EC244" s="116"/>
      <c r="ED244" s="116"/>
      <c r="EF244" s="332"/>
      <c r="EG244" s="116"/>
      <c r="EH244" s="116"/>
      <c r="EI244" s="116"/>
      <c r="EJ244" s="116"/>
      <c r="EK244" s="116"/>
      <c r="EM244" s="116"/>
      <c r="EN244" s="116"/>
      <c r="EO244" s="116"/>
      <c r="EQ244" s="116"/>
      <c r="ER244" s="116"/>
      <c r="ES244" s="116"/>
      <c r="ET244" s="116"/>
      <c r="EU244" s="116"/>
      <c r="EV244" s="116"/>
      <c r="EX244" s="116"/>
      <c r="EY244" s="116"/>
      <c r="EZ244" s="116"/>
      <c r="FA244" s="116"/>
      <c r="FB244" s="116"/>
    </row>
    <row r="245" spans="5:158" ht="13">
      <c r="E245" s="153"/>
      <c r="T245" s="153"/>
      <c r="BD245" s="31"/>
      <c r="BE245" s="31"/>
      <c r="BF245" s="31"/>
      <c r="BG245" s="31"/>
      <c r="BH245" s="31"/>
      <c r="BI245" s="116"/>
      <c r="BL245" s="196"/>
      <c r="BM245" s="239"/>
      <c r="BN245" s="330"/>
      <c r="BP245" s="330"/>
      <c r="BS245" s="116"/>
      <c r="BU245" s="331"/>
      <c r="BW245" s="116"/>
      <c r="BX245" s="116"/>
      <c r="BZ245" s="330"/>
      <c r="CB245" s="330"/>
      <c r="CC245" s="116"/>
      <c r="CG245" s="242"/>
      <c r="CH245" s="116"/>
      <c r="CI245" s="116"/>
      <c r="CJ245" s="116"/>
      <c r="CL245" s="116"/>
      <c r="CN245" s="239"/>
      <c r="CO245" s="153"/>
      <c r="DM245" s="116"/>
      <c r="DN245" s="116"/>
      <c r="DO245" s="116"/>
      <c r="DP245" s="116"/>
      <c r="DW245" s="116"/>
      <c r="DX245" s="219"/>
      <c r="DY245" s="219"/>
      <c r="DZ245" s="116"/>
      <c r="EA245" s="116"/>
      <c r="EB245" s="116"/>
      <c r="EC245" s="116"/>
      <c r="ED245" s="116"/>
      <c r="EF245" s="332"/>
      <c r="EG245" s="116"/>
      <c r="EH245" s="116"/>
      <c r="EI245" s="116"/>
      <c r="EJ245" s="116"/>
      <c r="EK245" s="116"/>
      <c r="EM245" s="116"/>
      <c r="EN245" s="116"/>
      <c r="EO245" s="116"/>
      <c r="EQ245" s="116"/>
      <c r="ER245" s="116"/>
      <c r="ES245" s="116"/>
      <c r="ET245" s="116"/>
      <c r="EU245" s="116"/>
      <c r="EV245" s="116"/>
      <c r="EX245" s="116"/>
      <c r="EY245" s="116"/>
      <c r="EZ245" s="116"/>
      <c r="FA245" s="116"/>
      <c r="FB245" s="116"/>
    </row>
    <row r="246" spans="5:158" ht="13">
      <c r="E246" s="153"/>
      <c r="T246" s="153"/>
      <c r="BD246" s="31"/>
      <c r="BE246" s="31"/>
      <c r="BF246" s="31"/>
      <c r="BG246" s="31"/>
      <c r="BH246" s="31"/>
      <c r="BI246" s="116"/>
      <c r="BL246" s="196"/>
      <c r="BM246" s="239"/>
      <c r="BN246" s="330"/>
      <c r="BP246" s="330"/>
      <c r="BS246" s="116"/>
      <c r="BU246" s="331"/>
      <c r="BW246" s="116"/>
      <c r="BX246" s="116"/>
      <c r="BZ246" s="330"/>
      <c r="CB246" s="330"/>
      <c r="CC246" s="116"/>
      <c r="CG246" s="242"/>
      <c r="CH246" s="116"/>
      <c r="CI246" s="116"/>
      <c r="CJ246" s="116"/>
      <c r="CL246" s="116"/>
      <c r="CN246" s="239"/>
      <c r="CO246" s="153"/>
      <c r="DM246" s="116"/>
      <c r="DN246" s="116"/>
      <c r="DO246" s="116"/>
      <c r="DP246" s="116"/>
      <c r="DW246" s="116"/>
      <c r="DX246" s="219"/>
      <c r="DY246" s="219"/>
      <c r="DZ246" s="116"/>
      <c r="EA246" s="116"/>
      <c r="EB246" s="116"/>
      <c r="EC246" s="116"/>
      <c r="ED246" s="116"/>
      <c r="EF246" s="332"/>
      <c r="EG246" s="116"/>
      <c r="EH246" s="116"/>
      <c r="EI246" s="116"/>
      <c r="EJ246" s="116"/>
      <c r="EK246" s="116"/>
      <c r="EM246" s="116"/>
      <c r="EN246" s="116"/>
      <c r="EO246" s="116"/>
      <c r="EQ246" s="116"/>
      <c r="ER246" s="116"/>
      <c r="ES246" s="116"/>
      <c r="ET246" s="116"/>
      <c r="EU246" s="116"/>
      <c r="EV246" s="116"/>
      <c r="EX246" s="116"/>
      <c r="EY246" s="116"/>
      <c r="EZ246" s="116"/>
      <c r="FA246" s="116"/>
      <c r="FB246" s="116"/>
    </row>
    <row r="247" spans="5:158" ht="13">
      <c r="E247" s="153"/>
      <c r="T247" s="153"/>
      <c r="BD247" s="31"/>
      <c r="BE247" s="31"/>
      <c r="BF247" s="31"/>
      <c r="BG247" s="31"/>
      <c r="BH247" s="31"/>
      <c r="BI247" s="116"/>
      <c r="BL247" s="196"/>
      <c r="BM247" s="239"/>
      <c r="BN247" s="330"/>
      <c r="BP247" s="330"/>
      <c r="BS247" s="116"/>
      <c r="BU247" s="331"/>
      <c r="BW247" s="116"/>
      <c r="BX247" s="116"/>
      <c r="BZ247" s="330"/>
      <c r="CB247" s="330"/>
      <c r="CC247" s="116"/>
      <c r="CG247" s="242"/>
      <c r="CH247" s="116"/>
      <c r="CI247" s="116"/>
      <c r="CJ247" s="116"/>
      <c r="CL247" s="116"/>
      <c r="CN247" s="239"/>
      <c r="CO247" s="153"/>
      <c r="DM247" s="116"/>
      <c r="DN247" s="116"/>
      <c r="DO247" s="116"/>
      <c r="DP247" s="116"/>
      <c r="DW247" s="116"/>
      <c r="DX247" s="219"/>
      <c r="DY247" s="219"/>
      <c r="DZ247" s="116"/>
      <c r="EA247" s="116"/>
      <c r="EB247" s="116"/>
      <c r="EC247" s="116"/>
      <c r="ED247" s="116"/>
      <c r="EF247" s="332"/>
      <c r="EG247" s="116"/>
      <c r="EH247" s="116"/>
      <c r="EI247" s="116"/>
      <c r="EJ247" s="116"/>
      <c r="EK247" s="116"/>
      <c r="EM247" s="116"/>
      <c r="EN247" s="116"/>
      <c r="EO247" s="116"/>
      <c r="EQ247" s="116"/>
      <c r="ER247" s="116"/>
      <c r="ES247" s="116"/>
      <c r="ET247" s="116"/>
      <c r="EU247" s="116"/>
      <c r="EV247" s="116"/>
      <c r="EX247" s="116"/>
      <c r="EY247" s="116"/>
      <c r="EZ247" s="116"/>
      <c r="FA247" s="116"/>
      <c r="FB247" s="116"/>
    </row>
    <row r="248" spans="5:158" ht="13">
      <c r="E248" s="153"/>
      <c r="T248" s="153"/>
      <c r="BD248" s="31"/>
      <c r="BE248" s="31"/>
      <c r="BF248" s="31"/>
      <c r="BG248" s="31"/>
      <c r="BH248" s="31"/>
      <c r="BI248" s="116"/>
      <c r="BL248" s="196"/>
      <c r="BM248" s="239"/>
      <c r="BN248" s="330"/>
      <c r="BP248" s="330"/>
      <c r="BS248" s="116"/>
      <c r="BU248" s="331"/>
      <c r="BW248" s="116"/>
      <c r="BX248" s="116"/>
      <c r="BZ248" s="330"/>
      <c r="CB248" s="330"/>
      <c r="CC248" s="116"/>
      <c r="CG248" s="242"/>
      <c r="CH248" s="116"/>
      <c r="CI248" s="116"/>
      <c r="CJ248" s="116"/>
      <c r="CL248" s="116"/>
      <c r="CN248" s="239"/>
      <c r="CO248" s="153"/>
      <c r="DM248" s="116"/>
      <c r="DN248" s="116"/>
      <c r="DO248" s="116"/>
      <c r="DP248" s="116"/>
      <c r="DW248" s="116"/>
      <c r="DX248" s="219"/>
      <c r="DY248" s="219"/>
      <c r="DZ248" s="116"/>
      <c r="EA248" s="116"/>
      <c r="EB248" s="116"/>
      <c r="EC248" s="116"/>
      <c r="ED248" s="116"/>
      <c r="EF248" s="332"/>
      <c r="EG248" s="116"/>
      <c r="EH248" s="116"/>
      <c r="EI248" s="116"/>
      <c r="EJ248" s="116"/>
      <c r="EK248" s="116"/>
      <c r="EM248" s="116"/>
      <c r="EN248" s="116"/>
      <c r="EO248" s="116"/>
      <c r="EQ248" s="116"/>
      <c r="ER248" s="116"/>
      <c r="ES248" s="116"/>
      <c r="ET248" s="116"/>
      <c r="EU248" s="116"/>
      <c r="EV248" s="116"/>
      <c r="EX248" s="116"/>
      <c r="EY248" s="116"/>
      <c r="EZ248" s="116"/>
      <c r="FA248" s="116"/>
      <c r="FB248" s="116"/>
    </row>
    <row r="249" spans="5:158" ht="13">
      <c r="E249" s="153"/>
      <c r="T249" s="153"/>
      <c r="BD249" s="31"/>
      <c r="BE249" s="31"/>
      <c r="BF249" s="31"/>
      <c r="BG249" s="31"/>
      <c r="BH249" s="31"/>
      <c r="BI249" s="116"/>
      <c r="BL249" s="196"/>
      <c r="BM249" s="239"/>
      <c r="BN249" s="330"/>
      <c r="BP249" s="330"/>
      <c r="BS249" s="116"/>
      <c r="BU249" s="331"/>
      <c r="BW249" s="116"/>
      <c r="BX249" s="116"/>
      <c r="BZ249" s="330"/>
      <c r="CB249" s="330"/>
      <c r="CC249" s="116"/>
      <c r="CG249" s="242"/>
      <c r="CH249" s="116"/>
      <c r="CI249" s="116"/>
      <c r="CJ249" s="116"/>
      <c r="CL249" s="116"/>
      <c r="CN249" s="239"/>
      <c r="CO249" s="153"/>
      <c r="DM249" s="116"/>
      <c r="DN249" s="116"/>
      <c r="DO249" s="116"/>
      <c r="DP249" s="116"/>
      <c r="DW249" s="116"/>
      <c r="DX249" s="219"/>
      <c r="DY249" s="219"/>
      <c r="DZ249" s="116"/>
      <c r="EA249" s="116"/>
      <c r="EB249" s="116"/>
      <c r="EC249" s="116"/>
      <c r="ED249" s="116"/>
      <c r="EF249" s="332"/>
      <c r="EG249" s="116"/>
      <c r="EH249" s="116"/>
      <c r="EI249" s="116"/>
      <c r="EJ249" s="116"/>
      <c r="EK249" s="116"/>
      <c r="EM249" s="116"/>
      <c r="EN249" s="116"/>
      <c r="EO249" s="116"/>
      <c r="EQ249" s="116"/>
      <c r="ER249" s="116"/>
      <c r="ES249" s="116"/>
      <c r="ET249" s="116"/>
      <c r="EU249" s="116"/>
      <c r="EV249" s="116"/>
      <c r="EX249" s="116"/>
      <c r="EY249" s="116"/>
      <c r="EZ249" s="116"/>
      <c r="FA249" s="116"/>
      <c r="FB249" s="116"/>
    </row>
    <row r="250" spans="5:158" ht="13">
      <c r="E250" s="153"/>
      <c r="T250" s="153"/>
      <c r="BD250" s="31"/>
      <c r="BE250" s="31"/>
      <c r="BF250" s="31"/>
      <c r="BG250" s="31"/>
      <c r="BH250" s="31"/>
      <c r="BI250" s="116"/>
      <c r="BL250" s="196"/>
      <c r="BM250" s="239"/>
      <c r="BN250" s="330"/>
      <c r="BP250" s="330"/>
      <c r="BS250" s="116"/>
      <c r="BU250" s="331"/>
      <c r="BW250" s="116"/>
      <c r="BX250" s="116"/>
      <c r="BZ250" s="330"/>
      <c r="CB250" s="330"/>
      <c r="CC250" s="116"/>
      <c r="CG250" s="242"/>
      <c r="CH250" s="116"/>
      <c r="CI250" s="116"/>
      <c r="CJ250" s="116"/>
      <c r="CL250" s="116"/>
      <c r="CN250" s="239"/>
      <c r="CO250" s="153"/>
      <c r="DM250" s="116"/>
      <c r="DN250" s="116"/>
      <c r="DO250" s="116"/>
      <c r="DP250" s="116"/>
      <c r="DW250" s="116"/>
      <c r="DX250" s="219"/>
      <c r="DY250" s="219"/>
      <c r="DZ250" s="116"/>
      <c r="EA250" s="116"/>
      <c r="EB250" s="116"/>
      <c r="EC250" s="116"/>
      <c r="ED250" s="116"/>
      <c r="EF250" s="332"/>
      <c r="EG250" s="116"/>
      <c r="EH250" s="116"/>
      <c r="EI250" s="116"/>
      <c r="EJ250" s="116"/>
      <c r="EK250" s="116"/>
      <c r="EM250" s="116"/>
      <c r="EN250" s="116"/>
      <c r="EO250" s="116"/>
      <c r="EQ250" s="116"/>
      <c r="ER250" s="116"/>
      <c r="ES250" s="116"/>
      <c r="ET250" s="116"/>
      <c r="EU250" s="116"/>
      <c r="EV250" s="116"/>
      <c r="EX250" s="116"/>
      <c r="EY250" s="116"/>
      <c r="EZ250" s="116"/>
      <c r="FA250" s="116"/>
      <c r="FB250" s="116"/>
    </row>
    <row r="251" spans="5:158" ht="13">
      <c r="E251" s="153"/>
      <c r="T251" s="153"/>
      <c r="BD251" s="31"/>
      <c r="BE251" s="31"/>
      <c r="BF251" s="31"/>
      <c r="BG251" s="31"/>
      <c r="BH251" s="31"/>
      <c r="BI251" s="116"/>
      <c r="BL251" s="196"/>
      <c r="BM251" s="239"/>
      <c r="BN251" s="330"/>
      <c r="BP251" s="330"/>
      <c r="BS251" s="116"/>
      <c r="BU251" s="331"/>
      <c r="BW251" s="116"/>
      <c r="BX251" s="116"/>
      <c r="BZ251" s="330"/>
      <c r="CB251" s="330"/>
      <c r="CC251" s="116"/>
      <c r="CG251" s="242"/>
      <c r="CH251" s="116"/>
      <c r="CI251" s="116"/>
      <c r="CJ251" s="116"/>
      <c r="CL251" s="116"/>
      <c r="CN251" s="239"/>
      <c r="CO251" s="153"/>
      <c r="DM251" s="116"/>
      <c r="DN251" s="116"/>
      <c r="DO251" s="116"/>
      <c r="DP251" s="116"/>
      <c r="DW251" s="116"/>
      <c r="DX251" s="219"/>
      <c r="DY251" s="219"/>
      <c r="DZ251" s="116"/>
      <c r="EA251" s="116"/>
      <c r="EB251" s="116"/>
      <c r="EC251" s="116"/>
      <c r="ED251" s="116"/>
      <c r="EF251" s="332"/>
      <c r="EG251" s="116"/>
      <c r="EH251" s="116"/>
      <c r="EI251" s="116"/>
      <c r="EJ251" s="116"/>
      <c r="EK251" s="116"/>
      <c r="EM251" s="116"/>
      <c r="EN251" s="116"/>
      <c r="EO251" s="116"/>
      <c r="EQ251" s="116"/>
      <c r="ER251" s="116"/>
      <c r="ES251" s="116"/>
      <c r="ET251" s="116"/>
      <c r="EU251" s="116"/>
      <c r="EV251" s="116"/>
      <c r="EX251" s="116"/>
      <c r="EY251" s="116"/>
      <c r="EZ251" s="116"/>
      <c r="FA251" s="116"/>
      <c r="FB251" s="116"/>
    </row>
    <row r="252" spans="5:158" ht="13">
      <c r="E252" s="153"/>
      <c r="T252" s="153"/>
      <c r="BD252" s="31"/>
      <c r="BE252" s="31"/>
      <c r="BF252" s="31"/>
      <c r="BG252" s="31"/>
      <c r="BH252" s="31"/>
      <c r="BI252" s="116"/>
      <c r="BL252" s="196"/>
      <c r="BM252" s="239"/>
      <c r="BN252" s="330"/>
      <c r="BP252" s="330"/>
      <c r="BS252" s="116"/>
      <c r="BU252" s="331"/>
      <c r="BW252" s="116"/>
      <c r="BX252" s="116"/>
      <c r="BZ252" s="330"/>
      <c r="CB252" s="330"/>
      <c r="CC252" s="116"/>
      <c r="CG252" s="242"/>
      <c r="CH252" s="116"/>
      <c r="CI252" s="116"/>
      <c r="CJ252" s="116"/>
      <c r="CL252" s="116"/>
      <c r="CN252" s="239"/>
      <c r="CO252" s="153"/>
      <c r="DM252" s="116"/>
      <c r="DN252" s="116"/>
      <c r="DO252" s="116"/>
      <c r="DP252" s="116"/>
      <c r="DW252" s="116"/>
      <c r="DX252" s="219"/>
      <c r="DY252" s="219"/>
      <c r="DZ252" s="116"/>
      <c r="EA252" s="116"/>
      <c r="EB252" s="116"/>
      <c r="EC252" s="116"/>
      <c r="ED252" s="116"/>
      <c r="EF252" s="332"/>
      <c r="EG252" s="116"/>
      <c r="EH252" s="116"/>
      <c r="EI252" s="116"/>
      <c r="EJ252" s="116"/>
      <c r="EK252" s="116"/>
      <c r="EM252" s="116"/>
      <c r="EN252" s="116"/>
      <c r="EO252" s="116"/>
      <c r="EQ252" s="116"/>
      <c r="ER252" s="116"/>
      <c r="ES252" s="116"/>
      <c r="ET252" s="116"/>
      <c r="EU252" s="116"/>
      <c r="EV252" s="116"/>
      <c r="EX252" s="116"/>
      <c r="EY252" s="116"/>
      <c r="EZ252" s="116"/>
      <c r="FA252" s="116"/>
      <c r="FB252" s="116"/>
    </row>
    <row r="253" spans="5:158" ht="13">
      <c r="E253" s="153"/>
      <c r="T253" s="153"/>
      <c r="BD253" s="31"/>
      <c r="BE253" s="31"/>
      <c r="BF253" s="31"/>
      <c r="BG253" s="31"/>
      <c r="BH253" s="31"/>
      <c r="BI253" s="116"/>
      <c r="BL253" s="196"/>
      <c r="BM253" s="239"/>
      <c r="BN253" s="330"/>
      <c r="BP253" s="330"/>
      <c r="BS253" s="116"/>
      <c r="BU253" s="331"/>
      <c r="BW253" s="116"/>
      <c r="BX253" s="116"/>
      <c r="BZ253" s="330"/>
      <c r="CB253" s="330"/>
      <c r="CC253" s="116"/>
      <c r="CG253" s="242"/>
      <c r="CH253" s="116"/>
      <c r="CI253" s="116"/>
      <c r="CJ253" s="116"/>
      <c r="CL253" s="116"/>
      <c r="CN253" s="239"/>
      <c r="CO253" s="153"/>
      <c r="DM253" s="116"/>
      <c r="DN253" s="116"/>
      <c r="DO253" s="116"/>
      <c r="DP253" s="116"/>
      <c r="DW253" s="116"/>
      <c r="DX253" s="219"/>
      <c r="DY253" s="219"/>
      <c r="DZ253" s="116"/>
      <c r="EA253" s="116"/>
      <c r="EB253" s="116"/>
      <c r="EC253" s="116"/>
      <c r="ED253" s="116"/>
      <c r="EF253" s="332"/>
      <c r="EG253" s="116"/>
      <c r="EH253" s="116"/>
      <c r="EI253" s="116"/>
      <c r="EJ253" s="116"/>
      <c r="EK253" s="116"/>
      <c r="EM253" s="116"/>
      <c r="EN253" s="116"/>
      <c r="EO253" s="116"/>
      <c r="EQ253" s="116"/>
      <c r="ER253" s="116"/>
      <c r="ES253" s="116"/>
      <c r="ET253" s="116"/>
      <c r="EU253" s="116"/>
      <c r="EV253" s="116"/>
      <c r="EX253" s="116"/>
      <c r="EY253" s="116"/>
      <c r="EZ253" s="116"/>
      <c r="FA253" s="116"/>
      <c r="FB253" s="116"/>
    </row>
    <row r="254" spans="5:158" ht="13">
      <c r="E254" s="153"/>
      <c r="T254" s="153"/>
      <c r="BD254" s="31"/>
      <c r="BE254" s="31"/>
      <c r="BF254" s="31"/>
      <c r="BG254" s="31"/>
      <c r="BH254" s="31"/>
      <c r="BI254" s="116"/>
      <c r="BL254" s="196"/>
      <c r="BM254" s="239"/>
      <c r="BN254" s="330"/>
      <c r="BP254" s="330"/>
      <c r="BS254" s="116"/>
      <c r="BU254" s="331"/>
      <c r="BW254" s="116"/>
      <c r="BX254" s="116"/>
      <c r="BZ254" s="330"/>
      <c r="CB254" s="330"/>
      <c r="CC254" s="116"/>
      <c r="CG254" s="242"/>
      <c r="CH254" s="116"/>
      <c r="CI254" s="116"/>
      <c r="CJ254" s="116"/>
      <c r="CL254" s="116"/>
      <c r="CN254" s="239"/>
      <c r="CO254" s="153"/>
      <c r="DM254" s="116"/>
      <c r="DN254" s="116"/>
      <c r="DO254" s="116"/>
      <c r="DP254" s="116"/>
      <c r="DW254" s="116"/>
      <c r="DX254" s="219"/>
      <c r="DY254" s="219"/>
      <c r="DZ254" s="116"/>
      <c r="EA254" s="116"/>
      <c r="EB254" s="116"/>
      <c r="EC254" s="116"/>
      <c r="ED254" s="116"/>
      <c r="EF254" s="332"/>
      <c r="EG254" s="116"/>
      <c r="EH254" s="116"/>
      <c r="EI254" s="116"/>
      <c r="EJ254" s="116"/>
      <c r="EK254" s="116"/>
      <c r="EM254" s="116"/>
      <c r="EN254" s="116"/>
      <c r="EO254" s="116"/>
      <c r="EQ254" s="116"/>
      <c r="ER254" s="116"/>
      <c r="ES254" s="116"/>
      <c r="ET254" s="116"/>
      <c r="EU254" s="116"/>
      <c r="EV254" s="116"/>
      <c r="EX254" s="116"/>
      <c r="EY254" s="116"/>
      <c r="EZ254" s="116"/>
      <c r="FA254" s="116"/>
      <c r="FB254" s="116"/>
    </row>
    <row r="255" spans="5:158" ht="13">
      <c r="E255" s="153"/>
      <c r="T255" s="153"/>
      <c r="BD255" s="31"/>
      <c r="BE255" s="31"/>
      <c r="BF255" s="31"/>
      <c r="BG255" s="31"/>
      <c r="BH255" s="31"/>
      <c r="BI255" s="116"/>
      <c r="BL255" s="196"/>
      <c r="BM255" s="239"/>
      <c r="BN255" s="330"/>
      <c r="BP255" s="330"/>
      <c r="BS255" s="116"/>
      <c r="BU255" s="331"/>
      <c r="BW255" s="116"/>
      <c r="BX255" s="116"/>
      <c r="BZ255" s="330"/>
      <c r="CB255" s="330"/>
      <c r="CC255" s="116"/>
      <c r="CG255" s="242"/>
      <c r="CH255" s="116"/>
      <c r="CI255" s="116"/>
      <c r="CJ255" s="116"/>
      <c r="CL255" s="116"/>
      <c r="CN255" s="239"/>
      <c r="CO255" s="153"/>
      <c r="DM255" s="116"/>
      <c r="DN255" s="116"/>
      <c r="DO255" s="116"/>
      <c r="DP255" s="116"/>
      <c r="DW255" s="116"/>
      <c r="DX255" s="219"/>
      <c r="DY255" s="219"/>
      <c r="DZ255" s="116"/>
      <c r="EA255" s="116"/>
      <c r="EB255" s="116"/>
      <c r="EC255" s="116"/>
      <c r="ED255" s="116"/>
      <c r="EF255" s="332"/>
      <c r="EG255" s="116"/>
      <c r="EH255" s="116"/>
      <c r="EI255" s="116"/>
      <c r="EJ255" s="116"/>
      <c r="EK255" s="116"/>
      <c r="EM255" s="116"/>
      <c r="EN255" s="116"/>
      <c r="EO255" s="116"/>
      <c r="EQ255" s="116"/>
      <c r="ER255" s="116"/>
      <c r="ES255" s="116"/>
      <c r="ET255" s="116"/>
      <c r="EU255" s="116"/>
      <c r="EV255" s="116"/>
      <c r="EX255" s="116"/>
      <c r="EY255" s="116"/>
      <c r="EZ255" s="116"/>
      <c r="FA255" s="116"/>
      <c r="FB255" s="116"/>
    </row>
    <row r="256" spans="5:158" ht="13">
      <c r="E256" s="153"/>
      <c r="T256" s="153"/>
      <c r="BD256" s="31"/>
      <c r="BE256" s="31"/>
      <c r="BF256" s="31"/>
      <c r="BG256" s="31"/>
      <c r="BH256" s="31"/>
      <c r="BI256" s="116"/>
      <c r="BL256" s="196"/>
      <c r="BM256" s="239"/>
      <c r="BN256" s="330"/>
      <c r="BP256" s="330"/>
      <c r="BS256" s="116"/>
      <c r="BU256" s="331"/>
      <c r="BW256" s="116"/>
      <c r="BX256" s="116"/>
      <c r="BZ256" s="330"/>
      <c r="CB256" s="330"/>
      <c r="CC256" s="116"/>
      <c r="CG256" s="242"/>
      <c r="CH256" s="116"/>
      <c r="CI256" s="116"/>
      <c r="CJ256" s="116"/>
      <c r="CL256" s="116"/>
      <c r="CN256" s="239"/>
      <c r="CO256" s="153"/>
      <c r="DM256" s="116"/>
      <c r="DN256" s="116"/>
      <c r="DO256" s="116"/>
      <c r="DP256" s="116"/>
      <c r="DW256" s="116"/>
      <c r="DX256" s="219"/>
      <c r="DY256" s="219"/>
      <c r="DZ256" s="116"/>
      <c r="EA256" s="116"/>
      <c r="EB256" s="116"/>
      <c r="EC256" s="116"/>
      <c r="ED256" s="116"/>
      <c r="EF256" s="332"/>
      <c r="EG256" s="116"/>
      <c r="EH256" s="116"/>
      <c r="EI256" s="116"/>
      <c r="EJ256" s="116"/>
      <c r="EK256" s="116"/>
      <c r="EM256" s="116"/>
      <c r="EN256" s="116"/>
      <c r="EO256" s="116"/>
      <c r="EQ256" s="116"/>
      <c r="ER256" s="116"/>
      <c r="ES256" s="116"/>
      <c r="ET256" s="116"/>
      <c r="EU256" s="116"/>
      <c r="EV256" s="116"/>
      <c r="EX256" s="116"/>
      <c r="EY256" s="116"/>
      <c r="EZ256" s="116"/>
      <c r="FA256" s="116"/>
      <c r="FB256" s="116"/>
    </row>
    <row r="257" spans="5:158" ht="13">
      <c r="E257" s="153"/>
      <c r="T257" s="153"/>
      <c r="BD257" s="31"/>
      <c r="BE257" s="31"/>
      <c r="BF257" s="31"/>
      <c r="BG257" s="31"/>
      <c r="BH257" s="31"/>
      <c r="BI257" s="116"/>
      <c r="BL257" s="196"/>
      <c r="BM257" s="239"/>
      <c r="BN257" s="330"/>
      <c r="BP257" s="330"/>
      <c r="BS257" s="116"/>
      <c r="BU257" s="331"/>
      <c r="BW257" s="116"/>
      <c r="BX257" s="116"/>
      <c r="BZ257" s="330"/>
      <c r="CB257" s="330"/>
      <c r="CC257" s="116"/>
      <c r="CG257" s="242"/>
      <c r="CH257" s="116"/>
      <c r="CI257" s="116"/>
      <c r="CJ257" s="116"/>
      <c r="CL257" s="116"/>
      <c r="CN257" s="239"/>
      <c r="CO257" s="153"/>
      <c r="DM257" s="116"/>
      <c r="DN257" s="116"/>
      <c r="DO257" s="116"/>
      <c r="DP257" s="116"/>
      <c r="DW257" s="116"/>
      <c r="DX257" s="219"/>
      <c r="DY257" s="219"/>
      <c r="DZ257" s="116"/>
      <c r="EA257" s="116"/>
      <c r="EB257" s="116"/>
      <c r="EC257" s="116"/>
      <c r="ED257" s="116"/>
      <c r="EF257" s="332"/>
      <c r="EG257" s="116"/>
      <c r="EH257" s="116"/>
      <c r="EI257" s="116"/>
      <c r="EJ257" s="116"/>
      <c r="EK257" s="116"/>
      <c r="EM257" s="116"/>
      <c r="EN257" s="116"/>
      <c r="EO257" s="116"/>
      <c r="EQ257" s="116"/>
      <c r="ER257" s="116"/>
      <c r="ES257" s="116"/>
      <c r="ET257" s="116"/>
      <c r="EU257" s="116"/>
      <c r="EV257" s="116"/>
      <c r="EX257" s="116"/>
      <c r="EY257" s="116"/>
      <c r="EZ257" s="116"/>
      <c r="FA257" s="116"/>
      <c r="FB257" s="116"/>
    </row>
    <row r="258" spans="5:158" ht="13">
      <c r="E258" s="153"/>
      <c r="T258" s="153"/>
      <c r="BD258" s="31"/>
      <c r="BE258" s="31"/>
      <c r="BF258" s="31"/>
      <c r="BG258" s="31"/>
      <c r="BH258" s="31"/>
      <c r="BI258" s="116"/>
      <c r="BL258" s="196"/>
      <c r="BM258" s="239"/>
      <c r="BN258" s="330"/>
      <c r="BP258" s="330"/>
      <c r="BS258" s="116"/>
      <c r="BU258" s="331"/>
      <c r="BW258" s="116"/>
      <c r="BX258" s="116"/>
      <c r="BZ258" s="330"/>
      <c r="CB258" s="330"/>
      <c r="CC258" s="116"/>
      <c r="CG258" s="242"/>
      <c r="CH258" s="116"/>
      <c r="CI258" s="116"/>
      <c r="CJ258" s="116"/>
      <c r="CL258" s="116"/>
      <c r="CN258" s="239"/>
      <c r="CO258" s="153"/>
      <c r="DM258" s="116"/>
      <c r="DN258" s="116"/>
      <c r="DO258" s="116"/>
      <c r="DP258" s="116"/>
      <c r="DW258" s="116"/>
      <c r="DX258" s="219"/>
      <c r="DY258" s="219"/>
      <c r="DZ258" s="116"/>
      <c r="EA258" s="116"/>
      <c r="EB258" s="116"/>
      <c r="EC258" s="116"/>
      <c r="ED258" s="116"/>
      <c r="EF258" s="332"/>
      <c r="EG258" s="116"/>
      <c r="EH258" s="116"/>
      <c r="EI258" s="116"/>
      <c r="EJ258" s="116"/>
      <c r="EK258" s="116"/>
      <c r="EM258" s="116"/>
      <c r="EN258" s="116"/>
      <c r="EO258" s="116"/>
      <c r="EQ258" s="116"/>
      <c r="ER258" s="116"/>
      <c r="ES258" s="116"/>
      <c r="ET258" s="116"/>
      <c r="EU258" s="116"/>
      <c r="EV258" s="116"/>
      <c r="EX258" s="116"/>
      <c r="EY258" s="116"/>
      <c r="EZ258" s="116"/>
      <c r="FA258" s="116"/>
      <c r="FB258" s="116"/>
    </row>
    <row r="259" spans="5:158" ht="13">
      <c r="E259" s="153"/>
      <c r="T259" s="153"/>
      <c r="BD259" s="31"/>
      <c r="BE259" s="31"/>
      <c r="BF259" s="31"/>
      <c r="BG259" s="31"/>
      <c r="BH259" s="31"/>
      <c r="BI259" s="116"/>
      <c r="BL259" s="196"/>
      <c r="BM259" s="239"/>
      <c r="BN259" s="330"/>
      <c r="BP259" s="330"/>
      <c r="BS259" s="116"/>
      <c r="BU259" s="331"/>
      <c r="BW259" s="116"/>
      <c r="BX259" s="116"/>
      <c r="BZ259" s="330"/>
      <c r="CB259" s="330"/>
      <c r="CC259" s="116"/>
      <c r="CG259" s="242"/>
      <c r="CH259" s="116"/>
      <c r="CI259" s="116"/>
      <c r="CJ259" s="116"/>
      <c r="CL259" s="116"/>
      <c r="CN259" s="239"/>
      <c r="CO259" s="153"/>
      <c r="DM259" s="116"/>
      <c r="DN259" s="116"/>
      <c r="DO259" s="116"/>
      <c r="DP259" s="116"/>
      <c r="DW259" s="116"/>
      <c r="DX259" s="219"/>
      <c r="DY259" s="219"/>
      <c r="DZ259" s="116"/>
      <c r="EA259" s="116"/>
      <c r="EB259" s="116"/>
      <c r="EC259" s="116"/>
      <c r="ED259" s="116"/>
      <c r="EF259" s="332"/>
      <c r="EG259" s="116"/>
      <c r="EH259" s="116"/>
      <c r="EI259" s="116"/>
      <c r="EJ259" s="116"/>
      <c r="EK259" s="116"/>
      <c r="EM259" s="116"/>
      <c r="EN259" s="116"/>
      <c r="EO259" s="116"/>
      <c r="EQ259" s="116"/>
      <c r="ER259" s="116"/>
      <c r="ES259" s="116"/>
      <c r="ET259" s="116"/>
      <c r="EU259" s="116"/>
      <c r="EV259" s="116"/>
      <c r="EX259" s="116"/>
      <c r="EY259" s="116"/>
      <c r="EZ259" s="116"/>
      <c r="FA259" s="116"/>
      <c r="FB259" s="116"/>
    </row>
    <row r="260" spans="5:158" ht="13">
      <c r="E260" s="153"/>
      <c r="T260" s="153"/>
      <c r="BD260" s="31"/>
      <c r="BE260" s="31"/>
      <c r="BF260" s="31"/>
      <c r="BG260" s="31"/>
      <c r="BH260" s="31"/>
      <c r="BI260" s="116"/>
      <c r="BL260" s="196"/>
      <c r="BM260" s="239"/>
      <c r="BN260" s="330"/>
      <c r="BP260" s="330"/>
      <c r="BS260" s="116"/>
      <c r="BU260" s="331"/>
      <c r="BW260" s="116"/>
      <c r="BX260" s="116"/>
      <c r="BZ260" s="330"/>
      <c r="CB260" s="330"/>
      <c r="CC260" s="116"/>
      <c r="CG260" s="242"/>
      <c r="CH260" s="116"/>
      <c r="CI260" s="116"/>
      <c r="CJ260" s="116"/>
      <c r="CL260" s="116"/>
      <c r="CN260" s="239"/>
      <c r="CO260" s="153"/>
      <c r="DM260" s="116"/>
      <c r="DN260" s="116"/>
      <c r="DO260" s="116"/>
      <c r="DP260" s="116"/>
      <c r="DW260" s="116"/>
      <c r="DX260" s="219"/>
      <c r="DY260" s="219"/>
      <c r="DZ260" s="116"/>
      <c r="EA260" s="116"/>
      <c r="EB260" s="116"/>
      <c r="EC260" s="116"/>
      <c r="ED260" s="116"/>
      <c r="EF260" s="332"/>
      <c r="EG260" s="116"/>
      <c r="EH260" s="116"/>
      <c r="EI260" s="116"/>
      <c r="EJ260" s="116"/>
      <c r="EK260" s="116"/>
      <c r="EM260" s="116"/>
      <c r="EN260" s="116"/>
      <c r="EO260" s="116"/>
      <c r="EQ260" s="116"/>
      <c r="ER260" s="116"/>
      <c r="ES260" s="116"/>
      <c r="ET260" s="116"/>
      <c r="EU260" s="116"/>
      <c r="EV260" s="116"/>
      <c r="EX260" s="116"/>
      <c r="EY260" s="116"/>
      <c r="EZ260" s="116"/>
      <c r="FA260" s="116"/>
      <c r="FB260" s="116"/>
    </row>
    <row r="261" spans="5:158" ht="13">
      <c r="E261" s="153"/>
      <c r="T261" s="153"/>
      <c r="BD261" s="31"/>
      <c r="BE261" s="31"/>
      <c r="BF261" s="31"/>
      <c r="BG261" s="31"/>
      <c r="BH261" s="31"/>
      <c r="BI261" s="116"/>
      <c r="BL261" s="196"/>
      <c r="BM261" s="239"/>
      <c r="BN261" s="330"/>
      <c r="BP261" s="330"/>
      <c r="BS261" s="116"/>
      <c r="BU261" s="331"/>
      <c r="BW261" s="116"/>
      <c r="BX261" s="116"/>
      <c r="BZ261" s="330"/>
      <c r="CB261" s="330"/>
      <c r="CC261" s="116"/>
      <c r="CG261" s="242"/>
      <c r="CH261" s="116"/>
      <c r="CI261" s="116"/>
      <c r="CJ261" s="116"/>
      <c r="CL261" s="116"/>
      <c r="CN261" s="239"/>
      <c r="CO261" s="153"/>
      <c r="DM261" s="116"/>
      <c r="DN261" s="116"/>
      <c r="DO261" s="116"/>
      <c r="DP261" s="116"/>
      <c r="DW261" s="116"/>
      <c r="DX261" s="219"/>
      <c r="DY261" s="219"/>
      <c r="DZ261" s="116"/>
      <c r="EA261" s="116"/>
      <c r="EB261" s="116"/>
      <c r="EC261" s="116"/>
      <c r="ED261" s="116"/>
      <c r="EF261" s="332"/>
      <c r="EG261" s="116"/>
      <c r="EH261" s="116"/>
      <c r="EI261" s="116"/>
      <c r="EJ261" s="116"/>
      <c r="EK261" s="116"/>
      <c r="EM261" s="116"/>
      <c r="EN261" s="116"/>
      <c r="EO261" s="116"/>
      <c r="EQ261" s="116"/>
      <c r="ER261" s="116"/>
      <c r="ES261" s="116"/>
      <c r="ET261" s="116"/>
      <c r="EU261" s="116"/>
      <c r="EV261" s="116"/>
      <c r="EX261" s="116"/>
      <c r="EY261" s="116"/>
      <c r="EZ261" s="116"/>
      <c r="FA261" s="116"/>
      <c r="FB261" s="116"/>
    </row>
    <row r="262" spans="5:158" ht="13">
      <c r="E262" s="153"/>
      <c r="T262" s="153"/>
      <c r="BD262" s="31"/>
      <c r="BE262" s="31"/>
      <c r="BF262" s="31"/>
      <c r="BG262" s="31"/>
      <c r="BH262" s="31"/>
      <c r="BI262" s="116"/>
      <c r="BL262" s="196"/>
      <c r="BM262" s="239"/>
      <c r="BN262" s="330"/>
      <c r="BP262" s="330"/>
      <c r="BS262" s="116"/>
      <c r="BU262" s="331"/>
      <c r="BW262" s="116"/>
      <c r="BX262" s="116"/>
      <c r="BZ262" s="330"/>
      <c r="CB262" s="330"/>
      <c r="CC262" s="116"/>
      <c r="CG262" s="242"/>
      <c r="CH262" s="116"/>
      <c r="CI262" s="116"/>
      <c r="CJ262" s="116"/>
      <c r="CL262" s="116"/>
      <c r="CN262" s="239"/>
      <c r="CO262" s="153"/>
      <c r="DM262" s="116"/>
      <c r="DN262" s="116"/>
      <c r="DO262" s="116"/>
      <c r="DP262" s="116"/>
      <c r="DW262" s="116"/>
      <c r="DX262" s="219"/>
      <c r="DY262" s="219"/>
      <c r="DZ262" s="116"/>
      <c r="EA262" s="116"/>
      <c r="EB262" s="116"/>
      <c r="EC262" s="116"/>
      <c r="ED262" s="116"/>
      <c r="EF262" s="332"/>
      <c r="EG262" s="116"/>
      <c r="EH262" s="116"/>
      <c r="EI262" s="116"/>
      <c r="EJ262" s="116"/>
      <c r="EK262" s="116"/>
      <c r="EM262" s="116"/>
      <c r="EN262" s="116"/>
      <c r="EO262" s="116"/>
      <c r="EQ262" s="116"/>
      <c r="ER262" s="116"/>
      <c r="ES262" s="116"/>
      <c r="ET262" s="116"/>
      <c r="EU262" s="116"/>
      <c r="EV262" s="116"/>
      <c r="EX262" s="116"/>
      <c r="EY262" s="116"/>
      <c r="EZ262" s="116"/>
      <c r="FA262" s="116"/>
      <c r="FB262" s="116"/>
    </row>
    <row r="263" spans="5:158" ht="13">
      <c r="E263" s="153"/>
      <c r="T263" s="153"/>
      <c r="BD263" s="31"/>
      <c r="BE263" s="31"/>
      <c r="BF263" s="31"/>
      <c r="BG263" s="31"/>
      <c r="BH263" s="31"/>
      <c r="BI263" s="116"/>
      <c r="BL263" s="196"/>
      <c r="BM263" s="239"/>
      <c r="BN263" s="330"/>
      <c r="BP263" s="330"/>
      <c r="BS263" s="116"/>
      <c r="BU263" s="331"/>
      <c r="BW263" s="116"/>
      <c r="BX263" s="116"/>
      <c r="BZ263" s="330"/>
      <c r="CB263" s="330"/>
      <c r="CC263" s="116"/>
      <c r="CG263" s="242"/>
      <c r="CH263" s="116"/>
      <c r="CI263" s="116"/>
      <c r="CJ263" s="116"/>
      <c r="CL263" s="116"/>
      <c r="CN263" s="239"/>
      <c r="CO263" s="153"/>
      <c r="DM263" s="116"/>
      <c r="DN263" s="116"/>
      <c r="DO263" s="116"/>
      <c r="DP263" s="116"/>
      <c r="DW263" s="116"/>
      <c r="DX263" s="219"/>
      <c r="DY263" s="219"/>
      <c r="DZ263" s="116"/>
      <c r="EA263" s="116"/>
      <c r="EB263" s="116"/>
      <c r="EC263" s="116"/>
      <c r="ED263" s="116"/>
      <c r="EF263" s="332"/>
      <c r="EG263" s="116"/>
      <c r="EH263" s="116"/>
      <c r="EI263" s="116"/>
      <c r="EJ263" s="116"/>
      <c r="EK263" s="116"/>
      <c r="EM263" s="116"/>
      <c r="EN263" s="116"/>
      <c r="EO263" s="116"/>
      <c r="EQ263" s="116"/>
      <c r="ER263" s="116"/>
      <c r="ES263" s="116"/>
      <c r="ET263" s="116"/>
      <c r="EU263" s="116"/>
      <c r="EV263" s="116"/>
      <c r="EX263" s="116"/>
      <c r="EY263" s="116"/>
      <c r="EZ263" s="116"/>
      <c r="FA263" s="116"/>
      <c r="FB263" s="116"/>
    </row>
    <row r="264" spans="5:158" ht="13">
      <c r="E264" s="153"/>
      <c r="T264" s="153"/>
      <c r="BD264" s="31"/>
      <c r="BE264" s="31"/>
      <c r="BF264" s="31"/>
      <c r="BG264" s="31"/>
      <c r="BH264" s="31"/>
      <c r="BI264" s="116"/>
      <c r="BL264" s="196"/>
      <c r="BM264" s="239"/>
      <c r="BN264" s="330"/>
      <c r="BP264" s="330"/>
      <c r="BS264" s="116"/>
      <c r="BU264" s="331"/>
      <c r="BW264" s="116"/>
      <c r="BX264" s="116"/>
      <c r="BZ264" s="330"/>
      <c r="CB264" s="330"/>
      <c r="CC264" s="116"/>
      <c r="CG264" s="242"/>
      <c r="CH264" s="116"/>
      <c r="CI264" s="116"/>
      <c r="CJ264" s="116"/>
      <c r="CL264" s="116"/>
      <c r="CN264" s="239"/>
      <c r="CO264" s="153"/>
      <c r="DM264" s="116"/>
      <c r="DN264" s="116"/>
      <c r="DO264" s="116"/>
      <c r="DP264" s="116"/>
      <c r="DW264" s="116"/>
      <c r="DX264" s="219"/>
      <c r="DY264" s="219"/>
      <c r="DZ264" s="116"/>
      <c r="EA264" s="116"/>
      <c r="EB264" s="116"/>
      <c r="EC264" s="116"/>
      <c r="ED264" s="116"/>
      <c r="EF264" s="332"/>
      <c r="EG264" s="116"/>
      <c r="EH264" s="116"/>
      <c r="EI264" s="116"/>
      <c r="EJ264" s="116"/>
      <c r="EK264" s="116"/>
      <c r="EM264" s="116"/>
      <c r="EN264" s="116"/>
      <c r="EO264" s="116"/>
      <c r="EQ264" s="116"/>
      <c r="ER264" s="116"/>
      <c r="ES264" s="116"/>
      <c r="ET264" s="116"/>
      <c r="EU264" s="116"/>
      <c r="EV264" s="116"/>
      <c r="EX264" s="116"/>
      <c r="EY264" s="116"/>
      <c r="EZ264" s="116"/>
      <c r="FA264" s="116"/>
      <c r="FB264" s="116"/>
    </row>
    <row r="265" spans="5:158" ht="13">
      <c r="E265" s="153"/>
      <c r="T265" s="153"/>
      <c r="BD265" s="31"/>
      <c r="BE265" s="31"/>
      <c r="BF265" s="31"/>
      <c r="BG265" s="31"/>
      <c r="BH265" s="31"/>
      <c r="BI265" s="116"/>
      <c r="BL265" s="196"/>
      <c r="BM265" s="239"/>
      <c r="BN265" s="330"/>
      <c r="BP265" s="330"/>
      <c r="BS265" s="116"/>
      <c r="BU265" s="331"/>
      <c r="BW265" s="116"/>
      <c r="BX265" s="116"/>
      <c r="BZ265" s="330"/>
      <c r="CB265" s="330"/>
      <c r="CC265" s="116"/>
      <c r="CG265" s="242"/>
      <c r="CH265" s="116"/>
      <c r="CI265" s="116"/>
      <c r="CJ265" s="116"/>
      <c r="CL265" s="116"/>
      <c r="CN265" s="239"/>
      <c r="CO265" s="153"/>
      <c r="DM265" s="116"/>
      <c r="DN265" s="116"/>
      <c r="DO265" s="116"/>
      <c r="DP265" s="116"/>
      <c r="DW265" s="116"/>
      <c r="DX265" s="219"/>
      <c r="DY265" s="219"/>
      <c r="DZ265" s="116"/>
      <c r="EA265" s="116"/>
      <c r="EB265" s="116"/>
      <c r="EC265" s="116"/>
      <c r="ED265" s="116"/>
      <c r="EF265" s="332"/>
      <c r="EG265" s="116"/>
      <c r="EH265" s="116"/>
      <c r="EI265" s="116"/>
      <c r="EJ265" s="116"/>
      <c r="EK265" s="116"/>
      <c r="EM265" s="116"/>
      <c r="EN265" s="116"/>
      <c r="EO265" s="116"/>
      <c r="EQ265" s="116"/>
      <c r="ER265" s="116"/>
      <c r="ES265" s="116"/>
      <c r="ET265" s="116"/>
      <c r="EU265" s="116"/>
      <c r="EV265" s="116"/>
      <c r="EX265" s="116"/>
      <c r="EY265" s="116"/>
      <c r="EZ265" s="116"/>
      <c r="FA265" s="116"/>
      <c r="FB265" s="116"/>
    </row>
    <row r="266" spans="5:158" ht="13">
      <c r="E266" s="153"/>
      <c r="T266" s="153"/>
      <c r="BD266" s="31"/>
      <c r="BE266" s="31"/>
      <c r="BF266" s="31"/>
      <c r="BG266" s="31"/>
      <c r="BH266" s="31"/>
      <c r="BI266" s="116"/>
      <c r="BL266" s="196"/>
      <c r="BM266" s="239"/>
      <c r="BN266" s="330"/>
      <c r="BP266" s="330"/>
      <c r="BS266" s="116"/>
      <c r="BU266" s="331"/>
      <c r="BW266" s="116"/>
      <c r="BX266" s="116"/>
      <c r="BZ266" s="330"/>
      <c r="CB266" s="330"/>
      <c r="CC266" s="116"/>
      <c r="CG266" s="242"/>
      <c r="CH266" s="116"/>
      <c r="CI266" s="116"/>
      <c r="CJ266" s="116"/>
      <c r="CL266" s="116"/>
      <c r="CN266" s="239"/>
      <c r="CO266" s="153"/>
      <c r="DM266" s="116"/>
      <c r="DN266" s="116"/>
      <c r="DO266" s="116"/>
      <c r="DP266" s="116"/>
      <c r="DW266" s="116"/>
      <c r="DX266" s="219"/>
      <c r="DY266" s="219"/>
      <c r="DZ266" s="116"/>
      <c r="EA266" s="116"/>
      <c r="EB266" s="116"/>
      <c r="EC266" s="116"/>
      <c r="ED266" s="116"/>
      <c r="EF266" s="332"/>
      <c r="EG266" s="116"/>
      <c r="EH266" s="116"/>
      <c r="EI266" s="116"/>
      <c r="EJ266" s="116"/>
      <c r="EK266" s="116"/>
      <c r="EM266" s="116"/>
      <c r="EN266" s="116"/>
      <c r="EO266" s="116"/>
      <c r="EQ266" s="116"/>
      <c r="ER266" s="116"/>
      <c r="ES266" s="116"/>
      <c r="ET266" s="116"/>
      <c r="EU266" s="116"/>
      <c r="EV266" s="116"/>
      <c r="EX266" s="116"/>
      <c r="EY266" s="116"/>
      <c r="EZ266" s="116"/>
      <c r="FA266" s="116"/>
      <c r="FB266" s="116"/>
    </row>
    <row r="267" spans="5:158" ht="13">
      <c r="E267" s="153"/>
      <c r="T267" s="153"/>
      <c r="BD267" s="31"/>
      <c r="BE267" s="31"/>
      <c r="BF267" s="31"/>
      <c r="BG267" s="31"/>
      <c r="BH267" s="31"/>
      <c r="BI267" s="116"/>
      <c r="BL267" s="196"/>
      <c r="BM267" s="239"/>
      <c r="BN267" s="330"/>
      <c r="BP267" s="330"/>
      <c r="BS267" s="116"/>
      <c r="BU267" s="331"/>
      <c r="BW267" s="116"/>
      <c r="BX267" s="116"/>
      <c r="BZ267" s="330"/>
      <c r="CB267" s="330"/>
      <c r="CC267" s="116"/>
      <c r="CG267" s="242"/>
      <c r="CH267" s="116"/>
      <c r="CI267" s="116"/>
      <c r="CJ267" s="116"/>
      <c r="CL267" s="116"/>
      <c r="CN267" s="239"/>
      <c r="CO267" s="153"/>
      <c r="DM267" s="116"/>
      <c r="DN267" s="116"/>
      <c r="DO267" s="116"/>
      <c r="DP267" s="116"/>
      <c r="DW267" s="116"/>
      <c r="DX267" s="219"/>
      <c r="DY267" s="219"/>
      <c r="DZ267" s="116"/>
      <c r="EA267" s="116"/>
      <c r="EB267" s="116"/>
      <c r="EC267" s="116"/>
      <c r="ED267" s="116"/>
      <c r="EF267" s="332"/>
      <c r="EG267" s="116"/>
      <c r="EH267" s="116"/>
      <c r="EI267" s="116"/>
      <c r="EJ267" s="116"/>
      <c r="EK267" s="116"/>
      <c r="EM267" s="116"/>
      <c r="EN267" s="116"/>
      <c r="EO267" s="116"/>
      <c r="EQ267" s="116"/>
      <c r="ER267" s="116"/>
      <c r="ES267" s="116"/>
      <c r="ET267" s="116"/>
      <c r="EU267" s="116"/>
      <c r="EV267" s="116"/>
      <c r="EX267" s="116"/>
      <c r="EY267" s="116"/>
      <c r="EZ267" s="116"/>
      <c r="FA267" s="116"/>
      <c r="FB267" s="116"/>
    </row>
    <row r="268" spans="5:158" ht="13">
      <c r="E268" s="153"/>
      <c r="T268" s="153"/>
      <c r="BD268" s="31"/>
      <c r="BE268" s="31"/>
      <c r="BF268" s="31"/>
      <c r="BG268" s="31"/>
      <c r="BH268" s="31"/>
      <c r="BI268" s="116"/>
      <c r="BL268" s="196"/>
      <c r="BM268" s="239"/>
      <c r="BN268" s="330"/>
      <c r="BP268" s="330"/>
      <c r="BS268" s="116"/>
      <c r="BU268" s="331"/>
      <c r="BW268" s="116"/>
      <c r="BX268" s="116"/>
      <c r="BZ268" s="330"/>
      <c r="CB268" s="330"/>
      <c r="CC268" s="116"/>
      <c r="CG268" s="242"/>
      <c r="CH268" s="116"/>
      <c r="CI268" s="116"/>
      <c r="CJ268" s="116"/>
      <c r="CL268" s="116"/>
      <c r="CN268" s="239"/>
      <c r="CO268" s="153"/>
      <c r="DM268" s="116"/>
      <c r="DN268" s="116"/>
      <c r="DO268" s="116"/>
      <c r="DP268" s="116"/>
      <c r="DW268" s="116"/>
      <c r="DX268" s="219"/>
      <c r="DY268" s="219"/>
      <c r="DZ268" s="116"/>
      <c r="EA268" s="116"/>
      <c r="EB268" s="116"/>
      <c r="EC268" s="116"/>
      <c r="ED268" s="116"/>
      <c r="EF268" s="332"/>
      <c r="EG268" s="116"/>
      <c r="EH268" s="116"/>
      <c r="EI268" s="116"/>
      <c r="EJ268" s="116"/>
      <c r="EK268" s="116"/>
      <c r="EM268" s="116"/>
      <c r="EN268" s="116"/>
      <c r="EO268" s="116"/>
      <c r="EQ268" s="116"/>
      <c r="ER268" s="116"/>
      <c r="ES268" s="116"/>
      <c r="ET268" s="116"/>
      <c r="EU268" s="116"/>
      <c r="EV268" s="116"/>
      <c r="EX268" s="116"/>
      <c r="EY268" s="116"/>
      <c r="EZ268" s="116"/>
      <c r="FA268" s="116"/>
      <c r="FB268" s="116"/>
    </row>
    <row r="269" spans="5:158" ht="13">
      <c r="E269" s="153"/>
      <c r="T269" s="153"/>
      <c r="BD269" s="31"/>
      <c r="BE269" s="31"/>
      <c r="BF269" s="31"/>
      <c r="BG269" s="31"/>
      <c r="BH269" s="31"/>
      <c r="BI269" s="116"/>
      <c r="BL269" s="196"/>
      <c r="BM269" s="239"/>
      <c r="BN269" s="330"/>
      <c r="BP269" s="330"/>
      <c r="BS269" s="116"/>
      <c r="BU269" s="331"/>
      <c r="BW269" s="116"/>
      <c r="BX269" s="116"/>
      <c r="BZ269" s="330"/>
      <c r="CB269" s="330"/>
      <c r="CC269" s="116"/>
      <c r="CG269" s="242"/>
      <c r="CH269" s="116"/>
      <c r="CI269" s="116"/>
      <c r="CJ269" s="116"/>
      <c r="CL269" s="116"/>
      <c r="CN269" s="239"/>
      <c r="CO269" s="153"/>
      <c r="DM269" s="116"/>
      <c r="DN269" s="116"/>
      <c r="DO269" s="116"/>
      <c r="DP269" s="116"/>
      <c r="DW269" s="116"/>
      <c r="DX269" s="219"/>
      <c r="DY269" s="219"/>
      <c r="DZ269" s="116"/>
      <c r="EA269" s="116"/>
      <c r="EB269" s="116"/>
      <c r="EC269" s="116"/>
      <c r="ED269" s="116"/>
      <c r="EF269" s="332"/>
      <c r="EG269" s="116"/>
      <c r="EH269" s="116"/>
      <c r="EI269" s="116"/>
      <c r="EJ269" s="116"/>
      <c r="EK269" s="116"/>
      <c r="EM269" s="116"/>
      <c r="EN269" s="116"/>
      <c r="EO269" s="116"/>
      <c r="EQ269" s="116"/>
      <c r="ER269" s="116"/>
      <c r="ES269" s="116"/>
      <c r="ET269" s="116"/>
      <c r="EU269" s="116"/>
      <c r="EV269" s="116"/>
      <c r="EX269" s="116"/>
      <c r="EY269" s="116"/>
      <c r="EZ269" s="116"/>
      <c r="FA269" s="116"/>
      <c r="FB269" s="116"/>
    </row>
    <row r="270" spans="5:158" ht="13">
      <c r="E270" s="153"/>
      <c r="T270" s="153"/>
      <c r="BD270" s="31"/>
      <c r="BE270" s="31"/>
      <c r="BF270" s="31"/>
      <c r="BG270" s="31"/>
      <c r="BH270" s="31"/>
      <c r="BI270" s="116"/>
      <c r="BL270" s="196"/>
      <c r="BM270" s="239"/>
      <c r="BN270" s="330"/>
      <c r="BP270" s="330"/>
      <c r="BS270" s="116"/>
      <c r="BU270" s="331"/>
      <c r="BW270" s="116"/>
      <c r="BX270" s="116"/>
      <c r="BZ270" s="330"/>
      <c r="CB270" s="330"/>
      <c r="CC270" s="116"/>
      <c r="CG270" s="242"/>
      <c r="CH270" s="116"/>
      <c r="CI270" s="116"/>
      <c r="CJ270" s="116"/>
      <c r="CL270" s="116"/>
      <c r="CN270" s="239"/>
      <c r="CO270" s="153"/>
      <c r="DM270" s="116"/>
      <c r="DN270" s="116"/>
      <c r="DO270" s="116"/>
      <c r="DP270" s="116"/>
      <c r="DW270" s="116"/>
      <c r="DX270" s="219"/>
      <c r="DY270" s="219"/>
      <c r="DZ270" s="116"/>
      <c r="EA270" s="116"/>
      <c r="EB270" s="116"/>
      <c r="EC270" s="116"/>
      <c r="ED270" s="116"/>
      <c r="EF270" s="332"/>
      <c r="EG270" s="116"/>
      <c r="EH270" s="116"/>
      <c r="EI270" s="116"/>
      <c r="EJ270" s="116"/>
      <c r="EK270" s="116"/>
      <c r="EM270" s="116"/>
      <c r="EN270" s="116"/>
      <c r="EO270" s="116"/>
      <c r="EQ270" s="116"/>
      <c r="ER270" s="116"/>
      <c r="ES270" s="116"/>
      <c r="ET270" s="116"/>
      <c r="EU270" s="116"/>
      <c r="EV270" s="116"/>
      <c r="EX270" s="116"/>
      <c r="EY270" s="116"/>
      <c r="EZ270" s="116"/>
      <c r="FA270" s="116"/>
      <c r="FB270" s="116"/>
    </row>
    <row r="271" spans="5:158" ht="13">
      <c r="E271" s="153"/>
      <c r="T271" s="153"/>
      <c r="BD271" s="31"/>
      <c r="BE271" s="31"/>
      <c r="BF271" s="31"/>
      <c r="BG271" s="31"/>
      <c r="BH271" s="31"/>
      <c r="BI271" s="116"/>
      <c r="BL271" s="196"/>
      <c r="BM271" s="239"/>
      <c r="BN271" s="330"/>
      <c r="BP271" s="330"/>
      <c r="BS271" s="116"/>
      <c r="BU271" s="331"/>
      <c r="BW271" s="116"/>
      <c r="BX271" s="116"/>
      <c r="BZ271" s="330"/>
      <c r="CB271" s="330"/>
      <c r="CC271" s="116"/>
      <c r="CG271" s="242"/>
      <c r="CH271" s="116"/>
      <c r="CI271" s="116"/>
      <c r="CJ271" s="116"/>
      <c r="CL271" s="116"/>
      <c r="CN271" s="239"/>
      <c r="CO271" s="153"/>
      <c r="DM271" s="116"/>
      <c r="DN271" s="116"/>
      <c r="DO271" s="116"/>
      <c r="DP271" s="116"/>
      <c r="DW271" s="116"/>
      <c r="DX271" s="219"/>
      <c r="DY271" s="219"/>
      <c r="DZ271" s="116"/>
      <c r="EA271" s="116"/>
      <c r="EB271" s="116"/>
      <c r="EC271" s="116"/>
      <c r="ED271" s="116"/>
      <c r="EF271" s="332"/>
      <c r="EG271" s="116"/>
      <c r="EH271" s="116"/>
      <c r="EI271" s="116"/>
      <c r="EJ271" s="116"/>
      <c r="EK271" s="116"/>
      <c r="EM271" s="116"/>
      <c r="EN271" s="116"/>
      <c r="EO271" s="116"/>
      <c r="EQ271" s="116"/>
      <c r="ER271" s="116"/>
      <c r="ES271" s="116"/>
      <c r="ET271" s="116"/>
      <c r="EU271" s="116"/>
      <c r="EV271" s="116"/>
      <c r="EX271" s="116"/>
      <c r="EY271" s="116"/>
      <c r="EZ271" s="116"/>
      <c r="FA271" s="116"/>
      <c r="FB271" s="116"/>
    </row>
    <row r="272" spans="5:158" ht="13">
      <c r="E272" s="153"/>
      <c r="T272" s="153"/>
      <c r="BD272" s="31"/>
      <c r="BE272" s="31"/>
      <c r="BF272" s="31"/>
      <c r="BG272" s="31"/>
      <c r="BH272" s="31"/>
      <c r="BI272" s="116"/>
      <c r="BL272" s="196"/>
      <c r="BM272" s="239"/>
      <c r="BN272" s="330"/>
      <c r="BP272" s="330"/>
      <c r="BS272" s="116"/>
      <c r="BU272" s="331"/>
      <c r="BW272" s="116"/>
      <c r="BX272" s="116"/>
      <c r="BZ272" s="330"/>
      <c r="CB272" s="330"/>
      <c r="CC272" s="116"/>
      <c r="CG272" s="242"/>
      <c r="CH272" s="116"/>
      <c r="CI272" s="116"/>
      <c r="CJ272" s="116"/>
      <c r="CL272" s="116"/>
      <c r="CN272" s="239"/>
      <c r="CO272" s="153"/>
      <c r="DM272" s="116"/>
      <c r="DN272" s="116"/>
      <c r="DO272" s="116"/>
      <c r="DP272" s="116"/>
      <c r="DW272" s="116"/>
      <c r="DX272" s="219"/>
      <c r="DY272" s="219"/>
      <c r="DZ272" s="116"/>
      <c r="EA272" s="116"/>
      <c r="EB272" s="116"/>
      <c r="EC272" s="116"/>
      <c r="ED272" s="116"/>
      <c r="EF272" s="332"/>
      <c r="EG272" s="116"/>
      <c r="EH272" s="116"/>
      <c r="EI272" s="116"/>
      <c r="EJ272" s="116"/>
      <c r="EK272" s="116"/>
      <c r="EM272" s="116"/>
      <c r="EN272" s="116"/>
      <c r="EO272" s="116"/>
      <c r="EQ272" s="116"/>
      <c r="ER272" s="116"/>
      <c r="ES272" s="116"/>
      <c r="ET272" s="116"/>
      <c r="EU272" s="116"/>
      <c r="EV272" s="116"/>
      <c r="EX272" s="116"/>
      <c r="EY272" s="116"/>
      <c r="EZ272" s="116"/>
      <c r="FA272" s="116"/>
      <c r="FB272" s="116"/>
    </row>
    <row r="273" spans="5:158" ht="13">
      <c r="E273" s="153"/>
      <c r="T273" s="153"/>
      <c r="BD273" s="31"/>
      <c r="BE273" s="31"/>
      <c r="BF273" s="31"/>
      <c r="BG273" s="31"/>
      <c r="BH273" s="31"/>
      <c r="BI273" s="116"/>
      <c r="BL273" s="196"/>
      <c r="BM273" s="239"/>
      <c r="BN273" s="330"/>
      <c r="BP273" s="330"/>
      <c r="BS273" s="116"/>
      <c r="BU273" s="331"/>
      <c r="BW273" s="116"/>
      <c r="BX273" s="116"/>
      <c r="BZ273" s="330"/>
      <c r="CB273" s="330"/>
      <c r="CC273" s="116"/>
      <c r="CG273" s="242"/>
      <c r="CH273" s="116"/>
      <c r="CI273" s="116"/>
      <c r="CJ273" s="116"/>
      <c r="CL273" s="116"/>
      <c r="CN273" s="239"/>
      <c r="CO273" s="153"/>
      <c r="DM273" s="116"/>
      <c r="DN273" s="116"/>
      <c r="DO273" s="116"/>
      <c r="DP273" s="116"/>
      <c r="DW273" s="116"/>
      <c r="DX273" s="219"/>
      <c r="DY273" s="219"/>
      <c r="DZ273" s="116"/>
      <c r="EA273" s="116"/>
      <c r="EB273" s="116"/>
      <c r="EC273" s="116"/>
      <c r="ED273" s="116"/>
      <c r="EF273" s="332"/>
      <c r="EG273" s="116"/>
      <c r="EH273" s="116"/>
      <c r="EI273" s="116"/>
      <c r="EJ273" s="116"/>
      <c r="EK273" s="116"/>
      <c r="EM273" s="116"/>
      <c r="EN273" s="116"/>
      <c r="EO273" s="116"/>
      <c r="EQ273" s="116"/>
      <c r="ER273" s="116"/>
      <c r="ES273" s="116"/>
      <c r="ET273" s="116"/>
      <c r="EU273" s="116"/>
      <c r="EV273" s="116"/>
      <c r="EX273" s="116"/>
      <c r="EY273" s="116"/>
      <c r="EZ273" s="116"/>
      <c r="FA273" s="116"/>
      <c r="FB273" s="116"/>
    </row>
    <row r="274" spans="5:158" ht="13">
      <c r="E274" s="153"/>
      <c r="T274" s="153"/>
      <c r="BD274" s="31"/>
      <c r="BE274" s="31"/>
      <c r="BF274" s="31"/>
      <c r="BG274" s="31"/>
      <c r="BH274" s="31"/>
      <c r="BI274" s="116"/>
      <c r="BL274" s="196"/>
      <c r="BM274" s="239"/>
      <c r="BN274" s="330"/>
      <c r="BP274" s="330"/>
      <c r="BS274" s="116"/>
      <c r="BU274" s="331"/>
      <c r="BW274" s="116"/>
      <c r="BX274" s="116"/>
      <c r="BZ274" s="330"/>
      <c r="CB274" s="330"/>
      <c r="CC274" s="116"/>
      <c r="CG274" s="242"/>
      <c r="CH274" s="116"/>
      <c r="CI274" s="116"/>
      <c r="CJ274" s="116"/>
      <c r="CL274" s="116"/>
      <c r="CN274" s="239"/>
      <c r="CO274" s="153"/>
      <c r="DM274" s="116"/>
      <c r="DN274" s="116"/>
      <c r="DO274" s="116"/>
      <c r="DP274" s="116"/>
      <c r="DW274" s="116"/>
      <c r="DX274" s="219"/>
      <c r="DY274" s="219"/>
      <c r="DZ274" s="116"/>
      <c r="EA274" s="116"/>
      <c r="EB274" s="116"/>
      <c r="EC274" s="116"/>
      <c r="ED274" s="116"/>
      <c r="EF274" s="332"/>
      <c r="EG274" s="116"/>
      <c r="EH274" s="116"/>
      <c r="EI274" s="116"/>
      <c r="EJ274" s="116"/>
      <c r="EK274" s="116"/>
      <c r="EM274" s="116"/>
      <c r="EN274" s="116"/>
      <c r="EO274" s="116"/>
      <c r="EQ274" s="116"/>
      <c r="ER274" s="116"/>
      <c r="ES274" s="116"/>
      <c r="ET274" s="116"/>
      <c r="EU274" s="116"/>
      <c r="EV274" s="116"/>
      <c r="EX274" s="116"/>
      <c r="EY274" s="116"/>
      <c r="EZ274" s="116"/>
      <c r="FA274" s="116"/>
      <c r="FB274" s="116"/>
    </row>
    <row r="275" spans="5:158" ht="13">
      <c r="E275" s="153"/>
      <c r="T275" s="153"/>
      <c r="BD275" s="31"/>
      <c r="BE275" s="31"/>
      <c r="BF275" s="31"/>
      <c r="BG275" s="31"/>
      <c r="BH275" s="31"/>
      <c r="BI275" s="116"/>
      <c r="BL275" s="196"/>
      <c r="BM275" s="239"/>
      <c r="BN275" s="330"/>
      <c r="BP275" s="330"/>
      <c r="BS275" s="116"/>
      <c r="BU275" s="331"/>
      <c r="BW275" s="116"/>
      <c r="BX275" s="116"/>
      <c r="BZ275" s="330"/>
      <c r="CB275" s="330"/>
      <c r="CC275" s="116"/>
      <c r="CG275" s="242"/>
      <c r="CH275" s="116"/>
      <c r="CI275" s="116"/>
      <c r="CJ275" s="116"/>
      <c r="CL275" s="116"/>
      <c r="CN275" s="239"/>
      <c r="CO275" s="153"/>
      <c r="DM275" s="116"/>
      <c r="DN275" s="116"/>
      <c r="DO275" s="116"/>
      <c r="DP275" s="116"/>
      <c r="DW275" s="116"/>
      <c r="DX275" s="219"/>
      <c r="DY275" s="219"/>
      <c r="DZ275" s="116"/>
      <c r="EA275" s="116"/>
      <c r="EB275" s="116"/>
      <c r="EC275" s="116"/>
      <c r="ED275" s="116"/>
      <c r="EF275" s="332"/>
      <c r="EG275" s="116"/>
      <c r="EH275" s="116"/>
      <c r="EI275" s="116"/>
      <c r="EJ275" s="116"/>
      <c r="EK275" s="116"/>
      <c r="EM275" s="116"/>
      <c r="EN275" s="116"/>
      <c r="EO275" s="116"/>
      <c r="EQ275" s="116"/>
      <c r="ER275" s="116"/>
      <c r="ES275" s="116"/>
      <c r="ET275" s="116"/>
      <c r="EU275" s="116"/>
      <c r="EV275" s="116"/>
      <c r="EX275" s="116"/>
      <c r="EY275" s="116"/>
      <c r="EZ275" s="116"/>
      <c r="FA275" s="116"/>
      <c r="FB275" s="116"/>
    </row>
    <row r="276" spans="5:158" ht="13">
      <c r="E276" s="153"/>
      <c r="T276" s="153"/>
      <c r="BD276" s="31"/>
      <c r="BE276" s="31"/>
      <c r="BF276" s="31"/>
      <c r="BG276" s="31"/>
      <c r="BH276" s="31"/>
      <c r="BI276" s="116"/>
      <c r="BL276" s="196"/>
      <c r="BM276" s="239"/>
      <c r="BN276" s="330"/>
      <c r="BP276" s="330"/>
      <c r="BS276" s="116"/>
      <c r="BU276" s="331"/>
      <c r="BW276" s="116"/>
      <c r="BX276" s="116"/>
      <c r="BZ276" s="330"/>
      <c r="CB276" s="330"/>
      <c r="CC276" s="116"/>
      <c r="CG276" s="242"/>
      <c r="CH276" s="116"/>
      <c r="CI276" s="116"/>
      <c r="CJ276" s="116"/>
      <c r="CL276" s="116"/>
      <c r="CN276" s="239"/>
      <c r="CO276" s="153"/>
      <c r="DM276" s="116"/>
      <c r="DN276" s="116"/>
      <c r="DO276" s="116"/>
      <c r="DP276" s="116"/>
      <c r="DW276" s="116"/>
      <c r="DX276" s="219"/>
      <c r="DY276" s="219"/>
      <c r="DZ276" s="116"/>
      <c r="EA276" s="116"/>
      <c r="EB276" s="116"/>
      <c r="EC276" s="116"/>
      <c r="ED276" s="116"/>
      <c r="EF276" s="332"/>
      <c r="EG276" s="116"/>
      <c r="EH276" s="116"/>
      <c r="EI276" s="116"/>
      <c r="EJ276" s="116"/>
      <c r="EK276" s="116"/>
      <c r="EM276" s="116"/>
      <c r="EN276" s="116"/>
      <c r="EO276" s="116"/>
      <c r="EQ276" s="116"/>
      <c r="ER276" s="116"/>
      <c r="ES276" s="116"/>
      <c r="ET276" s="116"/>
      <c r="EU276" s="116"/>
      <c r="EV276" s="116"/>
      <c r="EX276" s="116"/>
      <c r="EY276" s="116"/>
      <c r="EZ276" s="116"/>
      <c r="FA276" s="116"/>
      <c r="FB276" s="116"/>
    </row>
    <row r="277" spans="5:158" ht="13">
      <c r="E277" s="153"/>
      <c r="T277" s="153"/>
      <c r="BD277" s="31"/>
      <c r="BE277" s="31"/>
      <c r="BF277" s="31"/>
      <c r="BG277" s="31"/>
      <c r="BH277" s="31"/>
      <c r="BI277" s="116"/>
      <c r="BL277" s="196"/>
      <c r="BM277" s="239"/>
      <c r="BN277" s="330"/>
      <c r="BP277" s="330"/>
      <c r="BS277" s="116"/>
      <c r="BU277" s="331"/>
      <c r="BW277" s="116"/>
      <c r="BX277" s="116"/>
      <c r="BZ277" s="330"/>
      <c r="CB277" s="330"/>
      <c r="CC277" s="116"/>
      <c r="CG277" s="242"/>
      <c r="CH277" s="116"/>
      <c r="CI277" s="116"/>
      <c r="CJ277" s="116"/>
      <c r="CL277" s="116"/>
      <c r="CN277" s="239"/>
      <c r="CO277" s="153"/>
      <c r="DM277" s="116"/>
      <c r="DN277" s="116"/>
      <c r="DO277" s="116"/>
      <c r="DP277" s="116"/>
      <c r="DW277" s="116"/>
      <c r="DX277" s="219"/>
      <c r="DY277" s="219"/>
      <c r="DZ277" s="116"/>
      <c r="EA277" s="116"/>
      <c r="EB277" s="116"/>
      <c r="EC277" s="116"/>
      <c r="ED277" s="116"/>
      <c r="EF277" s="332"/>
      <c r="EG277" s="116"/>
      <c r="EH277" s="116"/>
      <c r="EI277" s="116"/>
      <c r="EJ277" s="116"/>
      <c r="EK277" s="116"/>
      <c r="EM277" s="116"/>
      <c r="EN277" s="116"/>
      <c r="EO277" s="116"/>
      <c r="EQ277" s="116"/>
      <c r="ER277" s="116"/>
      <c r="ES277" s="116"/>
      <c r="ET277" s="116"/>
      <c r="EU277" s="116"/>
      <c r="EV277" s="116"/>
      <c r="EX277" s="116"/>
      <c r="EY277" s="116"/>
      <c r="EZ277" s="116"/>
      <c r="FA277" s="116"/>
      <c r="FB277" s="116"/>
    </row>
    <row r="278" spans="5:158" ht="13">
      <c r="E278" s="153"/>
      <c r="T278" s="153"/>
      <c r="BD278" s="31"/>
      <c r="BE278" s="31"/>
      <c r="BF278" s="31"/>
      <c r="BG278" s="31"/>
      <c r="BH278" s="31"/>
      <c r="BI278" s="116"/>
      <c r="BL278" s="196"/>
      <c r="BM278" s="239"/>
      <c r="BN278" s="330"/>
      <c r="BP278" s="330"/>
      <c r="BS278" s="116"/>
      <c r="BU278" s="331"/>
      <c r="BW278" s="116"/>
      <c r="BX278" s="116"/>
      <c r="BZ278" s="330"/>
      <c r="CB278" s="330"/>
      <c r="CC278" s="116"/>
      <c r="CG278" s="242"/>
      <c r="CH278" s="116"/>
      <c r="CI278" s="116"/>
      <c r="CJ278" s="116"/>
      <c r="CL278" s="116"/>
      <c r="CN278" s="239"/>
      <c r="CO278" s="153"/>
      <c r="DM278" s="116"/>
      <c r="DN278" s="116"/>
      <c r="DO278" s="116"/>
      <c r="DP278" s="116"/>
      <c r="DW278" s="116"/>
      <c r="DX278" s="219"/>
      <c r="DY278" s="219"/>
      <c r="DZ278" s="116"/>
      <c r="EA278" s="116"/>
      <c r="EB278" s="116"/>
      <c r="EC278" s="116"/>
      <c r="ED278" s="116"/>
      <c r="EF278" s="332"/>
      <c r="EG278" s="116"/>
      <c r="EH278" s="116"/>
      <c r="EI278" s="116"/>
      <c r="EJ278" s="116"/>
      <c r="EK278" s="116"/>
      <c r="EM278" s="116"/>
      <c r="EN278" s="116"/>
      <c r="EO278" s="116"/>
      <c r="EQ278" s="116"/>
      <c r="ER278" s="116"/>
      <c r="ES278" s="116"/>
      <c r="ET278" s="116"/>
      <c r="EU278" s="116"/>
      <c r="EV278" s="116"/>
      <c r="EX278" s="116"/>
      <c r="EY278" s="116"/>
      <c r="EZ278" s="116"/>
      <c r="FA278" s="116"/>
      <c r="FB278" s="116"/>
    </row>
    <row r="279" spans="5:158" ht="13">
      <c r="E279" s="153"/>
      <c r="T279" s="153"/>
      <c r="BD279" s="31"/>
      <c r="BE279" s="31"/>
      <c r="BF279" s="31"/>
      <c r="BG279" s="31"/>
      <c r="BH279" s="31"/>
      <c r="BI279" s="116"/>
      <c r="BL279" s="196"/>
      <c r="BM279" s="239"/>
      <c r="BN279" s="330"/>
      <c r="BP279" s="330"/>
      <c r="BS279" s="116"/>
      <c r="BU279" s="331"/>
      <c r="BW279" s="116"/>
      <c r="BX279" s="116"/>
      <c r="BZ279" s="330"/>
      <c r="CB279" s="330"/>
      <c r="CC279" s="116"/>
      <c r="CG279" s="242"/>
      <c r="CH279" s="116"/>
      <c r="CI279" s="116"/>
      <c r="CJ279" s="116"/>
      <c r="CL279" s="116"/>
      <c r="CN279" s="239"/>
      <c r="CO279" s="153"/>
      <c r="DM279" s="116"/>
      <c r="DN279" s="116"/>
      <c r="DO279" s="116"/>
      <c r="DP279" s="116"/>
      <c r="DW279" s="116"/>
      <c r="DX279" s="219"/>
      <c r="DY279" s="219"/>
      <c r="DZ279" s="116"/>
      <c r="EA279" s="116"/>
      <c r="EB279" s="116"/>
      <c r="EC279" s="116"/>
      <c r="ED279" s="116"/>
      <c r="EF279" s="332"/>
      <c r="EG279" s="116"/>
      <c r="EH279" s="116"/>
      <c r="EI279" s="116"/>
      <c r="EJ279" s="116"/>
      <c r="EK279" s="116"/>
      <c r="EM279" s="116"/>
      <c r="EN279" s="116"/>
      <c r="EO279" s="116"/>
      <c r="EQ279" s="116"/>
      <c r="ER279" s="116"/>
      <c r="ES279" s="116"/>
      <c r="ET279" s="116"/>
      <c r="EU279" s="116"/>
      <c r="EV279" s="116"/>
      <c r="EX279" s="116"/>
      <c r="EY279" s="116"/>
      <c r="EZ279" s="116"/>
      <c r="FA279" s="116"/>
      <c r="FB279" s="116"/>
    </row>
    <row r="280" spans="5:158" ht="13">
      <c r="E280" s="153"/>
      <c r="T280" s="153"/>
      <c r="BD280" s="31"/>
      <c r="BE280" s="31"/>
      <c r="BF280" s="31"/>
      <c r="BG280" s="31"/>
      <c r="BH280" s="31"/>
      <c r="BI280" s="116"/>
      <c r="BL280" s="196"/>
      <c r="BM280" s="239"/>
      <c r="BN280" s="330"/>
      <c r="BP280" s="330"/>
      <c r="BS280" s="116"/>
      <c r="BU280" s="331"/>
      <c r="BW280" s="116"/>
      <c r="BX280" s="116"/>
      <c r="BZ280" s="330"/>
      <c r="CB280" s="330"/>
      <c r="CC280" s="116"/>
      <c r="CG280" s="242"/>
      <c r="CH280" s="116"/>
      <c r="CI280" s="116"/>
      <c r="CJ280" s="116"/>
      <c r="CL280" s="116"/>
      <c r="CN280" s="239"/>
      <c r="CO280" s="153"/>
      <c r="DM280" s="116"/>
      <c r="DN280" s="116"/>
      <c r="DO280" s="116"/>
      <c r="DP280" s="116"/>
      <c r="DW280" s="116"/>
      <c r="DX280" s="219"/>
      <c r="DY280" s="219"/>
      <c r="DZ280" s="116"/>
      <c r="EA280" s="116"/>
      <c r="EB280" s="116"/>
      <c r="EC280" s="116"/>
      <c r="ED280" s="116"/>
      <c r="EF280" s="332"/>
      <c r="EG280" s="116"/>
      <c r="EH280" s="116"/>
      <c r="EI280" s="116"/>
      <c r="EJ280" s="116"/>
      <c r="EK280" s="116"/>
      <c r="EM280" s="116"/>
      <c r="EN280" s="116"/>
      <c r="EO280" s="116"/>
      <c r="EQ280" s="116"/>
      <c r="ER280" s="116"/>
      <c r="ES280" s="116"/>
      <c r="ET280" s="116"/>
      <c r="EU280" s="116"/>
      <c r="EV280" s="116"/>
      <c r="EX280" s="116"/>
      <c r="EY280" s="116"/>
      <c r="EZ280" s="116"/>
      <c r="FA280" s="116"/>
      <c r="FB280" s="116"/>
    </row>
    <row r="281" spans="5:158" ht="13">
      <c r="E281" s="153"/>
      <c r="T281" s="153"/>
      <c r="BD281" s="31"/>
      <c r="BE281" s="31"/>
      <c r="BF281" s="31"/>
      <c r="BG281" s="31"/>
      <c r="BH281" s="31"/>
      <c r="BI281" s="116"/>
      <c r="BL281" s="196"/>
      <c r="BM281" s="239"/>
      <c r="BN281" s="330"/>
      <c r="BP281" s="330"/>
      <c r="BS281" s="116"/>
      <c r="BU281" s="331"/>
      <c r="BW281" s="116"/>
      <c r="BX281" s="116"/>
      <c r="BZ281" s="330"/>
      <c r="CB281" s="330"/>
      <c r="CC281" s="116"/>
      <c r="CG281" s="242"/>
      <c r="CH281" s="116"/>
      <c r="CI281" s="116"/>
      <c r="CJ281" s="116"/>
      <c r="CL281" s="116"/>
      <c r="CN281" s="239"/>
      <c r="CO281" s="153"/>
      <c r="DM281" s="116"/>
      <c r="DN281" s="116"/>
      <c r="DO281" s="116"/>
      <c r="DP281" s="116"/>
      <c r="DW281" s="116"/>
      <c r="DX281" s="219"/>
      <c r="DY281" s="219"/>
      <c r="DZ281" s="116"/>
      <c r="EA281" s="116"/>
      <c r="EB281" s="116"/>
      <c r="EC281" s="116"/>
      <c r="ED281" s="116"/>
      <c r="EF281" s="332"/>
      <c r="EG281" s="116"/>
      <c r="EH281" s="116"/>
      <c r="EI281" s="116"/>
      <c r="EJ281" s="116"/>
      <c r="EK281" s="116"/>
      <c r="EM281" s="116"/>
      <c r="EN281" s="116"/>
      <c r="EO281" s="116"/>
      <c r="EQ281" s="116"/>
      <c r="ER281" s="116"/>
      <c r="ES281" s="116"/>
      <c r="ET281" s="116"/>
      <c r="EU281" s="116"/>
      <c r="EV281" s="116"/>
      <c r="EX281" s="116"/>
      <c r="EY281" s="116"/>
      <c r="EZ281" s="116"/>
      <c r="FA281" s="116"/>
      <c r="FB281" s="116"/>
    </row>
    <row r="282" spans="5:158" ht="13">
      <c r="E282" s="153"/>
      <c r="T282" s="153"/>
      <c r="BD282" s="31"/>
      <c r="BE282" s="31"/>
      <c r="BF282" s="31"/>
      <c r="BG282" s="31"/>
      <c r="BH282" s="31"/>
      <c r="BI282" s="116"/>
      <c r="BL282" s="196"/>
      <c r="BM282" s="239"/>
      <c r="BN282" s="330"/>
      <c r="BP282" s="330"/>
      <c r="BS282" s="116"/>
      <c r="BU282" s="331"/>
      <c r="BW282" s="116"/>
      <c r="BX282" s="116"/>
      <c r="BZ282" s="330"/>
      <c r="CB282" s="330"/>
      <c r="CC282" s="116"/>
      <c r="CG282" s="242"/>
      <c r="CH282" s="116"/>
      <c r="CI282" s="116"/>
      <c r="CJ282" s="116"/>
      <c r="CL282" s="116"/>
      <c r="CN282" s="239"/>
      <c r="CO282" s="153"/>
      <c r="DM282" s="116"/>
      <c r="DN282" s="116"/>
      <c r="DO282" s="116"/>
      <c r="DP282" s="116"/>
      <c r="DW282" s="116"/>
      <c r="DX282" s="219"/>
      <c r="DY282" s="219"/>
      <c r="DZ282" s="116"/>
      <c r="EA282" s="116"/>
      <c r="EB282" s="116"/>
      <c r="EC282" s="116"/>
      <c r="ED282" s="116"/>
      <c r="EF282" s="332"/>
      <c r="EG282" s="116"/>
      <c r="EH282" s="116"/>
      <c r="EI282" s="116"/>
      <c r="EJ282" s="116"/>
      <c r="EK282" s="116"/>
      <c r="EM282" s="116"/>
      <c r="EN282" s="116"/>
      <c r="EO282" s="116"/>
      <c r="EQ282" s="116"/>
      <c r="ER282" s="116"/>
      <c r="ES282" s="116"/>
      <c r="ET282" s="116"/>
      <c r="EU282" s="116"/>
      <c r="EV282" s="116"/>
      <c r="EX282" s="116"/>
      <c r="EY282" s="116"/>
      <c r="EZ282" s="116"/>
      <c r="FA282" s="116"/>
      <c r="FB282" s="116"/>
    </row>
    <row r="283" spans="5:158" ht="13">
      <c r="E283" s="153"/>
      <c r="T283" s="153"/>
      <c r="BD283" s="31"/>
      <c r="BE283" s="31"/>
      <c r="BF283" s="31"/>
      <c r="BG283" s="31"/>
      <c r="BH283" s="31"/>
      <c r="BI283" s="116"/>
      <c r="BL283" s="196"/>
      <c r="BM283" s="239"/>
      <c r="BN283" s="330"/>
      <c r="BP283" s="330"/>
      <c r="BS283" s="116"/>
      <c r="BU283" s="331"/>
      <c r="BW283" s="116"/>
      <c r="BX283" s="116"/>
      <c r="BZ283" s="330"/>
      <c r="CB283" s="330"/>
      <c r="CC283" s="116"/>
      <c r="CG283" s="242"/>
      <c r="CH283" s="116"/>
      <c r="CI283" s="116"/>
      <c r="CJ283" s="116"/>
      <c r="CL283" s="116"/>
      <c r="CN283" s="239"/>
      <c r="CO283" s="153"/>
      <c r="DM283" s="116"/>
      <c r="DN283" s="116"/>
      <c r="DO283" s="116"/>
      <c r="DP283" s="116"/>
      <c r="DW283" s="116"/>
      <c r="DX283" s="219"/>
      <c r="DY283" s="219"/>
      <c r="DZ283" s="116"/>
      <c r="EA283" s="116"/>
      <c r="EB283" s="116"/>
      <c r="EC283" s="116"/>
      <c r="ED283" s="116"/>
      <c r="EF283" s="332"/>
      <c r="EG283" s="116"/>
      <c r="EH283" s="116"/>
      <c r="EI283" s="116"/>
      <c r="EJ283" s="116"/>
      <c r="EK283" s="116"/>
      <c r="EM283" s="116"/>
      <c r="EN283" s="116"/>
      <c r="EO283" s="116"/>
      <c r="EQ283" s="116"/>
      <c r="ER283" s="116"/>
      <c r="ES283" s="116"/>
      <c r="ET283" s="116"/>
      <c r="EU283" s="116"/>
      <c r="EV283" s="116"/>
      <c r="EX283" s="116"/>
      <c r="EY283" s="116"/>
      <c r="EZ283" s="116"/>
      <c r="FA283" s="116"/>
      <c r="FB283" s="116"/>
    </row>
    <row r="284" spans="5:158" ht="13">
      <c r="E284" s="153"/>
      <c r="T284" s="153"/>
      <c r="BD284" s="31"/>
      <c r="BE284" s="31"/>
      <c r="BF284" s="31"/>
      <c r="BG284" s="31"/>
      <c r="BH284" s="31"/>
      <c r="BI284" s="116"/>
      <c r="BL284" s="196"/>
      <c r="BM284" s="239"/>
      <c r="BN284" s="330"/>
      <c r="BP284" s="330"/>
      <c r="BS284" s="116"/>
      <c r="BU284" s="331"/>
      <c r="BW284" s="116"/>
      <c r="BX284" s="116"/>
      <c r="BZ284" s="330"/>
      <c r="CB284" s="330"/>
      <c r="CC284" s="116"/>
      <c r="CG284" s="242"/>
      <c r="CH284" s="116"/>
      <c r="CI284" s="116"/>
      <c r="CJ284" s="116"/>
      <c r="CL284" s="116"/>
      <c r="CN284" s="239"/>
      <c r="CO284" s="153"/>
      <c r="DM284" s="116"/>
      <c r="DN284" s="116"/>
      <c r="DO284" s="116"/>
      <c r="DP284" s="116"/>
      <c r="DW284" s="116"/>
      <c r="DX284" s="219"/>
      <c r="DY284" s="219"/>
      <c r="DZ284" s="116"/>
      <c r="EA284" s="116"/>
      <c r="EB284" s="116"/>
      <c r="EC284" s="116"/>
      <c r="ED284" s="116"/>
      <c r="EF284" s="332"/>
      <c r="EG284" s="116"/>
      <c r="EH284" s="116"/>
      <c r="EI284" s="116"/>
      <c r="EJ284" s="116"/>
      <c r="EK284" s="116"/>
      <c r="EM284" s="116"/>
      <c r="EN284" s="116"/>
      <c r="EO284" s="116"/>
      <c r="EQ284" s="116"/>
      <c r="ER284" s="116"/>
      <c r="ES284" s="116"/>
      <c r="ET284" s="116"/>
      <c r="EU284" s="116"/>
      <c r="EV284" s="116"/>
      <c r="EX284" s="116"/>
      <c r="EY284" s="116"/>
      <c r="EZ284" s="116"/>
      <c r="FA284" s="116"/>
      <c r="FB284" s="116"/>
    </row>
    <row r="285" spans="5:158" ht="13">
      <c r="E285" s="153"/>
      <c r="T285" s="153"/>
      <c r="BD285" s="31"/>
      <c r="BE285" s="31"/>
      <c r="BF285" s="31"/>
      <c r="BG285" s="31"/>
      <c r="BH285" s="31"/>
      <c r="BI285" s="116"/>
      <c r="BL285" s="196"/>
      <c r="BM285" s="239"/>
      <c r="BN285" s="330"/>
      <c r="BP285" s="330"/>
      <c r="BS285" s="116"/>
      <c r="BU285" s="331"/>
      <c r="BW285" s="116"/>
      <c r="BX285" s="116"/>
      <c r="BZ285" s="330"/>
      <c r="CB285" s="330"/>
      <c r="CC285" s="116"/>
      <c r="CG285" s="242"/>
      <c r="CH285" s="116"/>
      <c r="CI285" s="116"/>
      <c r="CJ285" s="116"/>
      <c r="CL285" s="116"/>
      <c r="CN285" s="239"/>
      <c r="CO285" s="153"/>
      <c r="DM285" s="116"/>
      <c r="DN285" s="116"/>
      <c r="DO285" s="116"/>
      <c r="DP285" s="116"/>
      <c r="DW285" s="116"/>
      <c r="DX285" s="219"/>
      <c r="DY285" s="219"/>
      <c r="DZ285" s="116"/>
      <c r="EA285" s="116"/>
      <c r="EB285" s="116"/>
      <c r="EC285" s="116"/>
      <c r="ED285" s="116"/>
      <c r="EF285" s="332"/>
      <c r="EG285" s="116"/>
      <c r="EH285" s="116"/>
      <c r="EI285" s="116"/>
      <c r="EJ285" s="116"/>
      <c r="EK285" s="116"/>
      <c r="EM285" s="116"/>
      <c r="EN285" s="116"/>
      <c r="EO285" s="116"/>
      <c r="EQ285" s="116"/>
      <c r="ER285" s="116"/>
      <c r="ES285" s="116"/>
      <c r="ET285" s="116"/>
      <c r="EU285" s="116"/>
      <c r="EV285" s="116"/>
      <c r="EX285" s="116"/>
      <c r="EY285" s="116"/>
      <c r="EZ285" s="116"/>
      <c r="FA285" s="116"/>
      <c r="FB285" s="116"/>
    </row>
    <row r="286" spans="5:158" ht="13">
      <c r="E286" s="153"/>
      <c r="T286" s="153"/>
      <c r="BD286" s="31"/>
      <c r="BE286" s="31"/>
      <c r="BF286" s="31"/>
      <c r="BG286" s="31"/>
      <c r="BH286" s="31"/>
      <c r="BI286" s="116"/>
      <c r="BL286" s="196"/>
      <c r="BM286" s="239"/>
      <c r="BN286" s="330"/>
      <c r="BP286" s="330"/>
      <c r="BS286" s="116"/>
      <c r="BU286" s="331"/>
      <c r="BW286" s="116"/>
      <c r="BX286" s="116"/>
      <c r="BZ286" s="330"/>
      <c r="CB286" s="330"/>
      <c r="CC286" s="116"/>
      <c r="CG286" s="242"/>
      <c r="CH286" s="116"/>
      <c r="CI286" s="116"/>
      <c r="CJ286" s="116"/>
      <c r="CL286" s="116"/>
      <c r="CN286" s="239"/>
      <c r="CO286" s="153"/>
      <c r="DM286" s="116"/>
      <c r="DN286" s="116"/>
      <c r="DO286" s="116"/>
      <c r="DP286" s="116"/>
      <c r="DW286" s="116"/>
      <c r="DX286" s="219"/>
      <c r="DY286" s="219"/>
      <c r="DZ286" s="116"/>
      <c r="EA286" s="116"/>
      <c r="EB286" s="116"/>
      <c r="EC286" s="116"/>
      <c r="ED286" s="116"/>
      <c r="EF286" s="332"/>
      <c r="EG286" s="116"/>
      <c r="EH286" s="116"/>
      <c r="EI286" s="116"/>
      <c r="EJ286" s="116"/>
      <c r="EK286" s="116"/>
      <c r="EM286" s="116"/>
      <c r="EN286" s="116"/>
      <c r="EO286" s="116"/>
      <c r="EQ286" s="116"/>
      <c r="ER286" s="116"/>
      <c r="ES286" s="116"/>
      <c r="ET286" s="116"/>
      <c r="EU286" s="116"/>
      <c r="EV286" s="116"/>
      <c r="EX286" s="116"/>
      <c r="EY286" s="116"/>
      <c r="EZ286" s="116"/>
      <c r="FA286" s="116"/>
      <c r="FB286" s="116"/>
    </row>
    <row r="287" spans="5:158" ht="13">
      <c r="E287" s="153"/>
      <c r="T287" s="153"/>
      <c r="BD287" s="31"/>
      <c r="BE287" s="31"/>
      <c r="BF287" s="31"/>
      <c r="BG287" s="31"/>
      <c r="BH287" s="31"/>
      <c r="BI287" s="116"/>
      <c r="BL287" s="196"/>
      <c r="BM287" s="239"/>
      <c r="BN287" s="330"/>
      <c r="BP287" s="330"/>
      <c r="BS287" s="116"/>
      <c r="BU287" s="331"/>
      <c r="BW287" s="116"/>
      <c r="BX287" s="116"/>
      <c r="BZ287" s="330"/>
      <c r="CB287" s="330"/>
      <c r="CC287" s="116"/>
      <c r="CG287" s="242"/>
      <c r="CH287" s="116"/>
      <c r="CI287" s="116"/>
      <c r="CJ287" s="116"/>
      <c r="CL287" s="116"/>
      <c r="CN287" s="239"/>
      <c r="CO287" s="153"/>
      <c r="DM287" s="116"/>
      <c r="DN287" s="116"/>
      <c r="DO287" s="116"/>
      <c r="DP287" s="116"/>
      <c r="DW287" s="116"/>
      <c r="DX287" s="219"/>
      <c r="DY287" s="219"/>
      <c r="DZ287" s="116"/>
      <c r="EA287" s="116"/>
      <c r="EB287" s="116"/>
      <c r="EC287" s="116"/>
      <c r="ED287" s="116"/>
      <c r="EF287" s="332"/>
      <c r="EG287" s="116"/>
      <c r="EH287" s="116"/>
      <c r="EI287" s="116"/>
      <c r="EJ287" s="116"/>
      <c r="EK287" s="116"/>
      <c r="EM287" s="116"/>
      <c r="EN287" s="116"/>
      <c r="EO287" s="116"/>
      <c r="EQ287" s="116"/>
      <c r="ER287" s="116"/>
      <c r="ES287" s="116"/>
      <c r="ET287" s="116"/>
      <c r="EU287" s="116"/>
      <c r="EV287" s="116"/>
      <c r="EX287" s="116"/>
      <c r="EY287" s="116"/>
      <c r="EZ287" s="116"/>
      <c r="FA287" s="116"/>
      <c r="FB287" s="116"/>
    </row>
    <row r="288" spans="5:158" ht="13">
      <c r="E288" s="153"/>
      <c r="T288" s="153"/>
      <c r="BD288" s="31"/>
      <c r="BE288" s="31"/>
      <c r="BF288" s="31"/>
      <c r="BG288" s="31"/>
      <c r="BH288" s="31"/>
      <c r="BI288" s="116"/>
      <c r="BL288" s="196"/>
      <c r="BM288" s="239"/>
      <c r="BN288" s="330"/>
      <c r="BP288" s="330"/>
      <c r="BS288" s="116"/>
      <c r="BU288" s="331"/>
      <c r="BW288" s="116"/>
      <c r="BX288" s="116"/>
      <c r="BZ288" s="330"/>
      <c r="CB288" s="330"/>
      <c r="CC288" s="116"/>
      <c r="CG288" s="242"/>
      <c r="CH288" s="116"/>
      <c r="CI288" s="116"/>
      <c r="CJ288" s="116"/>
      <c r="CL288" s="116"/>
      <c r="CN288" s="239"/>
      <c r="CO288" s="153"/>
      <c r="DM288" s="116"/>
      <c r="DN288" s="116"/>
      <c r="DO288" s="116"/>
      <c r="DP288" s="116"/>
      <c r="DW288" s="116"/>
      <c r="DX288" s="219"/>
      <c r="DY288" s="219"/>
      <c r="DZ288" s="116"/>
      <c r="EA288" s="116"/>
      <c r="EB288" s="116"/>
      <c r="EC288" s="116"/>
      <c r="ED288" s="116"/>
      <c r="EF288" s="332"/>
      <c r="EG288" s="116"/>
      <c r="EH288" s="116"/>
      <c r="EI288" s="116"/>
      <c r="EJ288" s="116"/>
      <c r="EK288" s="116"/>
      <c r="EM288" s="116"/>
      <c r="EN288" s="116"/>
      <c r="EO288" s="116"/>
      <c r="EQ288" s="116"/>
      <c r="ER288" s="116"/>
      <c r="ES288" s="116"/>
      <c r="ET288" s="116"/>
      <c r="EU288" s="116"/>
      <c r="EV288" s="116"/>
      <c r="EX288" s="116"/>
      <c r="EY288" s="116"/>
      <c r="EZ288" s="116"/>
      <c r="FA288" s="116"/>
      <c r="FB288" s="116"/>
    </row>
    <row r="289" spans="5:158" ht="13">
      <c r="E289" s="153"/>
      <c r="T289" s="153"/>
      <c r="BD289" s="31"/>
      <c r="BE289" s="31"/>
      <c r="BF289" s="31"/>
      <c r="BG289" s="31"/>
      <c r="BH289" s="31"/>
      <c r="BI289" s="116"/>
      <c r="BL289" s="196"/>
      <c r="BM289" s="239"/>
      <c r="BN289" s="330"/>
      <c r="BP289" s="330"/>
      <c r="BS289" s="116"/>
      <c r="BU289" s="331"/>
      <c r="BW289" s="116"/>
      <c r="BX289" s="116"/>
      <c r="BZ289" s="330"/>
      <c r="CB289" s="330"/>
      <c r="CC289" s="116"/>
      <c r="CG289" s="242"/>
      <c r="CH289" s="116"/>
      <c r="CI289" s="116"/>
      <c r="CJ289" s="116"/>
      <c r="CL289" s="116"/>
      <c r="CN289" s="239"/>
      <c r="CO289" s="153"/>
      <c r="DM289" s="116"/>
      <c r="DN289" s="116"/>
      <c r="DO289" s="116"/>
      <c r="DP289" s="116"/>
      <c r="DW289" s="116"/>
      <c r="DX289" s="219"/>
      <c r="DY289" s="219"/>
      <c r="DZ289" s="116"/>
      <c r="EA289" s="116"/>
      <c r="EB289" s="116"/>
      <c r="EC289" s="116"/>
      <c r="ED289" s="116"/>
      <c r="EF289" s="332"/>
      <c r="EG289" s="116"/>
      <c r="EH289" s="116"/>
      <c r="EI289" s="116"/>
      <c r="EJ289" s="116"/>
      <c r="EK289" s="116"/>
      <c r="EM289" s="116"/>
      <c r="EN289" s="116"/>
      <c r="EO289" s="116"/>
      <c r="EQ289" s="116"/>
      <c r="ER289" s="116"/>
      <c r="ES289" s="116"/>
      <c r="ET289" s="116"/>
      <c r="EU289" s="116"/>
      <c r="EV289" s="116"/>
      <c r="EX289" s="116"/>
      <c r="EY289" s="116"/>
      <c r="EZ289" s="116"/>
      <c r="FA289" s="116"/>
      <c r="FB289" s="116"/>
    </row>
    <row r="290" spans="5:158" ht="13">
      <c r="E290" s="153"/>
      <c r="T290" s="153"/>
      <c r="BD290" s="31"/>
      <c r="BE290" s="31"/>
      <c r="BF290" s="31"/>
      <c r="BG290" s="31"/>
      <c r="BH290" s="31"/>
      <c r="BI290" s="116"/>
      <c r="BL290" s="196"/>
      <c r="BM290" s="239"/>
      <c r="BN290" s="330"/>
      <c r="BP290" s="330"/>
      <c r="BS290" s="116"/>
      <c r="BU290" s="331"/>
      <c r="BW290" s="116"/>
      <c r="BX290" s="116"/>
      <c r="BZ290" s="330"/>
      <c r="CB290" s="330"/>
      <c r="CC290" s="116"/>
      <c r="CG290" s="242"/>
      <c r="CH290" s="116"/>
      <c r="CI290" s="116"/>
      <c r="CJ290" s="116"/>
      <c r="CL290" s="116"/>
      <c r="CN290" s="239"/>
      <c r="CO290" s="153"/>
      <c r="DM290" s="116"/>
      <c r="DN290" s="116"/>
      <c r="DO290" s="116"/>
      <c r="DP290" s="116"/>
      <c r="DW290" s="116"/>
      <c r="DX290" s="219"/>
      <c r="DY290" s="219"/>
      <c r="DZ290" s="116"/>
      <c r="EA290" s="116"/>
      <c r="EB290" s="116"/>
      <c r="EC290" s="116"/>
      <c r="ED290" s="116"/>
      <c r="EF290" s="332"/>
      <c r="EG290" s="116"/>
      <c r="EH290" s="116"/>
      <c r="EI290" s="116"/>
      <c r="EJ290" s="116"/>
      <c r="EK290" s="116"/>
      <c r="EM290" s="116"/>
      <c r="EN290" s="116"/>
      <c r="EO290" s="116"/>
      <c r="EQ290" s="116"/>
      <c r="ER290" s="116"/>
      <c r="ES290" s="116"/>
      <c r="ET290" s="116"/>
      <c r="EU290" s="116"/>
      <c r="EV290" s="116"/>
      <c r="EX290" s="116"/>
      <c r="EY290" s="116"/>
      <c r="EZ290" s="116"/>
      <c r="FA290" s="116"/>
      <c r="FB290" s="116"/>
    </row>
    <row r="291" spans="5:158" ht="13">
      <c r="E291" s="153"/>
      <c r="T291" s="153"/>
      <c r="BD291" s="31"/>
      <c r="BE291" s="31"/>
      <c r="BF291" s="31"/>
      <c r="BG291" s="31"/>
      <c r="BH291" s="31"/>
      <c r="BI291" s="116"/>
      <c r="BL291" s="196"/>
      <c r="BM291" s="239"/>
      <c r="BN291" s="330"/>
      <c r="BP291" s="330"/>
      <c r="BS291" s="116"/>
      <c r="BU291" s="331"/>
      <c r="BW291" s="116"/>
      <c r="BX291" s="116"/>
      <c r="BZ291" s="330"/>
      <c r="CB291" s="330"/>
      <c r="CC291" s="116"/>
      <c r="CG291" s="242"/>
      <c r="CH291" s="116"/>
      <c r="CI291" s="116"/>
      <c r="CJ291" s="116"/>
      <c r="CL291" s="116"/>
      <c r="CN291" s="239"/>
      <c r="CO291" s="153"/>
      <c r="DM291" s="116"/>
      <c r="DN291" s="116"/>
      <c r="DO291" s="116"/>
      <c r="DP291" s="116"/>
      <c r="DW291" s="116"/>
      <c r="DX291" s="219"/>
      <c r="DY291" s="219"/>
      <c r="DZ291" s="116"/>
      <c r="EA291" s="116"/>
      <c r="EB291" s="116"/>
      <c r="EC291" s="116"/>
      <c r="ED291" s="116"/>
      <c r="EF291" s="332"/>
      <c r="EG291" s="116"/>
      <c r="EH291" s="116"/>
      <c r="EI291" s="116"/>
      <c r="EJ291" s="116"/>
      <c r="EK291" s="116"/>
      <c r="EM291" s="116"/>
      <c r="EN291" s="116"/>
      <c r="EO291" s="116"/>
      <c r="EQ291" s="116"/>
      <c r="ER291" s="116"/>
      <c r="ES291" s="116"/>
      <c r="ET291" s="116"/>
      <c r="EU291" s="116"/>
      <c r="EV291" s="116"/>
      <c r="EX291" s="116"/>
      <c r="EY291" s="116"/>
      <c r="EZ291" s="116"/>
      <c r="FA291" s="116"/>
      <c r="FB291" s="116"/>
    </row>
    <row r="292" spans="5:158" ht="13">
      <c r="E292" s="153"/>
      <c r="T292" s="153"/>
      <c r="BD292" s="31"/>
      <c r="BE292" s="31"/>
      <c r="BF292" s="31"/>
      <c r="BG292" s="31"/>
      <c r="BH292" s="31"/>
      <c r="BI292" s="116"/>
      <c r="BL292" s="196"/>
      <c r="BM292" s="239"/>
      <c r="BN292" s="330"/>
      <c r="BP292" s="330"/>
      <c r="BS292" s="116"/>
      <c r="BU292" s="331"/>
      <c r="BW292" s="116"/>
      <c r="BX292" s="116"/>
      <c r="BZ292" s="330"/>
      <c r="CB292" s="330"/>
      <c r="CC292" s="116"/>
      <c r="CG292" s="242"/>
      <c r="CH292" s="116"/>
      <c r="CI292" s="116"/>
      <c r="CJ292" s="116"/>
      <c r="CL292" s="116"/>
      <c r="CN292" s="239"/>
      <c r="CO292" s="153"/>
      <c r="DM292" s="116"/>
      <c r="DN292" s="116"/>
      <c r="DO292" s="116"/>
      <c r="DP292" s="116"/>
      <c r="DW292" s="116"/>
      <c r="DX292" s="219"/>
      <c r="DY292" s="219"/>
      <c r="DZ292" s="116"/>
      <c r="EA292" s="116"/>
      <c r="EB292" s="116"/>
      <c r="EC292" s="116"/>
      <c r="ED292" s="116"/>
      <c r="EF292" s="332"/>
      <c r="EG292" s="116"/>
      <c r="EH292" s="116"/>
      <c r="EI292" s="116"/>
      <c r="EJ292" s="116"/>
      <c r="EK292" s="116"/>
      <c r="EM292" s="116"/>
      <c r="EN292" s="116"/>
      <c r="EO292" s="116"/>
      <c r="EQ292" s="116"/>
      <c r="ER292" s="116"/>
      <c r="ES292" s="116"/>
      <c r="ET292" s="116"/>
      <c r="EU292" s="116"/>
      <c r="EV292" s="116"/>
      <c r="EX292" s="116"/>
      <c r="EY292" s="116"/>
      <c r="EZ292" s="116"/>
      <c r="FA292" s="116"/>
      <c r="FB292" s="116"/>
    </row>
    <row r="293" spans="5:158" ht="13">
      <c r="E293" s="153"/>
      <c r="T293" s="153"/>
      <c r="BD293" s="31"/>
      <c r="BE293" s="31"/>
      <c r="BF293" s="31"/>
      <c r="BG293" s="31"/>
      <c r="BH293" s="31"/>
      <c r="BI293" s="116"/>
      <c r="BL293" s="196"/>
      <c r="BM293" s="239"/>
      <c r="BN293" s="330"/>
      <c r="BP293" s="330"/>
      <c r="BS293" s="116"/>
      <c r="BU293" s="331"/>
      <c r="BW293" s="116"/>
      <c r="BX293" s="116"/>
      <c r="BZ293" s="330"/>
      <c r="CB293" s="330"/>
      <c r="CC293" s="116"/>
      <c r="CG293" s="242"/>
      <c r="CH293" s="116"/>
      <c r="CI293" s="116"/>
      <c r="CJ293" s="116"/>
      <c r="CL293" s="116"/>
      <c r="CN293" s="239"/>
      <c r="CO293" s="153"/>
      <c r="DM293" s="116"/>
      <c r="DN293" s="116"/>
      <c r="DO293" s="116"/>
      <c r="DP293" s="116"/>
      <c r="DW293" s="116"/>
      <c r="DX293" s="219"/>
      <c r="DY293" s="219"/>
      <c r="DZ293" s="116"/>
      <c r="EA293" s="116"/>
      <c r="EB293" s="116"/>
      <c r="EC293" s="116"/>
      <c r="ED293" s="116"/>
      <c r="EF293" s="332"/>
      <c r="EG293" s="116"/>
      <c r="EH293" s="116"/>
      <c r="EI293" s="116"/>
      <c r="EJ293" s="116"/>
      <c r="EK293" s="116"/>
      <c r="EM293" s="116"/>
      <c r="EN293" s="116"/>
      <c r="EO293" s="116"/>
      <c r="EQ293" s="116"/>
      <c r="ER293" s="116"/>
      <c r="ES293" s="116"/>
      <c r="ET293" s="116"/>
      <c r="EU293" s="116"/>
      <c r="EV293" s="116"/>
      <c r="EX293" s="116"/>
      <c r="EY293" s="116"/>
      <c r="EZ293" s="116"/>
      <c r="FA293" s="116"/>
      <c r="FB293" s="116"/>
    </row>
    <row r="294" spans="5:158" ht="13">
      <c r="E294" s="153"/>
      <c r="T294" s="153"/>
      <c r="BD294" s="31"/>
      <c r="BE294" s="31"/>
      <c r="BF294" s="31"/>
      <c r="BG294" s="31"/>
      <c r="BH294" s="31"/>
      <c r="BI294" s="116"/>
      <c r="BL294" s="196"/>
      <c r="BM294" s="239"/>
      <c r="BN294" s="330"/>
      <c r="BP294" s="330"/>
      <c r="BS294" s="116"/>
      <c r="BU294" s="331"/>
      <c r="BW294" s="116"/>
      <c r="BX294" s="116"/>
      <c r="BZ294" s="330"/>
      <c r="CB294" s="330"/>
      <c r="CC294" s="116"/>
      <c r="CG294" s="242"/>
      <c r="CH294" s="116"/>
      <c r="CI294" s="116"/>
      <c r="CJ294" s="116"/>
      <c r="CL294" s="116"/>
      <c r="CN294" s="239"/>
      <c r="CO294" s="153"/>
      <c r="DM294" s="116"/>
      <c r="DN294" s="116"/>
      <c r="DO294" s="116"/>
      <c r="DP294" s="116"/>
      <c r="DW294" s="116"/>
      <c r="DX294" s="219"/>
      <c r="DY294" s="219"/>
      <c r="DZ294" s="116"/>
      <c r="EA294" s="116"/>
      <c r="EB294" s="116"/>
      <c r="EC294" s="116"/>
      <c r="ED294" s="116"/>
      <c r="EF294" s="332"/>
      <c r="EG294" s="116"/>
      <c r="EH294" s="116"/>
      <c r="EI294" s="116"/>
      <c r="EJ294" s="116"/>
      <c r="EK294" s="116"/>
      <c r="EM294" s="116"/>
      <c r="EN294" s="116"/>
      <c r="EO294" s="116"/>
      <c r="EQ294" s="116"/>
      <c r="ER294" s="116"/>
      <c r="ES294" s="116"/>
      <c r="ET294" s="116"/>
      <c r="EU294" s="116"/>
      <c r="EV294" s="116"/>
      <c r="EX294" s="116"/>
      <c r="EY294" s="116"/>
      <c r="EZ294" s="116"/>
      <c r="FA294" s="116"/>
      <c r="FB294" s="116"/>
    </row>
    <row r="295" spans="5:158" ht="13">
      <c r="E295" s="153"/>
      <c r="T295" s="153"/>
      <c r="BD295" s="31"/>
      <c r="BE295" s="31"/>
      <c r="BF295" s="31"/>
      <c r="BG295" s="31"/>
      <c r="BH295" s="31"/>
      <c r="BI295" s="116"/>
      <c r="BL295" s="196"/>
      <c r="BM295" s="239"/>
      <c r="BN295" s="330"/>
      <c r="BP295" s="330"/>
      <c r="BS295" s="116"/>
      <c r="BU295" s="331"/>
      <c r="BW295" s="116"/>
      <c r="BX295" s="116"/>
      <c r="BZ295" s="330"/>
      <c r="CB295" s="330"/>
      <c r="CC295" s="116"/>
      <c r="CG295" s="242"/>
      <c r="CH295" s="116"/>
      <c r="CI295" s="116"/>
      <c r="CJ295" s="116"/>
      <c r="CL295" s="116"/>
      <c r="CN295" s="239"/>
      <c r="CO295" s="153"/>
      <c r="DM295" s="116"/>
      <c r="DN295" s="116"/>
      <c r="DO295" s="116"/>
      <c r="DP295" s="116"/>
      <c r="DW295" s="116"/>
      <c r="DX295" s="219"/>
      <c r="DY295" s="219"/>
      <c r="DZ295" s="116"/>
      <c r="EA295" s="116"/>
      <c r="EB295" s="116"/>
      <c r="EC295" s="116"/>
      <c r="ED295" s="116"/>
      <c r="EF295" s="332"/>
      <c r="EG295" s="116"/>
      <c r="EH295" s="116"/>
      <c r="EI295" s="116"/>
      <c r="EJ295" s="116"/>
      <c r="EK295" s="116"/>
      <c r="EM295" s="116"/>
      <c r="EN295" s="116"/>
      <c r="EO295" s="116"/>
      <c r="EQ295" s="116"/>
      <c r="ER295" s="116"/>
      <c r="ES295" s="116"/>
      <c r="ET295" s="116"/>
      <c r="EU295" s="116"/>
      <c r="EV295" s="116"/>
      <c r="EX295" s="116"/>
      <c r="EY295" s="116"/>
      <c r="EZ295" s="116"/>
      <c r="FA295" s="116"/>
      <c r="FB295" s="116"/>
    </row>
    <row r="296" spans="5:158" ht="13">
      <c r="E296" s="153"/>
      <c r="T296" s="153"/>
      <c r="BD296" s="31"/>
      <c r="BE296" s="31"/>
      <c r="BF296" s="31"/>
      <c r="BG296" s="31"/>
      <c r="BH296" s="31"/>
      <c r="BI296" s="116"/>
      <c r="BL296" s="196"/>
      <c r="BM296" s="239"/>
      <c r="BN296" s="330"/>
      <c r="BP296" s="330"/>
      <c r="BS296" s="116"/>
      <c r="BU296" s="331"/>
      <c r="BW296" s="116"/>
      <c r="BX296" s="116"/>
      <c r="BZ296" s="330"/>
      <c r="CB296" s="330"/>
      <c r="CC296" s="116"/>
      <c r="CG296" s="242"/>
      <c r="CH296" s="116"/>
      <c r="CI296" s="116"/>
      <c r="CJ296" s="116"/>
      <c r="CL296" s="116"/>
      <c r="CN296" s="239"/>
      <c r="CO296" s="153"/>
      <c r="DM296" s="116"/>
      <c r="DN296" s="116"/>
      <c r="DO296" s="116"/>
      <c r="DP296" s="116"/>
      <c r="DW296" s="116"/>
      <c r="DX296" s="219"/>
      <c r="DY296" s="219"/>
      <c r="DZ296" s="116"/>
      <c r="EA296" s="116"/>
      <c r="EB296" s="116"/>
      <c r="EC296" s="116"/>
      <c r="ED296" s="116"/>
      <c r="EF296" s="332"/>
      <c r="EG296" s="116"/>
      <c r="EH296" s="116"/>
      <c r="EI296" s="116"/>
      <c r="EJ296" s="116"/>
      <c r="EK296" s="116"/>
      <c r="EM296" s="116"/>
      <c r="EN296" s="116"/>
      <c r="EO296" s="116"/>
      <c r="EQ296" s="116"/>
      <c r="ER296" s="116"/>
      <c r="ES296" s="116"/>
      <c r="ET296" s="116"/>
      <c r="EU296" s="116"/>
      <c r="EV296" s="116"/>
      <c r="EX296" s="116"/>
      <c r="EY296" s="116"/>
      <c r="EZ296" s="116"/>
      <c r="FA296" s="116"/>
      <c r="FB296" s="116"/>
    </row>
    <row r="297" spans="5:158" ht="13">
      <c r="E297" s="153"/>
      <c r="T297" s="153"/>
      <c r="BD297" s="31"/>
      <c r="BE297" s="31"/>
      <c r="BF297" s="31"/>
      <c r="BG297" s="31"/>
      <c r="BH297" s="31"/>
      <c r="BI297" s="116"/>
      <c r="BL297" s="196"/>
      <c r="BM297" s="239"/>
      <c r="BN297" s="330"/>
      <c r="BP297" s="330"/>
      <c r="BS297" s="116"/>
      <c r="BU297" s="331"/>
      <c r="BW297" s="116"/>
      <c r="BX297" s="116"/>
      <c r="BZ297" s="330"/>
      <c r="CB297" s="330"/>
      <c r="CC297" s="116"/>
      <c r="CG297" s="242"/>
      <c r="CH297" s="116"/>
      <c r="CI297" s="116"/>
      <c r="CJ297" s="116"/>
      <c r="CL297" s="116"/>
      <c r="CN297" s="239"/>
      <c r="CO297" s="153"/>
      <c r="DM297" s="116"/>
      <c r="DN297" s="116"/>
      <c r="DO297" s="116"/>
      <c r="DP297" s="116"/>
      <c r="DW297" s="116"/>
      <c r="DX297" s="219"/>
      <c r="DY297" s="219"/>
      <c r="DZ297" s="116"/>
      <c r="EA297" s="116"/>
      <c r="EB297" s="116"/>
      <c r="EC297" s="116"/>
      <c r="ED297" s="116"/>
      <c r="EF297" s="332"/>
      <c r="EG297" s="116"/>
      <c r="EH297" s="116"/>
      <c r="EI297" s="116"/>
      <c r="EJ297" s="116"/>
      <c r="EK297" s="116"/>
      <c r="EM297" s="116"/>
      <c r="EN297" s="116"/>
      <c r="EO297" s="116"/>
      <c r="EQ297" s="116"/>
      <c r="ER297" s="116"/>
      <c r="ES297" s="116"/>
      <c r="ET297" s="116"/>
      <c r="EU297" s="116"/>
      <c r="EV297" s="116"/>
      <c r="EX297" s="116"/>
      <c r="EY297" s="116"/>
      <c r="EZ297" s="116"/>
      <c r="FA297" s="116"/>
      <c r="FB297" s="116"/>
    </row>
    <row r="298" spans="5:158" ht="13">
      <c r="E298" s="153"/>
      <c r="T298" s="153"/>
      <c r="BD298" s="31"/>
      <c r="BE298" s="31"/>
      <c r="BF298" s="31"/>
      <c r="BG298" s="31"/>
      <c r="BH298" s="31"/>
      <c r="BI298" s="116"/>
      <c r="BL298" s="196"/>
      <c r="BM298" s="239"/>
      <c r="BN298" s="330"/>
      <c r="BP298" s="330"/>
      <c r="BS298" s="116"/>
      <c r="BU298" s="331"/>
      <c r="BW298" s="116"/>
      <c r="BX298" s="116"/>
      <c r="BZ298" s="330"/>
      <c r="CB298" s="330"/>
      <c r="CC298" s="116"/>
      <c r="CG298" s="242"/>
      <c r="CH298" s="116"/>
      <c r="CI298" s="116"/>
      <c r="CJ298" s="116"/>
      <c r="CL298" s="116"/>
      <c r="CN298" s="239"/>
      <c r="CO298" s="153"/>
      <c r="DM298" s="116"/>
      <c r="DN298" s="116"/>
      <c r="DO298" s="116"/>
      <c r="DP298" s="116"/>
      <c r="DW298" s="116"/>
      <c r="DX298" s="219"/>
      <c r="DY298" s="219"/>
      <c r="DZ298" s="116"/>
      <c r="EA298" s="116"/>
      <c r="EB298" s="116"/>
      <c r="EC298" s="116"/>
      <c r="ED298" s="116"/>
      <c r="EF298" s="332"/>
      <c r="EG298" s="116"/>
      <c r="EH298" s="116"/>
      <c r="EI298" s="116"/>
      <c r="EJ298" s="116"/>
      <c r="EK298" s="116"/>
      <c r="EM298" s="116"/>
      <c r="EN298" s="116"/>
      <c r="EO298" s="116"/>
      <c r="EQ298" s="116"/>
      <c r="ER298" s="116"/>
      <c r="ES298" s="116"/>
      <c r="ET298" s="116"/>
      <c r="EU298" s="116"/>
      <c r="EV298" s="116"/>
      <c r="EX298" s="116"/>
      <c r="EY298" s="116"/>
      <c r="EZ298" s="116"/>
      <c r="FA298" s="116"/>
      <c r="FB298" s="116"/>
    </row>
    <row r="299" spans="5:158" ht="13">
      <c r="E299" s="153"/>
      <c r="T299" s="153"/>
      <c r="BD299" s="31"/>
      <c r="BE299" s="31"/>
      <c r="BF299" s="31"/>
      <c r="BG299" s="31"/>
      <c r="BH299" s="31"/>
      <c r="BI299" s="116"/>
      <c r="BL299" s="196"/>
      <c r="BM299" s="239"/>
      <c r="BN299" s="330"/>
      <c r="BP299" s="330"/>
      <c r="BS299" s="116"/>
      <c r="BU299" s="331"/>
      <c r="BW299" s="116"/>
      <c r="BX299" s="116"/>
      <c r="BZ299" s="330"/>
      <c r="CB299" s="330"/>
      <c r="CC299" s="116"/>
      <c r="CG299" s="242"/>
      <c r="CH299" s="116"/>
      <c r="CI299" s="116"/>
      <c r="CJ299" s="116"/>
      <c r="CL299" s="116"/>
      <c r="CN299" s="239"/>
      <c r="CO299" s="153"/>
      <c r="DM299" s="116"/>
      <c r="DN299" s="116"/>
      <c r="DO299" s="116"/>
      <c r="DP299" s="116"/>
      <c r="DW299" s="116"/>
      <c r="DX299" s="219"/>
      <c r="DY299" s="219"/>
      <c r="DZ299" s="116"/>
      <c r="EA299" s="116"/>
      <c r="EB299" s="116"/>
      <c r="EC299" s="116"/>
      <c r="ED299" s="116"/>
      <c r="EF299" s="332"/>
      <c r="EG299" s="116"/>
      <c r="EH299" s="116"/>
      <c r="EI299" s="116"/>
      <c r="EJ299" s="116"/>
      <c r="EK299" s="116"/>
      <c r="EM299" s="116"/>
      <c r="EN299" s="116"/>
      <c r="EO299" s="116"/>
      <c r="EQ299" s="116"/>
      <c r="ER299" s="116"/>
      <c r="ES299" s="116"/>
      <c r="ET299" s="116"/>
      <c r="EU299" s="116"/>
      <c r="EV299" s="116"/>
      <c r="EX299" s="116"/>
      <c r="EY299" s="116"/>
      <c r="EZ299" s="116"/>
      <c r="FA299" s="116"/>
      <c r="FB299" s="116"/>
    </row>
    <row r="300" spans="5:158" ht="13">
      <c r="E300" s="153"/>
      <c r="T300" s="153"/>
      <c r="BD300" s="31"/>
      <c r="BE300" s="31"/>
      <c r="BF300" s="31"/>
      <c r="BG300" s="31"/>
      <c r="BH300" s="31"/>
      <c r="BI300" s="116"/>
      <c r="BL300" s="196"/>
      <c r="BM300" s="239"/>
      <c r="BN300" s="330"/>
      <c r="BP300" s="330"/>
      <c r="BS300" s="116"/>
      <c r="BU300" s="331"/>
      <c r="BW300" s="116"/>
      <c r="BX300" s="116"/>
      <c r="BZ300" s="330"/>
      <c r="CB300" s="330"/>
      <c r="CC300" s="116"/>
      <c r="CG300" s="242"/>
      <c r="CH300" s="116"/>
      <c r="CI300" s="116"/>
      <c r="CJ300" s="116"/>
      <c r="CL300" s="116"/>
      <c r="CN300" s="239"/>
      <c r="CO300" s="153"/>
      <c r="DM300" s="116"/>
      <c r="DN300" s="116"/>
      <c r="DO300" s="116"/>
      <c r="DP300" s="116"/>
      <c r="DW300" s="116"/>
      <c r="DX300" s="219"/>
      <c r="DY300" s="219"/>
      <c r="DZ300" s="116"/>
      <c r="EA300" s="116"/>
      <c r="EB300" s="116"/>
      <c r="EC300" s="116"/>
      <c r="ED300" s="116"/>
      <c r="EF300" s="332"/>
      <c r="EG300" s="116"/>
      <c r="EH300" s="116"/>
      <c r="EI300" s="116"/>
      <c r="EJ300" s="116"/>
      <c r="EK300" s="116"/>
      <c r="EM300" s="116"/>
      <c r="EN300" s="116"/>
      <c r="EO300" s="116"/>
      <c r="EQ300" s="116"/>
      <c r="ER300" s="116"/>
      <c r="ES300" s="116"/>
      <c r="ET300" s="116"/>
      <c r="EU300" s="116"/>
      <c r="EV300" s="116"/>
      <c r="EX300" s="116"/>
      <c r="EY300" s="116"/>
      <c r="EZ300" s="116"/>
      <c r="FA300" s="116"/>
      <c r="FB300" s="116"/>
    </row>
    <row r="301" spans="5:158" ht="13">
      <c r="E301" s="153"/>
      <c r="T301" s="153"/>
      <c r="BD301" s="31"/>
      <c r="BE301" s="31"/>
      <c r="BF301" s="31"/>
      <c r="BG301" s="31"/>
      <c r="BH301" s="31"/>
      <c r="BI301" s="116"/>
      <c r="BL301" s="196"/>
      <c r="BM301" s="239"/>
      <c r="BN301" s="330"/>
      <c r="BP301" s="330"/>
      <c r="BS301" s="116"/>
      <c r="BU301" s="331"/>
      <c r="BW301" s="116"/>
      <c r="BX301" s="116"/>
      <c r="BZ301" s="330"/>
      <c r="CB301" s="330"/>
      <c r="CC301" s="116"/>
      <c r="CG301" s="242"/>
      <c r="CH301" s="116"/>
      <c r="CI301" s="116"/>
      <c r="CJ301" s="116"/>
      <c r="CL301" s="116"/>
      <c r="CN301" s="239"/>
      <c r="CO301" s="153"/>
      <c r="DM301" s="116"/>
      <c r="DN301" s="116"/>
      <c r="DO301" s="116"/>
      <c r="DP301" s="116"/>
      <c r="DW301" s="116"/>
      <c r="DX301" s="219"/>
      <c r="DY301" s="219"/>
      <c r="DZ301" s="116"/>
      <c r="EA301" s="116"/>
      <c r="EB301" s="116"/>
      <c r="EC301" s="116"/>
      <c r="ED301" s="116"/>
      <c r="EF301" s="332"/>
      <c r="EG301" s="116"/>
      <c r="EH301" s="116"/>
      <c r="EI301" s="116"/>
      <c r="EJ301" s="116"/>
      <c r="EK301" s="116"/>
      <c r="EM301" s="116"/>
      <c r="EN301" s="116"/>
      <c r="EO301" s="116"/>
      <c r="EQ301" s="116"/>
      <c r="ER301" s="116"/>
      <c r="ES301" s="116"/>
      <c r="ET301" s="116"/>
      <c r="EU301" s="116"/>
      <c r="EV301" s="116"/>
      <c r="EX301" s="116"/>
      <c r="EY301" s="116"/>
      <c r="EZ301" s="116"/>
      <c r="FA301" s="116"/>
      <c r="FB301" s="116"/>
    </row>
    <row r="302" spans="5:158" ht="13">
      <c r="E302" s="153"/>
      <c r="T302" s="153"/>
      <c r="BD302" s="31"/>
      <c r="BE302" s="31"/>
      <c r="BF302" s="31"/>
      <c r="BG302" s="31"/>
      <c r="BH302" s="31"/>
      <c r="BI302" s="116"/>
      <c r="BL302" s="196"/>
      <c r="BM302" s="239"/>
      <c r="BN302" s="330"/>
      <c r="BP302" s="330"/>
      <c r="BS302" s="116"/>
      <c r="BU302" s="331"/>
      <c r="BW302" s="116"/>
      <c r="BX302" s="116"/>
      <c r="BZ302" s="330"/>
      <c r="CB302" s="330"/>
      <c r="CC302" s="116"/>
      <c r="CG302" s="242"/>
      <c r="CH302" s="116"/>
      <c r="CI302" s="116"/>
      <c r="CJ302" s="116"/>
      <c r="CL302" s="116"/>
      <c r="CN302" s="239"/>
      <c r="CO302" s="153"/>
      <c r="DM302" s="116"/>
      <c r="DN302" s="116"/>
      <c r="DO302" s="116"/>
      <c r="DP302" s="116"/>
      <c r="DW302" s="116"/>
      <c r="DX302" s="219"/>
      <c r="DY302" s="219"/>
      <c r="DZ302" s="116"/>
      <c r="EA302" s="116"/>
      <c r="EB302" s="116"/>
      <c r="EC302" s="116"/>
      <c r="ED302" s="116"/>
      <c r="EF302" s="332"/>
      <c r="EG302" s="116"/>
      <c r="EH302" s="116"/>
      <c r="EI302" s="116"/>
      <c r="EJ302" s="116"/>
      <c r="EK302" s="116"/>
      <c r="EM302" s="116"/>
      <c r="EN302" s="116"/>
      <c r="EO302" s="116"/>
      <c r="EQ302" s="116"/>
      <c r="ER302" s="116"/>
      <c r="ES302" s="116"/>
      <c r="ET302" s="116"/>
      <c r="EU302" s="116"/>
      <c r="EV302" s="116"/>
      <c r="EX302" s="116"/>
      <c r="EY302" s="116"/>
      <c r="EZ302" s="116"/>
      <c r="FA302" s="116"/>
      <c r="FB302" s="116"/>
    </row>
    <row r="303" spans="5:158" ht="13">
      <c r="E303" s="153"/>
      <c r="T303" s="153"/>
      <c r="BD303" s="31"/>
      <c r="BE303" s="31"/>
      <c r="BF303" s="31"/>
      <c r="BG303" s="31"/>
      <c r="BH303" s="31"/>
      <c r="BI303" s="116"/>
      <c r="BL303" s="196"/>
      <c r="BM303" s="239"/>
      <c r="BN303" s="330"/>
      <c r="BP303" s="330"/>
      <c r="BS303" s="116"/>
      <c r="BU303" s="331"/>
      <c r="BW303" s="116"/>
      <c r="BX303" s="116"/>
      <c r="BZ303" s="330"/>
      <c r="CB303" s="330"/>
      <c r="CC303" s="116"/>
      <c r="CG303" s="242"/>
      <c r="CH303" s="116"/>
      <c r="CI303" s="116"/>
      <c r="CJ303" s="116"/>
      <c r="CL303" s="116"/>
      <c r="CN303" s="239"/>
      <c r="CO303" s="153"/>
      <c r="DM303" s="116"/>
      <c r="DN303" s="116"/>
      <c r="DO303" s="116"/>
      <c r="DP303" s="116"/>
      <c r="DW303" s="116"/>
      <c r="DX303" s="219"/>
      <c r="DY303" s="219"/>
      <c r="DZ303" s="116"/>
      <c r="EA303" s="116"/>
      <c r="EB303" s="116"/>
      <c r="EC303" s="116"/>
      <c r="ED303" s="116"/>
      <c r="EF303" s="332"/>
      <c r="EG303" s="116"/>
      <c r="EH303" s="116"/>
      <c r="EI303" s="116"/>
      <c r="EJ303" s="116"/>
      <c r="EK303" s="116"/>
      <c r="EM303" s="116"/>
      <c r="EN303" s="116"/>
      <c r="EO303" s="116"/>
      <c r="EQ303" s="116"/>
      <c r="ER303" s="116"/>
      <c r="ES303" s="116"/>
      <c r="ET303" s="116"/>
      <c r="EU303" s="116"/>
      <c r="EV303" s="116"/>
      <c r="EX303" s="116"/>
      <c r="EY303" s="116"/>
      <c r="EZ303" s="116"/>
      <c r="FA303" s="116"/>
      <c r="FB303" s="116"/>
    </row>
    <row r="304" spans="5:158" ht="13">
      <c r="E304" s="153"/>
      <c r="T304" s="153"/>
      <c r="BD304" s="31"/>
      <c r="BE304" s="31"/>
      <c r="BF304" s="31"/>
      <c r="BG304" s="31"/>
      <c r="BH304" s="31"/>
      <c r="BI304" s="116"/>
      <c r="BL304" s="196"/>
      <c r="BM304" s="239"/>
      <c r="BN304" s="330"/>
      <c r="BP304" s="330"/>
      <c r="BS304" s="116"/>
      <c r="BU304" s="331"/>
      <c r="BW304" s="116"/>
      <c r="BX304" s="116"/>
      <c r="BZ304" s="330"/>
      <c r="CB304" s="330"/>
      <c r="CC304" s="116"/>
      <c r="CG304" s="242"/>
      <c r="CH304" s="116"/>
      <c r="CI304" s="116"/>
      <c r="CJ304" s="116"/>
      <c r="CL304" s="116"/>
      <c r="CN304" s="239"/>
      <c r="CO304" s="153"/>
      <c r="DM304" s="116"/>
      <c r="DN304" s="116"/>
      <c r="DO304" s="116"/>
      <c r="DP304" s="116"/>
      <c r="DW304" s="116"/>
      <c r="DX304" s="219"/>
      <c r="DY304" s="219"/>
      <c r="DZ304" s="116"/>
      <c r="EA304" s="116"/>
      <c r="EB304" s="116"/>
      <c r="EC304" s="116"/>
      <c r="ED304" s="116"/>
      <c r="EF304" s="332"/>
      <c r="EG304" s="116"/>
      <c r="EH304" s="116"/>
      <c r="EI304" s="116"/>
      <c r="EJ304" s="116"/>
      <c r="EK304" s="116"/>
      <c r="EM304" s="116"/>
      <c r="EN304" s="116"/>
      <c r="EO304" s="116"/>
      <c r="EQ304" s="116"/>
      <c r="ER304" s="116"/>
      <c r="ES304" s="116"/>
      <c r="ET304" s="116"/>
      <c r="EU304" s="116"/>
      <c r="EV304" s="116"/>
      <c r="EX304" s="116"/>
      <c r="EY304" s="116"/>
      <c r="EZ304" s="116"/>
      <c r="FA304" s="116"/>
      <c r="FB304" s="116"/>
    </row>
    <row r="305" spans="5:158" ht="13">
      <c r="E305" s="153"/>
      <c r="T305" s="153"/>
      <c r="BD305" s="31"/>
      <c r="BE305" s="31"/>
      <c r="BF305" s="31"/>
      <c r="BG305" s="31"/>
      <c r="BH305" s="31"/>
      <c r="BI305" s="116"/>
      <c r="BL305" s="196"/>
      <c r="BM305" s="239"/>
      <c r="BN305" s="330"/>
      <c r="BP305" s="330"/>
      <c r="BS305" s="116"/>
      <c r="BU305" s="331"/>
      <c r="BW305" s="116"/>
      <c r="BX305" s="116"/>
      <c r="BZ305" s="330"/>
      <c r="CB305" s="330"/>
      <c r="CC305" s="116"/>
      <c r="CG305" s="242"/>
      <c r="CH305" s="116"/>
      <c r="CI305" s="116"/>
      <c r="CJ305" s="116"/>
      <c r="CL305" s="116"/>
      <c r="CN305" s="239"/>
      <c r="CO305" s="153"/>
      <c r="DM305" s="116"/>
      <c r="DN305" s="116"/>
      <c r="DO305" s="116"/>
      <c r="DP305" s="116"/>
      <c r="DW305" s="116"/>
      <c r="DX305" s="219"/>
      <c r="DY305" s="219"/>
      <c r="DZ305" s="116"/>
      <c r="EA305" s="116"/>
      <c r="EB305" s="116"/>
      <c r="EC305" s="116"/>
      <c r="ED305" s="116"/>
      <c r="EF305" s="332"/>
      <c r="EG305" s="116"/>
      <c r="EH305" s="116"/>
      <c r="EI305" s="116"/>
      <c r="EJ305" s="116"/>
      <c r="EK305" s="116"/>
      <c r="EM305" s="116"/>
      <c r="EN305" s="116"/>
      <c r="EO305" s="116"/>
      <c r="EQ305" s="116"/>
      <c r="ER305" s="116"/>
      <c r="ES305" s="116"/>
      <c r="ET305" s="116"/>
      <c r="EU305" s="116"/>
      <c r="EV305" s="116"/>
      <c r="EX305" s="116"/>
      <c r="EY305" s="116"/>
      <c r="EZ305" s="116"/>
      <c r="FA305" s="116"/>
      <c r="FB305" s="116"/>
    </row>
    <row r="306" spans="5:158" ht="13">
      <c r="E306" s="153"/>
      <c r="T306" s="153"/>
      <c r="BD306" s="31"/>
      <c r="BE306" s="31"/>
      <c r="BF306" s="31"/>
      <c r="BG306" s="31"/>
      <c r="BH306" s="31"/>
      <c r="BI306" s="116"/>
      <c r="BL306" s="196"/>
      <c r="BM306" s="239"/>
      <c r="BN306" s="330"/>
      <c r="BP306" s="330"/>
      <c r="BS306" s="116"/>
      <c r="BU306" s="331"/>
      <c r="BW306" s="116"/>
      <c r="BX306" s="116"/>
      <c r="BZ306" s="330"/>
      <c r="CB306" s="330"/>
      <c r="CC306" s="116"/>
      <c r="CG306" s="242"/>
      <c r="CH306" s="116"/>
      <c r="CI306" s="116"/>
      <c r="CJ306" s="116"/>
      <c r="CL306" s="116"/>
      <c r="CN306" s="239"/>
      <c r="CO306" s="153"/>
      <c r="DM306" s="116"/>
      <c r="DN306" s="116"/>
      <c r="DO306" s="116"/>
      <c r="DP306" s="116"/>
      <c r="DW306" s="116"/>
      <c r="DX306" s="219"/>
      <c r="DY306" s="219"/>
      <c r="DZ306" s="116"/>
      <c r="EA306" s="116"/>
      <c r="EB306" s="116"/>
      <c r="EC306" s="116"/>
      <c r="ED306" s="116"/>
      <c r="EF306" s="332"/>
      <c r="EG306" s="116"/>
      <c r="EH306" s="116"/>
      <c r="EI306" s="116"/>
      <c r="EJ306" s="116"/>
      <c r="EK306" s="116"/>
      <c r="EM306" s="116"/>
      <c r="EN306" s="116"/>
      <c r="EO306" s="116"/>
      <c r="EQ306" s="116"/>
      <c r="ER306" s="116"/>
      <c r="ES306" s="116"/>
      <c r="ET306" s="116"/>
      <c r="EU306" s="116"/>
      <c r="EV306" s="116"/>
      <c r="EX306" s="116"/>
      <c r="EY306" s="116"/>
      <c r="EZ306" s="116"/>
      <c r="FA306" s="116"/>
      <c r="FB306" s="116"/>
    </row>
    <row r="307" spans="5:158" ht="13">
      <c r="E307" s="153"/>
      <c r="T307" s="153"/>
      <c r="BD307" s="31"/>
      <c r="BE307" s="31"/>
      <c r="BF307" s="31"/>
      <c r="BG307" s="31"/>
      <c r="BH307" s="31"/>
      <c r="BI307" s="116"/>
      <c r="BL307" s="196"/>
      <c r="BM307" s="239"/>
      <c r="BN307" s="330"/>
      <c r="BP307" s="330"/>
      <c r="BS307" s="116"/>
      <c r="BU307" s="331"/>
      <c r="BW307" s="116"/>
      <c r="BX307" s="116"/>
      <c r="BZ307" s="330"/>
      <c r="CB307" s="330"/>
      <c r="CC307" s="116"/>
      <c r="CG307" s="242"/>
      <c r="CH307" s="116"/>
      <c r="CI307" s="116"/>
      <c r="CJ307" s="116"/>
      <c r="CL307" s="116"/>
      <c r="CN307" s="239"/>
      <c r="CO307" s="153"/>
      <c r="DM307" s="116"/>
      <c r="DN307" s="116"/>
      <c r="DO307" s="116"/>
      <c r="DP307" s="116"/>
      <c r="DW307" s="116"/>
      <c r="DX307" s="219"/>
      <c r="DY307" s="219"/>
      <c r="DZ307" s="116"/>
      <c r="EA307" s="116"/>
      <c r="EB307" s="116"/>
      <c r="EC307" s="116"/>
      <c r="ED307" s="116"/>
      <c r="EF307" s="332"/>
      <c r="EG307" s="116"/>
      <c r="EH307" s="116"/>
      <c r="EI307" s="116"/>
      <c r="EJ307" s="116"/>
      <c r="EK307" s="116"/>
      <c r="EM307" s="116"/>
      <c r="EN307" s="116"/>
      <c r="EO307" s="116"/>
      <c r="EQ307" s="116"/>
      <c r="ER307" s="116"/>
      <c r="ES307" s="116"/>
      <c r="ET307" s="116"/>
      <c r="EU307" s="116"/>
      <c r="EV307" s="116"/>
      <c r="EX307" s="116"/>
      <c r="EY307" s="116"/>
      <c r="EZ307" s="116"/>
      <c r="FA307" s="116"/>
      <c r="FB307" s="116"/>
    </row>
    <row r="308" spans="5:158" ht="13">
      <c r="E308" s="153"/>
      <c r="T308" s="153"/>
      <c r="BD308" s="31"/>
      <c r="BE308" s="31"/>
      <c r="BF308" s="31"/>
      <c r="BG308" s="31"/>
      <c r="BH308" s="31"/>
      <c r="BI308" s="116"/>
      <c r="BL308" s="196"/>
      <c r="BM308" s="239"/>
      <c r="BN308" s="330"/>
      <c r="BP308" s="330"/>
      <c r="BS308" s="116"/>
      <c r="BU308" s="331"/>
      <c r="BW308" s="116"/>
      <c r="BX308" s="116"/>
      <c r="BZ308" s="330"/>
      <c r="CB308" s="330"/>
      <c r="CC308" s="116"/>
      <c r="CG308" s="242"/>
      <c r="CH308" s="116"/>
      <c r="CI308" s="116"/>
      <c r="CJ308" s="116"/>
      <c r="CL308" s="116"/>
      <c r="CN308" s="239"/>
      <c r="CO308" s="153"/>
      <c r="DM308" s="116"/>
      <c r="DN308" s="116"/>
      <c r="DO308" s="116"/>
      <c r="DP308" s="116"/>
      <c r="DW308" s="116"/>
      <c r="DX308" s="219"/>
      <c r="DY308" s="219"/>
      <c r="DZ308" s="116"/>
      <c r="EA308" s="116"/>
      <c r="EB308" s="116"/>
      <c r="EC308" s="116"/>
      <c r="ED308" s="116"/>
      <c r="EF308" s="332"/>
      <c r="EG308" s="116"/>
      <c r="EH308" s="116"/>
      <c r="EI308" s="116"/>
      <c r="EJ308" s="116"/>
      <c r="EK308" s="116"/>
      <c r="EM308" s="116"/>
      <c r="EN308" s="116"/>
      <c r="EO308" s="116"/>
      <c r="EQ308" s="116"/>
      <c r="ER308" s="116"/>
      <c r="ES308" s="116"/>
      <c r="ET308" s="116"/>
      <c r="EU308" s="116"/>
      <c r="EV308" s="116"/>
      <c r="EX308" s="116"/>
      <c r="EY308" s="116"/>
      <c r="EZ308" s="116"/>
      <c r="FA308" s="116"/>
      <c r="FB308" s="116"/>
    </row>
    <row r="309" spans="5:158" ht="13">
      <c r="E309" s="153"/>
      <c r="T309" s="153"/>
      <c r="BD309" s="31"/>
      <c r="BE309" s="31"/>
      <c r="BF309" s="31"/>
      <c r="BG309" s="31"/>
      <c r="BH309" s="31"/>
      <c r="BI309" s="116"/>
      <c r="BL309" s="196"/>
      <c r="BM309" s="239"/>
      <c r="BN309" s="330"/>
      <c r="BP309" s="330"/>
      <c r="BS309" s="116"/>
      <c r="BU309" s="331"/>
      <c r="BW309" s="116"/>
      <c r="BX309" s="116"/>
      <c r="BZ309" s="330"/>
      <c r="CB309" s="330"/>
      <c r="CC309" s="116"/>
      <c r="CG309" s="242"/>
      <c r="CH309" s="116"/>
      <c r="CI309" s="116"/>
      <c r="CJ309" s="116"/>
      <c r="CL309" s="116"/>
      <c r="CN309" s="239"/>
      <c r="CO309" s="153"/>
      <c r="DM309" s="116"/>
      <c r="DN309" s="116"/>
      <c r="DO309" s="116"/>
      <c r="DP309" s="116"/>
      <c r="DW309" s="116"/>
      <c r="DX309" s="219"/>
      <c r="DY309" s="219"/>
      <c r="DZ309" s="116"/>
      <c r="EA309" s="116"/>
      <c r="EB309" s="116"/>
      <c r="EC309" s="116"/>
      <c r="ED309" s="116"/>
      <c r="EF309" s="332"/>
      <c r="EG309" s="116"/>
      <c r="EH309" s="116"/>
      <c r="EI309" s="116"/>
      <c r="EJ309" s="116"/>
      <c r="EK309" s="116"/>
      <c r="EM309" s="116"/>
      <c r="EN309" s="116"/>
      <c r="EO309" s="116"/>
      <c r="EQ309" s="116"/>
      <c r="ER309" s="116"/>
      <c r="ES309" s="116"/>
      <c r="ET309" s="116"/>
      <c r="EU309" s="116"/>
      <c r="EV309" s="116"/>
      <c r="EX309" s="116"/>
      <c r="EY309" s="116"/>
      <c r="EZ309" s="116"/>
      <c r="FA309" s="116"/>
      <c r="FB309" s="116"/>
    </row>
    <row r="310" spans="5:158" ht="13">
      <c r="E310" s="153"/>
      <c r="T310" s="153"/>
      <c r="BD310" s="31"/>
      <c r="BE310" s="31"/>
      <c r="BF310" s="31"/>
      <c r="BG310" s="31"/>
      <c r="BH310" s="31"/>
      <c r="BI310" s="116"/>
      <c r="BL310" s="196"/>
      <c r="BM310" s="239"/>
      <c r="BN310" s="330"/>
      <c r="BP310" s="330"/>
      <c r="BS310" s="116"/>
      <c r="BU310" s="331"/>
      <c r="BW310" s="116"/>
      <c r="BX310" s="116"/>
      <c r="BZ310" s="330"/>
      <c r="CB310" s="330"/>
      <c r="CC310" s="116"/>
      <c r="CG310" s="242"/>
      <c r="CH310" s="116"/>
      <c r="CI310" s="116"/>
      <c r="CJ310" s="116"/>
      <c r="CL310" s="116"/>
      <c r="CN310" s="239"/>
      <c r="CO310" s="153"/>
      <c r="DM310" s="116"/>
      <c r="DN310" s="116"/>
      <c r="DO310" s="116"/>
      <c r="DP310" s="116"/>
      <c r="DW310" s="116"/>
      <c r="DX310" s="219"/>
      <c r="DY310" s="219"/>
      <c r="DZ310" s="116"/>
      <c r="EA310" s="116"/>
      <c r="EB310" s="116"/>
      <c r="EC310" s="116"/>
      <c r="ED310" s="116"/>
      <c r="EF310" s="332"/>
      <c r="EG310" s="116"/>
      <c r="EH310" s="116"/>
      <c r="EI310" s="116"/>
      <c r="EJ310" s="116"/>
      <c r="EK310" s="116"/>
      <c r="EM310" s="116"/>
      <c r="EN310" s="116"/>
      <c r="EO310" s="116"/>
      <c r="EQ310" s="116"/>
      <c r="ER310" s="116"/>
      <c r="ES310" s="116"/>
      <c r="ET310" s="116"/>
      <c r="EU310" s="116"/>
      <c r="EV310" s="116"/>
      <c r="EX310" s="116"/>
      <c r="EY310" s="116"/>
      <c r="EZ310" s="116"/>
      <c r="FA310" s="116"/>
      <c r="FB310" s="116"/>
    </row>
    <row r="311" spans="5:158" ht="13">
      <c r="E311" s="153"/>
      <c r="T311" s="153"/>
      <c r="BD311" s="31"/>
      <c r="BE311" s="31"/>
      <c r="BF311" s="31"/>
      <c r="BG311" s="31"/>
      <c r="BH311" s="31"/>
      <c r="BI311" s="116"/>
      <c r="BL311" s="196"/>
      <c r="BM311" s="239"/>
      <c r="BN311" s="330"/>
      <c r="BP311" s="330"/>
      <c r="BS311" s="116"/>
      <c r="BU311" s="331"/>
      <c r="BW311" s="116"/>
      <c r="BX311" s="116"/>
      <c r="BZ311" s="330"/>
      <c r="CB311" s="330"/>
      <c r="CC311" s="116"/>
      <c r="CG311" s="242"/>
      <c r="CH311" s="116"/>
      <c r="CI311" s="116"/>
      <c r="CJ311" s="116"/>
      <c r="CL311" s="116"/>
      <c r="CN311" s="239"/>
      <c r="CO311" s="153"/>
      <c r="DM311" s="116"/>
      <c r="DN311" s="116"/>
      <c r="DO311" s="116"/>
      <c r="DP311" s="116"/>
      <c r="DW311" s="116"/>
      <c r="DX311" s="219"/>
      <c r="DY311" s="219"/>
      <c r="DZ311" s="116"/>
      <c r="EA311" s="116"/>
      <c r="EB311" s="116"/>
      <c r="EC311" s="116"/>
      <c r="ED311" s="116"/>
      <c r="EF311" s="332"/>
      <c r="EG311" s="116"/>
      <c r="EH311" s="116"/>
      <c r="EI311" s="116"/>
      <c r="EJ311" s="116"/>
      <c r="EK311" s="116"/>
      <c r="EM311" s="116"/>
      <c r="EN311" s="116"/>
      <c r="EO311" s="116"/>
      <c r="EQ311" s="116"/>
      <c r="ER311" s="116"/>
      <c r="ES311" s="116"/>
      <c r="ET311" s="116"/>
      <c r="EU311" s="116"/>
      <c r="EV311" s="116"/>
      <c r="EX311" s="116"/>
      <c r="EY311" s="116"/>
      <c r="EZ311" s="116"/>
      <c r="FA311" s="116"/>
      <c r="FB311" s="116"/>
    </row>
    <row r="312" spans="5:158" ht="13">
      <c r="E312" s="153"/>
      <c r="T312" s="153"/>
      <c r="BD312" s="31"/>
      <c r="BE312" s="31"/>
      <c r="BF312" s="31"/>
      <c r="BG312" s="31"/>
      <c r="BH312" s="31"/>
      <c r="BI312" s="116"/>
      <c r="BL312" s="196"/>
      <c r="BM312" s="239"/>
      <c r="BN312" s="330"/>
      <c r="BP312" s="330"/>
      <c r="BS312" s="116"/>
      <c r="BU312" s="331"/>
      <c r="BW312" s="116"/>
      <c r="BX312" s="116"/>
      <c r="BZ312" s="330"/>
      <c r="CB312" s="330"/>
      <c r="CC312" s="116"/>
      <c r="CG312" s="242"/>
      <c r="CH312" s="116"/>
      <c r="CI312" s="116"/>
      <c r="CJ312" s="116"/>
      <c r="CL312" s="116"/>
      <c r="CN312" s="239"/>
      <c r="CO312" s="153"/>
      <c r="DM312" s="116"/>
      <c r="DN312" s="116"/>
      <c r="DO312" s="116"/>
      <c r="DP312" s="116"/>
      <c r="DW312" s="116"/>
      <c r="DX312" s="219"/>
      <c r="DY312" s="219"/>
      <c r="DZ312" s="116"/>
      <c r="EA312" s="116"/>
      <c r="EB312" s="116"/>
      <c r="EC312" s="116"/>
      <c r="ED312" s="116"/>
      <c r="EF312" s="332"/>
      <c r="EG312" s="116"/>
      <c r="EH312" s="116"/>
      <c r="EI312" s="116"/>
      <c r="EJ312" s="116"/>
      <c r="EK312" s="116"/>
      <c r="EM312" s="116"/>
      <c r="EN312" s="116"/>
      <c r="EO312" s="116"/>
      <c r="EQ312" s="116"/>
      <c r="ER312" s="116"/>
      <c r="ES312" s="116"/>
      <c r="ET312" s="116"/>
      <c r="EU312" s="116"/>
      <c r="EV312" s="116"/>
      <c r="EX312" s="116"/>
      <c r="EY312" s="116"/>
      <c r="EZ312" s="116"/>
      <c r="FA312" s="116"/>
      <c r="FB312" s="116"/>
    </row>
    <row r="313" spans="5:158" ht="13">
      <c r="E313" s="153"/>
      <c r="T313" s="153"/>
      <c r="BD313" s="31"/>
      <c r="BE313" s="31"/>
      <c r="BF313" s="31"/>
      <c r="BG313" s="31"/>
      <c r="BH313" s="31"/>
      <c r="BI313" s="116"/>
      <c r="BL313" s="196"/>
      <c r="BM313" s="239"/>
      <c r="BN313" s="330"/>
      <c r="BP313" s="330"/>
      <c r="BS313" s="116"/>
      <c r="BU313" s="331"/>
      <c r="BW313" s="116"/>
      <c r="BX313" s="116"/>
      <c r="BZ313" s="330"/>
      <c r="CB313" s="330"/>
      <c r="CC313" s="116"/>
      <c r="CG313" s="242"/>
      <c r="CH313" s="116"/>
      <c r="CI313" s="116"/>
      <c r="CJ313" s="116"/>
      <c r="CL313" s="116"/>
      <c r="CN313" s="239"/>
      <c r="CO313" s="153"/>
      <c r="DM313" s="116"/>
      <c r="DN313" s="116"/>
      <c r="DO313" s="116"/>
      <c r="DP313" s="116"/>
      <c r="DW313" s="116"/>
      <c r="DX313" s="219"/>
      <c r="DY313" s="219"/>
      <c r="DZ313" s="116"/>
      <c r="EA313" s="116"/>
      <c r="EB313" s="116"/>
      <c r="EC313" s="116"/>
      <c r="ED313" s="116"/>
      <c r="EF313" s="332"/>
      <c r="EG313" s="116"/>
      <c r="EH313" s="116"/>
      <c r="EI313" s="116"/>
      <c r="EJ313" s="116"/>
      <c r="EK313" s="116"/>
      <c r="EM313" s="116"/>
      <c r="EN313" s="116"/>
      <c r="EO313" s="116"/>
      <c r="EQ313" s="116"/>
      <c r="ER313" s="116"/>
      <c r="ES313" s="116"/>
      <c r="ET313" s="116"/>
      <c r="EU313" s="116"/>
      <c r="EV313" s="116"/>
      <c r="EX313" s="116"/>
      <c r="EY313" s="116"/>
      <c r="EZ313" s="116"/>
      <c r="FA313" s="116"/>
      <c r="FB313" s="116"/>
    </row>
    <row r="314" spans="5:158" ht="13">
      <c r="E314" s="153"/>
      <c r="T314" s="153"/>
      <c r="BD314" s="31"/>
      <c r="BE314" s="31"/>
      <c r="BF314" s="31"/>
      <c r="BG314" s="31"/>
      <c r="BH314" s="31"/>
      <c r="BI314" s="116"/>
      <c r="BL314" s="196"/>
      <c r="BM314" s="239"/>
      <c r="BN314" s="330"/>
      <c r="BP314" s="330"/>
      <c r="BS314" s="116"/>
      <c r="BU314" s="331"/>
      <c r="BW314" s="116"/>
      <c r="BX314" s="116"/>
      <c r="BZ314" s="330"/>
      <c r="CB314" s="330"/>
      <c r="CC314" s="116"/>
      <c r="CG314" s="242"/>
      <c r="CH314" s="116"/>
      <c r="CI314" s="116"/>
      <c r="CJ314" s="116"/>
      <c r="CL314" s="116"/>
      <c r="CN314" s="239"/>
      <c r="CO314" s="153"/>
      <c r="DM314" s="116"/>
      <c r="DN314" s="116"/>
      <c r="DO314" s="116"/>
      <c r="DP314" s="116"/>
      <c r="DW314" s="116"/>
      <c r="DX314" s="219"/>
      <c r="DY314" s="219"/>
      <c r="DZ314" s="116"/>
      <c r="EA314" s="116"/>
      <c r="EB314" s="116"/>
      <c r="EC314" s="116"/>
      <c r="ED314" s="116"/>
      <c r="EF314" s="332"/>
      <c r="EG314" s="116"/>
      <c r="EH314" s="116"/>
      <c r="EI314" s="116"/>
      <c r="EJ314" s="116"/>
      <c r="EK314" s="116"/>
      <c r="EM314" s="116"/>
      <c r="EN314" s="116"/>
      <c r="EO314" s="116"/>
      <c r="EQ314" s="116"/>
      <c r="ER314" s="116"/>
      <c r="ES314" s="116"/>
      <c r="ET314" s="116"/>
      <c r="EU314" s="116"/>
      <c r="EV314" s="116"/>
      <c r="EX314" s="116"/>
      <c r="EY314" s="116"/>
      <c r="EZ314" s="116"/>
      <c r="FA314" s="116"/>
      <c r="FB314" s="116"/>
    </row>
    <row r="315" spans="5:158" ht="13">
      <c r="E315" s="153"/>
      <c r="T315" s="153"/>
      <c r="BD315" s="31"/>
      <c r="BE315" s="31"/>
      <c r="BF315" s="31"/>
      <c r="BG315" s="31"/>
      <c r="BH315" s="31"/>
      <c r="BI315" s="116"/>
      <c r="BL315" s="196"/>
      <c r="BM315" s="239"/>
      <c r="BN315" s="330"/>
      <c r="BP315" s="330"/>
      <c r="BS315" s="116"/>
      <c r="BU315" s="331"/>
      <c r="BW315" s="116"/>
      <c r="BX315" s="116"/>
      <c r="BZ315" s="330"/>
      <c r="CB315" s="330"/>
      <c r="CC315" s="116"/>
      <c r="CG315" s="242"/>
      <c r="CH315" s="116"/>
      <c r="CI315" s="116"/>
      <c r="CJ315" s="116"/>
      <c r="CL315" s="116"/>
      <c r="CN315" s="239"/>
      <c r="CO315" s="153"/>
      <c r="DM315" s="116"/>
      <c r="DN315" s="116"/>
      <c r="DO315" s="116"/>
      <c r="DP315" s="116"/>
      <c r="DW315" s="116"/>
      <c r="DX315" s="219"/>
      <c r="DY315" s="219"/>
      <c r="DZ315" s="116"/>
      <c r="EA315" s="116"/>
      <c r="EB315" s="116"/>
      <c r="EC315" s="116"/>
      <c r="ED315" s="116"/>
      <c r="EF315" s="332"/>
      <c r="EG315" s="116"/>
      <c r="EH315" s="116"/>
      <c r="EI315" s="116"/>
      <c r="EJ315" s="116"/>
      <c r="EK315" s="116"/>
      <c r="EM315" s="116"/>
      <c r="EN315" s="116"/>
      <c r="EO315" s="116"/>
      <c r="EQ315" s="116"/>
      <c r="ER315" s="116"/>
      <c r="ES315" s="116"/>
      <c r="ET315" s="116"/>
      <c r="EU315" s="116"/>
      <c r="EV315" s="116"/>
      <c r="EX315" s="116"/>
      <c r="EY315" s="116"/>
      <c r="EZ315" s="116"/>
      <c r="FA315" s="116"/>
      <c r="FB315" s="116"/>
    </row>
    <row r="316" spans="5:158" ht="13">
      <c r="E316" s="153"/>
      <c r="T316" s="153"/>
      <c r="BD316" s="31"/>
      <c r="BE316" s="31"/>
      <c r="BF316" s="31"/>
      <c r="BG316" s="31"/>
      <c r="BH316" s="31"/>
      <c r="BI316" s="116"/>
      <c r="BL316" s="196"/>
      <c r="BM316" s="239"/>
      <c r="BN316" s="330"/>
      <c r="BP316" s="330"/>
      <c r="BS316" s="116"/>
      <c r="BU316" s="331"/>
      <c r="BW316" s="116"/>
      <c r="BX316" s="116"/>
      <c r="BZ316" s="330"/>
      <c r="CB316" s="330"/>
      <c r="CC316" s="116"/>
      <c r="CG316" s="242"/>
      <c r="CH316" s="116"/>
      <c r="CI316" s="116"/>
      <c r="CJ316" s="116"/>
      <c r="CL316" s="116"/>
      <c r="CN316" s="239"/>
      <c r="CO316" s="153"/>
      <c r="DM316" s="116"/>
      <c r="DN316" s="116"/>
      <c r="DO316" s="116"/>
      <c r="DP316" s="116"/>
      <c r="DW316" s="116"/>
      <c r="DX316" s="219"/>
      <c r="DY316" s="219"/>
      <c r="DZ316" s="116"/>
      <c r="EA316" s="116"/>
      <c r="EB316" s="116"/>
      <c r="EC316" s="116"/>
      <c r="ED316" s="116"/>
      <c r="EF316" s="332"/>
      <c r="EG316" s="116"/>
      <c r="EH316" s="116"/>
      <c r="EI316" s="116"/>
      <c r="EJ316" s="116"/>
      <c r="EK316" s="116"/>
      <c r="EM316" s="116"/>
      <c r="EN316" s="116"/>
      <c r="EO316" s="116"/>
      <c r="EQ316" s="116"/>
      <c r="ER316" s="116"/>
      <c r="ES316" s="116"/>
      <c r="ET316" s="116"/>
      <c r="EU316" s="116"/>
      <c r="EV316" s="116"/>
      <c r="EX316" s="116"/>
      <c r="EY316" s="116"/>
      <c r="EZ316" s="116"/>
      <c r="FA316" s="116"/>
      <c r="FB316" s="116"/>
    </row>
    <row r="317" spans="5:158" ht="13">
      <c r="E317" s="153"/>
      <c r="T317" s="153"/>
      <c r="BD317" s="31"/>
      <c r="BE317" s="31"/>
      <c r="BF317" s="31"/>
      <c r="BG317" s="31"/>
      <c r="BH317" s="31"/>
      <c r="BI317" s="116"/>
      <c r="BL317" s="196"/>
      <c r="BM317" s="239"/>
      <c r="BN317" s="330"/>
      <c r="BP317" s="330"/>
      <c r="BS317" s="116"/>
      <c r="BU317" s="331"/>
      <c r="BW317" s="116"/>
      <c r="BX317" s="116"/>
      <c r="BZ317" s="330"/>
      <c r="CB317" s="330"/>
      <c r="CC317" s="116"/>
      <c r="CG317" s="242"/>
      <c r="CH317" s="116"/>
      <c r="CI317" s="116"/>
      <c r="CJ317" s="116"/>
      <c r="CL317" s="116"/>
      <c r="CN317" s="239"/>
      <c r="CO317" s="153"/>
      <c r="DM317" s="116"/>
      <c r="DN317" s="116"/>
      <c r="DO317" s="116"/>
      <c r="DP317" s="116"/>
      <c r="DW317" s="116"/>
      <c r="DX317" s="219"/>
      <c r="DY317" s="219"/>
      <c r="DZ317" s="116"/>
      <c r="EA317" s="116"/>
      <c r="EB317" s="116"/>
      <c r="EC317" s="116"/>
      <c r="ED317" s="116"/>
      <c r="EF317" s="332"/>
      <c r="EG317" s="116"/>
      <c r="EH317" s="116"/>
      <c r="EI317" s="116"/>
      <c r="EJ317" s="116"/>
      <c r="EK317" s="116"/>
      <c r="EM317" s="116"/>
      <c r="EN317" s="116"/>
      <c r="EO317" s="116"/>
      <c r="EQ317" s="116"/>
      <c r="ER317" s="116"/>
      <c r="ES317" s="116"/>
      <c r="ET317" s="116"/>
      <c r="EU317" s="116"/>
      <c r="EV317" s="116"/>
      <c r="EX317" s="116"/>
      <c r="EY317" s="116"/>
      <c r="EZ317" s="116"/>
      <c r="FA317" s="116"/>
      <c r="FB317" s="116"/>
    </row>
    <row r="318" spans="5:158" ht="13">
      <c r="E318" s="153"/>
      <c r="T318" s="153"/>
      <c r="BD318" s="31"/>
      <c r="BE318" s="31"/>
      <c r="BF318" s="31"/>
      <c r="BG318" s="31"/>
      <c r="BH318" s="31"/>
      <c r="BI318" s="116"/>
      <c r="BL318" s="196"/>
      <c r="BM318" s="239"/>
      <c r="BN318" s="330"/>
      <c r="BP318" s="330"/>
      <c r="BS318" s="116"/>
      <c r="BU318" s="331"/>
      <c r="BW318" s="116"/>
      <c r="BX318" s="116"/>
      <c r="BZ318" s="330"/>
      <c r="CB318" s="330"/>
      <c r="CC318" s="116"/>
      <c r="CG318" s="242"/>
      <c r="CH318" s="116"/>
      <c r="CI318" s="116"/>
      <c r="CJ318" s="116"/>
      <c r="CL318" s="116"/>
      <c r="CN318" s="239"/>
      <c r="CO318" s="153"/>
      <c r="DM318" s="116"/>
      <c r="DN318" s="116"/>
      <c r="DO318" s="116"/>
      <c r="DP318" s="116"/>
      <c r="DW318" s="116"/>
      <c r="DX318" s="219"/>
      <c r="DY318" s="219"/>
      <c r="DZ318" s="116"/>
      <c r="EA318" s="116"/>
      <c r="EB318" s="116"/>
      <c r="EC318" s="116"/>
      <c r="ED318" s="116"/>
      <c r="EF318" s="332"/>
      <c r="EG318" s="116"/>
      <c r="EH318" s="116"/>
      <c r="EI318" s="116"/>
      <c r="EJ318" s="116"/>
      <c r="EK318" s="116"/>
      <c r="EM318" s="116"/>
      <c r="EN318" s="116"/>
      <c r="EO318" s="116"/>
      <c r="EQ318" s="116"/>
      <c r="ER318" s="116"/>
      <c r="ES318" s="116"/>
      <c r="ET318" s="116"/>
      <c r="EU318" s="116"/>
      <c r="EV318" s="116"/>
      <c r="EX318" s="116"/>
      <c r="EY318" s="116"/>
      <c r="EZ318" s="116"/>
      <c r="FA318" s="116"/>
      <c r="FB318" s="116"/>
    </row>
    <row r="319" spans="5:158" ht="13">
      <c r="E319" s="153"/>
      <c r="T319" s="153"/>
      <c r="BD319" s="31"/>
      <c r="BE319" s="31"/>
      <c r="BF319" s="31"/>
      <c r="BG319" s="31"/>
      <c r="BH319" s="31"/>
      <c r="BI319" s="116"/>
      <c r="BL319" s="196"/>
      <c r="BM319" s="239"/>
      <c r="BN319" s="330"/>
      <c r="BP319" s="330"/>
      <c r="BS319" s="116"/>
      <c r="BU319" s="331"/>
      <c r="BW319" s="116"/>
      <c r="BX319" s="116"/>
      <c r="BZ319" s="330"/>
      <c r="CB319" s="330"/>
      <c r="CC319" s="116"/>
      <c r="CG319" s="242"/>
      <c r="CH319" s="116"/>
      <c r="CI319" s="116"/>
      <c r="CJ319" s="116"/>
      <c r="CL319" s="116"/>
      <c r="CN319" s="239"/>
      <c r="CO319" s="153"/>
      <c r="DM319" s="116"/>
      <c r="DN319" s="116"/>
      <c r="DO319" s="116"/>
      <c r="DP319" s="116"/>
      <c r="DW319" s="116"/>
      <c r="DX319" s="219"/>
      <c r="DY319" s="219"/>
      <c r="DZ319" s="116"/>
      <c r="EA319" s="116"/>
      <c r="EB319" s="116"/>
      <c r="EC319" s="116"/>
      <c r="ED319" s="116"/>
      <c r="EF319" s="332"/>
      <c r="EG319" s="116"/>
      <c r="EH319" s="116"/>
      <c r="EI319" s="116"/>
      <c r="EJ319" s="116"/>
      <c r="EK319" s="116"/>
      <c r="EM319" s="116"/>
      <c r="EN319" s="116"/>
      <c r="EO319" s="116"/>
      <c r="EQ319" s="116"/>
      <c r="ER319" s="116"/>
      <c r="ES319" s="116"/>
      <c r="ET319" s="116"/>
      <c r="EU319" s="116"/>
      <c r="EV319" s="116"/>
      <c r="EX319" s="116"/>
      <c r="EY319" s="116"/>
      <c r="EZ319" s="116"/>
      <c r="FA319" s="116"/>
      <c r="FB319" s="116"/>
    </row>
    <row r="320" spans="5:158" ht="13">
      <c r="E320" s="153"/>
      <c r="T320" s="153"/>
      <c r="BD320" s="31"/>
      <c r="BE320" s="31"/>
      <c r="BF320" s="31"/>
      <c r="BG320" s="31"/>
      <c r="BH320" s="31"/>
      <c r="BI320" s="116"/>
      <c r="BL320" s="196"/>
      <c r="BM320" s="239"/>
      <c r="BN320" s="330"/>
      <c r="BP320" s="330"/>
      <c r="BS320" s="116"/>
      <c r="BU320" s="331"/>
      <c r="BW320" s="116"/>
      <c r="BX320" s="116"/>
      <c r="BZ320" s="330"/>
      <c r="CB320" s="330"/>
      <c r="CC320" s="116"/>
      <c r="CG320" s="242"/>
      <c r="CH320" s="116"/>
      <c r="CI320" s="116"/>
      <c r="CJ320" s="116"/>
      <c r="CL320" s="116"/>
      <c r="CN320" s="239"/>
      <c r="CO320" s="153"/>
      <c r="DM320" s="116"/>
      <c r="DN320" s="116"/>
      <c r="DO320" s="116"/>
      <c r="DP320" s="116"/>
      <c r="DW320" s="116"/>
      <c r="DX320" s="219"/>
      <c r="DY320" s="219"/>
      <c r="DZ320" s="116"/>
      <c r="EA320" s="116"/>
      <c r="EB320" s="116"/>
      <c r="EC320" s="116"/>
      <c r="ED320" s="116"/>
      <c r="EF320" s="332"/>
      <c r="EG320" s="116"/>
      <c r="EH320" s="116"/>
      <c r="EI320" s="116"/>
      <c r="EJ320" s="116"/>
      <c r="EK320" s="116"/>
      <c r="EM320" s="116"/>
      <c r="EN320" s="116"/>
      <c r="EO320" s="116"/>
      <c r="EQ320" s="116"/>
      <c r="ER320" s="116"/>
      <c r="ES320" s="116"/>
      <c r="ET320" s="116"/>
      <c r="EU320" s="116"/>
      <c r="EV320" s="116"/>
      <c r="EX320" s="116"/>
      <c r="EY320" s="116"/>
      <c r="EZ320" s="116"/>
      <c r="FA320" s="116"/>
      <c r="FB320" s="116"/>
    </row>
    <row r="321" spans="5:158" ht="13">
      <c r="E321" s="153"/>
      <c r="T321" s="153"/>
      <c r="BD321" s="31"/>
      <c r="BE321" s="31"/>
      <c r="BF321" s="31"/>
      <c r="BG321" s="31"/>
      <c r="BH321" s="31"/>
      <c r="BI321" s="116"/>
      <c r="BL321" s="196"/>
      <c r="BM321" s="239"/>
      <c r="BN321" s="330"/>
      <c r="BP321" s="330"/>
      <c r="BS321" s="116"/>
      <c r="BU321" s="331"/>
      <c r="BW321" s="116"/>
      <c r="BX321" s="116"/>
      <c r="BZ321" s="330"/>
      <c r="CB321" s="330"/>
      <c r="CC321" s="116"/>
      <c r="CG321" s="242"/>
      <c r="CH321" s="116"/>
      <c r="CI321" s="116"/>
      <c r="CJ321" s="116"/>
      <c r="CL321" s="116"/>
      <c r="CN321" s="239"/>
      <c r="CO321" s="153"/>
      <c r="DM321" s="116"/>
      <c r="DN321" s="116"/>
      <c r="DO321" s="116"/>
      <c r="DP321" s="116"/>
      <c r="DW321" s="116"/>
      <c r="DX321" s="219"/>
      <c r="DY321" s="219"/>
      <c r="DZ321" s="116"/>
      <c r="EA321" s="116"/>
      <c r="EB321" s="116"/>
      <c r="EC321" s="116"/>
      <c r="ED321" s="116"/>
      <c r="EF321" s="332"/>
      <c r="EG321" s="116"/>
      <c r="EH321" s="116"/>
      <c r="EI321" s="116"/>
      <c r="EJ321" s="116"/>
      <c r="EK321" s="116"/>
      <c r="EM321" s="116"/>
      <c r="EN321" s="116"/>
      <c r="EO321" s="116"/>
      <c r="EQ321" s="116"/>
      <c r="ER321" s="116"/>
      <c r="ES321" s="116"/>
      <c r="ET321" s="116"/>
      <c r="EU321" s="116"/>
      <c r="EV321" s="116"/>
      <c r="EX321" s="116"/>
      <c r="EY321" s="116"/>
      <c r="EZ321" s="116"/>
      <c r="FA321" s="116"/>
      <c r="FB321" s="116"/>
    </row>
    <row r="322" spans="5:158" ht="13">
      <c r="E322" s="153"/>
      <c r="T322" s="153"/>
      <c r="BD322" s="31"/>
      <c r="BE322" s="31"/>
      <c r="BF322" s="31"/>
      <c r="BG322" s="31"/>
      <c r="BH322" s="31"/>
      <c r="BI322" s="116"/>
      <c r="BL322" s="196"/>
      <c r="BM322" s="239"/>
      <c r="BN322" s="330"/>
      <c r="BP322" s="330"/>
      <c r="BS322" s="116"/>
      <c r="BU322" s="331"/>
      <c r="BW322" s="116"/>
      <c r="BX322" s="116"/>
      <c r="BZ322" s="330"/>
      <c r="CB322" s="330"/>
      <c r="CC322" s="116"/>
      <c r="CG322" s="242"/>
      <c r="CH322" s="116"/>
      <c r="CI322" s="116"/>
      <c r="CJ322" s="116"/>
      <c r="CL322" s="116"/>
      <c r="CN322" s="239"/>
      <c r="CO322" s="153"/>
      <c r="DM322" s="116"/>
      <c r="DN322" s="116"/>
      <c r="DO322" s="116"/>
      <c r="DP322" s="116"/>
      <c r="DW322" s="116"/>
      <c r="DX322" s="219"/>
      <c r="DY322" s="219"/>
      <c r="DZ322" s="116"/>
      <c r="EA322" s="116"/>
      <c r="EB322" s="116"/>
      <c r="EC322" s="116"/>
      <c r="ED322" s="116"/>
      <c r="EF322" s="332"/>
      <c r="EG322" s="116"/>
      <c r="EH322" s="116"/>
      <c r="EI322" s="116"/>
      <c r="EJ322" s="116"/>
      <c r="EK322" s="116"/>
      <c r="EM322" s="116"/>
      <c r="EN322" s="116"/>
      <c r="EO322" s="116"/>
      <c r="EQ322" s="116"/>
      <c r="ER322" s="116"/>
      <c r="ES322" s="116"/>
      <c r="ET322" s="116"/>
      <c r="EU322" s="116"/>
      <c r="EV322" s="116"/>
      <c r="EX322" s="116"/>
      <c r="EY322" s="116"/>
      <c r="EZ322" s="116"/>
      <c r="FA322" s="116"/>
      <c r="FB322" s="116"/>
    </row>
    <row r="323" spans="5:158" ht="13">
      <c r="E323" s="153"/>
      <c r="T323" s="153"/>
      <c r="BD323" s="31"/>
      <c r="BE323" s="31"/>
      <c r="BF323" s="31"/>
      <c r="BG323" s="31"/>
      <c r="BH323" s="31"/>
      <c r="BI323" s="116"/>
      <c r="BL323" s="196"/>
      <c r="BM323" s="239"/>
      <c r="BN323" s="330"/>
      <c r="BP323" s="330"/>
      <c r="BS323" s="116"/>
      <c r="BU323" s="331"/>
      <c r="BW323" s="116"/>
      <c r="BX323" s="116"/>
      <c r="BZ323" s="330"/>
      <c r="CB323" s="330"/>
      <c r="CC323" s="116"/>
      <c r="CG323" s="242"/>
      <c r="CH323" s="116"/>
      <c r="CI323" s="116"/>
      <c r="CJ323" s="116"/>
      <c r="CL323" s="116"/>
      <c r="CN323" s="239"/>
      <c r="CO323" s="153"/>
      <c r="DM323" s="116"/>
      <c r="DN323" s="116"/>
      <c r="DO323" s="116"/>
      <c r="DP323" s="116"/>
      <c r="DW323" s="116"/>
      <c r="DX323" s="219"/>
      <c r="DY323" s="219"/>
      <c r="DZ323" s="116"/>
      <c r="EA323" s="116"/>
      <c r="EB323" s="116"/>
      <c r="EC323" s="116"/>
      <c r="ED323" s="116"/>
      <c r="EF323" s="332"/>
      <c r="EG323" s="116"/>
      <c r="EH323" s="116"/>
      <c r="EI323" s="116"/>
      <c r="EJ323" s="116"/>
      <c r="EK323" s="116"/>
      <c r="EM323" s="116"/>
      <c r="EN323" s="116"/>
      <c r="EO323" s="116"/>
      <c r="EQ323" s="116"/>
      <c r="ER323" s="116"/>
      <c r="ES323" s="116"/>
      <c r="ET323" s="116"/>
      <c r="EU323" s="116"/>
      <c r="EV323" s="116"/>
      <c r="EX323" s="116"/>
      <c r="EY323" s="116"/>
      <c r="EZ323" s="116"/>
      <c r="FA323" s="116"/>
      <c r="FB323" s="116"/>
    </row>
    <row r="324" spans="5:158" ht="13">
      <c r="E324" s="153"/>
      <c r="T324" s="153"/>
      <c r="BD324" s="31"/>
      <c r="BE324" s="31"/>
      <c r="BF324" s="31"/>
      <c r="BG324" s="31"/>
      <c r="BH324" s="31"/>
      <c r="BI324" s="116"/>
      <c r="BL324" s="196"/>
      <c r="BM324" s="239"/>
      <c r="BN324" s="330"/>
      <c r="BP324" s="330"/>
      <c r="BS324" s="116"/>
      <c r="BU324" s="331"/>
      <c r="BW324" s="116"/>
      <c r="BX324" s="116"/>
      <c r="BZ324" s="330"/>
      <c r="CB324" s="330"/>
      <c r="CC324" s="116"/>
      <c r="CG324" s="242"/>
      <c r="CH324" s="116"/>
      <c r="CI324" s="116"/>
      <c r="CJ324" s="116"/>
      <c r="CL324" s="116"/>
      <c r="CN324" s="239"/>
      <c r="CO324" s="153"/>
      <c r="DM324" s="116"/>
      <c r="DN324" s="116"/>
      <c r="DO324" s="116"/>
      <c r="DP324" s="116"/>
      <c r="DW324" s="116"/>
      <c r="DX324" s="219"/>
      <c r="DY324" s="219"/>
      <c r="DZ324" s="116"/>
      <c r="EA324" s="116"/>
      <c r="EB324" s="116"/>
      <c r="EC324" s="116"/>
      <c r="ED324" s="116"/>
      <c r="EF324" s="332"/>
      <c r="EG324" s="116"/>
      <c r="EH324" s="116"/>
      <c r="EI324" s="116"/>
      <c r="EJ324" s="116"/>
      <c r="EK324" s="116"/>
      <c r="EM324" s="116"/>
      <c r="EN324" s="116"/>
      <c r="EO324" s="116"/>
      <c r="EQ324" s="116"/>
      <c r="ER324" s="116"/>
      <c r="ES324" s="116"/>
      <c r="ET324" s="116"/>
      <c r="EU324" s="116"/>
      <c r="EV324" s="116"/>
      <c r="EX324" s="116"/>
      <c r="EY324" s="116"/>
      <c r="EZ324" s="116"/>
      <c r="FA324" s="116"/>
      <c r="FB324" s="116"/>
    </row>
    <row r="325" spans="5:158" ht="13">
      <c r="E325" s="153"/>
      <c r="T325" s="153"/>
      <c r="BD325" s="31"/>
      <c r="BE325" s="31"/>
      <c r="BF325" s="31"/>
      <c r="BG325" s="31"/>
      <c r="BH325" s="31"/>
      <c r="BI325" s="116"/>
      <c r="BL325" s="196"/>
      <c r="BM325" s="239"/>
      <c r="BN325" s="330"/>
      <c r="BP325" s="330"/>
      <c r="BS325" s="116"/>
      <c r="BU325" s="331"/>
      <c r="BW325" s="116"/>
      <c r="BX325" s="116"/>
      <c r="BZ325" s="330"/>
      <c r="CB325" s="330"/>
      <c r="CC325" s="116"/>
      <c r="CG325" s="242"/>
      <c r="CH325" s="116"/>
      <c r="CI325" s="116"/>
      <c r="CJ325" s="116"/>
      <c r="CL325" s="116"/>
      <c r="CN325" s="239"/>
      <c r="CO325" s="153"/>
      <c r="DM325" s="116"/>
      <c r="DN325" s="116"/>
      <c r="DO325" s="116"/>
      <c r="DP325" s="116"/>
      <c r="DW325" s="116"/>
      <c r="DX325" s="219"/>
      <c r="DY325" s="219"/>
      <c r="DZ325" s="116"/>
      <c r="EA325" s="116"/>
      <c r="EB325" s="116"/>
      <c r="EC325" s="116"/>
      <c r="ED325" s="116"/>
      <c r="EF325" s="332"/>
      <c r="EG325" s="116"/>
      <c r="EH325" s="116"/>
      <c r="EI325" s="116"/>
      <c r="EJ325" s="116"/>
      <c r="EK325" s="116"/>
      <c r="EM325" s="116"/>
      <c r="EN325" s="116"/>
      <c r="EO325" s="116"/>
      <c r="EQ325" s="116"/>
      <c r="ER325" s="116"/>
      <c r="ES325" s="116"/>
      <c r="ET325" s="116"/>
      <c r="EU325" s="116"/>
      <c r="EV325" s="116"/>
      <c r="EX325" s="116"/>
      <c r="EY325" s="116"/>
      <c r="EZ325" s="116"/>
      <c r="FA325" s="116"/>
      <c r="FB325" s="116"/>
    </row>
    <row r="326" spans="5:158" ht="13">
      <c r="E326" s="153"/>
      <c r="T326" s="153"/>
      <c r="BD326" s="31"/>
      <c r="BE326" s="31"/>
      <c r="BF326" s="31"/>
      <c r="BG326" s="31"/>
      <c r="BH326" s="31"/>
      <c r="BI326" s="116"/>
      <c r="BL326" s="196"/>
      <c r="BM326" s="239"/>
      <c r="BN326" s="330"/>
      <c r="BP326" s="330"/>
      <c r="BS326" s="116"/>
      <c r="BU326" s="331"/>
      <c r="BW326" s="116"/>
      <c r="BX326" s="116"/>
      <c r="BZ326" s="330"/>
      <c r="CB326" s="330"/>
      <c r="CC326" s="116"/>
      <c r="CG326" s="242"/>
      <c r="CH326" s="116"/>
      <c r="CI326" s="116"/>
      <c r="CJ326" s="116"/>
      <c r="CL326" s="116"/>
      <c r="CN326" s="239"/>
      <c r="CO326" s="153"/>
      <c r="DM326" s="116"/>
      <c r="DN326" s="116"/>
      <c r="DO326" s="116"/>
      <c r="DP326" s="116"/>
      <c r="DW326" s="116"/>
      <c r="DX326" s="219"/>
      <c r="DY326" s="219"/>
      <c r="DZ326" s="116"/>
      <c r="EA326" s="116"/>
      <c r="EB326" s="116"/>
      <c r="EC326" s="116"/>
      <c r="ED326" s="116"/>
      <c r="EF326" s="332"/>
      <c r="EG326" s="116"/>
      <c r="EH326" s="116"/>
      <c r="EI326" s="116"/>
      <c r="EJ326" s="116"/>
      <c r="EK326" s="116"/>
      <c r="EM326" s="116"/>
      <c r="EN326" s="116"/>
      <c r="EO326" s="116"/>
      <c r="EQ326" s="116"/>
      <c r="ER326" s="116"/>
      <c r="ES326" s="116"/>
      <c r="ET326" s="116"/>
      <c r="EU326" s="116"/>
      <c r="EV326" s="116"/>
      <c r="EX326" s="116"/>
      <c r="EY326" s="116"/>
      <c r="EZ326" s="116"/>
      <c r="FA326" s="116"/>
      <c r="FB326" s="116"/>
    </row>
    <row r="327" spans="5:158" ht="13">
      <c r="E327" s="153"/>
      <c r="T327" s="153"/>
      <c r="BD327" s="31"/>
      <c r="BE327" s="31"/>
      <c r="BF327" s="31"/>
      <c r="BG327" s="31"/>
      <c r="BH327" s="31"/>
      <c r="BI327" s="116"/>
      <c r="BL327" s="196"/>
      <c r="BM327" s="239"/>
      <c r="BN327" s="330"/>
      <c r="BP327" s="330"/>
      <c r="BS327" s="116"/>
      <c r="BU327" s="331"/>
      <c r="BW327" s="116"/>
      <c r="BX327" s="116"/>
      <c r="BZ327" s="330"/>
      <c r="CB327" s="330"/>
      <c r="CC327" s="116"/>
      <c r="CG327" s="242"/>
      <c r="CH327" s="116"/>
      <c r="CI327" s="116"/>
      <c r="CJ327" s="116"/>
      <c r="CL327" s="116"/>
      <c r="CN327" s="239"/>
      <c r="CO327" s="153"/>
      <c r="DM327" s="116"/>
      <c r="DN327" s="116"/>
      <c r="DO327" s="116"/>
      <c r="DP327" s="116"/>
      <c r="DW327" s="116"/>
      <c r="DX327" s="219"/>
      <c r="DY327" s="219"/>
      <c r="DZ327" s="116"/>
      <c r="EA327" s="116"/>
      <c r="EB327" s="116"/>
      <c r="EC327" s="116"/>
      <c r="ED327" s="116"/>
      <c r="EF327" s="332"/>
      <c r="EG327" s="116"/>
      <c r="EH327" s="116"/>
      <c r="EI327" s="116"/>
      <c r="EJ327" s="116"/>
      <c r="EK327" s="116"/>
      <c r="EM327" s="116"/>
      <c r="EN327" s="116"/>
      <c r="EO327" s="116"/>
      <c r="EQ327" s="116"/>
      <c r="ER327" s="116"/>
      <c r="ES327" s="116"/>
      <c r="ET327" s="116"/>
      <c r="EU327" s="116"/>
      <c r="EV327" s="116"/>
      <c r="EX327" s="116"/>
      <c r="EY327" s="116"/>
      <c r="EZ327" s="116"/>
      <c r="FA327" s="116"/>
      <c r="FB327" s="116"/>
    </row>
    <row r="328" spans="5:158" ht="13">
      <c r="E328" s="153"/>
      <c r="T328" s="153"/>
      <c r="BD328" s="31"/>
      <c r="BE328" s="31"/>
      <c r="BF328" s="31"/>
      <c r="BG328" s="31"/>
      <c r="BH328" s="31"/>
      <c r="BI328" s="116"/>
      <c r="BL328" s="196"/>
      <c r="BM328" s="239"/>
      <c r="BN328" s="330"/>
      <c r="BP328" s="330"/>
      <c r="BS328" s="116"/>
      <c r="BU328" s="331"/>
      <c r="BW328" s="116"/>
      <c r="BX328" s="116"/>
      <c r="BZ328" s="330"/>
      <c r="CB328" s="330"/>
      <c r="CC328" s="116"/>
      <c r="CG328" s="242"/>
      <c r="CH328" s="116"/>
      <c r="CI328" s="116"/>
      <c r="CJ328" s="116"/>
      <c r="CL328" s="116"/>
      <c r="CN328" s="239"/>
      <c r="CO328" s="153"/>
      <c r="DM328" s="116"/>
      <c r="DN328" s="116"/>
      <c r="DO328" s="116"/>
      <c r="DP328" s="116"/>
      <c r="DW328" s="116"/>
      <c r="DX328" s="219"/>
      <c r="DY328" s="219"/>
      <c r="DZ328" s="116"/>
      <c r="EA328" s="116"/>
      <c r="EB328" s="116"/>
      <c r="EC328" s="116"/>
      <c r="ED328" s="116"/>
      <c r="EF328" s="332"/>
      <c r="EG328" s="116"/>
      <c r="EH328" s="116"/>
      <c r="EI328" s="116"/>
      <c r="EJ328" s="116"/>
      <c r="EK328" s="116"/>
      <c r="EM328" s="116"/>
      <c r="EN328" s="116"/>
      <c r="EO328" s="116"/>
      <c r="EQ328" s="116"/>
      <c r="ER328" s="116"/>
      <c r="ES328" s="116"/>
      <c r="ET328" s="116"/>
      <c r="EU328" s="116"/>
      <c r="EV328" s="116"/>
      <c r="EX328" s="116"/>
      <c r="EY328" s="116"/>
      <c r="EZ328" s="116"/>
      <c r="FA328" s="116"/>
      <c r="FB328" s="116"/>
    </row>
    <row r="329" spans="5:158" ht="13">
      <c r="E329" s="153"/>
      <c r="T329" s="153"/>
      <c r="BD329" s="31"/>
      <c r="BE329" s="31"/>
      <c r="BF329" s="31"/>
      <c r="BG329" s="31"/>
      <c r="BH329" s="31"/>
      <c r="BI329" s="116"/>
      <c r="BL329" s="196"/>
      <c r="BM329" s="239"/>
      <c r="BN329" s="330"/>
      <c r="BP329" s="330"/>
      <c r="BS329" s="116"/>
      <c r="BU329" s="331"/>
      <c r="BW329" s="116"/>
      <c r="BX329" s="116"/>
      <c r="BZ329" s="330"/>
      <c r="CB329" s="330"/>
      <c r="CC329" s="116"/>
      <c r="CG329" s="242"/>
      <c r="CH329" s="116"/>
      <c r="CI329" s="116"/>
      <c r="CJ329" s="116"/>
      <c r="CL329" s="116"/>
      <c r="CN329" s="239"/>
      <c r="CO329" s="153"/>
      <c r="DM329" s="116"/>
      <c r="DN329" s="116"/>
      <c r="DO329" s="116"/>
      <c r="DP329" s="116"/>
      <c r="DW329" s="116"/>
      <c r="DX329" s="219"/>
      <c r="DY329" s="219"/>
      <c r="DZ329" s="116"/>
      <c r="EA329" s="116"/>
      <c r="EB329" s="116"/>
      <c r="EC329" s="116"/>
      <c r="ED329" s="116"/>
      <c r="EF329" s="332"/>
      <c r="EG329" s="116"/>
      <c r="EH329" s="116"/>
      <c r="EI329" s="116"/>
      <c r="EJ329" s="116"/>
      <c r="EK329" s="116"/>
      <c r="EM329" s="116"/>
      <c r="EN329" s="116"/>
      <c r="EO329" s="116"/>
      <c r="EQ329" s="116"/>
      <c r="ER329" s="116"/>
      <c r="ES329" s="116"/>
      <c r="ET329" s="116"/>
      <c r="EU329" s="116"/>
      <c r="EV329" s="116"/>
      <c r="EX329" s="116"/>
      <c r="EY329" s="116"/>
      <c r="EZ329" s="116"/>
      <c r="FA329" s="116"/>
      <c r="FB329" s="116"/>
    </row>
    <row r="330" spans="5:158" ht="13">
      <c r="E330" s="153"/>
      <c r="T330" s="153"/>
      <c r="BD330" s="31"/>
      <c r="BE330" s="31"/>
      <c r="BF330" s="31"/>
      <c r="BG330" s="31"/>
      <c r="BH330" s="31"/>
      <c r="BI330" s="116"/>
      <c r="BL330" s="196"/>
      <c r="BM330" s="239"/>
      <c r="BN330" s="330"/>
      <c r="BP330" s="330"/>
      <c r="BS330" s="116"/>
      <c r="BU330" s="331"/>
      <c r="BW330" s="116"/>
      <c r="BX330" s="116"/>
      <c r="BZ330" s="330"/>
      <c r="CB330" s="330"/>
      <c r="CC330" s="116"/>
      <c r="CG330" s="242"/>
      <c r="CH330" s="116"/>
      <c r="CI330" s="116"/>
      <c r="CJ330" s="116"/>
      <c r="CL330" s="116"/>
      <c r="CN330" s="239"/>
      <c r="CO330" s="153"/>
      <c r="DM330" s="116"/>
      <c r="DN330" s="116"/>
      <c r="DO330" s="116"/>
      <c r="DP330" s="116"/>
      <c r="DW330" s="116"/>
      <c r="DX330" s="219"/>
      <c r="DY330" s="219"/>
      <c r="DZ330" s="116"/>
      <c r="EA330" s="116"/>
      <c r="EB330" s="116"/>
      <c r="EC330" s="116"/>
      <c r="ED330" s="116"/>
      <c r="EF330" s="332"/>
      <c r="EG330" s="116"/>
      <c r="EH330" s="116"/>
      <c r="EI330" s="116"/>
      <c r="EJ330" s="116"/>
      <c r="EK330" s="116"/>
      <c r="EM330" s="116"/>
      <c r="EN330" s="116"/>
      <c r="EO330" s="116"/>
      <c r="EQ330" s="116"/>
      <c r="ER330" s="116"/>
      <c r="ES330" s="116"/>
      <c r="ET330" s="116"/>
      <c r="EU330" s="116"/>
      <c r="EV330" s="116"/>
      <c r="EX330" s="116"/>
      <c r="EY330" s="116"/>
      <c r="EZ330" s="116"/>
      <c r="FA330" s="116"/>
      <c r="FB330" s="116"/>
    </row>
    <row r="331" spans="5:158" ht="13">
      <c r="E331" s="153"/>
      <c r="T331" s="153"/>
      <c r="BD331" s="31"/>
      <c r="BE331" s="31"/>
      <c r="BF331" s="31"/>
      <c r="BG331" s="31"/>
      <c r="BH331" s="31"/>
      <c r="BI331" s="116"/>
      <c r="BL331" s="196"/>
      <c r="BM331" s="239"/>
      <c r="BN331" s="330"/>
      <c r="BP331" s="330"/>
      <c r="BS331" s="116"/>
      <c r="BU331" s="331"/>
      <c r="BW331" s="116"/>
      <c r="BX331" s="116"/>
      <c r="BZ331" s="330"/>
      <c r="CB331" s="330"/>
      <c r="CC331" s="116"/>
      <c r="CG331" s="242"/>
      <c r="CH331" s="116"/>
      <c r="CI331" s="116"/>
      <c r="CJ331" s="116"/>
      <c r="CL331" s="116"/>
      <c r="CN331" s="239"/>
      <c r="CO331" s="153"/>
      <c r="DM331" s="116"/>
      <c r="DN331" s="116"/>
      <c r="DO331" s="116"/>
      <c r="DP331" s="116"/>
      <c r="DW331" s="116"/>
      <c r="DX331" s="219"/>
      <c r="DY331" s="219"/>
      <c r="DZ331" s="116"/>
      <c r="EA331" s="116"/>
      <c r="EB331" s="116"/>
      <c r="EC331" s="116"/>
      <c r="ED331" s="116"/>
      <c r="EF331" s="332"/>
      <c r="EG331" s="116"/>
      <c r="EH331" s="116"/>
      <c r="EI331" s="116"/>
      <c r="EJ331" s="116"/>
      <c r="EK331" s="116"/>
      <c r="EM331" s="116"/>
      <c r="EN331" s="116"/>
      <c r="EO331" s="116"/>
      <c r="EQ331" s="116"/>
      <c r="ER331" s="116"/>
      <c r="ES331" s="116"/>
      <c r="ET331" s="116"/>
      <c r="EU331" s="116"/>
      <c r="EV331" s="116"/>
      <c r="EX331" s="116"/>
      <c r="EY331" s="116"/>
      <c r="EZ331" s="116"/>
      <c r="FA331" s="116"/>
      <c r="FB331" s="116"/>
    </row>
    <row r="332" spans="5:158" ht="13">
      <c r="E332" s="153"/>
      <c r="T332" s="153"/>
      <c r="BD332" s="31"/>
      <c r="BE332" s="31"/>
      <c r="BF332" s="31"/>
      <c r="BG332" s="31"/>
      <c r="BH332" s="31"/>
      <c r="BI332" s="116"/>
      <c r="BL332" s="196"/>
      <c r="BM332" s="239"/>
      <c r="BN332" s="330"/>
      <c r="BP332" s="330"/>
      <c r="BS332" s="116"/>
      <c r="BU332" s="331"/>
      <c r="BW332" s="116"/>
      <c r="BX332" s="116"/>
      <c r="BZ332" s="330"/>
      <c r="CB332" s="330"/>
      <c r="CC332" s="116"/>
      <c r="CG332" s="242"/>
      <c r="CH332" s="116"/>
      <c r="CI332" s="116"/>
      <c r="CJ332" s="116"/>
      <c r="CL332" s="116"/>
      <c r="CN332" s="239"/>
      <c r="CO332" s="153"/>
      <c r="DM332" s="116"/>
      <c r="DN332" s="116"/>
      <c r="DO332" s="116"/>
      <c r="DP332" s="116"/>
      <c r="DW332" s="116"/>
      <c r="DX332" s="219"/>
      <c r="DY332" s="219"/>
      <c r="DZ332" s="116"/>
      <c r="EA332" s="116"/>
      <c r="EB332" s="116"/>
      <c r="EC332" s="116"/>
      <c r="ED332" s="116"/>
      <c r="EF332" s="332"/>
      <c r="EG332" s="116"/>
      <c r="EH332" s="116"/>
      <c r="EI332" s="116"/>
      <c r="EJ332" s="116"/>
      <c r="EK332" s="116"/>
      <c r="EM332" s="116"/>
      <c r="EN332" s="116"/>
      <c r="EO332" s="116"/>
      <c r="EQ332" s="116"/>
      <c r="ER332" s="116"/>
      <c r="ES332" s="116"/>
      <c r="ET332" s="116"/>
      <c r="EU332" s="116"/>
      <c r="EV332" s="116"/>
      <c r="EX332" s="116"/>
      <c r="EY332" s="116"/>
      <c r="EZ332" s="116"/>
      <c r="FA332" s="116"/>
      <c r="FB332" s="116"/>
    </row>
    <row r="333" spans="5:158" ht="13">
      <c r="E333" s="153"/>
      <c r="T333" s="153"/>
      <c r="BD333" s="31"/>
      <c r="BE333" s="31"/>
      <c r="BF333" s="31"/>
      <c r="BG333" s="31"/>
      <c r="BH333" s="31"/>
      <c r="BI333" s="116"/>
      <c r="BL333" s="196"/>
      <c r="BM333" s="239"/>
      <c r="BN333" s="330"/>
      <c r="BP333" s="330"/>
      <c r="BS333" s="116"/>
      <c r="BU333" s="331"/>
      <c r="BW333" s="116"/>
      <c r="BX333" s="116"/>
      <c r="BZ333" s="330"/>
      <c r="CB333" s="330"/>
      <c r="CC333" s="116"/>
      <c r="CG333" s="242"/>
      <c r="CH333" s="116"/>
      <c r="CI333" s="116"/>
      <c r="CJ333" s="116"/>
      <c r="CL333" s="116"/>
      <c r="CN333" s="239"/>
      <c r="CO333" s="153"/>
      <c r="DM333" s="116"/>
      <c r="DN333" s="116"/>
      <c r="DO333" s="116"/>
      <c r="DP333" s="116"/>
      <c r="DW333" s="116"/>
      <c r="DX333" s="219"/>
      <c r="DY333" s="219"/>
      <c r="DZ333" s="116"/>
      <c r="EA333" s="116"/>
      <c r="EB333" s="116"/>
      <c r="EC333" s="116"/>
      <c r="ED333" s="116"/>
      <c r="EF333" s="332"/>
      <c r="EG333" s="116"/>
      <c r="EH333" s="116"/>
      <c r="EI333" s="116"/>
      <c r="EJ333" s="116"/>
      <c r="EK333" s="116"/>
      <c r="EM333" s="116"/>
      <c r="EN333" s="116"/>
      <c r="EO333" s="116"/>
      <c r="EQ333" s="116"/>
      <c r="ER333" s="116"/>
      <c r="ES333" s="116"/>
      <c r="ET333" s="116"/>
      <c r="EU333" s="116"/>
      <c r="EV333" s="116"/>
      <c r="EX333" s="116"/>
      <c r="EY333" s="116"/>
      <c r="EZ333" s="116"/>
      <c r="FA333" s="116"/>
      <c r="FB333" s="116"/>
    </row>
    <row r="334" spans="5:158" ht="13">
      <c r="E334" s="153"/>
      <c r="T334" s="153"/>
      <c r="BD334" s="31"/>
      <c r="BE334" s="31"/>
      <c r="BF334" s="31"/>
      <c r="BG334" s="31"/>
      <c r="BH334" s="31"/>
      <c r="BI334" s="116"/>
      <c r="BL334" s="196"/>
      <c r="BM334" s="239"/>
      <c r="BN334" s="330"/>
      <c r="BP334" s="330"/>
      <c r="BS334" s="116"/>
      <c r="BU334" s="331"/>
      <c r="BW334" s="116"/>
      <c r="BX334" s="116"/>
      <c r="BZ334" s="330"/>
      <c r="CB334" s="330"/>
      <c r="CC334" s="116"/>
      <c r="CG334" s="242"/>
      <c r="CH334" s="116"/>
      <c r="CI334" s="116"/>
      <c r="CJ334" s="116"/>
      <c r="CL334" s="116"/>
      <c r="CN334" s="239"/>
      <c r="CO334" s="153"/>
      <c r="DM334" s="116"/>
      <c r="DN334" s="116"/>
      <c r="DO334" s="116"/>
      <c r="DP334" s="116"/>
      <c r="DW334" s="116"/>
      <c r="DX334" s="219"/>
      <c r="DY334" s="219"/>
      <c r="DZ334" s="116"/>
      <c r="EA334" s="116"/>
      <c r="EB334" s="116"/>
      <c r="EC334" s="116"/>
      <c r="ED334" s="116"/>
      <c r="EF334" s="332"/>
      <c r="EG334" s="116"/>
      <c r="EH334" s="116"/>
      <c r="EI334" s="116"/>
      <c r="EJ334" s="116"/>
      <c r="EK334" s="116"/>
      <c r="EM334" s="116"/>
      <c r="EN334" s="116"/>
      <c r="EO334" s="116"/>
      <c r="EQ334" s="116"/>
      <c r="ER334" s="116"/>
      <c r="ES334" s="116"/>
      <c r="ET334" s="116"/>
      <c r="EU334" s="116"/>
      <c r="EV334" s="116"/>
      <c r="EX334" s="116"/>
      <c r="EY334" s="116"/>
      <c r="EZ334" s="116"/>
      <c r="FA334" s="116"/>
      <c r="FB334" s="116"/>
    </row>
    <row r="335" spans="5:158" ht="13">
      <c r="E335" s="153"/>
      <c r="T335" s="153"/>
      <c r="BD335" s="31"/>
      <c r="BE335" s="31"/>
      <c r="BF335" s="31"/>
      <c r="BG335" s="31"/>
      <c r="BH335" s="31"/>
      <c r="BI335" s="116"/>
      <c r="BL335" s="196"/>
      <c r="BM335" s="239"/>
      <c r="BN335" s="330"/>
      <c r="BP335" s="330"/>
      <c r="BS335" s="116"/>
      <c r="BU335" s="331"/>
      <c r="BW335" s="116"/>
      <c r="BX335" s="116"/>
      <c r="BZ335" s="330"/>
      <c r="CB335" s="330"/>
      <c r="CC335" s="116"/>
      <c r="CG335" s="242"/>
      <c r="CH335" s="116"/>
      <c r="CI335" s="116"/>
      <c r="CJ335" s="116"/>
      <c r="CL335" s="116"/>
      <c r="CN335" s="239"/>
      <c r="CO335" s="153"/>
      <c r="DM335" s="116"/>
      <c r="DN335" s="116"/>
      <c r="DO335" s="116"/>
      <c r="DP335" s="116"/>
      <c r="DW335" s="116"/>
      <c r="DX335" s="219"/>
      <c r="DY335" s="219"/>
      <c r="DZ335" s="116"/>
      <c r="EA335" s="116"/>
      <c r="EB335" s="116"/>
      <c r="EC335" s="116"/>
      <c r="ED335" s="116"/>
      <c r="EF335" s="332"/>
      <c r="EG335" s="116"/>
      <c r="EH335" s="116"/>
      <c r="EI335" s="116"/>
      <c r="EJ335" s="116"/>
      <c r="EK335" s="116"/>
      <c r="EM335" s="116"/>
      <c r="EN335" s="116"/>
      <c r="EO335" s="116"/>
      <c r="EQ335" s="116"/>
      <c r="ER335" s="116"/>
      <c r="ES335" s="116"/>
      <c r="ET335" s="116"/>
      <c r="EU335" s="116"/>
      <c r="EV335" s="116"/>
      <c r="EX335" s="116"/>
      <c r="EY335" s="116"/>
      <c r="EZ335" s="116"/>
      <c r="FA335" s="116"/>
      <c r="FB335" s="116"/>
    </row>
    <row r="336" spans="5:158" ht="13">
      <c r="E336" s="153"/>
      <c r="T336" s="153"/>
      <c r="BD336" s="31"/>
      <c r="BE336" s="31"/>
      <c r="BF336" s="31"/>
      <c r="BG336" s="31"/>
      <c r="BH336" s="31"/>
      <c r="BI336" s="116"/>
      <c r="BL336" s="196"/>
      <c r="BM336" s="239"/>
      <c r="BN336" s="330"/>
      <c r="BP336" s="330"/>
      <c r="BS336" s="116"/>
      <c r="BU336" s="331"/>
      <c r="BW336" s="116"/>
      <c r="BX336" s="116"/>
      <c r="BZ336" s="330"/>
      <c r="CB336" s="330"/>
      <c r="CC336" s="116"/>
      <c r="CG336" s="242"/>
      <c r="CH336" s="116"/>
      <c r="CI336" s="116"/>
      <c r="CJ336" s="116"/>
      <c r="CL336" s="116"/>
      <c r="CN336" s="239"/>
      <c r="CO336" s="153"/>
      <c r="DM336" s="116"/>
      <c r="DN336" s="116"/>
      <c r="DO336" s="116"/>
      <c r="DP336" s="116"/>
      <c r="DW336" s="116"/>
      <c r="DX336" s="219"/>
      <c r="DY336" s="219"/>
      <c r="DZ336" s="116"/>
      <c r="EA336" s="116"/>
      <c r="EB336" s="116"/>
      <c r="EC336" s="116"/>
      <c r="ED336" s="116"/>
      <c r="EF336" s="332"/>
      <c r="EG336" s="116"/>
      <c r="EH336" s="116"/>
      <c r="EI336" s="116"/>
      <c r="EJ336" s="116"/>
      <c r="EK336" s="116"/>
      <c r="EM336" s="116"/>
      <c r="EN336" s="116"/>
      <c r="EO336" s="116"/>
      <c r="EQ336" s="116"/>
      <c r="ER336" s="116"/>
      <c r="ES336" s="116"/>
      <c r="ET336" s="116"/>
      <c r="EU336" s="116"/>
      <c r="EV336" s="116"/>
      <c r="EX336" s="116"/>
      <c r="EY336" s="116"/>
      <c r="EZ336" s="116"/>
      <c r="FA336" s="116"/>
      <c r="FB336" s="116"/>
    </row>
    <row r="337" spans="5:158" ht="13">
      <c r="E337" s="153"/>
      <c r="T337" s="153"/>
      <c r="BD337" s="31"/>
      <c r="BE337" s="31"/>
      <c r="BF337" s="31"/>
      <c r="BG337" s="31"/>
      <c r="BH337" s="31"/>
      <c r="BI337" s="116"/>
      <c r="BL337" s="196"/>
      <c r="BM337" s="239"/>
      <c r="BN337" s="330"/>
      <c r="BP337" s="330"/>
      <c r="BS337" s="116"/>
      <c r="BU337" s="331"/>
      <c r="BW337" s="116"/>
      <c r="BX337" s="116"/>
      <c r="BZ337" s="330"/>
      <c r="CB337" s="330"/>
      <c r="CC337" s="116"/>
      <c r="CG337" s="242"/>
      <c r="CH337" s="116"/>
      <c r="CI337" s="116"/>
      <c r="CJ337" s="116"/>
      <c r="CL337" s="116"/>
      <c r="CN337" s="239"/>
      <c r="CO337" s="153"/>
      <c r="DM337" s="116"/>
      <c r="DN337" s="116"/>
      <c r="DO337" s="116"/>
      <c r="DP337" s="116"/>
      <c r="DW337" s="116"/>
      <c r="DX337" s="219"/>
      <c r="DY337" s="219"/>
      <c r="DZ337" s="116"/>
      <c r="EA337" s="116"/>
      <c r="EB337" s="116"/>
      <c r="EC337" s="116"/>
      <c r="ED337" s="116"/>
      <c r="EF337" s="332"/>
      <c r="EG337" s="116"/>
      <c r="EH337" s="116"/>
      <c r="EI337" s="116"/>
      <c r="EJ337" s="116"/>
      <c r="EK337" s="116"/>
      <c r="EM337" s="116"/>
      <c r="EN337" s="116"/>
      <c r="EO337" s="116"/>
      <c r="EQ337" s="116"/>
      <c r="ER337" s="116"/>
      <c r="ES337" s="116"/>
      <c r="ET337" s="116"/>
      <c r="EU337" s="116"/>
      <c r="EV337" s="116"/>
      <c r="EX337" s="116"/>
      <c r="EY337" s="116"/>
      <c r="EZ337" s="116"/>
      <c r="FA337" s="116"/>
      <c r="FB337" s="116"/>
    </row>
    <row r="338" spans="5:158" ht="13">
      <c r="E338" s="153"/>
      <c r="T338" s="153"/>
      <c r="BD338" s="31"/>
      <c r="BE338" s="31"/>
      <c r="BF338" s="31"/>
      <c r="BG338" s="31"/>
      <c r="BH338" s="31"/>
      <c r="BI338" s="116"/>
      <c r="BL338" s="196"/>
      <c r="BM338" s="239"/>
      <c r="BN338" s="330"/>
      <c r="BP338" s="330"/>
      <c r="BS338" s="116"/>
      <c r="BU338" s="331"/>
      <c r="BW338" s="116"/>
      <c r="BX338" s="116"/>
      <c r="BZ338" s="330"/>
      <c r="CB338" s="330"/>
      <c r="CC338" s="116"/>
      <c r="CG338" s="242"/>
      <c r="CH338" s="116"/>
      <c r="CI338" s="116"/>
      <c r="CJ338" s="116"/>
      <c r="CL338" s="116"/>
      <c r="CN338" s="239"/>
      <c r="CO338" s="153"/>
      <c r="DM338" s="116"/>
      <c r="DN338" s="116"/>
      <c r="DO338" s="116"/>
      <c r="DP338" s="116"/>
      <c r="DW338" s="116"/>
      <c r="DX338" s="219"/>
      <c r="DY338" s="219"/>
      <c r="DZ338" s="116"/>
      <c r="EA338" s="116"/>
      <c r="EB338" s="116"/>
      <c r="EC338" s="116"/>
      <c r="ED338" s="116"/>
      <c r="EF338" s="332"/>
      <c r="EG338" s="116"/>
      <c r="EH338" s="116"/>
      <c r="EI338" s="116"/>
      <c r="EJ338" s="116"/>
      <c r="EK338" s="116"/>
      <c r="EM338" s="116"/>
      <c r="EN338" s="116"/>
      <c r="EO338" s="116"/>
      <c r="EQ338" s="116"/>
      <c r="ER338" s="116"/>
      <c r="ES338" s="116"/>
      <c r="ET338" s="116"/>
      <c r="EU338" s="116"/>
      <c r="EV338" s="116"/>
      <c r="EX338" s="116"/>
      <c r="EY338" s="116"/>
      <c r="EZ338" s="116"/>
      <c r="FA338" s="116"/>
      <c r="FB338" s="116"/>
    </row>
    <row r="339" spans="5:158" ht="13">
      <c r="E339" s="153"/>
      <c r="T339" s="153"/>
      <c r="BD339" s="31"/>
      <c r="BE339" s="31"/>
      <c r="BF339" s="31"/>
      <c r="BG339" s="31"/>
      <c r="BH339" s="31"/>
      <c r="BI339" s="116"/>
      <c r="BL339" s="196"/>
      <c r="BM339" s="239"/>
      <c r="BN339" s="330"/>
      <c r="BP339" s="330"/>
      <c r="BS339" s="116"/>
      <c r="BU339" s="331"/>
      <c r="BW339" s="116"/>
      <c r="BX339" s="116"/>
      <c r="BZ339" s="330"/>
      <c r="CB339" s="330"/>
      <c r="CC339" s="116"/>
      <c r="CG339" s="242"/>
      <c r="CH339" s="116"/>
      <c r="CI339" s="116"/>
      <c r="CJ339" s="116"/>
      <c r="CL339" s="116"/>
      <c r="CN339" s="239"/>
      <c r="CO339" s="153"/>
      <c r="DM339" s="116"/>
      <c r="DN339" s="116"/>
      <c r="DO339" s="116"/>
      <c r="DP339" s="116"/>
      <c r="DW339" s="116"/>
      <c r="DX339" s="219"/>
      <c r="DY339" s="219"/>
      <c r="DZ339" s="116"/>
      <c r="EA339" s="116"/>
      <c r="EB339" s="116"/>
      <c r="EC339" s="116"/>
      <c r="ED339" s="116"/>
      <c r="EF339" s="332"/>
      <c r="EG339" s="116"/>
      <c r="EH339" s="116"/>
      <c r="EI339" s="116"/>
      <c r="EJ339" s="116"/>
      <c r="EK339" s="116"/>
      <c r="EM339" s="116"/>
      <c r="EN339" s="116"/>
      <c r="EO339" s="116"/>
      <c r="EQ339" s="116"/>
      <c r="ER339" s="116"/>
      <c r="ES339" s="116"/>
      <c r="ET339" s="116"/>
      <c r="EU339" s="116"/>
      <c r="EV339" s="116"/>
      <c r="EX339" s="116"/>
      <c r="EY339" s="116"/>
      <c r="EZ339" s="116"/>
      <c r="FA339" s="116"/>
      <c r="FB339" s="116"/>
    </row>
    <row r="340" spans="5:158" ht="13">
      <c r="E340" s="153"/>
      <c r="T340" s="153"/>
      <c r="BD340" s="31"/>
      <c r="BE340" s="31"/>
      <c r="BF340" s="31"/>
      <c r="BG340" s="31"/>
      <c r="BH340" s="31"/>
      <c r="BI340" s="116"/>
      <c r="BL340" s="196"/>
      <c r="BM340" s="239"/>
      <c r="BN340" s="330"/>
      <c r="BP340" s="330"/>
      <c r="BS340" s="116"/>
      <c r="BU340" s="331"/>
      <c r="BW340" s="116"/>
      <c r="BX340" s="116"/>
      <c r="BZ340" s="330"/>
      <c r="CB340" s="330"/>
      <c r="CC340" s="116"/>
      <c r="CG340" s="242"/>
      <c r="CH340" s="116"/>
      <c r="CI340" s="116"/>
      <c r="CJ340" s="116"/>
      <c r="CL340" s="116"/>
      <c r="CN340" s="239"/>
      <c r="CO340" s="153"/>
      <c r="DM340" s="116"/>
      <c r="DN340" s="116"/>
      <c r="DO340" s="116"/>
      <c r="DP340" s="116"/>
      <c r="DW340" s="116"/>
      <c r="DX340" s="219"/>
      <c r="DY340" s="219"/>
      <c r="DZ340" s="116"/>
      <c r="EA340" s="116"/>
      <c r="EB340" s="116"/>
      <c r="EC340" s="116"/>
      <c r="ED340" s="116"/>
      <c r="EF340" s="332"/>
      <c r="EG340" s="116"/>
      <c r="EH340" s="116"/>
      <c r="EI340" s="116"/>
      <c r="EJ340" s="116"/>
      <c r="EK340" s="116"/>
      <c r="EM340" s="116"/>
      <c r="EN340" s="116"/>
      <c r="EO340" s="116"/>
      <c r="EQ340" s="116"/>
      <c r="ER340" s="116"/>
      <c r="ES340" s="116"/>
      <c r="ET340" s="116"/>
      <c r="EU340" s="116"/>
      <c r="EV340" s="116"/>
      <c r="EX340" s="116"/>
      <c r="EY340" s="116"/>
      <c r="EZ340" s="116"/>
      <c r="FA340" s="116"/>
      <c r="FB340" s="116"/>
    </row>
    <row r="341" spans="5:158" ht="13">
      <c r="E341" s="153"/>
      <c r="T341" s="153"/>
      <c r="BD341" s="31"/>
      <c r="BE341" s="31"/>
      <c r="BF341" s="31"/>
      <c r="BG341" s="31"/>
      <c r="BH341" s="31"/>
      <c r="BI341" s="116"/>
      <c r="BL341" s="196"/>
      <c r="BM341" s="239"/>
      <c r="BN341" s="330"/>
      <c r="BP341" s="330"/>
      <c r="BS341" s="116"/>
      <c r="BU341" s="331"/>
      <c r="BW341" s="116"/>
      <c r="BX341" s="116"/>
      <c r="BZ341" s="330"/>
      <c r="CB341" s="330"/>
      <c r="CC341" s="116"/>
      <c r="CG341" s="242"/>
      <c r="CH341" s="116"/>
      <c r="CI341" s="116"/>
      <c r="CJ341" s="116"/>
      <c r="CL341" s="116"/>
      <c r="CN341" s="239"/>
      <c r="CO341" s="153"/>
      <c r="DM341" s="116"/>
      <c r="DN341" s="116"/>
      <c r="DO341" s="116"/>
      <c r="DP341" s="116"/>
      <c r="DW341" s="116"/>
      <c r="DX341" s="219"/>
      <c r="DY341" s="219"/>
      <c r="DZ341" s="116"/>
      <c r="EA341" s="116"/>
      <c r="EB341" s="116"/>
      <c r="EC341" s="116"/>
      <c r="ED341" s="116"/>
      <c r="EF341" s="332"/>
      <c r="EG341" s="116"/>
      <c r="EH341" s="116"/>
      <c r="EI341" s="116"/>
      <c r="EJ341" s="116"/>
      <c r="EK341" s="116"/>
      <c r="EM341" s="116"/>
      <c r="EN341" s="116"/>
      <c r="EO341" s="116"/>
      <c r="EQ341" s="116"/>
      <c r="ER341" s="116"/>
      <c r="ES341" s="116"/>
      <c r="ET341" s="116"/>
      <c r="EU341" s="116"/>
      <c r="EV341" s="116"/>
      <c r="EX341" s="116"/>
      <c r="EY341" s="116"/>
      <c r="EZ341" s="116"/>
      <c r="FA341" s="116"/>
      <c r="FB341" s="116"/>
    </row>
    <row r="342" spans="5:158" ht="13">
      <c r="E342" s="153"/>
      <c r="T342" s="153"/>
      <c r="BD342" s="31"/>
      <c r="BE342" s="31"/>
      <c r="BF342" s="31"/>
      <c r="BG342" s="31"/>
      <c r="BH342" s="31"/>
      <c r="BI342" s="116"/>
      <c r="BL342" s="196"/>
      <c r="BM342" s="239"/>
      <c r="BN342" s="330"/>
      <c r="BP342" s="330"/>
      <c r="BS342" s="116"/>
      <c r="BU342" s="331"/>
      <c r="BW342" s="116"/>
      <c r="BX342" s="116"/>
      <c r="BZ342" s="330"/>
      <c r="CB342" s="330"/>
      <c r="CC342" s="116"/>
      <c r="CG342" s="242"/>
      <c r="CH342" s="116"/>
      <c r="CI342" s="116"/>
      <c r="CJ342" s="116"/>
      <c r="CL342" s="116"/>
      <c r="CN342" s="239"/>
      <c r="CO342" s="153"/>
      <c r="DM342" s="116"/>
      <c r="DN342" s="116"/>
      <c r="DO342" s="116"/>
      <c r="DP342" s="116"/>
      <c r="DW342" s="116"/>
      <c r="DX342" s="219"/>
      <c r="DY342" s="219"/>
      <c r="DZ342" s="116"/>
      <c r="EA342" s="116"/>
      <c r="EB342" s="116"/>
      <c r="EC342" s="116"/>
      <c r="ED342" s="116"/>
      <c r="EF342" s="332"/>
      <c r="EG342" s="116"/>
      <c r="EH342" s="116"/>
      <c r="EI342" s="116"/>
      <c r="EJ342" s="116"/>
      <c r="EK342" s="116"/>
      <c r="EM342" s="116"/>
      <c r="EN342" s="116"/>
      <c r="EO342" s="116"/>
      <c r="EQ342" s="116"/>
      <c r="ER342" s="116"/>
      <c r="ES342" s="116"/>
      <c r="ET342" s="116"/>
      <c r="EU342" s="116"/>
      <c r="EV342" s="116"/>
      <c r="EX342" s="116"/>
      <c r="EY342" s="116"/>
      <c r="EZ342" s="116"/>
      <c r="FA342" s="116"/>
      <c r="FB342" s="116"/>
    </row>
    <row r="343" spans="5:158" ht="13">
      <c r="E343" s="153"/>
      <c r="T343" s="153"/>
      <c r="BD343" s="31"/>
      <c r="BE343" s="31"/>
      <c r="BF343" s="31"/>
      <c r="BG343" s="31"/>
      <c r="BH343" s="31"/>
      <c r="BI343" s="116"/>
      <c r="BL343" s="196"/>
      <c r="BM343" s="239"/>
      <c r="BN343" s="330"/>
      <c r="BP343" s="330"/>
      <c r="BS343" s="116"/>
      <c r="BU343" s="331"/>
      <c r="BW343" s="116"/>
      <c r="BX343" s="116"/>
      <c r="BZ343" s="330"/>
      <c r="CB343" s="330"/>
      <c r="CC343" s="116"/>
      <c r="CG343" s="242"/>
      <c r="CH343" s="116"/>
      <c r="CI343" s="116"/>
      <c r="CJ343" s="116"/>
      <c r="CL343" s="116"/>
      <c r="CN343" s="239"/>
      <c r="CO343" s="153"/>
      <c r="DM343" s="116"/>
      <c r="DN343" s="116"/>
      <c r="DO343" s="116"/>
      <c r="DP343" s="116"/>
      <c r="DW343" s="116"/>
      <c r="DX343" s="219"/>
      <c r="DY343" s="219"/>
      <c r="DZ343" s="116"/>
      <c r="EA343" s="116"/>
      <c r="EB343" s="116"/>
      <c r="EC343" s="116"/>
      <c r="ED343" s="116"/>
      <c r="EF343" s="332"/>
      <c r="EG343" s="116"/>
      <c r="EH343" s="116"/>
      <c r="EI343" s="116"/>
      <c r="EJ343" s="116"/>
      <c r="EK343" s="116"/>
      <c r="EM343" s="116"/>
      <c r="EN343" s="116"/>
      <c r="EO343" s="116"/>
      <c r="EQ343" s="116"/>
      <c r="ER343" s="116"/>
      <c r="ES343" s="116"/>
      <c r="ET343" s="116"/>
      <c r="EU343" s="116"/>
      <c r="EV343" s="116"/>
      <c r="EX343" s="116"/>
      <c r="EY343" s="116"/>
      <c r="EZ343" s="116"/>
      <c r="FA343" s="116"/>
      <c r="FB343" s="116"/>
    </row>
    <row r="344" spans="5:158" ht="13">
      <c r="E344" s="153"/>
      <c r="T344" s="153"/>
      <c r="BD344" s="31"/>
      <c r="BE344" s="31"/>
      <c r="BF344" s="31"/>
      <c r="BG344" s="31"/>
      <c r="BH344" s="31"/>
      <c r="BI344" s="116"/>
      <c r="BL344" s="196"/>
      <c r="BM344" s="239"/>
      <c r="BN344" s="330"/>
      <c r="BP344" s="330"/>
      <c r="BS344" s="116"/>
      <c r="BU344" s="331"/>
      <c r="BW344" s="116"/>
      <c r="BX344" s="116"/>
      <c r="BZ344" s="330"/>
      <c r="CB344" s="330"/>
      <c r="CC344" s="116"/>
      <c r="CG344" s="242"/>
      <c r="CH344" s="116"/>
      <c r="CI344" s="116"/>
      <c r="CJ344" s="116"/>
      <c r="CL344" s="116"/>
      <c r="CN344" s="239"/>
      <c r="CO344" s="153"/>
      <c r="DM344" s="116"/>
      <c r="DN344" s="116"/>
      <c r="DO344" s="116"/>
      <c r="DP344" s="116"/>
      <c r="DW344" s="116"/>
      <c r="DX344" s="219"/>
      <c r="DY344" s="219"/>
      <c r="DZ344" s="116"/>
      <c r="EA344" s="116"/>
      <c r="EB344" s="116"/>
      <c r="EC344" s="116"/>
      <c r="ED344" s="116"/>
      <c r="EF344" s="332"/>
      <c r="EG344" s="116"/>
      <c r="EH344" s="116"/>
      <c r="EI344" s="116"/>
      <c r="EJ344" s="116"/>
      <c r="EK344" s="116"/>
      <c r="EM344" s="116"/>
      <c r="EN344" s="116"/>
      <c r="EO344" s="116"/>
      <c r="EQ344" s="116"/>
      <c r="ER344" s="116"/>
      <c r="ES344" s="116"/>
      <c r="ET344" s="116"/>
      <c r="EU344" s="116"/>
      <c r="EV344" s="116"/>
      <c r="EX344" s="116"/>
      <c r="EY344" s="116"/>
      <c r="EZ344" s="116"/>
      <c r="FA344" s="116"/>
      <c r="FB344" s="116"/>
    </row>
    <row r="345" spans="5:158" ht="13">
      <c r="E345" s="153"/>
      <c r="T345" s="153"/>
      <c r="BD345" s="31"/>
      <c r="BE345" s="31"/>
      <c r="BF345" s="31"/>
      <c r="BG345" s="31"/>
      <c r="BH345" s="31"/>
      <c r="BI345" s="116"/>
      <c r="BL345" s="196"/>
      <c r="BM345" s="239"/>
      <c r="BN345" s="330"/>
      <c r="BP345" s="330"/>
      <c r="BS345" s="116"/>
      <c r="BU345" s="331"/>
      <c r="BW345" s="116"/>
      <c r="BX345" s="116"/>
      <c r="BZ345" s="330"/>
      <c r="CB345" s="330"/>
      <c r="CC345" s="116"/>
      <c r="CG345" s="242"/>
      <c r="CH345" s="116"/>
      <c r="CI345" s="116"/>
      <c r="CJ345" s="116"/>
      <c r="CL345" s="116"/>
      <c r="CN345" s="239"/>
      <c r="CO345" s="153"/>
      <c r="DM345" s="116"/>
      <c r="DN345" s="116"/>
      <c r="DO345" s="116"/>
      <c r="DP345" s="116"/>
      <c r="DW345" s="116"/>
      <c r="DX345" s="219"/>
      <c r="DY345" s="219"/>
      <c r="DZ345" s="116"/>
      <c r="EA345" s="116"/>
      <c r="EB345" s="116"/>
      <c r="EC345" s="116"/>
      <c r="ED345" s="116"/>
      <c r="EF345" s="332"/>
      <c r="EG345" s="116"/>
      <c r="EH345" s="116"/>
      <c r="EI345" s="116"/>
      <c r="EJ345" s="116"/>
      <c r="EK345" s="116"/>
      <c r="EM345" s="116"/>
      <c r="EN345" s="116"/>
      <c r="EO345" s="116"/>
      <c r="EQ345" s="116"/>
      <c r="ER345" s="116"/>
      <c r="ES345" s="116"/>
      <c r="ET345" s="116"/>
      <c r="EU345" s="116"/>
      <c r="EV345" s="116"/>
      <c r="EX345" s="116"/>
      <c r="EY345" s="116"/>
      <c r="EZ345" s="116"/>
      <c r="FA345" s="116"/>
      <c r="FB345" s="116"/>
    </row>
    <row r="346" spans="5:158" ht="13">
      <c r="E346" s="153"/>
      <c r="T346" s="153"/>
      <c r="BD346" s="31"/>
      <c r="BE346" s="31"/>
      <c r="BF346" s="31"/>
      <c r="BG346" s="31"/>
      <c r="BH346" s="31"/>
      <c r="BI346" s="116"/>
      <c r="BL346" s="196"/>
      <c r="BM346" s="239"/>
      <c r="BN346" s="330"/>
      <c r="BP346" s="330"/>
      <c r="BS346" s="116"/>
      <c r="BU346" s="331"/>
      <c r="BW346" s="116"/>
      <c r="BX346" s="116"/>
      <c r="BZ346" s="330"/>
      <c r="CB346" s="330"/>
      <c r="CC346" s="116"/>
      <c r="CG346" s="242"/>
      <c r="CH346" s="116"/>
      <c r="CI346" s="116"/>
      <c r="CJ346" s="116"/>
      <c r="CL346" s="116"/>
      <c r="CN346" s="239"/>
      <c r="CO346" s="153"/>
      <c r="DM346" s="116"/>
      <c r="DN346" s="116"/>
      <c r="DO346" s="116"/>
      <c r="DP346" s="116"/>
      <c r="DW346" s="116"/>
      <c r="DX346" s="219"/>
      <c r="DY346" s="219"/>
      <c r="DZ346" s="116"/>
      <c r="EA346" s="116"/>
      <c r="EB346" s="116"/>
      <c r="EC346" s="116"/>
      <c r="ED346" s="116"/>
      <c r="EF346" s="332"/>
      <c r="EG346" s="116"/>
      <c r="EH346" s="116"/>
      <c r="EI346" s="116"/>
      <c r="EJ346" s="116"/>
      <c r="EK346" s="116"/>
      <c r="EM346" s="116"/>
      <c r="EN346" s="116"/>
      <c r="EO346" s="116"/>
      <c r="EQ346" s="116"/>
      <c r="ER346" s="116"/>
      <c r="ES346" s="116"/>
      <c r="ET346" s="116"/>
      <c r="EU346" s="116"/>
      <c r="EV346" s="116"/>
      <c r="EX346" s="116"/>
      <c r="EY346" s="116"/>
      <c r="EZ346" s="116"/>
      <c r="FA346" s="116"/>
      <c r="FB346" s="116"/>
    </row>
    <row r="347" spans="5:158" ht="13">
      <c r="E347" s="153"/>
      <c r="T347" s="153"/>
      <c r="BD347" s="31"/>
      <c r="BE347" s="31"/>
      <c r="BF347" s="31"/>
      <c r="BG347" s="31"/>
      <c r="BH347" s="31"/>
      <c r="BI347" s="116"/>
      <c r="BL347" s="196"/>
      <c r="BM347" s="239"/>
      <c r="BN347" s="330"/>
      <c r="BP347" s="330"/>
      <c r="BS347" s="116"/>
      <c r="BU347" s="331"/>
      <c r="BW347" s="116"/>
      <c r="BX347" s="116"/>
      <c r="BZ347" s="330"/>
      <c r="CB347" s="330"/>
      <c r="CC347" s="116"/>
      <c r="CG347" s="242"/>
      <c r="CH347" s="116"/>
      <c r="CI347" s="116"/>
      <c r="CJ347" s="116"/>
      <c r="CL347" s="116"/>
      <c r="CN347" s="239"/>
      <c r="CO347" s="153"/>
      <c r="DM347" s="116"/>
      <c r="DN347" s="116"/>
      <c r="DO347" s="116"/>
      <c r="DP347" s="116"/>
      <c r="DW347" s="116"/>
      <c r="DX347" s="219"/>
      <c r="DY347" s="219"/>
      <c r="DZ347" s="116"/>
      <c r="EA347" s="116"/>
      <c r="EB347" s="116"/>
      <c r="EC347" s="116"/>
      <c r="ED347" s="116"/>
      <c r="EF347" s="332"/>
      <c r="EG347" s="116"/>
      <c r="EH347" s="116"/>
      <c r="EI347" s="116"/>
      <c r="EJ347" s="116"/>
      <c r="EK347" s="116"/>
      <c r="EM347" s="116"/>
      <c r="EN347" s="116"/>
      <c r="EO347" s="116"/>
      <c r="EQ347" s="116"/>
      <c r="ER347" s="116"/>
      <c r="ES347" s="116"/>
      <c r="ET347" s="116"/>
      <c r="EU347" s="116"/>
      <c r="EV347" s="116"/>
      <c r="EX347" s="116"/>
      <c r="EY347" s="116"/>
      <c r="EZ347" s="116"/>
      <c r="FA347" s="116"/>
      <c r="FB347" s="116"/>
    </row>
    <row r="348" spans="5:158" ht="13">
      <c r="E348" s="153"/>
      <c r="T348" s="153"/>
      <c r="BD348" s="31"/>
      <c r="BE348" s="31"/>
      <c r="BF348" s="31"/>
      <c r="BG348" s="31"/>
      <c r="BH348" s="31"/>
      <c r="BI348" s="116"/>
      <c r="BL348" s="196"/>
      <c r="BM348" s="239"/>
      <c r="BN348" s="330"/>
      <c r="BP348" s="330"/>
      <c r="BS348" s="116"/>
      <c r="BU348" s="331"/>
      <c r="BW348" s="116"/>
      <c r="BX348" s="116"/>
      <c r="BZ348" s="330"/>
      <c r="CB348" s="330"/>
      <c r="CC348" s="116"/>
      <c r="CG348" s="242"/>
      <c r="CH348" s="116"/>
      <c r="CI348" s="116"/>
      <c r="CJ348" s="116"/>
      <c r="CL348" s="116"/>
      <c r="CN348" s="239"/>
      <c r="CO348" s="153"/>
      <c r="DM348" s="116"/>
      <c r="DN348" s="116"/>
      <c r="DO348" s="116"/>
      <c r="DP348" s="116"/>
      <c r="DW348" s="116"/>
      <c r="DX348" s="219"/>
      <c r="DY348" s="219"/>
      <c r="DZ348" s="116"/>
      <c r="EA348" s="116"/>
      <c r="EB348" s="116"/>
      <c r="EC348" s="116"/>
      <c r="ED348" s="116"/>
      <c r="EF348" s="332"/>
      <c r="EG348" s="116"/>
      <c r="EH348" s="116"/>
      <c r="EI348" s="116"/>
      <c r="EJ348" s="116"/>
      <c r="EK348" s="116"/>
      <c r="EM348" s="116"/>
      <c r="EN348" s="116"/>
      <c r="EO348" s="116"/>
      <c r="EQ348" s="116"/>
      <c r="ER348" s="116"/>
      <c r="ES348" s="116"/>
      <c r="ET348" s="116"/>
      <c r="EU348" s="116"/>
      <c r="EV348" s="116"/>
      <c r="EX348" s="116"/>
      <c r="EY348" s="116"/>
      <c r="EZ348" s="116"/>
      <c r="FA348" s="116"/>
      <c r="FB348" s="116"/>
    </row>
    <row r="349" spans="5:158" ht="13">
      <c r="E349" s="153"/>
      <c r="T349" s="153"/>
      <c r="BD349" s="31"/>
      <c r="BE349" s="31"/>
      <c r="BF349" s="31"/>
      <c r="BG349" s="31"/>
      <c r="BH349" s="31"/>
      <c r="BI349" s="116"/>
      <c r="BL349" s="196"/>
      <c r="BM349" s="239"/>
      <c r="BN349" s="330"/>
      <c r="BP349" s="330"/>
      <c r="BS349" s="116"/>
      <c r="BU349" s="331"/>
      <c r="BW349" s="116"/>
      <c r="BX349" s="116"/>
      <c r="BZ349" s="330"/>
      <c r="CB349" s="330"/>
      <c r="CC349" s="116"/>
      <c r="CG349" s="242"/>
      <c r="CH349" s="116"/>
      <c r="CI349" s="116"/>
      <c r="CJ349" s="116"/>
      <c r="CL349" s="116"/>
      <c r="CN349" s="239"/>
      <c r="CO349" s="153"/>
      <c r="DM349" s="116"/>
      <c r="DN349" s="116"/>
      <c r="DO349" s="116"/>
      <c r="DP349" s="116"/>
      <c r="DW349" s="116"/>
      <c r="DX349" s="219"/>
      <c r="DY349" s="219"/>
      <c r="DZ349" s="116"/>
      <c r="EA349" s="116"/>
      <c r="EB349" s="116"/>
      <c r="EC349" s="116"/>
      <c r="ED349" s="116"/>
      <c r="EF349" s="332"/>
      <c r="EG349" s="116"/>
      <c r="EH349" s="116"/>
      <c r="EI349" s="116"/>
      <c r="EJ349" s="116"/>
      <c r="EK349" s="116"/>
      <c r="EM349" s="116"/>
      <c r="EN349" s="116"/>
      <c r="EO349" s="116"/>
      <c r="EQ349" s="116"/>
      <c r="ER349" s="116"/>
      <c r="ES349" s="116"/>
      <c r="ET349" s="116"/>
      <c r="EU349" s="116"/>
      <c r="EV349" s="116"/>
      <c r="EX349" s="116"/>
      <c r="EY349" s="116"/>
      <c r="EZ349" s="116"/>
      <c r="FA349" s="116"/>
      <c r="FB349" s="116"/>
    </row>
    <row r="350" spans="5:158" ht="13">
      <c r="E350" s="153"/>
      <c r="T350" s="153"/>
      <c r="BD350" s="31"/>
      <c r="BE350" s="31"/>
      <c r="BF350" s="31"/>
      <c r="BG350" s="31"/>
      <c r="BH350" s="31"/>
      <c r="BI350" s="116"/>
      <c r="BL350" s="196"/>
      <c r="BM350" s="239"/>
      <c r="BN350" s="330"/>
      <c r="BP350" s="330"/>
      <c r="BS350" s="116"/>
      <c r="BU350" s="331"/>
      <c r="BW350" s="116"/>
      <c r="BX350" s="116"/>
      <c r="BZ350" s="330"/>
      <c r="CB350" s="330"/>
      <c r="CC350" s="116"/>
      <c r="CG350" s="242"/>
      <c r="CH350" s="116"/>
      <c r="CI350" s="116"/>
      <c r="CJ350" s="116"/>
      <c r="CL350" s="116"/>
      <c r="CN350" s="239"/>
      <c r="CO350" s="153"/>
      <c r="DM350" s="116"/>
      <c r="DN350" s="116"/>
      <c r="DO350" s="116"/>
      <c r="DP350" s="116"/>
      <c r="DW350" s="116"/>
      <c r="DX350" s="219"/>
      <c r="DY350" s="219"/>
      <c r="DZ350" s="116"/>
      <c r="EA350" s="116"/>
      <c r="EB350" s="116"/>
      <c r="EC350" s="116"/>
      <c r="ED350" s="116"/>
      <c r="EF350" s="332"/>
      <c r="EG350" s="116"/>
      <c r="EH350" s="116"/>
      <c r="EI350" s="116"/>
      <c r="EJ350" s="116"/>
      <c r="EK350" s="116"/>
      <c r="EM350" s="116"/>
      <c r="EN350" s="116"/>
      <c r="EO350" s="116"/>
      <c r="EQ350" s="116"/>
      <c r="ER350" s="116"/>
      <c r="ES350" s="116"/>
      <c r="ET350" s="116"/>
      <c r="EU350" s="116"/>
      <c r="EV350" s="116"/>
      <c r="EX350" s="116"/>
      <c r="EY350" s="116"/>
      <c r="EZ350" s="116"/>
      <c r="FA350" s="116"/>
      <c r="FB350" s="116"/>
    </row>
    <row r="351" spans="5:158" ht="13">
      <c r="E351" s="153"/>
      <c r="T351" s="153"/>
      <c r="BD351" s="31"/>
      <c r="BE351" s="31"/>
      <c r="BF351" s="31"/>
      <c r="BG351" s="31"/>
      <c r="BH351" s="31"/>
      <c r="BI351" s="116"/>
      <c r="BL351" s="196"/>
      <c r="BM351" s="239"/>
      <c r="BN351" s="330"/>
      <c r="BP351" s="330"/>
      <c r="BS351" s="116"/>
      <c r="BU351" s="331"/>
      <c r="BW351" s="116"/>
      <c r="BX351" s="116"/>
      <c r="BZ351" s="330"/>
      <c r="CB351" s="330"/>
      <c r="CC351" s="116"/>
      <c r="CG351" s="242"/>
      <c r="CH351" s="116"/>
      <c r="CI351" s="116"/>
      <c r="CJ351" s="116"/>
      <c r="CL351" s="116"/>
      <c r="CN351" s="239"/>
      <c r="CO351" s="153"/>
      <c r="DM351" s="116"/>
      <c r="DN351" s="116"/>
      <c r="DO351" s="116"/>
      <c r="DP351" s="116"/>
      <c r="DW351" s="116"/>
      <c r="DX351" s="219"/>
      <c r="DY351" s="219"/>
      <c r="DZ351" s="116"/>
      <c r="EA351" s="116"/>
      <c r="EB351" s="116"/>
      <c r="EC351" s="116"/>
      <c r="ED351" s="116"/>
      <c r="EF351" s="332"/>
      <c r="EG351" s="116"/>
      <c r="EH351" s="116"/>
      <c r="EI351" s="116"/>
      <c r="EJ351" s="116"/>
      <c r="EK351" s="116"/>
      <c r="EM351" s="116"/>
      <c r="EN351" s="116"/>
      <c r="EO351" s="116"/>
      <c r="EQ351" s="116"/>
      <c r="ER351" s="116"/>
      <c r="ES351" s="116"/>
      <c r="ET351" s="116"/>
      <c r="EU351" s="116"/>
      <c r="EV351" s="116"/>
      <c r="EX351" s="116"/>
      <c r="EY351" s="116"/>
      <c r="EZ351" s="116"/>
      <c r="FA351" s="116"/>
      <c r="FB351" s="116"/>
    </row>
    <row r="352" spans="5:158" ht="13">
      <c r="E352" s="153"/>
      <c r="T352" s="153"/>
      <c r="BD352" s="31"/>
      <c r="BE352" s="31"/>
      <c r="BF352" s="31"/>
      <c r="BG352" s="31"/>
      <c r="BH352" s="31"/>
      <c r="BI352" s="116"/>
      <c r="BL352" s="196"/>
      <c r="BM352" s="239"/>
      <c r="BN352" s="330"/>
      <c r="BP352" s="330"/>
      <c r="BS352" s="116"/>
      <c r="BU352" s="331"/>
      <c r="BW352" s="116"/>
      <c r="BX352" s="116"/>
      <c r="BZ352" s="330"/>
      <c r="CB352" s="330"/>
      <c r="CC352" s="116"/>
      <c r="CG352" s="242"/>
      <c r="CH352" s="116"/>
      <c r="CI352" s="116"/>
      <c r="CJ352" s="116"/>
      <c r="CL352" s="116"/>
      <c r="CN352" s="239"/>
      <c r="CO352" s="153"/>
      <c r="DM352" s="116"/>
      <c r="DN352" s="116"/>
      <c r="DO352" s="116"/>
      <c r="DP352" s="116"/>
      <c r="DW352" s="116"/>
      <c r="DX352" s="219"/>
      <c r="DY352" s="219"/>
      <c r="DZ352" s="116"/>
      <c r="EA352" s="116"/>
      <c r="EB352" s="116"/>
      <c r="EC352" s="116"/>
      <c r="ED352" s="116"/>
      <c r="EF352" s="332"/>
      <c r="EG352" s="116"/>
      <c r="EH352" s="116"/>
      <c r="EI352" s="116"/>
      <c r="EJ352" s="116"/>
      <c r="EK352" s="116"/>
      <c r="EM352" s="116"/>
      <c r="EN352" s="116"/>
      <c r="EO352" s="116"/>
      <c r="EQ352" s="116"/>
      <c r="ER352" s="116"/>
      <c r="ES352" s="116"/>
      <c r="ET352" s="116"/>
      <c r="EU352" s="116"/>
      <c r="EV352" s="116"/>
      <c r="EX352" s="116"/>
      <c r="EY352" s="116"/>
      <c r="EZ352" s="116"/>
      <c r="FA352" s="116"/>
      <c r="FB352" s="116"/>
    </row>
    <row r="353" spans="5:158" ht="13">
      <c r="E353" s="153"/>
      <c r="T353" s="153"/>
      <c r="BD353" s="31"/>
      <c r="BE353" s="31"/>
      <c r="BF353" s="31"/>
      <c r="BG353" s="31"/>
      <c r="BH353" s="31"/>
      <c r="BI353" s="116"/>
      <c r="BL353" s="196"/>
      <c r="BM353" s="239"/>
      <c r="BN353" s="330"/>
      <c r="BP353" s="330"/>
      <c r="BS353" s="116"/>
      <c r="BU353" s="331"/>
      <c r="BW353" s="116"/>
      <c r="BX353" s="116"/>
      <c r="BZ353" s="330"/>
      <c r="CB353" s="330"/>
      <c r="CC353" s="116"/>
      <c r="CG353" s="242"/>
      <c r="CH353" s="116"/>
      <c r="CI353" s="116"/>
      <c r="CJ353" s="116"/>
      <c r="CL353" s="116"/>
      <c r="CN353" s="239"/>
      <c r="CO353" s="153"/>
      <c r="DM353" s="116"/>
      <c r="DN353" s="116"/>
      <c r="DO353" s="116"/>
      <c r="DP353" s="116"/>
      <c r="DW353" s="116"/>
      <c r="DX353" s="219"/>
      <c r="DY353" s="219"/>
      <c r="DZ353" s="116"/>
      <c r="EA353" s="116"/>
      <c r="EB353" s="116"/>
      <c r="EC353" s="116"/>
      <c r="ED353" s="116"/>
      <c r="EF353" s="332"/>
      <c r="EG353" s="116"/>
      <c r="EH353" s="116"/>
      <c r="EI353" s="116"/>
      <c r="EJ353" s="116"/>
      <c r="EK353" s="116"/>
      <c r="EM353" s="116"/>
      <c r="EN353" s="116"/>
      <c r="EO353" s="116"/>
      <c r="EQ353" s="116"/>
      <c r="ER353" s="116"/>
      <c r="ES353" s="116"/>
      <c r="ET353" s="116"/>
      <c r="EU353" s="116"/>
      <c r="EV353" s="116"/>
      <c r="EX353" s="116"/>
      <c r="EY353" s="116"/>
      <c r="EZ353" s="116"/>
      <c r="FA353" s="116"/>
      <c r="FB353" s="116"/>
    </row>
    <row r="354" spans="5:158" ht="13">
      <c r="E354" s="153"/>
      <c r="T354" s="153"/>
      <c r="BD354" s="31"/>
      <c r="BE354" s="31"/>
      <c r="BF354" s="31"/>
      <c r="BG354" s="31"/>
      <c r="BH354" s="31"/>
      <c r="BI354" s="116"/>
      <c r="BL354" s="196"/>
      <c r="BM354" s="239"/>
      <c r="BN354" s="330"/>
      <c r="BP354" s="330"/>
      <c r="BS354" s="116"/>
      <c r="BU354" s="331"/>
      <c r="BW354" s="116"/>
      <c r="BX354" s="116"/>
      <c r="BZ354" s="330"/>
      <c r="CB354" s="330"/>
      <c r="CC354" s="116"/>
      <c r="CG354" s="242"/>
      <c r="CH354" s="116"/>
      <c r="CI354" s="116"/>
      <c r="CJ354" s="116"/>
      <c r="CL354" s="116"/>
      <c r="CN354" s="239"/>
      <c r="CO354" s="153"/>
      <c r="DM354" s="116"/>
      <c r="DN354" s="116"/>
      <c r="DO354" s="116"/>
      <c r="DP354" s="116"/>
      <c r="DW354" s="116"/>
      <c r="DX354" s="219"/>
      <c r="DY354" s="219"/>
      <c r="DZ354" s="116"/>
      <c r="EA354" s="116"/>
      <c r="EB354" s="116"/>
      <c r="EC354" s="116"/>
      <c r="ED354" s="116"/>
      <c r="EF354" s="332"/>
      <c r="EG354" s="116"/>
      <c r="EH354" s="116"/>
      <c r="EI354" s="116"/>
      <c r="EJ354" s="116"/>
      <c r="EK354" s="116"/>
      <c r="EM354" s="116"/>
      <c r="EN354" s="116"/>
      <c r="EO354" s="116"/>
      <c r="EQ354" s="116"/>
      <c r="ER354" s="116"/>
      <c r="ES354" s="116"/>
      <c r="ET354" s="116"/>
      <c r="EU354" s="116"/>
      <c r="EV354" s="116"/>
      <c r="EX354" s="116"/>
      <c r="EY354" s="116"/>
      <c r="EZ354" s="116"/>
      <c r="FA354" s="116"/>
      <c r="FB354" s="116"/>
    </row>
    <row r="355" spans="5:158" ht="13">
      <c r="E355" s="153"/>
      <c r="T355" s="153"/>
      <c r="BD355" s="31"/>
      <c r="BE355" s="31"/>
      <c r="BF355" s="31"/>
      <c r="BG355" s="31"/>
      <c r="BH355" s="31"/>
      <c r="BI355" s="116"/>
      <c r="BL355" s="196"/>
      <c r="BM355" s="239"/>
      <c r="BN355" s="330"/>
      <c r="BP355" s="330"/>
      <c r="BS355" s="116"/>
      <c r="BU355" s="331"/>
      <c r="BW355" s="116"/>
      <c r="BX355" s="116"/>
      <c r="BZ355" s="330"/>
      <c r="CB355" s="330"/>
      <c r="CC355" s="116"/>
      <c r="CG355" s="242"/>
      <c r="CH355" s="116"/>
      <c r="CI355" s="116"/>
      <c r="CJ355" s="116"/>
      <c r="CL355" s="116"/>
      <c r="CN355" s="239"/>
      <c r="CO355" s="153"/>
      <c r="DM355" s="116"/>
      <c r="DN355" s="116"/>
      <c r="DO355" s="116"/>
      <c r="DP355" s="116"/>
      <c r="DW355" s="116"/>
      <c r="DX355" s="219"/>
      <c r="DY355" s="219"/>
      <c r="DZ355" s="116"/>
      <c r="EA355" s="116"/>
      <c r="EB355" s="116"/>
      <c r="EC355" s="116"/>
      <c r="ED355" s="116"/>
      <c r="EF355" s="332"/>
      <c r="EG355" s="116"/>
      <c r="EH355" s="116"/>
      <c r="EI355" s="116"/>
      <c r="EJ355" s="116"/>
      <c r="EK355" s="116"/>
      <c r="EM355" s="116"/>
      <c r="EN355" s="116"/>
      <c r="EO355" s="116"/>
      <c r="EQ355" s="116"/>
      <c r="ER355" s="116"/>
      <c r="ES355" s="116"/>
      <c r="ET355" s="116"/>
      <c r="EU355" s="116"/>
      <c r="EV355" s="116"/>
      <c r="EX355" s="116"/>
      <c r="EY355" s="116"/>
      <c r="EZ355" s="116"/>
      <c r="FA355" s="116"/>
      <c r="FB355" s="116"/>
    </row>
    <row r="356" spans="5:158" ht="13">
      <c r="E356" s="153"/>
      <c r="T356" s="153"/>
      <c r="BD356" s="31"/>
      <c r="BE356" s="31"/>
      <c r="BF356" s="31"/>
      <c r="BG356" s="31"/>
      <c r="BH356" s="31"/>
      <c r="BI356" s="116"/>
      <c r="BL356" s="196"/>
      <c r="BM356" s="239"/>
      <c r="BN356" s="330"/>
      <c r="BP356" s="330"/>
      <c r="BS356" s="116"/>
      <c r="BU356" s="331"/>
      <c r="BW356" s="116"/>
      <c r="BX356" s="116"/>
      <c r="BZ356" s="330"/>
      <c r="CB356" s="330"/>
      <c r="CC356" s="116"/>
      <c r="CG356" s="242"/>
      <c r="CH356" s="116"/>
      <c r="CI356" s="116"/>
      <c r="CJ356" s="116"/>
      <c r="CL356" s="116"/>
      <c r="CN356" s="239"/>
      <c r="CO356" s="153"/>
      <c r="DM356" s="116"/>
      <c r="DN356" s="116"/>
      <c r="DO356" s="116"/>
      <c r="DP356" s="116"/>
      <c r="DW356" s="116"/>
      <c r="DX356" s="219"/>
      <c r="DY356" s="219"/>
      <c r="DZ356" s="116"/>
      <c r="EA356" s="116"/>
      <c r="EB356" s="116"/>
      <c r="EC356" s="116"/>
      <c r="ED356" s="116"/>
      <c r="EF356" s="332"/>
      <c r="EG356" s="116"/>
      <c r="EH356" s="116"/>
      <c r="EI356" s="116"/>
      <c r="EJ356" s="116"/>
      <c r="EK356" s="116"/>
      <c r="EM356" s="116"/>
      <c r="EN356" s="116"/>
      <c r="EO356" s="116"/>
      <c r="EQ356" s="116"/>
      <c r="ER356" s="116"/>
      <c r="ES356" s="116"/>
      <c r="ET356" s="116"/>
      <c r="EU356" s="116"/>
      <c r="EV356" s="116"/>
      <c r="EX356" s="116"/>
      <c r="EY356" s="116"/>
      <c r="EZ356" s="116"/>
      <c r="FA356" s="116"/>
      <c r="FB356" s="116"/>
    </row>
    <row r="357" spans="5:158" ht="13">
      <c r="E357" s="153"/>
      <c r="T357" s="153"/>
      <c r="BD357" s="31"/>
      <c r="BE357" s="31"/>
      <c r="BF357" s="31"/>
      <c r="BG357" s="31"/>
      <c r="BH357" s="31"/>
      <c r="BI357" s="116"/>
      <c r="BL357" s="196"/>
      <c r="BM357" s="239"/>
      <c r="BN357" s="330"/>
      <c r="BP357" s="330"/>
      <c r="BS357" s="116"/>
      <c r="BU357" s="331"/>
      <c r="BW357" s="116"/>
      <c r="BX357" s="116"/>
      <c r="BZ357" s="330"/>
      <c r="CB357" s="330"/>
      <c r="CC357" s="116"/>
      <c r="CG357" s="242"/>
      <c r="CH357" s="116"/>
      <c r="CI357" s="116"/>
      <c r="CJ357" s="116"/>
      <c r="CL357" s="116"/>
      <c r="CN357" s="239"/>
      <c r="CO357" s="153"/>
      <c r="DM357" s="116"/>
      <c r="DN357" s="116"/>
      <c r="DO357" s="116"/>
      <c r="DP357" s="116"/>
      <c r="DW357" s="116"/>
      <c r="DX357" s="219"/>
      <c r="DY357" s="219"/>
      <c r="DZ357" s="116"/>
      <c r="EA357" s="116"/>
      <c r="EB357" s="116"/>
      <c r="EC357" s="116"/>
      <c r="ED357" s="116"/>
      <c r="EF357" s="332"/>
      <c r="EG357" s="116"/>
      <c r="EH357" s="116"/>
      <c r="EI357" s="116"/>
      <c r="EJ357" s="116"/>
      <c r="EK357" s="116"/>
      <c r="EM357" s="116"/>
      <c r="EN357" s="116"/>
      <c r="EO357" s="116"/>
      <c r="EQ357" s="116"/>
      <c r="ER357" s="116"/>
      <c r="ES357" s="116"/>
      <c r="ET357" s="116"/>
      <c r="EU357" s="116"/>
      <c r="EV357" s="116"/>
      <c r="EX357" s="116"/>
      <c r="EY357" s="116"/>
      <c r="EZ357" s="116"/>
      <c r="FA357" s="116"/>
      <c r="FB357" s="116"/>
    </row>
    <row r="358" spans="5:158" ht="13">
      <c r="E358" s="153"/>
      <c r="T358" s="153"/>
      <c r="BD358" s="31"/>
      <c r="BE358" s="31"/>
      <c r="BF358" s="31"/>
      <c r="BG358" s="31"/>
      <c r="BH358" s="31"/>
      <c r="BI358" s="116"/>
      <c r="BL358" s="196"/>
      <c r="BM358" s="239"/>
      <c r="BN358" s="330"/>
      <c r="BP358" s="330"/>
      <c r="BS358" s="116"/>
      <c r="BU358" s="331"/>
      <c r="BW358" s="116"/>
      <c r="BX358" s="116"/>
      <c r="BZ358" s="330"/>
      <c r="CB358" s="330"/>
      <c r="CC358" s="116"/>
      <c r="CG358" s="242"/>
      <c r="CH358" s="116"/>
      <c r="CI358" s="116"/>
      <c r="CJ358" s="116"/>
      <c r="CL358" s="116"/>
      <c r="CN358" s="239"/>
      <c r="CO358" s="153"/>
      <c r="DM358" s="116"/>
      <c r="DN358" s="116"/>
      <c r="DO358" s="116"/>
      <c r="DP358" s="116"/>
      <c r="DW358" s="116"/>
      <c r="DX358" s="219"/>
      <c r="DY358" s="219"/>
      <c r="DZ358" s="116"/>
      <c r="EA358" s="116"/>
      <c r="EB358" s="116"/>
      <c r="EC358" s="116"/>
      <c r="ED358" s="116"/>
      <c r="EF358" s="332"/>
      <c r="EG358" s="116"/>
      <c r="EH358" s="116"/>
      <c r="EI358" s="116"/>
      <c r="EJ358" s="116"/>
      <c r="EK358" s="116"/>
      <c r="EM358" s="116"/>
      <c r="EN358" s="116"/>
      <c r="EO358" s="116"/>
      <c r="EQ358" s="116"/>
      <c r="ER358" s="116"/>
      <c r="ES358" s="116"/>
      <c r="ET358" s="116"/>
      <c r="EU358" s="116"/>
      <c r="EV358" s="116"/>
      <c r="EX358" s="116"/>
      <c r="EY358" s="116"/>
      <c r="EZ358" s="116"/>
      <c r="FA358" s="116"/>
      <c r="FB358" s="116"/>
    </row>
    <row r="359" spans="5:158" ht="13">
      <c r="E359" s="153"/>
      <c r="T359" s="153"/>
      <c r="BD359" s="31"/>
      <c r="BE359" s="31"/>
      <c r="BF359" s="31"/>
      <c r="BG359" s="31"/>
      <c r="BH359" s="31"/>
      <c r="BI359" s="116"/>
      <c r="BL359" s="196"/>
      <c r="BM359" s="239"/>
      <c r="BN359" s="330"/>
      <c r="BP359" s="330"/>
      <c r="BS359" s="116"/>
      <c r="BU359" s="331"/>
      <c r="BW359" s="116"/>
      <c r="BX359" s="116"/>
      <c r="BZ359" s="330"/>
      <c r="CB359" s="330"/>
      <c r="CC359" s="116"/>
      <c r="CG359" s="242"/>
      <c r="CH359" s="116"/>
      <c r="CI359" s="116"/>
      <c r="CJ359" s="116"/>
      <c r="CL359" s="116"/>
      <c r="CN359" s="239"/>
      <c r="CO359" s="153"/>
      <c r="DM359" s="116"/>
      <c r="DN359" s="116"/>
      <c r="DO359" s="116"/>
      <c r="DP359" s="116"/>
      <c r="DW359" s="116"/>
      <c r="DX359" s="219"/>
      <c r="DY359" s="219"/>
      <c r="DZ359" s="116"/>
      <c r="EA359" s="116"/>
      <c r="EB359" s="116"/>
      <c r="EC359" s="116"/>
      <c r="ED359" s="116"/>
      <c r="EF359" s="332"/>
      <c r="EG359" s="116"/>
      <c r="EH359" s="116"/>
      <c r="EI359" s="116"/>
      <c r="EJ359" s="116"/>
      <c r="EK359" s="116"/>
      <c r="EM359" s="116"/>
      <c r="EN359" s="116"/>
      <c r="EO359" s="116"/>
      <c r="EQ359" s="116"/>
      <c r="ER359" s="116"/>
      <c r="ES359" s="116"/>
      <c r="ET359" s="116"/>
      <c r="EU359" s="116"/>
      <c r="EV359" s="116"/>
      <c r="EX359" s="116"/>
      <c r="EY359" s="116"/>
      <c r="EZ359" s="116"/>
      <c r="FA359" s="116"/>
      <c r="FB359" s="116"/>
    </row>
    <row r="360" spans="5:158" ht="13">
      <c r="E360" s="153"/>
      <c r="T360" s="153"/>
      <c r="BD360" s="31"/>
      <c r="BE360" s="31"/>
      <c r="BF360" s="31"/>
      <c r="BG360" s="31"/>
      <c r="BH360" s="31"/>
      <c r="BI360" s="116"/>
      <c r="BL360" s="196"/>
      <c r="BM360" s="239"/>
      <c r="BN360" s="330"/>
      <c r="BP360" s="330"/>
      <c r="BS360" s="116"/>
      <c r="BU360" s="331"/>
      <c r="BW360" s="116"/>
      <c r="BX360" s="116"/>
      <c r="BZ360" s="330"/>
      <c r="CB360" s="330"/>
      <c r="CC360" s="116"/>
      <c r="CG360" s="242"/>
      <c r="CH360" s="116"/>
      <c r="CI360" s="116"/>
      <c r="CJ360" s="116"/>
      <c r="CL360" s="116"/>
      <c r="CN360" s="239"/>
      <c r="CO360" s="153"/>
      <c r="DM360" s="116"/>
      <c r="DN360" s="116"/>
      <c r="DO360" s="116"/>
      <c r="DP360" s="116"/>
      <c r="DW360" s="116"/>
      <c r="DX360" s="219"/>
      <c r="DY360" s="219"/>
      <c r="DZ360" s="116"/>
      <c r="EA360" s="116"/>
      <c r="EB360" s="116"/>
      <c r="EC360" s="116"/>
      <c r="ED360" s="116"/>
      <c r="EF360" s="332"/>
      <c r="EG360" s="116"/>
      <c r="EH360" s="116"/>
      <c r="EI360" s="116"/>
      <c r="EJ360" s="116"/>
      <c r="EK360" s="116"/>
      <c r="EM360" s="116"/>
      <c r="EN360" s="116"/>
      <c r="EO360" s="116"/>
      <c r="EQ360" s="116"/>
      <c r="ER360" s="116"/>
      <c r="ES360" s="116"/>
      <c r="ET360" s="116"/>
      <c r="EU360" s="116"/>
      <c r="EV360" s="116"/>
      <c r="EX360" s="116"/>
      <c r="EY360" s="116"/>
      <c r="EZ360" s="116"/>
      <c r="FA360" s="116"/>
      <c r="FB360" s="116"/>
    </row>
    <row r="361" spans="5:158" ht="13">
      <c r="E361" s="153"/>
      <c r="T361" s="153"/>
      <c r="BD361" s="31"/>
      <c r="BE361" s="31"/>
      <c r="BF361" s="31"/>
      <c r="BG361" s="31"/>
      <c r="BH361" s="31"/>
      <c r="BI361" s="116"/>
      <c r="BL361" s="196"/>
      <c r="BM361" s="239"/>
      <c r="BN361" s="330"/>
      <c r="BP361" s="330"/>
      <c r="BS361" s="116"/>
      <c r="BU361" s="331"/>
      <c r="BW361" s="116"/>
      <c r="BX361" s="116"/>
      <c r="BZ361" s="330"/>
      <c r="CB361" s="330"/>
      <c r="CC361" s="116"/>
      <c r="CG361" s="242"/>
      <c r="CH361" s="116"/>
      <c r="CI361" s="116"/>
      <c r="CJ361" s="116"/>
      <c r="CL361" s="116"/>
      <c r="CN361" s="239"/>
      <c r="CO361" s="153"/>
      <c r="DM361" s="116"/>
      <c r="DN361" s="116"/>
      <c r="DO361" s="116"/>
      <c r="DP361" s="116"/>
      <c r="DW361" s="116"/>
      <c r="DX361" s="219"/>
      <c r="DY361" s="219"/>
      <c r="DZ361" s="116"/>
      <c r="EA361" s="116"/>
      <c r="EB361" s="116"/>
      <c r="EC361" s="116"/>
      <c r="ED361" s="116"/>
      <c r="EF361" s="332"/>
      <c r="EG361" s="116"/>
      <c r="EH361" s="116"/>
      <c r="EI361" s="116"/>
      <c r="EJ361" s="116"/>
      <c r="EK361" s="116"/>
      <c r="EM361" s="116"/>
      <c r="EN361" s="116"/>
      <c r="EO361" s="116"/>
      <c r="EQ361" s="116"/>
      <c r="ER361" s="116"/>
      <c r="ES361" s="116"/>
      <c r="ET361" s="116"/>
      <c r="EU361" s="116"/>
      <c r="EV361" s="116"/>
      <c r="EX361" s="116"/>
      <c r="EY361" s="116"/>
      <c r="EZ361" s="116"/>
      <c r="FA361" s="116"/>
      <c r="FB361" s="116"/>
    </row>
    <row r="362" spans="5:158" ht="13">
      <c r="E362" s="153"/>
      <c r="T362" s="153"/>
      <c r="BD362" s="31"/>
      <c r="BE362" s="31"/>
      <c r="BF362" s="31"/>
      <c r="BG362" s="31"/>
      <c r="BH362" s="31"/>
      <c r="BI362" s="116"/>
      <c r="BL362" s="196"/>
      <c r="BM362" s="239"/>
      <c r="BN362" s="330"/>
      <c r="BP362" s="330"/>
      <c r="BS362" s="116"/>
      <c r="BU362" s="331"/>
      <c r="BW362" s="116"/>
      <c r="BX362" s="116"/>
      <c r="BZ362" s="330"/>
      <c r="CB362" s="330"/>
      <c r="CC362" s="116"/>
      <c r="CG362" s="242"/>
      <c r="CH362" s="116"/>
      <c r="CI362" s="116"/>
      <c r="CJ362" s="116"/>
      <c r="CL362" s="116"/>
      <c r="CN362" s="239"/>
      <c r="CO362" s="153"/>
      <c r="DM362" s="116"/>
      <c r="DN362" s="116"/>
      <c r="DO362" s="116"/>
      <c r="DP362" s="116"/>
      <c r="DW362" s="116"/>
      <c r="DX362" s="219"/>
      <c r="DY362" s="219"/>
      <c r="DZ362" s="116"/>
      <c r="EA362" s="116"/>
      <c r="EB362" s="116"/>
      <c r="EC362" s="116"/>
      <c r="ED362" s="116"/>
      <c r="EF362" s="332"/>
      <c r="EG362" s="116"/>
      <c r="EH362" s="116"/>
      <c r="EI362" s="116"/>
      <c r="EJ362" s="116"/>
      <c r="EK362" s="116"/>
      <c r="EM362" s="116"/>
      <c r="EN362" s="116"/>
      <c r="EO362" s="116"/>
      <c r="EQ362" s="116"/>
      <c r="ER362" s="116"/>
      <c r="ES362" s="116"/>
      <c r="ET362" s="116"/>
      <c r="EU362" s="116"/>
      <c r="EV362" s="116"/>
      <c r="EX362" s="116"/>
      <c r="EY362" s="116"/>
      <c r="EZ362" s="116"/>
      <c r="FA362" s="116"/>
      <c r="FB362" s="116"/>
    </row>
    <row r="363" spans="5:158" ht="13">
      <c r="E363" s="153"/>
      <c r="T363" s="153"/>
      <c r="BD363" s="31"/>
      <c r="BE363" s="31"/>
      <c r="BF363" s="31"/>
      <c r="BG363" s="31"/>
      <c r="BH363" s="31"/>
      <c r="BI363" s="116"/>
      <c r="BL363" s="196"/>
      <c r="BM363" s="239"/>
      <c r="BN363" s="330"/>
      <c r="BP363" s="330"/>
      <c r="BS363" s="116"/>
      <c r="BU363" s="331"/>
      <c r="BW363" s="116"/>
      <c r="BX363" s="116"/>
      <c r="BZ363" s="330"/>
      <c r="CB363" s="330"/>
      <c r="CC363" s="116"/>
      <c r="CG363" s="242"/>
      <c r="CH363" s="116"/>
      <c r="CI363" s="116"/>
      <c r="CJ363" s="116"/>
      <c r="CL363" s="116"/>
      <c r="CN363" s="239"/>
      <c r="CO363" s="153"/>
      <c r="DM363" s="116"/>
      <c r="DN363" s="116"/>
      <c r="DO363" s="116"/>
      <c r="DP363" s="116"/>
      <c r="DW363" s="116"/>
      <c r="DX363" s="219"/>
      <c r="DY363" s="219"/>
      <c r="DZ363" s="116"/>
      <c r="EA363" s="116"/>
      <c r="EB363" s="116"/>
      <c r="EC363" s="116"/>
      <c r="ED363" s="116"/>
      <c r="EF363" s="332"/>
      <c r="EG363" s="116"/>
      <c r="EH363" s="116"/>
      <c r="EI363" s="116"/>
      <c r="EJ363" s="116"/>
      <c r="EK363" s="116"/>
      <c r="EM363" s="116"/>
      <c r="EN363" s="116"/>
      <c r="EO363" s="116"/>
      <c r="EQ363" s="116"/>
      <c r="ER363" s="116"/>
      <c r="ES363" s="116"/>
      <c r="ET363" s="116"/>
      <c r="EU363" s="116"/>
      <c r="EV363" s="116"/>
      <c r="EX363" s="116"/>
      <c r="EY363" s="116"/>
      <c r="EZ363" s="116"/>
      <c r="FA363" s="116"/>
      <c r="FB363" s="116"/>
    </row>
    <row r="364" spans="5:158" ht="13">
      <c r="E364" s="153"/>
      <c r="T364" s="153"/>
      <c r="BD364" s="31"/>
      <c r="BE364" s="31"/>
      <c r="BF364" s="31"/>
      <c r="BG364" s="31"/>
      <c r="BH364" s="31"/>
      <c r="BI364" s="116"/>
      <c r="BL364" s="196"/>
      <c r="BM364" s="239"/>
      <c r="BN364" s="330"/>
      <c r="BP364" s="330"/>
      <c r="BS364" s="116"/>
      <c r="BU364" s="331"/>
      <c r="BW364" s="116"/>
      <c r="BX364" s="116"/>
      <c r="BZ364" s="330"/>
      <c r="CB364" s="330"/>
      <c r="CC364" s="116"/>
      <c r="CG364" s="242"/>
      <c r="CH364" s="116"/>
      <c r="CI364" s="116"/>
      <c r="CJ364" s="116"/>
      <c r="CL364" s="116"/>
      <c r="CN364" s="239"/>
      <c r="CO364" s="153"/>
      <c r="DM364" s="116"/>
      <c r="DN364" s="116"/>
      <c r="DO364" s="116"/>
      <c r="DP364" s="116"/>
      <c r="DW364" s="116"/>
      <c r="DX364" s="219"/>
      <c r="DY364" s="219"/>
      <c r="DZ364" s="116"/>
      <c r="EA364" s="116"/>
      <c r="EB364" s="116"/>
      <c r="EC364" s="116"/>
      <c r="ED364" s="116"/>
      <c r="EF364" s="332"/>
      <c r="EG364" s="116"/>
      <c r="EH364" s="116"/>
      <c r="EI364" s="116"/>
      <c r="EJ364" s="116"/>
      <c r="EK364" s="116"/>
      <c r="EM364" s="116"/>
      <c r="EN364" s="116"/>
      <c r="EO364" s="116"/>
      <c r="EQ364" s="116"/>
      <c r="ER364" s="116"/>
      <c r="ES364" s="116"/>
      <c r="ET364" s="116"/>
      <c r="EU364" s="116"/>
      <c r="EV364" s="116"/>
      <c r="EX364" s="116"/>
      <c r="EY364" s="116"/>
      <c r="EZ364" s="116"/>
      <c r="FA364" s="116"/>
      <c r="FB364" s="116"/>
    </row>
    <row r="365" spans="5:158" ht="13">
      <c r="E365" s="153"/>
      <c r="T365" s="153"/>
      <c r="BD365" s="31"/>
      <c r="BE365" s="31"/>
      <c r="BF365" s="31"/>
      <c r="BG365" s="31"/>
      <c r="BH365" s="31"/>
      <c r="BI365" s="116"/>
      <c r="BL365" s="196"/>
      <c r="BM365" s="239"/>
      <c r="BN365" s="330"/>
      <c r="BP365" s="330"/>
      <c r="BS365" s="116"/>
      <c r="BU365" s="331"/>
      <c r="BW365" s="116"/>
      <c r="BX365" s="116"/>
      <c r="BZ365" s="330"/>
      <c r="CB365" s="330"/>
      <c r="CC365" s="116"/>
      <c r="CG365" s="242"/>
      <c r="CH365" s="116"/>
      <c r="CI365" s="116"/>
      <c r="CJ365" s="116"/>
      <c r="CL365" s="116"/>
      <c r="CN365" s="239"/>
      <c r="CO365" s="153"/>
      <c r="DM365" s="116"/>
      <c r="DN365" s="116"/>
      <c r="DO365" s="116"/>
      <c r="DP365" s="116"/>
      <c r="DW365" s="116"/>
      <c r="DX365" s="219"/>
      <c r="DY365" s="219"/>
      <c r="DZ365" s="116"/>
      <c r="EA365" s="116"/>
      <c r="EB365" s="116"/>
      <c r="EC365" s="116"/>
      <c r="ED365" s="116"/>
      <c r="EF365" s="332"/>
      <c r="EG365" s="116"/>
      <c r="EH365" s="116"/>
      <c r="EI365" s="116"/>
      <c r="EJ365" s="116"/>
      <c r="EK365" s="116"/>
      <c r="EM365" s="116"/>
      <c r="EN365" s="116"/>
      <c r="EO365" s="116"/>
      <c r="EQ365" s="116"/>
      <c r="ER365" s="116"/>
      <c r="ES365" s="116"/>
      <c r="ET365" s="116"/>
      <c r="EU365" s="116"/>
      <c r="EV365" s="116"/>
      <c r="EX365" s="116"/>
      <c r="EY365" s="116"/>
      <c r="EZ365" s="116"/>
      <c r="FA365" s="116"/>
      <c r="FB365" s="116"/>
    </row>
    <row r="366" spans="5:158" ht="13">
      <c r="E366" s="153"/>
      <c r="T366" s="153"/>
      <c r="BD366" s="31"/>
      <c r="BE366" s="31"/>
      <c r="BF366" s="31"/>
      <c r="BG366" s="31"/>
      <c r="BH366" s="31"/>
      <c r="BI366" s="116"/>
      <c r="BL366" s="196"/>
      <c r="BM366" s="239"/>
      <c r="BN366" s="330"/>
      <c r="BP366" s="330"/>
      <c r="BS366" s="116"/>
      <c r="BU366" s="331"/>
      <c r="BW366" s="116"/>
      <c r="BX366" s="116"/>
      <c r="BZ366" s="330"/>
      <c r="CB366" s="330"/>
      <c r="CC366" s="116"/>
      <c r="CG366" s="242"/>
      <c r="CH366" s="116"/>
      <c r="CI366" s="116"/>
      <c r="CJ366" s="116"/>
      <c r="CL366" s="116"/>
      <c r="CN366" s="239"/>
      <c r="CO366" s="153"/>
      <c r="DM366" s="116"/>
      <c r="DN366" s="116"/>
      <c r="DO366" s="116"/>
      <c r="DP366" s="116"/>
      <c r="DW366" s="116"/>
      <c r="DX366" s="219"/>
      <c r="DY366" s="219"/>
      <c r="DZ366" s="116"/>
      <c r="EA366" s="116"/>
      <c r="EB366" s="116"/>
      <c r="EC366" s="116"/>
      <c r="ED366" s="116"/>
      <c r="EF366" s="332"/>
      <c r="EG366" s="116"/>
      <c r="EH366" s="116"/>
      <c r="EI366" s="116"/>
      <c r="EJ366" s="116"/>
      <c r="EK366" s="116"/>
      <c r="EM366" s="116"/>
      <c r="EN366" s="116"/>
      <c r="EO366" s="116"/>
      <c r="EQ366" s="116"/>
      <c r="ER366" s="116"/>
      <c r="ES366" s="116"/>
      <c r="ET366" s="116"/>
      <c r="EU366" s="116"/>
      <c r="EV366" s="116"/>
      <c r="EX366" s="116"/>
      <c r="EY366" s="116"/>
      <c r="EZ366" s="116"/>
      <c r="FA366" s="116"/>
      <c r="FB366" s="116"/>
    </row>
    <row r="367" spans="5:158" ht="13">
      <c r="E367" s="153"/>
      <c r="T367" s="153"/>
      <c r="BD367" s="31"/>
      <c r="BE367" s="31"/>
      <c r="BF367" s="31"/>
      <c r="BG367" s="31"/>
      <c r="BH367" s="31"/>
      <c r="BI367" s="116"/>
      <c r="BL367" s="196"/>
      <c r="BM367" s="239"/>
      <c r="BN367" s="330"/>
      <c r="BP367" s="330"/>
      <c r="BS367" s="116"/>
      <c r="BU367" s="331"/>
      <c r="BW367" s="116"/>
      <c r="BX367" s="116"/>
      <c r="BZ367" s="330"/>
      <c r="CB367" s="330"/>
      <c r="CC367" s="116"/>
      <c r="CG367" s="242"/>
      <c r="CH367" s="116"/>
      <c r="CI367" s="116"/>
      <c r="CJ367" s="116"/>
      <c r="CL367" s="116"/>
      <c r="CN367" s="239"/>
      <c r="CO367" s="153"/>
      <c r="DM367" s="116"/>
      <c r="DN367" s="116"/>
      <c r="DO367" s="116"/>
      <c r="DP367" s="116"/>
      <c r="DW367" s="116"/>
      <c r="DX367" s="219"/>
      <c r="DY367" s="219"/>
      <c r="DZ367" s="116"/>
      <c r="EA367" s="116"/>
      <c r="EB367" s="116"/>
      <c r="EC367" s="116"/>
      <c r="ED367" s="116"/>
      <c r="EF367" s="332"/>
      <c r="EG367" s="116"/>
      <c r="EH367" s="116"/>
      <c r="EI367" s="116"/>
      <c r="EJ367" s="116"/>
      <c r="EK367" s="116"/>
      <c r="EM367" s="116"/>
      <c r="EN367" s="116"/>
      <c r="EO367" s="116"/>
      <c r="EQ367" s="116"/>
      <c r="ER367" s="116"/>
      <c r="ES367" s="116"/>
      <c r="ET367" s="116"/>
      <c r="EU367" s="116"/>
      <c r="EV367" s="116"/>
      <c r="EX367" s="116"/>
      <c r="EY367" s="116"/>
      <c r="EZ367" s="116"/>
      <c r="FA367" s="116"/>
      <c r="FB367" s="116"/>
    </row>
    <row r="368" spans="5:158" ht="13">
      <c r="E368" s="153"/>
      <c r="T368" s="153"/>
      <c r="BD368" s="31"/>
      <c r="BE368" s="31"/>
      <c r="BF368" s="31"/>
      <c r="BG368" s="31"/>
      <c r="BH368" s="31"/>
      <c r="BI368" s="116"/>
      <c r="BL368" s="196"/>
      <c r="BM368" s="239"/>
      <c r="BN368" s="330"/>
      <c r="BP368" s="330"/>
      <c r="BS368" s="116"/>
      <c r="BU368" s="331"/>
      <c r="BW368" s="116"/>
      <c r="BX368" s="116"/>
      <c r="BZ368" s="330"/>
      <c r="CB368" s="330"/>
      <c r="CC368" s="116"/>
      <c r="CG368" s="242"/>
      <c r="CH368" s="116"/>
      <c r="CI368" s="116"/>
      <c r="CJ368" s="116"/>
      <c r="CL368" s="116"/>
      <c r="CN368" s="239"/>
      <c r="CO368" s="153"/>
      <c r="DM368" s="116"/>
      <c r="DN368" s="116"/>
      <c r="DO368" s="116"/>
      <c r="DP368" s="116"/>
      <c r="DW368" s="116"/>
      <c r="DX368" s="219"/>
      <c r="DY368" s="219"/>
      <c r="DZ368" s="116"/>
      <c r="EA368" s="116"/>
      <c r="EB368" s="116"/>
      <c r="EC368" s="116"/>
      <c r="ED368" s="116"/>
      <c r="EF368" s="332"/>
      <c r="EG368" s="116"/>
      <c r="EH368" s="116"/>
      <c r="EI368" s="116"/>
      <c r="EJ368" s="116"/>
      <c r="EK368" s="116"/>
      <c r="EM368" s="116"/>
      <c r="EN368" s="116"/>
      <c r="EO368" s="116"/>
      <c r="EQ368" s="116"/>
      <c r="ER368" s="116"/>
      <c r="ES368" s="116"/>
      <c r="ET368" s="116"/>
      <c r="EU368" s="116"/>
      <c r="EV368" s="116"/>
      <c r="EX368" s="116"/>
      <c r="EY368" s="116"/>
      <c r="EZ368" s="116"/>
      <c r="FA368" s="116"/>
      <c r="FB368" s="116"/>
    </row>
    <row r="369" spans="5:158" ht="13">
      <c r="E369" s="153"/>
      <c r="T369" s="153"/>
      <c r="BD369" s="31"/>
      <c r="BE369" s="31"/>
      <c r="BF369" s="31"/>
      <c r="BG369" s="31"/>
      <c r="BH369" s="31"/>
      <c r="BI369" s="116"/>
      <c r="BL369" s="196"/>
      <c r="BM369" s="239"/>
      <c r="BN369" s="330"/>
      <c r="BP369" s="330"/>
      <c r="BS369" s="116"/>
      <c r="BU369" s="331"/>
      <c r="BW369" s="116"/>
      <c r="BX369" s="116"/>
      <c r="BZ369" s="330"/>
      <c r="CB369" s="330"/>
      <c r="CC369" s="116"/>
      <c r="CG369" s="242"/>
      <c r="CH369" s="116"/>
      <c r="CI369" s="116"/>
      <c r="CJ369" s="116"/>
      <c r="CL369" s="116"/>
      <c r="CN369" s="239"/>
      <c r="CO369" s="153"/>
      <c r="DM369" s="116"/>
      <c r="DN369" s="116"/>
      <c r="DO369" s="116"/>
      <c r="DP369" s="116"/>
      <c r="DW369" s="116"/>
      <c r="DX369" s="219"/>
      <c r="DY369" s="219"/>
      <c r="DZ369" s="116"/>
      <c r="EA369" s="116"/>
      <c r="EB369" s="116"/>
      <c r="EC369" s="116"/>
      <c r="ED369" s="116"/>
      <c r="EF369" s="332"/>
      <c r="EG369" s="116"/>
      <c r="EH369" s="116"/>
      <c r="EI369" s="116"/>
      <c r="EJ369" s="116"/>
      <c r="EK369" s="116"/>
      <c r="EM369" s="116"/>
      <c r="EN369" s="116"/>
      <c r="EO369" s="116"/>
      <c r="EQ369" s="116"/>
      <c r="ER369" s="116"/>
      <c r="ES369" s="116"/>
      <c r="ET369" s="116"/>
      <c r="EU369" s="116"/>
      <c r="EV369" s="116"/>
      <c r="EX369" s="116"/>
      <c r="EY369" s="116"/>
      <c r="EZ369" s="116"/>
      <c r="FA369" s="116"/>
      <c r="FB369" s="116"/>
    </row>
    <row r="370" spans="5:158" ht="13">
      <c r="E370" s="153"/>
      <c r="T370" s="153"/>
      <c r="BD370" s="31"/>
      <c r="BE370" s="31"/>
      <c r="BF370" s="31"/>
      <c r="BG370" s="31"/>
      <c r="BH370" s="31"/>
      <c r="BI370" s="116"/>
      <c r="BL370" s="196"/>
      <c r="BM370" s="239"/>
      <c r="BN370" s="330"/>
      <c r="BP370" s="330"/>
      <c r="BS370" s="116"/>
      <c r="BU370" s="331"/>
      <c r="BW370" s="116"/>
      <c r="BX370" s="116"/>
      <c r="BZ370" s="330"/>
      <c r="CB370" s="330"/>
      <c r="CC370" s="116"/>
      <c r="CG370" s="242"/>
      <c r="CH370" s="116"/>
      <c r="CI370" s="116"/>
      <c r="CJ370" s="116"/>
      <c r="CL370" s="116"/>
      <c r="CN370" s="239"/>
      <c r="CO370" s="153"/>
      <c r="DM370" s="116"/>
      <c r="DN370" s="116"/>
      <c r="DO370" s="116"/>
      <c r="DP370" s="116"/>
      <c r="DW370" s="116"/>
      <c r="DX370" s="219"/>
      <c r="DY370" s="219"/>
      <c r="DZ370" s="116"/>
      <c r="EA370" s="116"/>
      <c r="EB370" s="116"/>
      <c r="EC370" s="116"/>
      <c r="ED370" s="116"/>
      <c r="EF370" s="332"/>
      <c r="EG370" s="116"/>
      <c r="EH370" s="116"/>
      <c r="EI370" s="116"/>
      <c r="EJ370" s="116"/>
      <c r="EK370" s="116"/>
      <c r="EM370" s="116"/>
      <c r="EN370" s="116"/>
      <c r="EO370" s="116"/>
      <c r="EQ370" s="116"/>
      <c r="ER370" s="116"/>
      <c r="ES370" s="116"/>
      <c r="ET370" s="116"/>
      <c r="EU370" s="116"/>
      <c r="EV370" s="116"/>
      <c r="EX370" s="116"/>
      <c r="EY370" s="116"/>
      <c r="EZ370" s="116"/>
      <c r="FA370" s="116"/>
      <c r="FB370" s="116"/>
    </row>
    <row r="371" spans="5:158" ht="13">
      <c r="E371" s="153"/>
      <c r="T371" s="153"/>
      <c r="BD371" s="31"/>
      <c r="BE371" s="31"/>
      <c r="BF371" s="31"/>
      <c r="BG371" s="31"/>
      <c r="BH371" s="31"/>
      <c r="BI371" s="116"/>
      <c r="BL371" s="196"/>
      <c r="BM371" s="239"/>
      <c r="BN371" s="330"/>
      <c r="BP371" s="330"/>
      <c r="BS371" s="116"/>
      <c r="BU371" s="331"/>
      <c r="BW371" s="116"/>
      <c r="BX371" s="116"/>
      <c r="BZ371" s="330"/>
      <c r="CB371" s="330"/>
      <c r="CC371" s="116"/>
      <c r="CG371" s="242"/>
      <c r="CH371" s="116"/>
      <c r="CI371" s="116"/>
      <c r="CJ371" s="116"/>
      <c r="CL371" s="116"/>
      <c r="CN371" s="239"/>
      <c r="CO371" s="153"/>
      <c r="DM371" s="116"/>
      <c r="DN371" s="116"/>
      <c r="DO371" s="116"/>
      <c r="DP371" s="116"/>
      <c r="DW371" s="116"/>
      <c r="DX371" s="219"/>
      <c r="DY371" s="219"/>
      <c r="DZ371" s="116"/>
      <c r="EA371" s="116"/>
      <c r="EB371" s="116"/>
      <c r="EC371" s="116"/>
      <c r="ED371" s="116"/>
      <c r="EF371" s="332"/>
      <c r="EG371" s="116"/>
      <c r="EH371" s="116"/>
      <c r="EI371" s="116"/>
      <c r="EJ371" s="116"/>
      <c r="EK371" s="116"/>
      <c r="EM371" s="116"/>
      <c r="EN371" s="116"/>
      <c r="EO371" s="116"/>
      <c r="EQ371" s="116"/>
      <c r="ER371" s="116"/>
      <c r="ES371" s="116"/>
      <c r="ET371" s="116"/>
      <c r="EU371" s="116"/>
      <c r="EV371" s="116"/>
      <c r="EX371" s="116"/>
      <c r="EY371" s="116"/>
      <c r="EZ371" s="116"/>
      <c r="FA371" s="116"/>
      <c r="FB371" s="116"/>
    </row>
    <row r="372" spans="5:158" ht="13">
      <c r="E372" s="153"/>
      <c r="T372" s="153"/>
      <c r="BD372" s="31"/>
      <c r="BE372" s="31"/>
      <c r="BF372" s="31"/>
      <c r="BG372" s="31"/>
      <c r="BH372" s="31"/>
      <c r="BI372" s="116"/>
      <c r="BL372" s="196"/>
      <c r="BM372" s="239"/>
      <c r="BN372" s="330"/>
      <c r="BP372" s="330"/>
      <c r="BS372" s="116"/>
      <c r="BU372" s="331"/>
      <c r="BW372" s="116"/>
      <c r="BX372" s="116"/>
      <c r="BZ372" s="330"/>
      <c r="CB372" s="330"/>
      <c r="CC372" s="116"/>
      <c r="CG372" s="242"/>
      <c r="CH372" s="116"/>
      <c r="CI372" s="116"/>
      <c r="CJ372" s="116"/>
      <c r="CL372" s="116"/>
      <c r="CN372" s="239"/>
      <c r="CO372" s="153"/>
      <c r="DM372" s="116"/>
      <c r="DN372" s="116"/>
      <c r="DO372" s="116"/>
      <c r="DP372" s="116"/>
      <c r="DW372" s="116"/>
      <c r="DX372" s="219"/>
      <c r="DY372" s="219"/>
      <c r="DZ372" s="116"/>
      <c r="EA372" s="116"/>
      <c r="EB372" s="116"/>
      <c r="EC372" s="116"/>
      <c r="ED372" s="116"/>
      <c r="EF372" s="332"/>
      <c r="EG372" s="116"/>
      <c r="EH372" s="116"/>
      <c r="EI372" s="116"/>
      <c r="EJ372" s="116"/>
      <c r="EK372" s="116"/>
      <c r="EM372" s="116"/>
      <c r="EN372" s="116"/>
      <c r="EO372" s="116"/>
      <c r="EQ372" s="116"/>
      <c r="ER372" s="116"/>
      <c r="ES372" s="116"/>
      <c r="ET372" s="116"/>
      <c r="EU372" s="116"/>
      <c r="EV372" s="116"/>
      <c r="EX372" s="116"/>
      <c r="EY372" s="116"/>
      <c r="EZ372" s="116"/>
      <c r="FA372" s="116"/>
      <c r="FB372" s="116"/>
    </row>
    <row r="373" spans="5:158" ht="13">
      <c r="E373" s="153"/>
      <c r="T373" s="153"/>
      <c r="BD373" s="31"/>
      <c r="BE373" s="31"/>
      <c r="BF373" s="31"/>
      <c r="BG373" s="31"/>
      <c r="BH373" s="31"/>
      <c r="BI373" s="116"/>
      <c r="BL373" s="196"/>
      <c r="BM373" s="239"/>
      <c r="BN373" s="330"/>
      <c r="BP373" s="330"/>
      <c r="BS373" s="116"/>
      <c r="BU373" s="331"/>
      <c r="BW373" s="116"/>
      <c r="BX373" s="116"/>
      <c r="BZ373" s="330"/>
      <c r="CB373" s="330"/>
      <c r="CC373" s="116"/>
      <c r="CG373" s="242"/>
      <c r="CH373" s="116"/>
      <c r="CI373" s="116"/>
      <c r="CJ373" s="116"/>
      <c r="CL373" s="116"/>
      <c r="CN373" s="239"/>
      <c r="CO373" s="153"/>
      <c r="DM373" s="116"/>
      <c r="DN373" s="116"/>
      <c r="DO373" s="116"/>
      <c r="DP373" s="116"/>
      <c r="DW373" s="116"/>
      <c r="DX373" s="219"/>
      <c r="DY373" s="219"/>
      <c r="DZ373" s="116"/>
      <c r="EA373" s="116"/>
      <c r="EB373" s="116"/>
      <c r="EC373" s="116"/>
      <c r="ED373" s="116"/>
      <c r="EF373" s="332"/>
      <c r="EG373" s="116"/>
      <c r="EH373" s="116"/>
      <c r="EI373" s="116"/>
      <c r="EJ373" s="116"/>
      <c r="EK373" s="116"/>
      <c r="EM373" s="116"/>
      <c r="EN373" s="116"/>
      <c r="EO373" s="116"/>
      <c r="EQ373" s="116"/>
      <c r="ER373" s="116"/>
      <c r="ES373" s="116"/>
      <c r="ET373" s="116"/>
      <c r="EU373" s="116"/>
      <c r="EV373" s="116"/>
      <c r="EX373" s="116"/>
      <c r="EY373" s="116"/>
      <c r="EZ373" s="116"/>
      <c r="FA373" s="116"/>
      <c r="FB373" s="116"/>
    </row>
    <row r="374" spans="5:158" ht="13">
      <c r="E374" s="153"/>
      <c r="T374" s="153"/>
      <c r="BD374" s="31"/>
      <c r="BE374" s="31"/>
      <c r="BF374" s="31"/>
      <c r="BG374" s="31"/>
      <c r="BH374" s="31"/>
      <c r="BI374" s="116"/>
      <c r="BL374" s="196"/>
      <c r="BM374" s="239"/>
      <c r="BN374" s="330"/>
      <c r="BP374" s="330"/>
      <c r="BS374" s="116"/>
      <c r="BU374" s="331"/>
      <c r="BW374" s="116"/>
      <c r="BX374" s="116"/>
      <c r="BZ374" s="330"/>
      <c r="CB374" s="330"/>
      <c r="CC374" s="116"/>
      <c r="CG374" s="242"/>
      <c r="CH374" s="116"/>
      <c r="CI374" s="116"/>
      <c r="CJ374" s="116"/>
      <c r="CL374" s="116"/>
      <c r="CN374" s="239"/>
      <c r="CO374" s="153"/>
      <c r="DM374" s="116"/>
      <c r="DN374" s="116"/>
      <c r="DO374" s="116"/>
      <c r="DP374" s="116"/>
      <c r="DW374" s="116"/>
      <c r="DX374" s="219"/>
      <c r="DY374" s="219"/>
      <c r="DZ374" s="116"/>
      <c r="EA374" s="116"/>
      <c r="EB374" s="116"/>
      <c r="EC374" s="116"/>
      <c r="ED374" s="116"/>
      <c r="EF374" s="332"/>
      <c r="EG374" s="116"/>
      <c r="EH374" s="116"/>
      <c r="EI374" s="116"/>
      <c r="EJ374" s="116"/>
      <c r="EK374" s="116"/>
      <c r="EM374" s="116"/>
      <c r="EN374" s="116"/>
      <c r="EO374" s="116"/>
      <c r="EQ374" s="116"/>
      <c r="ER374" s="116"/>
      <c r="ES374" s="116"/>
      <c r="ET374" s="116"/>
      <c r="EU374" s="116"/>
      <c r="EV374" s="116"/>
      <c r="EX374" s="116"/>
      <c r="EY374" s="116"/>
      <c r="EZ374" s="116"/>
      <c r="FA374" s="116"/>
      <c r="FB374" s="116"/>
    </row>
    <row r="375" spans="5:158" ht="13">
      <c r="E375" s="153"/>
      <c r="T375" s="153"/>
      <c r="BD375" s="31"/>
      <c r="BE375" s="31"/>
      <c r="BF375" s="31"/>
      <c r="BG375" s="31"/>
      <c r="BH375" s="31"/>
      <c r="BI375" s="116"/>
      <c r="BL375" s="196"/>
      <c r="BM375" s="239"/>
      <c r="BN375" s="330"/>
      <c r="BP375" s="330"/>
      <c r="BS375" s="116"/>
      <c r="BU375" s="331"/>
      <c r="BW375" s="116"/>
      <c r="BX375" s="116"/>
      <c r="BZ375" s="330"/>
      <c r="CB375" s="330"/>
      <c r="CC375" s="116"/>
      <c r="CG375" s="242"/>
      <c r="CH375" s="116"/>
      <c r="CI375" s="116"/>
      <c r="CJ375" s="116"/>
      <c r="CL375" s="116"/>
      <c r="CN375" s="239"/>
      <c r="CO375" s="153"/>
      <c r="DM375" s="116"/>
      <c r="DN375" s="116"/>
      <c r="DO375" s="116"/>
      <c r="DP375" s="116"/>
      <c r="DW375" s="116"/>
      <c r="DX375" s="219"/>
      <c r="DY375" s="219"/>
      <c r="DZ375" s="116"/>
      <c r="EA375" s="116"/>
      <c r="EB375" s="116"/>
      <c r="EC375" s="116"/>
      <c r="ED375" s="116"/>
      <c r="EF375" s="332"/>
      <c r="EG375" s="116"/>
      <c r="EH375" s="116"/>
      <c r="EI375" s="116"/>
      <c r="EJ375" s="116"/>
      <c r="EK375" s="116"/>
      <c r="EM375" s="116"/>
      <c r="EN375" s="116"/>
      <c r="EO375" s="116"/>
      <c r="EQ375" s="116"/>
      <c r="ER375" s="116"/>
      <c r="ES375" s="116"/>
      <c r="ET375" s="116"/>
      <c r="EU375" s="116"/>
      <c r="EV375" s="116"/>
      <c r="EX375" s="116"/>
      <c r="EY375" s="116"/>
      <c r="EZ375" s="116"/>
      <c r="FA375" s="116"/>
      <c r="FB375" s="116"/>
    </row>
    <row r="376" spans="5:158" ht="13">
      <c r="E376" s="153"/>
      <c r="T376" s="153"/>
      <c r="BD376" s="31"/>
      <c r="BE376" s="31"/>
      <c r="BF376" s="31"/>
      <c r="BG376" s="31"/>
      <c r="BH376" s="31"/>
      <c r="BI376" s="116"/>
      <c r="BL376" s="196"/>
      <c r="BM376" s="239"/>
      <c r="BN376" s="330"/>
      <c r="BP376" s="330"/>
      <c r="BS376" s="116"/>
      <c r="BU376" s="331"/>
      <c r="BW376" s="116"/>
      <c r="BX376" s="116"/>
      <c r="BZ376" s="330"/>
      <c r="CB376" s="330"/>
      <c r="CC376" s="116"/>
      <c r="CG376" s="242"/>
      <c r="CH376" s="116"/>
      <c r="CI376" s="116"/>
      <c r="CJ376" s="116"/>
      <c r="CL376" s="116"/>
      <c r="CN376" s="239"/>
      <c r="CO376" s="153"/>
      <c r="DM376" s="116"/>
      <c r="DN376" s="116"/>
      <c r="DO376" s="116"/>
      <c r="DP376" s="116"/>
      <c r="DW376" s="116"/>
      <c r="DX376" s="219"/>
      <c r="DY376" s="219"/>
      <c r="DZ376" s="116"/>
      <c r="EA376" s="116"/>
      <c r="EB376" s="116"/>
      <c r="EC376" s="116"/>
      <c r="ED376" s="116"/>
      <c r="EF376" s="332"/>
      <c r="EG376" s="116"/>
      <c r="EH376" s="116"/>
      <c r="EI376" s="116"/>
      <c r="EJ376" s="116"/>
      <c r="EK376" s="116"/>
      <c r="EM376" s="116"/>
      <c r="EN376" s="116"/>
      <c r="EO376" s="116"/>
      <c r="EQ376" s="116"/>
      <c r="ER376" s="116"/>
      <c r="ES376" s="116"/>
      <c r="ET376" s="116"/>
      <c r="EU376" s="116"/>
      <c r="EV376" s="116"/>
      <c r="EX376" s="116"/>
      <c r="EY376" s="116"/>
      <c r="EZ376" s="116"/>
      <c r="FA376" s="116"/>
      <c r="FB376" s="116"/>
    </row>
    <row r="377" spans="5:158" ht="13">
      <c r="E377" s="153"/>
      <c r="T377" s="153"/>
      <c r="BD377" s="31"/>
      <c r="BE377" s="31"/>
      <c r="BF377" s="31"/>
      <c r="BG377" s="31"/>
      <c r="BH377" s="31"/>
      <c r="BI377" s="116"/>
      <c r="BL377" s="196"/>
      <c r="BM377" s="239"/>
      <c r="BN377" s="330"/>
      <c r="BP377" s="330"/>
      <c r="BS377" s="116"/>
      <c r="BU377" s="331"/>
      <c r="BW377" s="116"/>
      <c r="BX377" s="116"/>
      <c r="BZ377" s="330"/>
      <c r="CB377" s="330"/>
      <c r="CC377" s="116"/>
      <c r="CG377" s="242"/>
      <c r="CH377" s="116"/>
      <c r="CI377" s="116"/>
      <c r="CJ377" s="116"/>
      <c r="CL377" s="116"/>
      <c r="CN377" s="239"/>
      <c r="CO377" s="153"/>
      <c r="DM377" s="116"/>
      <c r="DN377" s="116"/>
      <c r="DO377" s="116"/>
      <c r="DP377" s="116"/>
      <c r="DW377" s="116"/>
      <c r="DX377" s="219"/>
      <c r="DY377" s="219"/>
      <c r="DZ377" s="116"/>
      <c r="EA377" s="116"/>
      <c r="EB377" s="116"/>
      <c r="EC377" s="116"/>
      <c r="ED377" s="116"/>
      <c r="EF377" s="332"/>
      <c r="EG377" s="116"/>
      <c r="EH377" s="116"/>
      <c r="EI377" s="116"/>
      <c r="EJ377" s="116"/>
      <c r="EK377" s="116"/>
      <c r="EM377" s="116"/>
      <c r="EN377" s="116"/>
      <c r="EO377" s="116"/>
      <c r="EQ377" s="116"/>
      <c r="ER377" s="116"/>
      <c r="ES377" s="116"/>
      <c r="ET377" s="116"/>
      <c r="EU377" s="116"/>
      <c r="EV377" s="116"/>
      <c r="EX377" s="116"/>
      <c r="EY377" s="116"/>
      <c r="EZ377" s="116"/>
      <c r="FA377" s="116"/>
      <c r="FB377" s="116"/>
    </row>
    <row r="378" spans="5:158" ht="13">
      <c r="E378" s="153"/>
      <c r="T378" s="153"/>
      <c r="BD378" s="31"/>
      <c r="BE378" s="31"/>
      <c r="BF378" s="31"/>
      <c r="BG378" s="31"/>
      <c r="BH378" s="31"/>
      <c r="BI378" s="116"/>
      <c r="BL378" s="196"/>
      <c r="BM378" s="239"/>
      <c r="BN378" s="330"/>
      <c r="BP378" s="330"/>
      <c r="BS378" s="116"/>
      <c r="BU378" s="331"/>
      <c r="BW378" s="116"/>
      <c r="BX378" s="116"/>
      <c r="BZ378" s="330"/>
      <c r="CB378" s="330"/>
      <c r="CC378" s="116"/>
      <c r="CG378" s="242"/>
      <c r="CH378" s="116"/>
      <c r="CI378" s="116"/>
      <c r="CJ378" s="116"/>
      <c r="CL378" s="116"/>
      <c r="CN378" s="239"/>
      <c r="CO378" s="153"/>
      <c r="DM378" s="116"/>
      <c r="DN378" s="116"/>
      <c r="DO378" s="116"/>
      <c r="DP378" s="116"/>
      <c r="DW378" s="116"/>
      <c r="DX378" s="219"/>
      <c r="DY378" s="219"/>
      <c r="DZ378" s="116"/>
      <c r="EA378" s="116"/>
      <c r="EB378" s="116"/>
      <c r="EC378" s="116"/>
      <c r="ED378" s="116"/>
      <c r="EF378" s="332"/>
      <c r="EG378" s="116"/>
      <c r="EH378" s="116"/>
      <c r="EI378" s="116"/>
      <c r="EJ378" s="116"/>
      <c r="EK378" s="116"/>
      <c r="EM378" s="116"/>
      <c r="EN378" s="116"/>
      <c r="EO378" s="116"/>
      <c r="EQ378" s="116"/>
      <c r="ER378" s="116"/>
      <c r="ES378" s="116"/>
      <c r="ET378" s="116"/>
      <c r="EU378" s="116"/>
      <c r="EV378" s="116"/>
      <c r="EX378" s="116"/>
      <c r="EY378" s="116"/>
      <c r="EZ378" s="116"/>
      <c r="FA378" s="116"/>
      <c r="FB378" s="116"/>
    </row>
    <row r="379" spans="5:158" ht="13">
      <c r="E379" s="153"/>
      <c r="T379" s="153"/>
      <c r="BD379" s="31"/>
      <c r="BE379" s="31"/>
      <c r="BF379" s="31"/>
      <c r="BG379" s="31"/>
      <c r="BH379" s="31"/>
      <c r="BI379" s="116"/>
      <c r="BL379" s="196"/>
      <c r="BM379" s="239"/>
      <c r="BN379" s="330"/>
      <c r="BP379" s="330"/>
      <c r="BS379" s="116"/>
      <c r="BU379" s="331"/>
      <c r="BW379" s="116"/>
      <c r="BX379" s="116"/>
      <c r="BZ379" s="330"/>
      <c r="CB379" s="330"/>
      <c r="CC379" s="116"/>
      <c r="CG379" s="242"/>
      <c r="CH379" s="116"/>
      <c r="CI379" s="116"/>
      <c r="CJ379" s="116"/>
      <c r="CL379" s="116"/>
      <c r="CN379" s="239"/>
      <c r="CO379" s="153"/>
      <c r="DM379" s="116"/>
      <c r="DN379" s="116"/>
      <c r="DO379" s="116"/>
      <c r="DP379" s="116"/>
      <c r="DW379" s="116"/>
      <c r="DX379" s="219"/>
      <c r="DY379" s="219"/>
      <c r="DZ379" s="116"/>
      <c r="EA379" s="116"/>
      <c r="EB379" s="116"/>
      <c r="EC379" s="116"/>
      <c r="ED379" s="116"/>
      <c r="EF379" s="332"/>
      <c r="EG379" s="116"/>
      <c r="EH379" s="116"/>
      <c r="EI379" s="116"/>
      <c r="EJ379" s="116"/>
      <c r="EK379" s="116"/>
      <c r="EM379" s="116"/>
      <c r="EN379" s="116"/>
      <c r="EO379" s="116"/>
      <c r="EQ379" s="116"/>
      <c r="ER379" s="116"/>
      <c r="ES379" s="116"/>
      <c r="ET379" s="116"/>
      <c r="EU379" s="116"/>
      <c r="EV379" s="116"/>
      <c r="EX379" s="116"/>
      <c r="EY379" s="116"/>
      <c r="EZ379" s="116"/>
      <c r="FA379" s="116"/>
      <c r="FB379" s="116"/>
    </row>
    <row r="380" spans="5:158" ht="13">
      <c r="E380" s="153"/>
      <c r="T380" s="153"/>
      <c r="BD380" s="31"/>
      <c r="BE380" s="31"/>
      <c r="BF380" s="31"/>
      <c r="BG380" s="31"/>
      <c r="BH380" s="31"/>
      <c r="BI380" s="116"/>
      <c r="BL380" s="196"/>
      <c r="BM380" s="239"/>
      <c r="BN380" s="330"/>
      <c r="BP380" s="330"/>
      <c r="BS380" s="116"/>
      <c r="BU380" s="331"/>
      <c r="BW380" s="116"/>
      <c r="BX380" s="116"/>
      <c r="BZ380" s="330"/>
      <c r="CB380" s="330"/>
      <c r="CC380" s="116"/>
      <c r="CG380" s="242"/>
      <c r="CH380" s="116"/>
      <c r="CI380" s="116"/>
      <c r="CJ380" s="116"/>
      <c r="CL380" s="116"/>
      <c r="CN380" s="239"/>
      <c r="CO380" s="153"/>
      <c r="DM380" s="116"/>
      <c r="DN380" s="116"/>
      <c r="DO380" s="116"/>
      <c r="DP380" s="116"/>
      <c r="DW380" s="116"/>
      <c r="DX380" s="219"/>
      <c r="DY380" s="219"/>
      <c r="DZ380" s="116"/>
      <c r="EA380" s="116"/>
      <c r="EB380" s="116"/>
      <c r="EC380" s="116"/>
      <c r="ED380" s="116"/>
      <c r="EF380" s="332"/>
      <c r="EG380" s="116"/>
      <c r="EH380" s="116"/>
      <c r="EI380" s="116"/>
      <c r="EJ380" s="116"/>
      <c r="EK380" s="116"/>
      <c r="EM380" s="116"/>
      <c r="EN380" s="116"/>
      <c r="EO380" s="116"/>
      <c r="EQ380" s="116"/>
      <c r="ER380" s="116"/>
      <c r="ES380" s="116"/>
      <c r="ET380" s="116"/>
      <c r="EU380" s="116"/>
      <c r="EV380" s="116"/>
      <c r="EX380" s="116"/>
      <c r="EY380" s="116"/>
      <c r="EZ380" s="116"/>
      <c r="FA380" s="116"/>
      <c r="FB380" s="116"/>
    </row>
    <row r="381" spans="5:158" ht="13">
      <c r="E381" s="153"/>
      <c r="T381" s="153"/>
      <c r="BD381" s="31"/>
      <c r="BE381" s="31"/>
      <c r="BF381" s="31"/>
      <c r="BG381" s="31"/>
      <c r="BH381" s="31"/>
      <c r="BI381" s="116"/>
      <c r="BL381" s="196"/>
      <c r="BM381" s="239"/>
      <c r="BN381" s="330"/>
      <c r="BP381" s="330"/>
      <c r="BS381" s="116"/>
      <c r="BU381" s="331"/>
      <c r="BW381" s="116"/>
      <c r="BX381" s="116"/>
      <c r="BZ381" s="330"/>
      <c r="CB381" s="330"/>
      <c r="CC381" s="116"/>
      <c r="CG381" s="242"/>
      <c r="CH381" s="116"/>
      <c r="CI381" s="116"/>
      <c r="CJ381" s="116"/>
      <c r="CL381" s="116"/>
      <c r="CN381" s="239"/>
      <c r="CO381" s="153"/>
      <c r="DM381" s="116"/>
      <c r="DN381" s="116"/>
      <c r="DO381" s="116"/>
      <c r="DP381" s="116"/>
      <c r="DW381" s="116"/>
      <c r="DX381" s="219"/>
      <c r="DY381" s="219"/>
      <c r="DZ381" s="116"/>
      <c r="EA381" s="116"/>
      <c r="EB381" s="116"/>
      <c r="EC381" s="116"/>
      <c r="ED381" s="116"/>
      <c r="EF381" s="332"/>
      <c r="EG381" s="116"/>
      <c r="EH381" s="116"/>
      <c r="EI381" s="116"/>
      <c r="EJ381" s="116"/>
      <c r="EK381" s="116"/>
      <c r="EM381" s="116"/>
      <c r="EN381" s="116"/>
      <c r="EO381" s="116"/>
      <c r="EQ381" s="116"/>
      <c r="ER381" s="116"/>
      <c r="ES381" s="116"/>
      <c r="ET381" s="116"/>
      <c r="EU381" s="116"/>
      <c r="EV381" s="116"/>
      <c r="EX381" s="116"/>
      <c r="EY381" s="116"/>
      <c r="EZ381" s="116"/>
      <c r="FA381" s="116"/>
      <c r="FB381" s="116"/>
    </row>
    <row r="382" spans="5:158" ht="13">
      <c r="E382" s="153"/>
      <c r="T382" s="153"/>
      <c r="BD382" s="31"/>
      <c r="BE382" s="31"/>
      <c r="BF382" s="31"/>
      <c r="BG382" s="31"/>
      <c r="BH382" s="31"/>
      <c r="BI382" s="116"/>
      <c r="BL382" s="196"/>
      <c r="BM382" s="239"/>
      <c r="BN382" s="330"/>
      <c r="BP382" s="330"/>
      <c r="BS382" s="116"/>
      <c r="BU382" s="331"/>
      <c r="BW382" s="116"/>
      <c r="BX382" s="116"/>
      <c r="BZ382" s="330"/>
      <c r="CB382" s="330"/>
      <c r="CC382" s="116"/>
      <c r="CG382" s="242"/>
      <c r="CH382" s="116"/>
      <c r="CI382" s="116"/>
      <c r="CJ382" s="116"/>
      <c r="CL382" s="116"/>
      <c r="CN382" s="239"/>
      <c r="CO382" s="153"/>
      <c r="DM382" s="116"/>
      <c r="DN382" s="116"/>
      <c r="DO382" s="116"/>
      <c r="DP382" s="116"/>
      <c r="DW382" s="116"/>
      <c r="DX382" s="219"/>
      <c r="DY382" s="219"/>
      <c r="DZ382" s="116"/>
      <c r="EA382" s="116"/>
      <c r="EB382" s="116"/>
      <c r="EC382" s="116"/>
      <c r="ED382" s="116"/>
      <c r="EF382" s="332"/>
      <c r="EG382" s="116"/>
      <c r="EH382" s="116"/>
      <c r="EI382" s="116"/>
      <c r="EJ382" s="116"/>
      <c r="EK382" s="116"/>
      <c r="EM382" s="116"/>
      <c r="EN382" s="116"/>
      <c r="EO382" s="116"/>
      <c r="EQ382" s="116"/>
      <c r="ER382" s="116"/>
      <c r="ES382" s="116"/>
      <c r="ET382" s="116"/>
      <c r="EU382" s="116"/>
      <c r="EV382" s="116"/>
      <c r="EX382" s="116"/>
      <c r="EY382" s="116"/>
      <c r="EZ382" s="116"/>
      <c r="FA382" s="116"/>
      <c r="FB382" s="116"/>
    </row>
    <row r="383" spans="5:158" ht="13">
      <c r="E383" s="153"/>
      <c r="T383" s="153"/>
      <c r="BD383" s="31"/>
      <c r="BE383" s="31"/>
      <c r="BF383" s="31"/>
      <c r="BG383" s="31"/>
      <c r="BH383" s="31"/>
      <c r="BI383" s="116"/>
      <c r="BL383" s="196"/>
      <c r="BM383" s="239"/>
      <c r="BN383" s="330"/>
      <c r="BP383" s="330"/>
      <c r="BS383" s="116"/>
      <c r="BU383" s="331"/>
      <c r="BW383" s="116"/>
      <c r="BX383" s="116"/>
      <c r="BZ383" s="330"/>
      <c r="CB383" s="330"/>
      <c r="CC383" s="116"/>
      <c r="CG383" s="242"/>
      <c r="CH383" s="116"/>
      <c r="CI383" s="116"/>
      <c r="CJ383" s="116"/>
      <c r="CL383" s="116"/>
      <c r="CN383" s="239"/>
      <c r="CO383" s="153"/>
      <c r="DM383" s="116"/>
      <c r="DN383" s="116"/>
      <c r="DO383" s="116"/>
      <c r="DP383" s="116"/>
      <c r="DW383" s="116"/>
      <c r="DX383" s="219"/>
      <c r="DY383" s="219"/>
      <c r="DZ383" s="116"/>
      <c r="EA383" s="116"/>
      <c r="EB383" s="116"/>
      <c r="EC383" s="116"/>
      <c r="ED383" s="116"/>
      <c r="EF383" s="332"/>
      <c r="EG383" s="116"/>
      <c r="EH383" s="116"/>
      <c r="EI383" s="116"/>
      <c r="EJ383" s="116"/>
      <c r="EK383" s="116"/>
      <c r="EM383" s="116"/>
      <c r="EN383" s="116"/>
      <c r="EO383" s="116"/>
      <c r="EQ383" s="116"/>
      <c r="ER383" s="116"/>
      <c r="ES383" s="116"/>
      <c r="ET383" s="116"/>
      <c r="EU383" s="116"/>
      <c r="EV383" s="116"/>
      <c r="EX383" s="116"/>
      <c r="EY383" s="116"/>
      <c r="EZ383" s="116"/>
      <c r="FA383" s="116"/>
      <c r="FB383" s="116"/>
    </row>
    <row r="384" spans="5:158" ht="13">
      <c r="E384" s="153"/>
      <c r="T384" s="153"/>
      <c r="BD384" s="31"/>
      <c r="BE384" s="31"/>
      <c r="BF384" s="31"/>
      <c r="BG384" s="31"/>
      <c r="BH384" s="31"/>
      <c r="BI384" s="116"/>
      <c r="BL384" s="196"/>
      <c r="BM384" s="239"/>
      <c r="BN384" s="330"/>
      <c r="BP384" s="330"/>
      <c r="BS384" s="116"/>
      <c r="BU384" s="331"/>
      <c r="BW384" s="116"/>
      <c r="BX384" s="116"/>
      <c r="BZ384" s="330"/>
      <c r="CB384" s="330"/>
      <c r="CC384" s="116"/>
      <c r="CG384" s="242"/>
      <c r="CH384" s="116"/>
      <c r="CI384" s="116"/>
      <c r="CJ384" s="116"/>
      <c r="CL384" s="116"/>
      <c r="CN384" s="239"/>
      <c r="CO384" s="153"/>
      <c r="DM384" s="116"/>
      <c r="DN384" s="116"/>
      <c r="DO384" s="116"/>
      <c r="DP384" s="116"/>
      <c r="DW384" s="116"/>
      <c r="DX384" s="219"/>
      <c r="DY384" s="219"/>
      <c r="DZ384" s="116"/>
      <c r="EA384" s="116"/>
      <c r="EB384" s="116"/>
      <c r="EC384" s="116"/>
      <c r="ED384" s="116"/>
      <c r="EF384" s="332"/>
      <c r="EG384" s="116"/>
      <c r="EH384" s="116"/>
      <c r="EI384" s="116"/>
      <c r="EJ384" s="116"/>
      <c r="EK384" s="116"/>
      <c r="EM384" s="116"/>
      <c r="EN384" s="116"/>
      <c r="EO384" s="116"/>
      <c r="EQ384" s="116"/>
      <c r="ER384" s="116"/>
      <c r="ES384" s="116"/>
      <c r="ET384" s="116"/>
      <c r="EU384" s="116"/>
      <c r="EV384" s="116"/>
      <c r="EX384" s="116"/>
      <c r="EY384" s="116"/>
      <c r="EZ384" s="116"/>
      <c r="FA384" s="116"/>
      <c r="FB384" s="116"/>
    </row>
    <row r="385" spans="5:158" ht="13">
      <c r="E385" s="153"/>
      <c r="T385" s="153"/>
      <c r="BD385" s="31"/>
      <c r="BE385" s="31"/>
      <c r="BF385" s="31"/>
      <c r="BG385" s="31"/>
      <c r="BH385" s="31"/>
      <c r="BI385" s="116"/>
      <c r="BL385" s="196"/>
      <c r="BM385" s="239"/>
      <c r="BN385" s="330"/>
      <c r="BP385" s="330"/>
      <c r="BS385" s="116"/>
      <c r="BU385" s="331"/>
      <c r="BW385" s="116"/>
      <c r="BX385" s="116"/>
      <c r="BZ385" s="330"/>
      <c r="CB385" s="330"/>
      <c r="CC385" s="116"/>
      <c r="CG385" s="242"/>
      <c r="CH385" s="116"/>
      <c r="CI385" s="116"/>
      <c r="CJ385" s="116"/>
      <c r="CL385" s="116"/>
      <c r="CN385" s="239"/>
      <c r="CO385" s="153"/>
      <c r="DM385" s="116"/>
      <c r="DN385" s="116"/>
      <c r="DO385" s="116"/>
      <c r="DP385" s="116"/>
      <c r="DW385" s="116"/>
      <c r="DX385" s="219"/>
      <c r="DY385" s="219"/>
      <c r="DZ385" s="116"/>
      <c r="EA385" s="116"/>
      <c r="EB385" s="116"/>
      <c r="EC385" s="116"/>
      <c r="ED385" s="116"/>
      <c r="EF385" s="332"/>
      <c r="EG385" s="116"/>
      <c r="EH385" s="116"/>
      <c r="EI385" s="116"/>
      <c r="EJ385" s="116"/>
      <c r="EK385" s="116"/>
      <c r="EM385" s="116"/>
      <c r="EN385" s="116"/>
      <c r="EO385" s="116"/>
      <c r="EQ385" s="116"/>
      <c r="ER385" s="116"/>
      <c r="ES385" s="116"/>
      <c r="ET385" s="116"/>
      <c r="EU385" s="116"/>
      <c r="EV385" s="116"/>
      <c r="EX385" s="116"/>
      <c r="EY385" s="116"/>
      <c r="EZ385" s="116"/>
      <c r="FA385" s="116"/>
      <c r="FB385" s="116"/>
    </row>
    <row r="386" spans="5:158" ht="13">
      <c r="E386" s="153"/>
      <c r="T386" s="153"/>
      <c r="BD386" s="31"/>
      <c r="BE386" s="31"/>
      <c r="BF386" s="31"/>
      <c r="BG386" s="31"/>
      <c r="BH386" s="31"/>
      <c r="BI386" s="116"/>
      <c r="BL386" s="196"/>
      <c r="BM386" s="239"/>
      <c r="BN386" s="330"/>
      <c r="BP386" s="330"/>
      <c r="BS386" s="116"/>
      <c r="BU386" s="331"/>
      <c r="BW386" s="116"/>
      <c r="BX386" s="116"/>
      <c r="BZ386" s="330"/>
      <c r="CB386" s="330"/>
      <c r="CC386" s="116"/>
      <c r="CG386" s="242"/>
      <c r="CH386" s="116"/>
      <c r="CI386" s="116"/>
      <c r="CJ386" s="116"/>
      <c r="CL386" s="116"/>
      <c r="CN386" s="239"/>
      <c r="CO386" s="153"/>
      <c r="DM386" s="116"/>
      <c r="DN386" s="116"/>
      <c r="DO386" s="116"/>
      <c r="DP386" s="116"/>
      <c r="DW386" s="116"/>
      <c r="DX386" s="219"/>
      <c r="DY386" s="219"/>
      <c r="DZ386" s="116"/>
      <c r="EA386" s="116"/>
      <c r="EB386" s="116"/>
      <c r="EC386" s="116"/>
      <c r="ED386" s="116"/>
      <c r="EF386" s="332"/>
      <c r="EG386" s="116"/>
      <c r="EH386" s="116"/>
      <c r="EI386" s="116"/>
      <c r="EJ386" s="116"/>
      <c r="EK386" s="116"/>
      <c r="EM386" s="116"/>
      <c r="EN386" s="116"/>
      <c r="EO386" s="116"/>
      <c r="EQ386" s="116"/>
      <c r="ER386" s="116"/>
      <c r="ES386" s="116"/>
      <c r="ET386" s="116"/>
      <c r="EU386" s="116"/>
      <c r="EV386" s="116"/>
      <c r="EX386" s="116"/>
      <c r="EY386" s="116"/>
      <c r="EZ386" s="116"/>
      <c r="FA386" s="116"/>
      <c r="FB386" s="116"/>
    </row>
    <row r="387" spans="5:158" ht="13">
      <c r="E387" s="153"/>
      <c r="T387" s="153"/>
      <c r="BD387" s="31"/>
      <c r="BE387" s="31"/>
      <c r="BF387" s="31"/>
      <c r="BG387" s="31"/>
      <c r="BH387" s="31"/>
      <c r="BI387" s="116"/>
      <c r="BL387" s="196"/>
      <c r="BM387" s="239"/>
      <c r="BN387" s="330"/>
      <c r="BP387" s="330"/>
      <c r="BS387" s="116"/>
      <c r="BU387" s="331"/>
      <c r="BW387" s="116"/>
      <c r="BX387" s="116"/>
      <c r="BZ387" s="330"/>
      <c r="CB387" s="330"/>
      <c r="CC387" s="116"/>
      <c r="CG387" s="242"/>
      <c r="CH387" s="116"/>
      <c r="CI387" s="116"/>
      <c r="CJ387" s="116"/>
      <c r="CL387" s="116"/>
      <c r="CN387" s="239"/>
      <c r="CO387" s="153"/>
      <c r="DM387" s="116"/>
      <c r="DN387" s="116"/>
      <c r="DO387" s="116"/>
      <c r="DP387" s="116"/>
      <c r="DW387" s="116"/>
      <c r="DX387" s="219"/>
      <c r="DY387" s="219"/>
      <c r="DZ387" s="116"/>
      <c r="EA387" s="116"/>
      <c r="EB387" s="116"/>
      <c r="EC387" s="116"/>
      <c r="ED387" s="116"/>
      <c r="EF387" s="332"/>
      <c r="EG387" s="116"/>
      <c r="EH387" s="116"/>
      <c r="EI387" s="116"/>
      <c r="EJ387" s="116"/>
      <c r="EK387" s="116"/>
      <c r="EM387" s="116"/>
      <c r="EN387" s="116"/>
      <c r="EO387" s="116"/>
      <c r="EQ387" s="116"/>
      <c r="ER387" s="116"/>
      <c r="ES387" s="116"/>
      <c r="ET387" s="116"/>
      <c r="EU387" s="116"/>
      <c r="EV387" s="116"/>
      <c r="EX387" s="116"/>
      <c r="EY387" s="116"/>
      <c r="EZ387" s="116"/>
      <c r="FA387" s="116"/>
      <c r="FB387" s="116"/>
    </row>
    <row r="388" spans="5:158" ht="13">
      <c r="E388" s="153"/>
      <c r="T388" s="153"/>
      <c r="BD388" s="31"/>
      <c r="BE388" s="31"/>
      <c r="BF388" s="31"/>
      <c r="BG388" s="31"/>
      <c r="BH388" s="31"/>
      <c r="BI388" s="116"/>
      <c r="BL388" s="196"/>
      <c r="BM388" s="239"/>
      <c r="BN388" s="330"/>
      <c r="BP388" s="330"/>
      <c r="BS388" s="116"/>
      <c r="BU388" s="331"/>
      <c r="BW388" s="116"/>
      <c r="BX388" s="116"/>
      <c r="BZ388" s="330"/>
      <c r="CB388" s="330"/>
      <c r="CC388" s="116"/>
      <c r="CG388" s="242"/>
      <c r="CH388" s="116"/>
      <c r="CI388" s="116"/>
      <c r="CJ388" s="116"/>
      <c r="CL388" s="116"/>
      <c r="CN388" s="239"/>
      <c r="CO388" s="153"/>
      <c r="DM388" s="116"/>
      <c r="DN388" s="116"/>
      <c r="DO388" s="116"/>
      <c r="DP388" s="116"/>
      <c r="DW388" s="116"/>
      <c r="DX388" s="219"/>
      <c r="DY388" s="219"/>
      <c r="DZ388" s="116"/>
      <c r="EA388" s="116"/>
      <c r="EB388" s="116"/>
      <c r="EC388" s="116"/>
      <c r="ED388" s="116"/>
      <c r="EF388" s="332"/>
      <c r="EG388" s="116"/>
      <c r="EH388" s="116"/>
      <c r="EI388" s="116"/>
      <c r="EJ388" s="116"/>
      <c r="EK388" s="116"/>
      <c r="EM388" s="116"/>
      <c r="EN388" s="116"/>
      <c r="EO388" s="116"/>
      <c r="EQ388" s="116"/>
      <c r="ER388" s="116"/>
      <c r="ES388" s="116"/>
      <c r="ET388" s="116"/>
      <c r="EU388" s="116"/>
      <c r="EV388" s="116"/>
      <c r="EX388" s="116"/>
      <c r="EY388" s="116"/>
      <c r="EZ388" s="116"/>
      <c r="FA388" s="116"/>
      <c r="FB388" s="116"/>
    </row>
    <row r="389" spans="5:158" ht="13">
      <c r="E389" s="153"/>
      <c r="T389" s="153"/>
      <c r="BD389" s="31"/>
      <c r="BE389" s="31"/>
      <c r="BF389" s="31"/>
      <c r="BG389" s="31"/>
      <c r="BH389" s="31"/>
      <c r="BI389" s="116"/>
      <c r="BL389" s="196"/>
      <c r="BM389" s="239"/>
      <c r="BN389" s="330"/>
      <c r="BP389" s="330"/>
      <c r="BS389" s="116"/>
      <c r="BU389" s="331"/>
      <c r="BW389" s="116"/>
      <c r="BX389" s="116"/>
      <c r="BZ389" s="330"/>
      <c r="CB389" s="330"/>
      <c r="CC389" s="116"/>
      <c r="CG389" s="242"/>
      <c r="CH389" s="116"/>
      <c r="CI389" s="116"/>
      <c r="CJ389" s="116"/>
      <c r="CL389" s="116"/>
      <c r="CN389" s="239"/>
      <c r="CO389" s="153"/>
      <c r="DM389" s="116"/>
      <c r="DN389" s="116"/>
      <c r="DO389" s="116"/>
      <c r="DP389" s="116"/>
      <c r="DW389" s="116"/>
      <c r="DX389" s="219"/>
      <c r="DY389" s="219"/>
      <c r="DZ389" s="116"/>
      <c r="EA389" s="116"/>
      <c r="EB389" s="116"/>
      <c r="EC389" s="116"/>
      <c r="ED389" s="116"/>
      <c r="EF389" s="332"/>
      <c r="EG389" s="116"/>
      <c r="EH389" s="116"/>
      <c r="EI389" s="116"/>
      <c r="EJ389" s="116"/>
      <c r="EK389" s="116"/>
      <c r="EM389" s="116"/>
      <c r="EN389" s="116"/>
      <c r="EO389" s="116"/>
      <c r="EQ389" s="116"/>
      <c r="ER389" s="116"/>
      <c r="ES389" s="116"/>
      <c r="ET389" s="116"/>
      <c r="EU389" s="116"/>
      <c r="EV389" s="116"/>
      <c r="EX389" s="116"/>
      <c r="EY389" s="116"/>
      <c r="EZ389" s="116"/>
      <c r="FA389" s="116"/>
      <c r="FB389" s="116"/>
    </row>
    <row r="390" spans="5:158" ht="13">
      <c r="E390" s="153"/>
      <c r="T390" s="153"/>
      <c r="BD390" s="31"/>
      <c r="BE390" s="31"/>
      <c r="BF390" s="31"/>
      <c r="BG390" s="31"/>
      <c r="BH390" s="31"/>
      <c r="BI390" s="116"/>
      <c r="BL390" s="196"/>
      <c r="BM390" s="239"/>
      <c r="BN390" s="330"/>
      <c r="BP390" s="330"/>
      <c r="BS390" s="116"/>
      <c r="BU390" s="331"/>
      <c r="BW390" s="116"/>
      <c r="BX390" s="116"/>
      <c r="BZ390" s="330"/>
      <c r="CB390" s="330"/>
      <c r="CC390" s="116"/>
      <c r="CG390" s="242"/>
      <c r="CH390" s="116"/>
      <c r="CI390" s="116"/>
      <c r="CJ390" s="116"/>
      <c r="CL390" s="116"/>
      <c r="CN390" s="239"/>
      <c r="CO390" s="153"/>
      <c r="DM390" s="116"/>
      <c r="DN390" s="116"/>
      <c r="DO390" s="116"/>
      <c r="DP390" s="116"/>
      <c r="DW390" s="116"/>
      <c r="DX390" s="219"/>
      <c r="DY390" s="219"/>
      <c r="DZ390" s="116"/>
      <c r="EA390" s="116"/>
      <c r="EB390" s="116"/>
      <c r="EC390" s="116"/>
      <c r="ED390" s="116"/>
      <c r="EF390" s="332"/>
      <c r="EG390" s="116"/>
      <c r="EH390" s="116"/>
      <c r="EI390" s="116"/>
      <c r="EJ390" s="116"/>
      <c r="EK390" s="116"/>
      <c r="EM390" s="116"/>
      <c r="EN390" s="116"/>
      <c r="EO390" s="116"/>
      <c r="EQ390" s="116"/>
      <c r="ER390" s="116"/>
      <c r="ES390" s="116"/>
      <c r="ET390" s="116"/>
      <c r="EU390" s="116"/>
      <c r="EV390" s="116"/>
      <c r="EX390" s="116"/>
      <c r="EY390" s="116"/>
      <c r="EZ390" s="116"/>
      <c r="FA390" s="116"/>
      <c r="FB390" s="116"/>
    </row>
    <row r="391" spans="5:158" ht="13">
      <c r="E391" s="153"/>
      <c r="T391" s="153"/>
      <c r="BD391" s="31"/>
      <c r="BE391" s="31"/>
      <c r="BF391" s="31"/>
      <c r="BG391" s="31"/>
      <c r="BH391" s="31"/>
      <c r="BI391" s="116"/>
      <c r="BL391" s="196"/>
      <c r="BM391" s="239"/>
      <c r="BN391" s="330"/>
      <c r="BP391" s="330"/>
      <c r="BS391" s="116"/>
      <c r="BU391" s="331"/>
      <c r="BW391" s="116"/>
      <c r="BX391" s="116"/>
      <c r="BZ391" s="330"/>
      <c r="CB391" s="330"/>
      <c r="CC391" s="116"/>
      <c r="CG391" s="242"/>
      <c r="CH391" s="116"/>
      <c r="CI391" s="116"/>
      <c r="CJ391" s="116"/>
      <c r="CL391" s="116"/>
      <c r="CN391" s="239"/>
      <c r="CO391" s="153"/>
      <c r="DM391" s="116"/>
      <c r="DN391" s="116"/>
      <c r="DO391" s="116"/>
      <c r="DP391" s="116"/>
      <c r="DW391" s="116"/>
      <c r="DX391" s="219"/>
      <c r="DY391" s="219"/>
      <c r="DZ391" s="116"/>
      <c r="EA391" s="116"/>
      <c r="EB391" s="116"/>
      <c r="EC391" s="116"/>
      <c r="ED391" s="116"/>
      <c r="EF391" s="332"/>
      <c r="EG391" s="116"/>
      <c r="EH391" s="116"/>
      <c r="EI391" s="116"/>
      <c r="EJ391" s="116"/>
      <c r="EK391" s="116"/>
      <c r="EM391" s="116"/>
      <c r="EN391" s="116"/>
      <c r="EO391" s="116"/>
      <c r="EQ391" s="116"/>
      <c r="ER391" s="116"/>
      <c r="ES391" s="116"/>
      <c r="ET391" s="116"/>
      <c r="EU391" s="116"/>
      <c r="EV391" s="116"/>
      <c r="EX391" s="116"/>
      <c r="EY391" s="116"/>
      <c r="EZ391" s="116"/>
      <c r="FA391" s="116"/>
      <c r="FB391" s="116"/>
    </row>
    <row r="392" spans="5:158" ht="13">
      <c r="E392" s="153"/>
      <c r="T392" s="153"/>
      <c r="BD392" s="31"/>
      <c r="BE392" s="31"/>
      <c r="BF392" s="31"/>
      <c r="BG392" s="31"/>
      <c r="BH392" s="31"/>
      <c r="BI392" s="116"/>
      <c r="BL392" s="196"/>
      <c r="BM392" s="239"/>
      <c r="BN392" s="330"/>
      <c r="BP392" s="330"/>
      <c r="BS392" s="116"/>
      <c r="BU392" s="331"/>
      <c r="BW392" s="116"/>
      <c r="BX392" s="116"/>
      <c r="BZ392" s="330"/>
      <c r="CB392" s="330"/>
      <c r="CC392" s="116"/>
      <c r="CG392" s="242"/>
      <c r="CH392" s="116"/>
      <c r="CI392" s="116"/>
      <c r="CJ392" s="116"/>
      <c r="CL392" s="116"/>
      <c r="CN392" s="239"/>
      <c r="CO392" s="153"/>
      <c r="DM392" s="116"/>
      <c r="DN392" s="116"/>
      <c r="DO392" s="116"/>
      <c r="DP392" s="116"/>
      <c r="DW392" s="116"/>
      <c r="DX392" s="219"/>
      <c r="DY392" s="219"/>
      <c r="DZ392" s="116"/>
      <c r="EA392" s="116"/>
      <c r="EB392" s="116"/>
      <c r="EC392" s="116"/>
      <c r="ED392" s="116"/>
      <c r="EF392" s="332"/>
      <c r="EG392" s="116"/>
      <c r="EH392" s="116"/>
      <c r="EI392" s="116"/>
      <c r="EJ392" s="116"/>
      <c r="EK392" s="116"/>
      <c r="EM392" s="116"/>
      <c r="EN392" s="116"/>
      <c r="EO392" s="116"/>
      <c r="EQ392" s="116"/>
      <c r="ER392" s="116"/>
      <c r="ES392" s="116"/>
      <c r="ET392" s="116"/>
      <c r="EU392" s="116"/>
      <c r="EV392" s="116"/>
      <c r="EX392" s="116"/>
      <c r="EY392" s="116"/>
      <c r="EZ392" s="116"/>
      <c r="FA392" s="116"/>
      <c r="FB392" s="116"/>
    </row>
    <row r="393" spans="5:158" ht="13">
      <c r="E393" s="153"/>
      <c r="T393" s="153"/>
      <c r="BD393" s="31"/>
      <c r="BE393" s="31"/>
      <c r="BF393" s="31"/>
      <c r="BG393" s="31"/>
      <c r="BH393" s="31"/>
      <c r="BI393" s="116"/>
      <c r="BL393" s="196"/>
      <c r="BM393" s="239"/>
      <c r="BN393" s="330"/>
      <c r="BP393" s="330"/>
      <c r="BS393" s="116"/>
      <c r="BU393" s="331"/>
      <c r="BW393" s="116"/>
      <c r="BX393" s="116"/>
      <c r="BZ393" s="330"/>
      <c r="CB393" s="330"/>
      <c r="CC393" s="116"/>
      <c r="CG393" s="242"/>
      <c r="CH393" s="116"/>
      <c r="CI393" s="116"/>
      <c r="CJ393" s="116"/>
      <c r="CL393" s="116"/>
      <c r="CN393" s="239"/>
      <c r="CO393" s="153"/>
      <c r="DM393" s="116"/>
      <c r="DN393" s="116"/>
      <c r="DO393" s="116"/>
      <c r="DP393" s="116"/>
      <c r="DW393" s="116"/>
      <c r="DX393" s="219"/>
      <c r="DY393" s="219"/>
      <c r="DZ393" s="116"/>
      <c r="EA393" s="116"/>
      <c r="EB393" s="116"/>
      <c r="EC393" s="116"/>
      <c r="ED393" s="116"/>
      <c r="EF393" s="332"/>
      <c r="EG393" s="116"/>
      <c r="EH393" s="116"/>
      <c r="EI393" s="116"/>
      <c r="EJ393" s="116"/>
      <c r="EK393" s="116"/>
      <c r="EM393" s="116"/>
      <c r="EN393" s="116"/>
      <c r="EO393" s="116"/>
      <c r="EQ393" s="116"/>
      <c r="ER393" s="116"/>
      <c r="ES393" s="116"/>
      <c r="ET393" s="116"/>
      <c r="EU393" s="116"/>
      <c r="EV393" s="116"/>
      <c r="EX393" s="116"/>
      <c r="EY393" s="116"/>
      <c r="EZ393" s="116"/>
      <c r="FA393" s="116"/>
      <c r="FB393" s="116"/>
    </row>
    <row r="394" spans="5:158" ht="13">
      <c r="E394" s="153"/>
      <c r="T394" s="153"/>
      <c r="BD394" s="31"/>
      <c r="BE394" s="31"/>
      <c r="BF394" s="31"/>
      <c r="BG394" s="31"/>
      <c r="BH394" s="31"/>
      <c r="BI394" s="116"/>
      <c r="BL394" s="196"/>
      <c r="BM394" s="239"/>
      <c r="BN394" s="330"/>
      <c r="BP394" s="330"/>
      <c r="BS394" s="116"/>
      <c r="BU394" s="331"/>
      <c r="BW394" s="116"/>
      <c r="BX394" s="116"/>
      <c r="BZ394" s="330"/>
      <c r="CB394" s="330"/>
      <c r="CC394" s="116"/>
      <c r="CG394" s="242"/>
      <c r="CH394" s="116"/>
      <c r="CI394" s="116"/>
      <c r="CJ394" s="116"/>
      <c r="CL394" s="116"/>
      <c r="CN394" s="239"/>
      <c r="CO394" s="153"/>
      <c r="DM394" s="116"/>
      <c r="DN394" s="116"/>
      <c r="DO394" s="116"/>
      <c r="DP394" s="116"/>
      <c r="DW394" s="116"/>
      <c r="DX394" s="219"/>
      <c r="DY394" s="219"/>
      <c r="DZ394" s="116"/>
      <c r="EA394" s="116"/>
      <c r="EB394" s="116"/>
      <c r="EC394" s="116"/>
      <c r="ED394" s="116"/>
      <c r="EF394" s="332"/>
      <c r="EG394" s="116"/>
      <c r="EH394" s="116"/>
      <c r="EI394" s="116"/>
      <c r="EJ394" s="116"/>
      <c r="EK394" s="116"/>
      <c r="EM394" s="116"/>
      <c r="EN394" s="116"/>
      <c r="EO394" s="116"/>
      <c r="EQ394" s="116"/>
      <c r="ER394" s="116"/>
      <c r="ES394" s="116"/>
      <c r="ET394" s="116"/>
      <c r="EU394" s="116"/>
      <c r="EV394" s="116"/>
      <c r="EX394" s="116"/>
      <c r="EY394" s="116"/>
      <c r="EZ394" s="116"/>
      <c r="FA394" s="116"/>
      <c r="FB394" s="116"/>
    </row>
    <row r="395" spans="5:158" ht="13">
      <c r="E395" s="153"/>
      <c r="T395" s="153"/>
      <c r="BD395" s="31"/>
      <c r="BE395" s="31"/>
      <c r="BF395" s="31"/>
      <c r="BG395" s="31"/>
      <c r="BH395" s="31"/>
      <c r="BI395" s="116"/>
      <c r="BL395" s="196"/>
      <c r="BM395" s="239"/>
      <c r="BN395" s="330"/>
      <c r="BP395" s="330"/>
      <c r="BS395" s="116"/>
      <c r="BU395" s="331"/>
      <c r="BW395" s="116"/>
      <c r="BX395" s="116"/>
      <c r="BZ395" s="330"/>
      <c r="CB395" s="330"/>
      <c r="CC395" s="116"/>
      <c r="CG395" s="242"/>
      <c r="CH395" s="116"/>
      <c r="CI395" s="116"/>
      <c r="CJ395" s="116"/>
      <c r="CL395" s="116"/>
      <c r="CN395" s="239"/>
      <c r="CO395" s="153"/>
      <c r="DM395" s="116"/>
      <c r="DN395" s="116"/>
      <c r="DO395" s="116"/>
      <c r="DP395" s="116"/>
      <c r="DW395" s="116"/>
      <c r="DX395" s="219"/>
      <c r="DY395" s="219"/>
      <c r="DZ395" s="116"/>
      <c r="EA395" s="116"/>
      <c r="EB395" s="116"/>
      <c r="EC395" s="116"/>
      <c r="ED395" s="116"/>
      <c r="EF395" s="332"/>
      <c r="EG395" s="116"/>
      <c r="EH395" s="116"/>
      <c r="EI395" s="116"/>
      <c r="EJ395" s="116"/>
      <c r="EK395" s="116"/>
      <c r="EM395" s="116"/>
      <c r="EN395" s="116"/>
      <c r="EO395" s="116"/>
      <c r="EQ395" s="116"/>
      <c r="ER395" s="116"/>
      <c r="ES395" s="116"/>
      <c r="ET395" s="116"/>
      <c r="EU395" s="116"/>
      <c r="EV395" s="116"/>
      <c r="EX395" s="116"/>
      <c r="EY395" s="116"/>
      <c r="EZ395" s="116"/>
      <c r="FA395" s="116"/>
      <c r="FB395" s="116"/>
    </row>
    <row r="396" spans="5:158" ht="13">
      <c r="E396" s="153"/>
      <c r="T396" s="153"/>
      <c r="BD396" s="31"/>
      <c r="BE396" s="31"/>
      <c r="BF396" s="31"/>
      <c r="BG396" s="31"/>
      <c r="BH396" s="31"/>
      <c r="BI396" s="116"/>
      <c r="BL396" s="196"/>
      <c r="BM396" s="239"/>
      <c r="BN396" s="330"/>
      <c r="BP396" s="330"/>
      <c r="BS396" s="116"/>
      <c r="BU396" s="331"/>
      <c r="BW396" s="116"/>
      <c r="BX396" s="116"/>
      <c r="BZ396" s="330"/>
      <c r="CB396" s="330"/>
      <c r="CC396" s="116"/>
      <c r="CG396" s="242"/>
      <c r="CH396" s="116"/>
      <c r="CI396" s="116"/>
      <c r="CJ396" s="116"/>
      <c r="CL396" s="116"/>
      <c r="CN396" s="239"/>
      <c r="CO396" s="153"/>
      <c r="DM396" s="116"/>
      <c r="DN396" s="116"/>
      <c r="DO396" s="116"/>
      <c r="DP396" s="116"/>
      <c r="DW396" s="116"/>
      <c r="DX396" s="219"/>
      <c r="DY396" s="219"/>
      <c r="DZ396" s="116"/>
      <c r="EA396" s="116"/>
      <c r="EB396" s="116"/>
      <c r="EC396" s="116"/>
      <c r="ED396" s="116"/>
      <c r="EF396" s="332"/>
      <c r="EG396" s="116"/>
      <c r="EH396" s="116"/>
      <c r="EI396" s="116"/>
      <c r="EJ396" s="116"/>
      <c r="EK396" s="116"/>
      <c r="EM396" s="116"/>
      <c r="EN396" s="116"/>
      <c r="EO396" s="116"/>
      <c r="EQ396" s="116"/>
      <c r="ER396" s="116"/>
      <c r="ES396" s="116"/>
      <c r="ET396" s="116"/>
      <c r="EU396" s="116"/>
      <c r="EV396" s="116"/>
      <c r="EX396" s="116"/>
      <c r="EY396" s="116"/>
      <c r="EZ396" s="116"/>
      <c r="FA396" s="116"/>
      <c r="FB396" s="116"/>
    </row>
    <row r="397" spans="5:158" ht="13">
      <c r="E397" s="153"/>
      <c r="T397" s="153"/>
      <c r="BD397" s="31"/>
      <c r="BE397" s="31"/>
      <c r="BF397" s="31"/>
      <c r="BG397" s="31"/>
      <c r="BH397" s="31"/>
      <c r="BI397" s="116"/>
      <c r="BL397" s="196"/>
      <c r="BM397" s="239"/>
      <c r="BN397" s="330"/>
      <c r="BP397" s="330"/>
      <c r="BS397" s="116"/>
      <c r="BU397" s="331"/>
      <c r="BW397" s="116"/>
      <c r="BX397" s="116"/>
      <c r="BZ397" s="330"/>
      <c r="CB397" s="330"/>
      <c r="CC397" s="116"/>
      <c r="CG397" s="242"/>
      <c r="CH397" s="116"/>
      <c r="CI397" s="116"/>
      <c r="CJ397" s="116"/>
      <c r="CL397" s="116"/>
      <c r="CN397" s="239"/>
      <c r="CO397" s="153"/>
      <c r="DM397" s="116"/>
      <c r="DN397" s="116"/>
      <c r="DO397" s="116"/>
      <c r="DP397" s="116"/>
      <c r="DW397" s="116"/>
      <c r="DX397" s="219"/>
      <c r="DY397" s="219"/>
      <c r="DZ397" s="116"/>
      <c r="EA397" s="116"/>
      <c r="EB397" s="116"/>
      <c r="EC397" s="116"/>
      <c r="ED397" s="116"/>
      <c r="EF397" s="332"/>
      <c r="EG397" s="116"/>
      <c r="EH397" s="116"/>
      <c r="EI397" s="116"/>
      <c r="EJ397" s="116"/>
      <c r="EK397" s="116"/>
      <c r="EM397" s="116"/>
      <c r="EN397" s="116"/>
      <c r="EO397" s="116"/>
      <c r="EQ397" s="116"/>
      <c r="ER397" s="116"/>
      <c r="ES397" s="116"/>
      <c r="ET397" s="116"/>
      <c r="EU397" s="116"/>
      <c r="EV397" s="116"/>
      <c r="EX397" s="116"/>
      <c r="EY397" s="116"/>
      <c r="EZ397" s="116"/>
      <c r="FA397" s="116"/>
      <c r="FB397" s="116"/>
    </row>
    <row r="398" spans="5:158" ht="13">
      <c r="E398" s="153"/>
      <c r="T398" s="153"/>
      <c r="BD398" s="31"/>
      <c r="BE398" s="31"/>
      <c r="BF398" s="31"/>
      <c r="BG398" s="31"/>
      <c r="BH398" s="31"/>
      <c r="BI398" s="116"/>
      <c r="BL398" s="196"/>
      <c r="BM398" s="239"/>
      <c r="BN398" s="330"/>
      <c r="BP398" s="330"/>
      <c r="BS398" s="116"/>
      <c r="BU398" s="331"/>
      <c r="BW398" s="116"/>
      <c r="BX398" s="116"/>
      <c r="BZ398" s="330"/>
      <c r="CB398" s="330"/>
      <c r="CC398" s="116"/>
      <c r="CG398" s="242"/>
      <c r="CH398" s="116"/>
      <c r="CI398" s="116"/>
      <c r="CJ398" s="116"/>
      <c r="CL398" s="116"/>
      <c r="CN398" s="239"/>
      <c r="CO398" s="153"/>
      <c r="DM398" s="116"/>
      <c r="DN398" s="116"/>
      <c r="DO398" s="116"/>
      <c r="DP398" s="116"/>
      <c r="DW398" s="116"/>
      <c r="DX398" s="219"/>
      <c r="DY398" s="219"/>
      <c r="DZ398" s="116"/>
      <c r="EA398" s="116"/>
      <c r="EB398" s="116"/>
      <c r="EC398" s="116"/>
      <c r="ED398" s="116"/>
      <c r="EF398" s="332"/>
      <c r="EG398" s="116"/>
      <c r="EH398" s="116"/>
      <c r="EI398" s="116"/>
      <c r="EJ398" s="116"/>
      <c r="EK398" s="116"/>
      <c r="EM398" s="116"/>
      <c r="EN398" s="116"/>
      <c r="EO398" s="116"/>
      <c r="EQ398" s="116"/>
      <c r="ER398" s="116"/>
      <c r="ES398" s="116"/>
      <c r="ET398" s="116"/>
      <c r="EU398" s="116"/>
      <c r="EV398" s="116"/>
      <c r="EX398" s="116"/>
      <c r="EY398" s="116"/>
      <c r="EZ398" s="116"/>
      <c r="FA398" s="116"/>
      <c r="FB398" s="116"/>
    </row>
    <row r="399" spans="5:158" ht="13">
      <c r="E399" s="153"/>
      <c r="T399" s="153"/>
      <c r="BD399" s="31"/>
      <c r="BE399" s="31"/>
      <c r="BF399" s="31"/>
      <c r="BG399" s="31"/>
      <c r="BH399" s="31"/>
      <c r="BI399" s="116"/>
      <c r="BL399" s="196"/>
      <c r="BM399" s="239"/>
      <c r="BN399" s="330"/>
      <c r="BP399" s="330"/>
      <c r="BS399" s="116"/>
      <c r="BU399" s="331"/>
      <c r="BW399" s="116"/>
      <c r="BX399" s="116"/>
      <c r="BZ399" s="330"/>
      <c r="CB399" s="330"/>
      <c r="CC399" s="116"/>
      <c r="CG399" s="242"/>
      <c r="CH399" s="116"/>
      <c r="CI399" s="116"/>
      <c r="CJ399" s="116"/>
      <c r="CL399" s="116"/>
      <c r="CN399" s="239"/>
      <c r="CO399" s="153"/>
      <c r="DM399" s="116"/>
      <c r="DN399" s="116"/>
      <c r="DO399" s="116"/>
      <c r="DP399" s="116"/>
      <c r="DW399" s="116"/>
      <c r="DX399" s="219"/>
      <c r="DY399" s="219"/>
      <c r="DZ399" s="116"/>
      <c r="EA399" s="116"/>
      <c r="EB399" s="116"/>
      <c r="EC399" s="116"/>
      <c r="ED399" s="116"/>
      <c r="EF399" s="332"/>
      <c r="EG399" s="116"/>
      <c r="EH399" s="116"/>
      <c r="EI399" s="116"/>
      <c r="EJ399" s="116"/>
      <c r="EK399" s="116"/>
      <c r="EM399" s="116"/>
      <c r="EN399" s="116"/>
      <c r="EO399" s="116"/>
      <c r="EQ399" s="116"/>
      <c r="ER399" s="116"/>
      <c r="ES399" s="116"/>
      <c r="ET399" s="116"/>
      <c r="EU399" s="116"/>
      <c r="EV399" s="116"/>
      <c r="EX399" s="116"/>
      <c r="EY399" s="116"/>
      <c r="EZ399" s="116"/>
      <c r="FA399" s="116"/>
      <c r="FB399" s="116"/>
    </row>
    <row r="400" spans="5:158" ht="13">
      <c r="E400" s="153"/>
      <c r="T400" s="153"/>
      <c r="BD400" s="31"/>
      <c r="BE400" s="31"/>
      <c r="BF400" s="31"/>
      <c r="BG400" s="31"/>
      <c r="BH400" s="31"/>
      <c r="BI400" s="116"/>
      <c r="BL400" s="196"/>
      <c r="BM400" s="239"/>
      <c r="BN400" s="330"/>
      <c r="BP400" s="330"/>
      <c r="BS400" s="116"/>
      <c r="BU400" s="331"/>
      <c r="BW400" s="116"/>
      <c r="BX400" s="116"/>
      <c r="BZ400" s="330"/>
      <c r="CB400" s="330"/>
      <c r="CC400" s="116"/>
      <c r="CG400" s="242"/>
      <c r="CH400" s="116"/>
      <c r="CI400" s="116"/>
      <c r="CJ400" s="116"/>
      <c r="CL400" s="116"/>
      <c r="CN400" s="239"/>
      <c r="CO400" s="153"/>
      <c r="DM400" s="116"/>
      <c r="DN400" s="116"/>
      <c r="DO400" s="116"/>
      <c r="DP400" s="116"/>
      <c r="DW400" s="116"/>
      <c r="DX400" s="219"/>
      <c r="DY400" s="219"/>
      <c r="DZ400" s="116"/>
      <c r="EA400" s="116"/>
      <c r="EB400" s="116"/>
      <c r="EC400" s="116"/>
      <c r="ED400" s="116"/>
      <c r="EF400" s="332"/>
      <c r="EG400" s="116"/>
      <c r="EH400" s="116"/>
      <c r="EI400" s="116"/>
      <c r="EJ400" s="116"/>
      <c r="EK400" s="116"/>
      <c r="EM400" s="116"/>
      <c r="EN400" s="116"/>
      <c r="EO400" s="116"/>
      <c r="EQ400" s="116"/>
      <c r="ER400" s="116"/>
      <c r="ES400" s="116"/>
      <c r="ET400" s="116"/>
      <c r="EU400" s="116"/>
      <c r="EV400" s="116"/>
      <c r="EX400" s="116"/>
      <c r="EY400" s="116"/>
      <c r="EZ400" s="116"/>
      <c r="FA400" s="116"/>
      <c r="FB400" s="116"/>
    </row>
    <row r="401" spans="5:158" ht="13">
      <c r="E401" s="153"/>
      <c r="T401" s="153"/>
      <c r="BD401" s="31"/>
      <c r="BE401" s="31"/>
      <c r="BF401" s="31"/>
      <c r="BG401" s="31"/>
      <c r="BH401" s="31"/>
      <c r="BI401" s="116"/>
      <c r="BL401" s="196"/>
      <c r="BM401" s="239"/>
      <c r="BN401" s="330"/>
      <c r="BP401" s="330"/>
      <c r="BS401" s="116"/>
      <c r="BU401" s="331"/>
      <c r="BW401" s="116"/>
      <c r="BX401" s="116"/>
      <c r="BZ401" s="330"/>
      <c r="CB401" s="330"/>
      <c r="CC401" s="116"/>
      <c r="CG401" s="242"/>
      <c r="CH401" s="116"/>
      <c r="CI401" s="116"/>
      <c r="CJ401" s="116"/>
      <c r="CL401" s="116"/>
      <c r="CN401" s="239"/>
      <c r="CO401" s="153"/>
      <c r="DM401" s="116"/>
      <c r="DN401" s="116"/>
      <c r="DO401" s="116"/>
      <c r="DP401" s="116"/>
      <c r="DW401" s="116"/>
      <c r="DX401" s="219"/>
      <c r="DY401" s="219"/>
      <c r="DZ401" s="116"/>
      <c r="EA401" s="116"/>
      <c r="EB401" s="116"/>
      <c r="EC401" s="116"/>
      <c r="ED401" s="116"/>
      <c r="EF401" s="332"/>
      <c r="EG401" s="116"/>
      <c r="EH401" s="116"/>
      <c r="EI401" s="116"/>
      <c r="EJ401" s="116"/>
      <c r="EK401" s="116"/>
      <c r="EM401" s="116"/>
      <c r="EN401" s="116"/>
      <c r="EO401" s="116"/>
      <c r="EQ401" s="116"/>
      <c r="ER401" s="116"/>
      <c r="ES401" s="116"/>
      <c r="ET401" s="116"/>
      <c r="EU401" s="116"/>
      <c r="EV401" s="116"/>
      <c r="EX401" s="116"/>
      <c r="EY401" s="116"/>
      <c r="EZ401" s="116"/>
      <c r="FA401" s="116"/>
      <c r="FB401" s="116"/>
    </row>
    <row r="402" spans="5:158" ht="13">
      <c r="E402" s="153"/>
      <c r="T402" s="153"/>
      <c r="BD402" s="31"/>
      <c r="BE402" s="31"/>
      <c r="BF402" s="31"/>
      <c r="BG402" s="31"/>
      <c r="BH402" s="31"/>
      <c r="BI402" s="116"/>
      <c r="BL402" s="196"/>
      <c r="BM402" s="239"/>
      <c r="BN402" s="330"/>
      <c r="BP402" s="330"/>
      <c r="BS402" s="116"/>
      <c r="BU402" s="331"/>
      <c r="BW402" s="116"/>
      <c r="BX402" s="116"/>
      <c r="BZ402" s="330"/>
      <c r="CB402" s="330"/>
      <c r="CC402" s="116"/>
      <c r="CG402" s="242"/>
      <c r="CH402" s="116"/>
      <c r="CI402" s="116"/>
      <c r="CJ402" s="116"/>
      <c r="CL402" s="116"/>
      <c r="CN402" s="239"/>
      <c r="CO402" s="153"/>
      <c r="DM402" s="116"/>
      <c r="DN402" s="116"/>
      <c r="DO402" s="116"/>
      <c r="DP402" s="116"/>
      <c r="DW402" s="116"/>
      <c r="DX402" s="219"/>
      <c r="DY402" s="219"/>
      <c r="DZ402" s="116"/>
      <c r="EA402" s="116"/>
      <c r="EB402" s="116"/>
      <c r="EC402" s="116"/>
      <c r="ED402" s="116"/>
      <c r="EF402" s="332"/>
      <c r="EG402" s="116"/>
      <c r="EH402" s="116"/>
      <c r="EI402" s="116"/>
      <c r="EJ402" s="116"/>
      <c r="EK402" s="116"/>
      <c r="EM402" s="116"/>
      <c r="EN402" s="116"/>
      <c r="EO402" s="116"/>
      <c r="EQ402" s="116"/>
      <c r="ER402" s="116"/>
      <c r="ES402" s="116"/>
      <c r="ET402" s="116"/>
      <c r="EU402" s="116"/>
      <c r="EV402" s="116"/>
      <c r="EX402" s="116"/>
      <c r="EY402" s="116"/>
      <c r="EZ402" s="116"/>
      <c r="FA402" s="116"/>
      <c r="FB402" s="116"/>
    </row>
    <row r="403" spans="5:158" ht="13">
      <c r="E403" s="153"/>
      <c r="T403" s="153"/>
      <c r="BD403" s="31"/>
      <c r="BE403" s="31"/>
      <c r="BF403" s="31"/>
      <c r="BG403" s="31"/>
      <c r="BH403" s="31"/>
      <c r="BI403" s="116"/>
      <c r="BL403" s="196"/>
      <c r="BM403" s="239"/>
      <c r="BN403" s="330"/>
      <c r="BP403" s="330"/>
      <c r="BS403" s="116"/>
      <c r="BU403" s="331"/>
      <c r="BW403" s="116"/>
      <c r="BX403" s="116"/>
      <c r="BZ403" s="330"/>
      <c r="CB403" s="330"/>
      <c r="CC403" s="116"/>
      <c r="CG403" s="242"/>
      <c r="CH403" s="116"/>
      <c r="CI403" s="116"/>
      <c r="CJ403" s="116"/>
      <c r="CL403" s="116"/>
      <c r="CN403" s="239"/>
      <c r="CO403" s="153"/>
      <c r="DM403" s="116"/>
      <c r="DN403" s="116"/>
      <c r="DO403" s="116"/>
      <c r="DP403" s="116"/>
      <c r="DW403" s="116"/>
      <c r="DX403" s="219"/>
      <c r="DY403" s="219"/>
      <c r="DZ403" s="116"/>
      <c r="EA403" s="116"/>
      <c r="EB403" s="116"/>
      <c r="EC403" s="116"/>
      <c r="ED403" s="116"/>
      <c r="EF403" s="332"/>
      <c r="EG403" s="116"/>
      <c r="EH403" s="116"/>
      <c r="EI403" s="116"/>
      <c r="EJ403" s="116"/>
      <c r="EK403" s="116"/>
      <c r="EM403" s="116"/>
      <c r="EN403" s="116"/>
      <c r="EO403" s="116"/>
      <c r="EQ403" s="116"/>
      <c r="ER403" s="116"/>
      <c r="ES403" s="116"/>
      <c r="ET403" s="116"/>
      <c r="EU403" s="116"/>
      <c r="EV403" s="116"/>
      <c r="EX403" s="116"/>
      <c r="EY403" s="116"/>
      <c r="EZ403" s="116"/>
      <c r="FA403" s="116"/>
      <c r="FB403" s="116"/>
    </row>
    <row r="404" spans="5:158" ht="13">
      <c r="E404" s="153"/>
      <c r="T404" s="153"/>
      <c r="BD404" s="31"/>
      <c r="BE404" s="31"/>
      <c r="BF404" s="31"/>
      <c r="BG404" s="31"/>
      <c r="BH404" s="31"/>
      <c r="BI404" s="116"/>
      <c r="BL404" s="196"/>
      <c r="BM404" s="239"/>
      <c r="BN404" s="330"/>
      <c r="BP404" s="330"/>
      <c r="BS404" s="116"/>
      <c r="BU404" s="331"/>
      <c r="BW404" s="116"/>
      <c r="BX404" s="116"/>
      <c r="BZ404" s="330"/>
      <c r="CB404" s="330"/>
      <c r="CC404" s="116"/>
      <c r="CG404" s="242"/>
      <c r="CH404" s="116"/>
      <c r="CI404" s="116"/>
      <c r="CJ404" s="116"/>
      <c r="CL404" s="116"/>
      <c r="CN404" s="239"/>
      <c r="CO404" s="153"/>
      <c r="DM404" s="116"/>
      <c r="DN404" s="116"/>
      <c r="DO404" s="116"/>
      <c r="DP404" s="116"/>
      <c r="DW404" s="116"/>
      <c r="DX404" s="219"/>
      <c r="DY404" s="219"/>
      <c r="DZ404" s="116"/>
      <c r="EA404" s="116"/>
      <c r="EB404" s="116"/>
      <c r="EC404" s="116"/>
      <c r="ED404" s="116"/>
      <c r="EF404" s="332"/>
      <c r="EG404" s="116"/>
      <c r="EH404" s="116"/>
      <c r="EI404" s="116"/>
      <c r="EJ404" s="116"/>
      <c r="EK404" s="116"/>
      <c r="EM404" s="116"/>
      <c r="EN404" s="116"/>
      <c r="EO404" s="116"/>
      <c r="EQ404" s="116"/>
      <c r="ER404" s="116"/>
      <c r="ES404" s="116"/>
      <c r="ET404" s="116"/>
      <c r="EU404" s="116"/>
      <c r="EV404" s="116"/>
      <c r="EX404" s="116"/>
      <c r="EY404" s="116"/>
      <c r="EZ404" s="116"/>
      <c r="FA404" s="116"/>
      <c r="FB404" s="116"/>
    </row>
    <row r="405" spans="5:158" ht="13">
      <c r="E405" s="153"/>
      <c r="T405" s="153"/>
      <c r="BD405" s="31"/>
      <c r="BE405" s="31"/>
      <c r="BF405" s="31"/>
      <c r="BG405" s="31"/>
      <c r="BH405" s="31"/>
      <c r="BI405" s="116"/>
      <c r="BL405" s="196"/>
      <c r="BM405" s="239"/>
      <c r="BN405" s="330"/>
      <c r="BP405" s="330"/>
      <c r="BS405" s="116"/>
      <c r="BU405" s="331"/>
      <c r="BW405" s="116"/>
      <c r="BX405" s="116"/>
      <c r="BZ405" s="330"/>
      <c r="CB405" s="330"/>
      <c r="CC405" s="116"/>
      <c r="CG405" s="242"/>
      <c r="CH405" s="116"/>
      <c r="CI405" s="116"/>
      <c r="CJ405" s="116"/>
      <c r="CL405" s="116"/>
      <c r="CN405" s="239"/>
      <c r="CO405" s="153"/>
      <c r="DM405" s="116"/>
      <c r="DN405" s="116"/>
      <c r="DO405" s="116"/>
      <c r="DP405" s="116"/>
      <c r="DW405" s="116"/>
      <c r="DX405" s="219"/>
      <c r="DY405" s="219"/>
      <c r="DZ405" s="116"/>
      <c r="EA405" s="116"/>
      <c r="EB405" s="116"/>
      <c r="EC405" s="116"/>
      <c r="ED405" s="116"/>
      <c r="EF405" s="332"/>
      <c r="EG405" s="116"/>
      <c r="EH405" s="116"/>
      <c r="EI405" s="116"/>
      <c r="EJ405" s="116"/>
      <c r="EK405" s="116"/>
      <c r="EM405" s="116"/>
      <c r="EN405" s="116"/>
      <c r="EO405" s="116"/>
      <c r="EQ405" s="116"/>
      <c r="ER405" s="116"/>
      <c r="ES405" s="116"/>
      <c r="ET405" s="116"/>
      <c r="EU405" s="116"/>
      <c r="EV405" s="116"/>
      <c r="EX405" s="116"/>
      <c r="EY405" s="116"/>
      <c r="EZ405" s="116"/>
      <c r="FA405" s="116"/>
      <c r="FB405" s="116"/>
    </row>
    <row r="406" spans="5:158" ht="13">
      <c r="E406" s="153"/>
      <c r="T406" s="153"/>
      <c r="BD406" s="31"/>
      <c r="BE406" s="31"/>
      <c r="BF406" s="31"/>
      <c r="BG406" s="31"/>
      <c r="BH406" s="31"/>
      <c r="BI406" s="116"/>
      <c r="BL406" s="196"/>
      <c r="BM406" s="239"/>
      <c r="BN406" s="330"/>
      <c r="BP406" s="330"/>
      <c r="BS406" s="116"/>
      <c r="BU406" s="331"/>
      <c r="BW406" s="116"/>
      <c r="BX406" s="116"/>
      <c r="BZ406" s="330"/>
      <c r="CB406" s="330"/>
      <c r="CC406" s="116"/>
      <c r="CG406" s="242"/>
      <c r="CH406" s="116"/>
      <c r="CI406" s="116"/>
      <c r="CJ406" s="116"/>
      <c r="CL406" s="116"/>
      <c r="CN406" s="239"/>
      <c r="CO406" s="153"/>
      <c r="DM406" s="116"/>
      <c r="DN406" s="116"/>
      <c r="DO406" s="116"/>
      <c r="DP406" s="116"/>
      <c r="DW406" s="116"/>
      <c r="DX406" s="219"/>
      <c r="DY406" s="219"/>
      <c r="DZ406" s="116"/>
      <c r="EA406" s="116"/>
      <c r="EB406" s="116"/>
      <c r="EC406" s="116"/>
      <c r="ED406" s="116"/>
      <c r="EF406" s="332"/>
      <c r="EG406" s="116"/>
      <c r="EH406" s="116"/>
      <c r="EI406" s="116"/>
      <c r="EJ406" s="116"/>
      <c r="EK406" s="116"/>
      <c r="EM406" s="116"/>
      <c r="EN406" s="116"/>
      <c r="EO406" s="116"/>
      <c r="EQ406" s="116"/>
      <c r="ER406" s="116"/>
      <c r="ES406" s="116"/>
      <c r="ET406" s="116"/>
      <c r="EU406" s="116"/>
      <c r="EV406" s="116"/>
      <c r="EX406" s="116"/>
      <c r="EY406" s="116"/>
      <c r="EZ406" s="116"/>
      <c r="FA406" s="116"/>
      <c r="FB406" s="116"/>
    </row>
    <row r="407" spans="5:158" ht="13">
      <c r="E407" s="153"/>
      <c r="T407" s="153"/>
      <c r="BD407" s="31"/>
      <c r="BE407" s="31"/>
      <c r="BF407" s="31"/>
      <c r="BG407" s="31"/>
      <c r="BH407" s="31"/>
      <c r="BI407" s="116"/>
      <c r="BL407" s="196"/>
      <c r="BM407" s="239"/>
      <c r="BN407" s="330"/>
      <c r="BP407" s="330"/>
      <c r="BS407" s="116"/>
      <c r="BU407" s="331"/>
      <c r="BW407" s="116"/>
      <c r="BX407" s="116"/>
      <c r="BZ407" s="330"/>
      <c r="CB407" s="330"/>
      <c r="CC407" s="116"/>
      <c r="CG407" s="242"/>
      <c r="CH407" s="116"/>
      <c r="CI407" s="116"/>
      <c r="CJ407" s="116"/>
      <c r="CL407" s="116"/>
      <c r="CN407" s="239"/>
      <c r="CO407" s="153"/>
      <c r="DM407" s="116"/>
      <c r="DN407" s="116"/>
      <c r="DO407" s="116"/>
      <c r="DP407" s="116"/>
      <c r="DW407" s="116"/>
      <c r="DX407" s="219"/>
      <c r="DY407" s="219"/>
      <c r="DZ407" s="116"/>
      <c r="EA407" s="116"/>
      <c r="EB407" s="116"/>
      <c r="EC407" s="116"/>
      <c r="ED407" s="116"/>
      <c r="EF407" s="332"/>
      <c r="EG407" s="116"/>
      <c r="EH407" s="116"/>
      <c r="EI407" s="116"/>
      <c r="EJ407" s="116"/>
      <c r="EK407" s="116"/>
      <c r="EM407" s="116"/>
      <c r="EN407" s="116"/>
      <c r="EO407" s="116"/>
      <c r="EQ407" s="116"/>
      <c r="ER407" s="116"/>
      <c r="ES407" s="116"/>
      <c r="ET407" s="116"/>
      <c r="EU407" s="116"/>
      <c r="EV407" s="116"/>
      <c r="EX407" s="116"/>
      <c r="EY407" s="116"/>
      <c r="EZ407" s="116"/>
      <c r="FA407" s="116"/>
      <c r="FB407" s="116"/>
    </row>
    <row r="408" spans="5:158" ht="13">
      <c r="E408" s="153"/>
      <c r="T408" s="153"/>
      <c r="BD408" s="31"/>
      <c r="BE408" s="31"/>
      <c r="BF408" s="31"/>
      <c r="BG408" s="31"/>
      <c r="BH408" s="31"/>
      <c r="BI408" s="116"/>
      <c r="BL408" s="196"/>
      <c r="BM408" s="239"/>
      <c r="BN408" s="330"/>
      <c r="BP408" s="330"/>
      <c r="BS408" s="116"/>
      <c r="BU408" s="331"/>
      <c r="BW408" s="116"/>
      <c r="BX408" s="116"/>
      <c r="BZ408" s="330"/>
      <c r="CB408" s="330"/>
      <c r="CC408" s="116"/>
      <c r="CG408" s="242"/>
      <c r="CH408" s="116"/>
      <c r="CI408" s="116"/>
      <c r="CJ408" s="116"/>
      <c r="CL408" s="116"/>
      <c r="CN408" s="239"/>
      <c r="CO408" s="153"/>
      <c r="DM408" s="116"/>
      <c r="DN408" s="116"/>
      <c r="DO408" s="116"/>
      <c r="DP408" s="116"/>
      <c r="DW408" s="116"/>
      <c r="DX408" s="219"/>
      <c r="DY408" s="219"/>
      <c r="DZ408" s="116"/>
      <c r="EA408" s="116"/>
      <c r="EB408" s="116"/>
      <c r="EC408" s="116"/>
      <c r="ED408" s="116"/>
      <c r="EF408" s="332"/>
      <c r="EG408" s="116"/>
      <c r="EH408" s="116"/>
      <c r="EI408" s="116"/>
      <c r="EJ408" s="116"/>
      <c r="EK408" s="116"/>
      <c r="EM408" s="116"/>
      <c r="EN408" s="116"/>
      <c r="EO408" s="116"/>
      <c r="EQ408" s="116"/>
      <c r="ER408" s="116"/>
      <c r="ES408" s="116"/>
      <c r="ET408" s="116"/>
      <c r="EU408" s="116"/>
      <c r="EV408" s="116"/>
      <c r="EX408" s="116"/>
      <c r="EY408" s="116"/>
      <c r="EZ408" s="116"/>
      <c r="FA408" s="116"/>
      <c r="FB408" s="116"/>
    </row>
    <row r="409" spans="5:158" ht="13">
      <c r="E409" s="153"/>
      <c r="T409" s="153"/>
      <c r="BD409" s="31"/>
      <c r="BE409" s="31"/>
      <c r="BF409" s="31"/>
      <c r="BG409" s="31"/>
      <c r="BH409" s="31"/>
      <c r="BI409" s="116"/>
      <c r="BL409" s="196"/>
      <c r="BM409" s="239"/>
      <c r="BN409" s="330"/>
      <c r="BP409" s="330"/>
      <c r="BS409" s="116"/>
      <c r="BU409" s="331"/>
      <c r="BW409" s="116"/>
      <c r="BX409" s="116"/>
      <c r="BZ409" s="330"/>
      <c r="CB409" s="330"/>
      <c r="CC409" s="116"/>
      <c r="CG409" s="242"/>
      <c r="CH409" s="116"/>
      <c r="CI409" s="116"/>
      <c r="CJ409" s="116"/>
      <c r="CL409" s="116"/>
      <c r="CN409" s="239"/>
      <c r="CO409" s="153"/>
      <c r="DM409" s="116"/>
      <c r="DN409" s="116"/>
      <c r="DO409" s="116"/>
      <c r="DP409" s="116"/>
      <c r="DW409" s="116"/>
      <c r="DX409" s="219"/>
      <c r="DY409" s="219"/>
      <c r="DZ409" s="116"/>
      <c r="EA409" s="116"/>
      <c r="EB409" s="116"/>
      <c r="EC409" s="116"/>
      <c r="ED409" s="116"/>
      <c r="EF409" s="332"/>
      <c r="EG409" s="116"/>
      <c r="EH409" s="116"/>
      <c r="EI409" s="116"/>
      <c r="EJ409" s="116"/>
      <c r="EK409" s="116"/>
      <c r="EM409" s="116"/>
      <c r="EN409" s="116"/>
      <c r="EO409" s="116"/>
      <c r="EQ409" s="116"/>
      <c r="ER409" s="116"/>
      <c r="ES409" s="116"/>
      <c r="ET409" s="116"/>
      <c r="EU409" s="116"/>
      <c r="EV409" s="116"/>
      <c r="EX409" s="116"/>
      <c r="EY409" s="116"/>
      <c r="EZ409" s="116"/>
      <c r="FA409" s="116"/>
      <c r="FB409" s="116"/>
    </row>
    <row r="410" spans="5:158" ht="13">
      <c r="E410" s="153"/>
      <c r="T410" s="153"/>
      <c r="BD410" s="31"/>
      <c r="BE410" s="31"/>
      <c r="BF410" s="31"/>
      <c r="BG410" s="31"/>
      <c r="BH410" s="31"/>
      <c r="BI410" s="116"/>
      <c r="BL410" s="196"/>
      <c r="BM410" s="239"/>
      <c r="BN410" s="330"/>
      <c r="BP410" s="330"/>
      <c r="BS410" s="116"/>
      <c r="BU410" s="331"/>
      <c r="BW410" s="116"/>
      <c r="BX410" s="116"/>
      <c r="BZ410" s="330"/>
      <c r="CB410" s="330"/>
      <c r="CC410" s="116"/>
      <c r="CG410" s="242"/>
      <c r="CH410" s="116"/>
      <c r="CI410" s="116"/>
      <c r="CJ410" s="116"/>
      <c r="CL410" s="116"/>
      <c r="CN410" s="239"/>
      <c r="CO410" s="153"/>
      <c r="DM410" s="116"/>
      <c r="DN410" s="116"/>
      <c r="DO410" s="116"/>
      <c r="DP410" s="116"/>
      <c r="DW410" s="116"/>
      <c r="DX410" s="219"/>
      <c r="DY410" s="219"/>
      <c r="DZ410" s="116"/>
      <c r="EA410" s="116"/>
      <c r="EB410" s="116"/>
      <c r="EC410" s="116"/>
      <c r="ED410" s="116"/>
      <c r="EF410" s="332"/>
      <c r="EG410" s="116"/>
      <c r="EH410" s="116"/>
      <c r="EI410" s="116"/>
      <c r="EJ410" s="116"/>
      <c r="EK410" s="116"/>
      <c r="EM410" s="116"/>
      <c r="EN410" s="116"/>
      <c r="EO410" s="116"/>
      <c r="EQ410" s="116"/>
      <c r="ER410" s="116"/>
      <c r="ES410" s="116"/>
      <c r="ET410" s="116"/>
      <c r="EU410" s="116"/>
      <c r="EV410" s="116"/>
      <c r="EX410" s="116"/>
      <c r="EY410" s="116"/>
      <c r="EZ410" s="116"/>
      <c r="FA410" s="116"/>
      <c r="FB410" s="116"/>
    </row>
    <row r="411" spans="5:158" ht="13">
      <c r="E411" s="153"/>
      <c r="T411" s="153"/>
      <c r="BD411" s="31"/>
      <c r="BE411" s="31"/>
      <c r="BF411" s="31"/>
      <c r="BG411" s="31"/>
      <c r="BH411" s="31"/>
      <c r="BI411" s="116"/>
      <c r="BL411" s="196"/>
      <c r="BM411" s="239"/>
      <c r="BN411" s="330"/>
      <c r="BP411" s="330"/>
      <c r="BS411" s="116"/>
      <c r="BU411" s="331"/>
      <c r="BW411" s="116"/>
      <c r="BX411" s="116"/>
      <c r="BZ411" s="330"/>
      <c r="CB411" s="330"/>
      <c r="CC411" s="116"/>
      <c r="CG411" s="242"/>
      <c r="CH411" s="116"/>
      <c r="CI411" s="116"/>
      <c r="CJ411" s="116"/>
      <c r="CL411" s="116"/>
      <c r="CN411" s="239"/>
      <c r="CO411" s="153"/>
      <c r="DM411" s="116"/>
      <c r="DN411" s="116"/>
      <c r="DO411" s="116"/>
      <c r="DP411" s="116"/>
      <c r="DW411" s="116"/>
      <c r="DX411" s="219"/>
      <c r="DY411" s="219"/>
      <c r="DZ411" s="116"/>
      <c r="EA411" s="116"/>
      <c r="EB411" s="116"/>
      <c r="EC411" s="116"/>
      <c r="ED411" s="116"/>
      <c r="EF411" s="332"/>
      <c r="EG411" s="116"/>
      <c r="EH411" s="116"/>
      <c r="EI411" s="116"/>
      <c r="EJ411" s="116"/>
      <c r="EK411" s="116"/>
      <c r="EM411" s="116"/>
      <c r="EN411" s="116"/>
      <c r="EO411" s="116"/>
      <c r="EQ411" s="116"/>
      <c r="ER411" s="116"/>
      <c r="ES411" s="116"/>
      <c r="ET411" s="116"/>
      <c r="EU411" s="116"/>
      <c r="EV411" s="116"/>
      <c r="EX411" s="116"/>
      <c r="EY411" s="116"/>
      <c r="EZ411" s="116"/>
      <c r="FA411" s="116"/>
      <c r="FB411" s="116"/>
    </row>
    <row r="412" spans="5:158" ht="13">
      <c r="E412" s="153"/>
      <c r="T412" s="153"/>
      <c r="BD412" s="31"/>
      <c r="BE412" s="31"/>
      <c r="BF412" s="31"/>
      <c r="BG412" s="31"/>
      <c r="BH412" s="31"/>
      <c r="BI412" s="116"/>
      <c r="BL412" s="196"/>
      <c r="BM412" s="239"/>
      <c r="BN412" s="330"/>
      <c r="BP412" s="330"/>
      <c r="BS412" s="116"/>
      <c r="BU412" s="331"/>
      <c r="BW412" s="116"/>
      <c r="BX412" s="116"/>
      <c r="BZ412" s="330"/>
      <c r="CB412" s="330"/>
      <c r="CC412" s="116"/>
      <c r="CG412" s="242"/>
      <c r="CH412" s="116"/>
      <c r="CI412" s="116"/>
      <c r="CJ412" s="116"/>
      <c r="CL412" s="116"/>
      <c r="CN412" s="239"/>
      <c r="CO412" s="153"/>
      <c r="DM412" s="116"/>
      <c r="DN412" s="116"/>
      <c r="DO412" s="116"/>
      <c r="DP412" s="116"/>
      <c r="DW412" s="116"/>
      <c r="DX412" s="219"/>
      <c r="DY412" s="219"/>
      <c r="DZ412" s="116"/>
      <c r="EA412" s="116"/>
      <c r="EB412" s="116"/>
      <c r="EC412" s="116"/>
      <c r="ED412" s="116"/>
      <c r="EF412" s="332"/>
      <c r="EG412" s="116"/>
      <c r="EH412" s="116"/>
      <c r="EI412" s="116"/>
      <c r="EJ412" s="116"/>
      <c r="EK412" s="116"/>
      <c r="EM412" s="116"/>
      <c r="EN412" s="116"/>
      <c r="EO412" s="116"/>
      <c r="EQ412" s="116"/>
      <c r="ER412" s="116"/>
      <c r="ES412" s="116"/>
      <c r="ET412" s="116"/>
      <c r="EU412" s="116"/>
      <c r="EV412" s="116"/>
      <c r="EX412" s="116"/>
      <c r="EY412" s="116"/>
      <c r="EZ412" s="116"/>
      <c r="FA412" s="116"/>
      <c r="FB412" s="116"/>
    </row>
    <row r="413" spans="5:158" ht="13">
      <c r="E413" s="153"/>
      <c r="T413" s="153"/>
      <c r="BD413" s="31"/>
      <c r="BE413" s="31"/>
      <c r="BF413" s="31"/>
      <c r="BG413" s="31"/>
      <c r="BH413" s="31"/>
      <c r="BI413" s="116"/>
      <c r="BL413" s="196"/>
      <c r="BM413" s="239"/>
      <c r="BN413" s="330"/>
      <c r="BP413" s="330"/>
      <c r="BS413" s="116"/>
      <c r="BU413" s="331"/>
      <c r="BW413" s="116"/>
      <c r="BX413" s="116"/>
      <c r="BZ413" s="330"/>
      <c r="CB413" s="330"/>
      <c r="CC413" s="116"/>
      <c r="CG413" s="242"/>
      <c r="CH413" s="116"/>
      <c r="CI413" s="116"/>
      <c r="CJ413" s="116"/>
      <c r="CL413" s="116"/>
      <c r="CN413" s="239"/>
      <c r="CO413" s="153"/>
      <c r="DM413" s="116"/>
      <c r="DN413" s="116"/>
      <c r="DO413" s="116"/>
      <c r="DP413" s="116"/>
      <c r="DW413" s="116"/>
      <c r="DX413" s="219"/>
      <c r="DY413" s="219"/>
      <c r="DZ413" s="116"/>
      <c r="EA413" s="116"/>
      <c r="EB413" s="116"/>
      <c r="EC413" s="116"/>
      <c r="ED413" s="116"/>
      <c r="EF413" s="332"/>
      <c r="EG413" s="116"/>
      <c r="EH413" s="116"/>
      <c r="EI413" s="116"/>
      <c r="EJ413" s="116"/>
      <c r="EK413" s="116"/>
      <c r="EM413" s="116"/>
      <c r="EN413" s="116"/>
      <c r="EO413" s="116"/>
      <c r="EQ413" s="116"/>
      <c r="ER413" s="116"/>
      <c r="ES413" s="116"/>
      <c r="ET413" s="116"/>
      <c r="EU413" s="116"/>
      <c r="EV413" s="116"/>
      <c r="EX413" s="116"/>
      <c r="EY413" s="116"/>
      <c r="EZ413" s="116"/>
      <c r="FA413" s="116"/>
      <c r="FB413" s="116"/>
    </row>
    <row r="414" spans="5:158" ht="13">
      <c r="E414" s="153"/>
      <c r="T414" s="153"/>
      <c r="BD414" s="31"/>
      <c r="BE414" s="31"/>
      <c r="BF414" s="31"/>
      <c r="BG414" s="31"/>
      <c r="BH414" s="31"/>
      <c r="BI414" s="116"/>
      <c r="BL414" s="196"/>
      <c r="BM414" s="239"/>
      <c r="BN414" s="330"/>
      <c r="BP414" s="330"/>
      <c r="BS414" s="116"/>
      <c r="BU414" s="331"/>
      <c r="BW414" s="116"/>
      <c r="BX414" s="116"/>
      <c r="BZ414" s="330"/>
      <c r="CB414" s="330"/>
      <c r="CC414" s="116"/>
      <c r="CG414" s="242"/>
      <c r="CH414" s="116"/>
      <c r="CI414" s="116"/>
      <c r="CJ414" s="116"/>
      <c r="CL414" s="116"/>
      <c r="CN414" s="239"/>
      <c r="CO414" s="153"/>
      <c r="DM414" s="116"/>
      <c r="DN414" s="116"/>
      <c r="DO414" s="116"/>
      <c r="DP414" s="116"/>
      <c r="DW414" s="116"/>
      <c r="DX414" s="219"/>
      <c r="DY414" s="219"/>
      <c r="DZ414" s="116"/>
      <c r="EA414" s="116"/>
      <c r="EB414" s="116"/>
      <c r="EC414" s="116"/>
      <c r="ED414" s="116"/>
      <c r="EF414" s="332"/>
      <c r="EG414" s="116"/>
      <c r="EH414" s="116"/>
      <c r="EI414" s="116"/>
      <c r="EJ414" s="116"/>
      <c r="EK414" s="116"/>
      <c r="EM414" s="116"/>
      <c r="EN414" s="116"/>
      <c r="EO414" s="116"/>
      <c r="EQ414" s="116"/>
      <c r="ER414" s="116"/>
      <c r="ES414" s="116"/>
      <c r="ET414" s="116"/>
      <c r="EU414" s="116"/>
      <c r="EV414" s="116"/>
      <c r="EX414" s="116"/>
      <c r="EY414" s="116"/>
      <c r="EZ414" s="116"/>
      <c r="FA414" s="116"/>
      <c r="FB414" s="116"/>
    </row>
    <row r="415" spans="5:158" ht="13">
      <c r="E415" s="153"/>
      <c r="T415" s="153"/>
      <c r="BD415" s="31"/>
      <c r="BE415" s="31"/>
      <c r="BF415" s="31"/>
      <c r="BG415" s="31"/>
      <c r="BH415" s="31"/>
      <c r="BI415" s="116"/>
      <c r="BL415" s="196"/>
      <c r="BM415" s="239"/>
      <c r="BN415" s="330"/>
      <c r="BP415" s="330"/>
      <c r="BS415" s="116"/>
      <c r="BU415" s="331"/>
      <c r="BW415" s="116"/>
      <c r="BX415" s="116"/>
      <c r="BZ415" s="330"/>
      <c r="CB415" s="330"/>
      <c r="CC415" s="116"/>
      <c r="CG415" s="242"/>
      <c r="CH415" s="116"/>
      <c r="CI415" s="116"/>
      <c r="CJ415" s="116"/>
      <c r="CL415" s="116"/>
      <c r="CN415" s="239"/>
      <c r="CO415" s="153"/>
      <c r="DM415" s="116"/>
      <c r="DN415" s="116"/>
      <c r="DO415" s="116"/>
      <c r="DP415" s="116"/>
      <c r="DW415" s="116"/>
      <c r="DX415" s="219"/>
      <c r="DY415" s="219"/>
      <c r="DZ415" s="116"/>
      <c r="EA415" s="116"/>
      <c r="EB415" s="116"/>
      <c r="EC415" s="116"/>
      <c r="ED415" s="116"/>
      <c r="EF415" s="332"/>
      <c r="EG415" s="116"/>
      <c r="EH415" s="116"/>
      <c r="EI415" s="116"/>
      <c r="EJ415" s="116"/>
      <c r="EK415" s="116"/>
      <c r="EM415" s="116"/>
      <c r="EN415" s="116"/>
      <c r="EO415" s="116"/>
      <c r="EQ415" s="116"/>
      <c r="ER415" s="116"/>
      <c r="ES415" s="116"/>
      <c r="ET415" s="116"/>
      <c r="EU415" s="116"/>
      <c r="EV415" s="116"/>
      <c r="EX415" s="116"/>
      <c r="EY415" s="116"/>
      <c r="EZ415" s="116"/>
      <c r="FA415" s="116"/>
      <c r="FB415" s="116"/>
    </row>
    <row r="416" spans="5:158" ht="13">
      <c r="E416" s="153"/>
      <c r="T416" s="153"/>
      <c r="BD416" s="31"/>
      <c r="BE416" s="31"/>
      <c r="BF416" s="31"/>
      <c r="BG416" s="31"/>
      <c r="BH416" s="31"/>
      <c r="BI416" s="116"/>
      <c r="BL416" s="196"/>
      <c r="BM416" s="239"/>
      <c r="BN416" s="330"/>
      <c r="BP416" s="330"/>
      <c r="BS416" s="116"/>
      <c r="BU416" s="331"/>
      <c r="BW416" s="116"/>
      <c r="BX416" s="116"/>
      <c r="BZ416" s="330"/>
      <c r="CB416" s="330"/>
      <c r="CC416" s="116"/>
      <c r="CG416" s="242"/>
      <c r="CH416" s="116"/>
      <c r="CI416" s="116"/>
      <c r="CJ416" s="116"/>
      <c r="CL416" s="116"/>
      <c r="CN416" s="239"/>
      <c r="CO416" s="153"/>
      <c r="DM416" s="116"/>
      <c r="DN416" s="116"/>
      <c r="DO416" s="116"/>
      <c r="DP416" s="116"/>
      <c r="DW416" s="116"/>
      <c r="DX416" s="219"/>
      <c r="DY416" s="219"/>
      <c r="DZ416" s="116"/>
      <c r="EA416" s="116"/>
      <c r="EB416" s="116"/>
      <c r="EC416" s="116"/>
      <c r="ED416" s="116"/>
      <c r="EF416" s="332"/>
      <c r="EG416" s="116"/>
      <c r="EH416" s="116"/>
      <c r="EI416" s="116"/>
      <c r="EJ416" s="116"/>
      <c r="EK416" s="116"/>
      <c r="EM416" s="116"/>
      <c r="EN416" s="116"/>
      <c r="EO416" s="116"/>
      <c r="EQ416" s="116"/>
      <c r="ER416" s="116"/>
      <c r="ES416" s="116"/>
      <c r="ET416" s="116"/>
      <c r="EU416" s="116"/>
      <c r="EV416" s="116"/>
      <c r="EX416" s="116"/>
      <c r="EY416" s="116"/>
      <c r="EZ416" s="116"/>
      <c r="FA416" s="116"/>
      <c r="FB416" s="116"/>
    </row>
    <row r="417" spans="5:158" ht="13">
      <c r="E417" s="153"/>
      <c r="T417" s="153"/>
      <c r="BD417" s="31"/>
      <c r="BE417" s="31"/>
      <c r="BF417" s="31"/>
      <c r="BG417" s="31"/>
      <c r="BH417" s="31"/>
      <c r="BI417" s="116"/>
      <c r="BL417" s="196"/>
      <c r="BM417" s="239"/>
      <c r="BN417" s="330"/>
      <c r="BP417" s="330"/>
      <c r="BS417" s="116"/>
      <c r="BU417" s="331"/>
      <c r="BW417" s="116"/>
      <c r="BX417" s="116"/>
      <c r="BZ417" s="330"/>
      <c r="CB417" s="330"/>
      <c r="CC417" s="116"/>
      <c r="CG417" s="242"/>
      <c r="CH417" s="116"/>
      <c r="CI417" s="116"/>
      <c r="CJ417" s="116"/>
      <c r="CL417" s="116"/>
      <c r="CN417" s="239"/>
      <c r="CO417" s="153"/>
      <c r="DM417" s="116"/>
      <c r="DN417" s="116"/>
      <c r="DO417" s="116"/>
      <c r="DP417" s="116"/>
      <c r="DW417" s="116"/>
      <c r="DX417" s="219"/>
      <c r="DY417" s="219"/>
      <c r="DZ417" s="116"/>
      <c r="EA417" s="116"/>
      <c r="EB417" s="116"/>
      <c r="EC417" s="116"/>
      <c r="ED417" s="116"/>
      <c r="EF417" s="332"/>
      <c r="EG417" s="116"/>
      <c r="EH417" s="116"/>
      <c r="EI417" s="116"/>
      <c r="EJ417" s="116"/>
      <c r="EK417" s="116"/>
      <c r="EM417" s="116"/>
      <c r="EN417" s="116"/>
      <c r="EO417" s="116"/>
      <c r="EQ417" s="116"/>
      <c r="ER417" s="116"/>
      <c r="ES417" s="116"/>
      <c r="ET417" s="116"/>
      <c r="EU417" s="116"/>
      <c r="EV417" s="116"/>
      <c r="EX417" s="116"/>
      <c r="EY417" s="116"/>
      <c r="EZ417" s="116"/>
      <c r="FA417" s="116"/>
      <c r="FB417" s="116"/>
    </row>
    <row r="418" spans="5:158" ht="13">
      <c r="E418" s="153"/>
      <c r="T418" s="153"/>
      <c r="BD418" s="31"/>
      <c r="BE418" s="31"/>
      <c r="BF418" s="31"/>
      <c r="BG418" s="31"/>
      <c r="BH418" s="31"/>
      <c r="BI418" s="116"/>
      <c r="BL418" s="196"/>
      <c r="BM418" s="239"/>
      <c r="BN418" s="330"/>
      <c r="BP418" s="330"/>
      <c r="BS418" s="116"/>
      <c r="BU418" s="331"/>
      <c r="BW418" s="116"/>
      <c r="BX418" s="116"/>
      <c r="BZ418" s="330"/>
      <c r="CB418" s="330"/>
      <c r="CC418" s="116"/>
      <c r="CG418" s="242"/>
      <c r="CH418" s="116"/>
      <c r="CI418" s="116"/>
      <c r="CJ418" s="116"/>
      <c r="CL418" s="116"/>
      <c r="CN418" s="239"/>
      <c r="CO418" s="153"/>
      <c r="DM418" s="116"/>
      <c r="DN418" s="116"/>
      <c r="DO418" s="116"/>
      <c r="DP418" s="116"/>
      <c r="DW418" s="116"/>
      <c r="DX418" s="219"/>
      <c r="DY418" s="219"/>
      <c r="DZ418" s="116"/>
      <c r="EA418" s="116"/>
      <c r="EB418" s="116"/>
      <c r="EC418" s="116"/>
      <c r="ED418" s="116"/>
      <c r="EF418" s="332"/>
      <c r="EG418" s="116"/>
      <c r="EH418" s="116"/>
      <c r="EI418" s="116"/>
      <c r="EJ418" s="116"/>
      <c r="EK418" s="116"/>
      <c r="EM418" s="116"/>
      <c r="EN418" s="116"/>
      <c r="EO418" s="116"/>
      <c r="EQ418" s="116"/>
      <c r="ER418" s="116"/>
      <c r="ES418" s="116"/>
      <c r="ET418" s="116"/>
      <c r="EU418" s="116"/>
      <c r="EV418" s="116"/>
      <c r="EX418" s="116"/>
      <c r="EY418" s="116"/>
      <c r="EZ418" s="116"/>
      <c r="FA418" s="116"/>
      <c r="FB418" s="116"/>
    </row>
    <row r="419" spans="5:158" ht="13">
      <c r="E419" s="153"/>
      <c r="T419" s="153"/>
      <c r="BD419" s="31"/>
      <c r="BE419" s="31"/>
      <c r="BF419" s="31"/>
      <c r="BG419" s="31"/>
      <c r="BH419" s="31"/>
      <c r="BI419" s="116"/>
      <c r="BL419" s="196"/>
      <c r="BM419" s="239"/>
      <c r="BN419" s="330"/>
      <c r="BP419" s="330"/>
      <c r="BS419" s="116"/>
      <c r="BU419" s="331"/>
      <c r="BW419" s="116"/>
      <c r="BX419" s="116"/>
      <c r="BZ419" s="330"/>
      <c r="CB419" s="330"/>
      <c r="CC419" s="116"/>
      <c r="CG419" s="242"/>
      <c r="CH419" s="116"/>
      <c r="CI419" s="116"/>
      <c r="CJ419" s="116"/>
      <c r="CL419" s="116"/>
      <c r="CN419" s="239"/>
      <c r="CO419" s="153"/>
      <c r="DM419" s="116"/>
      <c r="DN419" s="116"/>
      <c r="DO419" s="116"/>
      <c r="DP419" s="116"/>
      <c r="DW419" s="116"/>
      <c r="DX419" s="219"/>
      <c r="DY419" s="219"/>
      <c r="DZ419" s="116"/>
      <c r="EA419" s="116"/>
      <c r="EB419" s="116"/>
      <c r="EC419" s="116"/>
      <c r="ED419" s="116"/>
      <c r="EF419" s="332"/>
      <c r="EG419" s="116"/>
      <c r="EH419" s="116"/>
      <c r="EI419" s="116"/>
      <c r="EJ419" s="116"/>
      <c r="EK419" s="116"/>
      <c r="EM419" s="116"/>
      <c r="EN419" s="116"/>
      <c r="EO419" s="116"/>
      <c r="EQ419" s="116"/>
      <c r="ER419" s="116"/>
      <c r="ES419" s="116"/>
      <c r="ET419" s="116"/>
      <c r="EU419" s="116"/>
      <c r="EV419" s="116"/>
      <c r="EX419" s="116"/>
      <c r="EY419" s="116"/>
      <c r="EZ419" s="116"/>
      <c r="FA419" s="116"/>
      <c r="FB419" s="116"/>
    </row>
    <row r="420" spans="5:158" ht="13">
      <c r="E420" s="153"/>
      <c r="T420" s="153"/>
      <c r="BD420" s="31"/>
      <c r="BE420" s="31"/>
      <c r="BF420" s="31"/>
      <c r="BG420" s="31"/>
      <c r="BH420" s="31"/>
      <c r="BI420" s="116"/>
      <c r="BL420" s="196"/>
      <c r="BM420" s="239"/>
      <c r="BN420" s="330"/>
      <c r="BP420" s="330"/>
      <c r="BS420" s="116"/>
      <c r="BU420" s="331"/>
      <c r="BW420" s="116"/>
      <c r="BX420" s="116"/>
      <c r="BZ420" s="330"/>
      <c r="CB420" s="330"/>
      <c r="CC420" s="116"/>
      <c r="CG420" s="242"/>
      <c r="CH420" s="116"/>
      <c r="CI420" s="116"/>
      <c r="CJ420" s="116"/>
      <c r="CL420" s="116"/>
      <c r="CN420" s="239"/>
      <c r="CO420" s="153"/>
      <c r="DM420" s="116"/>
      <c r="DN420" s="116"/>
      <c r="DO420" s="116"/>
      <c r="DP420" s="116"/>
      <c r="DW420" s="116"/>
      <c r="DX420" s="219"/>
      <c r="DY420" s="219"/>
      <c r="DZ420" s="116"/>
      <c r="EA420" s="116"/>
      <c r="EB420" s="116"/>
      <c r="EC420" s="116"/>
      <c r="ED420" s="116"/>
      <c r="EF420" s="332"/>
      <c r="EG420" s="116"/>
      <c r="EH420" s="116"/>
      <c r="EI420" s="116"/>
      <c r="EJ420" s="116"/>
      <c r="EK420" s="116"/>
      <c r="EM420" s="116"/>
      <c r="EN420" s="116"/>
      <c r="EO420" s="116"/>
      <c r="EQ420" s="116"/>
      <c r="ER420" s="116"/>
      <c r="ES420" s="116"/>
      <c r="ET420" s="116"/>
      <c r="EU420" s="116"/>
      <c r="EV420" s="116"/>
      <c r="EX420" s="116"/>
      <c r="EY420" s="116"/>
      <c r="EZ420" s="116"/>
      <c r="FA420" s="116"/>
      <c r="FB420" s="116"/>
    </row>
    <row r="421" spans="5:158" ht="13">
      <c r="E421" s="153"/>
      <c r="T421" s="153"/>
      <c r="BD421" s="31"/>
      <c r="BE421" s="31"/>
      <c r="BF421" s="31"/>
      <c r="BG421" s="31"/>
      <c r="BH421" s="31"/>
      <c r="BI421" s="116"/>
      <c r="BL421" s="196"/>
      <c r="BM421" s="239"/>
      <c r="BN421" s="330"/>
      <c r="BP421" s="330"/>
      <c r="BS421" s="116"/>
      <c r="BU421" s="331"/>
      <c r="BW421" s="116"/>
      <c r="BX421" s="116"/>
      <c r="BZ421" s="330"/>
      <c r="CB421" s="330"/>
      <c r="CC421" s="116"/>
      <c r="CG421" s="242"/>
      <c r="CH421" s="116"/>
      <c r="CI421" s="116"/>
      <c r="CJ421" s="116"/>
      <c r="CL421" s="116"/>
      <c r="CN421" s="239"/>
      <c r="CO421" s="153"/>
      <c r="DM421" s="116"/>
      <c r="DN421" s="116"/>
      <c r="DO421" s="116"/>
      <c r="DP421" s="116"/>
      <c r="DW421" s="116"/>
      <c r="DX421" s="219"/>
      <c r="DY421" s="219"/>
      <c r="DZ421" s="116"/>
      <c r="EA421" s="116"/>
      <c r="EB421" s="116"/>
      <c r="EC421" s="116"/>
      <c r="ED421" s="116"/>
      <c r="EF421" s="332"/>
      <c r="EG421" s="116"/>
      <c r="EH421" s="116"/>
      <c r="EI421" s="116"/>
      <c r="EJ421" s="116"/>
      <c r="EK421" s="116"/>
      <c r="EM421" s="116"/>
      <c r="EN421" s="116"/>
      <c r="EO421" s="116"/>
      <c r="EQ421" s="116"/>
      <c r="ER421" s="116"/>
      <c r="ES421" s="116"/>
      <c r="ET421" s="116"/>
      <c r="EU421" s="116"/>
      <c r="EV421" s="116"/>
      <c r="EX421" s="116"/>
      <c r="EY421" s="116"/>
      <c r="EZ421" s="116"/>
      <c r="FA421" s="116"/>
      <c r="FB421" s="116"/>
    </row>
    <row r="422" spans="5:158" ht="13">
      <c r="E422" s="153"/>
      <c r="T422" s="153"/>
      <c r="BD422" s="31"/>
      <c r="BE422" s="31"/>
      <c r="BF422" s="31"/>
      <c r="BG422" s="31"/>
      <c r="BH422" s="31"/>
      <c r="BI422" s="116"/>
      <c r="BL422" s="196"/>
      <c r="BM422" s="239"/>
      <c r="BN422" s="330"/>
      <c r="BP422" s="330"/>
      <c r="BS422" s="116"/>
      <c r="BU422" s="331"/>
      <c r="BW422" s="116"/>
      <c r="BX422" s="116"/>
      <c r="BZ422" s="330"/>
      <c r="CB422" s="330"/>
      <c r="CC422" s="116"/>
      <c r="CG422" s="242"/>
      <c r="CH422" s="116"/>
      <c r="CI422" s="116"/>
      <c r="CJ422" s="116"/>
      <c r="CL422" s="116"/>
      <c r="CN422" s="239"/>
      <c r="CO422" s="153"/>
      <c r="DM422" s="116"/>
      <c r="DN422" s="116"/>
      <c r="DO422" s="116"/>
      <c r="DP422" s="116"/>
      <c r="DW422" s="116"/>
      <c r="DX422" s="219"/>
      <c r="DY422" s="219"/>
      <c r="DZ422" s="116"/>
      <c r="EA422" s="116"/>
      <c r="EB422" s="116"/>
      <c r="EC422" s="116"/>
      <c r="ED422" s="116"/>
      <c r="EF422" s="332"/>
      <c r="EG422" s="116"/>
      <c r="EH422" s="116"/>
      <c r="EI422" s="116"/>
      <c r="EJ422" s="116"/>
      <c r="EK422" s="116"/>
      <c r="EM422" s="116"/>
      <c r="EN422" s="116"/>
      <c r="EO422" s="116"/>
      <c r="EQ422" s="116"/>
      <c r="ER422" s="116"/>
      <c r="ES422" s="116"/>
      <c r="ET422" s="116"/>
      <c r="EU422" s="116"/>
      <c r="EV422" s="116"/>
      <c r="EX422" s="116"/>
      <c r="EY422" s="116"/>
      <c r="EZ422" s="116"/>
      <c r="FA422" s="116"/>
      <c r="FB422" s="116"/>
    </row>
    <row r="423" spans="5:158" ht="13">
      <c r="E423" s="153"/>
      <c r="T423" s="153"/>
      <c r="BD423" s="31"/>
      <c r="BE423" s="31"/>
      <c r="BF423" s="31"/>
      <c r="BG423" s="31"/>
      <c r="BH423" s="31"/>
      <c r="BI423" s="116"/>
      <c r="BL423" s="196"/>
      <c r="BM423" s="239"/>
      <c r="BN423" s="330"/>
      <c r="BP423" s="330"/>
      <c r="BS423" s="116"/>
      <c r="BU423" s="331"/>
      <c r="BW423" s="116"/>
      <c r="BX423" s="116"/>
      <c r="BZ423" s="330"/>
      <c r="CB423" s="330"/>
      <c r="CC423" s="116"/>
      <c r="CG423" s="242"/>
      <c r="CH423" s="116"/>
      <c r="CI423" s="116"/>
      <c r="CJ423" s="116"/>
      <c r="CL423" s="116"/>
      <c r="CN423" s="239"/>
      <c r="CO423" s="153"/>
      <c r="DM423" s="116"/>
      <c r="DN423" s="116"/>
      <c r="DO423" s="116"/>
      <c r="DP423" s="116"/>
      <c r="DW423" s="116"/>
      <c r="DX423" s="219"/>
      <c r="DY423" s="219"/>
      <c r="DZ423" s="116"/>
      <c r="EA423" s="116"/>
      <c r="EB423" s="116"/>
      <c r="EC423" s="116"/>
      <c r="ED423" s="116"/>
      <c r="EF423" s="332"/>
      <c r="EG423" s="116"/>
      <c r="EH423" s="116"/>
      <c r="EI423" s="116"/>
      <c r="EJ423" s="116"/>
      <c r="EK423" s="116"/>
      <c r="EM423" s="116"/>
      <c r="EN423" s="116"/>
      <c r="EO423" s="116"/>
      <c r="EQ423" s="116"/>
      <c r="ER423" s="116"/>
      <c r="ES423" s="116"/>
      <c r="ET423" s="116"/>
      <c r="EU423" s="116"/>
      <c r="EV423" s="116"/>
      <c r="EX423" s="116"/>
      <c r="EY423" s="116"/>
      <c r="EZ423" s="116"/>
      <c r="FA423" s="116"/>
      <c r="FB423" s="116"/>
    </row>
    <row r="424" spans="5:158" ht="13">
      <c r="E424" s="153"/>
      <c r="T424" s="153"/>
      <c r="BD424" s="31"/>
      <c r="BE424" s="31"/>
      <c r="BF424" s="31"/>
      <c r="BG424" s="31"/>
      <c r="BH424" s="31"/>
      <c r="BI424" s="116"/>
      <c r="BL424" s="196"/>
      <c r="BM424" s="239"/>
      <c r="BN424" s="330"/>
      <c r="BP424" s="330"/>
      <c r="BS424" s="116"/>
      <c r="BU424" s="331"/>
      <c r="BW424" s="116"/>
      <c r="BX424" s="116"/>
      <c r="BZ424" s="330"/>
      <c r="CB424" s="330"/>
      <c r="CC424" s="116"/>
      <c r="CG424" s="242"/>
      <c r="CH424" s="116"/>
      <c r="CI424" s="116"/>
      <c r="CJ424" s="116"/>
      <c r="CL424" s="116"/>
      <c r="CN424" s="239"/>
      <c r="CO424" s="153"/>
      <c r="DM424" s="116"/>
      <c r="DN424" s="116"/>
      <c r="DO424" s="116"/>
      <c r="DP424" s="116"/>
      <c r="DW424" s="116"/>
      <c r="DX424" s="219"/>
      <c r="DY424" s="219"/>
      <c r="DZ424" s="116"/>
      <c r="EA424" s="116"/>
      <c r="EB424" s="116"/>
      <c r="EC424" s="116"/>
      <c r="ED424" s="116"/>
      <c r="EF424" s="332"/>
      <c r="EG424" s="116"/>
      <c r="EH424" s="116"/>
      <c r="EI424" s="116"/>
      <c r="EJ424" s="116"/>
      <c r="EK424" s="116"/>
      <c r="EM424" s="116"/>
      <c r="EN424" s="116"/>
      <c r="EO424" s="116"/>
      <c r="EQ424" s="116"/>
      <c r="ER424" s="116"/>
      <c r="ES424" s="116"/>
      <c r="ET424" s="116"/>
      <c r="EU424" s="116"/>
      <c r="EV424" s="116"/>
      <c r="EX424" s="116"/>
      <c r="EY424" s="116"/>
      <c r="EZ424" s="116"/>
      <c r="FA424" s="116"/>
      <c r="FB424" s="116"/>
    </row>
    <row r="425" spans="5:158" ht="13">
      <c r="E425" s="153"/>
      <c r="T425" s="153"/>
      <c r="BD425" s="31"/>
      <c r="BE425" s="31"/>
      <c r="BF425" s="31"/>
      <c r="BG425" s="31"/>
      <c r="BH425" s="31"/>
      <c r="BI425" s="116"/>
      <c r="BL425" s="196"/>
      <c r="BM425" s="239"/>
      <c r="BN425" s="330"/>
      <c r="BP425" s="330"/>
      <c r="BS425" s="116"/>
      <c r="BU425" s="331"/>
      <c r="BW425" s="116"/>
      <c r="BX425" s="116"/>
      <c r="BZ425" s="330"/>
      <c r="CB425" s="330"/>
      <c r="CC425" s="116"/>
      <c r="CG425" s="242"/>
      <c r="CH425" s="116"/>
      <c r="CI425" s="116"/>
      <c r="CJ425" s="116"/>
      <c r="CL425" s="116"/>
      <c r="CN425" s="239"/>
      <c r="CO425" s="153"/>
      <c r="DM425" s="116"/>
      <c r="DN425" s="116"/>
      <c r="DO425" s="116"/>
      <c r="DP425" s="116"/>
      <c r="DW425" s="116"/>
      <c r="DX425" s="219"/>
      <c r="DY425" s="219"/>
      <c r="DZ425" s="116"/>
      <c r="EA425" s="116"/>
      <c r="EB425" s="116"/>
      <c r="EC425" s="116"/>
      <c r="ED425" s="116"/>
      <c r="EF425" s="332"/>
      <c r="EG425" s="116"/>
      <c r="EH425" s="116"/>
      <c r="EI425" s="116"/>
      <c r="EJ425" s="116"/>
      <c r="EK425" s="116"/>
      <c r="EM425" s="116"/>
      <c r="EN425" s="116"/>
      <c r="EO425" s="116"/>
      <c r="EQ425" s="116"/>
      <c r="ER425" s="116"/>
      <c r="ES425" s="116"/>
      <c r="ET425" s="116"/>
      <c r="EU425" s="116"/>
      <c r="EV425" s="116"/>
      <c r="EX425" s="116"/>
      <c r="EY425" s="116"/>
      <c r="EZ425" s="116"/>
      <c r="FA425" s="116"/>
      <c r="FB425" s="116"/>
    </row>
    <row r="426" spans="5:158" ht="13">
      <c r="E426" s="153"/>
      <c r="T426" s="153"/>
      <c r="BD426" s="31"/>
      <c r="BE426" s="31"/>
      <c r="BF426" s="31"/>
      <c r="BG426" s="31"/>
      <c r="BH426" s="31"/>
      <c r="BI426" s="116"/>
      <c r="BL426" s="196"/>
      <c r="BM426" s="239"/>
      <c r="BN426" s="330"/>
      <c r="BP426" s="330"/>
      <c r="BS426" s="116"/>
      <c r="BU426" s="331"/>
      <c r="BW426" s="116"/>
      <c r="BX426" s="116"/>
      <c r="BZ426" s="330"/>
      <c r="CB426" s="330"/>
      <c r="CC426" s="116"/>
      <c r="CG426" s="242"/>
      <c r="CH426" s="116"/>
      <c r="CI426" s="116"/>
      <c r="CJ426" s="116"/>
      <c r="CL426" s="116"/>
      <c r="CN426" s="239"/>
      <c r="CO426" s="153"/>
      <c r="DM426" s="116"/>
      <c r="DN426" s="116"/>
      <c r="DO426" s="116"/>
      <c r="DP426" s="116"/>
      <c r="DW426" s="116"/>
      <c r="DX426" s="219"/>
      <c r="DY426" s="219"/>
      <c r="DZ426" s="116"/>
      <c r="EA426" s="116"/>
      <c r="EB426" s="116"/>
      <c r="EC426" s="116"/>
      <c r="ED426" s="116"/>
      <c r="EF426" s="332"/>
      <c r="EG426" s="116"/>
      <c r="EH426" s="116"/>
      <c r="EI426" s="116"/>
      <c r="EJ426" s="116"/>
      <c r="EK426" s="116"/>
      <c r="EM426" s="116"/>
      <c r="EN426" s="116"/>
      <c r="EO426" s="116"/>
      <c r="EQ426" s="116"/>
      <c r="ER426" s="116"/>
      <c r="ES426" s="116"/>
      <c r="ET426" s="116"/>
      <c r="EU426" s="116"/>
      <c r="EV426" s="116"/>
      <c r="EX426" s="116"/>
      <c r="EY426" s="116"/>
      <c r="EZ426" s="116"/>
      <c r="FA426" s="116"/>
      <c r="FB426" s="116"/>
    </row>
    <row r="427" spans="5:158" ht="13">
      <c r="E427" s="153"/>
      <c r="T427" s="153"/>
      <c r="BD427" s="31"/>
      <c r="BE427" s="31"/>
      <c r="BF427" s="31"/>
      <c r="BG427" s="31"/>
      <c r="BH427" s="31"/>
      <c r="BI427" s="116"/>
      <c r="BL427" s="196"/>
      <c r="BM427" s="239"/>
      <c r="BN427" s="330"/>
      <c r="BP427" s="330"/>
      <c r="BS427" s="116"/>
      <c r="BU427" s="331"/>
      <c r="BW427" s="116"/>
      <c r="BX427" s="116"/>
      <c r="BZ427" s="330"/>
      <c r="CB427" s="330"/>
      <c r="CC427" s="116"/>
      <c r="CG427" s="242"/>
      <c r="CH427" s="116"/>
      <c r="CI427" s="116"/>
      <c r="CJ427" s="116"/>
      <c r="CL427" s="116"/>
      <c r="CN427" s="239"/>
      <c r="CO427" s="153"/>
      <c r="DM427" s="116"/>
      <c r="DN427" s="116"/>
      <c r="DO427" s="116"/>
      <c r="DP427" s="116"/>
      <c r="DW427" s="116"/>
      <c r="DX427" s="219"/>
      <c r="DY427" s="219"/>
      <c r="DZ427" s="116"/>
      <c r="EA427" s="116"/>
      <c r="EB427" s="116"/>
      <c r="EC427" s="116"/>
      <c r="ED427" s="116"/>
      <c r="EF427" s="332"/>
      <c r="EG427" s="116"/>
      <c r="EH427" s="116"/>
      <c r="EI427" s="116"/>
      <c r="EJ427" s="116"/>
      <c r="EK427" s="116"/>
      <c r="EM427" s="116"/>
      <c r="EN427" s="116"/>
      <c r="EO427" s="116"/>
      <c r="EQ427" s="116"/>
      <c r="ER427" s="116"/>
      <c r="ES427" s="116"/>
      <c r="ET427" s="116"/>
      <c r="EU427" s="116"/>
      <c r="EV427" s="116"/>
      <c r="EX427" s="116"/>
      <c r="EY427" s="116"/>
      <c r="EZ427" s="116"/>
      <c r="FA427" s="116"/>
      <c r="FB427" s="116"/>
    </row>
    <row r="428" spans="5:158" ht="13">
      <c r="E428" s="153"/>
      <c r="T428" s="153"/>
      <c r="BD428" s="31"/>
      <c r="BE428" s="31"/>
      <c r="BF428" s="31"/>
      <c r="BG428" s="31"/>
      <c r="BH428" s="31"/>
      <c r="BI428" s="116"/>
      <c r="BL428" s="196"/>
      <c r="BM428" s="239"/>
      <c r="BN428" s="330"/>
      <c r="BP428" s="330"/>
      <c r="BS428" s="116"/>
      <c r="BU428" s="331"/>
      <c r="BW428" s="116"/>
      <c r="BX428" s="116"/>
      <c r="BZ428" s="330"/>
      <c r="CB428" s="330"/>
      <c r="CC428" s="116"/>
      <c r="CG428" s="242"/>
      <c r="CH428" s="116"/>
      <c r="CI428" s="116"/>
      <c r="CJ428" s="116"/>
      <c r="CL428" s="116"/>
      <c r="CN428" s="239"/>
      <c r="CO428" s="153"/>
      <c r="DM428" s="116"/>
      <c r="DN428" s="116"/>
      <c r="DO428" s="116"/>
      <c r="DP428" s="116"/>
      <c r="DW428" s="116"/>
      <c r="DX428" s="219"/>
      <c r="DY428" s="219"/>
      <c r="DZ428" s="116"/>
      <c r="EA428" s="116"/>
      <c r="EB428" s="116"/>
      <c r="EC428" s="116"/>
      <c r="ED428" s="116"/>
      <c r="EF428" s="332"/>
      <c r="EG428" s="116"/>
      <c r="EH428" s="116"/>
      <c r="EI428" s="116"/>
      <c r="EJ428" s="116"/>
      <c r="EK428" s="116"/>
      <c r="EM428" s="116"/>
      <c r="EN428" s="116"/>
      <c r="EO428" s="116"/>
      <c r="EQ428" s="116"/>
      <c r="ER428" s="116"/>
      <c r="ES428" s="116"/>
      <c r="ET428" s="116"/>
      <c r="EU428" s="116"/>
      <c r="EV428" s="116"/>
      <c r="EX428" s="116"/>
      <c r="EY428" s="116"/>
      <c r="EZ428" s="116"/>
      <c r="FA428" s="116"/>
      <c r="FB428" s="116"/>
    </row>
    <row r="429" spans="5:158" ht="13">
      <c r="E429" s="153"/>
      <c r="T429" s="153"/>
      <c r="BD429" s="31"/>
      <c r="BE429" s="31"/>
      <c r="BF429" s="31"/>
      <c r="BG429" s="31"/>
      <c r="BH429" s="31"/>
      <c r="BI429" s="116"/>
      <c r="BL429" s="196"/>
      <c r="BM429" s="239"/>
      <c r="BN429" s="330"/>
      <c r="BP429" s="330"/>
      <c r="BS429" s="116"/>
      <c r="BU429" s="331"/>
      <c r="BW429" s="116"/>
      <c r="BX429" s="116"/>
      <c r="BZ429" s="330"/>
      <c r="CB429" s="330"/>
      <c r="CC429" s="116"/>
      <c r="CG429" s="242"/>
      <c r="CH429" s="116"/>
      <c r="CI429" s="116"/>
      <c r="CJ429" s="116"/>
      <c r="CL429" s="116"/>
      <c r="CN429" s="239"/>
      <c r="CO429" s="153"/>
      <c r="DM429" s="116"/>
      <c r="DN429" s="116"/>
      <c r="DO429" s="116"/>
      <c r="DP429" s="116"/>
      <c r="DW429" s="116"/>
      <c r="DX429" s="219"/>
      <c r="DY429" s="219"/>
      <c r="DZ429" s="116"/>
      <c r="EA429" s="116"/>
      <c r="EB429" s="116"/>
      <c r="EC429" s="116"/>
      <c r="ED429" s="116"/>
      <c r="EF429" s="332"/>
      <c r="EG429" s="116"/>
      <c r="EH429" s="116"/>
      <c r="EI429" s="116"/>
      <c r="EJ429" s="116"/>
      <c r="EK429" s="116"/>
      <c r="EM429" s="116"/>
      <c r="EN429" s="116"/>
      <c r="EO429" s="116"/>
      <c r="EQ429" s="116"/>
      <c r="ER429" s="116"/>
      <c r="ES429" s="116"/>
      <c r="ET429" s="116"/>
      <c r="EU429" s="116"/>
      <c r="EV429" s="116"/>
      <c r="EX429" s="116"/>
      <c r="EY429" s="116"/>
      <c r="EZ429" s="116"/>
      <c r="FA429" s="116"/>
      <c r="FB429" s="116"/>
    </row>
    <row r="430" spans="5:158" ht="13">
      <c r="E430" s="153"/>
      <c r="T430" s="153"/>
      <c r="BD430" s="31"/>
      <c r="BE430" s="31"/>
      <c r="BF430" s="31"/>
      <c r="BG430" s="31"/>
      <c r="BH430" s="31"/>
      <c r="BI430" s="116"/>
      <c r="BL430" s="196"/>
      <c r="BM430" s="239"/>
      <c r="BN430" s="330"/>
      <c r="BP430" s="330"/>
      <c r="BS430" s="116"/>
      <c r="BU430" s="331"/>
      <c r="BW430" s="116"/>
      <c r="BX430" s="116"/>
      <c r="BZ430" s="330"/>
      <c r="CB430" s="330"/>
      <c r="CC430" s="116"/>
      <c r="CG430" s="242"/>
      <c r="CH430" s="116"/>
      <c r="CI430" s="116"/>
      <c r="CJ430" s="116"/>
      <c r="CL430" s="116"/>
      <c r="CN430" s="239"/>
      <c r="CO430" s="153"/>
      <c r="DM430" s="116"/>
      <c r="DN430" s="116"/>
      <c r="DO430" s="116"/>
      <c r="DP430" s="116"/>
      <c r="DW430" s="116"/>
      <c r="DX430" s="219"/>
      <c r="DY430" s="219"/>
      <c r="DZ430" s="116"/>
      <c r="EA430" s="116"/>
      <c r="EB430" s="116"/>
      <c r="EC430" s="116"/>
      <c r="ED430" s="116"/>
      <c r="EF430" s="332"/>
      <c r="EG430" s="116"/>
      <c r="EH430" s="116"/>
      <c r="EI430" s="116"/>
      <c r="EJ430" s="116"/>
      <c r="EK430" s="116"/>
      <c r="EM430" s="116"/>
      <c r="EN430" s="116"/>
      <c r="EO430" s="116"/>
      <c r="EQ430" s="116"/>
      <c r="ER430" s="116"/>
      <c r="ES430" s="116"/>
      <c r="ET430" s="116"/>
      <c r="EU430" s="116"/>
      <c r="EV430" s="116"/>
      <c r="EX430" s="116"/>
      <c r="EY430" s="116"/>
      <c r="EZ430" s="116"/>
      <c r="FA430" s="116"/>
      <c r="FB430" s="116"/>
    </row>
    <row r="431" spans="5:158" ht="13">
      <c r="E431" s="153"/>
      <c r="T431" s="153"/>
      <c r="BD431" s="31"/>
      <c r="BE431" s="31"/>
      <c r="BF431" s="31"/>
      <c r="BG431" s="31"/>
      <c r="BH431" s="31"/>
      <c r="BI431" s="116"/>
      <c r="BL431" s="196"/>
      <c r="BM431" s="239"/>
      <c r="BN431" s="330"/>
      <c r="BP431" s="330"/>
      <c r="BS431" s="116"/>
      <c r="BU431" s="331"/>
      <c r="BW431" s="116"/>
      <c r="BX431" s="116"/>
      <c r="BZ431" s="330"/>
      <c r="CB431" s="330"/>
      <c r="CC431" s="116"/>
      <c r="CG431" s="242"/>
      <c r="CH431" s="116"/>
      <c r="CI431" s="116"/>
      <c r="CJ431" s="116"/>
      <c r="CL431" s="116"/>
      <c r="CN431" s="239"/>
      <c r="CO431" s="153"/>
      <c r="DM431" s="116"/>
      <c r="DN431" s="116"/>
      <c r="DO431" s="116"/>
      <c r="DP431" s="116"/>
      <c r="DW431" s="116"/>
      <c r="DX431" s="219"/>
      <c r="DY431" s="219"/>
      <c r="DZ431" s="116"/>
      <c r="EA431" s="116"/>
      <c r="EB431" s="116"/>
      <c r="EC431" s="116"/>
      <c r="ED431" s="116"/>
      <c r="EF431" s="332"/>
      <c r="EG431" s="116"/>
      <c r="EH431" s="116"/>
      <c r="EI431" s="116"/>
      <c r="EJ431" s="116"/>
      <c r="EK431" s="116"/>
      <c r="EM431" s="116"/>
      <c r="EN431" s="116"/>
      <c r="EO431" s="116"/>
      <c r="EQ431" s="116"/>
      <c r="ER431" s="116"/>
      <c r="ES431" s="116"/>
      <c r="ET431" s="116"/>
      <c r="EU431" s="116"/>
      <c r="EV431" s="116"/>
      <c r="EX431" s="116"/>
      <c r="EY431" s="116"/>
      <c r="EZ431" s="116"/>
      <c r="FA431" s="116"/>
      <c r="FB431" s="116"/>
    </row>
    <row r="432" spans="5:158" ht="13">
      <c r="E432" s="153"/>
      <c r="T432" s="153"/>
      <c r="BD432" s="31"/>
      <c r="BE432" s="31"/>
      <c r="BF432" s="31"/>
      <c r="BG432" s="31"/>
      <c r="BH432" s="31"/>
      <c r="BI432" s="116"/>
      <c r="BL432" s="196"/>
      <c r="BM432" s="239"/>
      <c r="BN432" s="330"/>
      <c r="BP432" s="330"/>
      <c r="BS432" s="116"/>
      <c r="BU432" s="331"/>
      <c r="BW432" s="116"/>
      <c r="BX432" s="116"/>
      <c r="BZ432" s="330"/>
      <c r="CB432" s="330"/>
      <c r="CC432" s="116"/>
      <c r="CG432" s="242"/>
      <c r="CH432" s="116"/>
      <c r="CI432" s="116"/>
      <c r="CJ432" s="116"/>
      <c r="CL432" s="116"/>
      <c r="CN432" s="239"/>
      <c r="CO432" s="153"/>
      <c r="DM432" s="116"/>
      <c r="DN432" s="116"/>
      <c r="DO432" s="116"/>
      <c r="DP432" s="116"/>
      <c r="DW432" s="116"/>
      <c r="DX432" s="219"/>
      <c r="DY432" s="219"/>
      <c r="DZ432" s="116"/>
      <c r="EA432" s="116"/>
      <c r="EB432" s="116"/>
      <c r="EC432" s="116"/>
      <c r="ED432" s="116"/>
      <c r="EF432" s="332"/>
      <c r="EG432" s="116"/>
      <c r="EH432" s="116"/>
      <c r="EI432" s="116"/>
      <c r="EJ432" s="116"/>
      <c r="EK432" s="116"/>
      <c r="EM432" s="116"/>
      <c r="EN432" s="116"/>
      <c r="EO432" s="116"/>
      <c r="EQ432" s="116"/>
      <c r="ER432" s="116"/>
      <c r="ES432" s="116"/>
      <c r="ET432" s="116"/>
      <c r="EU432" s="116"/>
      <c r="EV432" s="116"/>
      <c r="EX432" s="116"/>
      <c r="EY432" s="116"/>
      <c r="EZ432" s="116"/>
      <c r="FA432" s="116"/>
      <c r="FB432" s="116"/>
    </row>
    <row r="433" spans="5:158" ht="13">
      <c r="E433" s="153"/>
      <c r="T433" s="153"/>
      <c r="BD433" s="31"/>
      <c r="BE433" s="31"/>
      <c r="BF433" s="31"/>
      <c r="BG433" s="31"/>
      <c r="BH433" s="31"/>
      <c r="BI433" s="116"/>
      <c r="BL433" s="196"/>
      <c r="BM433" s="239"/>
      <c r="BN433" s="330"/>
      <c r="BP433" s="330"/>
      <c r="BS433" s="116"/>
      <c r="BU433" s="331"/>
      <c r="BW433" s="116"/>
      <c r="BX433" s="116"/>
      <c r="BZ433" s="330"/>
      <c r="CB433" s="330"/>
      <c r="CC433" s="116"/>
      <c r="CG433" s="242"/>
      <c r="CH433" s="116"/>
      <c r="CI433" s="116"/>
      <c r="CJ433" s="116"/>
      <c r="CL433" s="116"/>
      <c r="CN433" s="239"/>
      <c r="CO433" s="153"/>
      <c r="DM433" s="116"/>
      <c r="DN433" s="116"/>
      <c r="DO433" s="116"/>
      <c r="DP433" s="116"/>
      <c r="DW433" s="116"/>
      <c r="DX433" s="219"/>
      <c r="DY433" s="219"/>
      <c r="DZ433" s="116"/>
      <c r="EA433" s="116"/>
      <c r="EB433" s="116"/>
      <c r="EC433" s="116"/>
      <c r="ED433" s="116"/>
      <c r="EF433" s="332"/>
      <c r="EG433" s="116"/>
      <c r="EH433" s="116"/>
      <c r="EI433" s="116"/>
      <c r="EJ433" s="116"/>
      <c r="EK433" s="116"/>
      <c r="EM433" s="116"/>
      <c r="EN433" s="116"/>
      <c r="EO433" s="116"/>
      <c r="EQ433" s="116"/>
      <c r="ER433" s="116"/>
      <c r="ES433" s="116"/>
      <c r="ET433" s="116"/>
      <c r="EU433" s="116"/>
      <c r="EV433" s="116"/>
      <c r="EX433" s="116"/>
      <c r="EY433" s="116"/>
      <c r="EZ433" s="116"/>
      <c r="FA433" s="116"/>
      <c r="FB433" s="116"/>
    </row>
    <row r="434" spans="5:158" ht="13">
      <c r="E434" s="153"/>
      <c r="T434" s="153"/>
      <c r="BD434" s="31"/>
      <c r="BE434" s="31"/>
      <c r="BF434" s="31"/>
      <c r="BG434" s="31"/>
      <c r="BH434" s="31"/>
      <c r="BI434" s="116"/>
      <c r="BL434" s="196"/>
      <c r="BM434" s="239"/>
      <c r="BN434" s="330"/>
      <c r="BP434" s="330"/>
      <c r="BS434" s="116"/>
      <c r="BU434" s="331"/>
      <c r="BW434" s="116"/>
      <c r="BX434" s="116"/>
      <c r="BZ434" s="330"/>
      <c r="CB434" s="330"/>
      <c r="CC434" s="116"/>
      <c r="CG434" s="242"/>
      <c r="CH434" s="116"/>
      <c r="CI434" s="116"/>
      <c r="CJ434" s="116"/>
      <c r="CL434" s="116"/>
      <c r="CN434" s="239"/>
      <c r="CO434" s="153"/>
      <c r="DM434" s="116"/>
      <c r="DN434" s="116"/>
      <c r="DO434" s="116"/>
      <c r="DP434" s="116"/>
      <c r="DW434" s="116"/>
      <c r="DX434" s="219"/>
      <c r="DY434" s="219"/>
      <c r="DZ434" s="116"/>
      <c r="EA434" s="116"/>
      <c r="EB434" s="116"/>
      <c r="EC434" s="116"/>
      <c r="ED434" s="116"/>
      <c r="EF434" s="332"/>
      <c r="EG434" s="116"/>
      <c r="EH434" s="116"/>
      <c r="EI434" s="116"/>
      <c r="EJ434" s="116"/>
      <c r="EK434" s="116"/>
      <c r="EM434" s="116"/>
      <c r="EN434" s="116"/>
      <c r="EO434" s="116"/>
      <c r="EQ434" s="116"/>
      <c r="ER434" s="116"/>
      <c r="ES434" s="116"/>
      <c r="ET434" s="116"/>
      <c r="EU434" s="116"/>
      <c r="EV434" s="116"/>
      <c r="EX434" s="116"/>
      <c r="EY434" s="116"/>
      <c r="EZ434" s="116"/>
      <c r="FA434" s="116"/>
      <c r="FB434" s="116"/>
    </row>
    <row r="435" spans="5:158" ht="13">
      <c r="E435" s="153"/>
      <c r="T435" s="153"/>
      <c r="BD435" s="31"/>
      <c r="BE435" s="31"/>
      <c r="BF435" s="31"/>
      <c r="BG435" s="31"/>
      <c r="BH435" s="31"/>
      <c r="BI435" s="116"/>
      <c r="BL435" s="196"/>
      <c r="BM435" s="239"/>
      <c r="BN435" s="330"/>
      <c r="BP435" s="330"/>
      <c r="BS435" s="116"/>
      <c r="BU435" s="331"/>
      <c r="BW435" s="116"/>
      <c r="BX435" s="116"/>
      <c r="BZ435" s="330"/>
      <c r="CB435" s="330"/>
      <c r="CC435" s="116"/>
      <c r="CG435" s="242"/>
      <c r="CH435" s="116"/>
      <c r="CI435" s="116"/>
      <c r="CJ435" s="116"/>
      <c r="CL435" s="116"/>
      <c r="CN435" s="239"/>
      <c r="CO435" s="153"/>
      <c r="DM435" s="116"/>
      <c r="DN435" s="116"/>
      <c r="DO435" s="116"/>
      <c r="DP435" s="116"/>
      <c r="DW435" s="116"/>
      <c r="DX435" s="219"/>
      <c r="DY435" s="219"/>
      <c r="DZ435" s="116"/>
      <c r="EA435" s="116"/>
      <c r="EB435" s="116"/>
      <c r="EC435" s="116"/>
      <c r="ED435" s="116"/>
      <c r="EF435" s="332"/>
      <c r="EG435" s="116"/>
      <c r="EH435" s="116"/>
      <c r="EI435" s="116"/>
      <c r="EJ435" s="116"/>
      <c r="EK435" s="116"/>
      <c r="EM435" s="116"/>
      <c r="EN435" s="116"/>
      <c r="EO435" s="116"/>
      <c r="EQ435" s="116"/>
      <c r="ER435" s="116"/>
      <c r="ES435" s="116"/>
      <c r="ET435" s="116"/>
      <c r="EU435" s="116"/>
      <c r="EV435" s="116"/>
      <c r="EX435" s="116"/>
      <c r="EY435" s="116"/>
      <c r="EZ435" s="116"/>
      <c r="FA435" s="116"/>
      <c r="FB435" s="116"/>
    </row>
    <row r="436" spans="5:158" ht="13">
      <c r="E436" s="153"/>
      <c r="T436" s="153"/>
      <c r="BD436" s="31"/>
      <c r="BE436" s="31"/>
      <c r="BF436" s="31"/>
      <c r="BG436" s="31"/>
      <c r="BH436" s="31"/>
      <c r="BI436" s="116"/>
      <c r="BL436" s="196"/>
      <c r="BM436" s="239"/>
      <c r="BN436" s="330"/>
      <c r="BP436" s="330"/>
      <c r="BS436" s="116"/>
      <c r="BU436" s="331"/>
      <c r="BW436" s="116"/>
      <c r="BX436" s="116"/>
      <c r="BZ436" s="330"/>
      <c r="CB436" s="330"/>
      <c r="CC436" s="116"/>
      <c r="CG436" s="242"/>
      <c r="CH436" s="116"/>
      <c r="CI436" s="116"/>
      <c r="CJ436" s="116"/>
      <c r="CL436" s="116"/>
      <c r="CN436" s="239"/>
      <c r="CO436" s="153"/>
      <c r="DM436" s="116"/>
      <c r="DN436" s="116"/>
      <c r="DO436" s="116"/>
      <c r="DP436" s="116"/>
      <c r="DW436" s="116"/>
      <c r="DX436" s="219"/>
      <c r="DY436" s="219"/>
      <c r="DZ436" s="116"/>
      <c r="EA436" s="116"/>
      <c r="EB436" s="116"/>
      <c r="EC436" s="116"/>
      <c r="ED436" s="116"/>
      <c r="EF436" s="332"/>
      <c r="EG436" s="116"/>
      <c r="EH436" s="116"/>
      <c r="EI436" s="116"/>
      <c r="EJ436" s="116"/>
      <c r="EK436" s="116"/>
      <c r="EM436" s="116"/>
      <c r="EN436" s="116"/>
      <c r="EO436" s="116"/>
      <c r="EQ436" s="116"/>
      <c r="ER436" s="116"/>
      <c r="ES436" s="116"/>
      <c r="ET436" s="116"/>
      <c r="EU436" s="116"/>
      <c r="EV436" s="116"/>
      <c r="EX436" s="116"/>
      <c r="EY436" s="116"/>
      <c r="EZ436" s="116"/>
      <c r="FA436" s="116"/>
      <c r="FB436" s="116"/>
    </row>
    <row r="437" spans="5:158" ht="13">
      <c r="E437" s="153"/>
      <c r="T437" s="153"/>
      <c r="BD437" s="31"/>
      <c r="BE437" s="31"/>
      <c r="BF437" s="31"/>
      <c r="BG437" s="31"/>
      <c r="BH437" s="31"/>
      <c r="BI437" s="116"/>
      <c r="BL437" s="196"/>
      <c r="BM437" s="239"/>
      <c r="BN437" s="330"/>
      <c r="BP437" s="330"/>
      <c r="BS437" s="116"/>
      <c r="BU437" s="331"/>
      <c r="BW437" s="116"/>
      <c r="BX437" s="116"/>
      <c r="BZ437" s="330"/>
      <c r="CB437" s="330"/>
      <c r="CC437" s="116"/>
      <c r="CG437" s="242"/>
      <c r="CH437" s="116"/>
      <c r="CI437" s="116"/>
      <c r="CJ437" s="116"/>
      <c r="CL437" s="116"/>
      <c r="CN437" s="239"/>
      <c r="CO437" s="153"/>
      <c r="DM437" s="116"/>
      <c r="DN437" s="116"/>
      <c r="DO437" s="116"/>
      <c r="DP437" s="116"/>
      <c r="DW437" s="116"/>
      <c r="DX437" s="219"/>
      <c r="DY437" s="219"/>
      <c r="DZ437" s="116"/>
      <c r="EA437" s="116"/>
      <c r="EB437" s="116"/>
      <c r="EC437" s="116"/>
      <c r="ED437" s="116"/>
      <c r="EF437" s="332"/>
      <c r="EG437" s="116"/>
      <c r="EH437" s="116"/>
      <c r="EI437" s="116"/>
      <c r="EJ437" s="116"/>
      <c r="EK437" s="116"/>
      <c r="EM437" s="116"/>
      <c r="EN437" s="116"/>
      <c r="EO437" s="116"/>
      <c r="EQ437" s="116"/>
      <c r="ER437" s="116"/>
      <c r="ES437" s="116"/>
      <c r="ET437" s="116"/>
      <c r="EU437" s="116"/>
      <c r="EV437" s="116"/>
      <c r="EX437" s="116"/>
      <c r="EY437" s="116"/>
      <c r="EZ437" s="116"/>
      <c r="FA437" s="116"/>
      <c r="FB437" s="116"/>
    </row>
    <row r="438" spans="5:158" ht="13">
      <c r="E438" s="153"/>
      <c r="T438" s="153"/>
      <c r="BD438" s="31"/>
      <c r="BE438" s="31"/>
      <c r="BF438" s="31"/>
      <c r="BG438" s="31"/>
      <c r="BH438" s="31"/>
      <c r="BI438" s="116"/>
      <c r="BL438" s="196"/>
      <c r="BM438" s="239"/>
      <c r="BN438" s="330"/>
      <c r="BP438" s="330"/>
      <c r="BS438" s="116"/>
      <c r="BU438" s="331"/>
      <c r="BW438" s="116"/>
      <c r="BX438" s="116"/>
      <c r="BZ438" s="330"/>
      <c r="CB438" s="330"/>
      <c r="CC438" s="116"/>
      <c r="CG438" s="242"/>
      <c r="CH438" s="116"/>
      <c r="CI438" s="116"/>
      <c r="CJ438" s="116"/>
      <c r="CL438" s="116"/>
      <c r="CN438" s="239"/>
      <c r="CO438" s="153"/>
      <c r="DM438" s="116"/>
      <c r="DN438" s="116"/>
      <c r="DO438" s="116"/>
      <c r="DP438" s="116"/>
      <c r="DW438" s="116"/>
      <c r="DX438" s="219"/>
      <c r="DY438" s="219"/>
      <c r="DZ438" s="116"/>
      <c r="EA438" s="116"/>
      <c r="EB438" s="116"/>
      <c r="EC438" s="116"/>
      <c r="ED438" s="116"/>
      <c r="EF438" s="332"/>
      <c r="EG438" s="116"/>
      <c r="EH438" s="116"/>
      <c r="EI438" s="116"/>
      <c r="EJ438" s="116"/>
      <c r="EK438" s="116"/>
      <c r="EM438" s="116"/>
      <c r="EN438" s="116"/>
      <c r="EO438" s="116"/>
      <c r="EQ438" s="116"/>
      <c r="ER438" s="116"/>
      <c r="ES438" s="116"/>
      <c r="ET438" s="116"/>
      <c r="EU438" s="116"/>
      <c r="EV438" s="116"/>
      <c r="EX438" s="116"/>
      <c r="EY438" s="116"/>
      <c r="EZ438" s="116"/>
      <c r="FA438" s="116"/>
      <c r="FB438" s="116"/>
    </row>
    <row r="439" spans="5:158" ht="13">
      <c r="E439" s="153"/>
      <c r="T439" s="153"/>
      <c r="BD439" s="31"/>
      <c r="BE439" s="31"/>
      <c r="BF439" s="31"/>
      <c r="BG439" s="31"/>
      <c r="BH439" s="31"/>
      <c r="BI439" s="116"/>
      <c r="BL439" s="196"/>
      <c r="BM439" s="239"/>
      <c r="BN439" s="330"/>
      <c r="BP439" s="330"/>
      <c r="BS439" s="116"/>
      <c r="BU439" s="331"/>
      <c r="BW439" s="116"/>
      <c r="BX439" s="116"/>
      <c r="BZ439" s="330"/>
      <c r="CB439" s="330"/>
      <c r="CC439" s="116"/>
      <c r="CG439" s="242"/>
      <c r="CH439" s="116"/>
      <c r="CI439" s="116"/>
      <c r="CJ439" s="116"/>
      <c r="CL439" s="116"/>
      <c r="CN439" s="239"/>
      <c r="CO439" s="153"/>
      <c r="DM439" s="116"/>
      <c r="DN439" s="116"/>
      <c r="DO439" s="116"/>
      <c r="DP439" s="116"/>
      <c r="DW439" s="116"/>
      <c r="DX439" s="219"/>
      <c r="DY439" s="219"/>
      <c r="DZ439" s="116"/>
      <c r="EA439" s="116"/>
      <c r="EB439" s="116"/>
      <c r="EC439" s="116"/>
      <c r="ED439" s="116"/>
      <c r="EF439" s="332"/>
      <c r="EG439" s="116"/>
      <c r="EH439" s="116"/>
      <c r="EI439" s="116"/>
      <c r="EJ439" s="116"/>
      <c r="EK439" s="116"/>
      <c r="EM439" s="116"/>
      <c r="EN439" s="116"/>
      <c r="EO439" s="116"/>
      <c r="EQ439" s="116"/>
      <c r="ER439" s="116"/>
      <c r="ES439" s="116"/>
      <c r="ET439" s="116"/>
      <c r="EU439" s="116"/>
      <c r="EV439" s="116"/>
      <c r="EX439" s="116"/>
      <c r="EY439" s="116"/>
      <c r="EZ439" s="116"/>
      <c r="FA439" s="116"/>
      <c r="FB439" s="116"/>
    </row>
    <row r="440" spans="5:158" ht="13">
      <c r="E440" s="153"/>
      <c r="T440" s="153"/>
      <c r="BD440" s="31"/>
      <c r="BE440" s="31"/>
      <c r="BF440" s="31"/>
      <c r="BG440" s="31"/>
      <c r="BH440" s="31"/>
      <c r="BI440" s="116"/>
      <c r="BL440" s="196"/>
      <c r="BM440" s="239"/>
      <c r="BN440" s="330"/>
      <c r="BP440" s="330"/>
      <c r="BS440" s="116"/>
      <c r="BU440" s="331"/>
      <c r="BW440" s="116"/>
      <c r="BX440" s="116"/>
      <c r="BZ440" s="330"/>
      <c r="CB440" s="330"/>
      <c r="CC440" s="116"/>
      <c r="CG440" s="242"/>
      <c r="CH440" s="116"/>
      <c r="CI440" s="116"/>
      <c r="CJ440" s="116"/>
      <c r="CL440" s="116"/>
      <c r="CN440" s="239"/>
      <c r="CO440" s="153"/>
      <c r="DM440" s="116"/>
      <c r="DN440" s="116"/>
      <c r="DO440" s="116"/>
      <c r="DP440" s="116"/>
      <c r="DW440" s="116"/>
      <c r="DX440" s="219"/>
      <c r="DY440" s="219"/>
      <c r="DZ440" s="116"/>
      <c r="EA440" s="116"/>
      <c r="EB440" s="116"/>
      <c r="EC440" s="116"/>
      <c r="ED440" s="116"/>
      <c r="EF440" s="332"/>
      <c r="EG440" s="116"/>
      <c r="EH440" s="116"/>
      <c r="EI440" s="116"/>
      <c r="EJ440" s="116"/>
      <c r="EK440" s="116"/>
      <c r="EM440" s="116"/>
      <c r="EN440" s="116"/>
      <c r="EO440" s="116"/>
      <c r="EQ440" s="116"/>
      <c r="ER440" s="116"/>
      <c r="ES440" s="116"/>
      <c r="ET440" s="116"/>
      <c r="EU440" s="116"/>
      <c r="EV440" s="116"/>
      <c r="EX440" s="116"/>
      <c r="EY440" s="116"/>
      <c r="EZ440" s="116"/>
      <c r="FA440" s="116"/>
      <c r="FB440" s="116"/>
    </row>
    <row r="441" spans="5:158" ht="13">
      <c r="E441" s="153"/>
      <c r="T441" s="153"/>
      <c r="BD441" s="31"/>
      <c r="BE441" s="31"/>
      <c r="BF441" s="31"/>
      <c r="BG441" s="31"/>
      <c r="BH441" s="31"/>
      <c r="BI441" s="116"/>
      <c r="BL441" s="196"/>
      <c r="BM441" s="239"/>
      <c r="BN441" s="330"/>
      <c r="BP441" s="330"/>
      <c r="BS441" s="116"/>
      <c r="BU441" s="331"/>
      <c r="BW441" s="116"/>
      <c r="BX441" s="116"/>
      <c r="BZ441" s="330"/>
      <c r="CB441" s="330"/>
      <c r="CC441" s="116"/>
      <c r="CG441" s="242"/>
      <c r="CH441" s="116"/>
      <c r="CI441" s="116"/>
      <c r="CJ441" s="116"/>
      <c r="CL441" s="116"/>
      <c r="CN441" s="239"/>
      <c r="CO441" s="153"/>
      <c r="DM441" s="116"/>
      <c r="DN441" s="116"/>
      <c r="DO441" s="116"/>
      <c r="DP441" s="116"/>
      <c r="DW441" s="116"/>
      <c r="DX441" s="219"/>
      <c r="DY441" s="219"/>
      <c r="DZ441" s="116"/>
      <c r="EA441" s="116"/>
      <c r="EB441" s="116"/>
      <c r="EC441" s="116"/>
      <c r="ED441" s="116"/>
      <c r="EF441" s="332"/>
      <c r="EG441" s="116"/>
      <c r="EH441" s="116"/>
      <c r="EI441" s="116"/>
      <c r="EJ441" s="116"/>
      <c r="EK441" s="116"/>
      <c r="EM441" s="116"/>
      <c r="EN441" s="116"/>
      <c r="EO441" s="116"/>
      <c r="EQ441" s="116"/>
      <c r="ER441" s="116"/>
      <c r="ES441" s="116"/>
      <c r="ET441" s="116"/>
      <c r="EU441" s="116"/>
      <c r="EV441" s="116"/>
      <c r="EX441" s="116"/>
      <c r="EY441" s="116"/>
      <c r="EZ441" s="116"/>
      <c r="FA441" s="116"/>
      <c r="FB441" s="116"/>
    </row>
    <row r="442" spans="5:158" ht="13">
      <c r="E442" s="153"/>
      <c r="T442" s="153"/>
      <c r="BD442" s="31"/>
      <c r="BE442" s="31"/>
      <c r="BF442" s="31"/>
      <c r="BG442" s="31"/>
      <c r="BH442" s="31"/>
      <c r="BI442" s="116"/>
      <c r="BL442" s="196"/>
      <c r="BM442" s="239"/>
      <c r="BN442" s="330"/>
      <c r="BP442" s="330"/>
      <c r="BS442" s="116"/>
      <c r="BU442" s="331"/>
      <c r="BW442" s="116"/>
      <c r="BX442" s="116"/>
      <c r="BZ442" s="330"/>
      <c r="CB442" s="330"/>
      <c r="CC442" s="116"/>
      <c r="CG442" s="242"/>
      <c r="CH442" s="116"/>
      <c r="CI442" s="116"/>
      <c r="CJ442" s="116"/>
      <c r="CL442" s="116"/>
      <c r="CN442" s="239"/>
      <c r="CO442" s="153"/>
      <c r="DM442" s="116"/>
      <c r="DN442" s="116"/>
      <c r="DO442" s="116"/>
      <c r="DP442" s="116"/>
      <c r="DW442" s="116"/>
      <c r="DX442" s="219"/>
      <c r="DY442" s="219"/>
      <c r="DZ442" s="116"/>
      <c r="EA442" s="116"/>
      <c r="EB442" s="116"/>
      <c r="EC442" s="116"/>
      <c r="ED442" s="116"/>
      <c r="EF442" s="332"/>
      <c r="EG442" s="116"/>
      <c r="EH442" s="116"/>
      <c r="EI442" s="116"/>
      <c r="EJ442" s="116"/>
      <c r="EK442" s="116"/>
      <c r="EM442" s="116"/>
      <c r="EN442" s="116"/>
      <c r="EO442" s="116"/>
      <c r="EQ442" s="116"/>
      <c r="ER442" s="116"/>
      <c r="ES442" s="116"/>
      <c r="ET442" s="116"/>
      <c r="EU442" s="116"/>
      <c r="EV442" s="116"/>
      <c r="EX442" s="116"/>
      <c r="EY442" s="116"/>
      <c r="EZ442" s="116"/>
      <c r="FA442" s="116"/>
      <c r="FB442" s="116"/>
    </row>
    <row r="443" spans="5:158" ht="13">
      <c r="E443" s="153"/>
      <c r="T443" s="153"/>
      <c r="BD443" s="31"/>
      <c r="BE443" s="31"/>
      <c r="BF443" s="31"/>
      <c r="BG443" s="31"/>
      <c r="BH443" s="31"/>
      <c r="BI443" s="116"/>
      <c r="BL443" s="196"/>
      <c r="BM443" s="239"/>
      <c r="BN443" s="330"/>
      <c r="BP443" s="330"/>
      <c r="BS443" s="116"/>
      <c r="BU443" s="331"/>
      <c r="BW443" s="116"/>
      <c r="BX443" s="116"/>
      <c r="BZ443" s="330"/>
      <c r="CB443" s="330"/>
      <c r="CC443" s="116"/>
      <c r="CG443" s="242"/>
      <c r="CH443" s="116"/>
      <c r="CI443" s="116"/>
      <c r="CJ443" s="116"/>
      <c r="CL443" s="116"/>
      <c r="CN443" s="239"/>
      <c r="CO443" s="153"/>
      <c r="DM443" s="116"/>
      <c r="DN443" s="116"/>
      <c r="DO443" s="116"/>
      <c r="DP443" s="116"/>
      <c r="DW443" s="116"/>
      <c r="DX443" s="219"/>
      <c r="DY443" s="219"/>
      <c r="DZ443" s="116"/>
      <c r="EA443" s="116"/>
      <c r="EB443" s="116"/>
      <c r="EC443" s="116"/>
      <c r="ED443" s="116"/>
      <c r="EF443" s="332"/>
      <c r="EG443" s="116"/>
      <c r="EH443" s="116"/>
      <c r="EI443" s="116"/>
      <c r="EJ443" s="116"/>
      <c r="EK443" s="116"/>
      <c r="EM443" s="116"/>
      <c r="EN443" s="116"/>
      <c r="EO443" s="116"/>
      <c r="EQ443" s="116"/>
      <c r="ER443" s="116"/>
      <c r="ES443" s="116"/>
      <c r="ET443" s="116"/>
      <c r="EU443" s="116"/>
      <c r="EV443" s="116"/>
      <c r="EX443" s="116"/>
      <c r="EY443" s="116"/>
      <c r="EZ443" s="116"/>
      <c r="FA443" s="116"/>
      <c r="FB443" s="116"/>
    </row>
    <row r="444" spans="5:158" ht="13">
      <c r="E444" s="153"/>
      <c r="T444" s="153"/>
      <c r="BD444" s="31"/>
      <c r="BE444" s="31"/>
      <c r="BF444" s="31"/>
      <c r="BG444" s="31"/>
      <c r="BH444" s="31"/>
      <c r="BI444" s="116"/>
      <c r="BL444" s="196"/>
      <c r="BM444" s="239"/>
      <c r="BN444" s="330"/>
      <c r="BP444" s="330"/>
      <c r="BS444" s="116"/>
      <c r="BU444" s="331"/>
      <c r="BW444" s="116"/>
      <c r="BX444" s="116"/>
      <c r="BZ444" s="330"/>
      <c r="CB444" s="330"/>
      <c r="CC444" s="116"/>
      <c r="CG444" s="242"/>
      <c r="CH444" s="116"/>
      <c r="CI444" s="116"/>
      <c r="CJ444" s="116"/>
      <c r="CL444" s="116"/>
      <c r="CN444" s="239"/>
      <c r="CO444" s="153"/>
      <c r="DM444" s="116"/>
      <c r="DN444" s="116"/>
      <c r="DO444" s="116"/>
      <c r="DP444" s="116"/>
      <c r="DW444" s="116"/>
      <c r="DX444" s="219"/>
      <c r="DY444" s="219"/>
      <c r="DZ444" s="116"/>
      <c r="EA444" s="116"/>
      <c r="EB444" s="116"/>
      <c r="EC444" s="116"/>
      <c r="ED444" s="116"/>
      <c r="EF444" s="332"/>
      <c r="EG444" s="116"/>
      <c r="EH444" s="116"/>
      <c r="EI444" s="116"/>
      <c r="EJ444" s="116"/>
      <c r="EK444" s="116"/>
      <c r="EM444" s="116"/>
      <c r="EN444" s="116"/>
      <c r="EO444" s="116"/>
      <c r="EQ444" s="116"/>
      <c r="ER444" s="116"/>
      <c r="ES444" s="116"/>
      <c r="ET444" s="116"/>
      <c r="EU444" s="116"/>
      <c r="EV444" s="116"/>
      <c r="EX444" s="116"/>
      <c r="EY444" s="116"/>
      <c r="EZ444" s="116"/>
      <c r="FA444" s="116"/>
      <c r="FB444" s="116"/>
    </row>
    <row r="445" spans="5:158" ht="13">
      <c r="E445" s="153"/>
      <c r="T445" s="153"/>
      <c r="BD445" s="31"/>
      <c r="BE445" s="31"/>
      <c r="BF445" s="31"/>
      <c r="BG445" s="31"/>
      <c r="BH445" s="31"/>
      <c r="BI445" s="116"/>
      <c r="BL445" s="196"/>
      <c r="BM445" s="239"/>
      <c r="BN445" s="330"/>
      <c r="BP445" s="330"/>
      <c r="BS445" s="116"/>
      <c r="BU445" s="331"/>
      <c r="BW445" s="116"/>
      <c r="BX445" s="116"/>
      <c r="BZ445" s="330"/>
      <c r="CB445" s="330"/>
      <c r="CC445" s="116"/>
      <c r="CG445" s="242"/>
      <c r="CH445" s="116"/>
      <c r="CI445" s="116"/>
      <c r="CJ445" s="116"/>
      <c r="CL445" s="116"/>
      <c r="CN445" s="239"/>
      <c r="CO445" s="153"/>
      <c r="DM445" s="116"/>
      <c r="DN445" s="116"/>
      <c r="DO445" s="116"/>
      <c r="DP445" s="116"/>
      <c r="DW445" s="116"/>
      <c r="DX445" s="219"/>
      <c r="DY445" s="219"/>
      <c r="DZ445" s="116"/>
      <c r="EA445" s="116"/>
      <c r="EB445" s="116"/>
      <c r="EC445" s="116"/>
      <c r="ED445" s="116"/>
      <c r="EF445" s="332"/>
      <c r="EG445" s="116"/>
      <c r="EH445" s="116"/>
      <c r="EI445" s="116"/>
      <c r="EJ445" s="116"/>
      <c r="EK445" s="116"/>
      <c r="EM445" s="116"/>
      <c r="EN445" s="116"/>
      <c r="EO445" s="116"/>
      <c r="EQ445" s="116"/>
      <c r="ER445" s="116"/>
      <c r="ES445" s="116"/>
      <c r="ET445" s="116"/>
      <c r="EU445" s="116"/>
      <c r="EV445" s="116"/>
      <c r="EX445" s="116"/>
      <c r="EY445" s="116"/>
      <c r="EZ445" s="116"/>
      <c r="FA445" s="116"/>
      <c r="FB445" s="116"/>
    </row>
    <row r="446" spans="5:158" ht="13">
      <c r="E446" s="153"/>
      <c r="T446" s="153"/>
      <c r="BD446" s="31"/>
      <c r="BE446" s="31"/>
      <c r="BF446" s="31"/>
      <c r="BG446" s="31"/>
      <c r="BH446" s="31"/>
      <c r="BI446" s="116"/>
      <c r="BL446" s="196"/>
      <c r="BM446" s="239"/>
      <c r="BN446" s="330"/>
      <c r="BP446" s="330"/>
      <c r="BS446" s="116"/>
      <c r="BU446" s="331"/>
      <c r="BW446" s="116"/>
      <c r="BX446" s="116"/>
      <c r="BZ446" s="330"/>
      <c r="CB446" s="330"/>
      <c r="CC446" s="116"/>
      <c r="CG446" s="242"/>
      <c r="CH446" s="116"/>
      <c r="CI446" s="116"/>
      <c r="CJ446" s="116"/>
      <c r="CL446" s="116"/>
      <c r="CN446" s="239"/>
      <c r="CO446" s="153"/>
      <c r="DM446" s="116"/>
      <c r="DN446" s="116"/>
      <c r="DO446" s="116"/>
      <c r="DP446" s="116"/>
      <c r="DW446" s="116"/>
      <c r="DX446" s="219"/>
      <c r="DY446" s="219"/>
      <c r="DZ446" s="116"/>
      <c r="EA446" s="116"/>
      <c r="EB446" s="116"/>
      <c r="EC446" s="116"/>
      <c r="ED446" s="116"/>
      <c r="EF446" s="332"/>
      <c r="EG446" s="116"/>
      <c r="EH446" s="116"/>
      <c r="EI446" s="116"/>
      <c r="EJ446" s="116"/>
      <c r="EK446" s="116"/>
      <c r="EM446" s="116"/>
      <c r="EN446" s="116"/>
      <c r="EO446" s="116"/>
      <c r="EQ446" s="116"/>
      <c r="ER446" s="116"/>
      <c r="ES446" s="116"/>
      <c r="ET446" s="116"/>
      <c r="EU446" s="116"/>
      <c r="EV446" s="116"/>
      <c r="EX446" s="116"/>
      <c r="EY446" s="116"/>
      <c r="EZ446" s="116"/>
      <c r="FA446" s="116"/>
      <c r="FB446" s="116"/>
    </row>
    <row r="447" spans="5:158" ht="13">
      <c r="E447" s="153"/>
      <c r="T447" s="153"/>
      <c r="BD447" s="31"/>
      <c r="BE447" s="31"/>
      <c r="BF447" s="31"/>
      <c r="BG447" s="31"/>
      <c r="BH447" s="31"/>
      <c r="BI447" s="116"/>
      <c r="BL447" s="196"/>
      <c r="BM447" s="239"/>
      <c r="BN447" s="330"/>
      <c r="BP447" s="330"/>
      <c r="BS447" s="116"/>
      <c r="BU447" s="331"/>
      <c r="BW447" s="116"/>
      <c r="BX447" s="116"/>
      <c r="BZ447" s="330"/>
      <c r="CB447" s="330"/>
      <c r="CC447" s="116"/>
      <c r="CG447" s="242"/>
      <c r="CH447" s="116"/>
      <c r="CI447" s="116"/>
      <c r="CJ447" s="116"/>
      <c r="CL447" s="116"/>
      <c r="CN447" s="239"/>
      <c r="CO447" s="153"/>
      <c r="DM447" s="116"/>
      <c r="DN447" s="116"/>
      <c r="DO447" s="116"/>
      <c r="DP447" s="116"/>
      <c r="DW447" s="116"/>
      <c r="DX447" s="219"/>
      <c r="DY447" s="219"/>
      <c r="DZ447" s="116"/>
      <c r="EA447" s="116"/>
      <c r="EB447" s="116"/>
      <c r="EC447" s="116"/>
      <c r="ED447" s="116"/>
      <c r="EF447" s="332"/>
      <c r="EG447" s="116"/>
      <c r="EH447" s="116"/>
      <c r="EI447" s="116"/>
      <c r="EJ447" s="116"/>
      <c r="EK447" s="116"/>
      <c r="EM447" s="116"/>
      <c r="EN447" s="116"/>
      <c r="EO447" s="116"/>
      <c r="EQ447" s="116"/>
      <c r="ER447" s="116"/>
      <c r="ES447" s="116"/>
      <c r="ET447" s="116"/>
      <c r="EU447" s="116"/>
      <c r="EV447" s="116"/>
      <c r="EX447" s="116"/>
      <c r="EY447" s="116"/>
      <c r="EZ447" s="116"/>
      <c r="FA447" s="116"/>
      <c r="FB447" s="116"/>
    </row>
    <row r="448" spans="5:158" ht="13">
      <c r="E448" s="153"/>
      <c r="T448" s="153"/>
      <c r="BD448" s="31"/>
      <c r="BE448" s="31"/>
      <c r="BF448" s="31"/>
      <c r="BG448" s="31"/>
      <c r="BH448" s="31"/>
      <c r="BI448" s="116"/>
      <c r="BL448" s="196"/>
      <c r="BM448" s="239"/>
      <c r="BN448" s="330"/>
      <c r="BP448" s="330"/>
      <c r="BS448" s="116"/>
      <c r="BU448" s="331"/>
      <c r="BW448" s="116"/>
      <c r="BX448" s="116"/>
      <c r="BZ448" s="330"/>
      <c r="CB448" s="330"/>
      <c r="CC448" s="116"/>
      <c r="CG448" s="242"/>
      <c r="CH448" s="116"/>
      <c r="CI448" s="116"/>
      <c r="CJ448" s="116"/>
      <c r="CL448" s="116"/>
      <c r="CN448" s="239"/>
      <c r="CO448" s="153"/>
      <c r="DM448" s="116"/>
      <c r="DN448" s="116"/>
      <c r="DO448" s="116"/>
      <c r="DP448" s="116"/>
      <c r="DW448" s="116"/>
      <c r="DX448" s="219"/>
      <c r="DY448" s="219"/>
      <c r="DZ448" s="116"/>
      <c r="EA448" s="116"/>
      <c r="EB448" s="116"/>
      <c r="EC448" s="116"/>
      <c r="ED448" s="116"/>
      <c r="EF448" s="332"/>
      <c r="EG448" s="116"/>
      <c r="EH448" s="116"/>
      <c r="EI448" s="116"/>
      <c r="EJ448" s="116"/>
      <c r="EK448" s="116"/>
      <c r="EM448" s="116"/>
      <c r="EN448" s="116"/>
      <c r="EO448" s="116"/>
      <c r="EQ448" s="116"/>
      <c r="ER448" s="116"/>
      <c r="ES448" s="116"/>
      <c r="ET448" s="116"/>
      <c r="EU448" s="116"/>
      <c r="EV448" s="116"/>
      <c r="EX448" s="116"/>
      <c r="EY448" s="116"/>
      <c r="EZ448" s="116"/>
      <c r="FA448" s="116"/>
      <c r="FB448" s="116"/>
    </row>
    <row r="449" spans="5:158" ht="13">
      <c r="E449" s="153"/>
      <c r="T449" s="153"/>
      <c r="BD449" s="31"/>
      <c r="BE449" s="31"/>
      <c r="BF449" s="31"/>
      <c r="BG449" s="31"/>
      <c r="BH449" s="31"/>
      <c r="BI449" s="116"/>
      <c r="BL449" s="196"/>
      <c r="BM449" s="239"/>
      <c r="BN449" s="330"/>
      <c r="BP449" s="330"/>
      <c r="BS449" s="116"/>
      <c r="BU449" s="331"/>
      <c r="BW449" s="116"/>
      <c r="BX449" s="116"/>
      <c r="BZ449" s="330"/>
      <c r="CB449" s="330"/>
      <c r="CC449" s="116"/>
      <c r="CG449" s="242"/>
      <c r="CH449" s="116"/>
      <c r="CI449" s="116"/>
      <c r="CJ449" s="116"/>
      <c r="CL449" s="116"/>
      <c r="CN449" s="239"/>
      <c r="CO449" s="153"/>
      <c r="DM449" s="116"/>
      <c r="DN449" s="116"/>
      <c r="DO449" s="116"/>
      <c r="DP449" s="116"/>
      <c r="DW449" s="116"/>
      <c r="DX449" s="219"/>
      <c r="DY449" s="219"/>
      <c r="DZ449" s="116"/>
      <c r="EA449" s="116"/>
      <c r="EB449" s="116"/>
      <c r="EC449" s="116"/>
      <c r="ED449" s="116"/>
      <c r="EF449" s="332"/>
      <c r="EG449" s="116"/>
      <c r="EH449" s="116"/>
      <c r="EI449" s="116"/>
      <c r="EJ449" s="116"/>
      <c r="EK449" s="116"/>
      <c r="EM449" s="116"/>
      <c r="EN449" s="116"/>
      <c r="EO449" s="116"/>
      <c r="EQ449" s="116"/>
      <c r="ER449" s="116"/>
      <c r="ES449" s="116"/>
      <c r="ET449" s="116"/>
      <c r="EU449" s="116"/>
      <c r="EV449" s="116"/>
      <c r="EX449" s="116"/>
      <c r="EY449" s="116"/>
      <c r="EZ449" s="116"/>
      <c r="FA449" s="116"/>
      <c r="FB449" s="116"/>
    </row>
    <row r="450" spans="5:158" ht="13">
      <c r="E450" s="153"/>
      <c r="T450" s="153"/>
      <c r="BD450" s="31"/>
      <c r="BE450" s="31"/>
      <c r="BF450" s="31"/>
      <c r="BG450" s="31"/>
      <c r="BH450" s="31"/>
      <c r="BI450" s="116"/>
      <c r="BL450" s="196"/>
      <c r="BM450" s="239"/>
      <c r="BN450" s="330"/>
      <c r="BP450" s="330"/>
      <c r="BS450" s="116"/>
      <c r="BU450" s="331"/>
      <c r="BW450" s="116"/>
      <c r="BX450" s="116"/>
      <c r="BZ450" s="330"/>
      <c r="CB450" s="330"/>
      <c r="CC450" s="116"/>
      <c r="CG450" s="242"/>
      <c r="CH450" s="116"/>
      <c r="CI450" s="116"/>
      <c r="CJ450" s="116"/>
      <c r="CL450" s="116"/>
      <c r="CN450" s="239"/>
      <c r="CO450" s="153"/>
      <c r="DM450" s="116"/>
      <c r="DN450" s="116"/>
      <c r="DO450" s="116"/>
      <c r="DP450" s="116"/>
      <c r="DW450" s="116"/>
      <c r="DX450" s="219"/>
      <c r="DY450" s="219"/>
      <c r="DZ450" s="116"/>
      <c r="EA450" s="116"/>
      <c r="EB450" s="116"/>
      <c r="EC450" s="116"/>
      <c r="ED450" s="116"/>
      <c r="EF450" s="332"/>
      <c r="EG450" s="116"/>
      <c r="EH450" s="116"/>
      <c r="EI450" s="116"/>
      <c r="EJ450" s="116"/>
      <c r="EK450" s="116"/>
      <c r="EM450" s="116"/>
      <c r="EN450" s="116"/>
      <c r="EO450" s="116"/>
      <c r="EQ450" s="116"/>
      <c r="ER450" s="116"/>
      <c r="ES450" s="116"/>
      <c r="ET450" s="116"/>
      <c r="EU450" s="116"/>
      <c r="EV450" s="116"/>
      <c r="EX450" s="116"/>
      <c r="EY450" s="116"/>
      <c r="EZ450" s="116"/>
      <c r="FA450" s="116"/>
      <c r="FB450" s="116"/>
    </row>
    <row r="451" spans="5:158" ht="13">
      <c r="E451" s="153"/>
      <c r="T451" s="153"/>
      <c r="BD451" s="31"/>
      <c r="BE451" s="31"/>
      <c r="BF451" s="31"/>
      <c r="BG451" s="31"/>
      <c r="BH451" s="31"/>
      <c r="BI451" s="116"/>
      <c r="BL451" s="196"/>
      <c r="BM451" s="239"/>
      <c r="BN451" s="330"/>
      <c r="BP451" s="330"/>
      <c r="BS451" s="116"/>
      <c r="BU451" s="331"/>
      <c r="BW451" s="116"/>
      <c r="BX451" s="116"/>
      <c r="BZ451" s="330"/>
      <c r="CB451" s="330"/>
      <c r="CC451" s="116"/>
      <c r="CG451" s="242"/>
      <c r="CH451" s="116"/>
      <c r="CI451" s="116"/>
      <c r="CJ451" s="116"/>
      <c r="CL451" s="116"/>
      <c r="CN451" s="239"/>
      <c r="CO451" s="153"/>
      <c r="DM451" s="116"/>
      <c r="DN451" s="116"/>
      <c r="DO451" s="116"/>
      <c r="DP451" s="116"/>
      <c r="DW451" s="116"/>
      <c r="DX451" s="219"/>
      <c r="DY451" s="219"/>
      <c r="DZ451" s="116"/>
      <c r="EA451" s="116"/>
      <c r="EB451" s="116"/>
      <c r="EC451" s="116"/>
      <c r="ED451" s="116"/>
      <c r="EF451" s="332"/>
      <c r="EG451" s="116"/>
      <c r="EH451" s="116"/>
      <c r="EI451" s="116"/>
      <c r="EJ451" s="116"/>
      <c r="EK451" s="116"/>
      <c r="EM451" s="116"/>
      <c r="EN451" s="116"/>
      <c r="EO451" s="116"/>
      <c r="EQ451" s="116"/>
      <c r="ER451" s="116"/>
      <c r="ES451" s="116"/>
      <c r="ET451" s="116"/>
      <c r="EU451" s="116"/>
      <c r="EV451" s="116"/>
      <c r="EX451" s="116"/>
      <c r="EY451" s="116"/>
      <c r="EZ451" s="116"/>
      <c r="FA451" s="116"/>
      <c r="FB451" s="116"/>
    </row>
    <row r="452" spans="5:158" ht="13">
      <c r="E452" s="153"/>
      <c r="T452" s="153"/>
      <c r="BD452" s="31"/>
      <c r="BE452" s="31"/>
      <c r="BF452" s="31"/>
      <c r="BG452" s="31"/>
      <c r="BH452" s="31"/>
      <c r="BI452" s="116"/>
      <c r="BL452" s="196"/>
      <c r="BM452" s="239"/>
      <c r="BN452" s="330"/>
      <c r="BP452" s="330"/>
      <c r="BS452" s="116"/>
      <c r="BU452" s="331"/>
      <c r="BW452" s="116"/>
      <c r="BX452" s="116"/>
      <c r="BZ452" s="330"/>
      <c r="CB452" s="330"/>
      <c r="CC452" s="116"/>
      <c r="CG452" s="242"/>
      <c r="CH452" s="116"/>
      <c r="CI452" s="116"/>
      <c r="CJ452" s="116"/>
      <c r="CL452" s="116"/>
      <c r="CN452" s="239"/>
      <c r="CO452" s="153"/>
      <c r="DM452" s="116"/>
      <c r="DN452" s="116"/>
      <c r="DO452" s="116"/>
      <c r="DP452" s="116"/>
      <c r="DW452" s="116"/>
      <c r="DX452" s="219"/>
      <c r="DY452" s="219"/>
      <c r="DZ452" s="116"/>
      <c r="EA452" s="116"/>
      <c r="EB452" s="116"/>
      <c r="EC452" s="116"/>
      <c r="ED452" s="116"/>
      <c r="EF452" s="332"/>
      <c r="EG452" s="116"/>
      <c r="EH452" s="116"/>
      <c r="EI452" s="116"/>
      <c r="EJ452" s="116"/>
      <c r="EK452" s="116"/>
      <c r="EM452" s="116"/>
      <c r="EN452" s="116"/>
      <c r="EO452" s="116"/>
      <c r="EQ452" s="116"/>
      <c r="ER452" s="116"/>
      <c r="ES452" s="116"/>
      <c r="ET452" s="116"/>
      <c r="EU452" s="116"/>
      <c r="EV452" s="116"/>
      <c r="EX452" s="116"/>
      <c r="EY452" s="116"/>
      <c r="EZ452" s="116"/>
      <c r="FA452" s="116"/>
      <c r="FB452" s="116"/>
    </row>
    <row r="453" spans="5:158" ht="13">
      <c r="E453" s="153"/>
      <c r="T453" s="153"/>
      <c r="BD453" s="31"/>
      <c r="BE453" s="31"/>
      <c r="BF453" s="31"/>
      <c r="BG453" s="31"/>
      <c r="BH453" s="31"/>
      <c r="BI453" s="116"/>
      <c r="BL453" s="196"/>
      <c r="BM453" s="239"/>
      <c r="BN453" s="330"/>
      <c r="BP453" s="330"/>
      <c r="BS453" s="116"/>
      <c r="BU453" s="331"/>
      <c r="BW453" s="116"/>
      <c r="BX453" s="116"/>
      <c r="BZ453" s="330"/>
      <c r="CB453" s="330"/>
      <c r="CC453" s="116"/>
      <c r="CG453" s="242"/>
      <c r="CH453" s="116"/>
      <c r="CI453" s="116"/>
      <c r="CJ453" s="116"/>
      <c r="CL453" s="116"/>
      <c r="CN453" s="239"/>
      <c r="CO453" s="153"/>
      <c r="DM453" s="116"/>
      <c r="DN453" s="116"/>
      <c r="DO453" s="116"/>
      <c r="DP453" s="116"/>
      <c r="DW453" s="116"/>
      <c r="DX453" s="219"/>
      <c r="DY453" s="219"/>
      <c r="DZ453" s="116"/>
      <c r="EA453" s="116"/>
      <c r="EB453" s="116"/>
      <c r="EC453" s="116"/>
      <c r="ED453" s="116"/>
      <c r="EF453" s="332"/>
      <c r="EG453" s="116"/>
      <c r="EH453" s="116"/>
      <c r="EI453" s="116"/>
      <c r="EJ453" s="116"/>
      <c r="EK453" s="116"/>
      <c r="EM453" s="116"/>
      <c r="EN453" s="116"/>
      <c r="EO453" s="116"/>
      <c r="EQ453" s="116"/>
      <c r="ER453" s="116"/>
      <c r="ES453" s="116"/>
      <c r="ET453" s="116"/>
      <c r="EU453" s="116"/>
      <c r="EV453" s="116"/>
      <c r="EX453" s="116"/>
      <c r="EY453" s="116"/>
      <c r="EZ453" s="116"/>
      <c r="FA453" s="116"/>
      <c r="FB453" s="116"/>
    </row>
    <row r="454" spans="5:158" ht="13">
      <c r="E454" s="153"/>
      <c r="T454" s="153"/>
      <c r="BD454" s="31"/>
      <c r="BE454" s="31"/>
      <c r="BF454" s="31"/>
      <c r="BG454" s="31"/>
      <c r="BH454" s="31"/>
      <c r="BI454" s="116"/>
      <c r="BL454" s="196"/>
      <c r="BM454" s="239"/>
      <c r="BN454" s="330"/>
      <c r="BP454" s="330"/>
      <c r="BS454" s="116"/>
      <c r="BU454" s="331"/>
      <c r="BW454" s="116"/>
      <c r="BX454" s="116"/>
      <c r="BZ454" s="330"/>
      <c r="CB454" s="330"/>
      <c r="CC454" s="116"/>
      <c r="CG454" s="242"/>
      <c r="CH454" s="116"/>
      <c r="CI454" s="116"/>
      <c r="CJ454" s="116"/>
      <c r="CL454" s="116"/>
      <c r="CN454" s="239"/>
      <c r="CO454" s="153"/>
      <c r="DM454" s="116"/>
      <c r="DN454" s="116"/>
      <c r="DO454" s="116"/>
      <c r="DP454" s="116"/>
      <c r="DW454" s="116"/>
      <c r="DX454" s="219"/>
      <c r="DY454" s="219"/>
      <c r="DZ454" s="116"/>
      <c r="EA454" s="116"/>
      <c r="EB454" s="116"/>
      <c r="EC454" s="116"/>
      <c r="ED454" s="116"/>
      <c r="EF454" s="332"/>
      <c r="EG454" s="116"/>
      <c r="EH454" s="116"/>
      <c r="EI454" s="116"/>
      <c r="EJ454" s="116"/>
      <c r="EK454" s="116"/>
      <c r="EM454" s="116"/>
      <c r="EN454" s="116"/>
      <c r="EO454" s="116"/>
      <c r="EQ454" s="116"/>
      <c r="ER454" s="116"/>
      <c r="ES454" s="116"/>
      <c r="ET454" s="116"/>
      <c r="EU454" s="116"/>
      <c r="EV454" s="116"/>
      <c r="EX454" s="116"/>
      <c r="EY454" s="116"/>
      <c r="EZ454" s="116"/>
      <c r="FA454" s="116"/>
      <c r="FB454" s="116"/>
    </row>
    <row r="455" spans="5:158" ht="13">
      <c r="E455" s="153"/>
      <c r="T455" s="153"/>
      <c r="BD455" s="31"/>
      <c r="BE455" s="31"/>
      <c r="BF455" s="31"/>
      <c r="BG455" s="31"/>
      <c r="BH455" s="31"/>
      <c r="BI455" s="116"/>
      <c r="BL455" s="196"/>
      <c r="BM455" s="239"/>
      <c r="BN455" s="330"/>
      <c r="BP455" s="330"/>
      <c r="BS455" s="116"/>
      <c r="BU455" s="331"/>
      <c r="BW455" s="116"/>
      <c r="BX455" s="116"/>
      <c r="BZ455" s="330"/>
      <c r="CB455" s="330"/>
      <c r="CC455" s="116"/>
      <c r="CG455" s="242"/>
      <c r="CH455" s="116"/>
      <c r="CI455" s="116"/>
      <c r="CJ455" s="116"/>
      <c r="CL455" s="116"/>
      <c r="CN455" s="239"/>
      <c r="CO455" s="153"/>
      <c r="DM455" s="116"/>
      <c r="DN455" s="116"/>
      <c r="DO455" s="116"/>
      <c r="DP455" s="116"/>
      <c r="DW455" s="116"/>
      <c r="DX455" s="219"/>
      <c r="DY455" s="219"/>
      <c r="DZ455" s="116"/>
      <c r="EA455" s="116"/>
      <c r="EB455" s="116"/>
      <c r="EC455" s="116"/>
      <c r="ED455" s="116"/>
      <c r="EF455" s="332"/>
      <c r="EG455" s="116"/>
      <c r="EH455" s="116"/>
      <c r="EI455" s="116"/>
      <c r="EJ455" s="116"/>
      <c r="EK455" s="116"/>
      <c r="EM455" s="116"/>
      <c r="EN455" s="116"/>
      <c r="EO455" s="116"/>
      <c r="EQ455" s="116"/>
      <c r="ER455" s="116"/>
      <c r="ES455" s="116"/>
      <c r="ET455" s="116"/>
      <c r="EU455" s="116"/>
      <c r="EV455" s="116"/>
      <c r="EX455" s="116"/>
      <c r="EY455" s="116"/>
      <c r="EZ455" s="116"/>
      <c r="FA455" s="116"/>
      <c r="FB455" s="116"/>
    </row>
    <row r="456" spans="5:158" ht="13">
      <c r="E456" s="153"/>
      <c r="T456" s="153"/>
      <c r="BD456" s="31"/>
      <c r="BE456" s="31"/>
      <c r="BF456" s="31"/>
      <c r="BG456" s="31"/>
      <c r="BH456" s="31"/>
      <c r="BI456" s="116"/>
      <c r="BL456" s="196"/>
      <c r="BM456" s="239"/>
      <c r="BN456" s="330"/>
      <c r="BP456" s="330"/>
      <c r="BS456" s="116"/>
      <c r="BU456" s="331"/>
      <c r="BW456" s="116"/>
      <c r="BX456" s="116"/>
      <c r="BZ456" s="330"/>
      <c r="CB456" s="330"/>
      <c r="CC456" s="116"/>
      <c r="CG456" s="242"/>
      <c r="CH456" s="116"/>
      <c r="CI456" s="116"/>
      <c r="CJ456" s="116"/>
      <c r="CL456" s="116"/>
      <c r="CN456" s="239"/>
      <c r="CO456" s="153"/>
      <c r="DM456" s="116"/>
      <c r="DN456" s="116"/>
      <c r="DO456" s="116"/>
      <c r="DP456" s="116"/>
      <c r="DW456" s="116"/>
      <c r="DX456" s="219"/>
      <c r="DY456" s="219"/>
      <c r="DZ456" s="116"/>
      <c r="EA456" s="116"/>
      <c r="EB456" s="116"/>
      <c r="EC456" s="116"/>
      <c r="ED456" s="116"/>
      <c r="EF456" s="332"/>
      <c r="EG456" s="116"/>
      <c r="EH456" s="116"/>
      <c r="EI456" s="116"/>
      <c r="EJ456" s="116"/>
      <c r="EK456" s="116"/>
      <c r="EM456" s="116"/>
      <c r="EN456" s="116"/>
      <c r="EO456" s="116"/>
      <c r="EQ456" s="116"/>
      <c r="ER456" s="116"/>
      <c r="ES456" s="116"/>
      <c r="ET456" s="116"/>
      <c r="EU456" s="116"/>
      <c r="EV456" s="116"/>
      <c r="EX456" s="116"/>
      <c r="EY456" s="116"/>
      <c r="EZ456" s="116"/>
      <c r="FA456" s="116"/>
      <c r="FB456" s="116"/>
    </row>
    <row r="457" spans="5:158" ht="13">
      <c r="E457" s="153"/>
      <c r="T457" s="153"/>
      <c r="BD457" s="31"/>
      <c r="BE457" s="31"/>
      <c r="BF457" s="31"/>
      <c r="BG457" s="31"/>
      <c r="BH457" s="31"/>
      <c r="BI457" s="116"/>
      <c r="BL457" s="196"/>
      <c r="BM457" s="239"/>
      <c r="BN457" s="330"/>
      <c r="BP457" s="330"/>
      <c r="BS457" s="116"/>
      <c r="BU457" s="331"/>
      <c r="BW457" s="116"/>
      <c r="BX457" s="116"/>
      <c r="BZ457" s="330"/>
      <c r="CB457" s="330"/>
      <c r="CC457" s="116"/>
      <c r="CG457" s="242"/>
      <c r="CH457" s="116"/>
      <c r="CI457" s="116"/>
      <c r="CJ457" s="116"/>
      <c r="CL457" s="116"/>
      <c r="CN457" s="239"/>
      <c r="CO457" s="153"/>
      <c r="DM457" s="116"/>
      <c r="DN457" s="116"/>
      <c r="DO457" s="116"/>
      <c r="DP457" s="116"/>
      <c r="DW457" s="116"/>
      <c r="DX457" s="219"/>
      <c r="DY457" s="219"/>
      <c r="DZ457" s="116"/>
      <c r="EA457" s="116"/>
      <c r="EB457" s="116"/>
      <c r="EC457" s="116"/>
      <c r="ED457" s="116"/>
      <c r="EF457" s="332"/>
      <c r="EG457" s="116"/>
      <c r="EH457" s="116"/>
      <c r="EI457" s="116"/>
      <c r="EJ457" s="116"/>
      <c r="EK457" s="116"/>
      <c r="EM457" s="116"/>
      <c r="EN457" s="116"/>
      <c r="EO457" s="116"/>
      <c r="EQ457" s="116"/>
      <c r="ER457" s="116"/>
      <c r="ES457" s="116"/>
      <c r="ET457" s="116"/>
      <c r="EU457" s="116"/>
      <c r="EV457" s="116"/>
      <c r="EX457" s="116"/>
      <c r="EY457" s="116"/>
      <c r="EZ457" s="116"/>
      <c r="FA457" s="116"/>
      <c r="FB457" s="116"/>
    </row>
    <row r="458" spans="5:158" ht="13">
      <c r="E458" s="153"/>
      <c r="T458" s="153"/>
      <c r="BD458" s="31"/>
      <c r="BE458" s="31"/>
      <c r="BF458" s="31"/>
      <c r="BG458" s="31"/>
      <c r="BH458" s="31"/>
      <c r="BI458" s="116"/>
      <c r="BL458" s="196"/>
      <c r="BM458" s="239"/>
      <c r="BN458" s="330"/>
      <c r="BP458" s="330"/>
      <c r="BS458" s="116"/>
      <c r="BU458" s="331"/>
      <c r="BW458" s="116"/>
      <c r="BX458" s="116"/>
      <c r="BZ458" s="330"/>
      <c r="CB458" s="330"/>
      <c r="CC458" s="116"/>
      <c r="CG458" s="242"/>
      <c r="CH458" s="116"/>
      <c r="CI458" s="116"/>
      <c r="CJ458" s="116"/>
      <c r="CL458" s="116"/>
      <c r="CN458" s="239"/>
      <c r="CO458" s="153"/>
      <c r="DM458" s="116"/>
      <c r="DN458" s="116"/>
      <c r="DO458" s="116"/>
      <c r="DP458" s="116"/>
      <c r="DW458" s="116"/>
      <c r="DX458" s="219"/>
      <c r="DY458" s="219"/>
      <c r="DZ458" s="116"/>
      <c r="EA458" s="116"/>
      <c r="EB458" s="116"/>
      <c r="EC458" s="116"/>
      <c r="ED458" s="116"/>
      <c r="EF458" s="332"/>
      <c r="EG458" s="116"/>
      <c r="EH458" s="116"/>
      <c r="EI458" s="116"/>
      <c r="EJ458" s="116"/>
      <c r="EK458" s="116"/>
      <c r="EM458" s="116"/>
      <c r="EN458" s="116"/>
      <c r="EO458" s="116"/>
      <c r="EQ458" s="116"/>
      <c r="ER458" s="116"/>
      <c r="ES458" s="116"/>
      <c r="ET458" s="116"/>
      <c r="EU458" s="116"/>
      <c r="EV458" s="116"/>
      <c r="EX458" s="116"/>
      <c r="EY458" s="116"/>
      <c r="EZ458" s="116"/>
      <c r="FA458" s="116"/>
      <c r="FB458" s="116"/>
    </row>
    <row r="459" spans="5:158" ht="13">
      <c r="E459" s="153"/>
      <c r="T459" s="153"/>
      <c r="BD459" s="31"/>
      <c r="BE459" s="31"/>
      <c r="BF459" s="31"/>
      <c r="BG459" s="31"/>
      <c r="BH459" s="31"/>
      <c r="BI459" s="116"/>
      <c r="BL459" s="196"/>
      <c r="BM459" s="239"/>
      <c r="BN459" s="330"/>
      <c r="BP459" s="330"/>
      <c r="BS459" s="116"/>
      <c r="BU459" s="331"/>
      <c r="BW459" s="116"/>
      <c r="BX459" s="116"/>
      <c r="BZ459" s="330"/>
      <c r="CB459" s="330"/>
      <c r="CC459" s="116"/>
      <c r="CG459" s="242"/>
      <c r="CH459" s="116"/>
      <c r="CI459" s="116"/>
      <c r="CJ459" s="116"/>
      <c r="CL459" s="116"/>
      <c r="CN459" s="239"/>
      <c r="CO459" s="153"/>
      <c r="DM459" s="116"/>
      <c r="DN459" s="116"/>
      <c r="DO459" s="116"/>
      <c r="DP459" s="116"/>
      <c r="DW459" s="116"/>
      <c r="DX459" s="219"/>
      <c r="DY459" s="219"/>
      <c r="DZ459" s="116"/>
      <c r="EA459" s="116"/>
      <c r="EB459" s="116"/>
      <c r="EC459" s="116"/>
      <c r="ED459" s="116"/>
      <c r="EF459" s="332"/>
      <c r="EG459" s="116"/>
      <c r="EH459" s="116"/>
      <c r="EI459" s="116"/>
      <c r="EJ459" s="116"/>
      <c r="EK459" s="116"/>
      <c r="EM459" s="116"/>
      <c r="EN459" s="116"/>
      <c r="EO459" s="116"/>
      <c r="EQ459" s="116"/>
      <c r="ER459" s="116"/>
      <c r="ES459" s="116"/>
      <c r="ET459" s="116"/>
      <c r="EU459" s="116"/>
      <c r="EV459" s="116"/>
      <c r="EX459" s="116"/>
      <c r="EY459" s="116"/>
      <c r="EZ459" s="116"/>
      <c r="FA459" s="116"/>
      <c r="FB459" s="116"/>
    </row>
    <row r="460" spans="5:158" ht="13">
      <c r="E460" s="153"/>
      <c r="T460" s="153"/>
      <c r="BD460" s="31"/>
      <c r="BE460" s="31"/>
      <c r="BF460" s="31"/>
      <c r="BG460" s="31"/>
      <c r="BH460" s="31"/>
      <c r="BI460" s="116"/>
      <c r="BL460" s="196"/>
      <c r="BM460" s="239"/>
      <c r="BN460" s="330"/>
      <c r="BP460" s="330"/>
      <c r="BS460" s="116"/>
      <c r="BU460" s="331"/>
      <c r="BW460" s="116"/>
      <c r="BX460" s="116"/>
      <c r="BZ460" s="330"/>
      <c r="CB460" s="330"/>
      <c r="CC460" s="116"/>
      <c r="CG460" s="242"/>
      <c r="CH460" s="116"/>
      <c r="CI460" s="116"/>
      <c r="CJ460" s="116"/>
      <c r="CL460" s="116"/>
      <c r="CN460" s="239"/>
      <c r="CO460" s="153"/>
      <c r="DM460" s="116"/>
      <c r="DN460" s="116"/>
      <c r="DO460" s="116"/>
      <c r="DP460" s="116"/>
      <c r="DW460" s="116"/>
      <c r="DX460" s="219"/>
      <c r="DY460" s="219"/>
      <c r="DZ460" s="116"/>
      <c r="EA460" s="116"/>
      <c r="EB460" s="116"/>
      <c r="EC460" s="116"/>
      <c r="ED460" s="116"/>
      <c r="EF460" s="332"/>
      <c r="EG460" s="116"/>
      <c r="EH460" s="116"/>
      <c r="EI460" s="116"/>
      <c r="EJ460" s="116"/>
      <c r="EK460" s="116"/>
      <c r="EM460" s="116"/>
      <c r="EN460" s="116"/>
      <c r="EO460" s="116"/>
      <c r="EQ460" s="116"/>
      <c r="ER460" s="116"/>
      <c r="ES460" s="116"/>
      <c r="ET460" s="116"/>
      <c r="EU460" s="116"/>
      <c r="EV460" s="116"/>
      <c r="EX460" s="116"/>
      <c r="EY460" s="116"/>
      <c r="EZ460" s="116"/>
      <c r="FA460" s="116"/>
      <c r="FB460" s="116"/>
    </row>
    <row r="461" spans="5:158" ht="13">
      <c r="E461" s="153"/>
      <c r="T461" s="153"/>
      <c r="BD461" s="31"/>
      <c r="BE461" s="31"/>
      <c r="BF461" s="31"/>
      <c r="BG461" s="31"/>
      <c r="BH461" s="31"/>
      <c r="BI461" s="116"/>
      <c r="BL461" s="196"/>
      <c r="BM461" s="239"/>
      <c r="BN461" s="330"/>
      <c r="BP461" s="330"/>
      <c r="BS461" s="116"/>
      <c r="BU461" s="331"/>
      <c r="BW461" s="116"/>
      <c r="BX461" s="116"/>
      <c r="BZ461" s="330"/>
      <c r="CB461" s="330"/>
      <c r="CC461" s="116"/>
      <c r="CG461" s="242"/>
      <c r="CH461" s="116"/>
      <c r="CI461" s="116"/>
      <c r="CJ461" s="116"/>
      <c r="CL461" s="116"/>
      <c r="CN461" s="239"/>
      <c r="CO461" s="153"/>
      <c r="DM461" s="116"/>
      <c r="DN461" s="116"/>
      <c r="DO461" s="116"/>
      <c r="DP461" s="116"/>
      <c r="DW461" s="116"/>
      <c r="DX461" s="219"/>
      <c r="DY461" s="219"/>
      <c r="DZ461" s="116"/>
      <c r="EA461" s="116"/>
      <c r="EB461" s="116"/>
      <c r="EC461" s="116"/>
      <c r="ED461" s="116"/>
      <c r="EF461" s="332"/>
      <c r="EG461" s="116"/>
      <c r="EH461" s="116"/>
      <c r="EI461" s="116"/>
      <c r="EJ461" s="116"/>
      <c r="EK461" s="116"/>
      <c r="EM461" s="116"/>
      <c r="EN461" s="116"/>
      <c r="EO461" s="116"/>
      <c r="EQ461" s="116"/>
      <c r="ER461" s="116"/>
      <c r="ES461" s="116"/>
      <c r="ET461" s="116"/>
      <c r="EU461" s="116"/>
      <c r="EV461" s="116"/>
      <c r="EX461" s="116"/>
      <c r="EY461" s="116"/>
      <c r="EZ461" s="116"/>
      <c r="FA461" s="116"/>
      <c r="FB461" s="116"/>
    </row>
    <row r="462" spans="5:158" ht="13">
      <c r="E462" s="153"/>
      <c r="T462" s="153"/>
      <c r="BD462" s="31"/>
      <c r="BE462" s="31"/>
      <c r="BF462" s="31"/>
      <c r="BG462" s="31"/>
      <c r="BH462" s="31"/>
      <c r="BI462" s="116"/>
      <c r="BL462" s="196"/>
      <c r="BM462" s="239"/>
      <c r="BN462" s="330"/>
      <c r="BP462" s="330"/>
      <c r="BS462" s="116"/>
      <c r="BU462" s="331"/>
      <c r="BW462" s="116"/>
      <c r="BX462" s="116"/>
      <c r="BZ462" s="330"/>
      <c r="CB462" s="330"/>
      <c r="CC462" s="116"/>
      <c r="CG462" s="242"/>
      <c r="CH462" s="116"/>
      <c r="CI462" s="116"/>
      <c r="CJ462" s="116"/>
      <c r="CL462" s="116"/>
      <c r="CN462" s="239"/>
      <c r="CO462" s="153"/>
      <c r="DM462" s="116"/>
      <c r="DN462" s="116"/>
      <c r="DO462" s="116"/>
      <c r="DP462" s="116"/>
      <c r="DW462" s="116"/>
      <c r="DX462" s="219"/>
      <c r="DY462" s="219"/>
      <c r="DZ462" s="116"/>
      <c r="EA462" s="116"/>
      <c r="EB462" s="116"/>
      <c r="EC462" s="116"/>
      <c r="ED462" s="116"/>
      <c r="EF462" s="332"/>
      <c r="EG462" s="116"/>
      <c r="EH462" s="116"/>
      <c r="EI462" s="116"/>
      <c r="EJ462" s="116"/>
      <c r="EK462" s="116"/>
      <c r="EM462" s="116"/>
      <c r="EN462" s="116"/>
      <c r="EO462" s="116"/>
      <c r="EQ462" s="116"/>
      <c r="ER462" s="116"/>
      <c r="ES462" s="116"/>
      <c r="ET462" s="116"/>
      <c r="EU462" s="116"/>
      <c r="EV462" s="116"/>
      <c r="EX462" s="116"/>
      <c r="EY462" s="116"/>
      <c r="EZ462" s="116"/>
      <c r="FA462" s="116"/>
      <c r="FB462" s="116"/>
    </row>
    <row r="463" spans="5:158" ht="13">
      <c r="E463" s="153"/>
      <c r="T463" s="153"/>
      <c r="BD463" s="31"/>
      <c r="BE463" s="31"/>
      <c r="BF463" s="31"/>
      <c r="BG463" s="31"/>
      <c r="BH463" s="31"/>
      <c r="BI463" s="116"/>
      <c r="BL463" s="196"/>
      <c r="BM463" s="239"/>
      <c r="BN463" s="330"/>
      <c r="BP463" s="330"/>
      <c r="BS463" s="116"/>
      <c r="BU463" s="331"/>
      <c r="BW463" s="116"/>
      <c r="BX463" s="116"/>
      <c r="BZ463" s="330"/>
      <c r="CB463" s="330"/>
      <c r="CC463" s="116"/>
      <c r="CG463" s="242"/>
      <c r="CH463" s="116"/>
      <c r="CI463" s="116"/>
      <c r="CJ463" s="116"/>
      <c r="CL463" s="116"/>
      <c r="CN463" s="239"/>
      <c r="CO463" s="153"/>
      <c r="DM463" s="116"/>
      <c r="DN463" s="116"/>
      <c r="DO463" s="116"/>
      <c r="DP463" s="116"/>
      <c r="DW463" s="116"/>
      <c r="DX463" s="219"/>
      <c r="DY463" s="219"/>
      <c r="DZ463" s="116"/>
      <c r="EA463" s="116"/>
      <c r="EB463" s="116"/>
      <c r="EC463" s="116"/>
      <c r="ED463" s="116"/>
      <c r="EF463" s="332"/>
      <c r="EG463" s="116"/>
      <c r="EH463" s="116"/>
      <c r="EI463" s="116"/>
      <c r="EJ463" s="116"/>
      <c r="EK463" s="116"/>
      <c r="EM463" s="116"/>
      <c r="EN463" s="116"/>
      <c r="EO463" s="116"/>
      <c r="EQ463" s="116"/>
      <c r="ER463" s="116"/>
      <c r="ES463" s="116"/>
      <c r="ET463" s="116"/>
      <c r="EU463" s="116"/>
      <c r="EV463" s="116"/>
      <c r="EX463" s="116"/>
      <c r="EY463" s="116"/>
      <c r="EZ463" s="116"/>
      <c r="FA463" s="116"/>
      <c r="FB463" s="116"/>
    </row>
    <row r="464" spans="5:158" ht="13">
      <c r="E464" s="153"/>
      <c r="T464" s="153"/>
      <c r="BD464" s="31"/>
      <c r="BE464" s="31"/>
      <c r="BF464" s="31"/>
      <c r="BG464" s="31"/>
      <c r="BH464" s="31"/>
      <c r="BI464" s="116"/>
      <c r="BL464" s="196"/>
      <c r="BM464" s="239"/>
      <c r="BN464" s="330"/>
      <c r="BP464" s="330"/>
      <c r="BS464" s="116"/>
      <c r="BU464" s="331"/>
      <c r="BW464" s="116"/>
      <c r="BX464" s="116"/>
      <c r="BZ464" s="330"/>
      <c r="CB464" s="330"/>
      <c r="CC464" s="116"/>
      <c r="CG464" s="242"/>
      <c r="CH464" s="116"/>
      <c r="CI464" s="116"/>
      <c r="CJ464" s="116"/>
      <c r="CL464" s="116"/>
      <c r="CN464" s="239"/>
      <c r="CO464" s="153"/>
      <c r="DM464" s="116"/>
      <c r="DN464" s="116"/>
      <c r="DO464" s="116"/>
      <c r="DP464" s="116"/>
      <c r="DW464" s="116"/>
      <c r="DX464" s="219"/>
      <c r="DY464" s="219"/>
      <c r="DZ464" s="116"/>
      <c r="EA464" s="116"/>
      <c r="EB464" s="116"/>
      <c r="EC464" s="116"/>
      <c r="ED464" s="116"/>
      <c r="EF464" s="332"/>
      <c r="EG464" s="116"/>
      <c r="EH464" s="116"/>
      <c r="EI464" s="116"/>
      <c r="EJ464" s="116"/>
      <c r="EK464" s="116"/>
      <c r="EM464" s="116"/>
      <c r="EN464" s="116"/>
      <c r="EO464" s="116"/>
      <c r="EQ464" s="116"/>
      <c r="ER464" s="116"/>
      <c r="ES464" s="116"/>
      <c r="ET464" s="116"/>
      <c r="EU464" s="116"/>
      <c r="EV464" s="116"/>
      <c r="EX464" s="116"/>
      <c r="EY464" s="116"/>
      <c r="EZ464" s="116"/>
      <c r="FA464" s="116"/>
      <c r="FB464" s="116"/>
    </row>
    <row r="465" spans="5:158" ht="13">
      <c r="E465" s="153"/>
      <c r="T465" s="153"/>
      <c r="BD465" s="31"/>
      <c r="BE465" s="31"/>
      <c r="BF465" s="31"/>
      <c r="BG465" s="31"/>
      <c r="BH465" s="31"/>
      <c r="BI465" s="116"/>
      <c r="BL465" s="196"/>
      <c r="BM465" s="239"/>
      <c r="BN465" s="330"/>
      <c r="BP465" s="330"/>
      <c r="BS465" s="116"/>
      <c r="BU465" s="331"/>
      <c r="BW465" s="116"/>
      <c r="BX465" s="116"/>
      <c r="BZ465" s="330"/>
      <c r="CB465" s="330"/>
      <c r="CC465" s="116"/>
      <c r="CG465" s="242"/>
      <c r="CH465" s="116"/>
      <c r="CI465" s="116"/>
      <c r="CJ465" s="116"/>
      <c r="CL465" s="116"/>
      <c r="CN465" s="239"/>
      <c r="CO465" s="153"/>
      <c r="DM465" s="116"/>
      <c r="DN465" s="116"/>
      <c r="DO465" s="116"/>
      <c r="DP465" s="116"/>
      <c r="DW465" s="116"/>
      <c r="DX465" s="219"/>
      <c r="DY465" s="219"/>
      <c r="DZ465" s="116"/>
      <c r="EA465" s="116"/>
      <c r="EB465" s="116"/>
      <c r="EC465" s="116"/>
      <c r="ED465" s="116"/>
      <c r="EF465" s="332"/>
      <c r="EG465" s="116"/>
      <c r="EH465" s="116"/>
      <c r="EI465" s="116"/>
      <c r="EJ465" s="116"/>
      <c r="EK465" s="116"/>
      <c r="EM465" s="116"/>
      <c r="EN465" s="116"/>
      <c r="EO465" s="116"/>
      <c r="EQ465" s="116"/>
      <c r="ER465" s="116"/>
      <c r="ES465" s="116"/>
      <c r="ET465" s="116"/>
      <c r="EU465" s="116"/>
      <c r="EV465" s="116"/>
      <c r="EX465" s="116"/>
      <c r="EY465" s="116"/>
      <c r="EZ465" s="116"/>
      <c r="FA465" s="116"/>
      <c r="FB465" s="116"/>
    </row>
    <row r="466" spans="5:158" ht="13">
      <c r="E466" s="153"/>
      <c r="T466" s="153"/>
      <c r="BD466" s="31"/>
      <c r="BE466" s="31"/>
      <c r="BF466" s="31"/>
      <c r="BG466" s="31"/>
      <c r="BH466" s="31"/>
      <c r="BI466" s="116"/>
      <c r="BL466" s="196"/>
      <c r="BM466" s="239"/>
      <c r="BN466" s="330"/>
      <c r="BP466" s="330"/>
      <c r="BS466" s="116"/>
      <c r="BU466" s="331"/>
      <c r="BW466" s="116"/>
      <c r="BX466" s="116"/>
      <c r="BZ466" s="330"/>
      <c r="CB466" s="330"/>
      <c r="CC466" s="116"/>
      <c r="CG466" s="242"/>
      <c r="CH466" s="116"/>
      <c r="CI466" s="116"/>
      <c r="CJ466" s="116"/>
      <c r="CL466" s="116"/>
      <c r="CN466" s="239"/>
      <c r="CO466" s="153"/>
      <c r="DM466" s="116"/>
      <c r="DN466" s="116"/>
      <c r="DO466" s="116"/>
      <c r="DP466" s="116"/>
      <c r="DW466" s="116"/>
      <c r="DX466" s="219"/>
      <c r="DY466" s="219"/>
      <c r="DZ466" s="116"/>
      <c r="EA466" s="116"/>
      <c r="EB466" s="116"/>
      <c r="EC466" s="116"/>
      <c r="ED466" s="116"/>
      <c r="EF466" s="332"/>
      <c r="EG466" s="116"/>
      <c r="EH466" s="116"/>
      <c r="EI466" s="116"/>
      <c r="EJ466" s="116"/>
      <c r="EK466" s="116"/>
      <c r="EM466" s="116"/>
      <c r="EN466" s="116"/>
      <c r="EO466" s="116"/>
      <c r="EQ466" s="116"/>
      <c r="ER466" s="116"/>
      <c r="ES466" s="116"/>
      <c r="ET466" s="116"/>
      <c r="EU466" s="116"/>
      <c r="EV466" s="116"/>
      <c r="EX466" s="116"/>
      <c r="EY466" s="116"/>
      <c r="EZ466" s="116"/>
      <c r="FA466" s="116"/>
      <c r="FB466" s="116"/>
    </row>
    <row r="467" spans="5:158" ht="13">
      <c r="E467" s="153"/>
      <c r="T467" s="153"/>
      <c r="BD467" s="31"/>
      <c r="BE467" s="31"/>
      <c r="BF467" s="31"/>
      <c r="BG467" s="31"/>
      <c r="BH467" s="31"/>
      <c r="BI467" s="116"/>
      <c r="BL467" s="196"/>
      <c r="BM467" s="239"/>
      <c r="BN467" s="330"/>
      <c r="BP467" s="330"/>
      <c r="BS467" s="116"/>
      <c r="BU467" s="331"/>
      <c r="BW467" s="116"/>
      <c r="BX467" s="116"/>
      <c r="BZ467" s="330"/>
      <c r="CB467" s="330"/>
      <c r="CC467" s="116"/>
      <c r="CG467" s="242"/>
      <c r="CH467" s="116"/>
      <c r="CI467" s="116"/>
      <c r="CJ467" s="116"/>
      <c r="CL467" s="116"/>
      <c r="CN467" s="239"/>
      <c r="CO467" s="153"/>
      <c r="DM467" s="116"/>
      <c r="DN467" s="116"/>
      <c r="DO467" s="116"/>
      <c r="DP467" s="116"/>
      <c r="DW467" s="116"/>
      <c r="DX467" s="219"/>
      <c r="DY467" s="219"/>
      <c r="DZ467" s="116"/>
      <c r="EA467" s="116"/>
      <c r="EB467" s="116"/>
      <c r="EC467" s="116"/>
      <c r="ED467" s="116"/>
      <c r="EF467" s="332"/>
      <c r="EG467" s="116"/>
      <c r="EH467" s="116"/>
      <c r="EI467" s="116"/>
      <c r="EJ467" s="116"/>
      <c r="EK467" s="116"/>
      <c r="EM467" s="116"/>
      <c r="EN467" s="116"/>
      <c r="EO467" s="116"/>
      <c r="EQ467" s="116"/>
      <c r="ER467" s="116"/>
      <c r="ES467" s="116"/>
      <c r="ET467" s="116"/>
      <c r="EU467" s="116"/>
      <c r="EV467" s="116"/>
      <c r="EX467" s="116"/>
      <c r="EY467" s="116"/>
      <c r="EZ467" s="116"/>
      <c r="FA467" s="116"/>
      <c r="FB467" s="116"/>
    </row>
    <row r="468" spans="5:158" ht="13">
      <c r="E468" s="153"/>
      <c r="T468" s="153"/>
      <c r="BD468" s="31"/>
      <c r="BE468" s="31"/>
      <c r="BF468" s="31"/>
      <c r="BG468" s="31"/>
      <c r="BH468" s="31"/>
      <c r="BI468" s="116"/>
      <c r="BL468" s="196"/>
      <c r="BM468" s="239"/>
      <c r="BN468" s="330"/>
      <c r="BP468" s="330"/>
      <c r="BS468" s="116"/>
      <c r="BU468" s="331"/>
      <c r="BW468" s="116"/>
      <c r="BX468" s="116"/>
      <c r="BZ468" s="330"/>
      <c r="CB468" s="330"/>
      <c r="CC468" s="116"/>
      <c r="CG468" s="242"/>
      <c r="CH468" s="116"/>
      <c r="CI468" s="116"/>
      <c r="CJ468" s="116"/>
      <c r="CL468" s="116"/>
      <c r="CN468" s="239"/>
      <c r="CO468" s="153"/>
      <c r="DM468" s="116"/>
      <c r="DN468" s="116"/>
      <c r="DO468" s="116"/>
      <c r="DP468" s="116"/>
      <c r="DW468" s="116"/>
      <c r="DX468" s="219"/>
      <c r="DY468" s="219"/>
      <c r="DZ468" s="116"/>
      <c r="EA468" s="116"/>
      <c r="EB468" s="116"/>
      <c r="EC468" s="116"/>
      <c r="ED468" s="116"/>
      <c r="EF468" s="332"/>
      <c r="EG468" s="116"/>
      <c r="EH468" s="116"/>
      <c r="EI468" s="116"/>
      <c r="EJ468" s="116"/>
      <c r="EK468" s="116"/>
      <c r="EM468" s="116"/>
      <c r="EN468" s="116"/>
      <c r="EO468" s="116"/>
      <c r="EQ468" s="116"/>
      <c r="ER468" s="116"/>
      <c r="ES468" s="116"/>
      <c r="ET468" s="116"/>
      <c r="EU468" s="116"/>
      <c r="EV468" s="116"/>
      <c r="EX468" s="116"/>
      <c r="EY468" s="116"/>
      <c r="EZ468" s="116"/>
      <c r="FA468" s="116"/>
      <c r="FB468" s="116"/>
    </row>
    <row r="469" spans="5:158" ht="13">
      <c r="E469" s="153"/>
      <c r="T469" s="153"/>
      <c r="BD469" s="31"/>
      <c r="BE469" s="31"/>
      <c r="BF469" s="31"/>
      <c r="BG469" s="31"/>
      <c r="BH469" s="31"/>
      <c r="BI469" s="116"/>
      <c r="BL469" s="196"/>
      <c r="BM469" s="239"/>
      <c r="BN469" s="330"/>
      <c r="BP469" s="330"/>
      <c r="BS469" s="116"/>
      <c r="BU469" s="331"/>
      <c r="BW469" s="116"/>
      <c r="BX469" s="116"/>
      <c r="BZ469" s="330"/>
      <c r="CB469" s="330"/>
      <c r="CC469" s="116"/>
      <c r="CG469" s="242"/>
      <c r="CH469" s="116"/>
      <c r="CI469" s="116"/>
      <c r="CJ469" s="116"/>
      <c r="CL469" s="116"/>
      <c r="CN469" s="239"/>
      <c r="CO469" s="153"/>
      <c r="DM469" s="116"/>
      <c r="DN469" s="116"/>
      <c r="DO469" s="116"/>
      <c r="DP469" s="116"/>
      <c r="DW469" s="116"/>
      <c r="DX469" s="219"/>
      <c r="DY469" s="219"/>
      <c r="DZ469" s="116"/>
      <c r="EA469" s="116"/>
      <c r="EB469" s="116"/>
      <c r="EC469" s="116"/>
      <c r="ED469" s="116"/>
      <c r="EF469" s="332"/>
      <c r="EG469" s="116"/>
      <c r="EH469" s="116"/>
      <c r="EI469" s="116"/>
      <c r="EJ469" s="116"/>
      <c r="EK469" s="116"/>
      <c r="EM469" s="116"/>
      <c r="EN469" s="116"/>
      <c r="EO469" s="116"/>
      <c r="EQ469" s="116"/>
      <c r="ER469" s="116"/>
      <c r="ES469" s="116"/>
      <c r="ET469" s="116"/>
      <c r="EU469" s="116"/>
      <c r="EV469" s="116"/>
      <c r="EX469" s="116"/>
      <c r="EY469" s="116"/>
      <c r="EZ469" s="116"/>
      <c r="FA469" s="116"/>
      <c r="FB469" s="116"/>
    </row>
    <row r="470" spans="5:158" ht="13">
      <c r="E470" s="153"/>
      <c r="T470" s="153"/>
      <c r="BD470" s="31"/>
      <c r="BE470" s="31"/>
      <c r="BF470" s="31"/>
      <c r="BG470" s="31"/>
      <c r="BH470" s="31"/>
      <c r="BI470" s="116"/>
      <c r="BL470" s="196"/>
      <c r="BM470" s="239"/>
      <c r="BN470" s="330"/>
      <c r="BP470" s="330"/>
      <c r="BS470" s="116"/>
      <c r="BU470" s="331"/>
      <c r="BW470" s="116"/>
      <c r="BX470" s="116"/>
      <c r="BZ470" s="330"/>
      <c r="CB470" s="330"/>
      <c r="CC470" s="116"/>
      <c r="CG470" s="242"/>
      <c r="CH470" s="116"/>
      <c r="CI470" s="116"/>
      <c r="CJ470" s="116"/>
      <c r="CL470" s="116"/>
      <c r="CN470" s="239"/>
      <c r="CO470" s="153"/>
      <c r="DM470" s="116"/>
      <c r="DN470" s="116"/>
      <c r="DO470" s="116"/>
      <c r="DP470" s="116"/>
      <c r="DW470" s="116"/>
      <c r="DX470" s="219"/>
      <c r="DY470" s="219"/>
      <c r="DZ470" s="116"/>
      <c r="EA470" s="116"/>
      <c r="EB470" s="116"/>
      <c r="EC470" s="116"/>
      <c r="ED470" s="116"/>
      <c r="EF470" s="332"/>
      <c r="EG470" s="116"/>
      <c r="EH470" s="116"/>
      <c r="EI470" s="116"/>
      <c r="EJ470" s="116"/>
      <c r="EK470" s="116"/>
      <c r="EM470" s="116"/>
      <c r="EN470" s="116"/>
      <c r="EO470" s="116"/>
      <c r="EQ470" s="116"/>
      <c r="ER470" s="116"/>
      <c r="ES470" s="116"/>
      <c r="ET470" s="116"/>
      <c r="EU470" s="116"/>
      <c r="EV470" s="116"/>
      <c r="EX470" s="116"/>
      <c r="EY470" s="116"/>
      <c r="EZ470" s="116"/>
      <c r="FA470" s="116"/>
      <c r="FB470" s="116"/>
    </row>
    <row r="471" spans="5:158" ht="13">
      <c r="E471" s="153"/>
      <c r="T471" s="153"/>
      <c r="BD471" s="31"/>
      <c r="BE471" s="31"/>
      <c r="BF471" s="31"/>
      <c r="BG471" s="31"/>
      <c r="BH471" s="31"/>
      <c r="BI471" s="116"/>
      <c r="BL471" s="196"/>
      <c r="BM471" s="239"/>
      <c r="BN471" s="330"/>
      <c r="BP471" s="330"/>
      <c r="BS471" s="116"/>
      <c r="BU471" s="331"/>
      <c r="BW471" s="116"/>
      <c r="BX471" s="116"/>
      <c r="BZ471" s="330"/>
      <c r="CB471" s="330"/>
      <c r="CC471" s="116"/>
      <c r="CG471" s="242"/>
      <c r="CH471" s="116"/>
      <c r="CI471" s="116"/>
      <c r="CJ471" s="116"/>
      <c r="CL471" s="116"/>
      <c r="CN471" s="239"/>
      <c r="CO471" s="153"/>
      <c r="DM471" s="116"/>
      <c r="DN471" s="116"/>
      <c r="DO471" s="116"/>
      <c r="DP471" s="116"/>
      <c r="DW471" s="116"/>
      <c r="DX471" s="219"/>
      <c r="DY471" s="219"/>
      <c r="DZ471" s="116"/>
      <c r="EA471" s="116"/>
      <c r="EB471" s="116"/>
      <c r="EC471" s="116"/>
      <c r="ED471" s="116"/>
      <c r="EF471" s="332"/>
      <c r="EG471" s="116"/>
      <c r="EH471" s="116"/>
      <c r="EI471" s="116"/>
      <c r="EJ471" s="116"/>
      <c r="EK471" s="116"/>
      <c r="EM471" s="116"/>
      <c r="EN471" s="116"/>
      <c r="EO471" s="116"/>
      <c r="EQ471" s="116"/>
      <c r="ER471" s="116"/>
      <c r="ES471" s="116"/>
      <c r="ET471" s="116"/>
      <c r="EU471" s="116"/>
      <c r="EV471" s="116"/>
      <c r="EX471" s="116"/>
      <c r="EY471" s="116"/>
      <c r="EZ471" s="116"/>
      <c r="FA471" s="116"/>
      <c r="FB471" s="116"/>
    </row>
    <row r="472" spans="5:158" ht="13">
      <c r="E472" s="153"/>
      <c r="T472" s="153"/>
      <c r="BD472" s="31"/>
      <c r="BE472" s="31"/>
      <c r="BF472" s="31"/>
      <c r="BG472" s="31"/>
      <c r="BH472" s="31"/>
      <c r="BI472" s="116"/>
      <c r="BL472" s="196"/>
      <c r="BM472" s="239"/>
      <c r="BN472" s="330"/>
      <c r="BP472" s="330"/>
      <c r="BS472" s="116"/>
      <c r="BU472" s="331"/>
      <c r="BW472" s="116"/>
      <c r="BX472" s="116"/>
      <c r="BZ472" s="330"/>
      <c r="CB472" s="330"/>
      <c r="CC472" s="116"/>
      <c r="CG472" s="242"/>
      <c r="CH472" s="116"/>
      <c r="CI472" s="116"/>
      <c r="CJ472" s="116"/>
      <c r="CL472" s="116"/>
      <c r="CN472" s="239"/>
      <c r="CO472" s="153"/>
      <c r="DM472" s="116"/>
      <c r="DN472" s="116"/>
      <c r="DO472" s="116"/>
      <c r="DP472" s="116"/>
      <c r="DW472" s="116"/>
      <c r="DX472" s="219"/>
      <c r="DY472" s="219"/>
      <c r="DZ472" s="116"/>
      <c r="EA472" s="116"/>
      <c r="EB472" s="116"/>
      <c r="EC472" s="116"/>
      <c r="ED472" s="116"/>
      <c r="EF472" s="332"/>
      <c r="EG472" s="116"/>
      <c r="EH472" s="116"/>
      <c r="EI472" s="116"/>
      <c r="EJ472" s="116"/>
      <c r="EK472" s="116"/>
      <c r="EM472" s="116"/>
      <c r="EN472" s="116"/>
      <c r="EO472" s="116"/>
      <c r="EQ472" s="116"/>
      <c r="ER472" s="116"/>
      <c r="ES472" s="116"/>
      <c r="ET472" s="116"/>
      <c r="EU472" s="116"/>
      <c r="EV472" s="116"/>
      <c r="EX472" s="116"/>
      <c r="EY472" s="116"/>
      <c r="EZ472" s="116"/>
      <c r="FA472" s="116"/>
      <c r="FB472" s="116"/>
    </row>
    <row r="473" spans="5:158" ht="13">
      <c r="E473" s="153"/>
      <c r="T473" s="153"/>
      <c r="BD473" s="31"/>
      <c r="BE473" s="31"/>
      <c r="BF473" s="31"/>
      <c r="BG473" s="31"/>
      <c r="BH473" s="31"/>
      <c r="BI473" s="116"/>
      <c r="BL473" s="196"/>
      <c r="BM473" s="239"/>
      <c r="BN473" s="330"/>
      <c r="BP473" s="330"/>
      <c r="BS473" s="116"/>
      <c r="BU473" s="331"/>
      <c r="BW473" s="116"/>
      <c r="BX473" s="116"/>
      <c r="BZ473" s="330"/>
      <c r="CB473" s="330"/>
      <c r="CC473" s="116"/>
      <c r="CG473" s="242"/>
      <c r="CH473" s="116"/>
      <c r="CI473" s="116"/>
      <c r="CJ473" s="116"/>
      <c r="CL473" s="116"/>
      <c r="CN473" s="239"/>
      <c r="CO473" s="153"/>
      <c r="DM473" s="116"/>
      <c r="DN473" s="116"/>
      <c r="DO473" s="116"/>
      <c r="DP473" s="116"/>
      <c r="DW473" s="116"/>
      <c r="DX473" s="219"/>
      <c r="DY473" s="219"/>
      <c r="DZ473" s="116"/>
      <c r="EA473" s="116"/>
      <c r="EB473" s="116"/>
      <c r="EC473" s="116"/>
      <c r="ED473" s="116"/>
      <c r="EF473" s="332"/>
      <c r="EG473" s="116"/>
      <c r="EH473" s="116"/>
      <c r="EI473" s="116"/>
      <c r="EJ473" s="116"/>
      <c r="EK473" s="116"/>
      <c r="EM473" s="116"/>
      <c r="EN473" s="116"/>
      <c r="EO473" s="116"/>
      <c r="EQ473" s="116"/>
      <c r="ER473" s="116"/>
      <c r="ES473" s="116"/>
      <c r="ET473" s="116"/>
      <c r="EU473" s="116"/>
      <c r="EV473" s="116"/>
      <c r="EX473" s="116"/>
      <c r="EY473" s="116"/>
      <c r="EZ473" s="116"/>
      <c r="FA473" s="116"/>
      <c r="FB473" s="116"/>
    </row>
    <row r="474" spans="5:158" ht="13">
      <c r="E474" s="153"/>
      <c r="T474" s="153"/>
      <c r="BD474" s="31"/>
      <c r="BE474" s="31"/>
      <c r="BF474" s="31"/>
      <c r="BG474" s="31"/>
      <c r="BH474" s="31"/>
      <c r="BI474" s="116"/>
      <c r="BL474" s="196"/>
      <c r="BM474" s="239"/>
      <c r="BN474" s="330"/>
      <c r="BP474" s="330"/>
      <c r="BS474" s="116"/>
      <c r="BU474" s="331"/>
      <c r="BW474" s="116"/>
      <c r="BX474" s="116"/>
      <c r="BZ474" s="330"/>
      <c r="CB474" s="330"/>
      <c r="CC474" s="116"/>
      <c r="CG474" s="242"/>
      <c r="CH474" s="116"/>
      <c r="CI474" s="116"/>
      <c r="CJ474" s="116"/>
      <c r="CL474" s="116"/>
      <c r="CN474" s="239"/>
      <c r="CO474" s="153"/>
      <c r="DM474" s="116"/>
      <c r="DN474" s="116"/>
      <c r="DO474" s="116"/>
      <c r="DP474" s="116"/>
      <c r="DW474" s="116"/>
      <c r="DX474" s="219"/>
      <c r="DY474" s="219"/>
      <c r="DZ474" s="116"/>
      <c r="EA474" s="116"/>
      <c r="EB474" s="116"/>
      <c r="EC474" s="116"/>
      <c r="ED474" s="116"/>
      <c r="EF474" s="332"/>
      <c r="EG474" s="116"/>
      <c r="EH474" s="116"/>
      <c r="EI474" s="116"/>
      <c r="EJ474" s="116"/>
      <c r="EK474" s="116"/>
      <c r="EM474" s="116"/>
      <c r="EN474" s="116"/>
      <c r="EO474" s="116"/>
      <c r="EQ474" s="116"/>
      <c r="ER474" s="116"/>
      <c r="ES474" s="116"/>
      <c r="ET474" s="116"/>
      <c r="EU474" s="116"/>
      <c r="EV474" s="116"/>
      <c r="EX474" s="116"/>
      <c r="EY474" s="116"/>
      <c r="EZ474" s="116"/>
      <c r="FA474" s="116"/>
      <c r="FB474" s="116"/>
    </row>
    <row r="475" spans="5:158" ht="13">
      <c r="E475" s="153"/>
      <c r="T475" s="153"/>
      <c r="BD475" s="31"/>
      <c r="BE475" s="31"/>
      <c r="BF475" s="31"/>
      <c r="BG475" s="31"/>
      <c r="BH475" s="31"/>
      <c r="BI475" s="116"/>
      <c r="BL475" s="196"/>
      <c r="BM475" s="239"/>
      <c r="BN475" s="330"/>
      <c r="BP475" s="330"/>
      <c r="BS475" s="116"/>
      <c r="BU475" s="331"/>
      <c r="BW475" s="116"/>
      <c r="BX475" s="116"/>
      <c r="BZ475" s="330"/>
      <c r="CB475" s="330"/>
      <c r="CC475" s="116"/>
      <c r="CG475" s="242"/>
      <c r="CH475" s="116"/>
      <c r="CI475" s="116"/>
      <c r="CJ475" s="116"/>
      <c r="CL475" s="116"/>
      <c r="CN475" s="239"/>
      <c r="CO475" s="153"/>
      <c r="DM475" s="116"/>
      <c r="DN475" s="116"/>
      <c r="DO475" s="116"/>
      <c r="DP475" s="116"/>
      <c r="DW475" s="116"/>
      <c r="DX475" s="219"/>
      <c r="DY475" s="219"/>
      <c r="DZ475" s="116"/>
      <c r="EA475" s="116"/>
      <c r="EB475" s="116"/>
      <c r="EC475" s="116"/>
      <c r="ED475" s="116"/>
      <c r="EF475" s="332"/>
      <c r="EG475" s="116"/>
      <c r="EH475" s="116"/>
      <c r="EI475" s="116"/>
      <c r="EJ475" s="116"/>
      <c r="EK475" s="116"/>
      <c r="EM475" s="116"/>
      <c r="EN475" s="116"/>
      <c r="EO475" s="116"/>
      <c r="EQ475" s="116"/>
      <c r="ER475" s="116"/>
      <c r="ES475" s="116"/>
      <c r="ET475" s="116"/>
      <c r="EU475" s="116"/>
      <c r="EV475" s="116"/>
      <c r="EX475" s="116"/>
      <c r="EY475" s="116"/>
      <c r="EZ475" s="116"/>
      <c r="FA475" s="116"/>
      <c r="FB475" s="116"/>
    </row>
    <row r="476" spans="5:158" ht="13">
      <c r="E476" s="153"/>
      <c r="T476" s="153"/>
      <c r="BD476" s="31"/>
      <c r="BE476" s="31"/>
      <c r="BF476" s="31"/>
      <c r="BG476" s="31"/>
      <c r="BH476" s="31"/>
      <c r="BI476" s="116"/>
      <c r="BL476" s="196"/>
      <c r="BM476" s="239"/>
      <c r="BN476" s="330"/>
      <c r="BP476" s="330"/>
      <c r="BS476" s="116"/>
      <c r="BU476" s="331"/>
      <c r="BW476" s="116"/>
      <c r="BX476" s="116"/>
      <c r="BZ476" s="330"/>
      <c r="CB476" s="330"/>
      <c r="CC476" s="116"/>
      <c r="CG476" s="242"/>
      <c r="CH476" s="116"/>
      <c r="CI476" s="116"/>
      <c r="CJ476" s="116"/>
      <c r="CL476" s="116"/>
      <c r="CN476" s="239"/>
      <c r="CO476" s="153"/>
      <c r="DM476" s="116"/>
      <c r="DN476" s="116"/>
      <c r="DO476" s="116"/>
      <c r="DP476" s="116"/>
      <c r="DW476" s="116"/>
      <c r="DX476" s="219"/>
      <c r="DY476" s="219"/>
      <c r="DZ476" s="116"/>
      <c r="EA476" s="116"/>
      <c r="EB476" s="116"/>
      <c r="EC476" s="116"/>
      <c r="ED476" s="116"/>
      <c r="EF476" s="332"/>
      <c r="EG476" s="116"/>
      <c r="EH476" s="116"/>
      <c r="EI476" s="116"/>
      <c r="EJ476" s="116"/>
      <c r="EK476" s="116"/>
      <c r="EM476" s="116"/>
      <c r="EN476" s="116"/>
      <c r="EO476" s="116"/>
      <c r="EQ476" s="116"/>
      <c r="ER476" s="116"/>
      <c r="ES476" s="116"/>
      <c r="ET476" s="116"/>
      <c r="EU476" s="116"/>
      <c r="EV476" s="116"/>
      <c r="EX476" s="116"/>
      <c r="EY476" s="116"/>
      <c r="EZ476" s="116"/>
      <c r="FA476" s="116"/>
      <c r="FB476" s="116"/>
    </row>
    <row r="477" spans="5:158" ht="13">
      <c r="E477" s="153"/>
      <c r="T477" s="153"/>
      <c r="BD477" s="31"/>
      <c r="BE477" s="31"/>
      <c r="BF477" s="31"/>
      <c r="BG477" s="31"/>
      <c r="BH477" s="31"/>
      <c r="BI477" s="116"/>
      <c r="BL477" s="196"/>
      <c r="BM477" s="239"/>
      <c r="BN477" s="330"/>
      <c r="BP477" s="330"/>
      <c r="BS477" s="116"/>
      <c r="BU477" s="331"/>
      <c r="BW477" s="116"/>
      <c r="BX477" s="116"/>
      <c r="BZ477" s="330"/>
      <c r="CB477" s="330"/>
      <c r="CC477" s="116"/>
      <c r="CG477" s="242"/>
      <c r="CH477" s="116"/>
      <c r="CI477" s="116"/>
      <c r="CJ477" s="116"/>
      <c r="CL477" s="116"/>
      <c r="CN477" s="239"/>
      <c r="CO477" s="153"/>
      <c r="DM477" s="116"/>
      <c r="DN477" s="116"/>
      <c r="DO477" s="116"/>
      <c r="DP477" s="116"/>
      <c r="DW477" s="116"/>
      <c r="DX477" s="219"/>
      <c r="DY477" s="219"/>
      <c r="DZ477" s="116"/>
      <c r="EA477" s="116"/>
      <c r="EB477" s="116"/>
      <c r="EC477" s="116"/>
      <c r="ED477" s="116"/>
      <c r="EF477" s="332"/>
      <c r="EG477" s="116"/>
      <c r="EH477" s="116"/>
      <c r="EI477" s="116"/>
      <c r="EJ477" s="116"/>
      <c r="EK477" s="116"/>
      <c r="EM477" s="116"/>
      <c r="EN477" s="116"/>
      <c r="EO477" s="116"/>
      <c r="EQ477" s="116"/>
      <c r="ER477" s="116"/>
      <c r="ES477" s="116"/>
      <c r="ET477" s="116"/>
      <c r="EU477" s="116"/>
      <c r="EV477" s="116"/>
      <c r="EX477" s="116"/>
      <c r="EY477" s="116"/>
      <c r="EZ477" s="116"/>
      <c r="FA477" s="116"/>
      <c r="FB477" s="116"/>
    </row>
    <row r="478" spans="5:158" ht="13">
      <c r="E478" s="153"/>
      <c r="T478" s="153"/>
      <c r="BD478" s="31"/>
      <c r="BE478" s="31"/>
      <c r="BF478" s="31"/>
      <c r="BG478" s="31"/>
      <c r="BH478" s="31"/>
      <c r="BI478" s="116"/>
      <c r="BL478" s="196"/>
      <c r="BM478" s="239"/>
      <c r="BN478" s="330"/>
      <c r="BP478" s="330"/>
      <c r="BS478" s="116"/>
      <c r="BU478" s="331"/>
      <c r="BW478" s="116"/>
      <c r="BX478" s="116"/>
      <c r="BZ478" s="330"/>
      <c r="CB478" s="330"/>
      <c r="CC478" s="116"/>
      <c r="CG478" s="242"/>
      <c r="CH478" s="116"/>
      <c r="CI478" s="116"/>
      <c r="CJ478" s="116"/>
      <c r="CL478" s="116"/>
      <c r="CN478" s="239"/>
      <c r="CO478" s="153"/>
      <c r="DM478" s="116"/>
      <c r="DN478" s="116"/>
      <c r="DO478" s="116"/>
      <c r="DP478" s="116"/>
      <c r="DW478" s="116"/>
      <c r="DX478" s="219"/>
      <c r="DY478" s="219"/>
      <c r="DZ478" s="116"/>
      <c r="EA478" s="116"/>
      <c r="EB478" s="116"/>
      <c r="EC478" s="116"/>
      <c r="ED478" s="116"/>
      <c r="EF478" s="332"/>
      <c r="EG478" s="116"/>
      <c r="EH478" s="116"/>
      <c r="EI478" s="116"/>
      <c r="EJ478" s="116"/>
      <c r="EK478" s="116"/>
      <c r="EM478" s="116"/>
      <c r="EN478" s="116"/>
      <c r="EO478" s="116"/>
      <c r="EQ478" s="116"/>
      <c r="ER478" s="116"/>
      <c r="ES478" s="116"/>
      <c r="ET478" s="116"/>
      <c r="EU478" s="116"/>
      <c r="EV478" s="116"/>
      <c r="EX478" s="116"/>
      <c r="EY478" s="116"/>
      <c r="EZ478" s="116"/>
      <c r="FA478" s="116"/>
      <c r="FB478" s="116"/>
    </row>
    <row r="479" spans="5:158" ht="13">
      <c r="E479" s="153"/>
      <c r="T479" s="153"/>
      <c r="BD479" s="31"/>
      <c r="BE479" s="31"/>
      <c r="BF479" s="31"/>
      <c r="BG479" s="31"/>
      <c r="BH479" s="31"/>
      <c r="BI479" s="116"/>
      <c r="BL479" s="196"/>
      <c r="BM479" s="239"/>
      <c r="BN479" s="330"/>
      <c r="BP479" s="330"/>
      <c r="BS479" s="116"/>
      <c r="BU479" s="331"/>
      <c r="BW479" s="116"/>
      <c r="BX479" s="116"/>
      <c r="BZ479" s="330"/>
      <c r="CB479" s="330"/>
      <c r="CC479" s="116"/>
      <c r="CG479" s="242"/>
      <c r="CH479" s="116"/>
      <c r="CI479" s="116"/>
      <c r="CJ479" s="116"/>
      <c r="CL479" s="116"/>
      <c r="CN479" s="239"/>
      <c r="CO479" s="153"/>
      <c r="DM479" s="116"/>
      <c r="DN479" s="116"/>
      <c r="DO479" s="116"/>
      <c r="DP479" s="116"/>
      <c r="DW479" s="116"/>
      <c r="DX479" s="219"/>
      <c r="DY479" s="219"/>
      <c r="DZ479" s="116"/>
      <c r="EA479" s="116"/>
      <c r="EB479" s="116"/>
      <c r="EC479" s="116"/>
      <c r="ED479" s="116"/>
      <c r="EF479" s="332"/>
      <c r="EG479" s="116"/>
      <c r="EH479" s="116"/>
      <c r="EI479" s="116"/>
      <c r="EJ479" s="116"/>
      <c r="EK479" s="116"/>
      <c r="EM479" s="116"/>
      <c r="EN479" s="116"/>
      <c r="EO479" s="116"/>
      <c r="EQ479" s="116"/>
      <c r="ER479" s="116"/>
      <c r="ES479" s="116"/>
      <c r="ET479" s="116"/>
      <c r="EU479" s="116"/>
      <c r="EV479" s="116"/>
      <c r="EX479" s="116"/>
      <c r="EY479" s="116"/>
      <c r="EZ479" s="116"/>
      <c r="FA479" s="116"/>
      <c r="FB479" s="116"/>
    </row>
    <row r="480" spans="5:158" ht="13">
      <c r="E480" s="153"/>
      <c r="T480" s="153"/>
      <c r="BD480" s="31"/>
      <c r="BE480" s="31"/>
      <c r="BF480" s="31"/>
      <c r="BG480" s="31"/>
      <c r="BH480" s="31"/>
      <c r="BI480" s="116"/>
      <c r="BL480" s="196"/>
      <c r="BM480" s="239"/>
      <c r="BN480" s="330"/>
      <c r="BP480" s="330"/>
      <c r="BS480" s="116"/>
      <c r="BU480" s="331"/>
      <c r="BW480" s="116"/>
      <c r="BX480" s="116"/>
      <c r="BZ480" s="330"/>
      <c r="CB480" s="330"/>
      <c r="CC480" s="116"/>
      <c r="CG480" s="242"/>
      <c r="CH480" s="116"/>
      <c r="CI480" s="116"/>
      <c r="CJ480" s="116"/>
      <c r="CL480" s="116"/>
      <c r="CN480" s="239"/>
      <c r="CO480" s="153"/>
      <c r="DM480" s="116"/>
      <c r="DN480" s="116"/>
      <c r="DO480" s="116"/>
      <c r="DP480" s="116"/>
      <c r="DW480" s="116"/>
      <c r="DX480" s="219"/>
      <c r="DY480" s="219"/>
      <c r="DZ480" s="116"/>
      <c r="EA480" s="116"/>
      <c r="EB480" s="116"/>
      <c r="EC480" s="116"/>
      <c r="ED480" s="116"/>
      <c r="EF480" s="332"/>
      <c r="EG480" s="116"/>
      <c r="EH480" s="116"/>
      <c r="EI480" s="116"/>
      <c r="EJ480" s="116"/>
      <c r="EK480" s="116"/>
      <c r="EM480" s="116"/>
      <c r="EN480" s="116"/>
      <c r="EO480" s="116"/>
      <c r="EQ480" s="116"/>
      <c r="ER480" s="116"/>
      <c r="ES480" s="116"/>
      <c r="ET480" s="116"/>
      <c r="EU480" s="116"/>
      <c r="EV480" s="116"/>
      <c r="EX480" s="116"/>
      <c r="EY480" s="116"/>
      <c r="EZ480" s="116"/>
      <c r="FA480" s="116"/>
      <c r="FB480" s="116"/>
    </row>
    <row r="481" spans="5:158" ht="13">
      <c r="E481" s="153"/>
      <c r="T481" s="153"/>
      <c r="BD481" s="31"/>
      <c r="BE481" s="31"/>
      <c r="BF481" s="31"/>
      <c r="BG481" s="31"/>
      <c r="BH481" s="31"/>
      <c r="BI481" s="116"/>
      <c r="BL481" s="196"/>
      <c r="BM481" s="239"/>
      <c r="BN481" s="330"/>
      <c r="BP481" s="330"/>
      <c r="BS481" s="116"/>
      <c r="BU481" s="331"/>
      <c r="BW481" s="116"/>
      <c r="BX481" s="116"/>
      <c r="BZ481" s="330"/>
      <c r="CB481" s="330"/>
      <c r="CC481" s="116"/>
      <c r="CG481" s="242"/>
      <c r="CH481" s="116"/>
      <c r="CI481" s="116"/>
      <c r="CJ481" s="116"/>
      <c r="CL481" s="116"/>
      <c r="CN481" s="239"/>
      <c r="CO481" s="153"/>
      <c r="DM481" s="116"/>
      <c r="DN481" s="116"/>
      <c r="DO481" s="116"/>
      <c r="DP481" s="116"/>
      <c r="DW481" s="116"/>
      <c r="DX481" s="219"/>
      <c r="DY481" s="219"/>
      <c r="DZ481" s="116"/>
      <c r="EA481" s="116"/>
      <c r="EB481" s="116"/>
      <c r="EC481" s="116"/>
      <c r="ED481" s="116"/>
      <c r="EF481" s="332"/>
      <c r="EG481" s="116"/>
      <c r="EH481" s="116"/>
      <c r="EI481" s="116"/>
      <c r="EJ481" s="116"/>
      <c r="EK481" s="116"/>
      <c r="EM481" s="116"/>
      <c r="EN481" s="116"/>
      <c r="EO481" s="116"/>
      <c r="EQ481" s="116"/>
      <c r="ER481" s="116"/>
      <c r="ES481" s="116"/>
      <c r="ET481" s="116"/>
      <c r="EU481" s="116"/>
      <c r="EV481" s="116"/>
      <c r="EX481" s="116"/>
      <c r="EY481" s="116"/>
      <c r="EZ481" s="116"/>
      <c r="FA481" s="116"/>
      <c r="FB481" s="116"/>
    </row>
    <row r="482" spans="5:158" ht="13">
      <c r="E482" s="153"/>
      <c r="T482" s="153"/>
      <c r="BD482" s="31"/>
      <c r="BE482" s="31"/>
      <c r="BF482" s="31"/>
      <c r="BG482" s="31"/>
      <c r="BH482" s="31"/>
      <c r="BI482" s="116"/>
      <c r="BL482" s="196"/>
      <c r="BM482" s="239"/>
      <c r="BN482" s="330"/>
      <c r="BP482" s="330"/>
      <c r="BS482" s="116"/>
      <c r="BU482" s="331"/>
      <c r="BW482" s="116"/>
      <c r="BX482" s="116"/>
      <c r="BZ482" s="330"/>
      <c r="CB482" s="330"/>
      <c r="CC482" s="116"/>
      <c r="CG482" s="242"/>
      <c r="CH482" s="116"/>
      <c r="CI482" s="116"/>
      <c r="CJ482" s="116"/>
      <c r="CL482" s="116"/>
      <c r="CN482" s="239"/>
      <c r="CO482" s="153"/>
      <c r="DM482" s="116"/>
      <c r="DN482" s="116"/>
      <c r="DO482" s="116"/>
      <c r="DP482" s="116"/>
      <c r="DW482" s="116"/>
      <c r="DX482" s="219"/>
      <c r="DY482" s="219"/>
      <c r="DZ482" s="116"/>
      <c r="EA482" s="116"/>
      <c r="EB482" s="116"/>
      <c r="EC482" s="116"/>
      <c r="ED482" s="116"/>
      <c r="EF482" s="332"/>
      <c r="EG482" s="116"/>
      <c r="EH482" s="116"/>
      <c r="EI482" s="116"/>
      <c r="EJ482" s="116"/>
      <c r="EK482" s="116"/>
      <c r="EM482" s="116"/>
      <c r="EN482" s="116"/>
      <c r="EO482" s="116"/>
      <c r="EQ482" s="116"/>
      <c r="ER482" s="116"/>
      <c r="ES482" s="116"/>
      <c r="ET482" s="116"/>
      <c r="EU482" s="116"/>
      <c r="EV482" s="116"/>
      <c r="EX482" s="116"/>
      <c r="EY482" s="116"/>
      <c r="EZ482" s="116"/>
      <c r="FA482" s="116"/>
      <c r="FB482" s="116"/>
    </row>
    <row r="483" spans="5:158" ht="13">
      <c r="E483" s="153"/>
      <c r="T483" s="153"/>
      <c r="BD483" s="31"/>
      <c r="BE483" s="31"/>
      <c r="BF483" s="31"/>
      <c r="BG483" s="31"/>
      <c r="BH483" s="31"/>
      <c r="BI483" s="116"/>
      <c r="BL483" s="196"/>
      <c r="BM483" s="239"/>
      <c r="BN483" s="330"/>
      <c r="BP483" s="330"/>
      <c r="BS483" s="116"/>
      <c r="BU483" s="331"/>
      <c r="BW483" s="116"/>
      <c r="BX483" s="116"/>
      <c r="BZ483" s="330"/>
      <c r="CB483" s="330"/>
      <c r="CC483" s="116"/>
      <c r="CG483" s="242"/>
      <c r="CH483" s="116"/>
      <c r="CI483" s="116"/>
      <c r="CJ483" s="116"/>
      <c r="CL483" s="116"/>
      <c r="CN483" s="239"/>
      <c r="CO483" s="153"/>
      <c r="DM483" s="116"/>
      <c r="DN483" s="116"/>
      <c r="DO483" s="116"/>
      <c r="DP483" s="116"/>
      <c r="DW483" s="116"/>
      <c r="DX483" s="219"/>
      <c r="DY483" s="219"/>
      <c r="DZ483" s="116"/>
      <c r="EA483" s="116"/>
      <c r="EB483" s="116"/>
      <c r="EC483" s="116"/>
      <c r="ED483" s="116"/>
      <c r="EF483" s="332"/>
      <c r="EG483" s="116"/>
      <c r="EH483" s="116"/>
      <c r="EI483" s="116"/>
      <c r="EJ483" s="116"/>
      <c r="EK483" s="116"/>
      <c r="EM483" s="116"/>
      <c r="EN483" s="116"/>
      <c r="EO483" s="116"/>
      <c r="EQ483" s="116"/>
      <c r="ER483" s="116"/>
      <c r="ES483" s="116"/>
      <c r="ET483" s="116"/>
      <c r="EU483" s="116"/>
      <c r="EV483" s="116"/>
      <c r="EX483" s="116"/>
      <c r="EY483" s="116"/>
      <c r="EZ483" s="116"/>
      <c r="FA483" s="116"/>
      <c r="FB483" s="116"/>
    </row>
    <row r="484" spans="5:158" ht="13">
      <c r="E484" s="153"/>
      <c r="T484" s="153"/>
      <c r="BD484" s="31"/>
      <c r="BE484" s="31"/>
      <c r="BF484" s="31"/>
      <c r="BG484" s="31"/>
      <c r="BH484" s="31"/>
      <c r="BI484" s="116"/>
      <c r="BL484" s="196"/>
      <c r="BM484" s="239"/>
      <c r="BN484" s="330"/>
      <c r="BP484" s="330"/>
      <c r="BS484" s="116"/>
      <c r="BU484" s="331"/>
      <c r="BW484" s="116"/>
      <c r="BX484" s="116"/>
      <c r="BZ484" s="330"/>
      <c r="CB484" s="330"/>
      <c r="CC484" s="116"/>
      <c r="CG484" s="242"/>
      <c r="CH484" s="116"/>
      <c r="CI484" s="116"/>
      <c r="CJ484" s="116"/>
      <c r="CL484" s="116"/>
      <c r="CN484" s="239"/>
      <c r="CO484" s="153"/>
      <c r="DM484" s="116"/>
      <c r="DN484" s="116"/>
      <c r="DO484" s="116"/>
      <c r="DP484" s="116"/>
      <c r="DW484" s="116"/>
      <c r="DX484" s="219"/>
      <c r="DY484" s="219"/>
      <c r="DZ484" s="116"/>
      <c r="EA484" s="116"/>
      <c r="EB484" s="116"/>
      <c r="EC484" s="116"/>
      <c r="ED484" s="116"/>
      <c r="EF484" s="332"/>
      <c r="EG484" s="116"/>
      <c r="EH484" s="116"/>
      <c r="EI484" s="116"/>
      <c r="EJ484" s="116"/>
      <c r="EK484" s="116"/>
      <c r="EM484" s="116"/>
      <c r="EN484" s="116"/>
      <c r="EO484" s="116"/>
      <c r="EQ484" s="116"/>
      <c r="ER484" s="116"/>
      <c r="ES484" s="116"/>
      <c r="ET484" s="116"/>
      <c r="EU484" s="116"/>
      <c r="EV484" s="116"/>
      <c r="EX484" s="116"/>
      <c r="EY484" s="116"/>
      <c r="EZ484" s="116"/>
      <c r="FA484" s="116"/>
      <c r="FB484" s="116"/>
    </row>
    <row r="485" spans="5:158" ht="13">
      <c r="E485" s="153"/>
      <c r="T485" s="153"/>
      <c r="BD485" s="31"/>
      <c r="BE485" s="31"/>
      <c r="BF485" s="31"/>
      <c r="BG485" s="31"/>
      <c r="BH485" s="31"/>
      <c r="BI485" s="116"/>
      <c r="BL485" s="196"/>
      <c r="BM485" s="239"/>
      <c r="BN485" s="330"/>
      <c r="BP485" s="330"/>
      <c r="BS485" s="116"/>
      <c r="BU485" s="331"/>
      <c r="BW485" s="116"/>
      <c r="BX485" s="116"/>
      <c r="BZ485" s="330"/>
      <c r="CB485" s="330"/>
      <c r="CC485" s="116"/>
      <c r="CG485" s="242"/>
      <c r="CH485" s="116"/>
      <c r="CI485" s="116"/>
      <c r="CJ485" s="116"/>
      <c r="CL485" s="116"/>
      <c r="CN485" s="239"/>
      <c r="CO485" s="153"/>
      <c r="DM485" s="116"/>
      <c r="DN485" s="116"/>
      <c r="DO485" s="116"/>
      <c r="DP485" s="116"/>
      <c r="DW485" s="116"/>
      <c r="DX485" s="219"/>
      <c r="DY485" s="219"/>
      <c r="DZ485" s="116"/>
      <c r="EA485" s="116"/>
      <c r="EB485" s="116"/>
      <c r="EC485" s="116"/>
      <c r="ED485" s="116"/>
      <c r="EF485" s="332"/>
      <c r="EG485" s="116"/>
      <c r="EH485" s="116"/>
      <c r="EI485" s="116"/>
      <c r="EJ485" s="116"/>
      <c r="EK485" s="116"/>
      <c r="EM485" s="116"/>
      <c r="EN485" s="116"/>
      <c r="EO485" s="116"/>
      <c r="EQ485" s="116"/>
      <c r="ER485" s="116"/>
      <c r="ES485" s="116"/>
      <c r="ET485" s="116"/>
      <c r="EU485" s="116"/>
      <c r="EV485" s="116"/>
      <c r="EX485" s="116"/>
      <c r="EY485" s="116"/>
      <c r="EZ485" s="116"/>
      <c r="FA485" s="116"/>
      <c r="FB485" s="116"/>
    </row>
    <row r="486" spans="5:158" ht="13">
      <c r="E486" s="153"/>
      <c r="T486" s="153"/>
      <c r="BD486" s="31"/>
      <c r="BE486" s="31"/>
      <c r="BF486" s="31"/>
      <c r="BG486" s="31"/>
      <c r="BH486" s="31"/>
      <c r="BI486" s="116"/>
      <c r="BL486" s="196"/>
      <c r="BM486" s="239"/>
      <c r="BN486" s="330"/>
      <c r="BP486" s="330"/>
      <c r="BS486" s="116"/>
      <c r="BU486" s="331"/>
      <c r="BW486" s="116"/>
      <c r="BX486" s="116"/>
      <c r="BZ486" s="330"/>
      <c r="CB486" s="330"/>
      <c r="CC486" s="116"/>
      <c r="CG486" s="242"/>
      <c r="CH486" s="116"/>
      <c r="CI486" s="116"/>
      <c r="CJ486" s="116"/>
      <c r="CL486" s="116"/>
      <c r="CN486" s="239"/>
      <c r="CO486" s="153"/>
      <c r="DM486" s="116"/>
      <c r="DN486" s="116"/>
      <c r="DO486" s="116"/>
      <c r="DP486" s="116"/>
      <c r="DW486" s="116"/>
      <c r="DX486" s="219"/>
      <c r="DY486" s="219"/>
      <c r="DZ486" s="116"/>
      <c r="EA486" s="116"/>
      <c r="EB486" s="116"/>
      <c r="EC486" s="116"/>
      <c r="ED486" s="116"/>
      <c r="EF486" s="332"/>
      <c r="EG486" s="116"/>
      <c r="EH486" s="116"/>
      <c r="EI486" s="116"/>
      <c r="EJ486" s="116"/>
      <c r="EK486" s="116"/>
      <c r="EM486" s="116"/>
      <c r="EN486" s="116"/>
      <c r="EO486" s="116"/>
      <c r="EQ486" s="116"/>
      <c r="ER486" s="116"/>
      <c r="ES486" s="116"/>
      <c r="ET486" s="116"/>
      <c r="EU486" s="116"/>
      <c r="EV486" s="116"/>
      <c r="EX486" s="116"/>
      <c r="EY486" s="116"/>
      <c r="EZ486" s="116"/>
      <c r="FA486" s="116"/>
      <c r="FB486" s="116"/>
    </row>
    <row r="487" spans="5:158" ht="13">
      <c r="E487" s="153"/>
      <c r="T487" s="153"/>
      <c r="BD487" s="31"/>
      <c r="BE487" s="31"/>
      <c r="BF487" s="31"/>
      <c r="BG487" s="31"/>
      <c r="BH487" s="31"/>
      <c r="BI487" s="116"/>
      <c r="BL487" s="196"/>
      <c r="BM487" s="239"/>
      <c r="BN487" s="330"/>
      <c r="BP487" s="330"/>
      <c r="BS487" s="116"/>
      <c r="BU487" s="331"/>
      <c r="BW487" s="116"/>
      <c r="BX487" s="116"/>
      <c r="BZ487" s="330"/>
      <c r="CB487" s="330"/>
      <c r="CC487" s="116"/>
      <c r="CG487" s="242"/>
      <c r="CH487" s="116"/>
      <c r="CI487" s="116"/>
      <c r="CJ487" s="116"/>
      <c r="CL487" s="116"/>
      <c r="CN487" s="239"/>
      <c r="CO487" s="153"/>
      <c r="DM487" s="116"/>
      <c r="DN487" s="116"/>
      <c r="DO487" s="116"/>
      <c r="DP487" s="116"/>
      <c r="DW487" s="116"/>
      <c r="DX487" s="219"/>
      <c r="DY487" s="219"/>
      <c r="DZ487" s="116"/>
      <c r="EA487" s="116"/>
      <c r="EB487" s="116"/>
      <c r="EC487" s="116"/>
      <c r="ED487" s="116"/>
      <c r="EF487" s="332"/>
      <c r="EG487" s="116"/>
      <c r="EH487" s="116"/>
      <c r="EI487" s="116"/>
      <c r="EJ487" s="116"/>
      <c r="EK487" s="116"/>
      <c r="EM487" s="116"/>
      <c r="EN487" s="116"/>
      <c r="EO487" s="116"/>
      <c r="EQ487" s="116"/>
      <c r="ER487" s="116"/>
      <c r="ES487" s="116"/>
      <c r="ET487" s="116"/>
      <c r="EU487" s="116"/>
      <c r="EV487" s="116"/>
      <c r="EX487" s="116"/>
      <c r="EY487" s="116"/>
      <c r="EZ487" s="116"/>
      <c r="FA487" s="116"/>
      <c r="FB487" s="116"/>
    </row>
    <row r="488" spans="5:158" ht="13">
      <c r="E488" s="153"/>
      <c r="T488" s="153"/>
      <c r="BD488" s="31"/>
      <c r="BE488" s="31"/>
      <c r="BF488" s="31"/>
      <c r="BG488" s="31"/>
      <c r="BH488" s="31"/>
      <c r="BI488" s="116"/>
      <c r="BL488" s="196"/>
      <c r="BM488" s="239"/>
      <c r="BN488" s="330"/>
      <c r="BP488" s="330"/>
      <c r="BS488" s="116"/>
      <c r="BU488" s="331"/>
      <c r="BW488" s="116"/>
      <c r="BX488" s="116"/>
      <c r="BZ488" s="330"/>
      <c r="CB488" s="330"/>
      <c r="CC488" s="116"/>
      <c r="CG488" s="242"/>
      <c r="CH488" s="116"/>
      <c r="CI488" s="116"/>
      <c r="CJ488" s="116"/>
      <c r="CL488" s="116"/>
      <c r="CN488" s="239"/>
      <c r="CO488" s="153"/>
      <c r="DM488" s="116"/>
      <c r="DN488" s="116"/>
      <c r="DO488" s="116"/>
      <c r="DP488" s="116"/>
      <c r="DW488" s="116"/>
      <c r="DX488" s="219"/>
      <c r="DY488" s="219"/>
      <c r="DZ488" s="116"/>
      <c r="EA488" s="116"/>
      <c r="EB488" s="116"/>
      <c r="EC488" s="116"/>
      <c r="ED488" s="116"/>
      <c r="EF488" s="332"/>
      <c r="EG488" s="116"/>
      <c r="EH488" s="116"/>
      <c r="EI488" s="116"/>
      <c r="EJ488" s="116"/>
      <c r="EK488" s="116"/>
      <c r="EM488" s="116"/>
      <c r="EN488" s="116"/>
      <c r="EO488" s="116"/>
      <c r="EQ488" s="116"/>
      <c r="ER488" s="116"/>
      <c r="ES488" s="116"/>
      <c r="ET488" s="116"/>
      <c r="EU488" s="116"/>
      <c r="EV488" s="116"/>
      <c r="EX488" s="116"/>
      <c r="EY488" s="116"/>
      <c r="EZ488" s="116"/>
      <c r="FA488" s="116"/>
      <c r="FB488" s="116"/>
    </row>
    <row r="489" spans="5:158" ht="13">
      <c r="E489" s="153"/>
      <c r="T489" s="153"/>
      <c r="BD489" s="31"/>
      <c r="BE489" s="31"/>
      <c r="BF489" s="31"/>
      <c r="BG489" s="31"/>
      <c r="BH489" s="31"/>
      <c r="BI489" s="116"/>
      <c r="BL489" s="196"/>
      <c r="BM489" s="239"/>
      <c r="BN489" s="330"/>
      <c r="BP489" s="330"/>
      <c r="BS489" s="116"/>
      <c r="BU489" s="331"/>
      <c r="BW489" s="116"/>
      <c r="BX489" s="116"/>
      <c r="BZ489" s="330"/>
      <c r="CB489" s="330"/>
      <c r="CC489" s="116"/>
      <c r="CG489" s="242"/>
      <c r="CH489" s="116"/>
      <c r="CI489" s="116"/>
      <c r="CJ489" s="116"/>
      <c r="CL489" s="116"/>
      <c r="CN489" s="239"/>
      <c r="CO489" s="153"/>
      <c r="DM489" s="116"/>
      <c r="DN489" s="116"/>
      <c r="DO489" s="116"/>
      <c r="DP489" s="116"/>
      <c r="DW489" s="116"/>
      <c r="DX489" s="219"/>
      <c r="DY489" s="219"/>
      <c r="DZ489" s="116"/>
      <c r="EA489" s="116"/>
      <c r="EB489" s="116"/>
      <c r="EC489" s="116"/>
      <c r="ED489" s="116"/>
      <c r="EF489" s="332"/>
      <c r="EG489" s="116"/>
      <c r="EH489" s="116"/>
      <c r="EI489" s="116"/>
      <c r="EJ489" s="116"/>
      <c r="EK489" s="116"/>
      <c r="EM489" s="116"/>
      <c r="EN489" s="116"/>
      <c r="EO489" s="116"/>
      <c r="EQ489" s="116"/>
      <c r="ER489" s="116"/>
      <c r="ES489" s="116"/>
      <c r="ET489" s="116"/>
      <c r="EU489" s="116"/>
      <c r="EV489" s="116"/>
      <c r="EX489" s="116"/>
      <c r="EY489" s="116"/>
      <c r="EZ489" s="116"/>
      <c r="FA489" s="116"/>
      <c r="FB489" s="116"/>
    </row>
    <row r="490" spans="5:158" ht="13">
      <c r="E490" s="153"/>
      <c r="T490" s="153"/>
      <c r="BD490" s="31"/>
      <c r="BE490" s="31"/>
      <c r="BF490" s="31"/>
      <c r="BG490" s="31"/>
      <c r="BH490" s="31"/>
      <c r="BI490" s="116"/>
      <c r="BL490" s="196"/>
      <c r="BM490" s="239"/>
      <c r="BN490" s="330"/>
      <c r="BP490" s="330"/>
      <c r="BS490" s="116"/>
      <c r="BU490" s="331"/>
      <c r="BW490" s="116"/>
      <c r="BX490" s="116"/>
      <c r="BZ490" s="330"/>
      <c r="CB490" s="330"/>
      <c r="CC490" s="116"/>
      <c r="CG490" s="242"/>
      <c r="CH490" s="116"/>
      <c r="CI490" s="116"/>
      <c r="CJ490" s="116"/>
      <c r="CL490" s="116"/>
      <c r="CN490" s="239"/>
      <c r="CO490" s="153"/>
      <c r="DM490" s="116"/>
      <c r="DN490" s="116"/>
      <c r="DO490" s="116"/>
      <c r="DP490" s="116"/>
      <c r="DW490" s="116"/>
      <c r="DX490" s="219"/>
      <c r="DY490" s="219"/>
      <c r="DZ490" s="116"/>
      <c r="EA490" s="116"/>
      <c r="EB490" s="116"/>
      <c r="EC490" s="116"/>
      <c r="ED490" s="116"/>
      <c r="EF490" s="332"/>
      <c r="EG490" s="116"/>
      <c r="EH490" s="116"/>
      <c r="EI490" s="116"/>
      <c r="EJ490" s="116"/>
      <c r="EK490" s="116"/>
      <c r="EM490" s="116"/>
      <c r="EN490" s="116"/>
      <c r="EO490" s="116"/>
      <c r="EQ490" s="116"/>
      <c r="ER490" s="116"/>
      <c r="ES490" s="116"/>
      <c r="ET490" s="116"/>
      <c r="EU490" s="116"/>
      <c r="EV490" s="116"/>
      <c r="EX490" s="116"/>
      <c r="EY490" s="116"/>
      <c r="EZ490" s="116"/>
      <c r="FA490" s="116"/>
      <c r="FB490" s="116"/>
    </row>
    <row r="491" spans="5:158" ht="13">
      <c r="E491" s="153"/>
      <c r="T491" s="153"/>
      <c r="BD491" s="31"/>
      <c r="BE491" s="31"/>
      <c r="BF491" s="31"/>
      <c r="BG491" s="31"/>
      <c r="BH491" s="31"/>
      <c r="BI491" s="116"/>
      <c r="BL491" s="196"/>
      <c r="BM491" s="239"/>
      <c r="BN491" s="330"/>
      <c r="BP491" s="330"/>
      <c r="BS491" s="116"/>
      <c r="BU491" s="331"/>
      <c r="BW491" s="116"/>
      <c r="BX491" s="116"/>
      <c r="BZ491" s="330"/>
      <c r="CB491" s="330"/>
      <c r="CC491" s="116"/>
      <c r="CG491" s="242"/>
      <c r="CH491" s="116"/>
      <c r="CI491" s="116"/>
      <c r="CJ491" s="116"/>
      <c r="CL491" s="116"/>
      <c r="CN491" s="239"/>
      <c r="CO491" s="153"/>
      <c r="DM491" s="116"/>
      <c r="DN491" s="116"/>
      <c r="DO491" s="116"/>
      <c r="DP491" s="116"/>
      <c r="DW491" s="116"/>
      <c r="DX491" s="219"/>
      <c r="DY491" s="219"/>
      <c r="DZ491" s="116"/>
      <c r="EA491" s="116"/>
      <c r="EB491" s="116"/>
      <c r="EC491" s="116"/>
      <c r="ED491" s="116"/>
      <c r="EF491" s="332"/>
      <c r="EG491" s="116"/>
      <c r="EH491" s="116"/>
      <c r="EI491" s="116"/>
      <c r="EJ491" s="116"/>
      <c r="EK491" s="116"/>
      <c r="EM491" s="116"/>
      <c r="EN491" s="116"/>
      <c r="EO491" s="116"/>
      <c r="EQ491" s="116"/>
      <c r="ER491" s="116"/>
      <c r="ES491" s="116"/>
      <c r="ET491" s="116"/>
      <c r="EU491" s="116"/>
      <c r="EV491" s="116"/>
      <c r="EX491" s="116"/>
      <c r="EY491" s="116"/>
      <c r="EZ491" s="116"/>
      <c r="FA491" s="116"/>
      <c r="FB491" s="116"/>
    </row>
    <row r="492" spans="5:158" ht="13">
      <c r="E492" s="153"/>
      <c r="T492" s="153"/>
      <c r="BD492" s="31"/>
      <c r="BE492" s="31"/>
      <c r="BF492" s="31"/>
      <c r="BG492" s="31"/>
      <c r="BH492" s="31"/>
      <c r="BI492" s="116"/>
      <c r="BL492" s="196"/>
      <c r="BM492" s="239"/>
      <c r="BN492" s="330"/>
      <c r="BP492" s="330"/>
      <c r="BS492" s="116"/>
      <c r="BU492" s="331"/>
      <c r="BW492" s="116"/>
      <c r="BX492" s="116"/>
      <c r="BZ492" s="330"/>
      <c r="CB492" s="330"/>
      <c r="CC492" s="116"/>
      <c r="CG492" s="242"/>
      <c r="CH492" s="116"/>
      <c r="CI492" s="116"/>
      <c r="CJ492" s="116"/>
      <c r="CL492" s="116"/>
      <c r="CN492" s="239"/>
      <c r="CO492" s="153"/>
      <c r="DM492" s="116"/>
      <c r="DN492" s="116"/>
      <c r="DO492" s="116"/>
      <c r="DP492" s="116"/>
      <c r="DW492" s="116"/>
      <c r="DX492" s="219"/>
      <c r="DY492" s="219"/>
      <c r="DZ492" s="116"/>
      <c r="EA492" s="116"/>
      <c r="EB492" s="116"/>
      <c r="EC492" s="116"/>
      <c r="ED492" s="116"/>
      <c r="EF492" s="332"/>
      <c r="EG492" s="116"/>
      <c r="EH492" s="116"/>
      <c r="EI492" s="116"/>
      <c r="EJ492" s="116"/>
      <c r="EK492" s="116"/>
      <c r="EM492" s="116"/>
      <c r="EN492" s="116"/>
      <c r="EO492" s="116"/>
      <c r="EQ492" s="116"/>
      <c r="ER492" s="116"/>
      <c r="ES492" s="116"/>
      <c r="ET492" s="116"/>
      <c r="EU492" s="116"/>
      <c r="EV492" s="116"/>
      <c r="EX492" s="116"/>
      <c r="EY492" s="116"/>
      <c r="EZ492" s="116"/>
      <c r="FA492" s="116"/>
      <c r="FB492" s="116"/>
    </row>
    <row r="493" spans="5:158" ht="13">
      <c r="E493" s="153"/>
      <c r="T493" s="153"/>
      <c r="BD493" s="31"/>
      <c r="BE493" s="31"/>
      <c r="BF493" s="31"/>
      <c r="BG493" s="31"/>
      <c r="BH493" s="31"/>
      <c r="BI493" s="116"/>
      <c r="BL493" s="196"/>
      <c r="BM493" s="239"/>
      <c r="BN493" s="330"/>
      <c r="BP493" s="330"/>
      <c r="BS493" s="116"/>
      <c r="BU493" s="331"/>
      <c r="BW493" s="116"/>
      <c r="BX493" s="116"/>
      <c r="BZ493" s="330"/>
      <c r="CB493" s="330"/>
      <c r="CC493" s="116"/>
      <c r="CG493" s="242"/>
      <c r="CH493" s="116"/>
      <c r="CI493" s="116"/>
      <c r="CJ493" s="116"/>
      <c r="CL493" s="116"/>
      <c r="CN493" s="239"/>
      <c r="CO493" s="153"/>
      <c r="DM493" s="116"/>
      <c r="DN493" s="116"/>
      <c r="DO493" s="116"/>
      <c r="DP493" s="116"/>
      <c r="DW493" s="116"/>
      <c r="DX493" s="219"/>
      <c r="DY493" s="219"/>
      <c r="DZ493" s="116"/>
      <c r="EA493" s="116"/>
      <c r="EB493" s="116"/>
      <c r="EC493" s="116"/>
      <c r="ED493" s="116"/>
      <c r="EF493" s="332"/>
      <c r="EG493" s="116"/>
      <c r="EH493" s="116"/>
      <c r="EI493" s="116"/>
      <c r="EJ493" s="116"/>
      <c r="EK493" s="116"/>
      <c r="EM493" s="116"/>
      <c r="EN493" s="116"/>
      <c r="EO493" s="116"/>
      <c r="EQ493" s="116"/>
      <c r="ER493" s="116"/>
      <c r="ES493" s="116"/>
      <c r="ET493" s="116"/>
      <c r="EU493" s="116"/>
      <c r="EV493" s="116"/>
      <c r="EX493" s="116"/>
      <c r="EY493" s="116"/>
      <c r="EZ493" s="116"/>
      <c r="FA493" s="116"/>
      <c r="FB493" s="116"/>
    </row>
    <row r="494" spans="5:158" ht="13">
      <c r="E494" s="153"/>
      <c r="T494" s="153"/>
      <c r="BD494" s="31"/>
      <c r="BE494" s="31"/>
      <c r="BF494" s="31"/>
      <c r="BG494" s="31"/>
      <c r="BH494" s="31"/>
      <c r="BI494" s="116"/>
      <c r="BL494" s="196"/>
      <c r="BM494" s="239"/>
      <c r="BN494" s="330"/>
      <c r="BP494" s="330"/>
      <c r="BS494" s="116"/>
      <c r="BU494" s="331"/>
      <c r="BW494" s="116"/>
      <c r="BX494" s="116"/>
      <c r="BZ494" s="330"/>
      <c r="CB494" s="330"/>
      <c r="CC494" s="116"/>
      <c r="CG494" s="242"/>
      <c r="CH494" s="116"/>
      <c r="CI494" s="116"/>
      <c r="CJ494" s="116"/>
      <c r="CL494" s="116"/>
      <c r="CN494" s="239"/>
      <c r="CO494" s="153"/>
      <c r="DM494" s="116"/>
      <c r="DN494" s="116"/>
      <c r="DO494" s="116"/>
      <c r="DP494" s="116"/>
      <c r="DW494" s="116"/>
      <c r="DX494" s="219"/>
      <c r="DY494" s="219"/>
      <c r="DZ494" s="116"/>
      <c r="EA494" s="116"/>
      <c r="EB494" s="116"/>
      <c r="EC494" s="116"/>
      <c r="ED494" s="116"/>
      <c r="EF494" s="332"/>
      <c r="EG494" s="116"/>
      <c r="EH494" s="116"/>
      <c r="EI494" s="116"/>
      <c r="EJ494" s="116"/>
      <c r="EK494" s="116"/>
      <c r="EM494" s="116"/>
      <c r="EN494" s="116"/>
      <c r="EO494" s="116"/>
      <c r="EQ494" s="116"/>
      <c r="ER494" s="116"/>
      <c r="ES494" s="116"/>
      <c r="ET494" s="116"/>
      <c r="EU494" s="116"/>
      <c r="EV494" s="116"/>
      <c r="EX494" s="116"/>
      <c r="EY494" s="116"/>
      <c r="EZ494" s="116"/>
      <c r="FA494" s="116"/>
      <c r="FB494" s="116"/>
    </row>
    <row r="495" spans="5:158" ht="13">
      <c r="E495" s="153"/>
      <c r="T495" s="153"/>
      <c r="BD495" s="31"/>
      <c r="BE495" s="31"/>
      <c r="BF495" s="31"/>
      <c r="BG495" s="31"/>
      <c r="BH495" s="31"/>
      <c r="BI495" s="116"/>
      <c r="BL495" s="196"/>
      <c r="BM495" s="239"/>
      <c r="BN495" s="330"/>
      <c r="BP495" s="330"/>
      <c r="BS495" s="116"/>
      <c r="BU495" s="331"/>
      <c r="BW495" s="116"/>
      <c r="BX495" s="116"/>
      <c r="BZ495" s="330"/>
      <c r="CB495" s="330"/>
      <c r="CC495" s="116"/>
      <c r="CG495" s="242"/>
      <c r="CH495" s="116"/>
      <c r="CI495" s="116"/>
      <c r="CJ495" s="116"/>
      <c r="CL495" s="116"/>
      <c r="CN495" s="239"/>
      <c r="CO495" s="153"/>
      <c r="DM495" s="116"/>
      <c r="DN495" s="116"/>
      <c r="DO495" s="116"/>
      <c r="DP495" s="116"/>
      <c r="DW495" s="116"/>
      <c r="DX495" s="219"/>
      <c r="DY495" s="219"/>
      <c r="DZ495" s="116"/>
      <c r="EA495" s="116"/>
      <c r="EB495" s="116"/>
      <c r="EC495" s="116"/>
      <c r="ED495" s="116"/>
      <c r="EF495" s="332"/>
      <c r="EG495" s="116"/>
      <c r="EH495" s="116"/>
      <c r="EI495" s="116"/>
      <c r="EJ495" s="116"/>
      <c r="EK495" s="116"/>
      <c r="EM495" s="116"/>
      <c r="EN495" s="116"/>
      <c r="EO495" s="116"/>
      <c r="EQ495" s="116"/>
      <c r="ER495" s="116"/>
      <c r="ES495" s="116"/>
      <c r="ET495" s="116"/>
      <c r="EU495" s="116"/>
      <c r="EV495" s="116"/>
      <c r="EX495" s="116"/>
      <c r="EY495" s="116"/>
      <c r="EZ495" s="116"/>
      <c r="FA495" s="116"/>
      <c r="FB495" s="116"/>
    </row>
    <row r="496" spans="5:158" ht="13">
      <c r="E496" s="153"/>
      <c r="T496" s="153"/>
      <c r="BD496" s="31"/>
      <c r="BE496" s="31"/>
      <c r="BF496" s="31"/>
      <c r="BG496" s="31"/>
      <c r="BH496" s="31"/>
      <c r="BI496" s="116"/>
      <c r="BL496" s="196"/>
      <c r="BM496" s="239"/>
      <c r="BN496" s="330"/>
      <c r="BP496" s="330"/>
      <c r="BS496" s="116"/>
      <c r="BU496" s="331"/>
      <c r="BW496" s="116"/>
      <c r="BX496" s="116"/>
      <c r="BZ496" s="330"/>
      <c r="CB496" s="330"/>
      <c r="CC496" s="116"/>
      <c r="CG496" s="242"/>
      <c r="CH496" s="116"/>
      <c r="CI496" s="116"/>
      <c r="CJ496" s="116"/>
      <c r="CL496" s="116"/>
      <c r="CN496" s="239"/>
      <c r="CO496" s="153"/>
      <c r="DM496" s="116"/>
      <c r="DN496" s="116"/>
      <c r="DO496" s="116"/>
      <c r="DP496" s="116"/>
      <c r="DW496" s="116"/>
      <c r="DX496" s="219"/>
      <c r="DY496" s="219"/>
      <c r="DZ496" s="116"/>
      <c r="EA496" s="116"/>
      <c r="EB496" s="116"/>
      <c r="EC496" s="116"/>
      <c r="ED496" s="116"/>
      <c r="EF496" s="332"/>
      <c r="EG496" s="116"/>
      <c r="EH496" s="116"/>
      <c r="EI496" s="116"/>
      <c r="EJ496" s="116"/>
      <c r="EK496" s="116"/>
      <c r="EM496" s="116"/>
      <c r="EN496" s="116"/>
      <c r="EO496" s="116"/>
      <c r="EQ496" s="116"/>
      <c r="ER496" s="116"/>
      <c r="ES496" s="116"/>
      <c r="ET496" s="116"/>
      <c r="EU496" s="116"/>
      <c r="EV496" s="116"/>
      <c r="EX496" s="116"/>
      <c r="EY496" s="116"/>
      <c r="EZ496" s="116"/>
      <c r="FA496" s="116"/>
      <c r="FB496" s="116"/>
    </row>
    <row r="497" spans="5:158" ht="13">
      <c r="E497" s="153"/>
      <c r="T497" s="153"/>
      <c r="BD497" s="31"/>
      <c r="BE497" s="31"/>
      <c r="BF497" s="31"/>
      <c r="BG497" s="31"/>
      <c r="BH497" s="31"/>
      <c r="BI497" s="116"/>
      <c r="BL497" s="196"/>
      <c r="BM497" s="239"/>
      <c r="BN497" s="330"/>
      <c r="BP497" s="330"/>
      <c r="BS497" s="116"/>
      <c r="BU497" s="331"/>
      <c r="BW497" s="116"/>
      <c r="BX497" s="116"/>
      <c r="BZ497" s="330"/>
      <c r="CB497" s="330"/>
      <c r="CC497" s="116"/>
      <c r="CG497" s="242"/>
      <c r="CH497" s="116"/>
      <c r="CI497" s="116"/>
      <c r="CJ497" s="116"/>
      <c r="CL497" s="116"/>
      <c r="CN497" s="239"/>
      <c r="CO497" s="153"/>
      <c r="DM497" s="116"/>
      <c r="DN497" s="116"/>
      <c r="DO497" s="116"/>
      <c r="DP497" s="116"/>
      <c r="DW497" s="116"/>
      <c r="DX497" s="219"/>
      <c r="DY497" s="219"/>
      <c r="DZ497" s="116"/>
      <c r="EA497" s="116"/>
      <c r="EB497" s="116"/>
      <c r="EC497" s="116"/>
      <c r="ED497" s="116"/>
      <c r="EF497" s="332"/>
      <c r="EG497" s="116"/>
      <c r="EH497" s="116"/>
      <c r="EI497" s="116"/>
      <c r="EJ497" s="116"/>
      <c r="EK497" s="116"/>
      <c r="EM497" s="116"/>
      <c r="EN497" s="116"/>
      <c r="EO497" s="116"/>
      <c r="EQ497" s="116"/>
      <c r="ER497" s="116"/>
      <c r="ES497" s="116"/>
      <c r="ET497" s="116"/>
      <c r="EU497" s="116"/>
      <c r="EV497" s="116"/>
      <c r="EX497" s="116"/>
      <c r="EY497" s="116"/>
      <c r="EZ497" s="116"/>
      <c r="FA497" s="116"/>
      <c r="FB497" s="116"/>
    </row>
    <row r="498" spans="5:158" ht="13">
      <c r="E498" s="153"/>
      <c r="T498" s="153"/>
      <c r="BD498" s="31"/>
      <c r="BE498" s="31"/>
      <c r="BF498" s="31"/>
      <c r="BG498" s="31"/>
      <c r="BH498" s="31"/>
      <c r="BI498" s="116"/>
      <c r="BL498" s="196"/>
      <c r="BM498" s="239"/>
      <c r="BN498" s="330"/>
      <c r="BP498" s="330"/>
      <c r="BS498" s="116"/>
      <c r="BU498" s="331"/>
      <c r="BW498" s="116"/>
      <c r="BX498" s="116"/>
      <c r="BZ498" s="330"/>
      <c r="CB498" s="330"/>
      <c r="CC498" s="116"/>
      <c r="CG498" s="242"/>
      <c r="CH498" s="116"/>
      <c r="CI498" s="116"/>
      <c r="CJ498" s="116"/>
      <c r="CL498" s="116"/>
      <c r="CN498" s="239"/>
      <c r="CO498" s="153"/>
      <c r="DM498" s="116"/>
      <c r="DN498" s="116"/>
      <c r="DO498" s="116"/>
      <c r="DP498" s="116"/>
      <c r="DW498" s="116"/>
      <c r="DX498" s="219"/>
      <c r="DY498" s="219"/>
      <c r="DZ498" s="116"/>
      <c r="EA498" s="116"/>
      <c r="EB498" s="116"/>
      <c r="EC498" s="116"/>
      <c r="ED498" s="116"/>
      <c r="EF498" s="332"/>
      <c r="EG498" s="116"/>
      <c r="EH498" s="116"/>
      <c r="EI498" s="116"/>
      <c r="EJ498" s="116"/>
      <c r="EK498" s="116"/>
      <c r="EM498" s="116"/>
      <c r="EN498" s="116"/>
      <c r="EO498" s="116"/>
      <c r="EQ498" s="116"/>
      <c r="ER498" s="116"/>
      <c r="ES498" s="116"/>
      <c r="ET498" s="116"/>
      <c r="EU498" s="116"/>
      <c r="EV498" s="116"/>
      <c r="EX498" s="116"/>
      <c r="EY498" s="116"/>
      <c r="EZ498" s="116"/>
      <c r="FA498" s="116"/>
      <c r="FB498" s="116"/>
    </row>
    <row r="499" spans="5:158" ht="13">
      <c r="E499" s="153"/>
      <c r="T499" s="153"/>
      <c r="BD499" s="31"/>
      <c r="BE499" s="31"/>
      <c r="BF499" s="31"/>
      <c r="BG499" s="31"/>
      <c r="BH499" s="31"/>
      <c r="BI499" s="116"/>
      <c r="BL499" s="196"/>
      <c r="BM499" s="239"/>
      <c r="BN499" s="330"/>
      <c r="BP499" s="330"/>
      <c r="BS499" s="116"/>
      <c r="BU499" s="331"/>
      <c r="BW499" s="116"/>
      <c r="BX499" s="116"/>
      <c r="BZ499" s="330"/>
      <c r="CB499" s="330"/>
      <c r="CC499" s="116"/>
      <c r="CG499" s="242"/>
      <c r="CH499" s="116"/>
      <c r="CI499" s="116"/>
      <c r="CJ499" s="116"/>
      <c r="CL499" s="116"/>
      <c r="CN499" s="239"/>
      <c r="CO499" s="153"/>
      <c r="DM499" s="116"/>
      <c r="DN499" s="116"/>
      <c r="DO499" s="116"/>
      <c r="DP499" s="116"/>
      <c r="DW499" s="116"/>
      <c r="DX499" s="219"/>
      <c r="DY499" s="219"/>
      <c r="DZ499" s="116"/>
      <c r="EA499" s="116"/>
      <c r="EB499" s="116"/>
      <c r="EC499" s="116"/>
      <c r="ED499" s="116"/>
      <c r="EF499" s="332"/>
      <c r="EG499" s="116"/>
      <c r="EH499" s="116"/>
      <c r="EI499" s="116"/>
      <c r="EJ499" s="116"/>
      <c r="EK499" s="116"/>
      <c r="EM499" s="116"/>
      <c r="EN499" s="116"/>
      <c r="EO499" s="116"/>
      <c r="EQ499" s="116"/>
      <c r="ER499" s="116"/>
      <c r="ES499" s="116"/>
      <c r="ET499" s="116"/>
      <c r="EU499" s="116"/>
      <c r="EV499" s="116"/>
      <c r="EX499" s="116"/>
      <c r="EY499" s="116"/>
      <c r="EZ499" s="116"/>
      <c r="FA499" s="116"/>
      <c r="FB499" s="116"/>
    </row>
    <row r="500" spans="5:158" ht="13">
      <c r="E500" s="153"/>
      <c r="T500" s="153"/>
      <c r="BD500" s="31"/>
      <c r="BE500" s="31"/>
      <c r="BF500" s="31"/>
      <c r="BG500" s="31"/>
      <c r="BH500" s="31"/>
      <c r="BI500" s="116"/>
      <c r="BL500" s="196"/>
      <c r="BM500" s="239"/>
      <c r="BN500" s="330"/>
      <c r="BP500" s="330"/>
      <c r="BS500" s="116"/>
      <c r="BU500" s="331"/>
      <c r="BW500" s="116"/>
      <c r="BX500" s="116"/>
      <c r="BZ500" s="330"/>
      <c r="CB500" s="330"/>
      <c r="CC500" s="116"/>
      <c r="CG500" s="242"/>
      <c r="CH500" s="116"/>
      <c r="CI500" s="116"/>
      <c r="CJ500" s="116"/>
      <c r="CL500" s="116"/>
      <c r="CN500" s="239"/>
      <c r="CO500" s="153"/>
      <c r="DM500" s="116"/>
      <c r="DN500" s="116"/>
      <c r="DO500" s="116"/>
      <c r="DP500" s="116"/>
      <c r="DW500" s="116"/>
      <c r="DX500" s="219"/>
      <c r="DY500" s="219"/>
      <c r="DZ500" s="116"/>
      <c r="EA500" s="116"/>
      <c r="EB500" s="116"/>
      <c r="EC500" s="116"/>
      <c r="ED500" s="116"/>
      <c r="EF500" s="332"/>
      <c r="EG500" s="116"/>
      <c r="EH500" s="116"/>
      <c r="EI500" s="116"/>
      <c r="EJ500" s="116"/>
      <c r="EK500" s="116"/>
      <c r="EM500" s="116"/>
      <c r="EN500" s="116"/>
      <c r="EO500" s="116"/>
      <c r="EQ500" s="116"/>
      <c r="ER500" s="116"/>
      <c r="ES500" s="116"/>
      <c r="ET500" s="116"/>
      <c r="EU500" s="116"/>
      <c r="EV500" s="116"/>
      <c r="EX500" s="116"/>
      <c r="EY500" s="116"/>
      <c r="EZ500" s="116"/>
      <c r="FA500" s="116"/>
      <c r="FB500" s="116"/>
    </row>
    <row r="501" spans="5:158" ht="13">
      <c r="E501" s="153"/>
      <c r="T501" s="153"/>
      <c r="BD501" s="31"/>
      <c r="BE501" s="31"/>
      <c r="BF501" s="31"/>
      <c r="BG501" s="31"/>
      <c r="BH501" s="31"/>
      <c r="BI501" s="116"/>
      <c r="BL501" s="196"/>
      <c r="BM501" s="239"/>
      <c r="BN501" s="330"/>
      <c r="BP501" s="330"/>
      <c r="BS501" s="116"/>
      <c r="BU501" s="331"/>
      <c r="BW501" s="116"/>
      <c r="BX501" s="116"/>
      <c r="BZ501" s="330"/>
      <c r="CB501" s="330"/>
      <c r="CC501" s="116"/>
      <c r="CG501" s="242"/>
      <c r="CH501" s="116"/>
      <c r="CI501" s="116"/>
      <c r="CJ501" s="116"/>
      <c r="CL501" s="116"/>
      <c r="CN501" s="239"/>
      <c r="CO501" s="153"/>
      <c r="DM501" s="116"/>
      <c r="DN501" s="116"/>
      <c r="DO501" s="116"/>
      <c r="DP501" s="116"/>
      <c r="DW501" s="116"/>
      <c r="DX501" s="219"/>
      <c r="DY501" s="219"/>
      <c r="DZ501" s="116"/>
      <c r="EA501" s="116"/>
      <c r="EB501" s="116"/>
      <c r="EC501" s="116"/>
      <c r="ED501" s="116"/>
      <c r="EF501" s="332"/>
      <c r="EG501" s="116"/>
      <c r="EH501" s="116"/>
      <c r="EI501" s="116"/>
      <c r="EJ501" s="116"/>
      <c r="EK501" s="116"/>
      <c r="EM501" s="116"/>
      <c r="EN501" s="116"/>
      <c r="EO501" s="116"/>
      <c r="EQ501" s="116"/>
      <c r="ER501" s="116"/>
      <c r="ES501" s="116"/>
      <c r="ET501" s="116"/>
      <c r="EU501" s="116"/>
      <c r="EV501" s="116"/>
      <c r="EX501" s="116"/>
      <c r="EY501" s="116"/>
      <c r="EZ501" s="116"/>
      <c r="FA501" s="116"/>
      <c r="FB501" s="116"/>
    </row>
    <row r="502" spans="5:158" ht="13">
      <c r="E502" s="153"/>
      <c r="T502" s="153"/>
      <c r="BD502" s="31"/>
      <c r="BE502" s="31"/>
      <c r="BF502" s="31"/>
      <c r="BG502" s="31"/>
      <c r="BH502" s="31"/>
      <c r="BI502" s="116"/>
      <c r="BL502" s="196"/>
      <c r="BM502" s="239"/>
      <c r="BN502" s="330"/>
      <c r="BP502" s="330"/>
      <c r="BS502" s="116"/>
      <c r="BU502" s="331"/>
      <c r="BW502" s="116"/>
      <c r="BX502" s="116"/>
      <c r="BZ502" s="330"/>
      <c r="CB502" s="330"/>
      <c r="CC502" s="116"/>
      <c r="CG502" s="242"/>
      <c r="CH502" s="116"/>
      <c r="CI502" s="116"/>
      <c r="CJ502" s="116"/>
      <c r="CL502" s="116"/>
      <c r="CN502" s="239"/>
      <c r="CO502" s="153"/>
      <c r="DM502" s="116"/>
      <c r="DN502" s="116"/>
      <c r="DO502" s="116"/>
      <c r="DP502" s="116"/>
      <c r="DW502" s="116"/>
      <c r="DX502" s="219"/>
      <c r="DY502" s="219"/>
      <c r="DZ502" s="116"/>
      <c r="EA502" s="116"/>
      <c r="EB502" s="116"/>
      <c r="EC502" s="116"/>
      <c r="ED502" s="116"/>
      <c r="EF502" s="332"/>
      <c r="EG502" s="116"/>
      <c r="EH502" s="116"/>
      <c r="EI502" s="116"/>
      <c r="EJ502" s="116"/>
      <c r="EK502" s="116"/>
      <c r="EM502" s="116"/>
      <c r="EN502" s="116"/>
      <c r="EO502" s="116"/>
      <c r="EQ502" s="116"/>
      <c r="ER502" s="116"/>
      <c r="ES502" s="116"/>
      <c r="ET502" s="116"/>
      <c r="EU502" s="116"/>
      <c r="EV502" s="116"/>
      <c r="EX502" s="116"/>
      <c r="EY502" s="116"/>
      <c r="EZ502" s="116"/>
      <c r="FA502" s="116"/>
      <c r="FB502" s="116"/>
    </row>
    <row r="503" spans="5:158" ht="13">
      <c r="E503" s="153"/>
      <c r="T503" s="153"/>
      <c r="BD503" s="31"/>
      <c r="BE503" s="31"/>
      <c r="BF503" s="31"/>
      <c r="BG503" s="31"/>
      <c r="BH503" s="31"/>
      <c r="BI503" s="116"/>
      <c r="BL503" s="196"/>
      <c r="BM503" s="239"/>
      <c r="BN503" s="330"/>
      <c r="BP503" s="330"/>
      <c r="BS503" s="116"/>
      <c r="BU503" s="331"/>
      <c r="BW503" s="116"/>
      <c r="BX503" s="116"/>
      <c r="BZ503" s="330"/>
      <c r="CB503" s="330"/>
      <c r="CC503" s="116"/>
      <c r="CG503" s="242"/>
      <c r="CH503" s="116"/>
      <c r="CI503" s="116"/>
      <c r="CJ503" s="116"/>
      <c r="CL503" s="116"/>
      <c r="CN503" s="239"/>
      <c r="CO503" s="153"/>
      <c r="DM503" s="116"/>
      <c r="DN503" s="116"/>
      <c r="DO503" s="116"/>
      <c r="DP503" s="116"/>
      <c r="DW503" s="116"/>
      <c r="DX503" s="219"/>
      <c r="DY503" s="219"/>
      <c r="DZ503" s="116"/>
      <c r="EA503" s="116"/>
      <c r="EB503" s="116"/>
      <c r="EC503" s="116"/>
      <c r="ED503" s="116"/>
      <c r="EF503" s="332"/>
      <c r="EG503" s="116"/>
      <c r="EH503" s="116"/>
      <c r="EI503" s="116"/>
      <c r="EJ503" s="116"/>
      <c r="EK503" s="116"/>
      <c r="EM503" s="116"/>
      <c r="EN503" s="116"/>
      <c r="EO503" s="116"/>
      <c r="EQ503" s="116"/>
      <c r="ER503" s="116"/>
      <c r="ES503" s="116"/>
      <c r="ET503" s="116"/>
      <c r="EU503" s="116"/>
      <c r="EV503" s="116"/>
      <c r="EX503" s="116"/>
      <c r="EY503" s="116"/>
      <c r="EZ503" s="116"/>
      <c r="FA503" s="116"/>
      <c r="FB503" s="116"/>
    </row>
    <row r="504" spans="5:158" ht="13">
      <c r="E504" s="153"/>
      <c r="T504" s="153"/>
      <c r="BD504" s="31"/>
      <c r="BE504" s="31"/>
      <c r="BF504" s="31"/>
      <c r="BG504" s="31"/>
      <c r="BH504" s="31"/>
      <c r="BI504" s="116"/>
      <c r="BL504" s="196"/>
      <c r="BM504" s="239"/>
      <c r="BN504" s="330"/>
      <c r="BP504" s="330"/>
      <c r="BS504" s="116"/>
      <c r="BU504" s="331"/>
      <c r="BW504" s="116"/>
      <c r="BX504" s="116"/>
      <c r="BZ504" s="330"/>
      <c r="CB504" s="330"/>
      <c r="CC504" s="116"/>
      <c r="CG504" s="242"/>
      <c r="CH504" s="116"/>
      <c r="CI504" s="116"/>
      <c r="CJ504" s="116"/>
      <c r="CL504" s="116"/>
      <c r="CN504" s="239"/>
      <c r="CO504" s="153"/>
      <c r="DM504" s="116"/>
      <c r="DN504" s="116"/>
      <c r="DO504" s="116"/>
      <c r="DP504" s="116"/>
      <c r="DW504" s="116"/>
      <c r="DX504" s="219"/>
      <c r="DY504" s="219"/>
      <c r="DZ504" s="116"/>
      <c r="EA504" s="116"/>
      <c r="EB504" s="116"/>
      <c r="EC504" s="116"/>
      <c r="ED504" s="116"/>
      <c r="EF504" s="332"/>
      <c r="EG504" s="116"/>
      <c r="EH504" s="116"/>
      <c r="EI504" s="116"/>
      <c r="EJ504" s="116"/>
      <c r="EK504" s="116"/>
      <c r="EM504" s="116"/>
      <c r="EN504" s="116"/>
      <c r="EO504" s="116"/>
      <c r="EQ504" s="116"/>
      <c r="ER504" s="116"/>
      <c r="ES504" s="116"/>
      <c r="ET504" s="116"/>
      <c r="EU504" s="116"/>
      <c r="EV504" s="116"/>
      <c r="EX504" s="116"/>
      <c r="EY504" s="116"/>
      <c r="EZ504" s="116"/>
      <c r="FA504" s="116"/>
      <c r="FB504" s="116"/>
    </row>
    <row r="505" spans="5:158" ht="13">
      <c r="E505" s="153"/>
      <c r="T505" s="153"/>
      <c r="BD505" s="31"/>
      <c r="BE505" s="31"/>
      <c r="BF505" s="31"/>
      <c r="BG505" s="31"/>
      <c r="BH505" s="31"/>
      <c r="BI505" s="116"/>
      <c r="BL505" s="196"/>
      <c r="BM505" s="239"/>
      <c r="BN505" s="330"/>
      <c r="BP505" s="330"/>
      <c r="BS505" s="116"/>
      <c r="BU505" s="331"/>
      <c r="BW505" s="116"/>
      <c r="BX505" s="116"/>
      <c r="BZ505" s="330"/>
      <c r="CB505" s="330"/>
      <c r="CC505" s="116"/>
      <c r="CG505" s="242"/>
      <c r="CH505" s="116"/>
      <c r="CI505" s="116"/>
      <c r="CJ505" s="116"/>
      <c r="CL505" s="116"/>
      <c r="CN505" s="239"/>
      <c r="CO505" s="153"/>
      <c r="DM505" s="116"/>
      <c r="DN505" s="116"/>
      <c r="DO505" s="116"/>
      <c r="DP505" s="116"/>
      <c r="DW505" s="116"/>
      <c r="DX505" s="219"/>
      <c r="DY505" s="219"/>
      <c r="DZ505" s="116"/>
      <c r="EA505" s="116"/>
      <c r="EB505" s="116"/>
      <c r="EC505" s="116"/>
      <c r="ED505" s="116"/>
      <c r="EF505" s="332"/>
      <c r="EG505" s="116"/>
      <c r="EH505" s="116"/>
      <c r="EI505" s="116"/>
      <c r="EJ505" s="116"/>
      <c r="EK505" s="116"/>
      <c r="EM505" s="116"/>
      <c r="EN505" s="116"/>
      <c r="EO505" s="116"/>
      <c r="EQ505" s="116"/>
      <c r="ER505" s="116"/>
      <c r="ES505" s="116"/>
      <c r="ET505" s="116"/>
      <c r="EU505" s="116"/>
      <c r="EV505" s="116"/>
      <c r="EX505" s="116"/>
      <c r="EY505" s="116"/>
      <c r="EZ505" s="116"/>
      <c r="FA505" s="116"/>
      <c r="FB505" s="116"/>
    </row>
    <row r="506" spans="5:158" ht="13">
      <c r="E506" s="153"/>
      <c r="T506" s="153"/>
      <c r="BD506" s="31"/>
      <c r="BE506" s="31"/>
      <c r="BF506" s="31"/>
      <c r="BG506" s="31"/>
      <c r="BH506" s="31"/>
      <c r="BI506" s="116"/>
      <c r="BL506" s="196"/>
      <c r="BM506" s="239"/>
      <c r="BN506" s="330"/>
      <c r="BP506" s="330"/>
      <c r="BS506" s="116"/>
      <c r="BU506" s="331"/>
      <c r="BW506" s="116"/>
      <c r="BX506" s="116"/>
      <c r="BZ506" s="330"/>
      <c r="CB506" s="330"/>
      <c r="CC506" s="116"/>
      <c r="CG506" s="242"/>
      <c r="CH506" s="116"/>
      <c r="CI506" s="116"/>
      <c r="CJ506" s="116"/>
      <c r="CL506" s="116"/>
      <c r="CN506" s="239"/>
      <c r="CO506" s="153"/>
      <c r="DM506" s="116"/>
      <c r="DN506" s="116"/>
      <c r="DO506" s="116"/>
      <c r="DP506" s="116"/>
      <c r="DW506" s="116"/>
      <c r="DX506" s="219"/>
      <c r="DY506" s="219"/>
      <c r="DZ506" s="116"/>
      <c r="EA506" s="116"/>
      <c r="EB506" s="116"/>
      <c r="EC506" s="116"/>
      <c r="ED506" s="116"/>
      <c r="EF506" s="332"/>
      <c r="EG506" s="116"/>
      <c r="EH506" s="116"/>
      <c r="EI506" s="116"/>
      <c r="EJ506" s="116"/>
      <c r="EK506" s="116"/>
      <c r="EM506" s="116"/>
      <c r="EN506" s="116"/>
      <c r="EO506" s="116"/>
      <c r="EQ506" s="116"/>
      <c r="ER506" s="116"/>
      <c r="ES506" s="116"/>
      <c r="ET506" s="116"/>
      <c r="EU506" s="116"/>
      <c r="EV506" s="116"/>
      <c r="EX506" s="116"/>
      <c r="EY506" s="116"/>
      <c r="EZ506" s="116"/>
      <c r="FA506" s="116"/>
      <c r="FB506" s="116"/>
    </row>
    <row r="507" spans="5:158" ht="13">
      <c r="E507" s="153"/>
      <c r="T507" s="153"/>
      <c r="BD507" s="31"/>
      <c r="BE507" s="31"/>
      <c r="BF507" s="31"/>
      <c r="BG507" s="31"/>
      <c r="BH507" s="31"/>
      <c r="BI507" s="116"/>
      <c r="BL507" s="196"/>
      <c r="BM507" s="239"/>
      <c r="BN507" s="330"/>
      <c r="BP507" s="330"/>
      <c r="BS507" s="116"/>
      <c r="BU507" s="331"/>
      <c r="BW507" s="116"/>
      <c r="BX507" s="116"/>
      <c r="BZ507" s="330"/>
      <c r="CB507" s="330"/>
      <c r="CC507" s="116"/>
      <c r="CG507" s="242"/>
      <c r="CH507" s="116"/>
      <c r="CI507" s="116"/>
      <c r="CJ507" s="116"/>
      <c r="CL507" s="116"/>
      <c r="CN507" s="239"/>
      <c r="CO507" s="153"/>
      <c r="DM507" s="116"/>
      <c r="DN507" s="116"/>
      <c r="DO507" s="116"/>
      <c r="DP507" s="116"/>
      <c r="DW507" s="116"/>
      <c r="DX507" s="219"/>
      <c r="DY507" s="219"/>
      <c r="DZ507" s="116"/>
      <c r="EA507" s="116"/>
      <c r="EB507" s="116"/>
      <c r="EC507" s="116"/>
      <c r="ED507" s="116"/>
      <c r="EF507" s="332"/>
      <c r="EG507" s="116"/>
      <c r="EH507" s="116"/>
      <c r="EI507" s="116"/>
      <c r="EJ507" s="116"/>
      <c r="EK507" s="116"/>
      <c r="EM507" s="116"/>
      <c r="EN507" s="116"/>
      <c r="EO507" s="116"/>
      <c r="EQ507" s="116"/>
      <c r="ER507" s="116"/>
      <c r="ES507" s="116"/>
      <c r="ET507" s="116"/>
      <c r="EU507" s="116"/>
      <c r="EV507" s="116"/>
      <c r="EX507" s="116"/>
      <c r="EY507" s="116"/>
      <c r="EZ507" s="116"/>
      <c r="FA507" s="116"/>
      <c r="FB507" s="116"/>
    </row>
    <row r="508" spans="5:158" ht="13">
      <c r="E508" s="153"/>
      <c r="T508" s="153"/>
      <c r="BD508" s="31"/>
      <c r="BE508" s="31"/>
      <c r="BF508" s="31"/>
      <c r="BG508" s="31"/>
      <c r="BH508" s="31"/>
      <c r="BI508" s="116"/>
      <c r="BL508" s="196"/>
      <c r="BM508" s="239"/>
      <c r="BN508" s="330"/>
      <c r="BP508" s="330"/>
      <c r="BS508" s="116"/>
      <c r="BU508" s="331"/>
      <c r="BW508" s="116"/>
      <c r="BX508" s="116"/>
      <c r="BZ508" s="330"/>
      <c r="CB508" s="330"/>
      <c r="CC508" s="116"/>
      <c r="CG508" s="242"/>
      <c r="CH508" s="116"/>
      <c r="CI508" s="116"/>
      <c r="CJ508" s="116"/>
      <c r="CL508" s="116"/>
      <c r="CN508" s="239"/>
      <c r="CO508" s="153"/>
      <c r="DM508" s="116"/>
      <c r="DN508" s="116"/>
      <c r="DO508" s="116"/>
      <c r="DP508" s="116"/>
      <c r="DW508" s="116"/>
      <c r="DX508" s="219"/>
      <c r="DY508" s="219"/>
      <c r="DZ508" s="116"/>
      <c r="EA508" s="116"/>
      <c r="EB508" s="116"/>
      <c r="EC508" s="116"/>
      <c r="ED508" s="116"/>
      <c r="EF508" s="332"/>
      <c r="EG508" s="116"/>
      <c r="EH508" s="116"/>
      <c r="EI508" s="116"/>
      <c r="EJ508" s="116"/>
      <c r="EK508" s="116"/>
      <c r="EM508" s="116"/>
      <c r="EN508" s="116"/>
      <c r="EO508" s="116"/>
      <c r="EQ508" s="116"/>
      <c r="ER508" s="116"/>
      <c r="ES508" s="116"/>
      <c r="ET508" s="116"/>
      <c r="EU508" s="116"/>
      <c r="EV508" s="116"/>
      <c r="EX508" s="116"/>
      <c r="EY508" s="116"/>
      <c r="EZ508" s="116"/>
      <c r="FA508" s="116"/>
      <c r="FB508" s="116"/>
    </row>
    <row r="509" spans="5:158" ht="13">
      <c r="E509" s="153"/>
      <c r="T509" s="153"/>
      <c r="BD509" s="31"/>
      <c r="BE509" s="31"/>
      <c r="BF509" s="31"/>
      <c r="BG509" s="31"/>
      <c r="BH509" s="31"/>
      <c r="BI509" s="116"/>
      <c r="BL509" s="196"/>
      <c r="BM509" s="239"/>
      <c r="BN509" s="330"/>
      <c r="BP509" s="330"/>
      <c r="BS509" s="116"/>
      <c r="BU509" s="331"/>
      <c r="BW509" s="116"/>
      <c r="BX509" s="116"/>
      <c r="BZ509" s="330"/>
      <c r="CB509" s="330"/>
      <c r="CC509" s="116"/>
      <c r="CG509" s="242"/>
      <c r="CH509" s="116"/>
      <c r="CI509" s="116"/>
      <c r="CJ509" s="116"/>
      <c r="CL509" s="116"/>
      <c r="CN509" s="239"/>
      <c r="CO509" s="153"/>
      <c r="DM509" s="116"/>
      <c r="DN509" s="116"/>
      <c r="DO509" s="116"/>
      <c r="DP509" s="116"/>
      <c r="DW509" s="116"/>
      <c r="DX509" s="219"/>
      <c r="DY509" s="219"/>
      <c r="DZ509" s="116"/>
      <c r="EA509" s="116"/>
      <c r="EB509" s="116"/>
      <c r="EC509" s="116"/>
      <c r="ED509" s="116"/>
      <c r="EF509" s="332"/>
      <c r="EG509" s="116"/>
      <c r="EH509" s="116"/>
      <c r="EI509" s="116"/>
      <c r="EJ509" s="116"/>
      <c r="EK509" s="116"/>
      <c r="EM509" s="116"/>
      <c r="EN509" s="116"/>
      <c r="EO509" s="116"/>
      <c r="EQ509" s="116"/>
      <c r="ER509" s="116"/>
      <c r="ES509" s="116"/>
      <c r="ET509" s="116"/>
      <c r="EU509" s="116"/>
      <c r="EV509" s="116"/>
      <c r="EX509" s="116"/>
      <c r="EY509" s="116"/>
      <c r="EZ509" s="116"/>
      <c r="FA509" s="116"/>
      <c r="FB509" s="116"/>
    </row>
    <row r="510" spans="5:158" ht="13">
      <c r="E510" s="153"/>
      <c r="T510" s="153"/>
      <c r="BD510" s="31"/>
      <c r="BE510" s="31"/>
      <c r="BF510" s="31"/>
      <c r="BG510" s="31"/>
      <c r="BH510" s="31"/>
      <c r="BI510" s="116"/>
      <c r="BL510" s="196"/>
      <c r="BM510" s="239"/>
      <c r="BN510" s="330"/>
      <c r="BP510" s="330"/>
      <c r="BS510" s="116"/>
      <c r="BU510" s="331"/>
      <c r="BW510" s="116"/>
      <c r="BX510" s="116"/>
      <c r="BZ510" s="330"/>
      <c r="CB510" s="330"/>
      <c r="CC510" s="116"/>
      <c r="CG510" s="242"/>
      <c r="CH510" s="116"/>
      <c r="CI510" s="116"/>
      <c r="CJ510" s="116"/>
      <c r="CL510" s="116"/>
      <c r="CN510" s="239"/>
      <c r="CO510" s="153"/>
      <c r="DM510" s="116"/>
      <c r="DN510" s="116"/>
      <c r="DO510" s="116"/>
      <c r="DP510" s="116"/>
      <c r="DW510" s="116"/>
      <c r="DX510" s="219"/>
      <c r="DY510" s="219"/>
      <c r="DZ510" s="116"/>
      <c r="EA510" s="116"/>
      <c r="EB510" s="116"/>
      <c r="EC510" s="116"/>
      <c r="ED510" s="116"/>
      <c r="EF510" s="332"/>
      <c r="EG510" s="116"/>
      <c r="EH510" s="116"/>
      <c r="EI510" s="116"/>
      <c r="EJ510" s="116"/>
      <c r="EK510" s="116"/>
      <c r="EM510" s="116"/>
      <c r="EN510" s="116"/>
      <c r="EO510" s="116"/>
      <c r="EQ510" s="116"/>
      <c r="ER510" s="116"/>
      <c r="ES510" s="116"/>
      <c r="ET510" s="116"/>
      <c r="EU510" s="116"/>
      <c r="EV510" s="116"/>
      <c r="EX510" s="116"/>
      <c r="EY510" s="116"/>
      <c r="EZ510" s="116"/>
      <c r="FA510" s="116"/>
      <c r="FB510" s="116"/>
    </row>
    <row r="511" spans="5:158" ht="13">
      <c r="E511" s="153"/>
      <c r="T511" s="153"/>
      <c r="BD511" s="31"/>
      <c r="BE511" s="31"/>
      <c r="BF511" s="31"/>
      <c r="BG511" s="31"/>
      <c r="BH511" s="31"/>
      <c r="BI511" s="116"/>
      <c r="BL511" s="196"/>
      <c r="BM511" s="239"/>
      <c r="BN511" s="330"/>
      <c r="BP511" s="330"/>
      <c r="BS511" s="116"/>
      <c r="BU511" s="331"/>
      <c r="BW511" s="116"/>
      <c r="BX511" s="116"/>
      <c r="BZ511" s="330"/>
      <c r="CB511" s="330"/>
      <c r="CC511" s="116"/>
      <c r="CG511" s="242"/>
      <c r="CH511" s="116"/>
      <c r="CI511" s="116"/>
      <c r="CJ511" s="116"/>
      <c r="CL511" s="116"/>
      <c r="CN511" s="239"/>
      <c r="CO511" s="153"/>
      <c r="DM511" s="116"/>
      <c r="DN511" s="116"/>
      <c r="DO511" s="116"/>
      <c r="DP511" s="116"/>
      <c r="DW511" s="116"/>
      <c r="DX511" s="219"/>
      <c r="DY511" s="219"/>
      <c r="DZ511" s="116"/>
      <c r="EA511" s="116"/>
      <c r="EB511" s="116"/>
      <c r="EC511" s="116"/>
      <c r="ED511" s="116"/>
      <c r="EF511" s="332"/>
      <c r="EG511" s="116"/>
      <c r="EH511" s="116"/>
      <c r="EI511" s="116"/>
      <c r="EJ511" s="116"/>
      <c r="EK511" s="116"/>
      <c r="EM511" s="116"/>
      <c r="EN511" s="116"/>
      <c r="EO511" s="116"/>
      <c r="EQ511" s="116"/>
      <c r="ER511" s="116"/>
      <c r="ES511" s="116"/>
      <c r="ET511" s="116"/>
      <c r="EU511" s="116"/>
      <c r="EV511" s="116"/>
      <c r="EX511" s="116"/>
      <c r="EY511" s="116"/>
      <c r="EZ511" s="116"/>
      <c r="FA511" s="116"/>
      <c r="FB511" s="116"/>
    </row>
    <row r="512" spans="5:158" ht="13">
      <c r="E512" s="153"/>
      <c r="T512" s="153"/>
      <c r="BD512" s="31"/>
      <c r="BE512" s="31"/>
      <c r="BF512" s="31"/>
      <c r="BG512" s="31"/>
      <c r="BH512" s="31"/>
      <c r="BI512" s="116"/>
      <c r="BL512" s="196"/>
      <c r="BM512" s="239"/>
      <c r="BN512" s="330"/>
      <c r="BP512" s="330"/>
      <c r="BS512" s="116"/>
      <c r="BU512" s="331"/>
      <c r="BW512" s="116"/>
      <c r="BX512" s="116"/>
      <c r="BZ512" s="330"/>
      <c r="CB512" s="330"/>
      <c r="CC512" s="116"/>
      <c r="CG512" s="242"/>
      <c r="CH512" s="116"/>
      <c r="CI512" s="116"/>
      <c r="CJ512" s="116"/>
      <c r="CL512" s="116"/>
      <c r="CN512" s="239"/>
      <c r="CO512" s="153"/>
      <c r="DM512" s="116"/>
      <c r="DN512" s="116"/>
      <c r="DO512" s="116"/>
      <c r="DP512" s="116"/>
      <c r="DW512" s="116"/>
      <c r="DX512" s="219"/>
      <c r="DY512" s="219"/>
      <c r="DZ512" s="116"/>
      <c r="EA512" s="116"/>
      <c r="EB512" s="116"/>
      <c r="EC512" s="116"/>
      <c r="ED512" s="116"/>
      <c r="EF512" s="332"/>
      <c r="EG512" s="116"/>
      <c r="EH512" s="116"/>
      <c r="EI512" s="116"/>
      <c r="EJ512" s="116"/>
      <c r="EK512" s="116"/>
      <c r="EM512" s="116"/>
      <c r="EN512" s="116"/>
      <c r="EO512" s="116"/>
      <c r="EQ512" s="116"/>
      <c r="ER512" s="116"/>
      <c r="ES512" s="116"/>
      <c r="ET512" s="116"/>
      <c r="EU512" s="116"/>
      <c r="EV512" s="116"/>
      <c r="EX512" s="116"/>
      <c r="EY512" s="116"/>
      <c r="EZ512" s="116"/>
      <c r="FA512" s="116"/>
      <c r="FB512" s="116"/>
    </row>
    <row r="513" spans="5:158" ht="13">
      <c r="E513" s="153"/>
      <c r="T513" s="153"/>
      <c r="BD513" s="31"/>
      <c r="BE513" s="31"/>
      <c r="BF513" s="31"/>
      <c r="BG513" s="31"/>
      <c r="BH513" s="31"/>
      <c r="BI513" s="116"/>
      <c r="BL513" s="196"/>
      <c r="BM513" s="239"/>
      <c r="BN513" s="330"/>
      <c r="BP513" s="330"/>
      <c r="BS513" s="116"/>
      <c r="BU513" s="331"/>
      <c r="BW513" s="116"/>
      <c r="BX513" s="116"/>
      <c r="BZ513" s="330"/>
      <c r="CB513" s="330"/>
      <c r="CC513" s="116"/>
      <c r="CG513" s="242"/>
      <c r="CH513" s="116"/>
      <c r="CI513" s="116"/>
      <c r="CJ513" s="116"/>
      <c r="CL513" s="116"/>
      <c r="CN513" s="239"/>
      <c r="CO513" s="153"/>
      <c r="DM513" s="116"/>
      <c r="DN513" s="116"/>
      <c r="DO513" s="116"/>
      <c r="DP513" s="116"/>
      <c r="DW513" s="116"/>
      <c r="DX513" s="219"/>
      <c r="DY513" s="219"/>
      <c r="DZ513" s="116"/>
      <c r="EA513" s="116"/>
      <c r="EB513" s="116"/>
      <c r="EC513" s="116"/>
      <c r="ED513" s="116"/>
      <c r="EF513" s="332"/>
      <c r="EG513" s="116"/>
      <c r="EH513" s="116"/>
      <c r="EI513" s="116"/>
      <c r="EJ513" s="116"/>
      <c r="EK513" s="116"/>
      <c r="EM513" s="116"/>
      <c r="EN513" s="116"/>
      <c r="EO513" s="116"/>
      <c r="EQ513" s="116"/>
      <c r="ER513" s="116"/>
      <c r="ES513" s="116"/>
      <c r="ET513" s="116"/>
      <c r="EU513" s="116"/>
      <c r="EV513" s="116"/>
      <c r="EX513" s="116"/>
      <c r="EY513" s="116"/>
      <c r="EZ513" s="116"/>
      <c r="FA513" s="116"/>
      <c r="FB513" s="116"/>
    </row>
    <row r="514" spans="5:158" ht="13">
      <c r="E514" s="153"/>
      <c r="T514" s="153"/>
      <c r="BD514" s="31"/>
      <c r="BE514" s="31"/>
      <c r="BF514" s="31"/>
      <c r="BG514" s="31"/>
      <c r="BH514" s="31"/>
      <c r="BI514" s="116"/>
      <c r="BL514" s="196"/>
      <c r="BM514" s="239"/>
      <c r="BN514" s="330"/>
      <c r="BP514" s="330"/>
      <c r="BS514" s="116"/>
      <c r="BU514" s="331"/>
      <c r="BW514" s="116"/>
      <c r="BX514" s="116"/>
      <c r="BZ514" s="330"/>
      <c r="CB514" s="330"/>
      <c r="CC514" s="116"/>
      <c r="CG514" s="242"/>
      <c r="CH514" s="116"/>
      <c r="CI514" s="116"/>
      <c r="CJ514" s="116"/>
      <c r="CL514" s="116"/>
      <c r="CN514" s="239"/>
      <c r="CO514" s="153"/>
      <c r="DM514" s="116"/>
      <c r="DN514" s="116"/>
      <c r="DO514" s="116"/>
      <c r="DP514" s="116"/>
      <c r="DW514" s="116"/>
      <c r="DX514" s="219"/>
      <c r="DY514" s="219"/>
      <c r="DZ514" s="116"/>
      <c r="EA514" s="116"/>
      <c r="EB514" s="116"/>
      <c r="EC514" s="116"/>
      <c r="ED514" s="116"/>
      <c r="EF514" s="332"/>
      <c r="EG514" s="116"/>
      <c r="EH514" s="116"/>
      <c r="EI514" s="116"/>
      <c r="EJ514" s="116"/>
      <c r="EK514" s="116"/>
      <c r="EM514" s="116"/>
      <c r="EN514" s="116"/>
      <c r="EO514" s="116"/>
      <c r="EQ514" s="116"/>
      <c r="ER514" s="116"/>
      <c r="ES514" s="116"/>
      <c r="ET514" s="116"/>
      <c r="EU514" s="116"/>
      <c r="EV514" s="116"/>
      <c r="EX514" s="116"/>
      <c r="EY514" s="116"/>
      <c r="EZ514" s="116"/>
      <c r="FA514" s="116"/>
      <c r="FB514" s="116"/>
    </row>
    <row r="515" spans="5:158" ht="13">
      <c r="E515" s="153"/>
      <c r="T515" s="153"/>
      <c r="BD515" s="31"/>
      <c r="BE515" s="31"/>
      <c r="BF515" s="31"/>
      <c r="BG515" s="31"/>
      <c r="BH515" s="31"/>
      <c r="BI515" s="116"/>
      <c r="BL515" s="196"/>
      <c r="BM515" s="239"/>
      <c r="BN515" s="330"/>
      <c r="BP515" s="330"/>
      <c r="BS515" s="116"/>
      <c r="BU515" s="331"/>
      <c r="BW515" s="116"/>
      <c r="BX515" s="116"/>
      <c r="BZ515" s="330"/>
      <c r="CB515" s="330"/>
      <c r="CC515" s="116"/>
      <c r="CG515" s="242"/>
      <c r="CH515" s="116"/>
      <c r="CI515" s="116"/>
      <c r="CJ515" s="116"/>
      <c r="CL515" s="116"/>
      <c r="CN515" s="239"/>
      <c r="CO515" s="153"/>
      <c r="DM515" s="116"/>
      <c r="DN515" s="116"/>
      <c r="DO515" s="116"/>
      <c r="DP515" s="116"/>
      <c r="DW515" s="116"/>
      <c r="DX515" s="219"/>
      <c r="DY515" s="219"/>
      <c r="DZ515" s="116"/>
      <c r="EA515" s="116"/>
      <c r="EB515" s="116"/>
      <c r="EC515" s="116"/>
      <c r="ED515" s="116"/>
      <c r="EF515" s="332"/>
      <c r="EG515" s="116"/>
      <c r="EH515" s="116"/>
      <c r="EI515" s="116"/>
      <c r="EJ515" s="116"/>
      <c r="EK515" s="116"/>
      <c r="EM515" s="116"/>
      <c r="EN515" s="116"/>
      <c r="EO515" s="116"/>
      <c r="EQ515" s="116"/>
      <c r="ER515" s="116"/>
      <c r="ES515" s="116"/>
      <c r="ET515" s="116"/>
      <c r="EU515" s="116"/>
      <c r="EV515" s="116"/>
      <c r="EX515" s="116"/>
      <c r="EY515" s="116"/>
      <c r="EZ515" s="116"/>
      <c r="FA515" s="116"/>
      <c r="FB515" s="116"/>
    </row>
    <row r="516" spans="5:158" ht="13">
      <c r="E516" s="153"/>
      <c r="T516" s="153"/>
      <c r="BD516" s="31"/>
      <c r="BE516" s="31"/>
      <c r="BF516" s="31"/>
      <c r="BG516" s="31"/>
      <c r="BH516" s="31"/>
      <c r="BI516" s="116"/>
      <c r="BL516" s="196"/>
      <c r="BM516" s="239"/>
      <c r="BN516" s="330"/>
      <c r="BP516" s="330"/>
      <c r="BS516" s="116"/>
      <c r="BU516" s="331"/>
      <c r="BW516" s="116"/>
      <c r="BX516" s="116"/>
      <c r="BZ516" s="330"/>
      <c r="CB516" s="330"/>
      <c r="CC516" s="116"/>
      <c r="CG516" s="242"/>
      <c r="CH516" s="116"/>
      <c r="CI516" s="116"/>
      <c r="CJ516" s="116"/>
      <c r="CL516" s="116"/>
      <c r="CN516" s="239"/>
      <c r="CO516" s="153"/>
      <c r="DM516" s="116"/>
      <c r="DN516" s="116"/>
      <c r="DO516" s="116"/>
      <c r="DP516" s="116"/>
      <c r="DW516" s="116"/>
      <c r="DX516" s="219"/>
      <c r="DY516" s="219"/>
      <c r="DZ516" s="116"/>
      <c r="EA516" s="116"/>
      <c r="EB516" s="116"/>
      <c r="EC516" s="116"/>
      <c r="ED516" s="116"/>
      <c r="EF516" s="332"/>
      <c r="EG516" s="116"/>
      <c r="EH516" s="116"/>
      <c r="EI516" s="116"/>
      <c r="EJ516" s="116"/>
      <c r="EK516" s="116"/>
      <c r="EM516" s="116"/>
      <c r="EN516" s="116"/>
      <c r="EO516" s="116"/>
      <c r="EQ516" s="116"/>
      <c r="ER516" s="116"/>
      <c r="ES516" s="116"/>
      <c r="ET516" s="116"/>
      <c r="EU516" s="116"/>
      <c r="EV516" s="116"/>
      <c r="EX516" s="116"/>
      <c r="EY516" s="116"/>
      <c r="EZ516" s="116"/>
      <c r="FA516" s="116"/>
      <c r="FB516" s="116"/>
    </row>
    <row r="517" spans="5:158" ht="13">
      <c r="E517" s="153"/>
      <c r="T517" s="153"/>
      <c r="BD517" s="31"/>
      <c r="BE517" s="31"/>
      <c r="BF517" s="31"/>
      <c r="BG517" s="31"/>
      <c r="BH517" s="31"/>
      <c r="BI517" s="116"/>
      <c r="BL517" s="196"/>
      <c r="BM517" s="239"/>
      <c r="BN517" s="330"/>
      <c r="BP517" s="330"/>
      <c r="BS517" s="116"/>
      <c r="BU517" s="331"/>
      <c r="BW517" s="116"/>
      <c r="BX517" s="116"/>
      <c r="BZ517" s="330"/>
      <c r="CB517" s="330"/>
      <c r="CC517" s="116"/>
      <c r="CG517" s="242"/>
      <c r="CH517" s="116"/>
      <c r="CI517" s="116"/>
      <c r="CJ517" s="116"/>
      <c r="CL517" s="116"/>
      <c r="CN517" s="239"/>
      <c r="CO517" s="153"/>
      <c r="DM517" s="116"/>
      <c r="DN517" s="116"/>
      <c r="DO517" s="116"/>
      <c r="DP517" s="116"/>
      <c r="DW517" s="116"/>
      <c r="DX517" s="219"/>
      <c r="DY517" s="219"/>
      <c r="DZ517" s="116"/>
      <c r="EA517" s="116"/>
      <c r="EB517" s="116"/>
      <c r="EC517" s="116"/>
      <c r="ED517" s="116"/>
      <c r="EF517" s="332"/>
      <c r="EG517" s="116"/>
      <c r="EH517" s="116"/>
      <c r="EI517" s="116"/>
      <c r="EJ517" s="116"/>
      <c r="EK517" s="116"/>
      <c r="EM517" s="116"/>
      <c r="EN517" s="116"/>
      <c r="EO517" s="116"/>
      <c r="EQ517" s="116"/>
      <c r="ER517" s="116"/>
      <c r="ES517" s="116"/>
      <c r="ET517" s="116"/>
      <c r="EU517" s="116"/>
      <c r="EV517" s="116"/>
      <c r="EX517" s="116"/>
      <c r="EY517" s="116"/>
      <c r="EZ517" s="116"/>
      <c r="FA517" s="116"/>
      <c r="FB517" s="116"/>
    </row>
    <row r="518" spans="5:158" ht="13">
      <c r="E518" s="153"/>
      <c r="T518" s="153"/>
      <c r="BD518" s="31"/>
      <c r="BE518" s="31"/>
      <c r="BF518" s="31"/>
      <c r="BG518" s="31"/>
      <c r="BH518" s="31"/>
      <c r="BI518" s="116"/>
      <c r="BL518" s="196"/>
      <c r="BM518" s="239"/>
      <c r="BN518" s="330"/>
      <c r="BP518" s="330"/>
      <c r="BS518" s="116"/>
      <c r="BU518" s="331"/>
      <c r="BW518" s="116"/>
      <c r="BX518" s="116"/>
      <c r="BZ518" s="330"/>
      <c r="CB518" s="330"/>
      <c r="CC518" s="116"/>
      <c r="CG518" s="242"/>
      <c r="CH518" s="116"/>
      <c r="CI518" s="116"/>
      <c r="CJ518" s="116"/>
      <c r="CL518" s="116"/>
      <c r="CN518" s="239"/>
      <c r="CO518" s="153"/>
      <c r="DM518" s="116"/>
      <c r="DN518" s="116"/>
      <c r="DO518" s="116"/>
      <c r="DP518" s="116"/>
      <c r="DW518" s="116"/>
      <c r="DX518" s="219"/>
      <c r="DY518" s="219"/>
      <c r="DZ518" s="116"/>
      <c r="EA518" s="116"/>
      <c r="EB518" s="116"/>
      <c r="EC518" s="116"/>
      <c r="ED518" s="116"/>
      <c r="EF518" s="332"/>
      <c r="EG518" s="116"/>
      <c r="EH518" s="116"/>
      <c r="EI518" s="116"/>
      <c r="EJ518" s="116"/>
      <c r="EK518" s="116"/>
      <c r="EM518" s="116"/>
      <c r="EN518" s="116"/>
      <c r="EO518" s="116"/>
      <c r="EQ518" s="116"/>
      <c r="ER518" s="116"/>
      <c r="ES518" s="116"/>
      <c r="ET518" s="116"/>
      <c r="EU518" s="116"/>
      <c r="EV518" s="116"/>
      <c r="EX518" s="116"/>
      <c r="EY518" s="116"/>
      <c r="EZ518" s="116"/>
      <c r="FA518" s="116"/>
      <c r="FB518" s="116"/>
    </row>
    <row r="519" spans="5:158" ht="13">
      <c r="E519" s="153"/>
      <c r="T519" s="153"/>
      <c r="BD519" s="31"/>
      <c r="BE519" s="31"/>
      <c r="BF519" s="31"/>
      <c r="BG519" s="31"/>
      <c r="BH519" s="31"/>
      <c r="BI519" s="116"/>
      <c r="BL519" s="196"/>
      <c r="BM519" s="239"/>
      <c r="BN519" s="330"/>
      <c r="BP519" s="330"/>
      <c r="BS519" s="116"/>
      <c r="BU519" s="331"/>
      <c r="BW519" s="116"/>
      <c r="BX519" s="116"/>
      <c r="BZ519" s="330"/>
      <c r="CB519" s="330"/>
      <c r="CC519" s="116"/>
      <c r="CG519" s="242"/>
      <c r="CH519" s="116"/>
      <c r="CI519" s="116"/>
      <c r="CJ519" s="116"/>
      <c r="CL519" s="116"/>
      <c r="CN519" s="239"/>
      <c r="CO519" s="153"/>
      <c r="DM519" s="116"/>
      <c r="DN519" s="116"/>
      <c r="DO519" s="116"/>
      <c r="DP519" s="116"/>
      <c r="DW519" s="116"/>
      <c r="DX519" s="219"/>
      <c r="DY519" s="219"/>
      <c r="DZ519" s="116"/>
      <c r="EA519" s="116"/>
      <c r="EB519" s="116"/>
      <c r="EC519" s="116"/>
      <c r="ED519" s="116"/>
      <c r="EF519" s="332"/>
      <c r="EG519" s="116"/>
      <c r="EH519" s="116"/>
      <c r="EI519" s="116"/>
      <c r="EJ519" s="116"/>
      <c r="EK519" s="116"/>
      <c r="EM519" s="116"/>
      <c r="EN519" s="116"/>
      <c r="EO519" s="116"/>
      <c r="EQ519" s="116"/>
      <c r="ER519" s="116"/>
      <c r="ES519" s="116"/>
      <c r="ET519" s="116"/>
      <c r="EU519" s="116"/>
      <c r="EV519" s="116"/>
      <c r="EX519" s="116"/>
      <c r="EY519" s="116"/>
      <c r="EZ519" s="116"/>
      <c r="FA519" s="116"/>
      <c r="FB519" s="116"/>
    </row>
    <row r="520" spans="5:158" ht="13">
      <c r="E520" s="153"/>
      <c r="T520" s="153"/>
      <c r="BD520" s="31"/>
      <c r="BE520" s="31"/>
      <c r="BF520" s="31"/>
      <c r="BG520" s="31"/>
      <c r="BH520" s="31"/>
      <c r="BI520" s="116"/>
      <c r="BL520" s="196"/>
      <c r="BM520" s="239"/>
      <c r="BN520" s="330"/>
      <c r="BP520" s="330"/>
      <c r="BS520" s="116"/>
      <c r="BU520" s="331"/>
      <c r="BW520" s="116"/>
      <c r="BX520" s="116"/>
      <c r="BZ520" s="330"/>
      <c r="CB520" s="330"/>
      <c r="CC520" s="116"/>
      <c r="CG520" s="242"/>
      <c r="CH520" s="116"/>
      <c r="CI520" s="116"/>
      <c r="CJ520" s="116"/>
      <c r="CL520" s="116"/>
      <c r="CN520" s="239"/>
      <c r="CO520" s="153"/>
      <c r="DM520" s="116"/>
      <c r="DN520" s="116"/>
      <c r="DO520" s="116"/>
      <c r="DP520" s="116"/>
      <c r="DW520" s="116"/>
      <c r="DX520" s="219"/>
      <c r="DY520" s="219"/>
      <c r="DZ520" s="116"/>
      <c r="EA520" s="116"/>
      <c r="EB520" s="116"/>
      <c r="EC520" s="116"/>
      <c r="ED520" s="116"/>
      <c r="EF520" s="332"/>
      <c r="EG520" s="116"/>
      <c r="EH520" s="116"/>
      <c r="EI520" s="116"/>
      <c r="EJ520" s="116"/>
      <c r="EK520" s="116"/>
      <c r="EM520" s="116"/>
      <c r="EN520" s="116"/>
      <c r="EO520" s="116"/>
      <c r="EQ520" s="116"/>
      <c r="ER520" s="116"/>
      <c r="ES520" s="116"/>
      <c r="ET520" s="116"/>
      <c r="EU520" s="116"/>
      <c r="EV520" s="116"/>
      <c r="EX520" s="116"/>
      <c r="EY520" s="116"/>
      <c r="EZ520" s="116"/>
      <c r="FA520" s="116"/>
      <c r="FB520" s="116"/>
    </row>
    <row r="521" spans="5:158" ht="13">
      <c r="E521" s="153"/>
      <c r="T521" s="153"/>
      <c r="BD521" s="31"/>
      <c r="BE521" s="31"/>
      <c r="BF521" s="31"/>
      <c r="BG521" s="31"/>
      <c r="BH521" s="31"/>
      <c r="BI521" s="116"/>
      <c r="BL521" s="196"/>
      <c r="BM521" s="239"/>
      <c r="BN521" s="330"/>
      <c r="BP521" s="330"/>
      <c r="BS521" s="116"/>
      <c r="BU521" s="331"/>
      <c r="BW521" s="116"/>
      <c r="BX521" s="116"/>
      <c r="BZ521" s="330"/>
      <c r="CB521" s="330"/>
      <c r="CC521" s="116"/>
      <c r="CG521" s="242"/>
      <c r="CH521" s="116"/>
      <c r="CI521" s="116"/>
      <c r="CJ521" s="116"/>
      <c r="CL521" s="116"/>
      <c r="CN521" s="239"/>
      <c r="CO521" s="153"/>
      <c r="DM521" s="116"/>
      <c r="DN521" s="116"/>
      <c r="DO521" s="116"/>
      <c r="DP521" s="116"/>
      <c r="DW521" s="116"/>
      <c r="DX521" s="219"/>
      <c r="DY521" s="219"/>
      <c r="DZ521" s="116"/>
      <c r="EA521" s="116"/>
      <c r="EB521" s="116"/>
      <c r="EC521" s="116"/>
      <c r="ED521" s="116"/>
      <c r="EF521" s="332"/>
      <c r="EG521" s="116"/>
      <c r="EH521" s="116"/>
      <c r="EI521" s="116"/>
      <c r="EJ521" s="116"/>
      <c r="EK521" s="116"/>
      <c r="EM521" s="116"/>
      <c r="EN521" s="116"/>
      <c r="EO521" s="116"/>
      <c r="EQ521" s="116"/>
      <c r="ER521" s="116"/>
      <c r="ES521" s="116"/>
      <c r="ET521" s="116"/>
      <c r="EU521" s="116"/>
      <c r="EV521" s="116"/>
      <c r="EX521" s="116"/>
      <c r="EY521" s="116"/>
      <c r="EZ521" s="116"/>
      <c r="FA521" s="116"/>
      <c r="FB521" s="116"/>
    </row>
    <row r="522" spans="5:158" ht="13">
      <c r="E522" s="153"/>
      <c r="T522" s="153"/>
      <c r="BD522" s="31"/>
      <c r="BE522" s="31"/>
      <c r="BF522" s="31"/>
      <c r="BG522" s="31"/>
      <c r="BH522" s="31"/>
      <c r="BI522" s="116"/>
      <c r="BL522" s="196"/>
      <c r="BM522" s="239"/>
      <c r="BN522" s="330"/>
      <c r="BP522" s="330"/>
      <c r="BS522" s="116"/>
      <c r="BU522" s="331"/>
      <c r="BW522" s="116"/>
      <c r="BX522" s="116"/>
      <c r="BZ522" s="330"/>
      <c r="CB522" s="330"/>
      <c r="CC522" s="116"/>
      <c r="CG522" s="242"/>
      <c r="CH522" s="116"/>
      <c r="CI522" s="116"/>
      <c r="CJ522" s="116"/>
      <c r="CL522" s="116"/>
      <c r="CN522" s="239"/>
      <c r="CO522" s="153"/>
      <c r="DM522" s="116"/>
      <c r="DN522" s="116"/>
      <c r="DO522" s="116"/>
      <c r="DP522" s="116"/>
      <c r="DW522" s="116"/>
      <c r="DX522" s="219"/>
      <c r="DY522" s="219"/>
      <c r="DZ522" s="116"/>
      <c r="EA522" s="116"/>
      <c r="EB522" s="116"/>
      <c r="EC522" s="116"/>
      <c r="ED522" s="116"/>
      <c r="EF522" s="332"/>
      <c r="EG522" s="116"/>
      <c r="EH522" s="116"/>
      <c r="EI522" s="116"/>
      <c r="EJ522" s="116"/>
      <c r="EK522" s="116"/>
      <c r="EM522" s="116"/>
      <c r="EN522" s="116"/>
      <c r="EO522" s="116"/>
      <c r="EQ522" s="116"/>
      <c r="ER522" s="116"/>
      <c r="ES522" s="116"/>
      <c r="ET522" s="116"/>
      <c r="EU522" s="116"/>
      <c r="EV522" s="116"/>
      <c r="EX522" s="116"/>
      <c r="EY522" s="116"/>
      <c r="EZ522" s="116"/>
      <c r="FA522" s="116"/>
      <c r="FB522" s="116"/>
    </row>
    <row r="523" spans="5:158" ht="13">
      <c r="E523" s="153"/>
      <c r="T523" s="153"/>
      <c r="BD523" s="31"/>
      <c r="BE523" s="31"/>
      <c r="BF523" s="31"/>
      <c r="BG523" s="31"/>
      <c r="BH523" s="31"/>
      <c r="BI523" s="116"/>
      <c r="BL523" s="196"/>
      <c r="BM523" s="239"/>
      <c r="BN523" s="330"/>
      <c r="BP523" s="330"/>
      <c r="BS523" s="116"/>
      <c r="BU523" s="331"/>
      <c r="BW523" s="116"/>
      <c r="BX523" s="116"/>
      <c r="BZ523" s="330"/>
      <c r="CB523" s="330"/>
      <c r="CC523" s="116"/>
      <c r="CG523" s="242"/>
      <c r="CH523" s="116"/>
      <c r="CI523" s="116"/>
      <c r="CJ523" s="116"/>
      <c r="CL523" s="116"/>
      <c r="CN523" s="239"/>
      <c r="CO523" s="153"/>
      <c r="DM523" s="116"/>
      <c r="DN523" s="116"/>
      <c r="DO523" s="116"/>
      <c r="DP523" s="116"/>
      <c r="DW523" s="116"/>
      <c r="DX523" s="219"/>
      <c r="DY523" s="219"/>
      <c r="DZ523" s="116"/>
      <c r="EA523" s="116"/>
      <c r="EB523" s="116"/>
      <c r="EC523" s="116"/>
      <c r="ED523" s="116"/>
      <c r="EF523" s="332"/>
      <c r="EG523" s="116"/>
      <c r="EH523" s="116"/>
      <c r="EI523" s="116"/>
      <c r="EJ523" s="116"/>
      <c r="EK523" s="116"/>
      <c r="EM523" s="116"/>
      <c r="EN523" s="116"/>
      <c r="EO523" s="116"/>
      <c r="EQ523" s="116"/>
      <c r="ER523" s="116"/>
      <c r="ES523" s="116"/>
      <c r="ET523" s="116"/>
      <c r="EU523" s="116"/>
      <c r="EV523" s="116"/>
      <c r="EX523" s="116"/>
      <c r="EY523" s="116"/>
      <c r="EZ523" s="116"/>
      <c r="FA523" s="116"/>
      <c r="FB523" s="116"/>
    </row>
    <row r="524" spans="5:158" ht="13">
      <c r="E524" s="153"/>
      <c r="T524" s="153"/>
      <c r="BD524" s="31"/>
      <c r="BE524" s="31"/>
      <c r="BF524" s="31"/>
      <c r="BG524" s="31"/>
      <c r="BH524" s="31"/>
      <c r="BI524" s="116"/>
      <c r="BL524" s="196"/>
      <c r="BM524" s="239"/>
      <c r="BN524" s="330"/>
      <c r="BP524" s="330"/>
      <c r="BS524" s="116"/>
      <c r="BU524" s="331"/>
      <c r="BW524" s="116"/>
      <c r="BX524" s="116"/>
      <c r="BZ524" s="330"/>
      <c r="CB524" s="330"/>
      <c r="CC524" s="116"/>
      <c r="CG524" s="242"/>
      <c r="CH524" s="116"/>
      <c r="CI524" s="116"/>
      <c r="CJ524" s="116"/>
      <c r="CL524" s="116"/>
      <c r="CN524" s="239"/>
      <c r="CO524" s="153"/>
      <c r="DM524" s="116"/>
      <c r="DN524" s="116"/>
      <c r="DO524" s="116"/>
      <c r="DP524" s="116"/>
      <c r="DW524" s="116"/>
      <c r="DX524" s="219"/>
      <c r="DY524" s="219"/>
      <c r="DZ524" s="116"/>
      <c r="EA524" s="116"/>
      <c r="EB524" s="116"/>
      <c r="EC524" s="116"/>
      <c r="ED524" s="116"/>
      <c r="EF524" s="332"/>
      <c r="EG524" s="116"/>
      <c r="EH524" s="116"/>
      <c r="EI524" s="116"/>
      <c r="EJ524" s="116"/>
      <c r="EK524" s="116"/>
      <c r="EM524" s="116"/>
      <c r="EN524" s="116"/>
      <c r="EO524" s="116"/>
      <c r="EQ524" s="116"/>
      <c r="ER524" s="116"/>
      <c r="ES524" s="116"/>
      <c r="ET524" s="116"/>
      <c r="EU524" s="116"/>
      <c r="EV524" s="116"/>
      <c r="EX524" s="116"/>
      <c r="EY524" s="116"/>
      <c r="EZ524" s="116"/>
      <c r="FA524" s="116"/>
      <c r="FB524" s="116"/>
    </row>
    <row r="525" spans="5:158" ht="13">
      <c r="E525" s="153"/>
      <c r="T525" s="153"/>
      <c r="BD525" s="31"/>
      <c r="BE525" s="31"/>
      <c r="BF525" s="31"/>
      <c r="BG525" s="31"/>
      <c r="BH525" s="31"/>
      <c r="BI525" s="116"/>
      <c r="BL525" s="196"/>
      <c r="BM525" s="239"/>
      <c r="BN525" s="330"/>
      <c r="BP525" s="330"/>
      <c r="BS525" s="116"/>
      <c r="BU525" s="331"/>
      <c r="BW525" s="116"/>
      <c r="BX525" s="116"/>
      <c r="BZ525" s="330"/>
      <c r="CB525" s="330"/>
      <c r="CC525" s="116"/>
      <c r="CG525" s="242"/>
      <c r="CH525" s="116"/>
      <c r="CI525" s="116"/>
      <c r="CJ525" s="116"/>
      <c r="CL525" s="116"/>
      <c r="CN525" s="239"/>
      <c r="CO525" s="153"/>
      <c r="DM525" s="116"/>
      <c r="DN525" s="116"/>
      <c r="DO525" s="116"/>
      <c r="DP525" s="116"/>
      <c r="DW525" s="116"/>
      <c r="DX525" s="219"/>
      <c r="DY525" s="219"/>
      <c r="DZ525" s="116"/>
      <c r="EA525" s="116"/>
      <c r="EB525" s="116"/>
      <c r="EC525" s="116"/>
      <c r="ED525" s="116"/>
      <c r="EF525" s="332"/>
      <c r="EG525" s="116"/>
      <c r="EH525" s="116"/>
      <c r="EI525" s="116"/>
      <c r="EJ525" s="116"/>
      <c r="EK525" s="116"/>
      <c r="EM525" s="116"/>
      <c r="EN525" s="116"/>
      <c r="EO525" s="116"/>
      <c r="EQ525" s="116"/>
      <c r="ER525" s="116"/>
      <c r="ES525" s="116"/>
      <c r="ET525" s="116"/>
      <c r="EU525" s="116"/>
      <c r="EV525" s="116"/>
      <c r="EX525" s="116"/>
      <c r="EY525" s="116"/>
      <c r="EZ525" s="116"/>
      <c r="FA525" s="116"/>
      <c r="FB525" s="116"/>
    </row>
    <row r="526" spans="5:158" ht="13">
      <c r="E526" s="153"/>
      <c r="T526" s="153"/>
      <c r="BD526" s="31"/>
      <c r="BE526" s="31"/>
      <c r="BF526" s="31"/>
      <c r="BG526" s="31"/>
      <c r="BH526" s="31"/>
      <c r="BI526" s="116"/>
      <c r="BL526" s="196"/>
      <c r="BM526" s="239"/>
      <c r="BN526" s="330"/>
      <c r="BP526" s="330"/>
      <c r="BS526" s="116"/>
      <c r="BU526" s="331"/>
      <c r="BW526" s="116"/>
      <c r="BX526" s="116"/>
      <c r="BZ526" s="330"/>
      <c r="CB526" s="330"/>
      <c r="CC526" s="116"/>
      <c r="CG526" s="242"/>
      <c r="CH526" s="116"/>
      <c r="CI526" s="116"/>
      <c r="CJ526" s="116"/>
      <c r="CL526" s="116"/>
      <c r="CN526" s="239"/>
      <c r="CO526" s="153"/>
      <c r="DM526" s="116"/>
      <c r="DN526" s="116"/>
      <c r="DO526" s="116"/>
      <c r="DP526" s="116"/>
      <c r="DW526" s="116"/>
      <c r="DX526" s="219"/>
      <c r="DY526" s="219"/>
      <c r="DZ526" s="116"/>
      <c r="EA526" s="116"/>
      <c r="EB526" s="116"/>
      <c r="EC526" s="116"/>
      <c r="ED526" s="116"/>
      <c r="EF526" s="332"/>
      <c r="EG526" s="116"/>
      <c r="EH526" s="116"/>
      <c r="EI526" s="116"/>
      <c r="EJ526" s="116"/>
      <c r="EK526" s="116"/>
      <c r="EM526" s="116"/>
      <c r="EN526" s="116"/>
      <c r="EO526" s="116"/>
      <c r="EQ526" s="116"/>
      <c r="ER526" s="116"/>
      <c r="ES526" s="116"/>
      <c r="ET526" s="116"/>
      <c r="EU526" s="116"/>
      <c r="EV526" s="116"/>
      <c r="EX526" s="116"/>
      <c r="EY526" s="116"/>
      <c r="EZ526" s="116"/>
      <c r="FA526" s="116"/>
      <c r="FB526" s="116"/>
    </row>
    <row r="527" spans="5:158" ht="13">
      <c r="E527" s="153"/>
      <c r="T527" s="153"/>
      <c r="BD527" s="31"/>
      <c r="BE527" s="31"/>
      <c r="BF527" s="31"/>
      <c r="BG527" s="31"/>
      <c r="BH527" s="31"/>
      <c r="BI527" s="116"/>
      <c r="BL527" s="196"/>
      <c r="BM527" s="239"/>
      <c r="BN527" s="330"/>
      <c r="BP527" s="330"/>
      <c r="BS527" s="116"/>
      <c r="BU527" s="331"/>
      <c r="BW527" s="116"/>
      <c r="BX527" s="116"/>
      <c r="BZ527" s="330"/>
      <c r="CB527" s="330"/>
      <c r="CC527" s="116"/>
      <c r="CG527" s="242"/>
      <c r="CH527" s="116"/>
      <c r="CI527" s="116"/>
      <c r="CJ527" s="116"/>
      <c r="CL527" s="116"/>
      <c r="CN527" s="239"/>
      <c r="CO527" s="153"/>
      <c r="DM527" s="116"/>
      <c r="DN527" s="116"/>
      <c r="DO527" s="116"/>
      <c r="DP527" s="116"/>
      <c r="DW527" s="116"/>
      <c r="DX527" s="219"/>
      <c r="DY527" s="219"/>
      <c r="DZ527" s="116"/>
      <c r="EA527" s="116"/>
      <c r="EB527" s="116"/>
      <c r="EC527" s="116"/>
      <c r="ED527" s="116"/>
      <c r="EF527" s="332"/>
      <c r="EG527" s="116"/>
      <c r="EH527" s="116"/>
      <c r="EI527" s="116"/>
      <c r="EJ527" s="116"/>
      <c r="EK527" s="116"/>
      <c r="EM527" s="116"/>
      <c r="EN527" s="116"/>
      <c r="EO527" s="116"/>
      <c r="EQ527" s="116"/>
      <c r="ER527" s="116"/>
      <c r="ES527" s="116"/>
      <c r="ET527" s="116"/>
      <c r="EU527" s="116"/>
      <c r="EV527" s="116"/>
      <c r="EX527" s="116"/>
      <c r="EY527" s="116"/>
      <c r="EZ527" s="116"/>
      <c r="FA527" s="116"/>
      <c r="FB527" s="116"/>
    </row>
    <row r="528" spans="5:158" ht="13">
      <c r="E528" s="153"/>
      <c r="T528" s="153"/>
      <c r="BD528" s="31"/>
      <c r="BE528" s="31"/>
      <c r="BF528" s="31"/>
      <c r="BG528" s="31"/>
      <c r="BH528" s="31"/>
      <c r="BI528" s="116"/>
      <c r="BL528" s="196"/>
      <c r="BM528" s="239"/>
      <c r="BN528" s="330"/>
      <c r="BP528" s="330"/>
      <c r="BS528" s="116"/>
      <c r="BU528" s="331"/>
      <c r="BW528" s="116"/>
      <c r="BX528" s="116"/>
      <c r="BZ528" s="330"/>
      <c r="CB528" s="330"/>
      <c r="CC528" s="116"/>
      <c r="CG528" s="242"/>
      <c r="CH528" s="116"/>
      <c r="CI528" s="116"/>
      <c r="CJ528" s="116"/>
      <c r="CL528" s="116"/>
      <c r="CN528" s="239"/>
      <c r="CO528" s="153"/>
      <c r="DM528" s="116"/>
      <c r="DN528" s="116"/>
      <c r="DO528" s="116"/>
      <c r="DP528" s="116"/>
      <c r="DW528" s="116"/>
      <c r="DX528" s="219"/>
      <c r="DY528" s="219"/>
      <c r="DZ528" s="116"/>
      <c r="EA528" s="116"/>
      <c r="EB528" s="116"/>
      <c r="EC528" s="116"/>
      <c r="ED528" s="116"/>
      <c r="EF528" s="332"/>
      <c r="EG528" s="116"/>
      <c r="EH528" s="116"/>
      <c r="EI528" s="116"/>
      <c r="EJ528" s="116"/>
      <c r="EK528" s="116"/>
      <c r="EM528" s="116"/>
      <c r="EN528" s="116"/>
      <c r="EO528" s="116"/>
      <c r="EQ528" s="116"/>
      <c r="ER528" s="116"/>
      <c r="ES528" s="116"/>
      <c r="ET528" s="116"/>
      <c r="EU528" s="116"/>
      <c r="EV528" s="116"/>
      <c r="EX528" s="116"/>
      <c r="EY528" s="116"/>
      <c r="EZ528" s="116"/>
      <c r="FA528" s="116"/>
      <c r="FB528" s="116"/>
    </row>
    <row r="529" spans="5:158" ht="13">
      <c r="E529" s="153"/>
      <c r="T529" s="153"/>
      <c r="BD529" s="31"/>
      <c r="BE529" s="31"/>
      <c r="BF529" s="31"/>
      <c r="BG529" s="31"/>
      <c r="BH529" s="31"/>
      <c r="BI529" s="116"/>
      <c r="BL529" s="196"/>
      <c r="BM529" s="239"/>
      <c r="BN529" s="330"/>
      <c r="BP529" s="330"/>
      <c r="BS529" s="116"/>
      <c r="BU529" s="331"/>
      <c r="BW529" s="116"/>
      <c r="BX529" s="116"/>
      <c r="BZ529" s="330"/>
      <c r="CB529" s="330"/>
      <c r="CC529" s="116"/>
      <c r="CG529" s="242"/>
      <c r="CH529" s="116"/>
      <c r="CI529" s="116"/>
      <c r="CJ529" s="116"/>
      <c r="CL529" s="116"/>
      <c r="CN529" s="239"/>
      <c r="CO529" s="153"/>
      <c r="DM529" s="116"/>
      <c r="DN529" s="116"/>
      <c r="DO529" s="116"/>
      <c r="DP529" s="116"/>
      <c r="DW529" s="116"/>
      <c r="DX529" s="219"/>
      <c r="DY529" s="219"/>
      <c r="DZ529" s="116"/>
      <c r="EA529" s="116"/>
      <c r="EB529" s="116"/>
      <c r="EC529" s="116"/>
      <c r="ED529" s="116"/>
      <c r="EF529" s="332"/>
      <c r="EG529" s="116"/>
      <c r="EH529" s="116"/>
      <c r="EI529" s="116"/>
      <c r="EJ529" s="116"/>
      <c r="EK529" s="116"/>
      <c r="EM529" s="116"/>
      <c r="EN529" s="116"/>
      <c r="EO529" s="116"/>
      <c r="EQ529" s="116"/>
      <c r="ER529" s="116"/>
      <c r="ES529" s="116"/>
      <c r="ET529" s="116"/>
      <c r="EU529" s="116"/>
      <c r="EV529" s="116"/>
      <c r="EX529" s="116"/>
      <c r="EY529" s="116"/>
      <c r="EZ529" s="116"/>
      <c r="FA529" s="116"/>
      <c r="FB529" s="116"/>
    </row>
    <row r="530" spans="5:158" ht="13">
      <c r="E530" s="153"/>
      <c r="T530" s="153"/>
      <c r="BD530" s="31"/>
      <c r="BE530" s="31"/>
      <c r="BF530" s="31"/>
      <c r="BG530" s="31"/>
      <c r="BH530" s="31"/>
      <c r="BI530" s="116"/>
      <c r="BL530" s="196"/>
      <c r="BM530" s="239"/>
      <c r="BN530" s="330"/>
      <c r="BP530" s="330"/>
      <c r="BS530" s="116"/>
      <c r="BU530" s="331"/>
      <c r="BW530" s="116"/>
      <c r="BX530" s="116"/>
      <c r="BZ530" s="330"/>
      <c r="CB530" s="330"/>
      <c r="CC530" s="116"/>
      <c r="CG530" s="242"/>
      <c r="CH530" s="116"/>
      <c r="CI530" s="116"/>
      <c r="CJ530" s="116"/>
      <c r="CL530" s="116"/>
      <c r="CN530" s="239"/>
      <c r="CO530" s="153"/>
      <c r="DM530" s="116"/>
      <c r="DN530" s="116"/>
      <c r="DO530" s="116"/>
      <c r="DP530" s="116"/>
      <c r="DW530" s="116"/>
      <c r="DX530" s="219"/>
      <c r="DY530" s="219"/>
      <c r="DZ530" s="116"/>
      <c r="EA530" s="116"/>
      <c r="EB530" s="116"/>
      <c r="EC530" s="116"/>
      <c r="ED530" s="116"/>
      <c r="EF530" s="332"/>
      <c r="EG530" s="116"/>
      <c r="EH530" s="116"/>
      <c r="EI530" s="116"/>
      <c r="EJ530" s="116"/>
      <c r="EK530" s="116"/>
      <c r="EM530" s="116"/>
      <c r="EN530" s="116"/>
      <c r="EO530" s="116"/>
      <c r="EQ530" s="116"/>
      <c r="ER530" s="116"/>
      <c r="ES530" s="116"/>
      <c r="ET530" s="116"/>
      <c r="EU530" s="116"/>
      <c r="EV530" s="116"/>
      <c r="EX530" s="116"/>
      <c r="EY530" s="116"/>
      <c r="EZ530" s="116"/>
      <c r="FA530" s="116"/>
      <c r="FB530" s="116"/>
    </row>
    <row r="531" spans="5:158" ht="13">
      <c r="E531" s="153"/>
      <c r="T531" s="153"/>
      <c r="BD531" s="31"/>
      <c r="BE531" s="31"/>
      <c r="BF531" s="31"/>
      <c r="BG531" s="31"/>
      <c r="BH531" s="31"/>
      <c r="BI531" s="116"/>
      <c r="BL531" s="196"/>
      <c r="BM531" s="239"/>
      <c r="BN531" s="330"/>
      <c r="BP531" s="330"/>
      <c r="BS531" s="116"/>
      <c r="BU531" s="331"/>
      <c r="BW531" s="116"/>
      <c r="BX531" s="116"/>
      <c r="BZ531" s="330"/>
      <c r="CB531" s="330"/>
      <c r="CC531" s="116"/>
      <c r="CG531" s="242"/>
      <c r="CH531" s="116"/>
      <c r="CI531" s="116"/>
      <c r="CJ531" s="116"/>
      <c r="CL531" s="116"/>
      <c r="CN531" s="239"/>
      <c r="CO531" s="153"/>
      <c r="DM531" s="116"/>
      <c r="DN531" s="116"/>
      <c r="DO531" s="116"/>
      <c r="DP531" s="116"/>
      <c r="DW531" s="116"/>
      <c r="DX531" s="219"/>
      <c r="DY531" s="219"/>
      <c r="DZ531" s="116"/>
      <c r="EA531" s="116"/>
      <c r="EB531" s="116"/>
      <c r="EC531" s="116"/>
      <c r="ED531" s="116"/>
      <c r="EF531" s="332"/>
      <c r="EG531" s="116"/>
      <c r="EH531" s="116"/>
      <c r="EI531" s="116"/>
      <c r="EJ531" s="116"/>
      <c r="EK531" s="116"/>
      <c r="EM531" s="116"/>
      <c r="EN531" s="116"/>
      <c r="EO531" s="116"/>
      <c r="EQ531" s="116"/>
      <c r="ER531" s="116"/>
      <c r="ES531" s="116"/>
      <c r="ET531" s="116"/>
      <c r="EU531" s="116"/>
      <c r="EV531" s="116"/>
      <c r="EX531" s="116"/>
      <c r="EY531" s="116"/>
      <c r="EZ531" s="116"/>
      <c r="FA531" s="116"/>
      <c r="FB531" s="116"/>
    </row>
    <row r="532" spans="5:158" ht="13">
      <c r="E532" s="153"/>
      <c r="T532" s="153"/>
      <c r="BD532" s="31"/>
      <c r="BE532" s="31"/>
      <c r="BF532" s="31"/>
      <c r="BG532" s="31"/>
      <c r="BH532" s="31"/>
      <c r="BI532" s="116"/>
      <c r="BL532" s="196"/>
      <c r="BM532" s="239"/>
      <c r="BN532" s="330"/>
      <c r="BP532" s="330"/>
      <c r="BS532" s="116"/>
      <c r="BU532" s="331"/>
      <c r="BW532" s="116"/>
      <c r="BX532" s="116"/>
      <c r="BZ532" s="330"/>
      <c r="CB532" s="330"/>
      <c r="CC532" s="116"/>
      <c r="CG532" s="242"/>
      <c r="CH532" s="116"/>
      <c r="CI532" s="116"/>
      <c r="CJ532" s="116"/>
      <c r="CL532" s="116"/>
      <c r="CN532" s="239"/>
      <c r="CO532" s="153"/>
      <c r="DM532" s="116"/>
      <c r="DN532" s="116"/>
      <c r="DO532" s="116"/>
      <c r="DP532" s="116"/>
      <c r="DW532" s="116"/>
      <c r="DX532" s="219"/>
      <c r="DY532" s="219"/>
      <c r="DZ532" s="116"/>
      <c r="EA532" s="116"/>
      <c r="EB532" s="116"/>
      <c r="EC532" s="116"/>
      <c r="ED532" s="116"/>
      <c r="EF532" s="332"/>
      <c r="EG532" s="116"/>
      <c r="EH532" s="116"/>
      <c r="EI532" s="116"/>
      <c r="EJ532" s="116"/>
      <c r="EK532" s="116"/>
      <c r="EM532" s="116"/>
      <c r="EN532" s="116"/>
      <c r="EO532" s="116"/>
      <c r="EQ532" s="116"/>
      <c r="ER532" s="116"/>
      <c r="ES532" s="116"/>
      <c r="ET532" s="116"/>
      <c r="EU532" s="116"/>
      <c r="EV532" s="116"/>
      <c r="EX532" s="116"/>
      <c r="EY532" s="116"/>
      <c r="EZ532" s="116"/>
      <c r="FA532" s="116"/>
      <c r="FB532" s="116"/>
    </row>
    <row r="533" spans="5:158" ht="13">
      <c r="E533" s="153"/>
      <c r="T533" s="153"/>
      <c r="BD533" s="31"/>
      <c r="BE533" s="31"/>
      <c r="BF533" s="31"/>
      <c r="BG533" s="31"/>
      <c r="BH533" s="31"/>
      <c r="BI533" s="116"/>
      <c r="BL533" s="196"/>
      <c r="BM533" s="239"/>
      <c r="BN533" s="330"/>
      <c r="BP533" s="330"/>
      <c r="BS533" s="116"/>
      <c r="BU533" s="331"/>
      <c r="BW533" s="116"/>
      <c r="BX533" s="116"/>
      <c r="BZ533" s="330"/>
      <c r="CB533" s="330"/>
      <c r="CC533" s="116"/>
      <c r="CG533" s="242"/>
      <c r="CH533" s="116"/>
      <c r="CI533" s="116"/>
      <c r="CJ533" s="116"/>
      <c r="CL533" s="116"/>
      <c r="CN533" s="239"/>
      <c r="CO533" s="153"/>
      <c r="DM533" s="116"/>
      <c r="DN533" s="116"/>
      <c r="DO533" s="116"/>
      <c r="DP533" s="116"/>
      <c r="DW533" s="116"/>
      <c r="DX533" s="219"/>
      <c r="DY533" s="219"/>
      <c r="DZ533" s="116"/>
      <c r="EA533" s="116"/>
      <c r="EB533" s="116"/>
      <c r="EC533" s="116"/>
      <c r="ED533" s="116"/>
      <c r="EF533" s="332"/>
      <c r="EG533" s="116"/>
      <c r="EH533" s="116"/>
      <c r="EI533" s="116"/>
      <c r="EJ533" s="116"/>
      <c r="EK533" s="116"/>
      <c r="EM533" s="116"/>
      <c r="EN533" s="116"/>
      <c r="EO533" s="116"/>
      <c r="EQ533" s="116"/>
      <c r="ER533" s="116"/>
      <c r="ES533" s="116"/>
      <c r="ET533" s="116"/>
      <c r="EU533" s="116"/>
      <c r="EV533" s="116"/>
      <c r="EX533" s="116"/>
      <c r="EY533" s="116"/>
      <c r="EZ533" s="116"/>
      <c r="FA533" s="116"/>
      <c r="FB533" s="116"/>
    </row>
    <row r="534" spans="5:158" ht="13">
      <c r="E534" s="153"/>
      <c r="T534" s="153"/>
      <c r="BD534" s="31"/>
      <c r="BE534" s="31"/>
      <c r="BF534" s="31"/>
      <c r="BG534" s="31"/>
      <c r="BH534" s="31"/>
      <c r="BI534" s="116"/>
      <c r="BL534" s="196"/>
      <c r="BM534" s="239"/>
      <c r="BN534" s="330"/>
      <c r="BP534" s="330"/>
      <c r="BS534" s="116"/>
      <c r="BU534" s="331"/>
      <c r="BW534" s="116"/>
      <c r="BX534" s="116"/>
      <c r="BZ534" s="330"/>
      <c r="CB534" s="330"/>
      <c r="CC534" s="116"/>
      <c r="CG534" s="242"/>
      <c r="CH534" s="116"/>
      <c r="CI534" s="116"/>
      <c r="CJ534" s="116"/>
      <c r="CL534" s="116"/>
      <c r="CN534" s="239"/>
      <c r="CO534" s="153"/>
      <c r="DM534" s="116"/>
      <c r="DN534" s="116"/>
      <c r="DO534" s="116"/>
      <c r="DP534" s="116"/>
      <c r="DW534" s="116"/>
      <c r="DX534" s="219"/>
      <c r="DY534" s="219"/>
      <c r="DZ534" s="116"/>
      <c r="EA534" s="116"/>
      <c r="EB534" s="116"/>
      <c r="EC534" s="116"/>
      <c r="ED534" s="116"/>
      <c r="EF534" s="332"/>
      <c r="EG534" s="116"/>
      <c r="EH534" s="116"/>
      <c r="EI534" s="116"/>
      <c r="EJ534" s="116"/>
      <c r="EK534" s="116"/>
      <c r="EM534" s="116"/>
      <c r="EN534" s="116"/>
      <c r="EO534" s="116"/>
      <c r="EQ534" s="116"/>
      <c r="ER534" s="116"/>
      <c r="ES534" s="116"/>
      <c r="ET534" s="116"/>
      <c r="EU534" s="116"/>
      <c r="EV534" s="116"/>
      <c r="EX534" s="116"/>
      <c r="EY534" s="116"/>
      <c r="EZ534" s="116"/>
      <c r="FA534" s="116"/>
      <c r="FB534" s="116"/>
    </row>
    <row r="535" spans="5:158" ht="13">
      <c r="E535" s="153"/>
      <c r="T535" s="153"/>
      <c r="BD535" s="31"/>
      <c r="BE535" s="31"/>
      <c r="BF535" s="31"/>
      <c r="BG535" s="31"/>
      <c r="BH535" s="31"/>
      <c r="BI535" s="116"/>
      <c r="BL535" s="196"/>
      <c r="BM535" s="239"/>
      <c r="BN535" s="330"/>
      <c r="BP535" s="330"/>
      <c r="BS535" s="116"/>
      <c r="BU535" s="331"/>
      <c r="BW535" s="116"/>
      <c r="BX535" s="116"/>
      <c r="BZ535" s="330"/>
      <c r="CB535" s="330"/>
      <c r="CC535" s="116"/>
      <c r="CG535" s="242"/>
      <c r="CH535" s="116"/>
      <c r="CI535" s="116"/>
      <c r="CJ535" s="116"/>
      <c r="CL535" s="116"/>
      <c r="CN535" s="239"/>
      <c r="CO535" s="153"/>
      <c r="DM535" s="116"/>
      <c r="DN535" s="116"/>
      <c r="DO535" s="116"/>
      <c r="DP535" s="116"/>
      <c r="DW535" s="116"/>
      <c r="DX535" s="219"/>
      <c r="DY535" s="219"/>
      <c r="DZ535" s="116"/>
      <c r="EA535" s="116"/>
      <c r="EB535" s="116"/>
      <c r="EC535" s="116"/>
      <c r="ED535" s="116"/>
      <c r="EF535" s="332"/>
      <c r="EG535" s="116"/>
      <c r="EH535" s="116"/>
      <c r="EI535" s="116"/>
      <c r="EJ535" s="116"/>
      <c r="EK535" s="116"/>
      <c r="EM535" s="116"/>
      <c r="EN535" s="116"/>
      <c r="EO535" s="116"/>
      <c r="EQ535" s="116"/>
      <c r="ER535" s="116"/>
      <c r="ES535" s="116"/>
      <c r="ET535" s="116"/>
      <c r="EU535" s="116"/>
      <c r="EV535" s="116"/>
      <c r="EX535" s="116"/>
      <c r="EY535" s="116"/>
      <c r="EZ535" s="116"/>
      <c r="FA535" s="116"/>
      <c r="FB535" s="116"/>
    </row>
    <row r="536" spans="5:158" ht="13">
      <c r="E536" s="153"/>
      <c r="T536" s="153"/>
      <c r="BD536" s="31"/>
      <c r="BE536" s="31"/>
      <c r="BF536" s="31"/>
      <c r="BG536" s="31"/>
      <c r="BH536" s="31"/>
      <c r="BI536" s="116"/>
      <c r="BL536" s="196"/>
      <c r="BM536" s="239"/>
      <c r="BN536" s="330"/>
      <c r="BP536" s="330"/>
      <c r="BS536" s="116"/>
      <c r="BU536" s="331"/>
      <c r="BW536" s="116"/>
      <c r="BX536" s="116"/>
      <c r="BZ536" s="330"/>
      <c r="CB536" s="330"/>
      <c r="CC536" s="116"/>
      <c r="CG536" s="242"/>
      <c r="CH536" s="116"/>
      <c r="CI536" s="116"/>
      <c r="CJ536" s="116"/>
      <c r="CL536" s="116"/>
      <c r="CN536" s="239"/>
      <c r="CO536" s="153"/>
      <c r="DM536" s="116"/>
      <c r="DN536" s="116"/>
      <c r="DO536" s="116"/>
      <c r="DP536" s="116"/>
      <c r="DW536" s="116"/>
      <c r="DX536" s="219"/>
      <c r="DY536" s="219"/>
      <c r="DZ536" s="116"/>
      <c r="EA536" s="116"/>
      <c r="EB536" s="116"/>
      <c r="EC536" s="116"/>
      <c r="ED536" s="116"/>
      <c r="EF536" s="332"/>
      <c r="EG536" s="116"/>
      <c r="EH536" s="116"/>
      <c r="EI536" s="116"/>
      <c r="EJ536" s="116"/>
      <c r="EK536" s="116"/>
      <c r="EM536" s="116"/>
      <c r="EN536" s="116"/>
      <c r="EO536" s="116"/>
      <c r="EQ536" s="116"/>
      <c r="ER536" s="116"/>
      <c r="ES536" s="116"/>
      <c r="ET536" s="116"/>
      <c r="EU536" s="116"/>
      <c r="EV536" s="116"/>
      <c r="EX536" s="116"/>
      <c r="EY536" s="116"/>
      <c r="EZ536" s="116"/>
      <c r="FA536" s="116"/>
      <c r="FB536" s="116"/>
    </row>
    <row r="537" spans="5:158" ht="13">
      <c r="E537" s="153"/>
      <c r="T537" s="153"/>
      <c r="BD537" s="31"/>
      <c r="BE537" s="31"/>
      <c r="BF537" s="31"/>
      <c r="BG537" s="31"/>
      <c r="BH537" s="31"/>
      <c r="BI537" s="116"/>
      <c r="BL537" s="196"/>
      <c r="BM537" s="239"/>
      <c r="BN537" s="330"/>
      <c r="BP537" s="330"/>
      <c r="BS537" s="116"/>
      <c r="BU537" s="331"/>
      <c r="BW537" s="116"/>
      <c r="BX537" s="116"/>
      <c r="BZ537" s="330"/>
      <c r="CB537" s="330"/>
      <c r="CC537" s="116"/>
      <c r="CG537" s="242"/>
      <c r="CH537" s="116"/>
      <c r="CI537" s="116"/>
      <c r="CJ537" s="116"/>
      <c r="CL537" s="116"/>
      <c r="CN537" s="239"/>
      <c r="CO537" s="153"/>
      <c r="DM537" s="116"/>
      <c r="DN537" s="116"/>
      <c r="DO537" s="116"/>
      <c r="DP537" s="116"/>
      <c r="DW537" s="116"/>
      <c r="DX537" s="219"/>
      <c r="DY537" s="219"/>
      <c r="DZ537" s="116"/>
      <c r="EA537" s="116"/>
      <c r="EB537" s="116"/>
      <c r="EC537" s="116"/>
      <c r="ED537" s="116"/>
      <c r="EF537" s="332"/>
      <c r="EG537" s="116"/>
      <c r="EH537" s="116"/>
      <c r="EI537" s="116"/>
      <c r="EJ537" s="116"/>
      <c r="EK537" s="116"/>
      <c r="EM537" s="116"/>
      <c r="EN537" s="116"/>
      <c r="EO537" s="116"/>
      <c r="EQ537" s="116"/>
      <c r="ER537" s="116"/>
      <c r="ES537" s="116"/>
      <c r="ET537" s="116"/>
      <c r="EU537" s="116"/>
      <c r="EV537" s="116"/>
      <c r="EX537" s="116"/>
      <c r="EY537" s="116"/>
      <c r="EZ537" s="116"/>
      <c r="FA537" s="116"/>
      <c r="FB537" s="116"/>
    </row>
    <row r="538" spans="5:158" ht="13">
      <c r="E538" s="153"/>
      <c r="T538" s="153"/>
      <c r="BD538" s="31"/>
      <c r="BE538" s="31"/>
      <c r="BF538" s="31"/>
      <c r="BG538" s="31"/>
      <c r="BH538" s="31"/>
      <c r="BI538" s="116"/>
      <c r="BL538" s="196"/>
      <c r="BM538" s="239"/>
      <c r="BN538" s="330"/>
      <c r="BP538" s="330"/>
      <c r="BS538" s="116"/>
      <c r="BU538" s="331"/>
      <c r="BW538" s="116"/>
      <c r="BX538" s="116"/>
      <c r="BZ538" s="330"/>
      <c r="CB538" s="330"/>
      <c r="CC538" s="116"/>
      <c r="CG538" s="242"/>
      <c r="CH538" s="116"/>
      <c r="CI538" s="116"/>
      <c r="CJ538" s="116"/>
      <c r="CL538" s="116"/>
      <c r="CN538" s="239"/>
      <c r="CO538" s="153"/>
      <c r="DM538" s="116"/>
      <c r="DN538" s="116"/>
      <c r="DO538" s="116"/>
      <c r="DP538" s="116"/>
      <c r="DW538" s="116"/>
      <c r="DX538" s="219"/>
      <c r="DY538" s="219"/>
      <c r="DZ538" s="116"/>
      <c r="EA538" s="116"/>
      <c r="EB538" s="116"/>
      <c r="EC538" s="116"/>
      <c r="ED538" s="116"/>
      <c r="EF538" s="332"/>
      <c r="EG538" s="116"/>
      <c r="EH538" s="116"/>
      <c r="EI538" s="116"/>
      <c r="EJ538" s="116"/>
      <c r="EK538" s="116"/>
      <c r="EM538" s="116"/>
      <c r="EN538" s="116"/>
      <c r="EO538" s="116"/>
      <c r="EQ538" s="116"/>
      <c r="ER538" s="116"/>
      <c r="ES538" s="116"/>
      <c r="ET538" s="116"/>
      <c r="EU538" s="116"/>
      <c r="EV538" s="116"/>
      <c r="EX538" s="116"/>
      <c r="EY538" s="116"/>
      <c r="EZ538" s="116"/>
      <c r="FA538" s="116"/>
      <c r="FB538" s="116"/>
    </row>
    <row r="539" spans="5:158" ht="13">
      <c r="E539" s="153"/>
      <c r="T539" s="153"/>
      <c r="BD539" s="31"/>
      <c r="BE539" s="31"/>
      <c r="BF539" s="31"/>
      <c r="BG539" s="31"/>
      <c r="BH539" s="31"/>
      <c r="BI539" s="116"/>
      <c r="BL539" s="196"/>
      <c r="BM539" s="239"/>
      <c r="BN539" s="330"/>
      <c r="BP539" s="330"/>
      <c r="BS539" s="116"/>
      <c r="BU539" s="331"/>
      <c r="BW539" s="116"/>
      <c r="BX539" s="116"/>
      <c r="BZ539" s="330"/>
      <c r="CB539" s="330"/>
      <c r="CC539" s="116"/>
      <c r="CG539" s="242"/>
      <c r="CH539" s="116"/>
      <c r="CI539" s="116"/>
      <c r="CJ539" s="116"/>
      <c r="CL539" s="116"/>
      <c r="CN539" s="239"/>
      <c r="CO539" s="153"/>
      <c r="DM539" s="116"/>
      <c r="DN539" s="116"/>
      <c r="DO539" s="116"/>
      <c r="DP539" s="116"/>
      <c r="DW539" s="116"/>
      <c r="DX539" s="219"/>
      <c r="DY539" s="219"/>
      <c r="DZ539" s="116"/>
      <c r="EA539" s="116"/>
      <c r="EB539" s="116"/>
      <c r="EC539" s="116"/>
      <c r="ED539" s="116"/>
      <c r="EF539" s="332"/>
      <c r="EG539" s="116"/>
      <c r="EH539" s="116"/>
      <c r="EI539" s="116"/>
      <c r="EJ539" s="116"/>
      <c r="EK539" s="116"/>
      <c r="EM539" s="116"/>
      <c r="EN539" s="116"/>
      <c r="EO539" s="116"/>
      <c r="EQ539" s="116"/>
      <c r="ER539" s="116"/>
      <c r="ES539" s="116"/>
      <c r="ET539" s="116"/>
      <c r="EU539" s="116"/>
      <c r="EV539" s="116"/>
      <c r="EX539" s="116"/>
      <c r="EY539" s="116"/>
      <c r="EZ539" s="116"/>
      <c r="FA539" s="116"/>
      <c r="FB539" s="116"/>
    </row>
    <row r="540" spans="5:158" ht="13">
      <c r="E540" s="153"/>
      <c r="T540" s="153"/>
      <c r="BD540" s="31"/>
      <c r="BE540" s="31"/>
      <c r="BF540" s="31"/>
      <c r="BG540" s="31"/>
      <c r="BH540" s="31"/>
      <c r="BI540" s="116"/>
      <c r="BL540" s="196"/>
      <c r="BM540" s="239"/>
      <c r="BN540" s="330"/>
      <c r="BP540" s="330"/>
      <c r="BS540" s="116"/>
      <c r="BU540" s="331"/>
      <c r="BW540" s="116"/>
      <c r="BX540" s="116"/>
      <c r="BZ540" s="330"/>
      <c r="CB540" s="330"/>
      <c r="CC540" s="116"/>
      <c r="CG540" s="242"/>
      <c r="CH540" s="116"/>
      <c r="CI540" s="116"/>
      <c r="CJ540" s="116"/>
      <c r="CL540" s="116"/>
      <c r="CN540" s="239"/>
      <c r="CO540" s="153"/>
      <c r="DM540" s="116"/>
      <c r="DN540" s="116"/>
      <c r="DO540" s="116"/>
      <c r="DP540" s="116"/>
      <c r="DW540" s="116"/>
      <c r="DX540" s="219"/>
      <c r="DY540" s="219"/>
      <c r="DZ540" s="116"/>
      <c r="EA540" s="116"/>
      <c r="EB540" s="116"/>
      <c r="EC540" s="116"/>
      <c r="ED540" s="116"/>
      <c r="EF540" s="332"/>
      <c r="EG540" s="116"/>
      <c r="EH540" s="116"/>
      <c r="EI540" s="116"/>
      <c r="EJ540" s="116"/>
      <c r="EK540" s="116"/>
      <c r="EM540" s="116"/>
      <c r="EN540" s="116"/>
      <c r="EO540" s="116"/>
      <c r="EQ540" s="116"/>
      <c r="ER540" s="116"/>
      <c r="ES540" s="116"/>
      <c r="ET540" s="116"/>
      <c r="EU540" s="116"/>
      <c r="EV540" s="116"/>
      <c r="EX540" s="116"/>
      <c r="EY540" s="116"/>
      <c r="EZ540" s="116"/>
      <c r="FA540" s="116"/>
      <c r="FB540" s="116"/>
    </row>
    <row r="541" spans="5:158" ht="13">
      <c r="E541" s="153"/>
      <c r="T541" s="153"/>
      <c r="BD541" s="31"/>
      <c r="BE541" s="31"/>
      <c r="BF541" s="31"/>
      <c r="BG541" s="31"/>
      <c r="BH541" s="31"/>
      <c r="BI541" s="116"/>
      <c r="BL541" s="196"/>
      <c r="BM541" s="239"/>
      <c r="BN541" s="330"/>
      <c r="BP541" s="330"/>
      <c r="BS541" s="116"/>
      <c r="BU541" s="331"/>
      <c r="BW541" s="116"/>
      <c r="BX541" s="116"/>
      <c r="BZ541" s="330"/>
      <c r="CB541" s="330"/>
      <c r="CC541" s="116"/>
      <c r="CG541" s="242"/>
      <c r="CH541" s="116"/>
      <c r="CI541" s="116"/>
      <c r="CJ541" s="116"/>
      <c r="CL541" s="116"/>
      <c r="CN541" s="239"/>
      <c r="CO541" s="153"/>
      <c r="DM541" s="116"/>
      <c r="DN541" s="116"/>
      <c r="DO541" s="116"/>
      <c r="DP541" s="116"/>
      <c r="DW541" s="116"/>
      <c r="DX541" s="219"/>
      <c r="DY541" s="219"/>
      <c r="DZ541" s="116"/>
      <c r="EA541" s="116"/>
      <c r="EB541" s="116"/>
      <c r="EC541" s="116"/>
      <c r="ED541" s="116"/>
      <c r="EF541" s="332"/>
      <c r="EG541" s="116"/>
      <c r="EH541" s="116"/>
      <c r="EI541" s="116"/>
      <c r="EJ541" s="116"/>
      <c r="EK541" s="116"/>
      <c r="EM541" s="116"/>
      <c r="EN541" s="116"/>
      <c r="EO541" s="116"/>
      <c r="EQ541" s="116"/>
      <c r="ER541" s="116"/>
      <c r="ES541" s="116"/>
      <c r="ET541" s="116"/>
      <c r="EU541" s="116"/>
      <c r="EV541" s="116"/>
      <c r="EX541" s="116"/>
      <c r="EY541" s="116"/>
      <c r="EZ541" s="116"/>
      <c r="FA541" s="116"/>
      <c r="FB541" s="116"/>
    </row>
    <row r="542" spans="5:158" ht="13">
      <c r="E542" s="153"/>
      <c r="T542" s="153"/>
      <c r="BD542" s="31"/>
      <c r="BE542" s="31"/>
      <c r="BF542" s="31"/>
      <c r="BG542" s="31"/>
      <c r="BH542" s="31"/>
      <c r="BI542" s="116"/>
      <c r="BL542" s="196"/>
      <c r="BM542" s="239"/>
      <c r="BN542" s="330"/>
      <c r="BP542" s="330"/>
      <c r="BS542" s="116"/>
      <c r="BU542" s="331"/>
      <c r="BW542" s="116"/>
      <c r="BX542" s="116"/>
      <c r="BZ542" s="330"/>
      <c r="CB542" s="330"/>
      <c r="CC542" s="116"/>
      <c r="CG542" s="242"/>
      <c r="CH542" s="116"/>
      <c r="CI542" s="116"/>
      <c r="CJ542" s="116"/>
      <c r="CL542" s="116"/>
      <c r="CN542" s="239"/>
      <c r="CO542" s="153"/>
      <c r="DM542" s="116"/>
      <c r="DN542" s="116"/>
      <c r="DO542" s="116"/>
      <c r="DP542" s="116"/>
      <c r="DW542" s="116"/>
      <c r="DX542" s="219"/>
      <c r="DY542" s="219"/>
      <c r="DZ542" s="116"/>
      <c r="EA542" s="116"/>
      <c r="EB542" s="116"/>
      <c r="EC542" s="116"/>
      <c r="ED542" s="116"/>
      <c r="EF542" s="332"/>
      <c r="EG542" s="116"/>
      <c r="EH542" s="116"/>
      <c r="EI542" s="116"/>
      <c r="EJ542" s="116"/>
      <c r="EK542" s="116"/>
      <c r="EM542" s="116"/>
      <c r="EN542" s="116"/>
      <c r="EO542" s="116"/>
      <c r="EQ542" s="116"/>
      <c r="ER542" s="116"/>
      <c r="ES542" s="116"/>
      <c r="ET542" s="116"/>
      <c r="EU542" s="116"/>
      <c r="EV542" s="116"/>
      <c r="EX542" s="116"/>
      <c r="EY542" s="116"/>
      <c r="EZ542" s="116"/>
      <c r="FA542" s="116"/>
      <c r="FB542" s="116"/>
    </row>
    <row r="543" spans="5:158" ht="13">
      <c r="E543" s="153"/>
      <c r="T543" s="153"/>
      <c r="BD543" s="31"/>
      <c r="BE543" s="31"/>
      <c r="BF543" s="31"/>
      <c r="BG543" s="31"/>
      <c r="BH543" s="31"/>
      <c r="BI543" s="116"/>
      <c r="BL543" s="196"/>
      <c r="BM543" s="239"/>
      <c r="BN543" s="330"/>
      <c r="BP543" s="330"/>
      <c r="BS543" s="116"/>
      <c r="BU543" s="331"/>
      <c r="BW543" s="116"/>
      <c r="BX543" s="116"/>
      <c r="BZ543" s="330"/>
      <c r="CB543" s="330"/>
      <c r="CC543" s="116"/>
      <c r="CG543" s="242"/>
      <c r="CH543" s="116"/>
      <c r="CI543" s="116"/>
      <c r="CJ543" s="116"/>
      <c r="CL543" s="116"/>
      <c r="CN543" s="239"/>
      <c r="CO543" s="153"/>
      <c r="DM543" s="116"/>
      <c r="DN543" s="116"/>
      <c r="DO543" s="116"/>
      <c r="DP543" s="116"/>
      <c r="DW543" s="116"/>
      <c r="DX543" s="219"/>
      <c r="DY543" s="219"/>
      <c r="DZ543" s="116"/>
      <c r="EA543" s="116"/>
      <c r="EB543" s="116"/>
      <c r="EC543" s="116"/>
      <c r="ED543" s="116"/>
      <c r="EF543" s="332"/>
      <c r="EG543" s="116"/>
      <c r="EH543" s="116"/>
      <c r="EI543" s="116"/>
      <c r="EJ543" s="116"/>
      <c r="EK543" s="116"/>
      <c r="EM543" s="116"/>
      <c r="EN543" s="116"/>
      <c r="EO543" s="116"/>
      <c r="EQ543" s="116"/>
      <c r="ER543" s="116"/>
      <c r="ES543" s="116"/>
      <c r="ET543" s="116"/>
      <c r="EU543" s="116"/>
      <c r="EV543" s="116"/>
      <c r="EX543" s="116"/>
      <c r="EY543" s="116"/>
      <c r="EZ543" s="116"/>
      <c r="FA543" s="116"/>
      <c r="FB543" s="116"/>
    </row>
    <row r="544" spans="5:158" ht="13">
      <c r="E544" s="153"/>
      <c r="T544" s="153"/>
      <c r="BD544" s="31"/>
      <c r="BE544" s="31"/>
      <c r="BF544" s="31"/>
      <c r="BG544" s="31"/>
      <c r="BH544" s="31"/>
      <c r="BI544" s="116"/>
      <c r="BL544" s="196"/>
      <c r="BM544" s="239"/>
      <c r="BN544" s="330"/>
      <c r="BP544" s="330"/>
      <c r="BS544" s="116"/>
      <c r="BU544" s="331"/>
      <c r="BW544" s="116"/>
      <c r="BX544" s="116"/>
      <c r="BZ544" s="330"/>
      <c r="CB544" s="330"/>
      <c r="CC544" s="116"/>
      <c r="CG544" s="242"/>
      <c r="CH544" s="116"/>
      <c r="CI544" s="116"/>
      <c r="CJ544" s="116"/>
      <c r="CL544" s="116"/>
      <c r="CN544" s="239"/>
      <c r="CO544" s="153"/>
      <c r="DM544" s="116"/>
      <c r="DN544" s="116"/>
      <c r="DO544" s="116"/>
      <c r="DP544" s="116"/>
      <c r="DW544" s="116"/>
      <c r="DX544" s="219"/>
      <c r="DY544" s="219"/>
      <c r="DZ544" s="116"/>
      <c r="EA544" s="116"/>
      <c r="EB544" s="116"/>
      <c r="EC544" s="116"/>
      <c r="ED544" s="116"/>
      <c r="EF544" s="332"/>
      <c r="EG544" s="116"/>
      <c r="EH544" s="116"/>
      <c r="EI544" s="116"/>
      <c r="EJ544" s="116"/>
      <c r="EK544" s="116"/>
      <c r="EM544" s="116"/>
      <c r="EN544" s="116"/>
      <c r="EO544" s="116"/>
      <c r="EQ544" s="116"/>
      <c r="ER544" s="116"/>
      <c r="ES544" s="116"/>
      <c r="ET544" s="116"/>
      <c r="EU544" s="116"/>
      <c r="EV544" s="116"/>
      <c r="EX544" s="116"/>
      <c r="EY544" s="116"/>
      <c r="EZ544" s="116"/>
      <c r="FA544" s="116"/>
      <c r="FB544" s="116"/>
    </row>
    <row r="545" spans="5:158" ht="13">
      <c r="E545" s="153"/>
      <c r="T545" s="153"/>
      <c r="BD545" s="31"/>
      <c r="BE545" s="31"/>
      <c r="BF545" s="31"/>
      <c r="BG545" s="31"/>
      <c r="BH545" s="31"/>
      <c r="BI545" s="116"/>
      <c r="BL545" s="196"/>
      <c r="BM545" s="239"/>
      <c r="BN545" s="330"/>
      <c r="BP545" s="330"/>
      <c r="BS545" s="116"/>
      <c r="BU545" s="331"/>
      <c r="BW545" s="116"/>
      <c r="BX545" s="116"/>
      <c r="BZ545" s="330"/>
      <c r="CB545" s="330"/>
      <c r="CC545" s="116"/>
      <c r="CG545" s="242"/>
      <c r="CH545" s="116"/>
      <c r="CI545" s="116"/>
      <c r="CJ545" s="116"/>
      <c r="CL545" s="116"/>
      <c r="CN545" s="239"/>
      <c r="CO545" s="153"/>
      <c r="DM545" s="116"/>
      <c r="DN545" s="116"/>
      <c r="DO545" s="116"/>
      <c r="DP545" s="116"/>
      <c r="DW545" s="116"/>
      <c r="DX545" s="219"/>
      <c r="DY545" s="219"/>
      <c r="DZ545" s="116"/>
      <c r="EA545" s="116"/>
      <c r="EB545" s="116"/>
      <c r="EC545" s="116"/>
      <c r="ED545" s="116"/>
      <c r="EF545" s="332"/>
      <c r="EG545" s="116"/>
      <c r="EH545" s="116"/>
      <c r="EI545" s="116"/>
      <c r="EJ545" s="116"/>
      <c r="EK545" s="116"/>
      <c r="EM545" s="116"/>
      <c r="EN545" s="116"/>
      <c r="EO545" s="116"/>
      <c r="EQ545" s="116"/>
      <c r="ER545" s="116"/>
      <c r="ES545" s="116"/>
      <c r="ET545" s="116"/>
      <c r="EU545" s="116"/>
      <c r="EV545" s="116"/>
      <c r="EX545" s="116"/>
      <c r="EY545" s="116"/>
      <c r="EZ545" s="116"/>
      <c r="FA545" s="116"/>
      <c r="FB545" s="116"/>
    </row>
    <row r="546" spans="5:158" ht="13">
      <c r="E546" s="153"/>
      <c r="T546" s="153"/>
      <c r="BD546" s="31"/>
      <c r="BE546" s="31"/>
      <c r="BF546" s="31"/>
      <c r="BG546" s="31"/>
      <c r="BH546" s="31"/>
      <c r="BI546" s="116"/>
      <c r="BL546" s="196"/>
      <c r="BM546" s="239"/>
      <c r="BN546" s="330"/>
      <c r="BP546" s="330"/>
      <c r="BS546" s="116"/>
      <c r="BU546" s="331"/>
      <c r="BW546" s="116"/>
      <c r="BX546" s="116"/>
      <c r="BZ546" s="330"/>
      <c r="CB546" s="330"/>
      <c r="CC546" s="116"/>
      <c r="CG546" s="242"/>
      <c r="CH546" s="116"/>
      <c r="CI546" s="116"/>
      <c r="CJ546" s="116"/>
      <c r="CL546" s="116"/>
      <c r="CN546" s="239"/>
      <c r="CO546" s="153"/>
      <c r="DM546" s="116"/>
      <c r="DN546" s="116"/>
      <c r="DO546" s="116"/>
      <c r="DP546" s="116"/>
      <c r="DW546" s="116"/>
      <c r="DX546" s="219"/>
      <c r="DY546" s="219"/>
      <c r="DZ546" s="116"/>
      <c r="EA546" s="116"/>
      <c r="EB546" s="116"/>
      <c r="EC546" s="116"/>
      <c r="ED546" s="116"/>
      <c r="EF546" s="332"/>
      <c r="EG546" s="116"/>
      <c r="EH546" s="116"/>
      <c r="EI546" s="116"/>
      <c r="EJ546" s="116"/>
      <c r="EK546" s="116"/>
      <c r="EM546" s="116"/>
      <c r="EN546" s="116"/>
      <c r="EO546" s="116"/>
      <c r="EQ546" s="116"/>
      <c r="ER546" s="116"/>
      <c r="ES546" s="116"/>
      <c r="ET546" s="116"/>
      <c r="EU546" s="116"/>
      <c r="EV546" s="116"/>
      <c r="EX546" s="116"/>
      <c r="EY546" s="116"/>
      <c r="EZ546" s="116"/>
      <c r="FA546" s="116"/>
      <c r="FB546" s="116"/>
    </row>
    <row r="547" spans="5:158" ht="13">
      <c r="E547" s="153"/>
      <c r="T547" s="153"/>
      <c r="BD547" s="31"/>
      <c r="BE547" s="31"/>
      <c r="BF547" s="31"/>
      <c r="BG547" s="31"/>
      <c r="BH547" s="31"/>
      <c r="BI547" s="116"/>
      <c r="BL547" s="196"/>
      <c r="BM547" s="239"/>
      <c r="BN547" s="330"/>
      <c r="BP547" s="330"/>
      <c r="BS547" s="116"/>
      <c r="BU547" s="331"/>
      <c r="BW547" s="116"/>
      <c r="BX547" s="116"/>
      <c r="BZ547" s="330"/>
      <c r="CB547" s="330"/>
      <c r="CC547" s="116"/>
      <c r="CG547" s="242"/>
      <c r="CH547" s="116"/>
      <c r="CI547" s="116"/>
      <c r="CJ547" s="116"/>
      <c r="CL547" s="116"/>
      <c r="CN547" s="239"/>
      <c r="CO547" s="153"/>
      <c r="DM547" s="116"/>
      <c r="DN547" s="116"/>
      <c r="DO547" s="116"/>
      <c r="DP547" s="116"/>
      <c r="DW547" s="116"/>
      <c r="DX547" s="219"/>
      <c r="DY547" s="219"/>
      <c r="DZ547" s="116"/>
      <c r="EA547" s="116"/>
      <c r="EB547" s="116"/>
      <c r="EC547" s="116"/>
      <c r="ED547" s="116"/>
      <c r="EF547" s="332"/>
      <c r="EG547" s="116"/>
      <c r="EH547" s="116"/>
      <c r="EI547" s="116"/>
      <c r="EJ547" s="116"/>
      <c r="EK547" s="116"/>
      <c r="EM547" s="116"/>
      <c r="EN547" s="116"/>
      <c r="EO547" s="116"/>
      <c r="EQ547" s="116"/>
      <c r="ER547" s="116"/>
      <c r="ES547" s="116"/>
      <c r="ET547" s="116"/>
      <c r="EU547" s="116"/>
      <c r="EV547" s="116"/>
      <c r="EX547" s="116"/>
      <c r="EY547" s="116"/>
      <c r="EZ547" s="116"/>
      <c r="FA547" s="116"/>
      <c r="FB547" s="116"/>
    </row>
    <row r="548" spans="5:158" ht="13">
      <c r="E548" s="153"/>
      <c r="T548" s="153"/>
      <c r="BD548" s="31"/>
      <c r="BE548" s="31"/>
      <c r="BF548" s="31"/>
      <c r="BG548" s="31"/>
      <c r="BH548" s="31"/>
      <c r="BI548" s="116"/>
      <c r="BL548" s="196"/>
      <c r="BM548" s="239"/>
      <c r="BN548" s="330"/>
      <c r="BP548" s="330"/>
      <c r="BS548" s="116"/>
      <c r="BU548" s="331"/>
      <c r="BW548" s="116"/>
      <c r="BX548" s="116"/>
      <c r="BZ548" s="330"/>
      <c r="CB548" s="330"/>
      <c r="CC548" s="116"/>
      <c r="CG548" s="242"/>
      <c r="CH548" s="116"/>
      <c r="CI548" s="116"/>
      <c r="CJ548" s="116"/>
      <c r="CL548" s="116"/>
      <c r="CN548" s="239"/>
      <c r="CO548" s="153"/>
      <c r="DM548" s="116"/>
      <c r="DN548" s="116"/>
      <c r="DO548" s="116"/>
      <c r="DP548" s="116"/>
      <c r="DW548" s="116"/>
      <c r="DX548" s="219"/>
      <c r="DY548" s="219"/>
      <c r="DZ548" s="116"/>
      <c r="EA548" s="116"/>
      <c r="EB548" s="116"/>
      <c r="EC548" s="116"/>
      <c r="ED548" s="116"/>
      <c r="EF548" s="332"/>
      <c r="EG548" s="116"/>
      <c r="EH548" s="116"/>
      <c r="EI548" s="116"/>
      <c r="EJ548" s="116"/>
      <c r="EK548" s="116"/>
      <c r="EM548" s="116"/>
      <c r="EN548" s="116"/>
      <c r="EO548" s="116"/>
      <c r="EQ548" s="116"/>
      <c r="ER548" s="116"/>
      <c r="ES548" s="116"/>
      <c r="ET548" s="116"/>
      <c r="EU548" s="116"/>
      <c r="EV548" s="116"/>
      <c r="EX548" s="116"/>
      <c r="EY548" s="116"/>
      <c r="EZ548" s="116"/>
      <c r="FA548" s="116"/>
      <c r="FB548" s="116"/>
    </row>
    <row r="549" spans="5:158" ht="13">
      <c r="E549" s="153"/>
      <c r="T549" s="153"/>
      <c r="BD549" s="31"/>
      <c r="BE549" s="31"/>
      <c r="BF549" s="31"/>
      <c r="BG549" s="31"/>
      <c r="BH549" s="31"/>
      <c r="BI549" s="116"/>
      <c r="BL549" s="196"/>
      <c r="BM549" s="239"/>
      <c r="BN549" s="330"/>
      <c r="BP549" s="330"/>
      <c r="BS549" s="116"/>
      <c r="BU549" s="331"/>
      <c r="BW549" s="116"/>
      <c r="BX549" s="116"/>
      <c r="BZ549" s="330"/>
      <c r="CB549" s="330"/>
      <c r="CC549" s="116"/>
      <c r="CG549" s="242"/>
      <c r="CH549" s="116"/>
      <c r="CI549" s="116"/>
      <c r="CJ549" s="116"/>
      <c r="CL549" s="116"/>
      <c r="CN549" s="239"/>
      <c r="CO549" s="153"/>
      <c r="DM549" s="116"/>
      <c r="DN549" s="116"/>
      <c r="DO549" s="116"/>
      <c r="DP549" s="116"/>
      <c r="DW549" s="116"/>
      <c r="DX549" s="219"/>
      <c r="DY549" s="219"/>
      <c r="DZ549" s="116"/>
      <c r="EA549" s="116"/>
      <c r="EB549" s="116"/>
      <c r="EC549" s="116"/>
      <c r="ED549" s="116"/>
      <c r="EF549" s="332"/>
      <c r="EG549" s="116"/>
      <c r="EH549" s="116"/>
      <c r="EI549" s="116"/>
      <c r="EJ549" s="116"/>
      <c r="EK549" s="116"/>
      <c r="EM549" s="116"/>
      <c r="EN549" s="116"/>
      <c r="EO549" s="116"/>
      <c r="EQ549" s="116"/>
      <c r="ER549" s="116"/>
      <c r="ES549" s="116"/>
      <c r="ET549" s="116"/>
      <c r="EU549" s="116"/>
      <c r="EV549" s="116"/>
      <c r="EX549" s="116"/>
      <c r="EY549" s="116"/>
      <c r="EZ549" s="116"/>
      <c r="FA549" s="116"/>
      <c r="FB549" s="116"/>
    </row>
    <row r="550" spans="5:158" ht="13">
      <c r="E550" s="153"/>
      <c r="T550" s="153"/>
      <c r="BD550" s="31"/>
      <c r="BE550" s="31"/>
      <c r="BF550" s="31"/>
      <c r="BG550" s="31"/>
      <c r="BH550" s="31"/>
      <c r="BI550" s="116"/>
      <c r="BL550" s="196"/>
      <c r="BM550" s="239"/>
      <c r="BN550" s="330"/>
      <c r="BP550" s="330"/>
      <c r="BS550" s="116"/>
      <c r="BU550" s="331"/>
      <c r="BW550" s="116"/>
      <c r="BX550" s="116"/>
      <c r="BZ550" s="330"/>
      <c r="CB550" s="330"/>
      <c r="CC550" s="116"/>
      <c r="CG550" s="242"/>
      <c r="CH550" s="116"/>
      <c r="CI550" s="116"/>
      <c r="CJ550" s="116"/>
      <c r="CL550" s="116"/>
      <c r="CN550" s="239"/>
      <c r="CO550" s="153"/>
      <c r="DM550" s="116"/>
      <c r="DN550" s="116"/>
      <c r="DO550" s="116"/>
      <c r="DP550" s="116"/>
      <c r="DW550" s="116"/>
      <c r="DX550" s="219"/>
      <c r="DY550" s="219"/>
      <c r="DZ550" s="116"/>
      <c r="EA550" s="116"/>
      <c r="EB550" s="116"/>
      <c r="EC550" s="116"/>
      <c r="ED550" s="116"/>
      <c r="EF550" s="332"/>
      <c r="EG550" s="116"/>
      <c r="EH550" s="116"/>
      <c r="EI550" s="116"/>
      <c r="EJ550" s="116"/>
      <c r="EK550" s="116"/>
      <c r="EM550" s="116"/>
      <c r="EN550" s="116"/>
      <c r="EO550" s="116"/>
      <c r="EQ550" s="116"/>
      <c r="ER550" s="116"/>
      <c r="ES550" s="116"/>
      <c r="ET550" s="116"/>
      <c r="EU550" s="116"/>
      <c r="EV550" s="116"/>
      <c r="EX550" s="116"/>
      <c r="EY550" s="116"/>
      <c r="EZ550" s="116"/>
      <c r="FA550" s="116"/>
      <c r="FB550" s="116"/>
    </row>
    <row r="551" spans="5:158" ht="13">
      <c r="E551" s="153"/>
      <c r="T551" s="153"/>
      <c r="BD551" s="31"/>
      <c r="BE551" s="31"/>
      <c r="BF551" s="31"/>
      <c r="BG551" s="31"/>
      <c r="BH551" s="31"/>
      <c r="BI551" s="116"/>
      <c r="BL551" s="196"/>
      <c r="BM551" s="239"/>
      <c r="BN551" s="330"/>
      <c r="BP551" s="330"/>
      <c r="BS551" s="116"/>
      <c r="BU551" s="331"/>
      <c r="BW551" s="116"/>
      <c r="BX551" s="116"/>
      <c r="BZ551" s="330"/>
      <c r="CB551" s="330"/>
      <c r="CC551" s="116"/>
      <c r="CG551" s="242"/>
      <c r="CH551" s="116"/>
      <c r="CI551" s="116"/>
      <c r="CJ551" s="116"/>
      <c r="CL551" s="116"/>
      <c r="CN551" s="239"/>
      <c r="CO551" s="153"/>
      <c r="DM551" s="116"/>
      <c r="DN551" s="116"/>
      <c r="DO551" s="116"/>
      <c r="DP551" s="116"/>
      <c r="DW551" s="116"/>
      <c r="DX551" s="219"/>
      <c r="DY551" s="219"/>
      <c r="DZ551" s="116"/>
      <c r="EA551" s="116"/>
      <c r="EB551" s="116"/>
      <c r="EC551" s="116"/>
      <c r="ED551" s="116"/>
      <c r="EF551" s="332"/>
      <c r="EG551" s="116"/>
      <c r="EH551" s="116"/>
      <c r="EI551" s="116"/>
      <c r="EJ551" s="116"/>
      <c r="EK551" s="116"/>
      <c r="EM551" s="116"/>
      <c r="EN551" s="116"/>
      <c r="EO551" s="116"/>
      <c r="EQ551" s="116"/>
      <c r="ER551" s="116"/>
      <c r="ES551" s="116"/>
      <c r="ET551" s="116"/>
      <c r="EU551" s="116"/>
      <c r="EV551" s="116"/>
      <c r="EX551" s="116"/>
      <c r="EY551" s="116"/>
      <c r="EZ551" s="116"/>
      <c r="FA551" s="116"/>
      <c r="FB551" s="116"/>
    </row>
    <row r="552" spans="5:158" ht="13">
      <c r="E552" s="153"/>
      <c r="T552" s="153"/>
      <c r="BD552" s="31"/>
      <c r="BE552" s="31"/>
      <c r="BF552" s="31"/>
      <c r="BG552" s="31"/>
      <c r="BH552" s="31"/>
      <c r="BI552" s="116"/>
      <c r="BL552" s="196"/>
      <c r="BM552" s="239"/>
      <c r="BN552" s="330"/>
      <c r="BP552" s="330"/>
      <c r="BS552" s="116"/>
      <c r="BU552" s="331"/>
      <c r="BW552" s="116"/>
      <c r="BX552" s="116"/>
      <c r="BZ552" s="330"/>
      <c r="CB552" s="330"/>
      <c r="CC552" s="116"/>
      <c r="CG552" s="242"/>
      <c r="CH552" s="116"/>
      <c r="CI552" s="116"/>
      <c r="CJ552" s="116"/>
      <c r="CL552" s="116"/>
      <c r="CN552" s="239"/>
      <c r="CO552" s="153"/>
      <c r="DM552" s="116"/>
      <c r="DN552" s="116"/>
      <c r="DO552" s="116"/>
      <c r="DP552" s="116"/>
      <c r="DW552" s="116"/>
      <c r="DX552" s="219"/>
      <c r="DY552" s="219"/>
      <c r="DZ552" s="116"/>
      <c r="EA552" s="116"/>
      <c r="EB552" s="116"/>
      <c r="EC552" s="116"/>
      <c r="ED552" s="116"/>
      <c r="EF552" s="332"/>
      <c r="EG552" s="116"/>
      <c r="EH552" s="116"/>
      <c r="EI552" s="116"/>
      <c r="EJ552" s="116"/>
      <c r="EK552" s="116"/>
      <c r="EM552" s="116"/>
      <c r="EN552" s="116"/>
      <c r="EO552" s="116"/>
      <c r="EQ552" s="116"/>
      <c r="ER552" s="116"/>
      <c r="ES552" s="116"/>
      <c r="ET552" s="116"/>
      <c r="EU552" s="116"/>
      <c r="EV552" s="116"/>
      <c r="EX552" s="116"/>
      <c r="EY552" s="116"/>
      <c r="EZ552" s="116"/>
      <c r="FA552" s="116"/>
      <c r="FB552" s="116"/>
    </row>
    <row r="553" spans="5:158" ht="13">
      <c r="E553" s="153"/>
      <c r="T553" s="153"/>
      <c r="BD553" s="31"/>
      <c r="BE553" s="31"/>
      <c r="BF553" s="31"/>
      <c r="BG553" s="31"/>
      <c r="BH553" s="31"/>
      <c r="BI553" s="116"/>
      <c r="BL553" s="196"/>
      <c r="BM553" s="239"/>
      <c r="BN553" s="330"/>
      <c r="BP553" s="330"/>
      <c r="BS553" s="116"/>
      <c r="BU553" s="331"/>
      <c r="BW553" s="116"/>
      <c r="BX553" s="116"/>
      <c r="BZ553" s="330"/>
      <c r="CB553" s="330"/>
      <c r="CC553" s="116"/>
      <c r="CG553" s="242"/>
      <c r="CH553" s="116"/>
      <c r="CI553" s="116"/>
      <c r="CJ553" s="116"/>
      <c r="CL553" s="116"/>
      <c r="CN553" s="239"/>
      <c r="CO553" s="153"/>
      <c r="DM553" s="116"/>
      <c r="DN553" s="116"/>
      <c r="DO553" s="116"/>
      <c r="DP553" s="116"/>
      <c r="DW553" s="116"/>
      <c r="DX553" s="219"/>
      <c r="DY553" s="219"/>
      <c r="DZ553" s="116"/>
      <c r="EA553" s="116"/>
      <c r="EB553" s="116"/>
      <c r="EC553" s="116"/>
      <c r="ED553" s="116"/>
      <c r="EF553" s="332"/>
      <c r="EG553" s="116"/>
      <c r="EH553" s="116"/>
      <c r="EI553" s="116"/>
      <c r="EJ553" s="116"/>
      <c r="EK553" s="116"/>
      <c r="EM553" s="116"/>
      <c r="EN553" s="116"/>
      <c r="EO553" s="116"/>
      <c r="EQ553" s="116"/>
      <c r="ER553" s="116"/>
      <c r="ES553" s="116"/>
      <c r="ET553" s="116"/>
      <c r="EU553" s="116"/>
      <c r="EV553" s="116"/>
      <c r="EX553" s="116"/>
      <c r="EY553" s="116"/>
      <c r="EZ553" s="116"/>
      <c r="FA553" s="116"/>
      <c r="FB553" s="116"/>
    </row>
    <row r="554" spans="5:158" ht="13">
      <c r="E554" s="153"/>
      <c r="T554" s="153"/>
      <c r="BD554" s="31"/>
      <c r="BE554" s="31"/>
      <c r="BF554" s="31"/>
      <c r="BG554" s="31"/>
      <c r="BH554" s="31"/>
      <c r="BI554" s="116"/>
      <c r="BL554" s="196"/>
      <c r="BM554" s="239"/>
      <c r="BN554" s="330"/>
      <c r="BP554" s="330"/>
      <c r="BS554" s="116"/>
      <c r="BU554" s="331"/>
      <c r="BW554" s="116"/>
      <c r="BX554" s="116"/>
      <c r="BZ554" s="330"/>
      <c r="CB554" s="330"/>
      <c r="CC554" s="116"/>
      <c r="CG554" s="242"/>
      <c r="CH554" s="116"/>
      <c r="CI554" s="116"/>
      <c r="CJ554" s="116"/>
      <c r="CL554" s="116"/>
      <c r="CN554" s="239"/>
      <c r="CO554" s="153"/>
      <c r="DM554" s="116"/>
      <c r="DN554" s="116"/>
      <c r="DO554" s="116"/>
      <c r="DP554" s="116"/>
      <c r="DW554" s="116"/>
      <c r="DX554" s="219"/>
      <c r="DY554" s="219"/>
      <c r="DZ554" s="116"/>
      <c r="EA554" s="116"/>
      <c r="EB554" s="116"/>
      <c r="EC554" s="116"/>
      <c r="ED554" s="116"/>
      <c r="EF554" s="332"/>
      <c r="EG554" s="116"/>
      <c r="EH554" s="116"/>
      <c r="EI554" s="116"/>
      <c r="EJ554" s="116"/>
      <c r="EK554" s="116"/>
      <c r="EM554" s="116"/>
      <c r="EN554" s="116"/>
      <c r="EO554" s="116"/>
      <c r="EQ554" s="116"/>
      <c r="ER554" s="116"/>
      <c r="ES554" s="116"/>
      <c r="ET554" s="116"/>
      <c r="EU554" s="116"/>
      <c r="EV554" s="116"/>
      <c r="EX554" s="116"/>
      <c r="EY554" s="116"/>
      <c r="EZ554" s="116"/>
      <c r="FA554" s="116"/>
      <c r="FB554" s="116"/>
    </row>
    <row r="555" spans="5:158" ht="13">
      <c r="E555" s="153"/>
      <c r="T555" s="153"/>
      <c r="BD555" s="31"/>
      <c r="BE555" s="31"/>
      <c r="BF555" s="31"/>
      <c r="BG555" s="31"/>
      <c r="BH555" s="31"/>
      <c r="BI555" s="116"/>
      <c r="BL555" s="196"/>
      <c r="BM555" s="239"/>
      <c r="BN555" s="330"/>
      <c r="BP555" s="330"/>
      <c r="BS555" s="116"/>
      <c r="BU555" s="331"/>
      <c r="BW555" s="116"/>
      <c r="BX555" s="116"/>
      <c r="BZ555" s="330"/>
      <c r="CB555" s="330"/>
      <c r="CC555" s="116"/>
      <c r="CG555" s="242"/>
      <c r="CH555" s="116"/>
      <c r="CI555" s="116"/>
      <c r="CJ555" s="116"/>
      <c r="CL555" s="116"/>
      <c r="CN555" s="239"/>
      <c r="CO555" s="153"/>
      <c r="DM555" s="116"/>
      <c r="DN555" s="116"/>
      <c r="DO555" s="116"/>
      <c r="DP555" s="116"/>
      <c r="DW555" s="116"/>
      <c r="DX555" s="219"/>
      <c r="DY555" s="219"/>
      <c r="DZ555" s="116"/>
      <c r="EA555" s="116"/>
      <c r="EB555" s="116"/>
      <c r="EC555" s="116"/>
      <c r="ED555" s="116"/>
      <c r="EF555" s="332"/>
      <c r="EG555" s="116"/>
      <c r="EH555" s="116"/>
      <c r="EI555" s="116"/>
      <c r="EJ555" s="116"/>
      <c r="EK555" s="116"/>
      <c r="EM555" s="116"/>
      <c r="EN555" s="116"/>
      <c r="EO555" s="116"/>
      <c r="EQ555" s="116"/>
      <c r="ER555" s="116"/>
      <c r="ES555" s="116"/>
      <c r="ET555" s="116"/>
      <c r="EU555" s="116"/>
      <c r="EV555" s="116"/>
      <c r="EX555" s="116"/>
      <c r="EY555" s="116"/>
      <c r="EZ555" s="116"/>
      <c r="FA555" s="116"/>
      <c r="FB555" s="116"/>
    </row>
    <row r="556" spans="5:158" ht="13">
      <c r="E556" s="153"/>
      <c r="T556" s="153"/>
      <c r="BD556" s="31"/>
      <c r="BE556" s="31"/>
      <c r="BF556" s="31"/>
      <c r="BG556" s="31"/>
      <c r="BH556" s="31"/>
      <c r="BI556" s="116"/>
      <c r="BL556" s="196"/>
      <c r="BM556" s="239"/>
      <c r="BN556" s="330"/>
      <c r="BP556" s="330"/>
      <c r="BS556" s="116"/>
      <c r="BU556" s="331"/>
      <c r="BW556" s="116"/>
      <c r="BX556" s="116"/>
      <c r="BZ556" s="330"/>
      <c r="CB556" s="330"/>
      <c r="CC556" s="116"/>
      <c r="CG556" s="242"/>
      <c r="CH556" s="116"/>
      <c r="CI556" s="116"/>
      <c r="CJ556" s="116"/>
      <c r="CL556" s="116"/>
      <c r="CN556" s="239"/>
      <c r="CO556" s="153"/>
      <c r="DM556" s="116"/>
      <c r="DN556" s="116"/>
      <c r="DO556" s="116"/>
      <c r="DP556" s="116"/>
      <c r="DW556" s="116"/>
      <c r="DX556" s="219"/>
      <c r="DY556" s="219"/>
      <c r="DZ556" s="116"/>
      <c r="EA556" s="116"/>
      <c r="EB556" s="116"/>
      <c r="EC556" s="116"/>
      <c r="ED556" s="116"/>
      <c r="EF556" s="332"/>
      <c r="EG556" s="116"/>
      <c r="EH556" s="116"/>
      <c r="EI556" s="116"/>
      <c r="EJ556" s="116"/>
      <c r="EK556" s="116"/>
      <c r="EM556" s="116"/>
      <c r="EN556" s="116"/>
      <c r="EO556" s="116"/>
      <c r="EQ556" s="116"/>
      <c r="ER556" s="116"/>
      <c r="ES556" s="116"/>
      <c r="ET556" s="116"/>
      <c r="EU556" s="116"/>
      <c r="EV556" s="116"/>
      <c r="EX556" s="116"/>
      <c r="EY556" s="116"/>
      <c r="EZ556" s="116"/>
      <c r="FA556" s="116"/>
      <c r="FB556" s="116"/>
    </row>
    <row r="557" spans="5:158" ht="13">
      <c r="E557" s="153"/>
      <c r="T557" s="153"/>
      <c r="BD557" s="31"/>
      <c r="BE557" s="31"/>
      <c r="BF557" s="31"/>
      <c r="BG557" s="31"/>
      <c r="BH557" s="31"/>
      <c r="BI557" s="116"/>
      <c r="BL557" s="196"/>
      <c r="BM557" s="239"/>
      <c r="BN557" s="330"/>
      <c r="BP557" s="330"/>
      <c r="BS557" s="116"/>
      <c r="BU557" s="331"/>
      <c r="BW557" s="116"/>
      <c r="BX557" s="116"/>
      <c r="BZ557" s="330"/>
      <c r="CB557" s="330"/>
      <c r="CC557" s="116"/>
      <c r="CG557" s="242"/>
      <c r="CH557" s="116"/>
      <c r="CI557" s="116"/>
      <c r="CJ557" s="116"/>
      <c r="CL557" s="116"/>
      <c r="CN557" s="239"/>
      <c r="CO557" s="153"/>
      <c r="DM557" s="116"/>
      <c r="DN557" s="116"/>
      <c r="DO557" s="116"/>
      <c r="DP557" s="116"/>
      <c r="DW557" s="116"/>
      <c r="DX557" s="219"/>
      <c r="DY557" s="219"/>
      <c r="DZ557" s="116"/>
      <c r="EA557" s="116"/>
      <c r="EB557" s="116"/>
      <c r="EC557" s="116"/>
      <c r="ED557" s="116"/>
      <c r="EF557" s="332"/>
      <c r="EG557" s="116"/>
      <c r="EH557" s="116"/>
      <c r="EI557" s="116"/>
      <c r="EJ557" s="116"/>
      <c r="EK557" s="116"/>
      <c r="EM557" s="116"/>
      <c r="EN557" s="116"/>
      <c r="EO557" s="116"/>
      <c r="EQ557" s="116"/>
      <c r="ER557" s="116"/>
      <c r="ES557" s="116"/>
      <c r="ET557" s="116"/>
      <c r="EU557" s="116"/>
      <c r="EV557" s="116"/>
      <c r="EX557" s="116"/>
      <c r="EY557" s="116"/>
      <c r="EZ557" s="116"/>
      <c r="FA557" s="116"/>
      <c r="FB557" s="116"/>
    </row>
    <row r="558" spans="5:158" ht="13">
      <c r="E558" s="153"/>
      <c r="T558" s="153"/>
      <c r="BD558" s="31"/>
      <c r="BE558" s="31"/>
      <c r="BF558" s="31"/>
      <c r="BG558" s="31"/>
      <c r="BH558" s="31"/>
      <c r="BI558" s="116"/>
      <c r="BL558" s="196"/>
      <c r="BM558" s="239"/>
      <c r="BN558" s="330"/>
      <c r="BP558" s="330"/>
      <c r="BS558" s="116"/>
      <c r="BU558" s="331"/>
      <c r="BW558" s="116"/>
      <c r="BX558" s="116"/>
      <c r="BZ558" s="330"/>
      <c r="CB558" s="330"/>
      <c r="CC558" s="116"/>
      <c r="CG558" s="242"/>
      <c r="CH558" s="116"/>
      <c r="CI558" s="116"/>
      <c r="CJ558" s="116"/>
      <c r="CL558" s="116"/>
      <c r="CN558" s="239"/>
      <c r="CO558" s="153"/>
      <c r="DM558" s="116"/>
      <c r="DN558" s="116"/>
      <c r="DO558" s="116"/>
      <c r="DP558" s="116"/>
      <c r="DW558" s="116"/>
      <c r="DX558" s="219"/>
      <c r="DY558" s="219"/>
      <c r="DZ558" s="116"/>
      <c r="EA558" s="116"/>
      <c r="EB558" s="116"/>
      <c r="EC558" s="116"/>
      <c r="ED558" s="116"/>
      <c r="EF558" s="332"/>
      <c r="EG558" s="116"/>
      <c r="EH558" s="116"/>
      <c r="EI558" s="116"/>
      <c r="EJ558" s="116"/>
      <c r="EK558" s="116"/>
      <c r="EM558" s="116"/>
      <c r="EN558" s="116"/>
      <c r="EO558" s="116"/>
      <c r="EQ558" s="116"/>
      <c r="ER558" s="116"/>
      <c r="ES558" s="116"/>
      <c r="ET558" s="116"/>
      <c r="EU558" s="116"/>
      <c r="EV558" s="116"/>
      <c r="EX558" s="116"/>
      <c r="EY558" s="116"/>
      <c r="EZ558" s="116"/>
      <c r="FA558" s="116"/>
      <c r="FB558" s="116"/>
    </row>
    <row r="559" spans="5:158" ht="13">
      <c r="E559" s="153"/>
      <c r="T559" s="153"/>
      <c r="BD559" s="31"/>
      <c r="BE559" s="31"/>
      <c r="BF559" s="31"/>
      <c r="BG559" s="31"/>
      <c r="BH559" s="31"/>
      <c r="BI559" s="116"/>
      <c r="BL559" s="196"/>
      <c r="BM559" s="239"/>
      <c r="BN559" s="330"/>
      <c r="BP559" s="330"/>
      <c r="BS559" s="116"/>
      <c r="BU559" s="331"/>
      <c r="BW559" s="116"/>
      <c r="BX559" s="116"/>
      <c r="BZ559" s="330"/>
      <c r="CB559" s="330"/>
      <c r="CC559" s="116"/>
      <c r="CG559" s="242"/>
      <c r="CH559" s="116"/>
      <c r="CI559" s="116"/>
      <c r="CJ559" s="116"/>
      <c r="CL559" s="116"/>
      <c r="CN559" s="239"/>
      <c r="CO559" s="153"/>
      <c r="DM559" s="116"/>
      <c r="DN559" s="116"/>
      <c r="DO559" s="116"/>
      <c r="DP559" s="116"/>
      <c r="DW559" s="116"/>
      <c r="DX559" s="219"/>
      <c r="DY559" s="219"/>
      <c r="DZ559" s="116"/>
      <c r="EA559" s="116"/>
      <c r="EB559" s="116"/>
      <c r="EC559" s="116"/>
      <c r="ED559" s="116"/>
      <c r="EF559" s="332"/>
      <c r="EG559" s="116"/>
      <c r="EH559" s="116"/>
      <c r="EI559" s="116"/>
      <c r="EJ559" s="116"/>
      <c r="EK559" s="116"/>
      <c r="EM559" s="116"/>
      <c r="EN559" s="116"/>
      <c r="EO559" s="116"/>
      <c r="EQ559" s="116"/>
      <c r="ER559" s="116"/>
      <c r="ES559" s="116"/>
      <c r="ET559" s="116"/>
      <c r="EU559" s="116"/>
      <c r="EV559" s="116"/>
      <c r="EX559" s="116"/>
      <c r="EY559" s="116"/>
      <c r="EZ559" s="116"/>
      <c r="FA559" s="116"/>
      <c r="FB559" s="116"/>
    </row>
    <row r="560" spans="5:158" ht="13">
      <c r="E560" s="153"/>
      <c r="T560" s="153"/>
      <c r="BD560" s="31"/>
      <c r="BE560" s="31"/>
      <c r="BF560" s="31"/>
      <c r="BG560" s="31"/>
      <c r="BH560" s="31"/>
      <c r="BI560" s="116"/>
      <c r="BL560" s="196"/>
      <c r="BM560" s="239"/>
      <c r="BN560" s="330"/>
      <c r="BP560" s="330"/>
      <c r="BS560" s="116"/>
      <c r="BU560" s="331"/>
      <c r="BW560" s="116"/>
      <c r="BX560" s="116"/>
      <c r="BZ560" s="330"/>
      <c r="CB560" s="330"/>
      <c r="CC560" s="116"/>
      <c r="CG560" s="242"/>
      <c r="CH560" s="116"/>
      <c r="CI560" s="116"/>
      <c r="CJ560" s="116"/>
      <c r="CL560" s="116"/>
      <c r="CN560" s="239"/>
      <c r="CO560" s="153"/>
      <c r="DM560" s="116"/>
      <c r="DN560" s="116"/>
      <c r="DO560" s="116"/>
      <c r="DP560" s="116"/>
      <c r="DW560" s="116"/>
      <c r="DX560" s="219"/>
      <c r="DY560" s="219"/>
      <c r="DZ560" s="116"/>
      <c r="EA560" s="116"/>
      <c r="EB560" s="116"/>
      <c r="EC560" s="116"/>
      <c r="ED560" s="116"/>
      <c r="EF560" s="332"/>
      <c r="EG560" s="116"/>
      <c r="EH560" s="116"/>
      <c r="EI560" s="116"/>
      <c r="EJ560" s="116"/>
      <c r="EK560" s="116"/>
      <c r="EM560" s="116"/>
      <c r="EN560" s="116"/>
      <c r="EO560" s="116"/>
      <c r="EQ560" s="116"/>
      <c r="ER560" s="116"/>
      <c r="ES560" s="116"/>
      <c r="ET560" s="116"/>
      <c r="EU560" s="116"/>
      <c r="EV560" s="116"/>
      <c r="EX560" s="116"/>
      <c r="EY560" s="116"/>
      <c r="EZ560" s="116"/>
      <c r="FA560" s="116"/>
      <c r="FB560" s="116"/>
    </row>
    <row r="561" spans="5:158" ht="13">
      <c r="E561" s="153"/>
      <c r="T561" s="153"/>
      <c r="BD561" s="31"/>
      <c r="BE561" s="31"/>
      <c r="BF561" s="31"/>
      <c r="BG561" s="31"/>
      <c r="BH561" s="31"/>
      <c r="BI561" s="116"/>
      <c r="BL561" s="196"/>
      <c r="BM561" s="239"/>
      <c r="BN561" s="330"/>
      <c r="BP561" s="330"/>
      <c r="BS561" s="116"/>
      <c r="BU561" s="331"/>
      <c r="BW561" s="116"/>
      <c r="BX561" s="116"/>
      <c r="BZ561" s="330"/>
      <c r="CB561" s="330"/>
      <c r="CC561" s="116"/>
      <c r="CG561" s="242"/>
      <c r="CH561" s="116"/>
      <c r="CI561" s="116"/>
      <c r="CJ561" s="116"/>
      <c r="CL561" s="116"/>
      <c r="CN561" s="239"/>
      <c r="CO561" s="153"/>
      <c r="DM561" s="116"/>
      <c r="DN561" s="116"/>
      <c r="DO561" s="116"/>
      <c r="DP561" s="116"/>
      <c r="DW561" s="116"/>
      <c r="DX561" s="219"/>
      <c r="DY561" s="219"/>
      <c r="DZ561" s="116"/>
      <c r="EA561" s="116"/>
      <c r="EB561" s="116"/>
      <c r="EC561" s="116"/>
      <c r="ED561" s="116"/>
      <c r="EF561" s="332"/>
      <c r="EG561" s="116"/>
      <c r="EH561" s="116"/>
      <c r="EI561" s="116"/>
      <c r="EJ561" s="116"/>
      <c r="EK561" s="116"/>
      <c r="EM561" s="116"/>
      <c r="EN561" s="116"/>
      <c r="EO561" s="116"/>
      <c r="EQ561" s="116"/>
      <c r="ER561" s="116"/>
      <c r="ES561" s="116"/>
      <c r="ET561" s="116"/>
      <c r="EU561" s="116"/>
      <c r="EV561" s="116"/>
      <c r="EX561" s="116"/>
      <c r="EY561" s="116"/>
      <c r="EZ561" s="116"/>
      <c r="FA561" s="116"/>
      <c r="FB561" s="116"/>
    </row>
    <row r="562" spans="5:158" ht="13">
      <c r="E562" s="153"/>
      <c r="T562" s="153"/>
      <c r="BD562" s="31"/>
      <c r="BE562" s="31"/>
      <c r="BF562" s="31"/>
      <c r="BG562" s="31"/>
      <c r="BH562" s="31"/>
      <c r="BI562" s="116"/>
      <c r="BL562" s="196"/>
      <c r="BM562" s="239"/>
      <c r="BN562" s="330"/>
      <c r="BP562" s="330"/>
      <c r="BS562" s="116"/>
      <c r="BU562" s="331"/>
      <c r="BW562" s="116"/>
      <c r="BX562" s="116"/>
      <c r="BZ562" s="330"/>
      <c r="CB562" s="330"/>
      <c r="CC562" s="116"/>
      <c r="CG562" s="242"/>
      <c r="CH562" s="116"/>
      <c r="CI562" s="116"/>
      <c r="CJ562" s="116"/>
      <c r="CL562" s="116"/>
      <c r="CN562" s="239"/>
      <c r="CO562" s="153"/>
      <c r="DM562" s="116"/>
      <c r="DN562" s="116"/>
      <c r="DO562" s="116"/>
      <c r="DP562" s="116"/>
      <c r="DW562" s="116"/>
      <c r="DX562" s="219"/>
      <c r="DY562" s="219"/>
      <c r="DZ562" s="116"/>
      <c r="EA562" s="116"/>
      <c r="EB562" s="116"/>
      <c r="EC562" s="116"/>
      <c r="ED562" s="116"/>
      <c r="EF562" s="332"/>
      <c r="EG562" s="116"/>
      <c r="EH562" s="116"/>
      <c r="EI562" s="116"/>
      <c r="EJ562" s="116"/>
      <c r="EK562" s="116"/>
      <c r="EM562" s="116"/>
      <c r="EN562" s="116"/>
      <c r="EO562" s="116"/>
      <c r="EQ562" s="116"/>
      <c r="ER562" s="116"/>
      <c r="ES562" s="116"/>
      <c r="ET562" s="116"/>
      <c r="EU562" s="116"/>
      <c r="EV562" s="116"/>
      <c r="EX562" s="116"/>
      <c r="EY562" s="116"/>
      <c r="EZ562" s="116"/>
      <c r="FA562" s="116"/>
      <c r="FB562" s="116"/>
    </row>
    <row r="563" spans="5:158" ht="13">
      <c r="E563" s="153"/>
      <c r="T563" s="153"/>
      <c r="BD563" s="31"/>
      <c r="BE563" s="31"/>
      <c r="BF563" s="31"/>
      <c r="BG563" s="31"/>
      <c r="BH563" s="31"/>
      <c r="BI563" s="116"/>
      <c r="BL563" s="196"/>
      <c r="BM563" s="239"/>
      <c r="BN563" s="330"/>
      <c r="BP563" s="330"/>
      <c r="BS563" s="116"/>
      <c r="BU563" s="331"/>
      <c r="BW563" s="116"/>
      <c r="BX563" s="116"/>
      <c r="BZ563" s="330"/>
      <c r="CB563" s="330"/>
      <c r="CC563" s="116"/>
      <c r="CG563" s="242"/>
      <c r="CH563" s="116"/>
      <c r="CI563" s="116"/>
      <c r="CJ563" s="116"/>
      <c r="CL563" s="116"/>
      <c r="CN563" s="239"/>
      <c r="CO563" s="153"/>
      <c r="DM563" s="116"/>
      <c r="DN563" s="116"/>
      <c r="DO563" s="116"/>
      <c r="DP563" s="116"/>
      <c r="DW563" s="116"/>
      <c r="DX563" s="219"/>
      <c r="DY563" s="219"/>
      <c r="DZ563" s="116"/>
      <c r="EA563" s="116"/>
      <c r="EB563" s="116"/>
      <c r="EC563" s="116"/>
      <c r="ED563" s="116"/>
      <c r="EF563" s="332"/>
      <c r="EG563" s="116"/>
      <c r="EH563" s="116"/>
      <c r="EI563" s="116"/>
      <c r="EJ563" s="116"/>
      <c r="EK563" s="116"/>
      <c r="EM563" s="116"/>
      <c r="EN563" s="116"/>
      <c r="EO563" s="116"/>
      <c r="EQ563" s="116"/>
      <c r="ER563" s="116"/>
      <c r="ES563" s="116"/>
      <c r="ET563" s="116"/>
      <c r="EU563" s="116"/>
      <c r="EV563" s="116"/>
      <c r="EX563" s="116"/>
      <c r="EY563" s="116"/>
      <c r="EZ563" s="116"/>
      <c r="FA563" s="116"/>
      <c r="FB563" s="116"/>
    </row>
    <row r="564" spans="5:158" ht="13">
      <c r="E564" s="153"/>
      <c r="T564" s="153"/>
      <c r="BD564" s="31"/>
      <c r="BE564" s="31"/>
      <c r="BF564" s="31"/>
      <c r="BG564" s="31"/>
      <c r="BH564" s="31"/>
      <c r="BI564" s="116"/>
      <c r="BL564" s="196"/>
      <c r="BM564" s="239"/>
      <c r="BN564" s="330"/>
      <c r="BP564" s="330"/>
      <c r="BS564" s="116"/>
      <c r="BU564" s="331"/>
      <c r="BW564" s="116"/>
      <c r="BX564" s="116"/>
      <c r="BZ564" s="330"/>
      <c r="CB564" s="330"/>
      <c r="CC564" s="116"/>
      <c r="CG564" s="242"/>
      <c r="CH564" s="116"/>
      <c r="CI564" s="116"/>
      <c r="CJ564" s="116"/>
      <c r="CL564" s="116"/>
      <c r="CN564" s="239"/>
      <c r="CO564" s="153"/>
      <c r="DM564" s="116"/>
      <c r="DN564" s="116"/>
      <c r="DO564" s="116"/>
      <c r="DP564" s="116"/>
      <c r="DW564" s="116"/>
      <c r="DX564" s="219"/>
      <c r="DY564" s="219"/>
      <c r="DZ564" s="116"/>
      <c r="EA564" s="116"/>
      <c r="EB564" s="116"/>
      <c r="EC564" s="116"/>
      <c r="ED564" s="116"/>
      <c r="EF564" s="332"/>
      <c r="EG564" s="116"/>
      <c r="EH564" s="116"/>
      <c r="EI564" s="116"/>
      <c r="EJ564" s="116"/>
      <c r="EK564" s="116"/>
      <c r="EM564" s="116"/>
      <c r="EN564" s="116"/>
      <c r="EO564" s="116"/>
      <c r="EQ564" s="116"/>
      <c r="ER564" s="116"/>
      <c r="ES564" s="116"/>
      <c r="ET564" s="116"/>
      <c r="EU564" s="116"/>
      <c r="EV564" s="116"/>
      <c r="EX564" s="116"/>
      <c r="EY564" s="116"/>
      <c r="EZ564" s="116"/>
      <c r="FA564" s="116"/>
      <c r="FB564" s="116"/>
    </row>
    <row r="565" spans="5:158" ht="13">
      <c r="E565" s="153"/>
      <c r="T565" s="153"/>
      <c r="BD565" s="31"/>
      <c r="BE565" s="31"/>
      <c r="BF565" s="31"/>
      <c r="BG565" s="31"/>
      <c r="BH565" s="31"/>
      <c r="BI565" s="116"/>
      <c r="BL565" s="196"/>
      <c r="BM565" s="239"/>
      <c r="BN565" s="330"/>
      <c r="BP565" s="330"/>
      <c r="BS565" s="116"/>
      <c r="BU565" s="331"/>
      <c r="BW565" s="116"/>
      <c r="BX565" s="116"/>
      <c r="BZ565" s="330"/>
      <c r="CB565" s="330"/>
      <c r="CC565" s="116"/>
      <c r="CG565" s="242"/>
      <c r="CH565" s="116"/>
      <c r="CI565" s="116"/>
      <c r="CJ565" s="116"/>
      <c r="CL565" s="116"/>
      <c r="CN565" s="239"/>
      <c r="CO565" s="153"/>
      <c r="DM565" s="116"/>
      <c r="DN565" s="116"/>
      <c r="DO565" s="116"/>
      <c r="DP565" s="116"/>
      <c r="DW565" s="116"/>
      <c r="DX565" s="219"/>
      <c r="DY565" s="219"/>
      <c r="DZ565" s="116"/>
      <c r="EA565" s="116"/>
      <c r="EB565" s="116"/>
      <c r="EC565" s="116"/>
      <c r="ED565" s="116"/>
      <c r="EF565" s="332"/>
      <c r="EG565" s="116"/>
      <c r="EH565" s="116"/>
      <c r="EI565" s="116"/>
      <c r="EJ565" s="116"/>
      <c r="EK565" s="116"/>
      <c r="EM565" s="116"/>
      <c r="EN565" s="116"/>
      <c r="EO565" s="116"/>
      <c r="EQ565" s="116"/>
      <c r="ER565" s="116"/>
      <c r="ES565" s="116"/>
      <c r="ET565" s="116"/>
      <c r="EU565" s="116"/>
      <c r="EV565" s="116"/>
      <c r="EX565" s="116"/>
      <c r="EY565" s="116"/>
      <c r="EZ565" s="116"/>
      <c r="FA565" s="116"/>
      <c r="FB565" s="116"/>
    </row>
    <row r="566" spans="5:158" ht="13">
      <c r="E566" s="153"/>
      <c r="T566" s="153"/>
      <c r="BD566" s="31"/>
      <c r="BE566" s="31"/>
      <c r="BF566" s="31"/>
      <c r="BG566" s="31"/>
      <c r="BH566" s="31"/>
      <c r="BI566" s="116"/>
      <c r="BL566" s="196"/>
      <c r="BM566" s="239"/>
      <c r="BN566" s="330"/>
      <c r="BP566" s="330"/>
      <c r="BS566" s="116"/>
      <c r="BU566" s="331"/>
      <c r="BW566" s="116"/>
      <c r="BX566" s="116"/>
      <c r="BZ566" s="330"/>
      <c r="CB566" s="330"/>
      <c r="CC566" s="116"/>
      <c r="CG566" s="242"/>
      <c r="CH566" s="116"/>
      <c r="CI566" s="116"/>
      <c r="CJ566" s="116"/>
      <c r="CL566" s="116"/>
      <c r="CN566" s="239"/>
      <c r="CO566" s="153"/>
      <c r="DM566" s="116"/>
      <c r="DN566" s="116"/>
      <c r="DO566" s="116"/>
      <c r="DP566" s="116"/>
      <c r="DW566" s="116"/>
      <c r="DX566" s="219"/>
      <c r="DY566" s="219"/>
      <c r="DZ566" s="116"/>
      <c r="EA566" s="116"/>
      <c r="EB566" s="116"/>
      <c r="EC566" s="116"/>
      <c r="ED566" s="116"/>
      <c r="EF566" s="332"/>
      <c r="EG566" s="116"/>
      <c r="EH566" s="116"/>
      <c r="EI566" s="116"/>
      <c r="EJ566" s="116"/>
      <c r="EK566" s="116"/>
      <c r="EM566" s="116"/>
      <c r="EN566" s="116"/>
      <c r="EO566" s="116"/>
      <c r="EQ566" s="116"/>
      <c r="ER566" s="116"/>
      <c r="ES566" s="116"/>
      <c r="ET566" s="116"/>
      <c r="EU566" s="116"/>
      <c r="EV566" s="116"/>
      <c r="EX566" s="116"/>
      <c r="EY566" s="116"/>
      <c r="EZ566" s="116"/>
      <c r="FA566" s="116"/>
      <c r="FB566" s="116"/>
    </row>
    <row r="567" spans="5:158" ht="13">
      <c r="E567" s="153"/>
      <c r="T567" s="153"/>
      <c r="BD567" s="31"/>
      <c r="BE567" s="31"/>
      <c r="BF567" s="31"/>
      <c r="BG567" s="31"/>
      <c r="BH567" s="31"/>
      <c r="BI567" s="116"/>
      <c r="BL567" s="196"/>
      <c r="BM567" s="239"/>
      <c r="BN567" s="330"/>
      <c r="BP567" s="330"/>
      <c r="BS567" s="116"/>
      <c r="BU567" s="331"/>
      <c r="BW567" s="116"/>
      <c r="BX567" s="116"/>
      <c r="BZ567" s="330"/>
      <c r="CB567" s="330"/>
      <c r="CC567" s="116"/>
      <c r="CG567" s="242"/>
      <c r="CH567" s="116"/>
      <c r="CI567" s="116"/>
      <c r="CJ567" s="116"/>
      <c r="CL567" s="116"/>
      <c r="CN567" s="239"/>
      <c r="CO567" s="153"/>
      <c r="DM567" s="116"/>
      <c r="DN567" s="116"/>
      <c r="DO567" s="116"/>
      <c r="DP567" s="116"/>
      <c r="DW567" s="116"/>
      <c r="DX567" s="219"/>
      <c r="DY567" s="219"/>
      <c r="DZ567" s="116"/>
      <c r="EA567" s="116"/>
      <c r="EB567" s="116"/>
      <c r="EC567" s="116"/>
      <c r="ED567" s="116"/>
      <c r="EF567" s="332"/>
      <c r="EG567" s="116"/>
      <c r="EH567" s="116"/>
      <c r="EI567" s="116"/>
      <c r="EJ567" s="116"/>
      <c r="EK567" s="116"/>
      <c r="EM567" s="116"/>
      <c r="EN567" s="116"/>
      <c r="EO567" s="116"/>
      <c r="EQ567" s="116"/>
      <c r="ER567" s="116"/>
      <c r="ES567" s="116"/>
      <c r="ET567" s="116"/>
      <c r="EU567" s="116"/>
      <c r="EV567" s="116"/>
      <c r="EX567" s="116"/>
      <c r="EY567" s="116"/>
      <c r="EZ567" s="116"/>
      <c r="FA567" s="116"/>
      <c r="FB567" s="116"/>
    </row>
    <row r="568" spans="5:158" ht="13">
      <c r="E568" s="153"/>
      <c r="T568" s="153"/>
      <c r="BD568" s="31"/>
      <c r="BE568" s="31"/>
      <c r="BF568" s="31"/>
      <c r="BG568" s="31"/>
      <c r="BH568" s="31"/>
      <c r="BI568" s="116"/>
      <c r="BL568" s="196"/>
      <c r="BM568" s="239"/>
      <c r="BN568" s="330"/>
      <c r="BP568" s="330"/>
      <c r="BS568" s="116"/>
      <c r="BU568" s="331"/>
      <c r="BW568" s="116"/>
      <c r="BX568" s="116"/>
      <c r="BZ568" s="330"/>
      <c r="CB568" s="330"/>
      <c r="CC568" s="116"/>
      <c r="CG568" s="242"/>
      <c r="CH568" s="116"/>
      <c r="CI568" s="116"/>
      <c r="CJ568" s="116"/>
      <c r="CL568" s="116"/>
      <c r="CN568" s="239"/>
      <c r="CO568" s="153"/>
      <c r="DM568" s="116"/>
      <c r="DN568" s="116"/>
      <c r="DO568" s="116"/>
      <c r="DP568" s="116"/>
      <c r="DW568" s="116"/>
      <c r="DX568" s="219"/>
      <c r="DY568" s="219"/>
      <c r="DZ568" s="116"/>
      <c r="EA568" s="116"/>
      <c r="EB568" s="116"/>
      <c r="EC568" s="116"/>
      <c r="ED568" s="116"/>
      <c r="EF568" s="332"/>
      <c r="EG568" s="116"/>
      <c r="EH568" s="116"/>
      <c r="EI568" s="116"/>
      <c r="EJ568" s="116"/>
      <c r="EK568" s="116"/>
      <c r="EM568" s="116"/>
      <c r="EN568" s="116"/>
      <c r="EO568" s="116"/>
      <c r="EQ568" s="116"/>
      <c r="ER568" s="116"/>
      <c r="ES568" s="116"/>
      <c r="ET568" s="116"/>
      <c r="EU568" s="116"/>
      <c r="EV568" s="116"/>
      <c r="EX568" s="116"/>
      <c r="EY568" s="116"/>
      <c r="EZ568" s="116"/>
      <c r="FA568" s="116"/>
      <c r="FB568" s="116"/>
    </row>
    <row r="569" spans="5:158" ht="13">
      <c r="E569" s="153"/>
      <c r="T569" s="153"/>
      <c r="BD569" s="31"/>
      <c r="BE569" s="31"/>
      <c r="BF569" s="31"/>
      <c r="BG569" s="31"/>
      <c r="BH569" s="31"/>
      <c r="BI569" s="116"/>
      <c r="BL569" s="196"/>
      <c r="BM569" s="239"/>
      <c r="BN569" s="330"/>
      <c r="BP569" s="330"/>
      <c r="BS569" s="116"/>
      <c r="BU569" s="331"/>
      <c r="BW569" s="116"/>
      <c r="BX569" s="116"/>
      <c r="BZ569" s="330"/>
      <c r="CB569" s="330"/>
      <c r="CC569" s="116"/>
      <c r="CG569" s="242"/>
      <c r="CH569" s="116"/>
      <c r="CI569" s="116"/>
      <c r="CJ569" s="116"/>
      <c r="CL569" s="116"/>
      <c r="CN569" s="239"/>
      <c r="CO569" s="153"/>
      <c r="DM569" s="116"/>
      <c r="DN569" s="116"/>
      <c r="DO569" s="116"/>
      <c r="DP569" s="116"/>
      <c r="DW569" s="116"/>
      <c r="DX569" s="219"/>
      <c r="DY569" s="219"/>
      <c r="DZ569" s="116"/>
      <c r="EA569" s="116"/>
      <c r="EB569" s="116"/>
      <c r="EC569" s="116"/>
      <c r="ED569" s="116"/>
      <c r="EF569" s="332"/>
      <c r="EG569" s="116"/>
      <c r="EH569" s="116"/>
      <c r="EI569" s="116"/>
      <c r="EJ569" s="116"/>
      <c r="EK569" s="116"/>
      <c r="EM569" s="116"/>
      <c r="EN569" s="116"/>
      <c r="EO569" s="116"/>
      <c r="EQ569" s="116"/>
      <c r="ER569" s="116"/>
      <c r="ES569" s="116"/>
      <c r="ET569" s="116"/>
      <c r="EU569" s="116"/>
      <c r="EV569" s="116"/>
      <c r="EX569" s="116"/>
      <c r="EY569" s="116"/>
      <c r="EZ569" s="116"/>
      <c r="FA569" s="116"/>
      <c r="FB569" s="116"/>
    </row>
    <row r="570" spans="5:158" ht="13">
      <c r="E570" s="153"/>
      <c r="T570" s="153"/>
      <c r="BD570" s="31"/>
      <c r="BE570" s="31"/>
      <c r="BF570" s="31"/>
      <c r="BG570" s="31"/>
      <c r="BH570" s="31"/>
      <c r="BI570" s="116"/>
      <c r="BL570" s="196"/>
      <c r="BM570" s="239"/>
      <c r="BN570" s="330"/>
      <c r="BP570" s="330"/>
      <c r="BS570" s="116"/>
      <c r="BU570" s="331"/>
      <c r="BW570" s="116"/>
      <c r="BX570" s="116"/>
      <c r="BZ570" s="330"/>
      <c r="CB570" s="330"/>
      <c r="CC570" s="116"/>
      <c r="CG570" s="242"/>
      <c r="CH570" s="116"/>
      <c r="CI570" s="116"/>
      <c r="CJ570" s="116"/>
      <c r="CL570" s="116"/>
      <c r="CN570" s="239"/>
      <c r="CO570" s="153"/>
      <c r="DM570" s="116"/>
      <c r="DN570" s="116"/>
      <c r="DO570" s="116"/>
      <c r="DP570" s="116"/>
      <c r="DW570" s="116"/>
      <c r="DX570" s="219"/>
      <c r="DY570" s="219"/>
      <c r="DZ570" s="116"/>
      <c r="EA570" s="116"/>
      <c r="EB570" s="116"/>
      <c r="EC570" s="116"/>
      <c r="ED570" s="116"/>
      <c r="EF570" s="332"/>
      <c r="EG570" s="116"/>
      <c r="EH570" s="116"/>
      <c r="EI570" s="116"/>
      <c r="EJ570" s="116"/>
      <c r="EK570" s="116"/>
      <c r="EM570" s="116"/>
      <c r="EN570" s="116"/>
      <c r="EO570" s="116"/>
      <c r="EQ570" s="116"/>
      <c r="ER570" s="116"/>
      <c r="ES570" s="116"/>
      <c r="ET570" s="116"/>
      <c r="EU570" s="116"/>
      <c r="EV570" s="116"/>
      <c r="EX570" s="116"/>
      <c r="EY570" s="116"/>
      <c r="EZ570" s="116"/>
      <c r="FA570" s="116"/>
      <c r="FB570" s="116"/>
    </row>
    <row r="571" spans="5:158" ht="13">
      <c r="E571" s="153"/>
      <c r="T571" s="153"/>
      <c r="BD571" s="31"/>
      <c r="BE571" s="31"/>
      <c r="BF571" s="31"/>
      <c r="BG571" s="31"/>
      <c r="BH571" s="31"/>
      <c r="BI571" s="116"/>
      <c r="BL571" s="196"/>
      <c r="BM571" s="239"/>
      <c r="BN571" s="330"/>
      <c r="BP571" s="330"/>
      <c r="BS571" s="116"/>
      <c r="BU571" s="331"/>
      <c r="BW571" s="116"/>
      <c r="BX571" s="116"/>
      <c r="BZ571" s="330"/>
      <c r="CB571" s="330"/>
      <c r="CC571" s="116"/>
      <c r="CG571" s="242"/>
      <c r="CH571" s="116"/>
      <c r="CI571" s="116"/>
      <c r="CJ571" s="116"/>
      <c r="CL571" s="116"/>
      <c r="CN571" s="239"/>
      <c r="CO571" s="153"/>
      <c r="DM571" s="116"/>
      <c r="DN571" s="116"/>
      <c r="DO571" s="116"/>
      <c r="DP571" s="116"/>
      <c r="DW571" s="116"/>
      <c r="DX571" s="219"/>
      <c r="DY571" s="219"/>
      <c r="DZ571" s="116"/>
      <c r="EA571" s="116"/>
      <c r="EB571" s="116"/>
      <c r="EC571" s="116"/>
      <c r="ED571" s="116"/>
      <c r="EF571" s="332"/>
      <c r="EG571" s="116"/>
      <c r="EH571" s="116"/>
      <c r="EI571" s="116"/>
      <c r="EJ571" s="116"/>
      <c r="EK571" s="116"/>
      <c r="EM571" s="116"/>
      <c r="EN571" s="116"/>
      <c r="EO571" s="116"/>
      <c r="EQ571" s="116"/>
      <c r="ER571" s="116"/>
      <c r="ES571" s="116"/>
      <c r="ET571" s="116"/>
      <c r="EU571" s="116"/>
      <c r="EV571" s="116"/>
      <c r="EX571" s="116"/>
      <c r="EY571" s="116"/>
      <c r="EZ571" s="116"/>
      <c r="FA571" s="116"/>
      <c r="FB571" s="116"/>
    </row>
    <row r="572" spans="5:158" ht="13">
      <c r="E572" s="153"/>
      <c r="T572" s="153"/>
      <c r="BD572" s="31"/>
      <c r="BE572" s="31"/>
      <c r="BF572" s="31"/>
      <c r="BG572" s="31"/>
      <c r="BH572" s="31"/>
      <c r="BI572" s="116"/>
      <c r="BL572" s="196"/>
      <c r="BM572" s="239"/>
      <c r="BN572" s="330"/>
      <c r="BP572" s="330"/>
      <c r="BS572" s="116"/>
      <c r="BU572" s="331"/>
      <c r="BW572" s="116"/>
      <c r="BX572" s="116"/>
      <c r="BZ572" s="330"/>
      <c r="CB572" s="330"/>
      <c r="CC572" s="116"/>
      <c r="CG572" s="242"/>
      <c r="CH572" s="116"/>
      <c r="CI572" s="116"/>
      <c r="CJ572" s="116"/>
      <c r="CL572" s="116"/>
      <c r="CN572" s="239"/>
      <c r="CO572" s="153"/>
      <c r="DM572" s="116"/>
      <c r="DN572" s="116"/>
      <c r="DO572" s="116"/>
      <c r="DP572" s="116"/>
      <c r="DW572" s="116"/>
      <c r="DX572" s="219"/>
      <c r="DY572" s="219"/>
      <c r="DZ572" s="116"/>
      <c r="EA572" s="116"/>
      <c r="EB572" s="116"/>
      <c r="EC572" s="116"/>
      <c r="ED572" s="116"/>
      <c r="EF572" s="332"/>
      <c r="EG572" s="116"/>
      <c r="EH572" s="116"/>
      <c r="EI572" s="116"/>
      <c r="EJ572" s="116"/>
      <c r="EK572" s="116"/>
      <c r="EM572" s="116"/>
      <c r="EN572" s="116"/>
      <c r="EO572" s="116"/>
      <c r="EQ572" s="116"/>
      <c r="ER572" s="116"/>
      <c r="ES572" s="116"/>
      <c r="ET572" s="116"/>
      <c r="EU572" s="116"/>
      <c r="EV572" s="116"/>
      <c r="EX572" s="116"/>
      <c r="EY572" s="116"/>
      <c r="EZ572" s="116"/>
      <c r="FA572" s="116"/>
      <c r="FB572" s="116"/>
    </row>
    <row r="573" spans="5:158" ht="13">
      <c r="E573" s="153"/>
      <c r="T573" s="153"/>
      <c r="BD573" s="31"/>
      <c r="BE573" s="31"/>
      <c r="BF573" s="31"/>
      <c r="BG573" s="31"/>
      <c r="BH573" s="31"/>
      <c r="BI573" s="116"/>
      <c r="BL573" s="196"/>
      <c r="BM573" s="239"/>
      <c r="BN573" s="330"/>
      <c r="BP573" s="330"/>
      <c r="BS573" s="116"/>
      <c r="BU573" s="331"/>
      <c r="BW573" s="116"/>
      <c r="BX573" s="116"/>
      <c r="BZ573" s="330"/>
      <c r="CB573" s="330"/>
      <c r="CC573" s="116"/>
      <c r="CG573" s="242"/>
      <c r="CH573" s="116"/>
      <c r="CI573" s="116"/>
      <c r="CJ573" s="116"/>
      <c r="CL573" s="116"/>
      <c r="CN573" s="239"/>
      <c r="CO573" s="153"/>
      <c r="DM573" s="116"/>
      <c r="DN573" s="116"/>
      <c r="DO573" s="116"/>
      <c r="DP573" s="116"/>
      <c r="DW573" s="116"/>
      <c r="DX573" s="219"/>
      <c r="DY573" s="219"/>
      <c r="DZ573" s="116"/>
      <c r="EA573" s="116"/>
      <c r="EB573" s="116"/>
      <c r="EC573" s="116"/>
      <c r="ED573" s="116"/>
      <c r="EF573" s="332"/>
      <c r="EG573" s="116"/>
      <c r="EH573" s="116"/>
      <c r="EI573" s="116"/>
      <c r="EJ573" s="116"/>
      <c r="EK573" s="116"/>
      <c r="EM573" s="116"/>
      <c r="EN573" s="116"/>
      <c r="EO573" s="116"/>
      <c r="EQ573" s="116"/>
      <c r="ER573" s="116"/>
      <c r="ES573" s="116"/>
      <c r="ET573" s="116"/>
      <c r="EU573" s="116"/>
      <c r="EV573" s="116"/>
      <c r="EX573" s="116"/>
      <c r="EY573" s="116"/>
      <c r="EZ573" s="116"/>
      <c r="FA573" s="116"/>
      <c r="FB573" s="116"/>
    </row>
    <row r="574" spans="5:158" ht="13">
      <c r="E574" s="153"/>
      <c r="T574" s="153"/>
      <c r="BD574" s="31"/>
      <c r="BE574" s="31"/>
      <c r="BF574" s="31"/>
      <c r="BG574" s="31"/>
      <c r="BH574" s="31"/>
      <c r="BI574" s="116"/>
      <c r="BL574" s="196"/>
      <c r="BM574" s="239"/>
      <c r="BN574" s="330"/>
      <c r="BP574" s="330"/>
      <c r="BS574" s="116"/>
      <c r="BU574" s="331"/>
      <c r="BW574" s="116"/>
      <c r="BX574" s="116"/>
      <c r="BZ574" s="330"/>
      <c r="CB574" s="330"/>
      <c r="CC574" s="116"/>
      <c r="CG574" s="242"/>
      <c r="CH574" s="116"/>
      <c r="CI574" s="116"/>
      <c r="CJ574" s="116"/>
      <c r="CL574" s="116"/>
      <c r="CN574" s="239"/>
      <c r="CO574" s="153"/>
      <c r="DM574" s="116"/>
      <c r="DN574" s="116"/>
      <c r="DO574" s="116"/>
      <c r="DP574" s="116"/>
      <c r="DW574" s="116"/>
      <c r="DX574" s="219"/>
      <c r="DY574" s="219"/>
      <c r="DZ574" s="116"/>
      <c r="EA574" s="116"/>
      <c r="EB574" s="116"/>
      <c r="EC574" s="116"/>
      <c r="ED574" s="116"/>
      <c r="EF574" s="332"/>
      <c r="EG574" s="116"/>
      <c r="EH574" s="116"/>
      <c r="EI574" s="116"/>
      <c r="EJ574" s="116"/>
      <c r="EK574" s="116"/>
      <c r="EM574" s="116"/>
      <c r="EN574" s="116"/>
      <c r="EO574" s="116"/>
      <c r="EQ574" s="116"/>
      <c r="ER574" s="116"/>
      <c r="ES574" s="116"/>
      <c r="ET574" s="116"/>
      <c r="EU574" s="116"/>
      <c r="EV574" s="116"/>
      <c r="EX574" s="116"/>
      <c r="EY574" s="116"/>
      <c r="EZ574" s="116"/>
      <c r="FA574" s="116"/>
      <c r="FB574" s="116"/>
    </row>
    <row r="575" spans="5:158" ht="13">
      <c r="E575" s="153"/>
      <c r="T575" s="153"/>
      <c r="BD575" s="31"/>
      <c r="BE575" s="31"/>
      <c r="BF575" s="31"/>
      <c r="BG575" s="31"/>
      <c r="BH575" s="31"/>
      <c r="BI575" s="116"/>
      <c r="BL575" s="196"/>
      <c r="BM575" s="239"/>
      <c r="BN575" s="330"/>
      <c r="BP575" s="330"/>
      <c r="BS575" s="116"/>
      <c r="BU575" s="331"/>
      <c r="BW575" s="116"/>
      <c r="BX575" s="116"/>
      <c r="BZ575" s="330"/>
      <c r="CB575" s="330"/>
      <c r="CC575" s="116"/>
      <c r="CG575" s="242"/>
      <c r="CH575" s="116"/>
      <c r="CI575" s="116"/>
      <c r="CJ575" s="116"/>
      <c r="CL575" s="116"/>
      <c r="CN575" s="239"/>
      <c r="CO575" s="153"/>
      <c r="DM575" s="116"/>
      <c r="DN575" s="116"/>
      <c r="DO575" s="116"/>
      <c r="DP575" s="116"/>
      <c r="DW575" s="116"/>
      <c r="DX575" s="219"/>
      <c r="DY575" s="219"/>
      <c r="DZ575" s="116"/>
      <c r="EA575" s="116"/>
      <c r="EB575" s="116"/>
      <c r="EC575" s="116"/>
      <c r="ED575" s="116"/>
      <c r="EF575" s="332"/>
      <c r="EG575" s="116"/>
      <c r="EH575" s="116"/>
      <c r="EI575" s="116"/>
      <c r="EJ575" s="116"/>
      <c r="EK575" s="116"/>
      <c r="EM575" s="116"/>
      <c r="EN575" s="116"/>
      <c r="EO575" s="116"/>
      <c r="EQ575" s="116"/>
      <c r="ER575" s="116"/>
      <c r="ES575" s="116"/>
      <c r="ET575" s="116"/>
      <c r="EU575" s="116"/>
      <c r="EV575" s="116"/>
      <c r="EX575" s="116"/>
      <c r="EY575" s="116"/>
      <c r="EZ575" s="116"/>
      <c r="FA575" s="116"/>
      <c r="FB575" s="116"/>
    </row>
    <row r="576" spans="5:158" ht="13">
      <c r="E576" s="153"/>
      <c r="T576" s="153"/>
      <c r="BD576" s="31"/>
      <c r="BE576" s="31"/>
      <c r="BF576" s="31"/>
      <c r="BG576" s="31"/>
      <c r="BH576" s="31"/>
      <c r="BI576" s="116"/>
      <c r="BL576" s="196"/>
      <c r="BM576" s="239"/>
      <c r="BN576" s="330"/>
      <c r="BP576" s="330"/>
      <c r="BS576" s="116"/>
      <c r="BU576" s="331"/>
      <c r="BW576" s="116"/>
      <c r="BX576" s="116"/>
      <c r="BZ576" s="330"/>
      <c r="CB576" s="330"/>
      <c r="CC576" s="116"/>
      <c r="CG576" s="242"/>
      <c r="CH576" s="116"/>
      <c r="CI576" s="116"/>
      <c r="CJ576" s="116"/>
      <c r="CL576" s="116"/>
      <c r="CN576" s="239"/>
      <c r="CO576" s="153"/>
      <c r="DM576" s="116"/>
      <c r="DN576" s="116"/>
      <c r="DO576" s="116"/>
      <c r="DP576" s="116"/>
      <c r="DW576" s="116"/>
      <c r="DX576" s="219"/>
      <c r="DY576" s="219"/>
      <c r="DZ576" s="116"/>
      <c r="EA576" s="116"/>
      <c r="EB576" s="116"/>
      <c r="EC576" s="116"/>
      <c r="ED576" s="116"/>
      <c r="EF576" s="332"/>
      <c r="EG576" s="116"/>
      <c r="EH576" s="116"/>
      <c r="EI576" s="116"/>
      <c r="EJ576" s="116"/>
      <c r="EK576" s="116"/>
      <c r="EM576" s="116"/>
      <c r="EN576" s="116"/>
      <c r="EO576" s="116"/>
      <c r="EQ576" s="116"/>
      <c r="ER576" s="116"/>
      <c r="ES576" s="116"/>
      <c r="ET576" s="116"/>
      <c r="EU576" s="116"/>
      <c r="EV576" s="116"/>
      <c r="EX576" s="116"/>
      <c r="EY576" s="116"/>
      <c r="EZ576" s="116"/>
      <c r="FA576" s="116"/>
      <c r="FB576" s="116"/>
    </row>
    <row r="577" spans="5:158" ht="13">
      <c r="E577" s="153"/>
      <c r="T577" s="153"/>
      <c r="BD577" s="31"/>
      <c r="BE577" s="31"/>
      <c r="BF577" s="31"/>
      <c r="BG577" s="31"/>
      <c r="BH577" s="31"/>
      <c r="BI577" s="116"/>
      <c r="BL577" s="196"/>
      <c r="BM577" s="239"/>
      <c r="BN577" s="330"/>
      <c r="BP577" s="330"/>
      <c r="BS577" s="116"/>
      <c r="BU577" s="331"/>
      <c r="BW577" s="116"/>
      <c r="BX577" s="116"/>
      <c r="BZ577" s="330"/>
      <c r="CB577" s="330"/>
      <c r="CC577" s="116"/>
      <c r="CG577" s="242"/>
      <c r="CH577" s="116"/>
      <c r="CI577" s="116"/>
      <c r="CJ577" s="116"/>
      <c r="CL577" s="116"/>
      <c r="CN577" s="239"/>
      <c r="CO577" s="153"/>
      <c r="DM577" s="116"/>
      <c r="DN577" s="116"/>
      <c r="DO577" s="116"/>
      <c r="DP577" s="116"/>
      <c r="DW577" s="116"/>
      <c r="DX577" s="219"/>
      <c r="DY577" s="219"/>
      <c r="DZ577" s="116"/>
      <c r="EA577" s="116"/>
      <c r="EB577" s="116"/>
      <c r="EC577" s="116"/>
      <c r="ED577" s="116"/>
      <c r="EF577" s="332"/>
      <c r="EG577" s="116"/>
      <c r="EH577" s="116"/>
      <c r="EI577" s="116"/>
      <c r="EJ577" s="116"/>
      <c r="EK577" s="116"/>
      <c r="EM577" s="116"/>
      <c r="EN577" s="116"/>
      <c r="EO577" s="116"/>
      <c r="EQ577" s="116"/>
      <c r="ER577" s="116"/>
      <c r="ES577" s="116"/>
      <c r="ET577" s="116"/>
      <c r="EU577" s="116"/>
      <c r="EV577" s="116"/>
      <c r="EX577" s="116"/>
      <c r="EY577" s="116"/>
      <c r="EZ577" s="116"/>
      <c r="FA577" s="116"/>
      <c r="FB577" s="116"/>
    </row>
    <row r="578" spans="5:158" ht="13">
      <c r="E578" s="153"/>
      <c r="T578" s="153"/>
      <c r="BD578" s="31"/>
      <c r="BE578" s="31"/>
      <c r="BF578" s="31"/>
      <c r="BG578" s="31"/>
      <c r="BH578" s="31"/>
      <c r="BI578" s="116"/>
      <c r="BL578" s="196"/>
      <c r="BM578" s="239"/>
      <c r="BN578" s="330"/>
      <c r="BP578" s="330"/>
      <c r="BS578" s="116"/>
      <c r="BU578" s="331"/>
      <c r="BW578" s="116"/>
      <c r="BX578" s="116"/>
      <c r="BZ578" s="330"/>
      <c r="CB578" s="330"/>
      <c r="CC578" s="116"/>
      <c r="CG578" s="242"/>
      <c r="CH578" s="116"/>
      <c r="CI578" s="116"/>
      <c r="CJ578" s="116"/>
      <c r="CL578" s="116"/>
      <c r="CN578" s="239"/>
      <c r="CO578" s="153"/>
      <c r="DM578" s="116"/>
      <c r="DN578" s="116"/>
      <c r="DO578" s="116"/>
      <c r="DP578" s="116"/>
      <c r="DW578" s="116"/>
      <c r="DX578" s="219"/>
      <c r="DY578" s="219"/>
      <c r="DZ578" s="116"/>
      <c r="EA578" s="116"/>
      <c r="EB578" s="116"/>
      <c r="EC578" s="116"/>
      <c r="ED578" s="116"/>
      <c r="EF578" s="332"/>
      <c r="EG578" s="116"/>
      <c r="EH578" s="116"/>
      <c r="EI578" s="116"/>
      <c r="EJ578" s="116"/>
      <c r="EK578" s="116"/>
      <c r="EM578" s="116"/>
      <c r="EN578" s="116"/>
      <c r="EO578" s="116"/>
      <c r="EQ578" s="116"/>
      <c r="ER578" s="116"/>
      <c r="ES578" s="116"/>
      <c r="ET578" s="116"/>
      <c r="EU578" s="116"/>
      <c r="EV578" s="116"/>
      <c r="EX578" s="116"/>
      <c r="EY578" s="116"/>
      <c r="EZ578" s="116"/>
      <c r="FA578" s="116"/>
      <c r="FB578" s="116"/>
    </row>
    <row r="579" spans="5:158" ht="13">
      <c r="E579" s="153"/>
      <c r="T579" s="153"/>
      <c r="BD579" s="31"/>
      <c r="BE579" s="31"/>
      <c r="BF579" s="31"/>
      <c r="BG579" s="31"/>
      <c r="BH579" s="31"/>
      <c r="BI579" s="116"/>
      <c r="BL579" s="196"/>
      <c r="BM579" s="239"/>
      <c r="BN579" s="330"/>
      <c r="BP579" s="330"/>
      <c r="BS579" s="116"/>
      <c r="BU579" s="331"/>
      <c r="BW579" s="116"/>
      <c r="BX579" s="116"/>
      <c r="BZ579" s="330"/>
      <c r="CB579" s="330"/>
      <c r="CC579" s="116"/>
      <c r="CG579" s="242"/>
      <c r="CH579" s="116"/>
      <c r="CI579" s="116"/>
      <c r="CJ579" s="116"/>
      <c r="CL579" s="116"/>
      <c r="CN579" s="239"/>
      <c r="CO579" s="153"/>
      <c r="DM579" s="116"/>
      <c r="DN579" s="116"/>
      <c r="DO579" s="116"/>
      <c r="DP579" s="116"/>
      <c r="DW579" s="116"/>
      <c r="DX579" s="219"/>
      <c r="DY579" s="219"/>
      <c r="DZ579" s="116"/>
      <c r="EA579" s="116"/>
      <c r="EB579" s="116"/>
      <c r="EC579" s="116"/>
      <c r="ED579" s="116"/>
      <c r="EF579" s="332"/>
      <c r="EG579" s="116"/>
      <c r="EH579" s="116"/>
      <c r="EI579" s="116"/>
      <c r="EJ579" s="116"/>
      <c r="EK579" s="116"/>
      <c r="EM579" s="116"/>
      <c r="EN579" s="116"/>
      <c r="EO579" s="116"/>
      <c r="EQ579" s="116"/>
      <c r="ER579" s="116"/>
      <c r="ES579" s="116"/>
      <c r="ET579" s="116"/>
      <c r="EU579" s="116"/>
      <c r="EV579" s="116"/>
      <c r="EX579" s="116"/>
      <c r="EY579" s="116"/>
      <c r="EZ579" s="116"/>
      <c r="FA579" s="116"/>
      <c r="FB579" s="116"/>
    </row>
    <row r="580" spans="5:158" ht="13">
      <c r="E580" s="153"/>
      <c r="T580" s="153"/>
      <c r="BD580" s="31"/>
      <c r="BE580" s="31"/>
      <c r="BF580" s="31"/>
      <c r="BG580" s="31"/>
      <c r="BH580" s="31"/>
      <c r="BI580" s="116"/>
      <c r="BL580" s="196"/>
      <c r="BM580" s="239"/>
      <c r="BN580" s="330"/>
      <c r="BP580" s="330"/>
      <c r="BS580" s="116"/>
      <c r="BU580" s="331"/>
      <c r="BW580" s="116"/>
      <c r="BX580" s="116"/>
      <c r="BZ580" s="330"/>
      <c r="CB580" s="330"/>
      <c r="CC580" s="116"/>
      <c r="CG580" s="242"/>
      <c r="CH580" s="116"/>
      <c r="CI580" s="116"/>
      <c r="CJ580" s="116"/>
      <c r="CL580" s="116"/>
      <c r="CN580" s="239"/>
      <c r="CO580" s="153"/>
      <c r="DM580" s="116"/>
      <c r="DN580" s="116"/>
      <c r="DO580" s="116"/>
      <c r="DP580" s="116"/>
      <c r="DW580" s="116"/>
      <c r="DX580" s="219"/>
      <c r="DY580" s="219"/>
      <c r="DZ580" s="116"/>
      <c r="EA580" s="116"/>
      <c r="EB580" s="116"/>
      <c r="EC580" s="116"/>
      <c r="ED580" s="116"/>
      <c r="EF580" s="332"/>
      <c r="EG580" s="116"/>
      <c r="EH580" s="116"/>
      <c r="EI580" s="116"/>
      <c r="EJ580" s="116"/>
      <c r="EK580" s="116"/>
      <c r="EM580" s="116"/>
      <c r="EN580" s="116"/>
      <c r="EO580" s="116"/>
      <c r="EQ580" s="116"/>
      <c r="ER580" s="116"/>
      <c r="ES580" s="116"/>
      <c r="ET580" s="116"/>
      <c r="EU580" s="116"/>
      <c r="EV580" s="116"/>
      <c r="EX580" s="116"/>
      <c r="EY580" s="116"/>
      <c r="EZ580" s="116"/>
      <c r="FA580" s="116"/>
      <c r="FB580" s="116"/>
    </row>
    <row r="581" spans="5:158" ht="13">
      <c r="E581" s="153"/>
      <c r="T581" s="153"/>
      <c r="BD581" s="31"/>
      <c r="BE581" s="31"/>
      <c r="BF581" s="31"/>
      <c r="BG581" s="31"/>
      <c r="BH581" s="31"/>
      <c r="BI581" s="116"/>
      <c r="BL581" s="196"/>
      <c r="BM581" s="239"/>
      <c r="BN581" s="330"/>
      <c r="BP581" s="330"/>
      <c r="BS581" s="116"/>
      <c r="BU581" s="331"/>
      <c r="BW581" s="116"/>
      <c r="BX581" s="116"/>
      <c r="BZ581" s="330"/>
      <c r="CB581" s="330"/>
      <c r="CC581" s="116"/>
      <c r="CG581" s="242"/>
      <c r="CH581" s="116"/>
      <c r="CI581" s="116"/>
      <c r="CJ581" s="116"/>
      <c r="CL581" s="116"/>
      <c r="CN581" s="239"/>
      <c r="CO581" s="153"/>
      <c r="DM581" s="116"/>
      <c r="DN581" s="116"/>
      <c r="DO581" s="116"/>
      <c r="DP581" s="116"/>
      <c r="DW581" s="116"/>
      <c r="DX581" s="219"/>
      <c r="DY581" s="219"/>
      <c r="DZ581" s="116"/>
      <c r="EA581" s="116"/>
      <c r="EB581" s="116"/>
      <c r="EC581" s="116"/>
      <c r="ED581" s="116"/>
      <c r="EF581" s="332"/>
      <c r="EG581" s="116"/>
      <c r="EH581" s="116"/>
      <c r="EI581" s="116"/>
      <c r="EJ581" s="116"/>
      <c r="EK581" s="116"/>
      <c r="EM581" s="116"/>
      <c r="EN581" s="116"/>
      <c r="EO581" s="116"/>
      <c r="EQ581" s="116"/>
      <c r="ER581" s="116"/>
      <c r="ES581" s="116"/>
      <c r="ET581" s="116"/>
      <c r="EU581" s="116"/>
      <c r="EV581" s="116"/>
      <c r="EX581" s="116"/>
      <c r="EY581" s="116"/>
      <c r="EZ581" s="116"/>
      <c r="FA581" s="116"/>
      <c r="FB581" s="116"/>
    </row>
    <row r="582" spans="5:158" ht="13">
      <c r="E582" s="153"/>
      <c r="T582" s="153"/>
      <c r="BD582" s="31"/>
      <c r="BE582" s="31"/>
      <c r="BF582" s="31"/>
      <c r="BG582" s="31"/>
      <c r="BH582" s="31"/>
      <c r="BI582" s="116"/>
      <c r="BL582" s="196"/>
      <c r="BM582" s="239"/>
      <c r="BN582" s="330"/>
      <c r="BP582" s="330"/>
      <c r="BS582" s="116"/>
      <c r="BU582" s="331"/>
      <c r="BW582" s="116"/>
      <c r="BX582" s="116"/>
      <c r="BZ582" s="330"/>
      <c r="CB582" s="330"/>
      <c r="CC582" s="116"/>
      <c r="CG582" s="242"/>
      <c r="CH582" s="116"/>
      <c r="CI582" s="116"/>
      <c r="CJ582" s="116"/>
      <c r="CL582" s="116"/>
      <c r="CN582" s="239"/>
      <c r="CO582" s="153"/>
      <c r="DM582" s="116"/>
      <c r="DN582" s="116"/>
      <c r="DO582" s="116"/>
      <c r="DP582" s="116"/>
      <c r="DW582" s="116"/>
      <c r="DX582" s="219"/>
      <c r="DY582" s="219"/>
      <c r="DZ582" s="116"/>
      <c r="EA582" s="116"/>
      <c r="EB582" s="116"/>
      <c r="EC582" s="116"/>
      <c r="ED582" s="116"/>
      <c r="EF582" s="332"/>
      <c r="EG582" s="116"/>
      <c r="EH582" s="116"/>
      <c r="EI582" s="116"/>
      <c r="EJ582" s="116"/>
      <c r="EK582" s="116"/>
      <c r="EM582" s="116"/>
      <c r="EN582" s="116"/>
      <c r="EO582" s="116"/>
      <c r="EQ582" s="116"/>
      <c r="ER582" s="116"/>
      <c r="ES582" s="116"/>
      <c r="ET582" s="116"/>
      <c r="EU582" s="116"/>
      <c r="EV582" s="116"/>
      <c r="EX582" s="116"/>
      <c r="EY582" s="116"/>
      <c r="EZ582" s="116"/>
      <c r="FA582" s="116"/>
      <c r="FB582" s="116"/>
    </row>
    <row r="583" spans="5:158" ht="13">
      <c r="E583" s="153"/>
      <c r="T583" s="153"/>
      <c r="BD583" s="31"/>
      <c r="BE583" s="31"/>
      <c r="BF583" s="31"/>
      <c r="BG583" s="31"/>
      <c r="BH583" s="31"/>
      <c r="BI583" s="116"/>
      <c r="BL583" s="196"/>
      <c r="BM583" s="239"/>
      <c r="BN583" s="330"/>
      <c r="BP583" s="330"/>
      <c r="BS583" s="116"/>
      <c r="BU583" s="331"/>
      <c r="BW583" s="116"/>
      <c r="BX583" s="116"/>
      <c r="BZ583" s="330"/>
      <c r="CB583" s="330"/>
      <c r="CC583" s="116"/>
      <c r="CG583" s="242"/>
      <c r="CH583" s="116"/>
      <c r="CI583" s="116"/>
      <c r="CJ583" s="116"/>
      <c r="CL583" s="116"/>
      <c r="CN583" s="239"/>
      <c r="CO583" s="153"/>
      <c r="DM583" s="116"/>
      <c r="DN583" s="116"/>
      <c r="DO583" s="116"/>
      <c r="DP583" s="116"/>
      <c r="DW583" s="116"/>
      <c r="DX583" s="219"/>
      <c r="DY583" s="219"/>
      <c r="DZ583" s="116"/>
      <c r="EA583" s="116"/>
      <c r="EB583" s="116"/>
      <c r="EC583" s="116"/>
      <c r="ED583" s="116"/>
      <c r="EF583" s="332"/>
      <c r="EG583" s="116"/>
      <c r="EH583" s="116"/>
      <c r="EI583" s="116"/>
      <c r="EJ583" s="116"/>
      <c r="EK583" s="116"/>
      <c r="EM583" s="116"/>
      <c r="EN583" s="116"/>
      <c r="EO583" s="116"/>
      <c r="EQ583" s="116"/>
      <c r="ER583" s="116"/>
      <c r="ES583" s="116"/>
      <c r="ET583" s="116"/>
      <c r="EU583" s="116"/>
      <c r="EV583" s="116"/>
      <c r="EX583" s="116"/>
      <c r="EY583" s="116"/>
      <c r="EZ583" s="116"/>
      <c r="FA583" s="116"/>
      <c r="FB583" s="116"/>
    </row>
    <row r="584" spans="5:158" ht="13">
      <c r="E584" s="153"/>
      <c r="T584" s="153"/>
      <c r="BD584" s="31"/>
      <c r="BE584" s="31"/>
      <c r="BF584" s="31"/>
      <c r="BG584" s="31"/>
      <c r="BH584" s="31"/>
      <c r="BI584" s="116"/>
      <c r="BL584" s="196"/>
      <c r="BM584" s="239"/>
      <c r="BN584" s="330"/>
      <c r="BP584" s="330"/>
      <c r="BS584" s="116"/>
      <c r="BU584" s="331"/>
      <c r="BW584" s="116"/>
      <c r="BX584" s="116"/>
      <c r="BZ584" s="330"/>
      <c r="CB584" s="330"/>
      <c r="CC584" s="116"/>
      <c r="CG584" s="242"/>
      <c r="CH584" s="116"/>
      <c r="CI584" s="116"/>
      <c r="CJ584" s="116"/>
      <c r="CL584" s="116"/>
      <c r="CN584" s="239"/>
      <c r="CO584" s="153"/>
      <c r="DM584" s="116"/>
      <c r="DN584" s="116"/>
      <c r="DO584" s="116"/>
      <c r="DP584" s="116"/>
      <c r="DW584" s="116"/>
      <c r="DX584" s="219"/>
      <c r="DY584" s="219"/>
      <c r="DZ584" s="116"/>
      <c r="EA584" s="116"/>
      <c r="EB584" s="116"/>
      <c r="EC584" s="116"/>
      <c r="ED584" s="116"/>
      <c r="EF584" s="332"/>
      <c r="EG584" s="116"/>
      <c r="EH584" s="116"/>
      <c r="EI584" s="116"/>
      <c r="EJ584" s="116"/>
      <c r="EK584" s="116"/>
      <c r="EM584" s="116"/>
      <c r="EN584" s="116"/>
      <c r="EO584" s="116"/>
      <c r="EQ584" s="116"/>
      <c r="ER584" s="116"/>
      <c r="ES584" s="116"/>
      <c r="ET584" s="116"/>
      <c r="EU584" s="116"/>
      <c r="EV584" s="116"/>
      <c r="EX584" s="116"/>
      <c r="EY584" s="116"/>
      <c r="EZ584" s="116"/>
      <c r="FA584" s="116"/>
      <c r="FB584" s="116"/>
    </row>
    <row r="585" spans="5:158" ht="13">
      <c r="E585" s="153"/>
      <c r="T585" s="153"/>
      <c r="BD585" s="31"/>
      <c r="BE585" s="31"/>
      <c r="BF585" s="31"/>
      <c r="BG585" s="31"/>
      <c r="BH585" s="31"/>
      <c r="BI585" s="116"/>
      <c r="BL585" s="196"/>
      <c r="BM585" s="239"/>
      <c r="BN585" s="330"/>
      <c r="BP585" s="330"/>
      <c r="BS585" s="116"/>
      <c r="BU585" s="331"/>
      <c r="BW585" s="116"/>
      <c r="BX585" s="116"/>
      <c r="BZ585" s="330"/>
      <c r="CB585" s="330"/>
      <c r="CC585" s="116"/>
      <c r="CG585" s="242"/>
      <c r="CH585" s="116"/>
      <c r="CI585" s="116"/>
      <c r="CJ585" s="116"/>
      <c r="CL585" s="116"/>
      <c r="CN585" s="239"/>
      <c r="CO585" s="153"/>
      <c r="DM585" s="116"/>
      <c r="DN585" s="116"/>
      <c r="DO585" s="116"/>
      <c r="DP585" s="116"/>
      <c r="DW585" s="116"/>
      <c r="DX585" s="219"/>
      <c r="DY585" s="219"/>
      <c r="DZ585" s="116"/>
      <c r="EA585" s="116"/>
      <c r="EB585" s="116"/>
      <c r="EC585" s="116"/>
      <c r="ED585" s="116"/>
      <c r="EF585" s="332"/>
      <c r="EG585" s="116"/>
      <c r="EH585" s="116"/>
      <c r="EI585" s="116"/>
      <c r="EJ585" s="116"/>
      <c r="EK585" s="116"/>
      <c r="EM585" s="116"/>
      <c r="EN585" s="116"/>
      <c r="EO585" s="116"/>
      <c r="EQ585" s="116"/>
      <c r="ER585" s="116"/>
      <c r="ES585" s="116"/>
      <c r="ET585" s="116"/>
      <c r="EU585" s="116"/>
      <c r="EV585" s="116"/>
      <c r="EX585" s="116"/>
      <c r="EY585" s="116"/>
      <c r="EZ585" s="116"/>
      <c r="FA585" s="116"/>
      <c r="FB585" s="116"/>
    </row>
    <row r="586" spans="5:158" ht="13">
      <c r="E586" s="153"/>
      <c r="T586" s="153"/>
      <c r="BD586" s="31"/>
      <c r="BE586" s="31"/>
      <c r="BF586" s="31"/>
      <c r="BG586" s="31"/>
      <c r="BH586" s="31"/>
      <c r="BI586" s="116"/>
      <c r="BL586" s="196"/>
      <c r="BM586" s="239"/>
      <c r="BN586" s="330"/>
      <c r="BP586" s="330"/>
      <c r="BS586" s="116"/>
      <c r="BU586" s="331"/>
      <c r="BW586" s="116"/>
      <c r="BX586" s="116"/>
      <c r="BZ586" s="330"/>
      <c r="CB586" s="330"/>
      <c r="CC586" s="116"/>
      <c r="CG586" s="242"/>
      <c r="CH586" s="116"/>
      <c r="CI586" s="116"/>
      <c r="CJ586" s="116"/>
      <c r="CL586" s="116"/>
      <c r="CN586" s="239"/>
      <c r="CO586" s="153"/>
      <c r="DM586" s="116"/>
      <c r="DN586" s="116"/>
      <c r="DO586" s="116"/>
      <c r="DP586" s="116"/>
      <c r="DW586" s="116"/>
      <c r="DX586" s="219"/>
      <c r="DY586" s="219"/>
      <c r="DZ586" s="116"/>
      <c r="EA586" s="116"/>
      <c r="EB586" s="116"/>
      <c r="EC586" s="116"/>
      <c r="ED586" s="116"/>
      <c r="EF586" s="332"/>
      <c r="EG586" s="116"/>
      <c r="EH586" s="116"/>
      <c r="EI586" s="116"/>
      <c r="EJ586" s="116"/>
      <c r="EK586" s="116"/>
      <c r="EM586" s="116"/>
      <c r="EN586" s="116"/>
      <c r="EO586" s="116"/>
      <c r="EQ586" s="116"/>
      <c r="ER586" s="116"/>
      <c r="ES586" s="116"/>
      <c r="ET586" s="116"/>
      <c r="EU586" s="116"/>
      <c r="EV586" s="116"/>
      <c r="EX586" s="116"/>
      <c r="EY586" s="116"/>
      <c r="EZ586" s="116"/>
      <c r="FA586" s="116"/>
      <c r="FB586" s="116"/>
    </row>
    <row r="587" spans="5:158" ht="13">
      <c r="E587" s="153"/>
      <c r="T587" s="153"/>
      <c r="BD587" s="31"/>
      <c r="BE587" s="31"/>
      <c r="BF587" s="31"/>
      <c r="BG587" s="31"/>
      <c r="BH587" s="31"/>
      <c r="BI587" s="116"/>
      <c r="BL587" s="196"/>
      <c r="BM587" s="239"/>
      <c r="BN587" s="330"/>
      <c r="BP587" s="330"/>
      <c r="BS587" s="116"/>
      <c r="BU587" s="331"/>
      <c r="BW587" s="116"/>
      <c r="BX587" s="116"/>
      <c r="BZ587" s="330"/>
      <c r="CB587" s="330"/>
      <c r="CC587" s="116"/>
      <c r="CG587" s="242"/>
      <c r="CH587" s="116"/>
      <c r="CI587" s="116"/>
      <c r="CJ587" s="116"/>
      <c r="CL587" s="116"/>
      <c r="CN587" s="239"/>
      <c r="CO587" s="153"/>
      <c r="DM587" s="116"/>
      <c r="DN587" s="116"/>
      <c r="DO587" s="116"/>
      <c r="DP587" s="116"/>
      <c r="DW587" s="116"/>
      <c r="DX587" s="219"/>
      <c r="DY587" s="219"/>
      <c r="DZ587" s="116"/>
      <c r="EA587" s="116"/>
      <c r="EB587" s="116"/>
      <c r="EC587" s="116"/>
      <c r="ED587" s="116"/>
      <c r="EF587" s="332"/>
      <c r="EG587" s="116"/>
      <c r="EH587" s="116"/>
      <c r="EI587" s="116"/>
      <c r="EJ587" s="116"/>
      <c r="EK587" s="116"/>
      <c r="EM587" s="116"/>
      <c r="EN587" s="116"/>
      <c r="EO587" s="116"/>
      <c r="EQ587" s="116"/>
      <c r="ER587" s="116"/>
      <c r="ES587" s="116"/>
      <c r="ET587" s="116"/>
      <c r="EU587" s="116"/>
      <c r="EV587" s="116"/>
      <c r="EX587" s="116"/>
      <c r="EY587" s="116"/>
      <c r="EZ587" s="116"/>
      <c r="FA587" s="116"/>
      <c r="FB587" s="116"/>
    </row>
    <row r="588" spans="5:158" ht="13">
      <c r="E588" s="153"/>
      <c r="T588" s="153"/>
      <c r="BD588" s="31"/>
      <c r="BE588" s="31"/>
      <c r="BF588" s="31"/>
      <c r="BG588" s="31"/>
      <c r="BH588" s="31"/>
      <c r="BI588" s="116"/>
      <c r="BL588" s="196"/>
      <c r="BM588" s="239"/>
      <c r="BN588" s="330"/>
      <c r="BP588" s="330"/>
      <c r="BS588" s="116"/>
      <c r="BU588" s="331"/>
      <c r="BW588" s="116"/>
      <c r="BX588" s="116"/>
      <c r="BZ588" s="330"/>
      <c r="CB588" s="330"/>
      <c r="CC588" s="116"/>
      <c r="CG588" s="242"/>
      <c r="CH588" s="116"/>
      <c r="CI588" s="116"/>
      <c r="CJ588" s="116"/>
      <c r="CL588" s="116"/>
      <c r="CN588" s="239"/>
      <c r="CO588" s="153"/>
      <c r="DM588" s="116"/>
      <c r="DN588" s="116"/>
      <c r="DO588" s="116"/>
      <c r="DP588" s="116"/>
      <c r="DW588" s="116"/>
      <c r="DX588" s="219"/>
      <c r="DY588" s="219"/>
      <c r="DZ588" s="116"/>
      <c r="EA588" s="116"/>
      <c r="EB588" s="116"/>
      <c r="EC588" s="116"/>
      <c r="ED588" s="116"/>
      <c r="EF588" s="332"/>
      <c r="EG588" s="116"/>
      <c r="EH588" s="116"/>
      <c r="EI588" s="116"/>
      <c r="EJ588" s="116"/>
      <c r="EK588" s="116"/>
      <c r="EM588" s="116"/>
      <c r="EN588" s="116"/>
      <c r="EO588" s="116"/>
      <c r="EQ588" s="116"/>
      <c r="ER588" s="116"/>
      <c r="ES588" s="116"/>
      <c r="ET588" s="116"/>
      <c r="EU588" s="116"/>
      <c r="EV588" s="116"/>
      <c r="EX588" s="116"/>
      <c r="EY588" s="116"/>
      <c r="EZ588" s="116"/>
      <c r="FA588" s="116"/>
      <c r="FB588" s="116"/>
    </row>
    <row r="589" spans="5:158" ht="13">
      <c r="E589" s="153"/>
      <c r="T589" s="153"/>
      <c r="BD589" s="31"/>
      <c r="BE589" s="31"/>
      <c r="BF589" s="31"/>
      <c r="BG589" s="31"/>
      <c r="BH589" s="31"/>
      <c r="BI589" s="116"/>
      <c r="BL589" s="196"/>
      <c r="BM589" s="239"/>
      <c r="BN589" s="330"/>
      <c r="BP589" s="330"/>
      <c r="BS589" s="116"/>
      <c r="BU589" s="331"/>
      <c r="BW589" s="116"/>
      <c r="BX589" s="116"/>
      <c r="BZ589" s="330"/>
      <c r="CB589" s="330"/>
      <c r="CC589" s="116"/>
      <c r="CG589" s="242"/>
      <c r="CH589" s="116"/>
      <c r="CI589" s="116"/>
      <c r="CJ589" s="116"/>
      <c r="CL589" s="116"/>
      <c r="CN589" s="239"/>
      <c r="CO589" s="153"/>
      <c r="DM589" s="116"/>
      <c r="DN589" s="116"/>
      <c r="DO589" s="116"/>
      <c r="DP589" s="116"/>
      <c r="DW589" s="116"/>
      <c r="DX589" s="219"/>
      <c r="DY589" s="219"/>
      <c r="DZ589" s="116"/>
      <c r="EA589" s="116"/>
      <c r="EB589" s="116"/>
      <c r="EC589" s="116"/>
      <c r="ED589" s="116"/>
      <c r="EF589" s="332"/>
      <c r="EG589" s="116"/>
      <c r="EH589" s="116"/>
      <c r="EI589" s="116"/>
      <c r="EJ589" s="116"/>
      <c r="EK589" s="116"/>
      <c r="EM589" s="116"/>
      <c r="EN589" s="116"/>
      <c r="EO589" s="116"/>
      <c r="EQ589" s="116"/>
      <c r="ER589" s="116"/>
      <c r="ES589" s="116"/>
      <c r="ET589" s="116"/>
      <c r="EU589" s="116"/>
      <c r="EV589" s="116"/>
      <c r="EX589" s="116"/>
      <c r="EY589" s="116"/>
      <c r="EZ589" s="116"/>
      <c r="FA589" s="116"/>
      <c r="FB589" s="116"/>
    </row>
    <row r="590" spans="5:158" ht="13">
      <c r="E590" s="153"/>
      <c r="T590" s="153"/>
      <c r="BD590" s="31"/>
      <c r="BE590" s="31"/>
      <c r="BF590" s="31"/>
      <c r="BG590" s="31"/>
      <c r="BH590" s="31"/>
      <c r="BI590" s="116"/>
      <c r="BL590" s="196"/>
      <c r="BM590" s="239"/>
      <c r="BN590" s="330"/>
      <c r="BP590" s="330"/>
      <c r="BS590" s="116"/>
      <c r="BU590" s="331"/>
      <c r="BW590" s="116"/>
      <c r="BX590" s="116"/>
      <c r="BZ590" s="330"/>
      <c r="CB590" s="330"/>
      <c r="CC590" s="116"/>
      <c r="CG590" s="242"/>
      <c r="CH590" s="116"/>
      <c r="CI590" s="116"/>
      <c r="CJ590" s="116"/>
      <c r="CL590" s="116"/>
      <c r="CN590" s="239"/>
      <c r="CO590" s="153"/>
      <c r="DM590" s="116"/>
      <c r="DN590" s="116"/>
      <c r="DO590" s="116"/>
      <c r="DP590" s="116"/>
      <c r="DW590" s="116"/>
      <c r="DX590" s="219"/>
      <c r="DY590" s="219"/>
      <c r="DZ590" s="116"/>
      <c r="EA590" s="116"/>
      <c r="EB590" s="116"/>
      <c r="EC590" s="116"/>
      <c r="ED590" s="116"/>
      <c r="EF590" s="332"/>
      <c r="EG590" s="116"/>
      <c r="EH590" s="116"/>
      <c r="EI590" s="116"/>
      <c r="EJ590" s="116"/>
      <c r="EK590" s="116"/>
      <c r="EM590" s="116"/>
      <c r="EN590" s="116"/>
      <c r="EO590" s="116"/>
      <c r="EQ590" s="116"/>
      <c r="ER590" s="116"/>
      <c r="ES590" s="116"/>
      <c r="ET590" s="116"/>
      <c r="EU590" s="116"/>
      <c r="EV590" s="116"/>
      <c r="EX590" s="116"/>
      <c r="EY590" s="116"/>
      <c r="EZ590" s="116"/>
      <c r="FA590" s="116"/>
      <c r="FB590" s="116"/>
    </row>
    <row r="591" spans="5:158" ht="13">
      <c r="E591" s="153"/>
      <c r="T591" s="153"/>
      <c r="BD591" s="31"/>
      <c r="BE591" s="31"/>
      <c r="BF591" s="31"/>
      <c r="BG591" s="31"/>
      <c r="BH591" s="31"/>
      <c r="BI591" s="116"/>
      <c r="BL591" s="196"/>
      <c r="BM591" s="239"/>
      <c r="BN591" s="330"/>
      <c r="BP591" s="330"/>
      <c r="BS591" s="116"/>
      <c r="BU591" s="331"/>
      <c r="BW591" s="116"/>
      <c r="BX591" s="116"/>
      <c r="BZ591" s="330"/>
      <c r="CB591" s="330"/>
      <c r="CC591" s="116"/>
      <c r="CG591" s="242"/>
      <c r="CH591" s="116"/>
      <c r="CI591" s="116"/>
      <c r="CJ591" s="116"/>
      <c r="CL591" s="116"/>
      <c r="CN591" s="239"/>
      <c r="CO591" s="153"/>
      <c r="DM591" s="116"/>
      <c r="DN591" s="116"/>
      <c r="DO591" s="116"/>
      <c r="DP591" s="116"/>
      <c r="DW591" s="116"/>
      <c r="DX591" s="219"/>
      <c r="DY591" s="219"/>
      <c r="DZ591" s="116"/>
      <c r="EA591" s="116"/>
      <c r="EB591" s="116"/>
      <c r="EC591" s="116"/>
      <c r="ED591" s="116"/>
      <c r="EF591" s="332"/>
      <c r="EG591" s="116"/>
      <c r="EH591" s="116"/>
      <c r="EI591" s="116"/>
      <c r="EJ591" s="116"/>
      <c r="EK591" s="116"/>
      <c r="EM591" s="116"/>
      <c r="EN591" s="116"/>
      <c r="EO591" s="116"/>
      <c r="EQ591" s="116"/>
      <c r="ER591" s="116"/>
      <c r="ES591" s="116"/>
      <c r="ET591" s="116"/>
      <c r="EU591" s="116"/>
      <c r="EV591" s="116"/>
      <c r="EX591" s="116"/>
      <c r="EY591" s="116"/>
      <c r="EZ591" s="116"/>
      <c r="FA591" s="116"/>
      <c r="FB591" s="116"/>
    </row>
    <row r="592" spans="5:158" ht="13">
      <c r="E592" s="153"/>
      <c r="T592" s="153"/>
      <c r="BD592" s="31"/>
      <c r="BE592" s="31"/>
      <c r="BF592" s="31"/>
      <c r="BG592" s="31"/>
      <c r="BH592" s="31"/>
      <c r="BI592" s="116"/>
      <c r="BL592" s="196"/>
      <c r="BM592" s="239"/>
      <c r="BN592" s="330"/>
      <c r="BP592" s="330"/>
      <c r="BS592" s="116"/>
      <c r="BU592" s="331"/>
      <c r="BW592" s="116"/>
      <c r="BX592" s="116"/>
      <c r="BZ592" s="330"/>
      <c r="CB592" s="330"/>
      <c r="CC592" s="116"/>
      <c r="CG592" s="242"/>
      <c r="CH592" s="116"/>
      <c r="CI592" s="116"/>
      <c r="CJ592" s="116"/>
      <c r="CL592" s="116"/>
      <c r="CN592" s="239"/>
      <c r="CO592" s="153"/>
      <c r="DM592" s="116"/>
      <c r="DN592" s="116"/>
      <c r="DO592" s="116"/>
      <c r="DP592" s="116"/>
      <c r="DW592" s="116"/>
      <c r="DX592" s="219"/>
      <c r="DY592" s="219"/>
      <c r="DZ592" s="116"/>
      <c r="EA592" s="116"/>
      <c r="EB592" s="116"/>
      <c r="EC592" s="116"/>
      <c r="ED592" s="116"/>
      <c r="EF592" s="332"/>
      <c r="EG592" s="116"/>
      <c r="EH592" s="116"/>
      <c r="EI592" s="116"/>
      <c r="EJ592" s="116"/>
      <c r="EK592" s="116"/>
      <c r="EM592" s="116"/>
      <c r="EN592" s="116"/>
      <c r="EO592" s="116"/>
      <c r="EQ592" s="116"/>
      <c r="ER592" s="116"/>
      <c r="ES592" s="116"/>
      <c r="ET592" s="116"/>
      <c r="EU592" s="116"/>
      <c r="EV592" s="116"/>
      <c r="EX592" s="116"/>
      <c r="EY592" s="116"/>
      <c r="EZ592" s="116"/>
      <c r="FA592" s="116"/>
      <c r="FB592" s="116"/>
    </row>
    <row r="593" spans="5:158" ht="13">
      <c r="E593" s="153"/>
      <c r="T593" s="153"/>
      <c r="BD593" s="31"/>
      <c r="BE593" s="31"/>
      <c r="BF593" s="31"/>
      <c r="BG593" s="31"/>
      <c r="BH593" s="31"/>
      <c r="BI593" s="116"/>
      <c r="BL593" s="196"/>
      <c r="BM593" s="239"/>
      <c r="BN593" s="330"/>
      <c r="BP593" s="330"/>
      <c r="BS593" s="116"/>
      <c r="BU593" s="331"/>
      <c r="BW593" s="116"/>
      <c r="BX593" s="116"/>
      <c r="BZ593" s="330"/>
      <c r="CB593" s="330"/>
      <c r="CC593" s="116"/>
      <c r="CG593" s="242"/>
      <c r="CH593" s="116"/>
      <c r="CI593" s="116"/>
      <c r="CJ593" s="116"/>
      <c r="CL593" s="116"/>
      <c r="CN593" s="239"/>
      <c r="CO593" s="153"/>
      <c r="DM593" s="116"/>
      <c r="DN593" s="116"/>
      <c r="DO593" s="116"/>
      <c r="DP593" s="116"/>
      <c r="DW593" s="116"/>
      <c r="DX593" s="219"/>
      <c r="DY593" s="219"/>
      <c r="DZ593" s="116"/>
      <c r="EA593" s="116"/>
      <c r="EB593" s="116"/>
      <c r="EC593" s="116"/>
      <c r="ED593" s="116"/>
      <c r="EF593" s="332"/>
      <c r="EG593" s="116"/>
      <c r="EH593" s="116"/>
      <c r="EI593" s="116"/>
      <c r="EJ593" s="116"/>
      <c r="EK593" s="116"/>
      <c r="EM593" s="116"/>
      <c r="EN593" s="116"/>
      <c r="EO593" s="116"/>
      <c r="EQ593" s="116"/>
      <c r="ER593" s="116"/>
      <c r="ES593" s="116"/>
      <c r="ET593" s="116"/>
      <c r="EU593" s="116"/>
      <c r="EV593" s="116"/>
      <c r="EX593" s="116"/>
      <c r="EY593" s="116"/>
      <c r="EZ593" s="116"/>
      <c r="FA593" s="116"/>
      <c r="FB593" s="116"/>
    </row>
    <row r="594" spans="5:158" ht="13">
      <c r="E594" s="153"/>
      <c r="T594" s="153"/>
      <c r="BD594" s="31"/>
      <c r="BE594" s="31"/>
      <c r="BF594" s="31"/>
      <c r="BG594" s="31"/>
      <c r="BH594" s="31"/>
      <c r="BI594" s="116"/>
      <c r="BL594" s="196"/>
      <c r="BM594" s="239"/>
      <c r="BN594" s="330"/>
      <c r="BP594" s="330"/>
      <c r="BS594" s="116"/>
      <c r="BU594" s="331"/>
      <c r="BW594" s="116"/>
      <c r="BX594" s="116"/>
      <c r="BZ594" s="330"/>
      <c r="CB594" s="330"/>
      <c r="CC594" s="116"/>
      <c r="CG594" s="242"/>
      <c r="CH594" s="116"/>
      <c r="CI594" s="116"/>
      <c r="CJ594" s="116"/>
      <c r="CL594" s="116"/>
      <c r="CN594" s="239"/>
      <c r="CO594" s="153"/>
      <c r="DM594" s="116"/>
      <c r="DN594" s="116"/>
      <c r="DO594" s="116"/>
      <c r="DP594" s="116"/>
      <c r="DW594" s="116"/>
      <c r="DX594" s="219"/>
      <c r="DY594" s="219"/>
      <c r="DZ594" s="116"/>
      <c r="EA594" s="116"/>
      <c r="EB594" s="116"/>
      <c r="EC594" s="116"/>
      <c r="ED594" s="116"/>
      <c r="EF594" s="332"/>
      <c r="EG594" s="116"/>
      <c r="EH594" s="116"/>
      <c r="EI594" s="116"/>
      <c r="EJ594" s="116"/>
      <c r="EK594" s="116"/>
      <c r="EM594" s="116"/>
      <c r="EN594" s="116"/>
      <c r="EO594" s="116"/>
      <c r="EQ594" s="116"/>
      <c r="ER594" s="116"/>
      <c r="ES594" s="116"/>
      <c r="ET594" s="116"/>
      <c r="EU594" s="116"/>
      <c r="EV594" s="116"/>
      <c r="EX594" s="116"/>
      <c r="EY594" s="116"/>
      <c r="EZ594" s="116"/>
      <c r="FA594" s="116"/>
      <c r="FB594" s="116"/>
    </row>
    <row r="595" spans="5:158" ht="13">
      <c r="E595" s="153"/>
      <c r="T595" s="153"/>
      <c r="BD595" s="31"/>
      <c r="BE595" s="31"/>
      <c r="BF595" s="31"/>
      <c r="BG595" s="31"/>
      <c r="BH595" s="31"/>
      <c r="BI595" s="116"/>
      <c r="BL595" s="196"/>
      <c r="BM595" s="239"/>
      <c r="BN595" s="330"/>
      <c r="BP595" s="330"/>
      <c r="BS595" s="116"/>
      <c r="BU595" s="331"/>
      <c r="BW595" s="116"/>
      <c r="BX595" s="116"/>
      <c r="BZ595" s="330"/>
      <c r="CB595" s="330"/>
      <c r="CC595" s="116"/>
      <c r="CG595" s="242"/>
      <c r="CH595" s="116"/>
      <c r="CI595" s="116"/>
      <c r="CJ595" s="116"/>
      <c r="CL595" s="116"/>
      <c r="CN595" s="239"/>
      <c r="CO595" s="153"/>
      <c r="DM595" s="116"/>
      <c r="DN595" s="116"/>
      <c r="DO595" s="116"/>
      <c r="DP595" s="116"/>
      <c r="DW595" s="116"/>
      <c r="DX595" s="219"/>
      <c r="DY595" s="219"/>
      <c r="DZ595" s="116"/>
      <c r="EA595" s="116"/>
      <c r="EB595" s="116"/>
      <c r="EC595" s="116"/>
      <c r="ED595" s="116"/>
      <c r="EF595" s="332"/>
      <c r="EG595" s="116"/>
      <c r="EH595" s="116"/>
      <c r="EI595" s="116"/>
      <c r="EJ595" s="116"/>
      <c r="EK595" s="116"/>
      <c r="EM595" s="116"/>
      <c r="EN595" s="116"/>
      <c r="EO595" s="116"/>
      <c r="EQ595" s="116"/>
      <c r="ER595" s="116"/>
      <c r="ES595" s="116"/>
      <c r="ET595" s="116"/>
      <c r="EU595" s="116"/>
      <c r="EV595" s="116"/>
      <c r="EX595" s="116"/>
      <c r="EY595" s="116"/>
      <c r="EZ595" s="116"/>
      <c r="FA595" s="116"/>
      <c r="FB595" s="116"/>
    </row>
    <row r="596" spans="5:158" ht="13">
      <c r="E596" s="153"/>
      <c r="T596" s="153"/>
      <c r="BD596" s="31"/>
      <c r="BE596" s="31"/>
      <c r="BF596" s="31"/>
      <c r="BG596" s="31"/>
      <c r="BH596" s="31"/>
      <c r="BI596" s="116"/>
      <c r="BL596" s="196"/>
      <c r="BM596" s="239"/>
      <c r="BN596" s="330"/>
      <c r="BP596" s="330"/>
      <c r="BS596" s="116"/>
      <c r="BU596" s="331"/>
      <c r="BW596" s="116"/>
      <c r="BX596" s="116"/>
      <c r="BZ596" s="330"/>
      <c r="CB596" s="330"/>
      <c r="CC596" s="116"/>
      <c r="CG596" s="242"/>
      <c r="CH596" s="116"/>
      <c r="CI596" s="116"/>
      <c r="CJ596" s="116"/>
      <c r="CL596" s="116"/>
      <c r="CN596" s="239"/>
      <c r="CO596" s="153"/>
      <c r="DM596" s="116"/>
      <c r="DN596" s="116"/>
      <c r="DO596" s="116"/>
      <c r="DP596" s="116"/>
      <c r="DW596" s="116"/>
      <c r="DX596" s="219"/>
      <c r="DY596" s="219"/>
      <c r="DZ596" s="116"/>
      <c r="EA596" s="116"/>
      <c r="EB596" s="116"/>
      <c r="EC596" s="116"/>
      <c r="ED596" s="116"/>
      <c r="EF596" s="332"/>
      <c r="EG596" s="116"/>
      <c r="EH596" s="116"/>
      <c r="EI596" s="116"/>
      <c r="EJ596" s="116"/>
      <c r="EK596" s="116"/>
      <c r="EM596" s="116"/>
      <c r="EN596" s="116"/>
      <c r="EO596" s="116"/>
      <c r="EQ596" s="116"/>
      <c r="ER596" s="116"/>
      <c r="ES596" s="116"/>
      <c r="ET596" s="116"/>
      <c r="EU596" s="116"/>
      <c r="EV596" s="116"/>
      <c r="EX596" s="116"/>
      <c r="EY596" s="116"/>
      <c r="EZ596" s="116"/>
      <c r="FA596" s="116"/>
      <c r="FB596" s="116"/>
    </row>
    <row r="597" spans="5:158" ht="13">
      <c r="E597" s="153"/>
      <c r="T597" s="153"/>
      <c r="BD597" s="31"/>
      <c r="BE597" s="31"/>
      <c r="BF597" s="31"/>
      <c r="BG597" s="31"/>
      <c r="BH597" s="31"/>
      <c r="BI597" s="116"/>
      <c r="BL597" s="196"/>
      <c r="BM597" s="239"/>
      <c r="BN597" s="330"/>
      <c r="BP597" s="330"/>
      <c r="BS597" s="116"/>
      <c r="BU597" s="331"/>
      <c r="BW597" s="116"/>
      <c r="BX597" s="116"/>
      <c r="BZ597" s="330"/>
      <c r="CB597" s="330"/>
      <c r="CC597" s="116"/>
      <c r="CG597" s="242"/>
      <c r="CH597" s="116"/>
      <c r="CI597" s="116"/>
      <c r="CJ597" s="116"/>
      <c r="CL597" s="116"/>
      <c r="CN597" s="239"/>
      <c r="CO597" s="153"/>
      <c r="DM597" s="116"/>
      <c r="DN597" s="116"/>
      <c r="DO597" s="116"/>
      <c r="DP597" s="116"/>
      <c r="DW597" s="116"/>
      <c r="DX597" s="219"/>
      <c r="DY597" s="219"/>
      <c r="DZ597" s="116"/>
      <c r="EA597" s="116"/>
      <c r="EB597" s="116"/>
      <c r="EC597" s="116"/>
      <c r="ED597" s="116"/>
      <c r="EF597" s="332"/>
      <c r="EG597" s="116"/>
      <c r="EH597" s="116"/>
      <c r="EI597" s="116"/>
      <c r="EJ597" s="116"/>
      <c r="EK597" s="116"/>
      <c r="EM597" s="116"/>
      <c r="EN597" s="116"/>
      <c r="EO597" s="116"/>
      <c r="EQ597" s="116"/>
      <c r="ER597" s="116"/>
      <c r="ES597" s="116"/>
      <c r="ET597" s="116"/>
      <c r="EU597" s="116"/>
      <c r="EV597" s="116"/>
      <c r="EX597" s="116"/>
      <c r="EY597" s="116"/>
      <c r="EZ597" s="116"/>
      <c r="FA597" s="116"/>
      <c r="FB597" s="116"/>
    </row>
    <row r="598" spans="5:158" ht="13">
      <c r="E598" s="153"/>
      <c r="T598" s="153"/>
      <c r="BD598" s="31"/>
      <c r="BE598" s="31"/>
      <c r="BF598" s="31"/>
      <c r="BG598" s="31"/>
      <c r="BH598" s="31"/>
      <c r="BI598" s="116"/>
      <c r="BL598" s="196"/>
      <c r="BM598" s="239"/>
      <c r="BN598" s="330"/>
      <c r="BP598" s="330"/>
      <c r="BS598" s="116"/>
      <c r="BU598" s="331"/>
      <c r="BW598" s="116"/>
      <c r="BX598" s="116"/>
      <c r="BZ598" s="330"/>
      <c r="CB598" s="330"/>
      <c r="CC598" s="116"/>
      <c r="CG598" s="242"/>
      <c r="CH598" s="116"/>
      <c r="CI598" s="116"/>
      <c r="CJ598" s="116"/>
      <c r="CL598" s="116"/>
      <c r="CN598" s="239"/>
      <c r="CO598" s="153"/>
      <c r="DM598" s="116"/>
      <c r="DN598" s="116"/>
      <c r="DO598" s="116"/>
      <c r="DP598" s="116"/>
      <c r="DW598" s="116"/>
      <c r="DX598" s="219"/>
      <c r="DY598" s="219"/>
      <c r="DZ598" s="116"/>
      <c r="EA598" s="116"/>
      <c r="EB598" s="116"/>
      <c r="EC598" s="116"/>
      <c r="ED598" s="116"/>
      <c r="EF598" s="332"/>
      <c r="EG598" s="116"/>
      <c r="EH598" s="116"/>
      <c r="EI598" s="116"/>
      <c r="EJ598" s="116"/>
      <c r="EK598" s="116"/>
      <c r="EM598" s="116"/>
      <c r="EN598" s="116"/>
      <c r="EO598" s="116"/>
      <c r="EQ598" s="116"/>
      <c r="ER598" s="116"/>
      <c r="ES598" s="116"/>
      <c r="ET598" s="116"/>
      <c r="EU598" s="116"/>
      <c r="EV598" s="116"/>
      <c r="EX598" s="116"/>
      <c r="EY598" s="116"/>
      <c r="EZ598" s="116"/>
      <c r="FA598" s="116"/>
      <c r="FB598" s="116"/>
    </row>
    <row r="599" spans="5:158" ht="13">
      <c r="E599" s="153"/>
      <c r="T599" s="153"/>
      <c r="BD599" s="31"/>
      <c r="BE599" s="31"/>
      <c r="BF599" s="31"/>
      <c r="BG599" s="31"/>
      <c r="BH599" s="31"/>
      <c r="BI599" s="116"/>
      <c r="BL599" s="196"/>
      <c r="BM599" s="239"/>
      <c r="BN599" s="330"/>
      <c r="BP599" s="330"/>
      <c r="BS599" s="116"/>
      <c r="BU599" s="331"/>
      <c r="BW599" s="116"/>
      <c r="BX599" s="116"/>
      <c r="BZ599" s="330"/>
      <c r="CB599" s="330"/>
      <c r="CC599" s="116"/>
      <c r="CG599" s="242"/>
      <c r="CH599" s="116"/>
      <c r="CI599" s="116"/>
      <c r="CJ599" s="116"/>
      <c r="CL599" s="116"/>
      <c r="CN599" s="239"/>
      <c r="CO599" s="153"/>
      <c r="DM599" s="116"/>
      <c r="DN599" s="116"/>
      <c r="DO599" s="116"/>
      <c r="DP599" s="116"/>
      <c r="DW599" s="116"/>
      <c r="DX599" s="219"/>
      <c r="DY599" s="219"/>
      <c r="DZ599" s="116"/>
      <c r="EA599" s="116"/>
      <c r="EB599" s="116"/>
      <c r="EC599" s="116"/>
      <c r="ED599" s="116"/>
      <c r="EF599" s="332"/>
      <c r="EG599" s="116"/>
      <c r="EH599" s="116"/>
      <c r="EI599" s="116"/>
      <c r="EJ599" s="116"/>
      <c r="EK599" s="116"/>
      <c r="EM599" s="116"/>
      <c r="EN599" s="116"/>
      <c r="EO599" s="116"/>
      <c r="EQ599" s="116"/>
      <c r="ER599" s="116"/>
      <c r="ES599" s="116"/>
      <c r="ET599" s="116"/>
      <c r="EU599" s="116"/>
      <c r="EV599" s="116"/>
      <c r="EX599" s="116"/>
      <c r="EY599" s="116"/>
      <c r="EZ599" s="116"/>
      <c r="FA599" s="116"/>
      <c r="FB599" s="116"/>
    </row>
    <row r="600" spans="5:158" ht="13">
      <c r="E600" s="153"/>
      <c r="T600" s="153"/>
      <c r="BD600" s="31"/>
      <c r="BE600" s="31"/>
      <c r="BF600" s="31"/>
      <c r="BG600" s="31"/>
      <c r="BH600" s="31"/>
      <c r="BI600" s="116"/>
      <c r="BL600" s="196"/>
      <c r="BM600" s="239"/>
      <c r="BN600" s="330"/>
      <c r="BP600" s="330"/>
      <c r="BS600" s="116"/>
      <c r="BU600" s="331"/>
      <c r="BW600" s="116"/>
      <c r="BX600" s="116"/>
      <c r="BZ600" s="330"/>
      <c r="CB600" s="330"/>
      <c r="CC600" s="116"/>
      <c r="CG600" s="242"/>
      <c r="CH600" s="116"/>
      <c r="CI600" s="116"/>
      <c r="CJ600" s="116"/>
      <c r="CL600" s="116"/>
      <c r="CN600" s="239"/>
      <c r="CO600" s="153"/>
      <c r="DM600" s="116"/>
      <c r="DN600" s="116"/>
      <c r="DO600" s="116"/>
      <c r="DP600" s="116"/>
      <c r="DW600" s="116"/>
      <c r="DX600" s="219"/>
      <c r="DY600" s="219"/>
      <c r="DZ600" s="116"/>
      <c r="EA600" s="116"/>
      <c r="EB600" s="116"/>
      <c r="EC600" s="116"/>
      <c r="ED600" s="116"/>
      <c r="EF600" s="332"/>
      <c r="EG600" s="116"/>
      <c r="EH600" s="116"/>
      <c r="EI600" s="116"/>
      <c r="EJ600" s="116"/>
      <c r="EK600" s="116"/>
      <c r="EM600" s="116"/>
      <c r="EN600" s="116"/>
      <c r="EO600" s="116"/>
      <c r="EQ600" s="116"/>
      <c r="ER600" s="116"/>
      <c r="ES600" s="116"/>
      <c r="ET600" s="116"/>
      <c r="EU600" s="116"/>
      <c r="EV600" s="116"/>
      <c r="EX600" s="116"/>
      <c r="EY600" s="116"/>
      <c r="EZ600" s="116"/>
      <c r="FA600" s="116"/>
      <c r="FB600" s="116"/>
    </row>
    <row r="601" spans="5:158" ht="13">
      <c r="E601" s="153"/>
      <c r="T601" s="153"/>
      <c r="BD601" s="31"/>
      <c r="BE601" s="31"/>
      <c r="BF601" s="31"/>
      <c r="BG601" s="31"/>
      <c r="BH601" s="31"/>
      <c r="BI601" s="116"/>
      <c r="BL601" s="196"/>
      <c r="BM601" s="239"/>
      <c r="BN601" s="330"/>
      <c r="BP601" s="330"/>
      <c r="BS601" s="116"/>
      <c r="BU601" s="331"/>
      <c r="BW601" s="116"/>
      <c r="BX601" s="116"/>
      <c r="BZ601" s="330"/>
      <c r="CB601" s="330"/>
      <c r="CC601" s="116"/>
      <c r="CG601" s="242"/>
      <c r="CH601" s="116"/>
      <c r="CI601" s="116"/>
      <c r="CJ601" s="116"/>
      <c r="CL601" s="116"/>
      <c r="CN601" s="239"/>
      <c r="CO601" s="153"/>
      <c r="DM601" s="116"/>
      <c r="DN601" s="116"/>
      <c r="DO601" s="116"/>
      <c r="DP601" s="116"/>
      <c r="DW601" s="116"/>
      <c r="DX601" s="219"/>
      <c r="DY601" s="219"/>
      <c r="DZ601" s="116"/>
      <c r="EA601" s="116"/>
      <c r="EB601" s="116"/>
      <c r="EC601" s="116"/>
      <c r="ED601" s="116"/>
      <c r="EF601" s="332"/>
      <c r="EG601" s="116"/>
      <c r="EH601" s="116"/>
      <c r="EI601" s="116"/>
      <c r="EJ601" s="116"/>
      <c r="EK601" s="116"/>
      <c r="EM601" s="116"/>
      <c r="EN601" s="116"/>
      <c r="EO601" s="116"/>
      <c r="EQ601" s="116"/>
      <c r="ER601" s="116"/>
      <c r="ES601" s="116"/>
      <c r="ET601" s="116"/>
      <c r="EU601" s="116"/>
      <c r="EV601" s="116"/>
      <c r="EX601" s="116"/>
      <c r="EY601" s="116"/>
      <c r="EZ601" s="116"/>
      <c r="FA601" s="116"/>
      <c r="FB601" s="116"/>
    </row>
    <row r="602" spans="5:158" ht="13">
      <c r="E602" s="153"/>
      <c r="T602" s="153"/>
      <c r="BD602" s="31"/>
      <c r="BE602" s="31"/>
      <c r="BF602" s="31"/>
      <c r="BG602" s="31"/>
      <c r="BH602" s="31"/>
      <c r="BI602" s="116"/>
      <c r="BL602" s="196"/>
      <c r="BM602" s="239"/>
      <c r="BN602" s="330"/>
      <c r="BP602" s="330"/>
      <c r="BS602" s="116"/>
      <c r="BU602" s="331"/>
      <c r="BW602" s="116"/>
      <c r="BX602" s="116"/>
      <c r="BZ602" s="330"/>
      <c r="CB602" s="330"/>
      <c r="CC602" s="116"/>
      <c r="CG602" s="242"/>
      <c r="CH602" s="116"/>
      <c r="CI602" s="116"/>
      <c r="CJ602" s="116"/>
      <c r="CL602" s="116"/>
      <c r="CN602" s="239"/>
      <c r="CO602" s="153"/>
      <c r="DM602" s="116"/>
      <c r="DN602" s="116"/>
      <c r="DO602" s="116"/>
      <c r="DP602" s="116"/>
      <c r="DW602" s="116"/>
      <c r="DX602" s="219"/>
      <c r="DY602" s="219"/>
      <c r="DZ602" s="116"/>
      <c r="EA602" s="116"/>
      <c r="EB602" s="116"/>
      <c r="EC602" s="116"/>
      <c r="ED602" s="116"/>
      <c r="EF602" s="332"/>
      <c r="EG602" s="116"/>
      <c r="EH602" s="116"/>
      <c r="EI602" s="116"/>
      <c r="EJ602" s="116"/>
      <c r="EK602" s="116"/>
      <c r="EM602" s="116"/>
      <c r="EN602" s="116"/>
      <c r="EO602" s="116"/>
      <c r="EQ602" s="116"/>
      <c r="ER602" s="116"/>
      <c r="ES602" s="116"/>
      <c r="ET602" s="116"/>
      <c r="EU602" s="116"/>
      <c r="EV602" s="116"/>
      <c r="EX602" s="116"/>
      <c r="EY602" s="116"/>
      <c r="EZ602" s="116"/>
      <c r="FA602" s="116"/>
      <c r="FB602" s="116"/>
    </row>
    <row r="603" spans="5:158" ht="13">
      <c r="E603" s="153"/>
      <c r="T603" s="153"/>
      <c r="BD603" s="31"/>
      <c r="BE603" s="31"/>
      <c r="BF603" s="31"/>
      <c r="BG603" s="31"/>
      <c r="BH603" s="31"/>
      <c r="BI603" s="116"/>
      <c r="BL603" s="196"/>
      <c r="BM603" s="239"/>
      <c r="BN603" s="330"/>
      <c r="BP603" s="330"/>
      <c r="BS603" s="116"/>
      <c r="BU603" s="331"/>
      <c r="BW603" s="116"/>
      <c r="BX603" s="116"/>
      <c r="BZ603" s="330"/>
      <c r="CB603" s="330"/>
      <c r="CC603" s="116"/>
      <c r="CG603" s="242"/>
      <c r="CH603" s="116"/>
      <c r="CI603" s="116"/>
      <c r="CJ603" s="116"/>
      <c r="CL603" s="116"/>
      <c r="CN603" s="239"/>
      <c r="CO603" s="153"/>
      <c r="DM603" s="116"/>
      <c r="DN603" s="116"/>
      <c r="DO603" s="116"/>
      <c r="DP603" s="116"/>
      <c r="DW603" s="116"/>
      <c r="DX603" s="219"/>
      <c r="DY603" s="219"/>
      <c r="DZ603" s="116"/>
      <c r="EA603" s="116"/>
      <c r="EB603" s="116"/>
      <c r="EC603" s="116"/>
      <c r="ED603" s="116"/>
      <c r="EF603" s="332"/>
      <c r="EG603" s="116"/>
      <c r="EH603" s="116"/>
      <c r="EI603" s="116"/>
      <c r="EJ603" s="116"/>
      <c r="EK603" s="116"/>
      <c r="EM603" s="116"/>
      <c r="EN603" s="116"/>
      <c r="EO603" s="116"/>
      <c r="EQ603" s="116"/>
      <c r="ER603" s="116"/>
      <c r="ES603" s="116"/>
      <c r="ET603" s="116"/>
      <c r="EU603" s="116"/>
      <c r="EV603" s="116"/>
      <c r="EX603" s="116"/>
      <c r="EY603" s="116"/>
      <c r="EZ603" s="116"/>
      <c r="FA603" s="116"/>
      <c r="FB603" s="116"/>
    </row>
    <row r="604" spans="5:158" ht="13">
      <c r="E604" s="153"/>
      <c r="T604" s="153"/>
      <c r="BD604" s="31"/>
      <c r="BE604" s="31"/>
      <c r="BF604" s="31"/>
      <c r="BG604" s="31"/>
      <c r="BH604" s="31"/>
      <c r="BI604" s="116"/>
      <c r="BL604" s="196"/>
      <c r="BM604" s="239"/>
      <c r="BN604" s="330"/>
      <c r="BP604" s="330"/>
      <c r="BS604" s="116"/>
      <c r="BU604" s="331"/>
      <c r="BW604" s="116"/>
      <c r="BX604" s="116"/>
      <c r="BZ604" s="330"/>
      <c r="CB604" s="330"/>
      <c r="CC604" s="116"/>
      <c r="CG604" s="242"/>
      <c r="CH604" s="116"/>
      <c r="CI604" s="116"/>
      <c r="CJ604" s="116"/>
      <c r="CL604" s="116"/>
      <c r="CN604" s="239"/>
      <c r="CO604" s="153"/>
      <c r="DM604" s="116"/>
      <c r="DN604" s="116"/>
      <c r="DO604" s="116"/>
      <c r="DP604" s="116"/>
      <c r="DW604" s="116"/>
      <c r="DX604" s="219"/>
      <c r="DY604" s="219"/>
      <c r="DZ604" s="116"/>
      <c r="EA604" s="116"/>
      <c r="EB604" s="116"/>
      <c r="EC604" s="116"/>
      <c r="ED604" s="116"/>
      <c r="EF604" s="332"/>
      <c r="EG604" s="116"/>
      <c r="EH604" s="116"/>
      <c r="EI604" s="116"/>
      <c r="EJ604" s="116"/>
      <c r="EK604" s="116"/>
      <c r="EM604" s="116"/>
      <c r="EN604" s="116"/>
      <c r="EO604" s="116"/>
      <c r="EQ604" s="116"/>
      <c r="ER604" s="116"/>
      <c r="ES604" s="116"/>
      <c r="ET604" s="116"/>
      <c r="EU604" s="116"/>
      <c r="EV604" s="116"/>
      <c r="EX604" s="116"/>
      <c r="EY604" s="116"/>
      <c r="EZ604" s="116"/>
      <c r="FA604" s="116"/>
      <c r="FB604" s="116"/>
    </row>
    <row r="605" spans="5:158" ht="13">
      <c r="E605" s="153"/>
      <c r="T605" s="153"/>
      <c r="BD605" s="31"/>
      <c r="BE605" s="31"/>
      <c r="BF605" s="31"/>
      <c r="BG605" s="31"/>
      <c r="BH605" s="31"/>
      <c r="BI605" s="116"/>
      <c r="BL605" s="196"/>
      <c r="BM605" s="239"/>
      <c r="BN605" s="330"/>
      <c r="BP605" s="330"/>
      <c r="BS605" s="116"/>
      <c r="BU605" s="331"/>
      <c r="BW605" s="116"/>
      <c r="BX605" s="116"/>
      <c r="BZ605" s="330"/>
      <c r="CB605" s="330"/>
      <c r="CC605" s="116"/>
      <c r="CG605" s="242"/>
      <c r="CH605" s="116"/>
      <c r="CI605" s="116"/>
      <c r="CJ605" s="116"/>
      <c r="CL605" s="116"/>
      <c r="CN605" s="239"/>
      <c r="CO605" s="153"/>
      <c r="DM605" s="116"/>
      <c r="DN605" s="116"/>
      <c r="DO605" s="116"/>
      <c r="DP605" s="116"/>
      <c r="DW605" s="116"/>
      <c r="DX605" s="219"/>
      <c r="DY605" s="219"/>
      <c r="DZ605" s="116"/>
      <c r="EA605" s="116"/>
      <c r="EB605" s="116"/>
      <c r="EC605" s="116"/>
      <c r="ED605" s="116"/>
      <c r="EF605" s="332"/>
      <c r="EG605" s="116"/>
      <c r="EH605" s="116"/>
      <c r="EI605" s="116"/>
      <c r="EJ605" s="116"/>
      <c r="EK605" s="116"/>
      <c r="EM605" s="116"/>
      <c r="EN605" s="116"/>
      <c r="EO605" s="116"/>
      <c r="EQ605" s="116"/>
      <c r="ER605" s="116"/>
      <c r="ES605" s="116"/>
      <c r="ET605" s="116"/>
      <c r="EU605" s="116"/>
      <c r="EV605" s="116"/>
      <c r="EX605" s="116"/>
      <c r="EY605" s="116"/>
      <c r="EZ605" s="116"/>
      <c r="FA605" s="116"/>
      <c r="FB605" s="116"/>
    </row>
    <row r="606" spans="5:158" ht="13">
      <c r="E606" s="153"/>
      <c r="T606" s="153"/>
      <c r="BD606" s="31"/>
      <c r="BE606" s="31"/>
      <c r="BF606" s="31"/>
      <c r="BG606" s="31"/>
      <c r="BH606" s="31"/>
      <c r="BI606" s="116"/>
      <c r="BL606" s="196"/>
      <c r="BM606" s="239"/>
      <c r="BN606" s="330"/>
      <c r="BP606" s="330"/>
      <c r="BS606" s="116"/>
      <c r="BU606" s="331"/>
      <c r="BW606" s="116"/>
      <c r="BX606" s="116"/>
      <c r="BZ606" s="330"/>
      <c r="CB606" s="330"/>
      <c r="CC606" s="116"/>
      <c r="CG606" s="242"/>
      <c r="CH606" s="116"/>
      <c r="CI606" s="116"/>
      <c r="CJ606" s="116"/>
      <c r="CL606" s="116"/>
      <c r="CN606" s="239"/>
      <c r="CO606" s="153"/>
      <c r="DM606" s="116"/>
      <c r="DN606" s="116"/>
      <c r="DO606" s="116"/>
      <c r="DP606" s="116"/>
      <c r="DW606" s="116"/>
      <c r="DX606" s="219"/>
      <c r="DY606" s="219"/>
      <c r="DZ606" s="116"/>
      <c r="EA606" s="116"/>
      <c r="EB606" s="116"/>
      <c r="EC606" s="116"/>
      <c r="ED606" s="116"/>
      <c r="EF606" s="332"/>
      <c r="EG606" s="116"/>
      <c r="EH606" s="116"/>
      <c r="EI606" s="116"/>
      <c r="EJ606" s="116"/>
      <c r="EK606" s="116"/>
      <c r="EM606" s="116"/>
      <c r="EN606" s="116"/>
      <c r="EO606" s="116"/>
      <c r="EQ606" s="116"/>
      <c r="ER606" s="116"/>
      <c r="ES606" s="116"/>
      <c r="ET606" s="116"/>
      <c r="EU606" s="116"/>
      <c r="EV606" s="116"/>
      <c r="EX606" s="116"/>
      <c r="EY606" s="116"/>
      <c r="EZ606" s="116"/>
      <c r="FA606" s="116"/>
      <c r="FB606" s="116"/>
    </row>
    <row r="607" spans="5:158" ht="13">
      <c r="E607" s="153"/>
      <c r="T607" s="153"/>
      <c r="BD607" s="31"/>
      <c r="BE607" s="31"/>
      <c r="BF607" s="31"/>
      <c r="BG607" s="31"/>
      <c r="BH607" s="31"/>
      <c r="BI607" s="116"/>
      <c r="BL607" s="196"/>
      <c r="BM607" s="239"/>
      <c r="BN607" s="330"/>
      <c r="BP607" s="330"/>
      <c r="BS607" s="116"/>
      <c r="BU607" s="331"/>
      <c r="BW607" s="116"/>
      <c r="BX607" s="116"/>
      <c r="BZ607" s="330"/>
      <c r="CB607" s="330"/>
      <c r="CC607" s="116"/>
      <c r="CG607" s="242"/>
      <c r="CH607" s="116"/>
      <c r="CI607" s="116"/>
      <c r="CJ607" s="116"/>
      <c r="CL607" s="116"/>
      <c r="CN607" s="239"/>
      <c r="CO607" s="153"/>
      <c r="DM607" s="116"/>
      <c r="DN607" s="116"/>
      <c r="DO607" s="116"/>
      <c r="DP607" s="116"/>
      <c r="DW607" s="116"/>
      <c r="DX607" s="219"/>
      <c r="DY607" s="219"/>
      <c r="DZ607" s="116"/>
      <c r="EA607" s="116"/>
      <c r="EB607" s="116"/>
      <c r="EC607" s="116"/>
      <c r="ED607" s="116"/>
      <c r="EF607" s="332"/>
      <c r="EG607" s="116"/>
      <c r="EH607" s="116"/>
      <c r="EI607" s="116"/>
      <c r="EJ607" s="116"/>
      <c r="EK607" s="116"/>
      <c r="EM607" s="116"/>
      <c r="EN607" s="116"/>
      <c r="EO607" s="116"/>
      <c r="EQ607" s="116"/>
      <c r="ER607" s="116"/>
      <c r="ES607" s="116"/>
      <c r="ET607" s="116"/>
      <c r="EU607" s="116"/>
      <c r="EV607" s="116"/>
      <c r="EX607" s="116"/>
      <c r="EY607" s="116"/>
      <c r="EZ607" s="116"/>
      <c r="FA607" s="116"/>
      <c r="FB607" s="116"/>
    </row>
    <row r="608" spans="5:158" ht="13">
      <c r="E608" s="153"/>
      <c r="T608" s="153"/>
      <c r="BD608" s="31"/>
      <c r="BE608" s="31"/>
      <c r="BF608" s="31"/>
      <c r="BG608" s="31"/>
      <c r="BH608" s="31"/>
      <c r="BI608" s="116"/>
      <c r="BL608" s="196"/>
      <c r="BM608" s="239"/>
      <c r="BN608" s="330"/>
      <c r="BP608" s="330"/>
      <c r="BS608" s="116"/>
      <c r="BU608" s="331"/>
      <c r="BW608" s="116"/>
      <c r="BX608" s="116"/>
      <c r="BZ608" s="330"/>
      <c r="CB608" s="330"/>
      <c r="CC608" s="116"/>
      <c r="CG608" s="242"/>
      <c r="CH608" s="116"/>
      <c r="CI608" s="116"/>
      <c r="CJ608" s="116"/>
      <c r="CL608" s="116"/>
      <c r="CN608" s="239"/>
      <c r="CO608" s="153"/>
      <c r="DM608" s="116"/>
      <c r="DN608" s="116"/>
      <c r="DO608" s="116"/>
      <c r="DP608" s="116"/>
      <c r="DW608" s="116"/>
      <c r="DX608" s="219"/>
      <c r="DY608" s="219"/>
      <c r="DZ608" s="116"/>
      <c r="EA608" s="116"/>
      <c r="EB608" s="116"/>
      <c r="EC608" s="116"/>
      <c r="ED608" s="116"/>
      <c r="EF608" s="332"/>
      <c r="EG608" s="116"/>
      <c r="EH608" s="116"/>
      <c r="EI608" s="116"/>
      <c r="EJ608" s="116"/>
      <c r="EK608" s="116"/>
      <c r="EM608" s="116"/>
      <c r="EN608" s="116"/>
      <c r="EO608" s="116"/>
      <c r="EQ608" s="116"/>
      <c r="ER608" s="116"/>
      <c r="ES608" s="116"/>
      <c r="ET608" s="116"/>
      <c r="EU608" s="116"/>
      <c r="EV608" s="116"/>
      <c r="EX608" s="116"/>
      <c r="EY608" s="116"/>
      <c r="EZ608" s="116"/>
      <c r="FA608" s="116"/>
      <c r="FB608" s="116"/>
    </row>
    <row r="609" spans="5:158" ht="13">
      <c r="E609" s="153"/>
      <c r="T609" s="153"/>
      <c r="BD609" s="31"/>
      <c r="BE609" s="31"/>
      <c r="BF609" s="31"/>
      <c r="BG609" s="31"/>
      <c r="BH609" s="31"/>
      <c r="BI609" s="116"/>
      <c r="BL609" s="196"/>
      <c r="BM609" s="239"/>
      <c r="BN609" s="330"/>
      <c r="BP609" s="330"/>
      <c r="BS609" s="116"/>
      <c r="BU609" s="331"/>
      <c r="BW609" s="116"/>
      <c r="BX609" s="116"/>
      <c r="BZ609" s="330"/>
      <c r="CB609" s="330"/>
      <c r="CC609" s="116"/>
      <c r="CG609" s="242"/>
      <c r="CH609" s="116"/>
      <c r="CI609" s="116"/>
      <c r="CJ609" s="116"/>
      <c r="CL609" s="116"/>
      <c r="CN609" s="239"/>
      <c r="CO609" s="153"/>
      <c r="DM609" s="116"/>
      <c r="DN609" s="116"/>
      <c r="DO609" s="116"/>
      <c r="DP609" s="116"/>
      <c r="DW609" s="116"/>
      <c r="DX609" s="219"/>
      <c r="DY609" s="219"/>
      <c r="DZ609" s="116"/>
      <c r="EA609" s="116"/>
      <c r="EB609" s="116"/>
      <c r="EC609" s="116"/>
      <c r="ED609" s="116"/>
      <c r="EF609" s="332"/>
      <c r="EG609" s="116"/>
      <c r="EH609" s="116"/>
      <c r="EI609" s="116"/>
      <c r="EJ609" s="116"/>
      <c r="EK609" s="116"/>
      <c r="EM609" s="116"/>
      <c r="EN609" s="116"/>
      <c r="EO609" s="116"/>
      <c r="EQ609" s="116"/>
      <c r="ER609" s="116"/>
      <c r="ES609" s="116"/>
      <c r="ET609" s="116"/>
      <c r="EU609" s="116"/>
      <c r="EV609" s="116"/>
      <c r="EX609" s="116"/>
      <c r="EY609" s="116"/>
      <c r="EZ609" s="116"/>
      <c r="FA609" s="116"/>
      <c r="FB609" s="116"/>
    </row>
    <row r="610" spans="5:158" ht="13">
      <c r="E610" s="153"/>
      <c r="T610" s="153"/>
      <c r="BD610" s="31"/>
      <c r="BE610" s="31"/>
      <c r="BF610" s="31"/>
      <c r="BG610" s="31"/>
      <c r="BH610" s="31"/>
      <c r="BI610" s="116"/>
      <c r="BL610" s="196"/>
      <c r="BM610" s="239"/>
      <c r="BN610" s="330"/>
      <c r="BP610" s="330"/>
      <c r="BS610" s="116"/>
      <c r="BU610" s="331"/>
      <c r="BW610" s="116"/>
      <c r="BX610" s="116"/>
      <c r="BZ610" s="330"/>
      <c r="CB610" s="330"/>
      <c r="CC610" s="116"/>
      <c r="CG610" s="242"/>
      <c r="CH610" s="116"/>
      <c r="CI610" s="116"/>
      <c r="CJ610" s="116"/>
      <c r="CL610" s="116"/>
      <c r="CN610" s="239"/>
      <c r="CO610" s="153"/>
      <c r="DM610" s="116"/>
      <c r="DN610" s="116"/>
      <c r="DO610" s="116"/>
      <c r="DP610" s="116"/>
      <c r="DW610" s="116"/>
      <c r="DX610" s="219"/>
      <c r="DY610" s="219"/>
      <c r="DZ610" s="116"/>
      <c r="EA610" s="116"/>
      <c r="EB610" s="116"/>
      <c r="EC610" s="116"/>
      <c r="ED610" s="116"/>
      <c r="EF610" s="332"/>
      <c r="EG610" s="116"/>
      <c r="EH610" s="116"/>
      <c r="EI610" s="116"/>
      <c r="EJ610" s="116"/>
      <c r="EK610" s="116"/>
      <c r="EM610" s="116"/>
      <c r="EN610" s="116"/>
      <c r="EO610" s="116"/>
      <c r="EQ610" s="116"/>
      <c r="ER610" s="116"/>
      <c r="ES610" s="116"/>
      <c r="ET610" s="116"/>
      <c r="EU610" s="116"/>
      <c r="EV610" s="116"/>
      <c r="EX610" s="116"/>
      <c r="EY610" s="116"/>
      <c r="EZ610" s="116"/>
      <c r="FA610" s="116"/>
      <c r="FB610" s="116"/>
    </row>
    <row r="611" spans="5:158" ht="13">
      <c r="E611" s="153"/>
      <c r="T611" s="153"/>
      <c r="BD611" s="31"/>
      <c r="BE611" s="31"/>
      <c r="BF611" s="31"/>
      <c r="BG611" s="31"/>
      <c r="BH611" s="31"/>
      <c r="BI611" s="116"/>
      <c r="BL611" s="196"/>
      <c r="BM611" s="239"/>
      <c r="BN611" s="330"/>
      <c r="BP611" s="330"/>
      <c r="BS611" s="116"/>
      <c r="BU611" s="331"/>
      <c r="BW611" s="116"/>
      <c r="BX611" s="116"/>
      <c r="BZ611" s="330"/>
      <c r="CB611" s="330"/>
      <c r="CC611" s="116"/>
      <c r="CG611" s="242"/>
      <c r="CH611" s="116"/>
      <c r="CI611" s="116"/>
      <c r="CJ611" s="116"/>
      <c r="CL611" s="116"/>
      <c r="CN611" s="239"/>
      <c r="CO611" s="153"/>
      <c r="DM611" s="116"/>
      <c r="DN611" s="116"/>
      <c r="DO611" s="116"/>
      <c r="DP611" s="116"/>
      <c r="DW611" s="116"/>
      <c r="DX611" s="219"/>
      <c r="DY611" s="219"/>
      <c r="DZ611" s="116"/>
      <c r="EA611" s="116"/>
      <c r="EB611" s="116"/>
      <c r="EC611" s="116"/>
      <c r="ED611" s="116"/>
      <c r="EF611" s="332"/>
      <c r="EG611" s="116"/>
      <c r="EH611" s="116"/>
      <c r="EI611" s="116"/>
      <c r="EJ611" s="116"/>
      <c r="EK611" s="116"/>
      <c r="EM611" s="116"/>
      <c r="EN611" s="116"/>
      <c r="EO611" s="116"/>
      <c r="EQ611" s="116"/>
      <c r="ER611" s="116"/>
      <c r="ES611" s="116"/>
      <c r="ET611" s="116"/>
      <c r="EU611" s="116"/>
      <c r="EV611" s="116"/>
      <c r="EX611" s="116"/>
      <c r="EY611" s="116"/>
      <c r="EZ611" s="116"/>
      <c r="FA611" s="116"/>
      <c r="FB611" s="116"/>
    </row>
    <row r="612" spans="5:158" ht="13">
      <c r="E612" s="153"/>
      <c r="T612" s="153"/>
      <c r="BD612" s="31"/>
      <c r="BE612" s="31"/>
      <c r="BF612" s="31"/>
      <c r="BG612" s="31"/>
      <c r="BH612" s="31"/>
      <c r="BI612" s="116"/>
      <c r="BL612" s="196"/>
      <c r="BM612" s="239"/>
      <c r="BN612" s="330"/>
      <c r="BP612" s="330"/>
      <c r="BS612" s="116"/>
      <c r="BU612" s="331"/>
      <c r="BW612" s="116"/>
      <c r="BX612" s="116"/>
      <c r="BZ612" s="330"/>
      <c r="CB612" s="330"/>
      <c r="CC612" s="116"/>
      <c r="CG612" s="242"/>
      <c r="CH612" s="116"/>
      <c r="CI612" s="116"/>
      <c r="CJ612" s="116"/>
      <c r="CL612" s="116"/>
      <c r="CN612" s="239"/>
      <c r="CO612" s="153"/>
      <c r="DM612" s="116"/>
      <c r="DN612" s="116"/>
      <c r="DO612" s="116"/>
      <c r="DP612" s="116"/>
      <c r="DW612" s="116"/>
      <c r="DX612" s="219"/>
      <c r="DY612" s="219"/>
      <c r="DZ612" s="116"/>
      <c r="EA612" s="116"/>
      <c r="EB612" s="116"/>
      <c r="EC612" s="116"/>
      <c r="ED612" s="116"/>
      <c r="EF612" s="332"/>
      <c r="EG612" s="116"/>
      <c r="EH612" s="116"/>
      <c r="EI612" s="116"/>
      <c r="EJ612" s="116"/>
      <c r="EK612" s="116"/>
      <c r="EM612" s="116"/>
      <c r="EN612" s="116"/>
      <c r="EO612" s="116"/>
      <c r="EQ612" s="116"/>
      <c r="ER612" s="116"/>
      <c r="ES612" s="116"/>
      <c r="ET612" s="116"/>
      <c r="EU612" s="116"/>
      <c r="EV612" s="116"/>
      <c r="EX612" s="116"/>
      <c r="EY612" s="116"/>
      <c r="EZ612" s="116"/>
      <c r="FA612" s="116"/>
      <c r="FB612" s="116"/>
    </row>
    <row r="613" spans="5:158" ht="13">
      <c r="E613" s="153"/>
      <c r="T613" s="153"/>
      <c r="BD613" s="31"/>
      <c r="BE613" s="31"/>
      <c r="BF613" s="31"/>
      <c r="BG613" s="31"/>
      <c r="BH613" s="31"/>
      <c r="BI613" s="116"/>
      <c r="BL613" s="196"/>
      <c r="BM613" s="239"/>
      <c r="BN613" s="330"/>
      <c r="BP613" s="330"/>
      <c r="BS613" s="116"/>
      <c r="BU613" s="331"/>
      <c r="BW613" s="116"/>
      <c r="BX613" s="116"/>
      <c r="BZ613" s="330"/>
      <c r="CB613" s="330"/>
      <c r="CC613" s="116"/>
      <c r="CG613" s="242"/>
      <c r="CH613" s="116"/>
      <c r="CI613" s="116"/>
      <c r="CJ613" s="116"/>
      <c r="CL613" s="116"/>
      <c r="CN613" s="239"/>
      <c r="CO613" s="153"/>
      <c r="DM613" s="116"/>
      <c r="DN613" s="116"/>
      <c r="DO613" s="116"/>
      <c r="DP613" s="116"/>
      <c r="DW613" s="116"/>
      <c r="DX613" s="219"/>
      <c r="DY613" s="219"/>
      <c r="DZ613" s="116"/>
      <c r="EA613" s="116"/>
      <c r="EB613" s="116"/>
      <c r="EC613" s="116"/>
      <c r="ED613" s="116"/>
      <c r="EF613" s="332"/>
      <c r="EG613" s="116"/>
      <c r="EH613" s="116"/>
      <c r="EI613" s="116"/>
      <c r="EJ613" s="116"/>
      <c r="EK613" s="116"/>
      <c r="EM613" s="116"/>
      <c r="EN613" s="116"/>
      <c r="EO613" s="116"/>
      <c r="EQ613" s="116"/>
      <c r="ER613" s="116"/>
      <c r="ES613" s="116"/>
      <c r="ET613" s="116"/>
      <c r="EU613" s="116"/>
      <c r="EV613" s="116"/>
      <c r="EX613" s="116"/>
      <c r="EY613" s="116"/>
      <c r="EZ613" s="116"/>
      <c r="FA613" s="116"/>
      <c r="FB613" s="116"/>
    </row>
    <row r="614" spans="5:158" ht="13">
      <c r="E614" s="153"/>
      <c r="T614" s="153"/>
      <c r="BD614" s="31"/>
      <c r="BE614" s="31"/>
      <c r="BF614" s="31"/>
      <c r="BG614" s="31"/>
      <c r="BH614" s="31"/>
      <c r="BI614" s="116"/>
      <c r="BL614" s="196"/>
      <c r="BM614" s="239"/>
      <c r="BN614" s="330"/>
      <c r="BP614" s="330"/>
      <c r="BS614" s="116"/>
      <c r="BU614" s="331"/>
      <c r="BW614" s="116"/>
      <c r="BX614" s="116"/>
      <c r="BZ614" s="330"/>
      <c r="CB614" s="330"/>
      <c r="CC614" s="116"/>
      <c r="CG614" s="242"/>
      <c r="CH614" s="116"/>
      <c r="CI614" s="116"/>
      <c r="CJ614" s="116"/>
      <c r="CL614" s="116"/>
      <c r="CN614" s="239"/>
      <c r="CO614" s="153"/>
      <c r="DM614" s="116"/>
      <c r="DN614" s="116"/>
      <c r="DO614" s="116"/>
      <c r="DP614" s="116"/>
      <c r="DW614" s="116"/>
      <c r="DX614" s="219"/>
      <c r="DY614" s="219"/>
      <c r="DZ614" s="116"/>
      <c r="EA614" s="116"/>
      <c r="EB614" s="116"/>
      <c r="EC614" s="116"/>
      <c r="ED614" s="116"/>
      <c r="EF614" s="332"/>
      <c r="EG614" s="116"/>
      <c r="EH614" s="116"/>
      <c r="EI614" s="116"/>
      <c r="EJ614" s="116"/>
      <c r="EK614" s="116"/>
      <c r="EM614" s="116"/>
      <c r="EN614" s="116"/>
      <c r="EO614" s="116"/>
      <c r="EQ614" s="116"/>
      <c r="ER614" s="116"/>
      <c r="ES614" s="116"/>
      <c r="ET614" s="116"/>
      <c r="EU614" s="116"/>
      <c r="EV614" s="116"/>
      <c r="EX614" s="116"/>
      <c r="EY614" s="116"/>
      <c r="EZ614" s="116"/>
      <c r="FA614" s="116"/>
      <c r="FB614" s="116"/>
    </row>
    <row r="615" spans="5:158" ht="13">
      <c r="E615" s="153"/>
      <c r="T615" s="153"/>
      <c r="BD615" s="31"/>
      <c r="BE615" s="31"/>
      <c r="BF615" s="31"/>
      <c r="BG615" s="31"/>
      <c r="BH615" s="31"/>
      <c r="BI615" s="116"/>
      <c r="BL615" s="196"/>
      <c r="BM615" s="239"/>
      <c r="BN615" s="330"/>
      <c r="BP615" s="330"/>
      <c r="BS615" s="116"/>
      <c r="BU615" s="331"/>
      <c r="BW615" s="116"/>
      <c r="BX615" s="116"/>
      <c r="BZ615" s="330"/>
      <c r="CB615" s="330"/>
      <c r="CC615" s="116"/>
      <c r="CG615" s="242"/>
      <c r="CH615" s="116"/>
      <c r="CI615" s="116"/>
      <c r="CJ615" s="116"/>
      <c r="CL615" s="116"/>
      <c r="CN615" s="239"/>
      <c r="CO615" s="153"/>
      <c r="DM615" s="116"/>
      <c r="DN615" s="116"/>
      <c r="DO615" s="116"/>
      <c r="DP615" s="116"/>
      <c r="DW615" s="116"/>
      <c r="DX615" s="219"/>
      <c r="DY615" s="219"/>
      <c r="DZ615" s="116"/>
      <c r="EA615" s="116"/>
      <c r="EB615" s="116"/>
      <c r="EC615" s="116"/>
      <c r="ED615" s="116"/>
      <c r="EF615" s="332"/>
      <c r="EG615" s="116"/>
      <c r="EH615" s="116"/>
      <c r="EI615" s="116"/>
      <c r="EJ615" s="116"/>
      <c r="EK615" s="116"/>
      <c r="EM615" s="116"/>
      <c r="EN615" s="116"/>
      <c r="EO615" s="116"/>
      <c r="EQ615" s="116"/>
      <c r="ER615" s="116"/>
      <c r="ES615" s="116"/>
      <c r="ET615" s="116"/>
      <c r="EU615" s="116"/>
      <c r="EV615" s="116"/>
      <c r="EX615" s="116"/>
      <c r="EY615" s="116"/>
      <c r="EZ615" s="116"/>
      <c r="FA615" s="116"/>
      <c r="FB615" s="116"/>
    </row>
    <row r="616" spans="5:158" ht="13">
      <c r="E616" s="153"/>
      <c r="T616" s="153"/>
      <c r="BD616" s="31"/>
      <c r="BE616" s="31"/>
      <c r="BF616" s="31"/>
      <c r="BG616" s="31"/>
      <c r="BH616" s="31"/>
      <c r="BI616" s="116"/>
      <c r="BL616" s="196"/>
      <c r="BM616" s="239"/>
      <c r="BN616" s="330"/>
      <c r="BP616" s="330"/>
      <c r="BS616" s="116"/>
      <c r="BU616" s="331"/>
      <c r="BW616" s="116"/>
      <c r="BX616" s="116"/>
      <c r="BZ616" s="330"/>
      <c r="CB616" s="330"/>
      <c r="CC616" s="116"/>
      <c r="CG616" s="242"/>
      <c r="CH616" s="116"/>
      <c r="CI616" s="116"/>
      <c r="CJ616" s="116"/>
      <c r="CL616" s="116"/>
      <c r="CN616" s="239"/>
      <c r="CO616" s="153"/>
      <c r="DM616" s="116"/>
      <c r="DN616" s="116"/>
      <c r="DO616" s="116"/>
      <c r="DP616" s="116"/>
      <c r="DW616" s="116"/>
      <c r="DX616" s="219"/>
      <c r="DY616" s="219"/>
      <c r="DZ616" s="116"/>
      <c r="EA616" s="116"/>
      <c r="EB616" s="116"/>
      <c r="EC616" s="116"/>
      <c r="ED616" s="116"/>
      <c r="EF616" s="332"/>
      <c r="EG616" s="116"/>
      <c r="EH616" s="116"/>
      <c r="EI616" s="116"/>
      <c r="EJ616" s="116"/>
      <c r="EK616" s="116"/>
      <c r="EM616" s="116"/>
      <c r="EN616" s="116"/>
      <c r="EO616" s="116"/>
      <c r="EQ616" s="116"/>
      <c r="ER616" s="116"/>
      <c r="ES616" s="116"/>
      <c r="ET616" s="116"/>
      <c r="EU616" s="116"/>
      <c r="EV616" s="116"/>
      <c r="EX616" s="116"/>
      <c r="EY616" s="116"/>
      <c r="EZ616" s="116"/>
      <c r="FA616" s="116"/>
      <c r="FB616" s="116"/>
    </row>
    <row r="617" spans="5:158" ht="13">
      <c r="E617" s="153"/>
      <c r="T617" s="153"/>
      <c r="BD617" s="31"/>
      <c r="BE617" s="31"/>
      <c r="BF617" s="31"/>
      <c r="BG617" s="31"/>
      <c r="BH617" s="31"/>
      <c r="BI617" s="116"/>
      <c r="BL617" s="196"/>
      <c r="BM617" s="239"/>
      <c r="BN617" s="330"/>
      <c r="BP617" s="330"/>
      <c r="BS617" s="116"/>
      <c r="BU617" s="331"/>
      <c r="BW617" s="116"/>
      <c r="BX617" s="116"/>
      <c r="BZ617" s="330"/>
      <c r="CB617" s="330"/>
      <c r="CC617" s="116"/>
      <c r="CG617" s="242"/>
      <c r="CH617" s="116"/>
      <c r="CI617" s="116"/>
      <c r="CJ617" s="116"/>
      <c r="CL617" s="116"/>
      <c r="CN617" s="239"/>
      <c r="CO617" s="153"/>
      <c r="DM617" s="116"/>
      <c r="DN617" s="116"/>
      <c r="DO617" s="116"/>
      <c r="DP617" s="116"/>
      <c r="DW617" s="116"/>
      <c r="DX617" s="219"/>
      <c r="DY617" s="219"/>
      <c r="DZ617" s="116"/>
      <c r="EA617" s="116"/>
      <c r="EB617" s="116"/>
      <c r="EC617" s="116"/>
      <c r="ED617" s="116"/>
      <c r="EF617" s="332"/>
      <c r="EG617" s="116"/>
      <c r="EH617" s="116"/>
      <c r="EI617" s="116"/>
      <c r="EJ617" s="116"/>
      <c r="EK617" s="116"/>
      <c r="EM617" s="116"/>
      <c r="EN617" s="116"/>
      <c r="EO617" s="116"/>
      <c r="EQ617" s="116"/>
      <c r="ER617" s="116"/>
      <c r="ES617" s="116"/>
      <c r="ET617" s="116"/>
      <c r="EU617" s="116"/>
      <c r="EV617" s="116"/>
      <c r="EX617" s="116"/>
      <c r="EY617" s="116"/>
      <c r="EZ617" s="116"/>
      <c r="FA617" s="116"/>
      <c r="FB617" s="116"/>
    </row>
    <row r="618" spans="5:158" ht="13">
      <c r="E618" s="153"/>
      <c r="T618" s="153"/>
      <c r="BD618" s="31"/>
      <c r="BE618" s="31"/>
      <c r="BF618" s="31"/>
      <c r="BG618" s="31"/>
      <c r="BH618" s="31"/>
      <c r="BI618" s="116"/>
      <c r="BL618" s="196"/>
      <c r="BM618" s="239"/>
      <c r="BN618" s="330"/>
      <c r="BP618" s="330"/>
      <c r="BS618" s="116"/>
      <c r="BU618" s="331"/>
      <c r="BW618" s="116"/>
      <c r="BX618" s="116"/>
      <c r="BZ618" s="330"/>
      <c r="CB618" s="330"/>
      <c r="CC618" s="116"/>
      <c r="CG618" s="242"/>
      <c r="CH618" s="116"/>
      <c r="CI618" s="116"/>
      <c r="CJ618" s="116"/>
      <c r="CL618" s="116"/>
      <c r="CN618" s="239"/>
      <c r="CO618" s="153"/>
      <c r="DM618" s="116"/>
      <c r="DN618" s="116"/>
      <c r="DO618" s="116"/>
      <c r="DP618" s="116"/>
      <c r="DW618" s="116"/>
      <c r="DX618" s="219"/>
      <c r="DY618" s="219"/>
      <c r="DZ618" s="116"/>
      <c r="EA618" s="116"/>
      <c r="EB618" s="116"/>
      <c r="EC618" s="116"/>
      <c r="ED618" s="116"/>
      <c r="EF618" s="332"/>
      <c r="EG618" s="116"/>
      <c r="EH618" s="116"/>
      <c r="EI618" s="116"/>
      <c r="EJ618" s="116"/>
      <c r="EK618" s="116"/>
      <c r="EM618" s="116"/>
      <c r="EN618" s="116"/>
      <c r="EO618" s="116"/>
      <c r="EQ618" s="116"/>
      <c r="ER618" s="116"/>
      <c r="ES618" s="116"/>
      <c r="ET618" s="116"/>
      <c r="EU618" s="116"/>
      <c r="EV618" s="116"/>
      <c r="EX618" s="116"/>
      <c r="EY618" s="116"/>
      <c r="EZ618" s="116"/>
      <c r="FA618" s="116"/>
      <c r="FB618" s="116"/>
    </row>
    <row r="619" spans="5:158" ht="13">
      <c r="E619" s="153"/>
      <c r="T619" s="153"/>
      <c r="BD619" s="31"/>
      <c r="BE619" s="31"/>
      <c r="BF619" s="31"/>
      <c r="BG619" s="31"/>
      <c r="BH619" s="31"/>
      <c r="BI619" s="116"/>
      <c r="BL619" s="196"/>
      <c r="BM619" s="239"/>
      <c r="BN619" s="330"/>
      <c r="BP619" s="330"/>
      <c r="BS619" s="116"/>
      <c r="BU619" s="331"/>
      <c r="BW619" s="116"/>
      <c r="BX619" s="116"/>
      <c r="BZ619" s="330"/>
      <c r="CB619" s="330"/>
      <c r="CC619" s="116"/>
      <c r="CG619" s="242"/>
      <c r="CH619" s="116"/>
      <c r="CI619" s="116"/>
      <c r="CJ619" s="116"/>
      <c r="CL619" s="116"/>
      <c r="CN619" s="239"/>
      <c r="CO619" s="153"/>
      <c r="DM619" s="116"/>
      <c r="DN619" s="116"/>
      <c r="DO619" s="116"/>
      <c r="DP619" s="116"/>
      <c r="DW619" s="116"/>
      <c r="DX619" s="219"/>
      <c r="DY619" s="219"/>
      <c r="DZ619" s="116"/>
      <c r="EA619" s="116"/>
      <c r="EB619" s="116"/>
      <c r="EC619" s="116"/>
      <c r="ED619" s="116"/>
      <c r="EF619" s="332"/>
      <c r="EG619" s="116"/>
      <c r="EH619" s="116"/>
      <c r="EI619" s="116"/>
      <c r="EJ619" s="116"/>
      <c r="EK619" s="116"/>
      <c r="EM619" s="116"/>
      <c r="EN619" s="116"/>
      <c r="EO619" s="116"/>
      <c r="EQ619" s="116"/>
      <c r="ER619" s="116"/>
      <c r="ES619" s="116"/>
      <c r="ET619" s="116"/>
      <c r="EU619" s="116"/>
      <c r="EV619" s="116"/>
      <c r="EX619" s="116"/>
      <c r="EY619" s="116"/>
      <c r="EZ619" s="116"/>
      <c r="FA619" s="116"/>
      <c r="FB619" s="116"/>
    </row>
    <row r="620" spans="5:158" ht="13">
      <c r="E620" s="153"/>
      <c r="T620" s="153"/>
      <c r="BD620" s="31"/>
      <c r="BE620" s="31"/>
      <c r="BF620" s="31"/>
      <c r="BG620" s="31"/>
      <c r="BH620" s="31"/>
      <c r="BI620" s="116"/>
      <c r="BL620" s="196"/>
      <c r="BM620" s="239"/>
      <c r="BN620" s="330"/>
      <c r="BP620" s="330"/>
      <c r="BS620" s="116"/>
      <c r="BU620" s="331"/>
      <c r="BW620" s="116"/>
      <c r="BX620" s="116"/>
      <c r="BZ620" s="330"/>
      <c r="CB620" s="330"/>
      <c r="CC620" s="116"/>
      <c r="CG620" s="242"/>
      <c r="CH620" s="116"/>
      <c r="CI620" s="116"/>
      <c r="CJ620" s="116"/>
      <c r="CL620" s="116"/>
      <c r="CN620" s="239"/>
      <c r="CO620" s="153"/>
      <c r="DM620" s="116"/>
      <c r="DN620" s="116"/>
      <c r="DO620" s="116"/>
      <c r="DP620" s="116"/>
      <c r="DW620" s="116"/>
      <c r="DX620" s="219"/>
      <c r="DY620" s="219"/>
      <c r="DZ620" s="116"/>
      <c r="EA620" s="116"/>
      <c r="EB620" s="116"/>
      <c r="EC620" s="116"/>
      <c r="ED620" s="116"/>
      <c r="EF620" s="332"/>
      <c r="EG620" s="116"/>
      <c r="EH620" s="116"/>
      <c r="EI620" s="116"/>
      <c r="EJ620" s="116"/>
      <c r="EK620" s="116"/>
      <c r="EM620" s="116"/>
      <c r="EN620" s="116"/>
      <c r="EO620" s="116"/>
      <c r="EQ620" s="116"/>
      <c r="ER620" s="116"/>
      <c r="ES620" s="116"/>
      <c r="ET620" s="116"/>
      <c r="EU620" s="116"/>
      <c r="EV620" s="116"/>
      <c r="EX620" s="116"/>
      <c r="EY620" s="116"/>
      <c r="EZ620" s="116"/>
      <c r="FA620" s="116"/>
      <c r="FB620" s="116"/>
    </row>
    <row r="621" spans="5:158" ht="13">
      <c r="E621" s="153"/>
      <c r="T621" s="153"/>
      <c r="BD621" s="31"/>
      <c r="BE621" s="31"/>
      <c r="BF621" s="31"/>
      <c r="BG621" s="31"/>
      <c r="BH621" s="31"/>
      <c r="BI621" s="116"/>
      <c r="BL621" s="196"/>
      <c r="BM621" s="239"/>
      <c r="BN621" s="330"/>
      <c r="BP621" s="330"/>
      <c r="BS621" s="116"/>
      <c r="BU621" s="331"/>
      <c r="BW621" s="116"/>
      <c r="BX621" s="116"/>
      <c r="BZ621" s="330"/>
      <c r="CB621" s="330"/>
      <c r="CC621" s="116"/>
      <c r="CG621" s="242"/>
      <c r="CH621" s="116"/>
      <c r="CI621" s="116"/>
      <c r="CJ621" s="116"/>
      <c r="CL621" s="116"/>
      <c r="CN621" s="239"/>
      <c r="CO621" s="153"/>
      <c r="DM621" s="116"/>
      <c r="DN621" s="116"/>
      <c r="DO621" s="116"/>
      <c r="DP621" s="116"/>
      <c r="DW621" s="116"/>
      <c r="DX621" s="219"/>
      <c r="DY621" s="219"/>
      <c r="DZ621" s="116"/>
      <c r="EA621" s="116"/>
      <c r="EB621" s="116"/>
      <c r="EC621" s="116"/>
      <c r="ED621" s="116"/>
      <c r="EF621" s="332"/>
      <c r="EG621" s="116"/>
      <c r="EH621" s="116"/>
      <c r="EI621" s="116"/>
      <c r="EJ621" s="116"/>
      <c r="EK621" s="116"/>
      <c r="EM621" s="116"/>
      <c r="EN621" s="116"/>
      <c r="EO621" s="116"/>
      <c r="EQ621" s="116"/>
      <c r="ER621" s="116"/>
      <c r="ES621" s="116"/>
      <c r="ET621" s="116"/>
      <c r="EU621" s="116"/>
      <c r="EV621" s="116"/>
      <c r="EX621" s="116"/>
      <c r="EY621" s="116"/>
      <c r="EZ621" s="116"/>
      <c r="FA621" s="116"/>
      <c r="FB621" s="116"/>
    </row>
    <row r="622" spans="5:158" ht="13">
      <c r="E622" s="153"/>
      <c r="T622" s="153"/>
      <c r="BD622" s="31"/>
      <c r="BE622" s="31"/>
      <c r="BF622" s="31"/>
      <c r="BG622" s="31"/>
      <c r="BH622" s="31"/>
      <c r="BI622" s="116"/>
      <c r="BL622" s="196"/>
      <c r="BM622" s="239"/>
      <c r="BN622" s="330"/>
      <c r="BP622" s="330"/>
      <c r="BS622" s="116"/>
      <c r="BU622" s="331"/>
      <c r="BW622" s="116"/>
      <c r="BX622" s="116"/>
      <c r="BZ622" s="330"/>
      <c r="CB622" s="330"/>
      <c r="CC622" s="116"/>
      <c r="CG622" s="242"/>
      <c r="CH622" s="116"/>
      <c r="CI622" s="116"/>
      <c r="CJ622" s="116"/>
      <c r="CL622" s="116"/>
      <c r="CN622" s="239"/>
      <c r="CO622" s="153"/>
      <c r="DM622" s="116"/>
      <c r="DN622" s="116"/>
      <c r="DO622" s="116"/>
      <c r="DP622" s="116"/>
      <c r="DW622" s="116"/>
      <c r="DX622" s="219"/>
      <c r="DY622" s="219"/>
      <c r="DZ622" s="116"/>
      <c r="EA622" s="116"/>
      <c r="EB622" s="116"/>
      <c r="EC622" s="116"/>
      <c r="ED622" s="116"/>
      <c r="EF622" s="332"/>
      <c r="EG622" s="116"/>
      <c r="EH622" s="116"/>
      <c r="EI622" s="116"/>
      <c r="EJ622" s="116"/>
      <c r="EK622" s="116"/>
      <c r="EM622" s="116"/>
      <c r="EN622" s="116"/>
      <c r="EO622" s="116"/>
      <c r="EQ622" s="116"/>
      <c r="ER622" s="116"/>
      <c r="ES622" s="116"/>
      <c r="ET622" s="116"/>
      <c r="EU622" s="116"/>
      <c r="EV622" s="116"/>
      <c r="EX622" s="116"/>
      <c r="EY622" s="116"/>
      <c r="EZ622" s="116"/>
      <c r="FA622" s="116"/>
      <c r="FB622" s="116"/>
    </row>
    <row r="623" spans="5:158" ht="13">
      <c r="E623" s="153"/>
      <c r="T623" s="153"/>
      <c r="BD623" s="31"/>
      <c r="BE623" s="31"/>
      <c r="BF623" s="31"/>
      <c r="BG623" s="31"/>
      <c r="BH623" s="31"/>
      <c r="BI623" s="116"/>
      <c r="BL623" s="196"/>
      <c r="BM623" s="239"/>
      <c r="BN623" s="330"/>
      <c r="BP623" s="330"/>
      <c r="BS623" s="116"/>
      <c r="BU623" s="331"/>
      <c r="BW623" s="116"/>
      <c r="BX623" s="116"/>
      <c r="BZ623" s="330"/>
      <c r="CB623" s="330"/>
      <c r="CC623" s="116"/>
      <c r="CG623" s="242"/>
      <c r="CH623" s="116"/>
      <c r="CI623" s="116"/>
      <c r="CJ623" s="116"/>
      <c r="CL623" s="116"/>
      <c r="CN623" s="239"/>
      <c r="CO623" s="153"/>
      <c r="DM623" s="116"/>
      <c r="DN623" s="116"/>
      <c r="DO623" s="116"/>
      <c r="DP623" s="116"/>
      <c r="DW623" s="116"/>
      <c r="DX623" s="219"/>
      <c r="DY623" s="219"/>
      <c r="DZ623" s="116"/>
      <c r="EA623" s="116"/>
      <c r="EB623" s="116"/>
      <c r="EC623" s="116"/>
      <c r="ED623" s="116"/>
      <c r="EF623" s="332"/>
      <c r="EG623" s="116"/>
      <c r="EH623" s="116"/>
      <c r="EI623" s="116"/>
      <c r="EJ623" s="116"/>
      <c r="EK623" s="116"/>
      <c r="EM623" s="116"/>
      <c r="EN623" s="116"/>
      <c r="EO623" s="116"/>
      <c r="EQ623" s="116"/>
      <c r="ER623" s="116"/>
      <c r="ES623" s="116"/>
      <c r="ET623" s="116"/>
      <c r="EU623" s="116"/>
      <c r="EV623" s="116"/>
      <c r="EX623" s="116"/>
      <c r="EY623" s="116"/>
      <c r="EZ623" s="116"/>
      <c r="FA623" s="116"/>
      <c r="FB623" s="116"/>
    </row>
    <row r="624" spans="5:158" ht="13">
      <c r="E624" s="153"/>
      <c r="T624" s="153"/>
      <c r="BD624" s="31"/>
      <c r="BE624" s="31"/>
      <c r="BF624" s="31"/>
      <c r="BG624" s="31"/>
      <c r="BH624" s="31"/>
      <c r="BI624" s="116"/>
      <c r="BL624" s="196"/>
      <c r="BM624" s="239"/>
      <c r="BN624" s="330"/>
      <c r="BP624" s="330"/>
      <c r="BS624" s="116"/>
      <c r="BU624" s="331"/>
      <c r="BW624" s="116"/>
      <c r="BX624" s="116"/>
      <c r="BZ624" s="330"/>
      <c r="CB624" s="330"/>
      <c r="CC624" s="116"/>
      <c r="CG624" s="242"/>
      <c r="CH624" s="116"/>
      <c r="CI624" s="116"/>
      <c r="CJ624" s="116"/>
      <c r="CL624" s="116"/>
      <c r="CN624" s="239"/>
      <c r="CO624" s="153"/>
      <c r="DM624" s="116"/>
      <c r="DN624" s="116"/>
      <c r="DO624" s="116"/>
      <c r="DP624" s="116"/>
      <c r="DW624" s="116"/>
      <c r="DX624" s="219"/>
      <c r="DY624" s="219"/>
      <c r="DZ624" s="116"/>
      <c r="EA624" s="116"/>
      <c r="EB624" s="116"/>
      <c r="EC624" s="116"/>
      <c r="ED624" s="116"/>
      <c r="EF624" s="332"/>
      <c r="EG624" s="116"/>
      <c r="EH624" s="116"/>
      <c r="EI624" s="116"/>
      <c r="EJ624" s="116"/>
      <c r="EK624" s="116"/>
      <c r="EM624" s="116"/>
      <c r="EN624" s="116"/>
      <c r="EO624" s="116"/>
      <c r="EQ624" s="116"/>
      <c r="ER624" s="116"/>
      <c r="ES624" s="116"/>
      <c r="ET624" s="116"/>
      <c r="EU624" s="116"/>
      <c r="EV624" s="116"/>
      <c r="EX624" s="116"/>
      <c r="EY624" s="116"/>
      <c r="EZ624" s="116"/>
      <c r="FA624" s="116"/>
      <c r="FB624" s="116"/>
    </row>
    <row r="625" spans="5:158" ht="13">
      <c r="E625" s="153"/>
      <c r="T625" s="153"/>
      <c r="BD625" s="31"/>
      <c r="BE625" s="31"/>
      <c r="BF625" s="31"/>
      <c r="BG625" s="31"/>
      <c r="BH625" s="31"/>
      <c r="BI625" s="116"/>
      <c r="BL625" s="196"/>
      <c r="BM625" s="239"/>
      <c r="BN625" s="330"/>
      <c r="BP625" s="330"/>
      <c r="BS625" s="116"/>
      <c r="BU625" s="331"/>
      <c r="BW625" s="116"/>
      <c r="BX625" s="116"/>
      <c r="BZ625" s="330"/>
      <c r="CB625" s="330"/>
      <c r="CC625" s="116"/>
      <c r="CG625" s="242"/>
      <c r="CH625" s="116"/>
      <c r="CI625" s="116"/>
      <c r="CJ625" s="116"/>
      <c r="CL625" s="116"/>
      <c r="CN625" s="239"/>
      <c r="CO625" s="153"/>
      <c r="DM625" s="116"/>
      <c r="DN625" s="116"/>
      <c r="DO625" s="116"/>
      <c r="DP625" s="116"/>
      <c r="DW625" s="116"/>
      <c r="DX625" s="219"/>
      <c r="DY625" s="219"/>
      <c r="DZ625" s="116"/>
      <c r="EA625" s="116"/>
      <c r="EB625" s="116"/>
      <c r="EC625" s="116"/>
      <c r="ED625" s="116"/>
      <c r="EF625" s="332"/>
      <c r="EG625" s="116"/>
      <c r="EH625" s="116"/>
      <c r="EI625" s="116"/>
      <c r="EJ625" s="116"/>
      <c r="EK625" s="116"/>
      <c r="EM625" s="116"/>
      <c r="EN625" s="116"/>
      <c r="EO625" s="116"/>
      <c r="EQ625" s="116"/>
      <c r="ER625" s="116"/>
      <c r="ES625" s="116"/>
      <c r="ET625" s="116"/>
      <c r="EU625" s="116"/>
      <c r="EV625" s="116"/>
      <c r="EX625" s="116"/>
      <c r="EY625" s="116"/>
      <c r="EZ625" s="116"/>
      <c r="FA625" s="116"/>
      <c r="FB625" s="116"/>
    </row>
    <row r="626" spans="5:158" ht="13">
      <c r="E626" s="153"/>
      <c r="T626" s="153"/>
      <c r="BD626" s="31"/>
      <c r="BE626" s="31"/>
      <c r="BF626" s="31"/>
      <c r="BG626" s="31"/>
      <c r="BH626" s="31"/>
      <c r="BI626" s="116"/>
      <c r="BL626" s="196"/>
      <c r="BM626" s="239"/>
      <c r="BN626" s="330"/>
      <c r="BP626" s="330"/>
      <c r="BS626" s="116"/>
      <c r="BU626" s="331"/>
      <c r="BW626" s="116"/>
      <c r="BX626" s="116"/>
      <c r="BZ626" s="330"/>
      <c r="CB626" s="330"/>
      <c r="CC626" s="116"/>
      <c r="CG626" s="242"/>
      <c r="CH626" s="116"/>
      <c r="CI626" s="116"/>
      <c r="CJ626" s="116"/>
      <c r="CL626" s="116"/>
      <c r="CN626" s="239"/>
      <c r="CO626" s="153"/>
      <c r="DM626" s="116"/>
      <c r="DN626" s="116"/>
      <c r="DO626" s="116"/>
      <c r="DP626" s="116"/>
      <c r="DW626" s="116"/>
      <c r="DX626" s="219"/>
      <c r="DY626" s="219"/>
      <c r="DZ626" s="116"/>
      <c r="EA626" s="116"/>
      <c r="EB626" s="116"/>
      <c r="EC626" s="116"/>
      <c r="ED626" s="116"/>
      <c r="EF626" s="332"/>
      <c r="EG626" s="116"/>
      <c r="EH626" s="116"/>
      <c r="EI626" s="116"/>
      <c r="EJ626" s="116"/>
      <c r="EK626" s="116"/>
      <c r="EM626" s="116"/>
      <c r="EN626" s="116"/>
      <c r="EO626" s="116"/>
      <c r="EQ626" s="116"/>
      <c r="ER626" s="116"/>
      <c r="ES626" s="116"/>
      <c r="ET626" s="116"/>
      <c r="EU626" s="116"/>
      <c r="EV626" s="116"/>
      <c r="EX626" s="116"/>
      <c r="EY626" s="116"/>
      <c r="EZ626" s="116"/>
      <c r="FA626" s="116"/>
      <c r="FB626" s="116"/>
    </row>
    <row r="627" spans="5:158" ht="13">
      <c r="E627" s="153"/>
      <c r="T627" s="153"/>
      <c r="BD627" s="31"/>
      <c r="BE627" s="31"/>
      <c r="BF627" s="31"/>
      <c r="BG627" s="31"/>
      <c r="BH627" s="31"/>
      <c r="BI627" s="116"/>
      <c r="BL627" s="196"/>
      <c r="BM627" s="239"/>
      <c r="BN627" s="330"/>
      <c r="BP627" s="330"/>
      <c r="BS627" s="116"/>
      <c r="BU627" s="331"/>
      <c r="BW627" s="116"/>
      <c r="BX627" s="116"/>
      <c r="BZ627" s="330"/>
      <c r="CB627" s="330"/>
      <c r="CC627" s="116"/>
      <c r="CG627" s="242"/>
      <c r="CH627" s="116"/>
      <c r="CI627" s="116"/>
      <c r="CJ627" s="116"/>
      <c r="CL627" s="116"/>
      <c r="CN627" s="239"/>
      <c r="CO627" s="153"/>
      <c r="DM627" s="116"/>
      <c r="DN627" s="116"/>
      <c r="DO627" s="116"/>
      <c r="DP627" s="116"/>
      <c r="DW627" s="116"/>
      <c r="DX627" s="219"/>
      <c r="DY627" s="219"/>
      <c r="DZ627" s="116"/>
      <c r="EA627" s="116"/>
      <c r="EB627" s="116"/>
      <c r="EC627" s="116"/>
      <c r="ED627" s="116"/>
      <c r="EF627" s="332"/>
      <c r="EG627" s="116"/>
      <c r="EH627" s="116"/>
      <c r="EI627" s="116"/>
      <c r="EJ627" s="116"/>
      <c r="EK627" s="116"/>
      <c r="EM627" s="116"/>
      <c r="EN627" s="116"/>
      <c r="EO627" s="116"/>
      <c r="EQ627" s="116"/>
      <c r="ER627" s="116"/>
      <c r="ES627" s="116"/>
      <c r="ET627" s="116"/>
      <c r="EU627" s="116"/>
      <c r="EV627" s="116"/>
      <c r="EX627" s="116"/>
      <c r="EY627" s="116"/>
      <c r="EZ627" s="116"/>
      <c r="FA627" s="116"/>
      <c r="FB627" s="116"/>
    </row>
    <row r="628" spans="5:158" ht="13">
      <c r="E628" s="153"/>
      <c r="T628" s="153"/>
      <c r="BD628" s="31"/>
      <c r="BE628" s="31"/>
      <c r="BF628" s="31"/>
      <c r="BG628" s="31"/>
      <c r="BH628" s="31"/>
      <c r="BI628" s="116"/>
      <c r="BL628" s="196"/>
      <c r="BM628" s="239"/>
      <c r="BN628" s="330"/>
      <c r="BP628" s="330"/>
      <c r="BS628" s="116"/>
      <c r="BU628" s="331"/>
      <c r="BW628" s="116"/>
      <c r="BX628" s="116"/>
      <c r="BZ628" s="330"/>
      <c r="CB628" s="330"/>
      <c r="CC628" s="116"/>
      <c r="CG628" s="242"/>
      <c r="CH628" s="116"/>
      <c r="CI628" s="116"/>
      <c r="CJ628" s="116"/>
      <c r="CL628" s="116"/>
      <c r="CN628" s="239"/>
      <c r="CO628" s="153"/>
      <c r="DM628" s="116"/>
      <c r="DN628" s="116"/>
      <c r="DO628" s="116"/>
      <c r="DP628" s="116"/>
      <c r="DW628" s="116"/>
      <c r="DX628" s="219"/>
      <c r="DY628" s="219"/>
      <c r="DZ628" s="116"/>
      <c r="EA628" s="116"/>
      <c r="EB628" s="116"/>
      <c r="EC628" s="116"/>
      <c r="ED628" s="116"/>
      <c r="EF628" s="332"/>
      <c r="EG628" s="116"/>
      <c r="EH628" s="116"/>
      <c r="EI628" s="116"/>
      <c r="EJ628" s="116"/>
      <c r="EK628" s="116"/>
      <c r="EM628" s="116"/>
      <c r="EN628" s="116"/>
      <c r="EO628" s="116"/>
      <c r="EQ628" s="116"/>
      <c r="ER628" s="116"/>
      <c r="ES628" s="116"/>
      <c r="ET628" s="116"/>
      <c r="EU628" s="116"/>
      <c r="EV628" s="116"/>
      <c r="EX628" s="116"/>
      <c r="EY628" s="116"/>
      <c r="EZ628" s="116"/>
      <c r="FA628" s="116"/>
      <c r="FB628" s="116"/>
    </row>
    <row r="629" spans="5:158" ht="13">
      <c r="E629" s="153"/>
      <c r="T629" s="153"/>
      <c r="BD629" s="31"/>
      <c r="BE629" s="31"/>
      <c r="BF629" s="31"/>
      <c r="BG629" s="31"/>
      <c r="BH629" s="31"/>
      <c r="BI629" s="116"/>
      <c r="BL629" s="196"/>
      <c r="BM629" s="239"/>
      <c r="BN629" s="330"/>
      <c r="BP629" s="330"/>
      <c r="BS629" s="116"/>
      <c r="BU629" s="331"/>
      <c r="BW629" s="116"/>
      <c r="BX629" s="116"/>
      <c r="BZ629" s="330"/>
      <c r="CB629" s="330"/>
      <c r="CC629" s="116"/>
      <c r="CG629" s="242"/>
      <c r="CH629" s="116"/>
      <c r="CI629" s="116"/>
      <c r="CJ629" s="116"/>
      <c r="CL629" s="116"/>
      <c r="CN629" s="239"/>
      <c r="CO629" s="153"/>
      <c r="DM629" s="116"/>
      <c r="DN629" s="116"/>
      <c r="DO629" s="116"/>
      <c r="DP629" s="116"/>
      <c r="DW629" s="116"/>
      <c r="DX629" s="219"/>
      <c r="DY629" s="219"/>
      <c r="DZ629" s="116"/>
      <c r="EA629" s="116"/>
      <c r="EB629" s="116"/>
      <c r="EC629" s="116"/>
      <c r="ED629" s="116"/>
      <c r="EF629" s="332"/>
      <c r="EG629" s="116"/>
      <c r="EH629" s="116"/>
      <c r="EI629" s="116"/>
      <c r="EJ629" s="116"/>
      <c r="EK629" s="116"/>
      <c r="EM629" s="116"/>
      <c r="EN629" s="116"/>
      <c r="EO629" s="116"/>
      <c r="EQ629" s="116"/>
      <c r="ER629" s="116"/>
      <c r="ES629" s="116"/>
      <c r="ET629" s="116"/>
      <c r="EU629" s="116"/>
      <c r="EV629" s="116"/>
      <c r="EX629" s="116"/>
      <c r="EY629" s="116"/>
      <c r="EZ629" s="116"/>
      <c r="FA629" s="116"/>
      <c r="FB629" s="116"/>
    </row>
    <row r="630" spans="5:158" ht="13">
      <c r="E630" s="153"/>
      <c r="T630" s="153"/>
      <c r="BD630" s="31"/>
      <c r="BE630" s="31"/>
      <c r="BF630" s="31"/>
      <c r="BG630" s="31"/>
      <c r="BH630" s="31"/>
      <c r="BI630" s="116"/>
      <c r="BL630" s="196"/>
      <c r="BM630" s="239"/>
      <c r="BN630" s="330"/>
      <c r="BP630" s="330"/>
      <c r="BS630" s="116"/>
      <c r="BU630" s="331"/>
      <c r="BW630" s="116"/>
      <c r="BX630" s="116"/>
      <c r="BZ630" s="330"/>
      <c r="CB630" s="330"/>
      <c r="CC630" s="116"/>
      <c r="CG630" s="242"/>
      <c r="CH630" s="116"/>
      <c r="CI630" s="116"/>
      <c r="CJ630" s="116"/>
      <c r="CL630" s="116"/>
      <c r="CN630" s="239"/>
      <c r="CO630" s="153"/>
      <c r="DM630" s="116"/>
      <c r="DN630" s="116"/>
      <c r="DO630" s="116"/>
      <c r="DP630" s="116"/>
      <c r="DW630" s="116"/>
      <c r="DX630" s="219"/>
      <c r="DY630" s="219"/>
      <c r="DZ630" s="116"/>
      <c r="EA630" s="116"/>
      <c r="EB630" s="116"/>
      <c r="EC630" s="116"/>
      <c r="ED630" s="116"/>
      <c r="EF630" s="332"/>
      <c r="EG630" s="116"/>
      <c r="EH630" s="116"/>
      <c r="EI630" s="116"/>
      <c r="EJ630" s="116"/>
      <c r="EK630" s="116"/>
      <c r="EM630" s="116"/>
      <c r="EN630" s="116"/>
      <c r="EO630" s="116"/>
      <c r="EQ630" s="116"/>
      <c r="ER630" s="116"/>
      <c r="ES630" s="116"/>
      <c r="ET630" s="116"/>
      <c r="EU630" s="116"/>
      <c r="EV630" s="116"/>
      <c r="EX630" s="116"/>
      <c r="EY630" s="116"/>
      <c r="EZ630" s="116"/>
      <c r="FA630" s="116"/>
      <c r="FB630" s="116"/>
    </row>
    <row r="631" spans="5:158" ht="13">
      <c r="E631" s="153"/>
      <c r="T631" s="153"/>
      <c r="BD631" s="31"/>
      <c r="BE631" s="31"/>
      <c r="BF631" s="31"/>
      <c r="BG631" s="31"/>
      <c r="BH631" s="31"/>
      <c r="BI631" s="116"/>
      <c r="BL631" s="196"/>
      <c r="BM631" s="239"/>
      <c r="BN631" s="330"/>
      <c r="BP631" s="330"/>
      <c r="BS631" s="116"/>
      <c r="BU631" s="331"/>
      <c r="BW631" s="116"/>
      <c r="BX631" s="116"/>
      <c r="BZ631" s="330"/>
      <c r="CB631" s="330"/>
      <c r="CC631" s="116"/>
      <c r="CG631" s="242"/>
      <c r="CH631" s="116"/>
      <c r="CI631" s="116"/>
      <c r="CJ631" s="116"/>
      <c r="CL631" s="116"/>
      <c r="CN631" s="239"/>
      <c r="CO631" s="153"/>
      <c r="DM631" s="116"/>
      <c r="DN631" s="116"/>
      <c r="DO631" s="116"/>
      <c r="DP631" s="116"/>
      <c r="DW631" s="116"/>
      <c r="DX631" s="219"/>
      <c r="DY631" s="219"/>
      <c r="DZ631" s="116"/>
      <c r="EA631" s="116"/>
      <c r="EB631" s="116"/>
      <c r="EC631" s="116"/>
      <c r="ED631" s="116"/>
      <c r="EF631" s="332"/>
      <c r="EG631" s="116"/>
      <c r="EH631" s="116"/>
      <c r="EI631" s="116"/>
      <c r="EJ631" s="116"/>
      <c r="EK631" s="116"/>
      <c r="EM631" s="116"/>
      <c r="EN631" s="116"/>
      <c r="EO631" s="116"/>
      <c r="EQ631" s="116"/>
      <c r="ER631" s="116"/>
      <c r="ES631" s="116"/>
      <c r="ET631" s="116"/>
      <c r="EU631" s="116"/>
      <c r="EV631" s="116"/>
      <c r="EX631" s="116"/>
      <c r="EY631" s="116"/>
      <c r="EZ631" s="116"/>
      <c r="FA631" s="116"/>
      <c r="FB631" s="116"/>
    </row>
    <row r="632" spans="5:158" ht="13">
      <c r="E632" s="153"/>
      <c r="T632" s="153"/>
      <c r="BD632" s="31"/>
      <c r="BE632" s="31"/>
      <c r="BF632" s="31"/>
      <c r="BG632" s="31"/>
      <c r="BH632" s="31"/>
      <c r="BI632" s="116"/>
      <c r="BL632" s="196"/>
      <c r="BM632" s="239"/>
      <c r="BN632" s="330"/>
      <c r="BP632" s="330"/>
      <c r="BS632" s="116"/>
      <c r="BU632" s="331"/>
      <c r="BW632" s="116"/>
      <c r="BX632" s="116"/>
      <c r="BZ632" s="330"/>
      <c r="CB632" s="330"/>
      <c r="CC632" s="116"/>
      <c r="CG632" s="242"/>
      <c r="CH632" s="116"/>
      <c r="CI632" s="116"/>
      <c r="CJ632" s="116"/>
      <c r="CL632" s="116"/>
      <c r="CN632" s="239"/>
      <c r="CO632" s="153"/>
      <c r="DM632" s="116"/>
      <c r="DN632" s="116"/>
      <c r="DO632" s="116"/>
      <c r="DP632" s="116"/>
      <c r="DW632" s="116"/>
      <c r="DX632" s="219"/>
      <c r="DY632" s="219"/>
      <c r="DZ632" s="116"/>
      <c r="EA632" s="116"/>
      <c r="EB632" s="116"/>
      <c r="EC632" s="116"/>
      <c r="ED632" s="116"/>
      <c r="EF632" s="332"/>
      <c r="EG632" s="116"/>
      <c r="EH632" s="116"/>
      <c r="EI632" s="116"/>
      <c r="EJ632" s="116"/>
      <c r="EK632" s="116"/>
      <c r="EM632" s="116"/>
      <c r="EN632" s="116"/>
      <c r="EO632" s="116"/>
      <c r="EQ632" s="116"/>
      <c r="ER632" s="116"/>
      <c r="ES632" s="116"/>
      <c r="ET632" s="116"/>
      <c r="EU632" s="116"/>
      <c r="EV632" s="116"/>
      <c r="EX632" s="116"/>
      <c r="EY632" s="116"/>
      <c r="EZ632" s="116"/>
      <c r="FA632" s="116"/>
      <c r="FB632" s="116"/>
    </row>
    <row r="633" spans="5:158" ht="13">
      <c r="E633" s="153"/>
      <c r="T633" s="153"/>
      <c r="BD633" s="31"/>
      <c r="BE633" s="31"/>
      <c r="BF633" s="31"/>
      <c r="BG633" s="31"/>
      <c r="BH633" s="31"/>
      <c r="BI633" s="116"/>
      <c r="BL633" s="196"/>
      <c r="BM633" s="239"/>
      <c r="BN633" s="330"/>
      <c r="BP633" s="330"/>
      <c r="BS633" s="116"/>
      <c r="BU633" s="331"/>
      <c r="BW633" s="116"/>
      <c r="BX633" s="116"/>
      <c r="BZ633" s="330"/>
      <c r="CB633" s="330"/>
      <c r="CC633" s="116"/>
      <c r="CG633" s="242"/>
      <c r="CH633" s="116"/>
      <c r="CI633" s="116"/>
      <c r="CJ633" s="116"/>
      <c r="CL633" s="116"/>
      <c r="CN633" s="239"/>
      <c r="CO633" s="153"/>
      <c r="DM633" s="116"/>
      <c r="DN633" s="116"/>
      <c r="DO633" s="116"/>
      <c r="DP633" s="116"/>
      <c r="DW633" s="116"/>
      <c r="DX633" s="219"/>
      <c r="DY633" s="219"/>
      <c r="DZ633" s="116"/>
      <c r="EA633" s="116"/>
      <c r="EB633" s="116"/>
      <c r="EC633" s="116"/>
      <c r="ED633" s="116"/>
      <c r="EF633" s="332"/>
      <c r="EG633" s="116"/>
      <c r="EH633" s="116"/>
      <c r="EI633" s="116"/>
      <c r="EJ633" s="116"/>
      <c r="EK633" s="116"/>
      <c r="EM633" s="116"/>
      <c r="EN633" s="116"/>
      <c r="EO633" s="116"/>
      <c r="EQ633" s="116"/>
      <c r="ER633" s="116"/>
      <c r="ES633" s="116"/>
      <c r="ET633" s="116"/>
      <c r="EU633" s="116"/>
      <c r="EV633" s="116"/>
      <c r="EX633" s="116"/>
      <c r="EY633" s="116"/>
      <c r="EZ633" s="116"/>
      <c r="FA633" s="116"/>
      <c r="FB633" s="116"/>
    </row>
    <row r="634" spans="5:158" ht="13">
      <c r="E634" s="153"/>
      <c r="T634" s="153"/>
      <c r="BD634" s="31"/>
      <c r="BE634" s="31"/>
      <c r="BF634" s="31"/>
      <c r="BG634" s="31"/>
      <c r="BH634" s="31"/>
      <c r="BI634" s="116"/>
      <c r="BL634" s="196"/>
      <c r="BM634" s="239"/>
      <c r="BN634" s="330"/>
      <c r="BP634" s="330"/>
      <c r="BS634" s="116"/>
      <c r="BU634" s="331"/>
      <c r="BW634" s="116"/>
      <c r="BX634" s="116"/>
      <c r="BZ634" s="330"/>
      <c r="CB634" s="330"/>
      <c r="CC634" s="116"/>
      <c r="CG634" s="242"/>
      <c r="CH634" s="116"/>
      <c r="CI634" s="116"/>
      <c r="CJ634" s="116"/>
      <c r="CL634" s="116"/>
      <c r="CN634" s="239"/>
      <c r="CO634" s="153"/>
      <c r="DM634" s="116"/>
      <c r="DN634" s="116"/>
      <c r="DO634" s="116"/>
      <c r="DP634" s="116"/>
      <c r="DW634" s="116"/>
      <c r="DX634" s="219"/>
      <c r="DY634" s="219"/>
      <c r="DZ634" s="116"/>
      <c r="EA634" s="116"/>
      <c r="EB634" s="116"/>
      <c r="EC634" s="116"/>
      <c r="ED634" s="116"/>
      <c r="EF634" s="332"/>
      <c r="EG634" s="116"/>
      <c r="EH634" s="116"/>
      <c r="EI634" s="116"/>
      <c r="EJ634" s="116"/>
      <c r="EK634" s="116"/>
      <c r="EM634" s="116"/>
      <c r="EN634" s="116"/>
      <c r="EO634" s="116"/>
      <c r="EQ634" s="116"/>
      <c r="ER634" s="116"/>
      <c r="ES634" s="116"/>
      <c r="ET634" s="116"/>
      <c r="EU634" s="116"/>
      <c r="EV634" s="116"/>
      <c r="EX634" s="116"/>
      <c r="EY634" s="116"/>
      <c r="EZ634" s="116"/>
      <c r="FA634" s="116"/>
      <c r="FB634" s="116"/>
    </row>
    <row r="635" spans="5:158" ht="13">
      <c r="E635" s="153"/>
      <c r="T635" s="153"/>
      <c r="BD635" s="31"/>
      <c r="BE635" s="31"/>
      <c r="BF635" s="31"/>
      <c r="BG635" s="31"/>
      <c r="BH635" s="31"/>
      <c r="BI635" s="116"/>
      <c r="BL635" s="196"/>
      <c r="BM635" s="239"/>
      <c r="BN635" s="330"/>
      <c r="BP635" s="330"/>
      <c r="BS635" s="116"/>
      <c r="BU635" s="331"/>
      <c r="BW635" s="116"/>
      <c r="BX635" s="116"/>
      <c r="BZ635" s="330"/>
      <c r="CB635" s="330"/>
      <c r="CC635" s="116"/>
      <c r="CG635" s="242"/>
      <c r="CH635" s="116"/>
      <c r="CI635" s="116"/>
      <c r="CJ635" s="116"/>
      <c r="CL635" s="116"/>
      <c r="CN635" s="239"/>
      <c r="CO635" s="153"/>
      <c r="DM635" s="116"/>
      <c r="DN635" s="116"/>
      <c r="DO635" s="116"/>
      <c r="DP635" s="116"/>
      <c r="DW635" s="116"/>
      <c r="DX635" s="219"/>
      <c r="DY635" s="219"/>
      <c r="DZ635" s="116"/>
      <c r="EA635" s="116"/>
      <c r="EB635" s="116"/>
      <c r="EC635" s="116"/>
      <c r="ED635" s="116"/>
      <c r="EF635" s="332"/>
      <c r="EG635" s="116"/>
      <c r="EH635" s="116"/>
      <c r="EI635" s="116"/>
      <c r="EJ635" s="116"/>
      <c r="EK635" s="116"/>
      <c r="EM635" s="116"/>
      <c r="EN635" s="116"/>
      <c r="EO635" s="116"/>
      <c r="EQ635" s="116"/>
      <c r="ER635" s="116"/>
      <c r="ES635" s="116"/>
      <c r="ET635" s="116"/>
      <c r="EU635" s="116"/>
      <c r="EV635" s="116"/>
      <c r="EX635" s="116"/>
      <c r="EY635" s="116"/>
      <c r="EZ635" s="116"/>
      <c r="FA635" s="116"/>
      <c r="FB635" s="116"/>
    </row>
    <row r="636" spans="5:158" ht="13">
      <c r="E636" s="153"/>
      <c r="T636" s="153"/>
      <c r="BD636" s="31"/>
      <c r="BE636" s="31"/>
      <c r="BF636" s="31"/>
      <c r="BG636" s="31"/>
      <c r="BH636" s="31"/>
      <c r="BI636" s="116"/>
      <c r="BL636" s="196"/>
      <c r="BM636" s="239"/>
      <c r="BN636" s="330"/>
      <c r="BP636" s="330"/>
      <c r="BS636" s="116"/>
      <c r="BU636" s="331"/>
      <c r="BW636" s="116"/>
      <c r="BX636" s="116"/>
      <c r="BZ636" s="330"/>
      <c r="CB636" s="330"/>
      <c r="CC636" s="116"/>
      <c r="CG636" s="242"/>
      <c r="CH636" s="116"/>
      <c r="CI636" s="116"/>
      <c r="CJ636" s="116"/>
      <c r="CL636" s="116"/>
      <c r="CN636" s="239"/>
      <c r="CO636" s="153"/>
      <c r="DM636" s="116"/>
      <c r="DN636" s="116"/>
      <c r="DO636" s="116"/>
      <c r="DP636" s="116"/>
      <c r="DW636" s="116"/>
      <c r="DX636" s="219"/>
      <c r="DY636" s="219"/>
      <c r="DZ636" s="116"/>
      <c r="EA636" s="116"/>
      <c r="EB636" s="116"/>
      <c r="EC636" s="116"/>
      <c r="ED636" s="116"/>
      <c r="EF636" s="332"/>
      <c r="EG636" s="116"/>
      <c r="EH636" s="116"/>
      <c r="EI636" s="116"/>
      <c r="EJ636" s="116"/>
      <c r="EK636" s="116"/>
      <c r="EM636" s="116"/>
      <c r="EN636" s="116"/>
      <c r="EO636" s="116"/>
      <c r="EQ636" s="116"/>
      <c r="ER636" s="116"/>
      <c r="ES636" s="116"/>
      <c r="ET636" s="116"/>
      <c r="EU636" s="116"/>
      <c r="EV636" s="116"/>
      <c r="EX636" s="116"/>
      <c r="EY636" s="116"/>
      <c r="EZ636" s="116"/>
      <c r="FA636" s="116"/>
      <c r="FB636" s="116"/>
    </row>
    <row r="637" spans="5:158" ht="13">
      <c r="E637" s="153"/>
      <c r="T637" s="153"/>
      <c r="BD637" s="31"/>
      <c r="BE637" s="31"/>
      <c r="BF637" s="31"/>
      <c r="BG637" s="31"/>
      <c r="BH637" s="31"/>
      <c r="BI637" s="116"/>
      <c r="BL637" s="196"/>
      <c r="BM637" s="239"/>
      <c r="BN637" s="330"/>
      <c r="BP637" s="330"/>
      <c r="BS637" s="116"/>
      <c r="BU637" s="331"/>
      <c r="BW637" s="116"/>
      <c r="BX637" s="116"/>
      <c r="BZ637" s="330"/>
      <c r="CB637" s="330"/>
      <c r="CC637" s="116"/>
      <c r="CG637" s="242"/>
      <c r="CH637" s="116"/>
      <c r="CI637" s="116"/>
      <c r="CJ637" s="116"/>
      <c r="CL637" s="116"/>
      <c r="CN637" s="239"/>
      <c r="CO637" s="153"/>
      <c r="DM637" s="116"/>
      <c r="DN637" s="116"/>
      <c r="DO637" s="116"/>
      <c r="DP637" s="116"/>
      <c r="DW637" s="116"/>
      <c r="DX637" s="219"/>
      <c r="DY637" s="219"/>
      <c r="DZ637" s="116"/>
      <c r="EA637" s="116"/>
      <c r="EB637" s="116"/>
      <c r="EC637" s="116"/>
      <c r="ED637" s="116"/>
      <c r="EF637" s="332"/>
      <c r="EG637" s="116"/>
      <c r="EH637" s="116"/>
      <c r="EI637" s="116"/>
      <c r="EJ637" s="116"/>
      <c r="EK637" s="116"/>
      <c r="EM637" s="116"/>
      <c r="EN637" s="116"/>
      <c r="EO637" s="116"/>
      <c r="EQ637" s="116"/>
      <c r="ER637" s="116"/>
      <c r="ES637" s="116"/>
      <c r="ET637" s="116"/>
      <c r="EU637" s="116"/>
      <c r="EV637" s="116"/>
      <c r="EX637" s="116"/>
      <c r="EY637" s="116"/>
      <c r="EZ637" s="116"/>
      <c r="FA637" s="116"/>
      <c r="FB637" s="116"/>
    </row>
    <row r="638" spans="5:158" ht="13">
      <c r="E638" s="153"/>
      <c r="T638" s="153"/>
      <c r="BD638" s="31"/>
      <c r="BE638" s="31"/>
      <c r="BF638" s="31"/>
      <c r="BG638" s="31"/>
      <c r="BH638" s="31"/>
      <c r="BI638" s="116"/>
      <c r="BL638" s="196"/>
      <c r="BM638" s="239"/>
      <c r="BN638" s="330"/>
      <c r="BP638" s="330"/>
      <c r="BS638" s="116"/>
      <c r="BU638" s="331"/>
      <c r="BW638" s="116"/>
      <c r="BX638" s="116"/>
      <c r="BZ638" s="330"/>
      <c r="CB638" s="330"/>
      <c r="CC638" s="116"/>
      <c r="CG638" s="242"/>
      <c r="CH638" s="116"/>
      <c r="CI638" s="116"/>
      <c r="CJ638" s="116"/>
      <c r="CL638" s="116"/>
      <c r="CN638" s="239"/>
      <c r="CO638" s="153"/>
      <c r="DM638" s="116"/>
      <c r="DN638" s="116"/>
      <c r="DO638" s="116"/>
      <c r="DP638" s="116"/>
      <c r="DW638" s="116"/>
      <c r="DX638" s="219"/>
      <c r="DY638" s="219"/>
      <c r="DZ638" s="116"/>
      <c r="EA638" s="116"/>
      <c r="EB638" s="116"/>
      <c r="EC638" s="116"/>
      <c r="ED638" s="116"/>
      <c r="EF638" s="332"/>
      <c r="EG638" s="116"/>
      <c r="EH638" s="116"/>
      <c r="EI638" s="116"/>
      <c r="EJ638" s="116"/>
      <c r="EK638" s="116"/>
      <c r="EM638" s="116"/>
      <c r="EN638" s="116"/>
      <c r="EO638" s="116"/>
      <c r="EQ638" s="116"/>
      <c r="ER638" s="116"/>
      <c r="ES638" s="116"/>
      <c r="ET638" s="116"/>
      <c r="EU638" s="116"/>
      <c r="EV638" s="116"/>
      <c r="EX638" s="116"/>
      <c r="EY638" s="116"/>
      <c r="EZ638" s="116"/>
      <c r="FA638" s="116"/>
      <c r="FB638" s="116"/>
    </row>
    <row r="639" spans="5:158" ht="13">
      <c r="E639" s="153"/>
      <c r="T639" s="153"/>
      <c r="BD639" s="31"/>
      <c r="BE639" s="31"/>
      <c r="BF639" s="31"/>
      <c r="BG639" s="31"/>
      <c r="BH639" s="31"/>
      <c r="BI639" s="116"/>
      <c r="BL639" s="196"/>
      <c r="BM639" s="239"/>
      <c r="BN639" s="330"/>
      <c r="BP639" s="330"/>
      <c r="BS639" s="116"/>
      <c r="BU639" s="331"/>
      <c r="BW639" s="116"/>
      <c r="BX639" s="116"/>
      <c r="BZ639" s="330"/>
      <c r="CB639" s="330"/>
      <c r="CC639" s="116"/>
      <c r="CG639" s="242"/>
      <c r="CH639" s="116"/>
      <c r="CI639" s="116"/>
      <c r="CJ639" s="116"/>
      <c r="CL639" s="116"/>
      <c r="CN639" s="239"/>
      <c r="CO639" s="153"/>
      <c r="DM639" s="116"/>
      <c r="DN639" s="116"/>
      <c r="DO639" s="116"/>
      <c r="DP639" s="116"/>
      <c r="DW639" s="116"/>
      <c r="DX639" s="219"/>
      <c r="DY639" s="219"/>
      <c r="DZ639" s="116"/>
      <c r="EA639" s="116"/>
      <c r="EB639" s="116"/>
      <c r="EC639" s="116"/>
      <c r="ED639" s="116"/>
      <c r="EF639" s="332"/>
      <c r="EG639" s="116"/>
      <c r="EH639" s="116"/>
      <c r="EI639" s="116"/>
      <c r="EJ639" s="116"/>
      <c r="EK639" s="116"/>
      <c r="EM639" s="116"/>
      <c r="EN639" s="116"/>
      <c r="EO639" s="116"/>
      <c r="EQ639" s="116"/>
      <c r="ER639" s="116"/>
      <c r="ES639" s="116"/>
      <c r="ET639" s="116"/>
      <c r="EU639" s="116"/>
      <c r="EV639" s="116"/>
      <c r="EX639" s="116"/>
      <c r="EY639" s="116"/>
      <c r="EZ639" s="116"/>
      <c r="FA639" s="116"/>
      <c r="FB639" s="116"/>
    </row>
    <row r="640" spans="5:158" ht="13">
      <c r="E640" s="153"/>
      <c r="T640" s="153"/>
      <c r="BD640" s="31"/>
      <c r="BE640" s="31"/>
      <c r="BF640" s="31"/>
      <c r="BG640" s="31"/>
      <c r="BH640" s="31"/>
      <c r="BI640" s="116"/>
      <c r="BL640" s="196"/>
      <c r="BM640" s="239"/>
      <c r="BN640" s="330"/>
      <c r="BP640" s="330"/>
      <c r="BS640" s="116"/>
      <c r="BU640" s="331"/>
      <c r="BW640" s="116"/>
      <c r="BX640" s="116"/>
      <c r="BZ640" s="330"/>
      <c r="CB640" s="330"/>
      <c r="CC640" s="116"/>
      <c r="CG640" s="242"/>
      <c r="CH640" s="116"/>
      <c r="CI640" s="116"/>
      <c r="CJ640" s="116"/>
      <c r="CL640" s="116"/>
      <c r="CN640" s="239"/>
      <c r="CO640" s="153"/>
      <c r="DM640" s="116"/>
      <c r="DN640" s="116"/>
      <c r="DO640" s="116"/>
      <c r="DP640" s="116"/>
      <c r="DW640" s="116"/>
      <c r="DX640" s="219"/>
      <c r="DY640" s="219"/>
      <c r="DZ640" s="116"/>
      <c r="EA640" s="116"/>
      <c r="EB640" s="116"/>
      <c r="EC640" s="116"/>
      <c r="ED640" s="116"/>
      <c r="EF640" s="332"/>
      <c r="EG640" s="116"/>
      <c r="EH640" s="116"/>
      <c r="EI640" s="116"/>
      <c r="EJ640" s="116"/>
      <c r="EK640" s="116"/>
      <c r="EM640" s="116"/>
      <c r="EN640" s="116"/>
      <c r="EO640" s="116"/>
      <c r="EQ640" s="116"/>
      <c r="ER640" s="116"/>
      <c r="ES640" s="116"/>
      <c r="ET640" s="116"/>
      <c r="EU640" s="116"/>
      <c r="EV640" s="116"/>
      <c r="EX640" s="116"/>
      <c r="EY640" s="116"/>
      <c r="EZ640" s="116"/>
      <c r="FA640" s="116"/>
      <c r="FB640" s="116"/>
    </row>
    <row r="641" spans="5:158" ht="13">
      <c r="E641" s="153"/>
      <c r="T641" s="153"/>
      <c r="BD641" s="31"/>
      <c r="BE641" s="31"/>
      <c r="BF641" s="31"/>
      <c r="BG641" s="31"/>
      <c r="BH641" s="31"/>
      <c r="BI641" s="116"/>
      <c r="BL641" s="196"/>
      <c r="BM641" s="239"/>
      <c r="BN641" s="330"/>
      <c r="BP641" s="330"/>
      <c r="BS641" s="116"/>
      <c r="BU641" s="331"/>
      <c r="BW641" s="116"/>
      <c r="BX641" s="116"/>
      <c r="BZ641" s="330"/>
      <c r="CB641" s="330"/>
      <c r="CC641" s="116"/>
      <c r="CG641" s="242"/>
      <c r="CH641" s="116"/>
      <c r="CI641" s="116"/>
      <c r="CJ641" s="116"/>
      <c r="CL641" s="116"/>
      <c r="CN641" s="239"/>
      <c r="CO641" s="153"/>
      <c r="DM641" s="116"/>
      <c r="DN641" s="116"/>
      <c r="DO641" s="116"/>
      <c r="DP641" s="116"/>
      <c r="DW641" s="116"/>
      <c r="DX641" s="219"/>
      <c r="DY641" s="219"/>
      <c r="DZ641" s="116"/>
      <c r="EA641" s="116"/>
      <c r="EB641" s="116"/>
      <c r="EC641" s="116"/>
      <c r="ED641" s="116"/>
      <c r="EF641" s="332"/>
      <c r="EG641" s="116"/>
      <c r="EH641" s="116"/>
      <c r="EI641" s="116"/>
      <c r="EJ641" s="116"/>
      <c r="EK641" s="116"/>
      <c r="EM641" s="116"/>
      <c r="EN641" s="116"/>
      <c r="EO641" s="116"/>
      <c r="EQ641" s="116"/>
      <c r="ER641" s="116"/>
      <c r="ES641" s="116"/>
      <c r="ET641" s="116"/>
      <c r="EU641" s="116"/>
      <c r="EV641" s="116"/>
      <c r="EX641" s="116"/>
      <c r="EY641" s="116"/>
      <c r="EZ641" s="116"/>
      <c r="FA641" s="116"/>
      <c r="FB641" s="116"/>
    </row>
    <row r="642" spans="5:158" ht="13">
      <c r="E642" s="153"/>
      <c r="T642" s="153"/>
      <c r="BD642" s="31"/>
      <c r="BE642" s="31"/>
      <c r="BF642" s="31"/>
      <c r="BG642" s="31"/>
      <c r="BH642" s="31"/>
      <c r="BI642" s="116"/>
      <c r="BL642" s="196"/>
      <c r="BM642" s="239"/>
      <c r="BN642" s="330"/>
      <c r="BP642" s="330"/>
      <c r="BS642" s="116"/>
      <c r="BU642" s="331"/>
      <c r="BW642" s="116"/>
      <c r="BX642" s="116"/>
      <c r="BZ642" s="330"/>
      <c r="CB642" s="330"/>
      <c r="CC642" s="116"/>
      <c r="CG642" s="242"/>
      <c r="CH642" s="116"/>
      <c r="CI642" s="116"/>
      <c r="CJ642" s="116"/>
      <c r="CL642" s="116"/>
      <c r="CN642" s="239"/>
      <c r="CO642" s="153"/>
      <c r="DM642" s="116"/>
      <c r="DN642" s="116"/>
      <c r="DO642" s="116"/>
      <c r="DP642" s="116"/>
      <c r="DW642" s="116"/>
      <c r="DX642" s="219"/>
      <c r="DY642" s="219"/>
      <c r="DZ642" s="116"/>
      <c r="EA642" s="116"/>
      <c r="EB642" s="116"/>
      <c r="EC642" s="116"/>
      <c r="ED642" s="116"/>
      <c r="EF642" s="332"/>
      <c r="EG642" s="116"/>
      <c r="EH642" s="116"/>
      <c r="EI642" s="116"/>
      <c r="EJ642" s="116"/>
      <c r="EK642" s="116"/>
      <c r="EM642" s="116"/>
      <c r="EN642" s="116"/>
      <c r="EO642" s="116"/>
      <c r="EQ642" s="116"/>
      <c r="ER642" s="116"/>
      <c r="ES642" s="116"/>
      <c r="ET642" s="116"/>
      <c r="EU642" s="116"/>
      <c r="EV642" s="116"/>
      <c r="EX642" s="116"/>
      <c r="EY642" s="116"/>
      <c r="EZ642" s="116"/>
      <c r="FA642" s="116"/>
      <c r="FB642" s="116"/>
    </row>
    <row r="643" spans="5:158" ht="13">
      <c r="E643" s="153"/>
      <c r="T643" s="153"/>
      <c r="BD643" s="31"/>
      <c r="BE643" s="31"/>
      <c r="BF643" s="31"/>
      <c r="BG643" s="31"/>
      <c r="BH643" s="31"/>
      <c r="BI643" s="116"/>
      <c r="BL643" s="196"/>
      <c r="BM643" s="239"/>
      <c r="BN643" s="330"/>
      <c r="BP643" s="330"/>
      <c r="BS643" s="116"/>
      <c r="BU643" s="331"/>
      <c r="BW643" s="116"/>
      <c r="BX643" s="116"/>
      <c r="BZ643" s="330"/>
      <c r="CB643" s="330"/>
      <c r="CC643" s="116"/>
      <c r="CG643" s="242"/>
      <c r="CH643" s="116"/>
      <c r="CI643" s="116"/>
      <c r="CJ643" s="116"/>
      <c r="CL643" s="116"/>
      <c r="CN643" s="239"/>
      <c r="CO643" s="153"/>
      <c r="DM643" s="116"/>
      <c r="DN643" s="116"/>
      <c r="DO643" s="116"/>
      <c r="DP643" s="116"/>
      <c r="DW643" s="116"/>
      <c r="DX643" s="219"/>
      <c r="DY643" s="219"/>
      <c r="DZ643" s="116"/>
      <c r="EA643" s="116"/>
      <c r="EB643" s="116"/>
      <c r="EC643" s="116"/>
      <c r="ED643" s="116"/>
      <c r="EF643" s="332"/>
      <c r="EG643" s="116"/>
      <c r="EH643" s="116"/>
      <c r="EI643" s="116"/>
      <c r="EJ643" s="116"/>
      <c r="EK643" s="116"/>
      <c r="EM643" s="116"/>
      <c r="EN643" s="116"/>
      <c r="EO643" s="116"/>
      <c r="EQ643" s="116"/>
      <c r="ER643" s="116"/>
      <c r="ES643" s="116"/>
      <c r="ET643" s="116"/>
      <c r="EU643" s="116"/>
      <c r="EV643" s="116"/>
      <c r="EX643" s="116"/>
      <c r="EY643" s="116"/>
      <c r="EZ643" s="116"/>
      <c r="FA643" s="116"/>
      <c r="FB643" s="116"/>
    </row>
    <row r="644" spans="5:158" ht="13">
      <c r="E644" s="153"/>
      <c r="T644" s="153"/>
      <c r="BD644" s="31"/>
      <c r="BE644" s="31"/>
      <c r="BF644" s="31"/>
      <c r="BG644" s="31"/>
      <c r="BH644" s="31"/>
      <c r="BI644" s="116"/>
      <c r="BL644" s="196"/>
      <c r="BM644" s="239"/>
      <c r="BN644" s="330"/>
      <c r="BP644" s="330"/>
      <c r="BS644" s="116"/>
      <c r="BU644" s="331"/>
      <c r="BW644" s="116"/>
      <c r="BX644" s="116"/>
      <c r="BZ644" s="330"/>
      <c r="CB644" s="330"/>
      <c r="CC644" s="116"/>
      <c r="CG644" s="242"/>
      <c r="CH644" s="116"/>
      <c r="CI644" s="116"/>
      <c r="CJ644" s="116"/>
      <c r="CL644" s="116"/>
      <c r="CN644" s="239"/>
      <c r="CO644" s="153"/>
      <c r="DM644" s="116"/>
      <c r="DN644" s="116"/>
      <c r="DO644" s="116"/>
      <c r="DP644" s="116"/>
      <c r="DW644" s="116"/>
      <c r="DX644" s="219"/>
      <c r="DY644" s="219"/>
      <c r="DZ644" s="116"/>
      <c r="EA644" s="116"/>
      <c r="EB644" s="116"/>
      <c r="EC644" s="116"/>
      <c r="ED644" s="116"/>
      <c r="EF644" s="332"/>
      <c r="EG644" s="116"/>
      <c r="EH644" s="116"/>
      <c r="EI644" s="116"/>
      <c r="EJ644" s="116"/>
      <c r="EK644" s="116"/>
      <c r="EM644" s="116"/>
      <c r="EN644" s="116"/>
      <c r="EO644" s="116"/>
      <c r="EQ644" s="116"/>
      <c r="ER644" s="116"/>
      <c r="ES644" s="116"/>
      <c r="ET644" s="116"/>
      <c r="EU644" s="116"/>
      <c r="EV644" s="116"/>
      <c r="EX644" s="116"/>
      <c r="EY644" s="116"/>
      <c r="EZ644" s="116"/>
      <c r="FA644" s="116"/>
      <c r="FB644" s="116"/>
    </row>
    <row r="645" spans="5:158" ht="13">
      <c r="E645" s="153"/>
      <c r="T645" s="153"/>
      <c r="BD645" s="31"/>
      <c r="BE645" s="31"/>
      <c r="BF645" s="31"/>
      <c r="BG645" s="31"/>
      <c r="BH645" s="31"/>
      <c r="BI645" s="116"/>
      <c r="BL645" s="196"/>
      <c r="BM645" s="239"/>
      <c r="BN645" s="330"/>
      <c r="BP645" s="330"/>
      <c r="BS645" s="116"/>
      <c r="BU645" s="331"/>
      <c r="BW645" s="116"/>
      <c r="BX645" s="116"/>
      <c r="BZ645" s="330"/>
      <c r="CB645" s="330"/>
      <c r="CC645" s="116"/>
      <c r="CG645" s="242"/>
      <c r="CH645" s="116"/>
      <c r="CI645" s="116"/>
      <c r="CJ645" s="116"/>
      <c r="CL645" s="116"/>
      <c r="CN645" s="239"/>
      <c r="CO645" s="153"/>
      <c r="DM645" s="116"/>
      <c r="DN645" s="116"/>
      <c r="DO645" s="116"/>
      <c r="DP645" s="116"/>
      <c r="DW645" s="116"/>
      <c r="DX645" s="219"/>
      <c r="DY645" s="219"/>
      <c r="DZ645" s="116"/>
      <c r="EA645" s="116"/>
      <c r="EB645" s="116"/>
      <c r="EC645" s="116"/>
      <c r="ED645" s="116"/>
      <c r="EF645" s="332"/>
      <c r="EG645" s="116"/>
      <c r="EH645" s="116"/>
      <c r="EI645" s="116"/>
      <c r="EJ645" s="116"/>
      <c r="EK645" s="116"/>
      <c r="EM645" s="116"/>
      <c r="EN645" s="116"/>
      <c r="EO645" s="116"/>
      <c r="EQ645" s="116"/>
      <c r="ER645" s="116"/>
      <c r="ES645" s="116"/>
      <c r="ET645" s="116"/>
      <c r="EU645" s="116"/>
      <c r="EV645" s="116"/>
      <c r="EX645" s="116"/>
      <c r="EY645" s="116"/>
      <c r="EZ645" s="116"/>
      <c r="FA645" s="116"/>
      <c r="FB645" s="116"/>
    </row>
    <row r="646" spans="5:158" ht="13">
      <c r="E646" s="153"/>
      <c r="T646" s="153"/>
      <c r="BD646" s="31"/>
      <c r="BE646" s="31"/>
      <c r="BF646" s="31"/>
      <c r="BG646" s="31"/>
      <c r="BH646" s="31"/>
      <c r="BI646" s="116"/>
      <c r="BL646" s="196"/>
      <c r="BM646" s="239"/>
      <c r="BN646" s="330"/>
      <c r="BP646" s="330"/>
      <c r="BS646" s="116"/>
      <c r="BU646" s="331"/>
      <c r="BW646" s="116"/>
      <c r="BX646" s="116"/>
      <c r="BZ646" s="330"/>
      <c r="CB646" s="330"/>
      <c r="CC646" s="116"/>
      <c r="CG646" s="242"/>
      <c r="CH646" s="116"/>
      <c r="CI646" s="116"/>
      <c r="CJ646" s="116"/>
      <c r="CL646" s="116"/>
      <c r="CN646" s="239"/>
      <c r="CO646" s="153"/>
      <c r="DM646" s="116"/>
      <c r="DN646" s="116"/>
      <c r="DO646" s="116"/>
      <c r="DP646" s="116"/>
      <c r="DW646" s="116"/>
      <c r="DX646" s="219"/>
      <c r="DY646" s="219"/>
      <c r="DZ646" s="116"/>
      <c r="EA646" s="116"/>
      <c r="EB646" s="116"/>
      <c r="EC646" s="116"/>
      <c r="ED646" s="116"/>
      <c r="EF646" s="332"/>
      <c r="EG646" s="116"/>
      <c r="EH646" s="116"/>
      <c r="EI646" s="116"/>
      <c r="EJ646" s="116"/>
      <c r="EK646" s="116"/>
      <c r="EM646" s="116"/>
      <c r="EN646" s="116"/>
      <c r="EO646" s="116"/>
      <c r="EQ646" s="116"/>
      <c r="ER646" s="116"/>
      <c r="ES646" s="116"/>
      <c r="ET646" s="116"/>
      <c r="EU646" s="116"/>
      <c r="EV646" s="116"/>
      <c r="EX646" s="116"/>
      <c r="EY646" s="116"/>
      <c r="EZ646" s="116"/>
      <c r="FA646" s="116"/>
      <c r="FB646" s="116"/>
    </row>
    <row r="647" spans="5:158" ht="13">
      <c r="E647" s="153"/>
      <c r="T647" s="153"/>
      <c r="BD647" s="31"/>
      <c r="BE647" s="31"/>
      <c r="BF647" s="31"/>
      <c r="BG647" s="31"/>
      <c r="BH647" s="31"/>
      <c r="BI647" s="116"/>
      <c r="BL647" s="196"/>
      <c r="BM647" s="239"/>
      <c r="BN647" s="330"/>
      <c r="BP647" s="330"/>
      <c r="BS647" s="116"/>
      <c r="BU647" s="331"/>
      <c r="BW647" s="116"/>
      <c r="BX647" s="116"/>
      <c r="BZ647" s="330"/>
      <c r="CB647" s="330"/>
      <c r="CC647" s="116"/>
      <c r="CG647" s="242"/>
      <c r="CH647" s="116"/>
      <c r="CI647" s="116"/>
      <c r="CJ647" s="116"/>
      <c r="CL647" s="116"/>
      <c r="CN647" s="239"/>
      <c r="CO647" s="153"/>
      <c r="DM647" s="116"/>
      <c r="DN647" s="116"/>
      <c r="DO647" s="116"/>
      <c r="DP647" s="116"/>
      <c r="DW647" s="116"/>
      <c r="DX647" s="219"/>
      <c r="DY647" s="219"/>
      <c r="DZ647" s="116"/>
      <c r="EA647" s="116"/>
      <c r="EB647" s="116"/>
      <c r="EC647" s="116"/>
      <c r="ED647" s="116"/>
      <c r="EF647" s="332"/>
      <c r="EG647" s="116"/>
      <c r="EH647" s="116"/>
      <c r="EI647" s="116"/>
      <c r="EJ647" s="116"/>
      <c r="EK647" s="116"/>
      <c r="EM647" s="116"/>
      <c r="EN647" s="116"/>
      <c r="EO647" s="116"/>
      <c r="EQ647" s="116"/>
      <c r="ER647" s="116"/>
      <c r="ES647" s="116"/>
      <c r="ET647" s="116"/>
      <c r="EU647" s="116"/>
      <c r="EV647" s="116"/>
      <c r="EX647" s="116"/>
      <c r="EY647" s="116"/>
      <c r="EZ647" s="116"/>
      <c r="FA647" s="116"/>
      <c r="FB647" s="116"/>
    </row>
    <row r="648" spans="5:158" ht="13">
      <c r="E648" s="153"/>
      <c r="T648" s="153"/>
      <c r="BD648" s="31"/>
      <c r="BE648" s="31"/>
      <c r="BF648" s="31"/>
      <c r="BG648" s="31"/>
      <c r="BH648" s="31"/>
      <c r="BI648" s="116"/>
      <c r="BL648" s="196"/>
      <c r="BM648" s="239"/>
      <c r="BN648" s="330"/>
      <c r="BP648" s="330"/>
      <c r="BS648" s="116"/>
      <c r="BU648" s="331"/>
      <c r="BW648" s="116"/>
      <c r="BX648" s="116"/>
      <c r="BZ648" s="330"/>
      <c r="CB648" s="330"/>
      <c r="CC648" s="116"/>
      <c r="CG648" s="242"/>
      <c r="CH648" s="116"/>
      <c r="CI648" s="116"/>
      <c r="CJ648" s="116"/>
      <c r="CL648" s="116"/>
      <c r="CN648" s="239"/>
      <c r="CO648" s="153"/>
      <c r="DM648" s="116"/>
      <c r="DN648" s="116"/>
      <c r="DO648" s="116"/>
      <c r="DP648" s="116"/>
      <c r="DW648" s="116"/>
      <c r="DX648" s="219"/>
      <c r="DY648" s="219"/>
      <c r="DZ648" s="116"/>
      <c r="EA648" s="116"/>
      <c r="EB648" s="116"/>
      <c r="EC648" s="116"/>
      <c r="ED648" s="116"/>
      <c r="EF648" s="332"/>
      <c r="EG648" s="116"/>
      <c r="EH648" s="116"/>
      <c r="EI648" s="116"/>
      <c r="EJ648" s="116"/>
      <c r="EK648" s="116"/>
      <c r="EM648" s="116"/>
      <c r="EN648" s="116"/>
      <c r="EO648" s="116"/>
      <c r="EQ648" s="116"/>
      <c r="ER648" s="116"/>
      <c r="ES648" s="116"/>
      <c r="ET648" s="116"/>
      <c r="EU648" s="116"/>
      <c r="EV648" s="116"/>
      <c r="EX648" s="116"/>
      <c r="EY648" s="116"/>
      <c r="EZ648" s="116"/>
      <c r="FA648" s="116"/>
      <c r="FB648" s="116"/>
    </row>
    <row r="649" spans="5:158" ht="13">
      <c r="E649" s="153"/>
      <c r="T649" s="153"/>
      <c r="BD649" s="31"/>
      <c r="BE649" s="31"/>
      <c r="BF649" s="31"/>
      <c r="BG649" s="31"/>
      <c r="BH649" s="31"/>
      <c r="BI649" s="116"/>
      <c r="BL649" s="196"/>
      <c r="BM649" s="239"/>
      <c r="BN649" s="330"/>
      <c r="BP649" s="330"/>
      <c r="BS649" s="116"/>
      <c r="BU649" s="331"/>
      <c r="BW649" s="116"/>
      <c r="BX649" s="116"/>
      <c r="BZ649" s="330"/>
      <c r="CB649" s="330"/>
      <c r="CC649" s="116"/>
      <c r="CG649" s="242"/>
      <c r="CH649" s="116"/>
      <c r="CI649" s="116"/>
      <c r="CJ649" s="116"/>
      <c r="CL649" s="116"/>
      <c r="CN649" s="239"/>
      <c r="CO649" s="153"/>
      <c r="DM649" s="116"/>
      <c r="DN649" s="116"/>
      <c r="DO649" s="116"/>
      <c r="DP649" s="116"/>
      <c r="DW649" s="116"/>
      <c r="DX649" s="219"/>
      <c r="DY649" s="219"/>
      <c r="DZ649" s="116"/>
      <c r="EA649" s="116"/>
      <c r="EB649" s="116"/>
      <c r="EC649" s="116"/>
      <c r="ED649" s="116"/>
      <c r="EF649" s="332"/>
      <c r="EG649" s="116"/>
      <c r="EH649" s="116"/>
      <c r="EI649" s="116"/>
      <c r="EJ649" s="116"/>
      <c r="EK649" s="116"/>
      <c r="EM649" s="116"/>
      <c r="EN649" s="116"/>
      <c r="EO649" s="116"/>
      <c r="EQ649" s="116"/>
      <c r="ER649" s="116"/>
      <c r="ES649" s="116"/>
      <c r="ET649" s="116"/>
      <c r="EU649" s="116"/>
      <c r="EV649" s="116"/>
      <c r="EX649" s="116"/>
      <c r="EY649" s="116"/>
      <c r="EZ649" s="116"/>
      <c r="FA649" s="116"/>
      <c r="FB649" s="116"/>
    </row>
    <row r="650" spans="5:158" ht="13">
      <c r="E650" s="153"/>
      <c r="T650" s="153"/>
      <c r="BD650" s="31"/>
      <c r="BE650" s="31"/>
      <c r="BF650" s="31"/>
      <c r="BG650" s="31"/>
      <c r="BH650" s="31"/>
      <c r="BI650" s="116"/>
      <c r="BL650" s="196"/>
      <c r="BM650" s="239"/>
      <c r="BN650" s="330"/>
      <c r="BP650" s="330"/>
      <c r="BS650" s="116"/>
      <c r="BU650" s="331"/>
      <c r="BW650" s="116"/>
      <c r="BX650" s="116"/>
      <c r="BZ650" s="330"/>
      <c r="CB650" s="330"/>
      <c r="CC650" s="116"/>
      <c r="CG650" s="242"/>
      <c r="CH650" s="116"/>
      <c r="CI650" s="116"/>
      <c r="CJ650" s="116"/>
      <c r="CL650" s="116"/>
      <c r="CN650" s="239"/>
      <c r="CO650" s="153"/>
      <c r="DM650" s="116"/>
      <c r="DN650" s="116"/>
      <c r="DO650" s="116"/>
      <c r="DP650" s="116"/>
      <c r="DW650" s="116"/>
      <c r="DX650" s="219"/>
      <c r="DY650" s="219"/>
      <c r="DZ650" s="116"/>
      <c r="EA650" s="116"/>
      <c r="EB650" s="116"/>
      <c r="EC650" s="116"/>
      <c r="ED650" s="116"/>
      <c r="EF650" s="332"/>
      <c r="EG650" s="116"/>
      <c r="EH650" s="116"/>
      <c r="EI650" s="116"/>
      <c r="EJ650" s="116"/>
      <c r="EK650" s="116"/>
      <c r="EM650" s="116"/>
      <c r="EN650" s="116"/>
      <c r="EO650" s="116"/>
      <c r="EQ650" s="116"/>
      <c r="ER650" s="116"/>
      <c r="ES650" s="116"/>
      <c r="ET650" s="116"/>
      <c r="EU650" s="116"/>
      <c r="EV650" s="116"/>
      <c r="EX650" s="116"/>
      <c r="EY650" s="116"/>
      <c r="EZ650" s="116"/>
      <c r="FA650" s="116"/>
      <c r="FB650" s="116"/>
    </row>
    <row r="651" spans="5:158" ht="13">
      <c r="E651" s="153"/>
      <c r="T651" s="153"/>
      <c r="BD651" s="31"/>
      <c r="BE651" s="31"/>
      <c r="BF651" s="31"/>
      <c r="BG651" s="31"/>
      <c r="BH651" s="31"/>
      <c r="BI651" s="116"/>
      <c r="BL651" s="196"/>
      <c r="BM651" s="239"/>
      <c r="BN651" s="330"/>
      <c r="BP651" s="330"/>
      <c r="BS651" s="116"/>
      <c r="BU651" s="331"/>
      <c r="BW651" s="116"/>
      <c r="BX651" s="116"/>
      <c r="BZ651" s="330"/>
      <c r="CB651" s="330"/>
      <c r="CC651" s="116"/>
      <c r="CG651" s="242"/>
      <c r="CH651" s="116"/>
      <c r="CI651" s="116"/>
      <c r="CJ651" s="116"/>
      <c r="CL651" s="116"/>
      <c r="CN651" s="239"/>
      <c r="CO651" s="153"/>
      <c r="DM651" s="116"/>
      <c r="DN651" s="116"/>
      <c r="DO651" s="116"/>
      <c r="DP651" s="116"/>
      <c r="DW651" s="116"/>
      <c r="DX651" s="219"/>
      <c r="DY651" s="219"/>
      <c r="DZ651" s="116"/>
      <c r="EA651" s="116"/>
      <c r="EB651" s="116"/>
      <c r="EC651" s="116"/>
      <c r="ED651" s="116"/>
      <c r="EF651" s="332"/>
      <c r="EG651" s="116"/>
      <c r="EH651" s="116"/>
      <c r="EI651" s="116"/>
      <c r="EJ651" s="116"/>
      <c r="EK651" s="116"/>
      <c r="EM651" s="116"/>
      <c r="EN651" s="116"/>
      <c r="EO651" s="116"/>
      <c r="EQ651" s="116"/>
      <c r="ER651" s="116"/>
      <c r="ES651" s="116"/>
      <c r="ET651" s="116"/>
      <c r="EU651" s="116"/>
      <c r="EV651" s="116"/>
      <c r="EX651" s="116"/>
      <c r="EY651" s="116"/>
      <c r="EZ651" s="116"/>
      <c r="FA651" s="116"/>
      <c r="FB651" s="116"/>
    </row>
    <row r="652" spans="5:158" ht="13">
      <c r="E652" s="153"/>
      <c r="T652" s="153"/>
      <c r="BD652" s="31"/>
      <c r="BE652" s="31"/>
      <c r="BF652" s="31"/>
      <c r="BG652" s="31"/>
      <c r="BH652" s="31"/>
      <c r="BI652" s="116"/>
      <c r="BL652" s="196"/>
      <c r="BM652" s="239"/>
      <c r="BN652" s="330"/>
      <c r="BP652" s="330"/>
      <c r="BS652" s="116"/>
      <c r="BU652" s="331"/>
      <c r="BW652" s="116"/>
      <c r="BX652" s="116"/>
      <c r="BZ652" s="330"/>
      <c r="CB652" s="330"/>
      <c r="CC652" s="116"/>
      <c r="CG652" s="242"/>
      <c r="CH652" s="116"/>
      <c r="CI652" s="116"/>
      <c r="CJ652" s="116"/>
      <c r="CL652" s="116"/>
      <c r="CN652" s="239"/>
      <c r="CO652" s="153"/>
      <c r="DM652" s="116"/>
      <c r="DN652" s="116"/>
      <c r="DO652" s="116"/>
      <c r="DP652" s="116"/>
      <c r="DW652" s="116"/>
      <c r="DX652" s="219"/>
      <c r="DY652" s="219"/>
      <c r="DZ652" s="116"/>
      <c r="EA652" s="116"/>
      <c r="EB652" s="116"/>
      <c r="EC652" s="116"/>
      <c r="ED652" s="116"/>
      <c r="EF652" s="332"/>
      <c r="EG652" s="116"/>
      <c r="EH652" s="116"/>
      <c r="EI652" s="116"/>
      <c r="EJ652" s="116"/>
      <c r="EK652" s="116"/>
      <c r="EM652" s="116"/>
      <c r="EN652" s="116"/>
      <c r="EO652" s="116"/>
      <c r="EQ652" s="116"/>
      <c r="ER652" s="116"/>
      <c r="ES652" s="116"/>
      <c r="ET652" s="116"/>
      <c r="EU652" s="116"/>
      <c r="EV652" s="116"/>
      <c r="EX652" s="116"/>
      <c r="EY652" s="116"/>
      <c r="EZ652" s="116"/>
      <c r="FA652" s="116"/>
      <c r="FB652" s="116"/>
    </row>
    <row r="653" spans="5:158" ht="13">
      <c r="E653" s="153"/>
      <c r="T653" s="153"/>
      <c r="BD653" s="31"/>
      <c r="BE653" s="31"/>
      <c r="BF653" s="31"/>
      <c r="BG653" s="31"/>
      <c r="BH653" s="31"/>
      <c r="BI653" s="116"/>
      <c r="BL653" s="196"/>
      <c r="BM653" s="239"/>
      <c r="BN653" s="330"/>
      <c r="BP653" s="330"/>
      <c r="BS653" s="116"/>
      <c r="BU653" s="331"/>
      <c r="BW653" s="116"/>
      <c r="BX653" s="116"/>
      <c r="BZ653" s="330"/>
      <c r="CB653" s="330"/>
      <c r="CC653" s="116"/>
      <c r="CG653" s="242"/>
      <c r="CH653" s="116"/>
      <c r="CI653" s="116"/>
      <c r="CJ653" s="116"/>
      <c r="CL653" s="116"/>
      <c r="CN653" s="239"/>
      <c r="CO653" s="153"/>
      <c r="DM653" s="116"/>
      <c r="DN653" s="116"/>
      <c r="DO653" s="116"/>
      <c r="DP653" s="116"/>
      <c r="DW653" s="116"/>
      <c r="DX653" s="219"/>
      <c r="DY653" s="219"/>
      <c r="DZ653" s="116"/>
      <c r="EA653" s="116"/>
      <c r="EB653" s="116"/>
      <c r="EC653" s="116"/>
      <c r="ED653" s="116"/>
      <c r="EF653" s="332"/>
      <c r="EG653" s="116"/>
      <c r="EH653" s="116"/>
      <c r="EI653" s="116"/>
      <c r="EJ653" s="116"/>
      <c r="EK653" s="116"/>
      <c r="EM653" s="116"/>
      <c r="EN653" s="116"/>
      <c r="EO653" s="116"/>
      <c r="EQ653" s="116"/>
      <c r="ER653" s="116"/>
      <c r="ES653" s="116"/>
      <c r="ET653" s="116"/>
      <c r="EU653" s="116"/>
      <c r="EV653" s="116"/>
      <c r="EX653" s="116"/>
      <c r="EY653" s="116"/>
      <c r="EZ653" s="116"/>
      <c r="FA653" s="116"/>
      <c r="FB653" s="116"/>
    </row>
    <row r="654" spans="5:158" ht="13">
      <c r="E654" s="153"/>
      <c r="T654" s="153"/>
      <c r="BD654" s="31"/>
      <c r="BE654" s="31"/>
      <c r="BF654" s="31"/>
      <c r="BG654" s="31"/>
      <c r="BH654" s="31"/>
      <c r="BI654" s="116"/>
      <c r="BL654" s="196"/>
      <c r="BM654" s="239"/>
      <c r="BN654" s="330"/>
      <c r="BP654" s="330"/>
      <c r="BS654" s="116"/>
      <c r="BU654" s="331"/>
      <c r="BW654" s="116"/>
      <c r="BX654" s="116"/>
      <c r="BZ654" s="330"/>
      <c r="CB654" s="330"/>
      <c r="CC654" s="116"/>
      <c r="CG654" s="242"/>
      <c r="CH654" s="116"/>
      <c r="CI654" s="116"/>
      <c r="CJ654" s="116"/>
      <c r="CL654" s="116"/>
      <c r="CN654" s="239"/>
      <c r="CO654" s="153"/>
      <c r="DM654" s="116"/>
      <c r="DN654" s="116"/>
      <c r="DO654" s="116"/>
      <c r="DP654" s="116"/>
      <c r="DW654" s="116"/>
      <c r="DX654" s="219"/>
      <c r="DY654" s="219"/>
      <c r="DZ654" s="116"/>
      <c r="EA654" s="116"/>
      <c r="EB654" s="116"/>
      <c r="EC654" s="116"/>
      <c r="ED654" s="116"/>
      <c r="EF654" s="332"/>
      <c r="EG654" s="116"/>
      <c r="EH654" s="116"/>
      <c r="EI654" s="116"/>
      <c r="EJ654" s="116"/>
      <c r="EK654" s="116"/>
      <c r="EM654" s="116"/>
      <c r="EN654" s="116"/>
      <c r="EO654" s="116"/>
      <c r="EQ654" s="116"/>
      <c r="ER654" s="116"/>
      <c r="ES654" s="116"/>
      <c r="ET654" s="116"/>
      <c r="EU654" s="116"/>
      <c r="EV654" s="116"/>
      <c r="EX654" s="116"/>
      <c r="EY654" s="116"/>
      <c r="EZ654" s="116"/>
      <c r="FA654" s="116"/>
      <c r="FB654" s="116"/>
    </row>
    <row r="655" spans="5:158" ht="13">
      <c r="E655" s="153"/>
      <c r="T655" s="153"/>
      <c r="BD655" s="31"/>
      <c r="BE655" s="31"/>
      <c r="BF655" s="31"/>
      <c r="BG655" s="31"/>
      <c r="BH655" s="31"/>
      <c r="BI655" s="116"/>
      <c r="BL655" s="196"/>
      <c r="BM655" s="239"/>
      <c r="BN655" s="330"/>
      <c r="BP655" s="330"/>
      <c r="BS655" s="116"/>
      <c r="BU655" s="331"/>
      <c r="BW655" s="116"/>
      <c r="BX655" s="116"/>
      <c r="BZ655" s="330"/>
      <c r="CB655" s="330"/>
      <c r="CC655" s="116"/>
      <c r="CG655" s="242"/>
      <c r="CH655" s="116"/>
      <c r="CI655" s="116"/>
      <c r="CJ655" s="116"/>
      <c r="CL655" s="116"/>
      <c r="CN655" s="239"/>
      <c r="CO655" s="153"/>
      <c r="DM655" s="116"/>
      <c r="DN655" s="116"/>
      <c r="DO655" s="116"/>
      <c r="DP655" s="116"/>
      <c r="DW655" s="116"/>
      <c r="DX655" s="219"/>
      <c r="DY655" s="219"/>
      <c r="DZ655" s="116"/>
      <c r="EA655" s="116"/>
      <c r="EB655" s="116"/>
      <c r="EC655" s="116"/>
      <c r="ED655" s="116"/>
      <c r="EF655" s="332"/>
      <c r="EG655" s="116"/>
      <c r="EH655" s="116"/>
      <c r="EI655" s="116"/>
      <c r="EJ655" s="116"/>
      <c r="EK655" s="116"/>
      <c r="EM655" s="116"/>
      <c r="EN655" s="116"/>
      <c r="EO655" s="116"/>
      <c r="EQ655" s="116"/>
      <c r="ER655" s="116"/>
      <c r="ES655" s="116"/>
      <c r="ET655" s="116"/>
      <c r="EU655" s="116"/>
      <c r="EV655" s="116"/>
      <c r="EX655" s="116"/>
      <c r="EY655" s="116"/>
      <c r="EZ655" s="116"/>
      <c r="FA655" s="116"/>
      <c r="FB655" s="116"/>
    </row>
    <row r="656" spans="5:158" ht="13">
      <c r="E656" s="153"/>
      <c r="T656" s="153"/>
      <c r="BD656" s="31"/>
      <c r="BE656" s="31"/>
      <c r="BF656" s="31"/>
      <c r="BG656" s="31"/>
      <c r="BH656" s="31"/>
      <c r="BI656" s="116"/>
      <c r="BL656" s="196"/>
      <c r="BM656" s="239"/>
      <c r="BN656" s="330"/>
      <c r="BP656" s="330"/>
      <c r="BS656" s="116"/>
      <c r="BU656" s="331"/>
      <c r="BW656" s="116"/>
      <c r="BX656" s="116"/>
      <c r="BZ656" s="330"/>
      <c r="CB656" s="330"/>
      <c r="CC656" s="116"/>
      <c r="CG656" s="242"/>
      <c r="CH656" s="116"/>
      <c r="CI656" s="116"/>
      <c r="CJ656" s="116"/>
      <c r="CL656" s="116"/>
      <c r="CN656" s="239"/>
      <c r="CO656" s="153"/>
      <c r="DM656" s="116"/>
      <c r="DN656" s="116"/>
      <c r="DO656" s="116"/>
      <c r="DP656" s="116"/>
      <c r="DW656" s="116"/>
      <c r="DX656" s="219"/>
      <c r="DY656" s="219"/>
      <c r="DZ656" s="116"/>
      <c r="EA656" s="116"/>
      <c r="EB656" s="116"/>
      <c r="EC656" s="116"/>
      <c r="ED656" s="116"/>
      <c r="EF656" s="332"/>
      <c r="EG656" s="116"/>
      <c r="EH656" s="116"/>
      <c r="EI656" s="116"/>
      <c r="EJ656" s="116"/>
      <c r="EK656" s="116"/>
      <c r="EM656" s="116"/>
      <c r="EN656" s="116"/>
      <c r="EO656" s="116"/>
      <c r="EQ656" s="116"/>
      <c r="ER656" s="116"/>
      <c r="ES656" s="116"/>
      <c r="ET656" s="116"/>
      <c r="EU656" s="116"/>
      <c r="EV656" s="116"/>
      <c r="EX656" s="116"/>
      <c r="EY656" s="116"/>
      <c r="EZ656" s="116"/>
      <c r="FA656" s="116"/>
      <c r="FB656" s="116"/>
    </row>
    <row r="657" spans="5:158" ht="13">
      <c r="E657" s="153"/>
      <c r="T657" s="153"/>
      <c r="BD657" s="31"/>
      <c r="BE657" s="31"/>
      <c r="BF657" s="31"/>
      <c r="BG657" s="31"/>
      <c r="BH657" s="31"/>
      <c r="BI657" s="116"/>
      <c r="BL657" s="196"/>
      <c r="BM657" s="239"/>
      <c r="BN657" s="330"/>
      <c r="BP657" s="330"/>
      <c r="BS657" s="116"/>
      <c r="BU657" s="331"/>
      <c r="BW657" s="116"/>
      <c r="BX657" s="116"/>
      <c r="BZ657" s="330"/>
      <c r="CB657" s="330"/>
      <c r="CC657" s="116"/>
      <c r="CG657" s="242"/>
      <c r="CH657" s="116"/>
      <c r="CI657" s="116"/>
      <c r="CJ657" s="116"/>
      <c r="CL657" s="116"/>
      <c r="CN657" s="239"/>
      <c r="CO657" s="153"/>
      <c r="DM657" s="116"/>
      <c r="DN657" s="116"/>
      <c r="DO657" s="116"/>
      <c r="DP657" s="116"/>
      <c r="DW657" s="116"/>
      <c r="DX657" s="219"/>
      <c r="DY657" s="219"/>
      <c r="DZ657" s="116"/>
      <c r="EA657" s="116"/>
      <c r="EB657" s="116"/>
      <c r="EC657" s="116"/>
      <c r="ED657" s="116"/>
      <c r="EF657" s="332"/>
      <c r="EG657" s="116"/>
      <c r="EH657" s="116"/>
      <c r="EI657" s="116"/>
      <c r="EJ657" s="116"/>
      <c r="EK657" s="116"/>
      <c r="EM657" s="116"/>
      <c r="EN657" s="116"/>
      <c r="EO657" s="116"/>
      <c r="EQ657" s="116"/>
      <c r="ER657" s="116"/>
      <c r="ES657" s="116"/>
      <c r="ET657" s="116"/>
      <c r="EU657" s="116"/>
      <c r="EV657" s="116"/>
      <c r="EX657" s="116"/>
      <c r="EY657" s="116"/>
      <c r="EZ657" s="116"/>
      <c r="FA657" s="116"/>
      <c r="FB657" s="116"/>
    </row>
    <row r="658" spans="5:158" ht="13">
      <c r="E658" s="153"/>
      <c r="T658" s="153"/>
      <c r="BD658" s="31"/>
      <c r="BE658" s="31"/>
      <c r="BF658" s="31"/>
      <c r="BG658" s="31"/>
      <c r="BH658" s="31"/>
      <c r="BI658" s="116"/>
      <c r="BL658" s="196"/>
      <c r="BM658" s="239"/>
      <c r="BN658" s="330"/>
      <c r="BP658" s="330"/>
      <c r="BS658" s="116"/>
      <c r="BU658" s="331"/>
      <c r="BW658" s="116"/>
      <c r="BX658" s="116"/>
      <c r="BZ658" s="330"/>
      <c r="CB658" s="330"/>
      <c r="CC658" s="116"/>
      <c r="CG658" s="242"/>
      <c r="CH658" s="116"/>
      <c r="CI658" s="116"/>
      <c r="CJ658" s="116"/>
      <c r="CL658" s="116"/>
      <c r="CN658" s="239"/>
      <c r="CO658" s="153"/>
      <c r="DM658" s="116"/>
      <c r="DN658" s="116"/>
      <c r="DO658" s="116"/>
      <c r="DP658" s="116"/>
      <c r="DW658" s="116"/>
      <c r="DX658" s="219"/>
      <c r="DY658" s="219"/>
      <c r="DZ658" s="116"/>
      <c r="EA658" s="116"/>
      <c r="EB658" s="116"/>
      <c r="EC658" s="116"/>
      <c r="ED658" s="116"/>
      <c r="EF658" s="332"/>
      <c r="EG658" s="116"/>
      <c r="EH658" s="116"/>
      <c r="EI658" s="116"/>
      <c r="EJ658" s="116"/>
      <c r="EK658" s="116"/>
      <c r="EM658" s="116"/>
      <c r="EN658" s="116"/>
      <c r="EO658" s="116"/>
      <c r="EQ658" s="116"/>
      <c r="ER658" s="116"/>
      <c r="ES658" s="116"/>
      <c r="ET658" s="116"/>
      <c r="EU658" s="116"/>
      <c r="EV658" s="116"/>
      <c r="EX658" s="116"/>
      <c r="EY658" s="116"/>
      <c r="EZ658" s="116"/>
      <c r="FA658" s="116"/>
      <c r="FB658" s="116"/>
    </row>
    <row r="659" spans="5:158" ht="13">
      <c r="E659" s="153"/>
      <c r="T659" s="153"/>
      <c r="BD659" s="31"/>
      <c r="BE659" s="31"/>
      <c r="BF659" s="31"/>
      <c r="BG659" s="31"/>
      <c r="BH659" s="31"/>
      <c r="BI659" s="116"/>
      <c r="BL659" s="196"/>
      <c r="BM659" s="239"/>
      <c r="BN659" s="330"/>
      <c r="BP659" s="330"/>
      <c r="BS659" s="116"/>
      <c r="BU659" s="331"/>
      <c r="BW659" s="116"/>
      <c r="BX659" s="116"/>
      <c r="BZ659" s="330"/>
      <c r="CB659" s="330"/>
      <c r="CC659" s="116"/>
      <c r="CG659" s="242"/>
      <c r="CH659" s="116"/>
      <c r="CI659" s="116"/>
      <c r="CJ659" s="116"/>
      <c r="CL659" s="116"/>
      <c r="CN659" s="239"/>
      <c r="CO659" s="153"/>
      <c r="DM659" s="116"/>
      <c r="DN659" s="116"/>
      <c r="DO659" s="116"/>
      <c r="DP659" s="116"/>
      <c r="DW659" s="116"/>
      <c r="DX659" s="219"/>
      <c r="DY659" s="219"/>
      <c r="DZ659" s="116"/>
      <c r="EA659" s="116"/>
      <c r="EB659" s="116"/>
      <c r="EC659" s="116"/>
      <c r="ED659" s="116"/>
      <c r="EF659" s="332"/>
      <c r="EG659" s="116"/>
      <c r="EH659" s="116"/>
      <c r="EI659" s="116"/>
      <c r="EJ659" s="116"/>
      <c r="EK659" s="116"/>
      <c r="EM659" s="116"/>
      <c r="EN659" s="116"/>
      <c r="EO659" s="116"/>
      <c r="EQ659" s="116"/>
      <c r="ER659" s="116"/>
      <c r="ES659" s="116"/>
      <c r="ET659" s="116"/>
      <c r="EU659" s="116"/>
      <c r="EV659" s="116"/>
      <c r="EX659" s="116"/>
      <c r="EY659" s="116"/>
      <c r="EZ659" s="116"/>
      <c r="FA659" s="116"/>
      <c r="FB659" s="116"/>
    </row>
    <row r="660" spans="5:158" ht="13">
      <c r="E660" s="153"/>
      <c r="T660" s="153"/>
      <c r="BD660" s="31"/>
      <c r="BE660" s="31"/>
      <c r="BF660" s="31"/>
      <c r="BG660" s="31"/>
      <c r="BH660" s="31"/>
      <c r="BI660" s="116"/>
      <c r="BL660" s="196"/>
      <c r="BM660" s="239"/>
      <c r="BN660" s="330"/>
      <c r="BP660" s="330"/>
      <c r="BS660" s="116"/>
      <c r="BU660" s="331"/>
      <c r="BW660" s="116"/>
      <c r="BX660" s="116"/>
      <c r="BZ660" s="330"/>
      <c r="CB660" s="330"/>
      <c r="CC660" s="116"/>
      <c r="CG660" s="242"/>
      <c r="CH660" s="116"/>
      <c r="CI660" s="116"/>
      <c r="CJ660" s="116"/>
      <c r="CL660" s="116"/>
      <c r="CN660" s="239"/>
      <c r="CO660" s="153"/>
      <c r="DM660" s="116"/>
      <c r="DN660" s="116"/>
      <c r="DO660" s="116"/>
      <c r="DP660" s="116"/>
      <c r="DW660" s="116"/>
      <c r="DX660" s="219"/>
      <c r="DY660" s="219"/>
      <c r="DZ660" s="116"/>
      <c r="EA660" s="116"/>
      <c r="EB660" s="116"/>
      <c r="EC660" s="116"/>
      <c r="ED660" s="116"/>
      <c r="EF660" s="332"/>
      <c r="EG660" s="116"/>
      <c r="EH660" s="116"/>
      <c r="EI660" s="116"/>
      <c r="EJ660" s="116"/>
      <c r="EK660" s="116"/>
      <c r="EM660" s="116"/>
      <c r="EN660" s="116"/>
      <c r="EO660" s="116"/>
      <c r="EQ660" s="116"/>
      <c r="ER660" s="116"/>
      <c r="ES660" s="116"/>
      <c r="ET660" s="116"/>
      <c r="EU660" s="116"/>
      <c r="EV660" s="116"/>
      <c r="EX660" s="116"/>
      <c r="EY660" s="116"/>
      <c r="EZ660" s="116"/>
      <c r="FA660" s="116"/>
      <c r="FB660" s="116"/>
    </row>
    <row r="661" spans="5:158" ht="13">
      <c r="E661" s="153"/>
      <c r="T661" s="153"/>
      <c r="BD661" s="31"/>
      <c r="BE661" s="31"/>
      <c r="BF661" s="31"/>
      <c r="BG661" s="31"/>
      <c r="BH661" s="31"/>
      <c r="BI661" s="116"/>
      <c r="BL661" s="196"/>
      <c r="BM661" s="239"/>
      <c r="BN661" s="330"/>
      <c r="BP661" s="330"/>
      <c r="BS661" s="116"/>
      <c r="BU661" s="331"/>
      <c r="BW661" s="116"/>
      <c r="BX661" s="116"/>
      <c r="BZ661" s="330"/>
      <c r="CB661" s="330"/>
      <c r="CC661" s="116"/>
      <c r="CG661" s="242"/>
      <c r="CH661" s="116"/>
      <c r="CI661" s="116"/>
      <c r="CJ661" s="116"/>
      <c r="CL661" s="116"/>
      <c r="CN661" s="239"/>
      <c r="CO661" s="153"/>
      <c r="DM661" s="116"/>
      <c r="DN661" s="116"/>
      <c r="DO661" s="116"/>
      <c r="DP661" s="116"/>
      <c r="DW661" s="116"/>
      <c r="DX661" s="219"/>
      <c r="DY661" s="219"/>
      <c r="DZ661" s="116"/>
      <c r="EA661" s="116"/>
      <c r="EB661" s="116"/>
      <c r="EC661" s="116"/>
      <c r="ED661" s="116"/>
      <c r="EF661" s="332"/>
      <c r="EG661" s="116"/>
      <c r="EH661" s="116"/>
      <c r="EI661" s="116"/>
      <c r="EJ661" s="116"/>
      <c r="EK661" s="116"/>
      <c r="EM661" s="116"/>
      <c r="EN661" s="116"/>
      <c r="EO661" s="116"/>
      <c r="EQ661" s="116"/>
      <c r="ER661" s="116"/>
      <c r="ES661" s="116"/>
      <c r="ET661" s="116"/>
      <c r="EU661" s="116"/>
      <c r="EV661" s="116"/>
      <c r="EX661" s="116"/>
      <c r="EY661" s="116"/>
      <c r="EZ661" s="116"/>
      <c r="FA661" s="116"/>
      <c r="FB661" s="116"/>
    </row>
    <row r="662" spans="5:158" ht="13">
      <c r="E662" s="153"/>
      <c r="T662" s="153"/>
      <c r="BD662" s="31"/>
      <c r="BE662" s="31"/>
      <c r="BF662" s="31"/>
      <c r="BG662" s="31"/>
      <c r="BH662" s="31"/>
      <c r="BI662" s="116"/>
      <c r="BL662" s="196"/>
      <c r="BM662" s="239"/>
      <c r="BN662" s="330"/>
      <c r="BP662" s="330"/>
      <c r="BS662" s="116"/>
      <c r="BU662" s="331"/>
      <c r="BW662" s="116"/>
      <c r="BX662" s="116"/>
      <c r="BZ662" s="330"/>
      <c r="CB662" s="330"/>
      <c r="CC662" s="116"/>
      <c r="CG662" s="242"/>
      <c r="CH662" s="116"/>
      <c r="CI662" s="116"/>
      <c r="CJ662" s="116"/>
      <c r="CL662" s="116"/>
      <c r="CN662" s="239"/>
      <c r="CO662" s="153"/>
      <c r="DM662" s="116"/>
      <c r="DN662" s="116"/>
      <c r="DO662" s="116"/>
      <c r="DP662" s="116"/>
      <c r="DW662" s="116"/>
      <c r="DX662" s="219"/>
      <c r="DY662" s="219"/>
      <c r="DZ662" s="116"/>
      <c r="EA662" s="116"/>
      <c r="EB662" s="116"/>
      <c r="EC662" s="116"/>
      <c r="ED662" s="116"/>
      <c r="EF662" s="332"/>
      <c r="EG662" s="116"/>
      <c r="EH662" s="116"/>
      <c r="EI662" s="116"/>
      <c r="EJ662" s="116"/>
      <c r="EK662" s="116"/>
      <c r="EM662" s="116"/>
      <c r="EN662" s="116"/>
      <c r="EO662" s="116"/>
      <c r="EQ662" s="116"/>
      <c r="ER662" s="116"/>
      <c r="ES662" s="116"/>
      <c r="ET662" s="116"/>
      <c r="EU662" s="116"/>
      <c r="EV662" s="116"/>
      <c r="EX662" s="116"/>
      <c r="EY662" s="116"/>
      <c r="EZ662" s="116"/>
      <c r="FA662" s="116"/>
      <c r="FB662" s="116"/>
    </row>
    <row r="663" spans="5:158" ht="13">
      <c r="E663" s="153"/>
      <c r="T663" s="153"/>
      <c r="BD663" s="31"/>
      <c r="BE663" s="31"/>
      <c r="BF663" s="31"/>
      <c r="BG663" s="31"/>
      <c r="BH663" s="31"/>
      <c r="BI663" s="116"/>
      <c r="BL663" s="196"/>
      <c r="BM663" s="239"/>
      <c r="BN663" s="330"/>
      <c r="BP663" s="330"/>
      <c r="BS663" s="116"/>
      <c r="BU663" s="331"/>
      <c r="BW663" s="116"/>
      <c r="BX663" s="116"/>
      <c r="BZ663" s="330"/>
      <c r="CB663" s="330"/>
      <c r="CC663" s="116"/>
      <c r="CG663" s="242"/>
      <c r="CH663" s="116"/>
      <c r="CI663" s="116"/>
      <c r="CJ663" s="116"/>
      <c r="CL663" s="116"/>
      <c r="CN663" s="239"/>
      <c r="CO663" s="153"/>
      <c r="DM663" s="116"/>
      <c r="DN663" s="116"/>
      <c r="DO663" s="116"/>
      <c r="DP663" s="116"/>
      <c r="DW663" s="116"/>
      <c r="DX663" s="219"/>
      <c r="DY663" s="219"/>
      <c r="DZ663" s="116"/>
      <c r="EA663" s="116"/>
      <c r="EB663" s="116"/>
      <c r="EC663" s="116"/>
      <c r="ED663" s="116"/>
      <c r="EF663" s="332"/>
      <c r="EG663" s="116"/>
      <c r="EH663" s="116"/>
      <c r="EI663" s="116"/>
      <c r="EJ663" s="116"/>
      <c r="EK663" s="116"/>
      <c r="EM663" s="116"/>
      <c r="EN663" s="116"/>
      <c r="EO663" s="116"/>
      <c r="EQ663" s="116"/>
      <c r="ER663" s="116"/>
      <c r="ES663" s="116"/>
      <c r="ET663" s="116"/>
      <c r="EU663" s="116"/>
      <c r="EV663" s="116"/>
      <c r="EX663" s="116"/>
      <c r="EY663" s="116"/>
      <c r="EZ663" s="116"/>
      <c r="FA663" s="116"/>
      <c r="FB663" s="116"/>
    </row>
    <row r="664" spans="5:158" ht="13">
      <c r="E664" s="153"/>
      <c r="T664" s="153"/>
      <c r="BD664" s="31"/>
      <c r="BE664" s="31"/>
      <c r="BF664" s="31"/>
      <c r="BG664" s="31"/>
      <c r="BH664" s="31"/>
      <c r="BI664" s="116"/>
      <c r="BL664" s="196"/>
      <c r="BM664" s="239"/>
      <c r="BN664" s="330"/>
      <c r="BP664" s="330"/>
      <c r="BS664" s="116"/>
      <c r="BU664" s="331"/>
      <c r="BW664" s="116"/>
      <c r="BX664" s="116"/>
      <c r="BZ664" s="330"/>
      <c r="CB664" s="330"/>
      <c r="CC664" s="116"/>
      <c r="CG664" s="242"/>
      <c r="CH664" s="116"/>
      <c r="CI664" s="116"/>
      <c r="CJ664" s="116"/>
      <c r="CL664" s="116"/>
      <c r="CN664" s="239"/>
      <c r="CO664" s="153"/>
      <c r="DM664" s="116"/>
      <c r="DN664" s="116"/>
      <c r="DO664" s="116"/>
      <c r="DP664" s="116"/>
      <c r="DW664" s="116"/>
      <c r="DX664" s="219"/>
      <c r="DY664" s="219"/>
      <c r="DZ664" s="116"/>
      <c r="EA664" s="116"/>
      <c r="EB664" s="116"/>
      <c r="EC664" s="116"/>
      <c r="ED664" s="116"/>
      <c r="EF664" s="332"/>
      <c r="EG664" s="116"/>
      <c r="EH664" s="116"/>
      <c r="EI664" s="116"/>
      <c r="EJ664" s="116"/>
      <c r="EK664" s="116"/>
      <c r="EM664" s="116"/>
      <c r="EN664" s="116"/>
      <c r="EO664" s="116"/>
      <c r="EQ664" s="116"/>
      <c r="ER664" s="116"/>
      <c r="ES664" s="116"/>
      <c r="ET664" s="116"/>
      <c r="EU664" s="116"/>
      <c r="EV664" s="116"/>
      <c r="EX664" s="116"/>
      <c r="EY664" s="116"/>
      <c r="EZ664" s="116"/>
      <c r="FA664" s="116"/>
      <c r="FB664" s="116"/>
    </row>
    <row r="665" spans="5:158" ht="13">
      <c r="E665" s="153"/>
      <c r="T665" s="153"/>
      <c r="BD665" s="31"/>
      <c r="BE665" s="31"/>
      <c r="BF665" s="31"/>
      <c r="BG665" s="31"/>
      <c r="BH665" s="31"/>
      <c r="BI665" s="116"/>
      <c r="BL665" s="196"/>
      <c r="BM665" s="239"/>
      <c r="BN665" s="330"/>
      <c r="BP665" s="330"/>
      <c r="BS665" s="116"/>
      <c r="BU665" s="331"/>
      <c r="BW665" s="116"/>
      <c r="BX665" s="116"/>
      <c r="BZ665" s="330"/>
      <c r="CB665" s="330"/>
      <c r="CC665" s="116"/>
      <c r="CG665" s="242"/>
      <c r="CH665" s="116"/>
      <c r="CI665" s="116"/>
      <c r="CJ665" s="116"/>
      <c r="CL665" s="116"/>
      <c r="CN665" s="239"/>
      <c r="CO665" s="153"/>
      <c r="DM665" s="116"/>
      <c r="DN665" s="116"/>
      <c r="DO665" s="116"/>
      <c r="DP665" s="116"/>
      <c r="DW665" s="116"/>
      <c r="DX665" s="219"/>
      <c r="DY665" s="219"/>
      <c r="DZ665" s="116"/>
      <c r="EA665" s="116"/>
      <c r="EB665" s="116"/>
      <c r="EC665" s="116"/>
      <c r="ED665" s="116"/>
      <c r="EF665" s="332"/>
      <c r="EG665" s="116"/>
      <c r="EH665" s="116"/>
      <c r="EI665" s="116"/>
      <c r="EJ665" s="116"/>
      <c r="EK665" s="116"/>
      <c r="EM665" s="116"/>
      <c r="EN665" s="116"/>
      <c r="EO665" s="116"/>
      <c r="EQ665" s="116"/>
      <c r="ER665" s="116"/>
      <c r="ES665" s="116"/>
      <c r="ET665" s="116"/>
      <c r="EU665" s="116"/>
      <c r="EV665" s="116"/>
      <c r="EX665" s="116"/>
      <c r="EY665" s="116"/>
      <c r="EZ665" s="116"/>
      <c r="FA665" s="116"/>
      <c r="FB665" s="116"/>
    </row>
    <row r="666" spans="5:158" ht="13">
      <c r="E666" s="153"/>
      <c r="T666" s="153"/>
      <c r="BD666" s="31"/>
      <c r="BE666" s="31"/>
      <c r="BF666" s="31"/>
      <c r="BG666" s="31"/>
      <c r="BH666" s="31"/>
      <c r="BI666" s="116"/>
      <c r="BL666" s="196"/>
      <c r="BM666" s="239"/>
      <c r="BN666" s="330"/>
      <c r="BP666" s="330"/>
      <c r="BS666" s="116"/>
      <c r="BU666" s="331"/>
      <c r="BW666" s="116"/>
      <c r="BX666" s="116"/>
      <c r="BZ666" s="330"/>
      <c r="CB666" s="330"/>
      <c r="CC666" s="116"/>
      <c r="CG666" s="242"/>
      <c r="CH666" s="116"/>
      <c r="CI666" s="116"/>
      <c r="CJ666" s="116"/>
      <c r="CL666" s="116"/>
      <c r="CN666" s="239"/>
      <c r="CO666" s="153"/>
      <c r="DM666" s="116"/>
      <c r="DN666" s="116"/>
      <c r="DO666" s="116"/>
      <c r="DP666" s="116"/>
      <c r="DW666" s="116"/>
      <c r="DX666" s="219"/>
      <c r="DY666" s="219"/>
      <c r="DZ666" s="116"/>
      <c r="EA666" s="116"/>
      <c r="EB666" s="116"/>
      <c r="EC666" s="116"/>
      <c r="ED666" s="116"/>
      <c r="EF666" s="332"/>
      <c r="EG666" s="116"/>
      <c r="EH666" s="116"/>
      <c r="EI666" s="116"/>
      <c r="EJ666" s="116"/>
      <c r="EK666" s="116"/>
      <c r="EM666" s="116"/>
      <c r="EN666" s="116"/>
      <c r="EO666" s="116"/>
      <c r="EQ666" s="116"/>
      <c r="ER666" s="116"/>
      <c r="ES666" s="116"/>
      <c r="ET666" s="116"/>
      <c r="EU666" s="116"/>
      <c r="EV666" s="116"/>
      <c r="EX666" s="116"/>
      <c r="EY666" s="116"/>
      <c r="EZ666" s="116"/>
      <c r="FA666" s="116"/>
      <c r="FB666" s="116"/>
    </row>
    <row r="667" spans="5:158" ht="13">
      <c r="E667" s="153"/>
      <c r="T667" s="153"/>
      <c r="BD667" s="31"/>
      <c r="BE667" s="31"/>
      <c r="BF667" s="31"/>
      <c r="BG667" s="31"/>
      <c r="BH667" s="31"/>
      <c r="BI667" s="116"/>
      <c r="BL667" s="196"/>
      <c r="BM667" s="239"/>
      <c r="BN667" s="330"/>
      <c r="BP667" s="330"/>
      <c r="BS667" s="116"/>
      <c r="BU667" s="331"/>
      <c r="BW667" s="116"/>
      <c r="BX667" s="116"/>
      <c r="BZ667" s="330"/>
      <c r="CB667" s="330"/>
      <c r="CC667" s="116"/>
      <c r="CG667" s="242"/>
      <c r="CH667" s="116"/>
      <c r="CI667" s="116"/>
      <c r="CJ667" s="116"/>
      <c r="CL667" s="116"/>
      <c r="CN667" s="239"/>
      <c r="CO667" s="153"/>
      <c r="DM667" s="116"/>
      <c r="DN667" s="116"/>
      <c r="DO667" s="116"/>
      <c r="DP667" s="116"/>
      <c r="DW667" s="116"/>
      <c r="DX667" s="219"/>
      <c r="DY667" s="219"/>
      <c r="DZ667" s="116"/>
      <c r="EA667" s="116"/>
      <c r="EB667" s="116"/>
      <c r="EC667" s="116"/>
      <c r="ED667" s="116"/>
      <c r="EF667" s="332"/>
      <c r="EG667" s="116"/>
      <c r="EH667" s="116"/>
      <c r="EI667" s="116"/>
      <c r="EJ667" s="116"/>
      <c r="EK667" s="116"/>
      <c r="EM667" s="116"/>
      <c r="EN667" s="116"/>
      <c r="EO667" s="116"/>
      <c r="EQ667" s="116"/>
      <c r="ER667" s="116"/>
      <c r="ES667" s="116"/>
      <c r="ET667" s="116"/>
      <c r="EU667" s="116"/>
      <c r="EV667" s="116"/>
      <c r="EX667" s="116"/>
      <c r="EY667" s="116"/>
      <c r="EZ667" s="116"/>
      <c r="FA667" s="116"/>
      <c r="FB667" s="116"/>
    </row>
    <row r="668" spans="5:158" ht="13">
      <c r="E668" s="153"/>
      <c r="T668" s="153"/>
      <c r="BD668" s="31"/>
      <c r="BE668" s="31"/>
      <c r="BF668" s="31"/>
      <c r="BG668" s="31"/>
      <c r="BH668" s="31"/>
      <c r="BI668" s="116"/>
      <c r="BL668" s="196"/>
      <c r="BM668" s="239"/>
      <c r="BN668" s="330"/>
      <c r="BP668" s="330"/>
      <c r="BS668" s="116"/>
      <c r="BU668" s="331"/>
      <c r="BW668" s="116"/>
      <c r="BX668" s="116"/>
      <c r="BZ668" s="330"/>
      <c r="CB668" s="330"/>
      <c r="CC668" s="116"/>
      <c r="CG668" s="242"/>
      <c r="CH668" s="116"/>
      <c r="CI668" s="116"/>
      <c r="CJ668" s="116"/>
      <c r="CL668" s="116"/>
      <c r="CN668" s="239"/>
      <c r="CO668" s="153"/>
      <c r="DM668" s="116"/>
      <c r="DN668" s="116"/>
      <c r="DO668" s="116"/>
      <c r="DP668" s="116"/>
      <c r="DW668" s="116"/>
      <c r="DX668" s="219"/>
      <c r="DY668" s="219"/>
      <c r="DZ668" s="116"/>
      <c r="EA668" s="116"/>
      <c r="EB668" s="116"/>
      <c r="EC668" s="116"/>
      <c r="ED668" s="116"/>
      <c r="EF668" s="332"/>
      <c r="EG668" s="116"/>
      <c r="EH668" s="116"/>
      <c r="EI668" s="116"/>
      <c r="EJ668" s="116"/>
      <c r="EK668" s="116"/>
      <c r="EM668" s="116"/>
      <c r="EN668" s="116"/>
      <c r="EO668" s="116"/>
      <c r="EQ668" s="116"/>
      <c r="ER668" s="116"/>
      <c r="ES668" s="116"/>
      <c r="ET668" s="116"/>
      <c r="EU668" s="116"/>
      <c r="EV668" s="116"/>
      <c r="EX668" s="116"/>
      <c r="EY668" s="116"/>
      <c r="EZ668" s="116"/>
      <c r="FA668" s="116"/>
      <c r="FB668" s="116"/>
    </row>
    <row r="669" spans="5:158" ht="13">
      <c r="E669" s="153"/>
      <c r="T669" s="153"/>
      <c r="BD669" s="31"/>
      <c r="BE669" s="31"/>
      <c r="BF669" s="31"/>
      <c r="BG669" s="31"/>
      <c r="BH669" s="31"/>
      <c r="BI669" s="116"/>
      <c r="BL669" s="196"/>
      <c r="BM669" s="239"/>
      <c r="BN669" s="330"/>
      <c r="BP669" s="330"/>
      <c r="BS669" s="116"/>
      <c r="BU669" s="331"/>
      <c r="BW669" s="116"/>
      <c r="BX669" s="116"/>
      <c r="BZ669" s="330"/>
      <c r="CB669" s="330"/>
      <c r="CC669" s="116"/>
      <c r="CG669" s="242"/>
      <c r="CH669" s="116"/>
      <c r="CI669" s="116"/>
      <c r="CJ669" s="116"/>
      <c r="CL669" s="116"/>
      <c r="CN669" s="239"/>
      <c r="CO669" s="153"/>
      <c r="DM669" s="116"/>
      <c r="DN669" s="116"/>
      <c r="DO669" s="116"/>
      <c r="DP669" s="116"/>
      <c r="DW669" s="116"/>
      <c r="DX669" s="219"/>
      <c r="DY669" s="219"/>
      <c r="DZ669" s="116"/>
      <c r="EA669" s="116"/>
      <c r="EB669" s="116"/>
      <c r="EC669" s="116"/>
      <c r="ED669" s="116"/>
      <c r="EF669" s="332"/>
      <c r="EG669" s="116"/>
      <c r="EH669" s="116"/>
      <c r="EI669" s="116"/>
      <c r="EJ669" s="116"/>
      <c r="EK669" s="116"/>
      <c r="EM669" s="116"/>
      <c r="EN669" s="116"/>
      <c r="EO669" s="116"/>
      <c r="EQ669" s="116"/>
      <c r="ER669" s="116"/>
      <c r="ES669" s="116"/>
      <c r="ET669" s="116"/>
      <c r="EU669" s="116"/>
      <c r="EV669" s="116"/>
      <c r="EX669" s="116"/>
      <c r="EY669" s="116"/>
      <c r="EZ669" s="116"/>
      <c r="FA669" s="116"/>
      <c r="FB669" s="116"/>
    </row>
    <row r="670" spans="5:158" ht="13">
      <c r="E670" s="153"/>
      <c r="T670" s="153"/>
      <c r="BD670" s="31"/>
      <c r="BE670" s="31"/>
      <c r="BF670" s="31"/>
      <c r="BG670" s="31"/>
      <c r="BH670" s="31"/>
      <c r="BI670" s="116"/>
      <c r="BL670" s="196"/>
      <c r="BM670" s="239"/>
      <c r="BN670" s="330"/>
      <c r="BP670" s="330"/>
      <c r="BS670" s="116"/>
      <c r="BU670" s="331"/>
      <c r="BW670" s="116"/>
      <c r="BX670" s="116"/>
      <c r="BZ670" s="330"/>
      <c r="CB670" s="330"/>
      <c r="CC670" s="116"/>
      <c r="CG670" s="242"/>
      <c r="CH670" s="116"/>
      <c r="CI670" s="116"/>
      <c r="CJ670" s="116"/>
      <c r="CL670" s="116"/>
      <c r="CN670" s="239"/>
      <c r="CO670" s="153"/>
      <c r="DM670" s="116"/>
      <c r="DN670" s="116"/>
      <c r="DO670" s="116"/>
      <c r="DP670" s="116"/>
      <c r="DW670" s="116"/>
      <c r="DX670" s="219"/>
      <c r="DY670" s="219"/>
      <c r="DZ670" s="116"/>
      <c r="EA670" s="116"/>
      <c r="EB670" s="116"/>
      <c r="EC670" s="116"/>
      <c r="ED670" s="116"/>
      <c r="EF670" s="332"/>
      <c r="EG670" s="116"/>
      <c r="EH670" s="116"/>
      <c r="EI670" s="116"/>
      <c r="EJ670" s="116"/>
      <c r="EK670" s="116"/>
      <c r="EM670" s="116"/>
      <c r="EN670" s="116"/>
      <c r="EO670" s="116"/>
      <c r="EQ670" s="116"/>
      <c r="ER670" s="116"/>
      <c r="ES670" s="116"/>
      <c r="ET670" s="116"/>
      <c r="EU670" s="116"/>
      <c r="EV670" s="116"/>
      <c r="EX670" s="116"/>
      <c r="EY670" s="116"/>
      <c r="EZ670" s="116"/>
      <c r="FA670" s="116"/>
      <c r="FB670" s="116"/>
    </row>
    <row r="671" spans="5:158" ht="13">
      <c r="E671" s="153"/>
      <c r="T671" s="153"/>
      <c r="BD671" s="31"/>
      <c r="BE671" s="31"/>
      <c r="BF671" s="31"/>
      <c r="BG671" s="31"/>
      <c r="BH671" s="31"/>
      <c r="BI671" s="116"/>
      <c r="BL671" s="196"/>
      <c r="BM671" s="239"/>
      <c r="BN671" s="330"/>
      <c r="BP671" s="330"/>
      <c r="BS671" s="116"/>
      <c r="BU671" s="331"/>
      <c r="BW671" s="116"/>
      <c r="BX671" s="116"/>
      <c r="BZ671" s="330"/>
      <c r="CB671" s="330"/>
      <c r="CC671" s="116"/>
      <c r="CG671" s="242"/>
      <c r="CH671" s="116"/>
      <c r="CI671" s="116"/>
      <c r="CJ671" s="116"/>
      <c r="CL671" s="116"/>
      <c r="CN671" s="239"/>
      <c r="CO671" s="153"/>
      <c r="DM671" s="116"/>
      <c r="DN671" s="116"/>
      <c r="DO671" s="116"/>
      <c r="DP671" s="116"/>
      <c r="DW671" s="116"/>
      <c r="DX671" s="219"/>
      <c r="DY671" s="219"/>
      <c r="DZ671" s="116"/>
      <c r="EA671" s="116"/>
      <c r="EB671" s="116"/>
      <c r="EC671" s="116"/>
      <c r="ED671" s="116"/>
      <c r="EF671" s="332"/>
      <c r="EG671" s="116"/>
      <c r="EH671" s="116"/>
      <c r="EI671" s="116"/>
      <c r="EJ671" s="116"/>
      <c r="EK671" s="116"/>
      <c r="EM671" s="116"/>
      <c r="EN671" s="116"/>
      <c r="EO671" s="116"/>
      <c r="EQ671" s="116"/>
      <c r="ER671" s="116"/>
      <c r="ES671" s="116"/>
      <c r="ET671" s="116"/>
      <c r="EU671" s="116"/>
      <c r="EV671" s="116"/>
      <c r="EX671" s="116"/>
      <c r="EY671" s="116"/>
      <c r="EZ671" s="116"/>
      <c r="FA671" s="116"/>
      <c r="FB671" s="116"/>
    </row>
    <row r="672" spans="5:158" ht="13">
      <c r="E672" s="153"/>
      <c r="T672" s="153"/>
      <c r="BD672" s="31"/>
      <c r="BE672" s="31"/>
      <c r="BF672" s="31"/>
      <c r="BG672" s="31"/>
      <c r="BH672" s="31"/>
      <c r="BI672" s="116"/>
      <c r="BL672" s="196"/>
      <c r="BM672" s="239"/>
      <c r="BN672" s="330"/>
      <c r="BP672" s="330"/>
      <c r="BS672" s="116"/>
      <c r="BU672" s="331"/>
      <c r="BW672" s="116"/>
      <c r="BX672" s="116"/>
      <c r="BZ672" s="330"/>
      <c r="CB672" s="330"/>
      <c r="CC672" s="116"/>
      <c r="CG672" s="242"/>
      <c r="CH672" s="116"/>
      <c r="CI672" s="116"/>
      <c r="CJ672" s="116"/>
      <c r="CL672" s="116"/>
      <c r="CN672" s="239"/>
      <c r="CO672" s="153"/>
      <c r="DM672" s="116"/>
      <c r="DN672" s="116"/>
      <c r="DO672" s="116"/>
      <c r="DP672" s="116"/>
      <c r="DW672" s="116"/>
      <c r="DX672" s="219"/>
      <c r="DY672" s="219"/>
      <c r="DZ672" s="116"/>
      <c r="EA672" s="116"/>
      <c r="EB672" s="116"/>
      <c r="EC672" s="116"/>
      <c r="ED672" s="116"/>
      <c r="EF672" s="332"/>
      <c r="EG672" s="116"/>
      <c r="EH672" s="116"/>
      <c r="EI672" s="116"/>
      <c r="EJ672" s="116"/>
      <c r="EK672" s="116"/>
      <c r="EM672" s="116"/>
      <c r="EN672" s="116"/>
      <c r="EO672" s="116"/>
      <c r="EQ672" s="116"/>
      <c r="ER672" s="116"/>
      <c r="ES672" s="116"/>
      <c r="ET672" s="116"/>
      <c r="EU672" s="116"/>
      <c r="EV672" s="116"/>
      <c r="EX672" s="116"/>
      <c r="EY672" s="116"/>
      <c r="EZ672" s="116"/>
      <c r="FA672" s="116"/>
      <c r="FB672" s="116"/>
    </row>
    <row r="673" spans="5:158" ht="13">
      <c r="E673" s="153"/>
      <c r="T673" s="153"/>
      <c r="BD673" s="31"/>
      <c r="BE673" s="31"/>
      <c r="BF673" s="31"/>
      <c r="BG673" s="31"/>
      <c r="BH673" s="31"/>
      <c r="BI673" s="116"/>
      <c r="BL673" s="196"/>
      <c r="BM673" s="239"/>
      <c r="BN673" s="330"/>
      <c r="BP673" s="330"/>
      <c r="BS673" s="116"/>
      <c r="BU673" s="331"/>
      <c r="BW673" s="116"/>
      <c r="BX673" s="116"/>
      <c r="BZ673" s="330"/>
      <c r="CB673" s="330"/>
      <c r="CC673" s="116"/>
      <c r="CG673" s="242"/>
      <c r="CH673" s="116"/>
      <c r="CI673" s="116"/>
      <c r="CJ673" s="116"/>
      <c r="CL673" s="116"/>
      <c r="CN673" s="239"/>
      <c r="CO673" s="153"/>
      <c r="DM673" s="116"/>
      <c r="DN673" s="116"/>
      <c r="DO673" s="116"/>
      <c r="DP673" s="116"/>
      <c r="DW673" s="116"/>
      <c r="DX673" s="219"/>
      <c r="DY673" s="219"/>
      <c r="DZ673" s="116"/>
      <c r="EA673" s="116"/>
      <c r="EB673" s="116"/>
      <c r="EC673" s="116"/>
      <c r="ED673" s="116"/>
      <c r="EF673" s="332"/>
      <c r="EG673" s="116"/>
      <c r="EH673" s="116"/>
      <c r="EI673" s="116"/>
      <c r="EJ673" s="116"/>
      <c r="EK673" s="116"/>
      <c r="EM673" s="116"/>
      <c r="EN673" s="116"/>
      <c r="EO673" s="116"/>
      <c r="EQ673" s="116"/>
      <c r="ER673" s="116"/>
      <c r="ES673" s="116"/>
      <c r="ET673" s="116"/>
      <c r="EU673" s="116"/>
      <c r="EV673" s="116"/>
      <c r="EX673" s="116"/>
      <c r="EY673" s="116"/>
      <c r="EZ673" s="116"/>
      <c r="FA673" s="116"/>
      <c r="FB673" s="116"/>
    </row>
    <row r="674" spans="5:158" ht="13">
      <c r="E674" s="153"/>
      <c r="T674" s="153"/>
      <c r="BD674" s="31"/>
      <c r="BE674" s="31"/>
      <c r="BF674" s="31"/>
      <c r="BG674" s="31"/>
      <c r="BH674" s="31"/>
      <c r="BI674" s="116"/>
      <c r="BL674" s="196"/>
      <c r="BM674" s="239"/>
      <c r="BN674" s="330"/>
      <c r="BP674" s="330"/>
      <c r="BS674" s="116"/>
      <c r="BU674" s="331"/>
      <c r="BW674" s="116"/>
      <c r="BX674" s="116"/>
      <c r="BZ674" s="330"/>
      <c r="CB674" s="330"/>
      <c r="CC674" s="116"/>
      <c r="CG674" s="242"/>
      <c r="CH674" s="116"/>
      <c r="CI674" s="116"/>
      <c r="CJ674" s="116"/>
      <c r="CL674" s="116"/>
      <c r="CN674" s="239"/>
      <c r="CO674" s="153"/>
      <c r="DM674" s="116"/>
      <c r="DN674" s="116"/>
      <c r="DO674" s="116"/>
      <c r="DP674" s="116"/>
      <c r="DW674" s="116"/>
      <c r="DX674" s="219"/>
      <c r="DY674" s="219"/>
      <c r="DZ674" s="116"/>
      <c r="EA674" s="116"/>
      <c r="EB674" s="116"/>
      <c r="EC674" s="116"/>
      <c r="ED674" s="116"/>
      <c r="EF674" s="332"/>
      <c r="EG674" s="116"/>
      <c r="EH674" s="116"/>
      <c r="EI674" s="116"/>
      <c r="EJ674" s="116"/>
      <c r="EK674" s="116"/>
      <c r="EM674" s="116"/>
      <c r="EN674" s="116"/>
      <c r="EO674" s="116"/>
      <c r="EQ674" s="116"/>
      <c r="ER674" s="116"/>
      <c r="ES674" s="116"/>
      <c r="ET674" s="116"/>
      <c r="EU674" s="116"/>
      <c r="EV674" s="116"/>
      <c r="EX674" s="116"/>
      <c r="EY674" s="116"/>
      <c r="EZ674" s="116"/>
      <c r="FA674" s="116"/>
      <c r="FB674" s="116"/>
    </row>
    <row r="675" spans="5:158" ht="13">
      <c r="E675" s="153"/>
      <c r="T675" s="153"/>
      <c r="BD675" s="31"/>
      <c r="BE675" s="31"/>
      <c r="BF675" s="31"/>
      <c r="BG675" s="31"/>
      <c r="BH675" s="31"/>
      <c r="BI675" s="116"/>
      <c r="BL675" s="196"/>
      <c r="BM675" s="239"/>
      <c r="BN675" s="330"/>
      <c r="BP675" s="330"/>
      <c r="BS675" s="116"/>
      <c r="BU675" s="331"/>
      <c r="BW675" s="116"/>
      <c r="BX675" s="116"/>
      <c r="BZ675" s="330"/>
      <c r="CB675" s="330"/>
      <c r="CC675" s="116"/>
      <c r="CG675" s="242"/>
      <c r="CH675" s="116"/>
      <c r="CI675" s="116"/>
      <c r="CJ675" s="116"/>
      <c r="CL675" s="116"/>
      <c r="CN675" s="239"/>
      <c r="CO675" s="153"/>
      <c r="DM675" s="116"/>
      <c r="DN675" s="116"/>
      <c r="DO675" s="116"/>
      <c r="DP675" s="116"/>
      <c r="DW675" s="116"/>
      <c r="DX675" s="219"/>
      <c r="DY675" s="219"/>
      <c r="DZ675" s="116"/>
      <c r="EA675" s="116"/>
      <c r="EB675" s="116"/>
      <c r="EC675" s="116"/>
      <c r="ED675" s="116"/>
      <c r="EF675" s="332"/>
      <c r="EG675" s="116"/>
      <c r="EH675" s="116"/>
      <c r="EI675" s="116"/>
      <c r="EJ675" s="116"/>
      <c r="EK675" s="116"/>
      <c r="EM675" s="116"/>
      <c r="EN675" s="116"/>
      <c r="EO675" s="116"/>
      <c r="EQ675" s="116"/>
      <c r="ER675" s="116"/>
      <c r="ES675" s="116"/>
      <c r="ET675" s="116"/>
      <c r="EU675" s="116"/>
      <c r="EV675" s="116"/>
      <c r="EX675" s="116"/>
      <c r="EY675" s="116"/>
      <c r="EZ675" s="116"/>
      <c r="FA675" s="116"/>
      <c r="FB675" s="116"/>
    </row>
    <row r="676" spans="5:158" ht="13">
      <c r="E676" s="153"/>
      <c r="T676" s="153"/>
      <c r="BD676" s="31"/>
      <c r="BE676" s="31"/>
      <c r="BF676" s="31"/>
      <c r="BG676" s="31"/>
      <c r="BH676" s="31"/>
      <c r="BI676" s="116"/>
      <c r="BL676" s="196"/>
      <c r="BM676" s="239"/>
      <c r="BN676" s="330"/>
      <c r="BP676" s="330"/>
      <c r="BS676" s="116"/>
      <c r="BU676" s="331"/>
      <c r="BW676" s="116"/>
      <c r="BX676" s="116"/>
      <c r="BZ676" s="330"/>
      <c r="CB676" s="330"/>
      <c r="CC676" s="116"/>
      <c r="CG676" s="242"/>
      <c r="CH676" s="116"/>
      <c r="CI676" s="116"/>
      <c r="CJ676" s="116"/>
      <c r="CL676" s="116"/>
      <c r="CN676" s="239"/>
      <c r="CO676" s="153"/>
      <c r="DM676" s="116"/>
      <c r="DN676" s="116"/>
      <c r="DO676" s="116"/>
      <c r="DP676" s="116"/>
      <c r="DW676" s="116"/>
      <c r="DX676" s="219"/>
      <c r="DY676" s="219"/>
      <c r="DZ676" s="116"/>
      <c r="EA676" s="116"/>
      <c r="EB676" s="116"/>
      <c r="EC676" s="116"/>
      <c r="ED676" s="116"/>
      <c r="EF676" s="332"/>
      <c r="EG676" s="116"/>
      <c r="EH676" s="116"/>
      <c r="EI676" s="116"/>
      <c r="EJ676" s="116"/>
      <c r="EK676" s="116"/>
      <c r="EM676" s="116"/>
      <c r="EN676" s="116"/>
      <c r="EO676" s="116"/>
      <c r="EQ676" s="116"/>
      <c r="ER676" s="116"/>
      <c r="ES676" s="116"/>
      <c r="ET676" s="116"/>
      <c r="EU676" s="116"/>
      <c r="EV676" s="116"/>
      <c r="EX676" s="116"/>
      <c r="EY676" s="116"/>
      <c r="EZ676" s="116"/>
      <c r="FA676" s="116"/>
      <c r="FB676" s="116"/>
    </row>
    <row r="677" spans="5:158" ht="13">
      <c r="E677" s="153"/>
      <c r="T677" s="153"/>
      <c r="BD677" s="31"/>
      <c r="BE677" s="31"/>
      <c r="BF677" s="31"/>
      <c r="BG677" s="31"/>
      <c r="BH677" s="31"/>
      <c r="BI677" s="116"/>
      <c r="BL677" s="196"/>
      <c r="BM677" s="239"/>
      <c r="BN677" s="330"/>
      <c r="BP677" s="330"/>
      <c r="BS677" s="116"/>
      <c r="BU677" s="331"/>
      <c r="BW677" s="116"/>
      <c r="BX677" s="116"/>
      <c r="BZ677" s="330"/>
      <c r="CB677" s="330"/>
      <c r="CC677" s="116"/>
      <c r="CG677" s="242"/>
      <c r="CH677" s="116"/>
      <c r="CI677" s="116"/>
      <c r="CJ677" s="116"/>
      <c r="CL677" s="116"/>
      <c r="CN677" s="239"/>
      <c r="CO677" s="153"/>
      <c r="DM677" s="116"/>
      <c r="DN677" s="116"/>
      <c r="DO677" s="116"/>
      <c r="DP677" s="116"/>
      <c r="DW677" s="116"/>
      <c r="DX677" s="219"/>
      <c r="DY677" s="219"/>
      <c r="DZ677" s="116"/>
      <c r="EA677" s="116"/>
      <c r="EB677" s="116"/>
      <c r="EC677" s="116"/>
      <c r="ED677" s="116"/>
      <c r="EF677" s="332"/>
      <c r="EG677" s="116"/>
      <c r="EH677" s="116"/>
      <c r="EI677" s="116"/>
      <c r="EJ677" s="116"/>
      <c r="EK677" s="116"/>
      <c r="EM677" s="116"/>
      <c r="EN677" s="116"/>
      <c r="EO677" s="116"/>
      <c r="EQ677" s="116"/>
      <c r="ER677" s="116"/>
      <c r="ES677" s="116"/>
      <c r="ET677" s="116"/>
      <c r="EU677" s="116"/>
      <c r="EV677" s="116"/>
      <c r="EX677" s="116"/>
      <c r="EY677" s="116"/>
      <c r="EZ677" s="116"/>
      <c r="FA677" s="116"/>
      <c r="FB677" s="116"/>
    </row>
    <row r="678" spans="5:158" ht="13">
      <c r="E678" s="153"/>
      <c r="T678" s="153"/>
      <c r="BD678" s="31"/>
      <c r="BE678" s="31"/>
      <c r="BF678" s="31"/>
      <c r="BG678" s="31"/>
      <c r="BH678" s="31"/>
      <c r="BI678" s="116"/>
      <c r="BL678" s="196"/>
      <c r="BM678" s="239"/>
      <c r="BN678" s="330"/>
      <c r="BP678" s="330"/>
      <c r="BS678" s="116"/>
      <c r="BU678" s="331"/>
      <c r="BW678" s="116"/>
      <c r="BX678" s="116"/>
      <c r="BZ678" s="330"/>
      <c r="CB678" s="330"/>
      <c r="CC678" s="116"/>
      <c r="CG678" s="242"/>
      <c r="CH678" s="116"/>
      <c r="CI678" s="116"/>
      <c r="CJ678" s="116"/>
      <c r="CL678" s="116"/>
      <c r="CN678" s="239"/>
      <c r="CO678" s="153"/>
      <c r="DM678" s="116"/>
      <c r="DN678" s="116"/>
      <c r="DO678" s="116"/>
      <c r="DP678" s="116"/>
      <c r="DW678" s="116"/>
      <c r="DX678" s="219"/>
      <c r="DY678" s="219"/>
      <c r="DZ678" s="116"/>
      <c r="EA678" s="116"/>
      <c r="EB678" s="116"/>
      <c r="EC678" s="116"/>
      <c r="ED678" s="116"/>
      <c r="EF678" s="332"/>
      <c r="EG678" s="116"/>
      <c r="EH678" s="116"/>
      <c r="EI678" s="116"/>
      <c r="EJ678" s="116"/>
      <c r="EK678" s="116"/>
      <c r="EM678" s="116"/>
      <c r="EN678" s="116"/>
      <c r="EO678" s="116"/>
      <c r="EQ678" s="116"/>
      <c r="ER678" s="116"/>
      <c r="ES678" s="116"/>
      <c r="ET678" s="116"/>
      <c r="EU678" s="116"/>
      <c r="EV678" s="116"/>
      <c r="EX678" s="116"/>
      <c r="EY678" s="116"/>
      <c r="EZ678" s="116"/>
      <c r="FA678" s="116"/>
      <c r="FB678" s="116"/>
    </row>
    <row r="679" spans="5:158" ht="13">
      <c r="E679" s="153"/>
      <c r="T679" s="153"/>
      <c r="BD679" s="31"/>
      <c r="BE679" s="31"/>
      <c r="BF679" s="31"/>
      <c r="BG679" s="31"/>
      <c r="BH679" s="31"/>
      <c r="BI679" s="116"/>
      <c r="BL679" s="196"/>
      <c r="BM679" s="239"/>
      <c r="BN679" s="330"/>
      <c r="BP679" s="330"/>
      <c r="BS679" s="116"/>
      <c r="BU679" s="331"/>
      <c r="BW679" s="116"/>
      <c r="BX679" s="116"/>
      <c r="BZ679" s="330"/>
      <c r="CB679" s="330"/>
      <c r="CC679" s="116"/>
      <c r="CG679" s="242"/>
      <c r="CH679" s="116"/>
      <c r="CI679" s="116"/>
      <c r="CJ679" s="116"/>
      <c r="CL679" s="116"/>
      <c r="CN679" s="239"/>
      <c r="CO679" s="153"/>
      <c r="DM679" s="116"/>
      <c r="DN679" s="116"/>
      <c r="DO679" s="116"/>
      <c r="DP679" s="116"/>
      <c r="DW679" s="116"/>
      <c r="DX679" s="219"/>
      <c r="DY679" s="219"/>
      <c r="DZ679" s="116"/>
      <c r="EA679" s="116"/>
      <c r="EB679" s="116"/>
      <c r="EC679" s="116"/>
      <c r="ED679" s="116"/>
      <c r="EF679" s="332"/>
      <c r="EG679" s="116"/>
      <c r="EH679" s="116"/>
      <c r="EI679" s="116"/>
      <c r="EJ679" s="116"/>
      <c r="EK679" s="116"/>
      <c r="EM679" s="116"/>
      <c r="EN679" s="116"/>
      <c r="EO679" s="116"/>
      <c r="EQ679" s="116"/>
      <c r="ER679" s="116"/>
      <c r="ES679" s="116"/>
      <c r="ET679" s="116"/>
      <c r="EU679" s="116"/>
      <c r="EV679" s="116"/>
      <c r="EX679" s="116"/>
      <c r="EY679" s="116"/>
      <c r="EZ679" s="116"/>
      <c r="FA679" s="116"/>
      <c r="FB679" s="116"/>
    </row>
    <row r="680" spans="5:158" ht="13">
      <c r="E680" s="153"/>
      <c r="T680" s="153"/>
      <c r="BD680" s="31"/>
      <c r="BE680" s="31"/>
      <c r="BF680" s="31"/>
      <c r="BG680" s="31"/>
      <c r="BH680" s="31"/>
      <c r="BI680" s="116"/>
      <c r="BL680" s="196"/>
      <c r="BM680" s="239"/>
      <c r="BN680" s="330"/>
      <c r="BP680" s="330"/>
      <c r="BS680" s="116"/>
      <c r="BU680" s="331"/>
      <c r="BW680" s="116"/>
      <c r="BX680" s="116"/>
      <c r="BZ680" s="330"/>
      <c r="CB680" s="330"/>
      <c r="CC680" s="116"/>
      <c r="CG680" s="242"/>
      <c r="CH680" s="116"/>
      <c r="CI680" s="116"/>
      <c r="CJ680" s="116"/>
      <c r="CL680" s="116"/>
      <c r="CN680" s="239"/>
      <c r="CO680" s="153"/>
      <c r="DM680" s="116"/>
      <c r="DN680" s="116"/>
      <c r="DO680" s="116"/>
      <c r="DP680" s="116"/>
      <c r="DW680" s="116"/>
      <c r="DX680" s="219"/>
      <c r="DY680" s="219"/>
      <c r="DZ680" s="116"/>
      <c r="EA680" s="116"/>
      <c r="EB680" s="116"/>
      <c r="EC680" s="116"/>
      <c r="ED680" s="116"/>
      <c r="EF680" s="332"/>
      <c r="EG680" s="116"/>
      <c r="EH680" s="116"/>
      <c r="EI680" s="116"/>
      <c r="EJ680" s="116"/>
      <c r="EK680" s="116"/>
      <c r="EM680" s="116"/>
      <c r="EN680" s="116"/>
      <c r="EO680" s="116"/>
      <c r="EQ680" s="116"/>
      <c r="ER680" s="116"/>
      <c r="ES680" s="116"/>
      <c r="ET680" s="116"/>
      <c r="EU680" s="116"/>
      <c r="EV680" s="116"/>
      <c r="EX680" s="116"/>
      <c r="EY680" s="116"/>
      <c r="EZ680" s="116"/>
      <c r="FA680" s="116"/>
      <c r="FB680" s="116"/>
    </row>
    <row r="681" spans="5:158" ht="13">
      <c r="E681" s="153"/>
      <c r="T681" s="153"/>
      <c r="BD681" s="31"/>
      <c r="BE681" s="31"/>
      <c r="BF681" s="31"/>
      <c r="BG681" s="31"/>
      <c r="BH681" s="31"/>
      <c r="BI681" s="116"/>
      <c r="BL681" s="196"/>
      <c r="BM681" s="239"/>
      <c r="BN681" s="330"/>
      <c r="BP681" s="330"/>
      <c r="BS681" s="116"/>
      <c r="BU681" s="331"/>
      <c r="BW681" s="116"/>
      <c r="BX681" s="116"/>
      <c r="BZ681" s="330"/>
      <c r="CB681" s="330"/>
      <c r="CC681" s="116"/>
      <c r="CG681" s="242"/>
      <c r="CH681" s="116"/>
      <c r="CI681" s="116"/>
      <c r="CJ681" s="116"/>
      <c r="CL681" s="116"/>
      <c r="CN681" s="239"/>
      <c r="CO681" s="153"/>
      <c r="DM681" s="116"/>
      <c r="DN681" s="116"/>
      <c r="DO681" s="116"/>
      <c r="DP681" s="116"/>
      <c r="DW681" s="116"/>
      <c r="DX681" s="219"/>
      <c r="DY681" s="219"/>
      <c r="DZ681" s="116"/>
      <c r="EA681" s="116"/>
      <c r="EB681" s="116"/>
      <c r="EC681" s="116"/>
      <c r="ED681" s="116"/>
      <c r="EF681" s="332"/>
      <c r="EG681" s="116"/>
      <c r="EH681" s="116"/>
      <c r="EI681" s="116"/>
      <c r="EJ681" s="116"/>
      <c r="EK681" s="116"/>
      <c r="EM681" s="116"/>
      <c r="EN681" s="116"/>
      <c r="EO681" s="116"/>
      <c r="EQ681" s="116"/>
      <c r="ER681" s="116"/>
      <c r="ES681" s="116"/>
      <c r="ET681" s="116"/>
      <c r="EU681" s="116"/>
      <c r="EV681" s="116"/>
      <c r="EX681" s="116"/>
      <c r="EY681" s="116"/>
      <c r="EZ681" s="116"/>
      <c r="FA681" s="116"/>
      <c r="FB681" s="116"/>
    </row>
    <row r="682" spans="5:158" ht="13">
      <c r="E682" s="153"/>
      <c r="T682" s="153"/>
      <c r="BD682" s="31"/>
      <c r="BE682" s="31"/>
      <c r="BF682" s="31"/>
      <c r="BG682" s="31"/>
      <c r="BH682" s="31"/>
      <c r="BI682" s="116"/>
      <c r="BL682" s="196"/>
      <c r="BM682" s="239"/>
      <c r="BN682" s="330"/>
      <c r="BP682" s="330"/>
      <c r="BS682" s="116"/>
      <c r="BU682" s="331"/>
      <c r="BW682" s="116"/>
      <c r="BX682" s="116"/>
      <c r="BZ682" s="330"/>
      <c r="CB682" s="330"/>
      <c r="CC682" s="116"/>
      <c r="CG682" s="242"/>
      <c r="CH682" s="116"/>
      <c r="CI682" s="116"/>
      <c r="CJ682" s="116"/>
      <c r="CL682" s="116"/>
      <c r="CN682" s="239"/>
      <c r="CO682" s="153"/>
      <c r="DM682" s="116"/>
      <c r="DN682" s="116"/>
      <c r="DO682" s="116"/>
      <c r="DP682" s="116"/>
      <c r="DW682" s="116"/>
      <c r="DX682" s="219"/>
      <c r="DY682" s="219"/>
      <c r="DZ682" s="116"/>
      <c r="EA682" s="116"/>
      <c r="EB682" s="116"/>
      <c r="EC682" s="116"/>
      <c r="ED682" s="116"/>
      <c r="EF682" s="332"/>
      <c r="EG682" s="116"/>
      <c r="EH682" s="116"/>
      <c r="EI682" s="116"/>
      <c r="EJ682" s="116"/>
      <c r="EK682" s="116"/>
      <c r="EM682" s="116"/>
      <c r="EN682" s="116"/>
      <c r="EO682" s="116"/>
      <c r="EQ682" s="116"/>
      <c r="ER682" s="116"/>
      <c r="ES682" s="116"/>
      <c r="ET682" s="116"/>
      <c r="EU682" s="116"/>
      <c r="EV682" s="116"/>
      <c r="EX682" s="116"/>
      <c r="EY682" s="116"/>
      <c r="EZ682" s="116"/>
      <c r="FA682" s="116"/>
      <c r="FB682" s="116"/>
    </row>
    <row r="683" spans="5:158" ht="13">
      <c r="E683" s="153"/>
      <c r="T683" s="153"/>
      <c r="BD683" s="31"/>
      <c r="BE683" s="31"/>
      <c r="BF683" s="31"/>
      <c r="BG683" s="31"/>
      <c r="BH683" s="31"/>
      <c r="BI683" s="116"/>
      <c r="BL683" s="196"/>
      <c r="BM683" s="239"/>
      <c r="BN683" s="330"/>
      <c r="BP683" s="330"/>
      <c r="BS683" s="116"/>
      <c r="BU683" s="331"/>
      <c r="BW683" s="116"/>
      <c r="BX683" s="116"/>
      <c r="BZ683" s="330"/>
      <c r="CB683" s="330"/>
      <c r="CC683" s="116"/>
      <c r="CG683" s="242"/>
      <c r="CH683" s="116"/>
      <c r="CI683" s="116"/>
      <c r="CJ683" s="116"/>
      <c r="CL683" s="116"/>
      <c r="CN683" s="239"/>
      <c r="CO683" s="153"/>
      <c r="DM683" s="116"/>
      <c r="DN683" s="116"/>
      <c r="DO683" s="116"/>
      <c r="DP683" s="116"/>
      <c r="DW683" s="116"/>
      <c r="DX683" s="219"/>
      <c r="DY683" s="219"/>
      <c r="DZ683" s="116"/>
      <c r="EA683" s="116"/>
      <c r="EB683" s="116"/>
      <c r="EC683" s="116"/>
      <c r="ED683" s="116"/>
      <c r="EF683" s="332"/>
      <c r="EG683" s="116"/>
      <c r="EH683" s="116"/>
      <c r="EI683" s="116"/>
      <c r="EJ683" s="116"/>
      <c r="EK683" s="116"/>
      <c r="EM683" s="116"/>
      <c r="EN683" s="116"/>
      <c r="EO683" s="116"/>
      <c r="EQ683" s="116"/>
      <c r="ER683" s="116"/>
      <c r="ES683" s="116"/>
      <c r="ET683" s="116"/>
      <c r="EU683" s="116"/>
      <c r="EV683" s="116"/>
      <c r="EX683" s="116"/>
      <c r="EY683" s="116"/>
      <c r="EZ683" s="116"/>
      <c r="FA683" s="116"/>
      <c r="FB683" s="116"/>
    </row>
    <row r="684" spans="5:158" ht="13">
      <c r="E684" s="153"/>
      <c r="T684" s="153"/>
      <c r="BD684" s="31"/>
      <c r="BE684" s="31"/>
      <c r="BF684" s="31"/>
      <c r="BG684" s="31"/>
      <c r="BH684" s="31"/>
      <c r="BI684" s="116"/>
      <c r="BL684" s="196"/>
      <c r="BM684" s="239"/>
      <c r="BN684" s="330"/>
      <c r="BP684" s="330"/>
      <c r="BS684" s="116"/>
      <c r="BU684" s="331"/>
      <c r="BW684" s="116"/>
      <c r="BX684" s="116"/>
      <c r="BZ684" s="330"/>
      <c r="CB684" s="330"/>
      <c r="CC684" s="116"/>
      <c r="CG684" s="242"/>
      <c r="CH684" s="116"/>
      <c r="CI684" s="116"/>
      <c r="CJ684" s="116"/>
      <c r="CL684" s="116"/>
      <c r="CN684" s="239"/>
      <c r="CO684" s="153"/>
      <c r="DM684" s="116"/>
      <c r="DN684" s="116"/>
      <c r="DO684" s="116"/>
      <c r="DP684" s="116"/>
      <c r="DW684" s="116"/>
      <c r="DX684" s="219"/>
      <c r="DY684" s="219"/>
      <c r="DZ684" s="116"/>
      <c r="EA684" s="116"/>
      <c r="EB684" s="116"/>
      <c r="EC684" s="116"/>
      <c r="ED684" s="116"/>
      <c r="EF684" s="332"/>
      <c r="EG684" s="116"/>
      <c r="EH684" s="116"/>
      <c r="EI684" s="116"/>
      <c r="EJ684" s="116"/>
      <c r="EK684" s="116"/>
      <c r="EM684" s="116"/>
      <c r="EN684" s="116"/>
      <c r="EO684" s="116"/>
      <c r="EQ684" s="116"/>
      <c r="ER684" s="116"/>
      <c r="ES684" s="116"/>
      <c r="ET684" s="116"/>
      <c r="EU684" s="116"/>
      <c r="EV684" s="116"/>
      <c r="EX684" s="116"/>
      <c r="EY684" s="116"/>
      <c r="EZ684" s="116"/>
      <c r="FA684" s="116"/>
      <c r="FB684" s="116"/>
    </row>
    <row r="685" spans="5:158" ht="13">
      <c r="E685" s="153"/>
      <c r="T685" s="153"/>
      <c r="BD685" s="31"/>
      <c r="BE685" s="31"/>
      <c r="BF685" s="31"/>
      <c r="BG685" s="31"/>
      <c r="BH685" s="31"/>
      <c r="BI685" s="116"/>
      <c r="BL685" s="196"/>
      <c r="BM685" s="239"/>
      <c r="BN685" s="330"/>
      <c r="BP685" s="330"/>
      <c r="BS685" s="116"/>
      <c r="BU685" s="331"/>
      <c r="BW685" s="116"/>
      <c r="BX685" s="116"/>
      <c r="BZ685" s="330"/>
      <c r="CB685" s="330"/>
      <c r="CC685" s="116"/>
      <c r="CG685" s="242"/>
      <c r="CH685" s="116"/>
      <c r="CI685" s="116"/>
      <c r="CJ685" s="116"/>
      <c r="CL685" s="116"/>
      <c r="CN685" s="239"/>
      <c r="CO685" s="153"/>
      <c r="DM685" s="116"/>
      <c r="DN685" s="116"/>
      <c r="DO685" s="116"/>
      <c r="DP685" s="116"/>
      <c r="DW685" s="116"/>
      <c r="DX685" s="219"/>
      <c r="DY685" s="219"/>
      <c r="DZ685" s="116"/>
      <c r="EA685" s="116"/>
      <c r="EB685" s="116"/>
      <c r="EC685" s="116"/>
      <c r="ED685" s="116"/>
      <c r="EF685" s="332"/>
      <c r="EG685" s="116"/>
      <c r="EH685" s="116"/>
      <c r="EI685" s="116"/>
      <c r="EJ685" s="116"/>
      <c r="EK685" s="116"/>
      <c r="EM685" s="116"/>
      <c r="EN685" s="116"/>
      <c r="EO685" s="116"/>
      <c r="EQ685" s="116"/>
      <c r="ER685" s="116"/>
      <c r="ES685" s="116"/>
      <c r="ET685" s="116"/>
      <c r="EU685" s="116"/>
      <c r="EV685" s="116"/>
      <c r="EX685" s="116"/>
      <c r="EY685" s="116"/>
      <c r="EZ685" s="116"/>
      <c r="FA685" s="116"/>
      <c r="FB685" s="116"/>
    </row>
    <row r="686" spans="5:158" ht="13">
      <c r="E686" s="153"/>
      <c r="T686" s="153"/>
      <c r="BD686" s="31"/>
      <c r="BE686" s="31"/>
      <c r="BF686" s="31"/>
      <c r="BG686" s="31"/>
      <c r="BH686" s="31"/>
      <c r="BI686" s="116"/>
      <c r="BL686" s="196"/>
      <c r="BM686" s="239"/>
      <c r="BN686" s="330"/>
      <c r="BP686" s="330"/>
      <c r="BS686" s="116"/>
      <c r="BU686" s="331"/>
      <c r="BW686" s="116"/>
      <c r="BX686" s="116"/>
      <c r="BZ686" s="330"/>
      <c r="CB686" s="330"/>
      <c r="CC686" s="116"/>
      <c r="CG686" s="242"/>
      <c r="CH686" s="116"/>
      <c r="CI686" s="116"/>
      <c r="CJ686" s="116"/>
      <c r="CL686" s="116"/>
      <c r="CN686" s="239"/>
      <c r="CO686" s="153"/>
      <c r="DM686" s="116"/>
      <c r="DN686" s="116"/>
      <c r="DO686" s="116"/>
      <c r="DP686" s="116"/>
      <c r="DW686" s="116"/>
      <c r="DX686" s="219"/>
      <c r="DY686" s="219"/>
      <c r="DZ686" s="116"/>
      <c r="EA686" s="116"/>
      <c r="EB686" s="116"/>
      <c r="EC686" s="116"/>
      <c r="ED686" s="116"/>
      <c r="EF686" s="332"/>
      <c r="EG686" s="116"/>
      <c r="EH686" s="116"/>
      <c r="EI686" s="116"/>
      <c r="EJ686" s="116"/>
      <c r="EK686" s="116"/>
      <c r="EM686" s="116"/>
      <c r="EN686" s="116"/>
      <c r="EO686" s="116"/>
      <c r="EQ686" s="116"/>
      <c r="ER686" s="116"/>
      <c r="ES686" s="116"/>
      <c r="ET686" s="116"/>
      <c r="EU686" s="116"/>
      <c r="EV686" s="116"/>
      <c r="EX686" s="116"/>
      <c r="EY686" s="116"/>
      <c r="EZ686" s="116"/>
      <c r="FA686" s="116"/>
      <c r="FB686" s="116"/>
    </row>
    <row r="687" spans="5:158" ht="13">
      <c r="E687" s="153"/>
      <c r="T687" s="153"/>
      <c r="BD687" s="31"/>
      <c r="BE687" s="31"/>
      <c r="BF687" s="31"/>
      <c r="BG687" s="31"/>
      <c r="BH687" s="31"/>
      <c r="BI687" s="116"/>
      <c r="BL687" s="196"/>
      <c r="BM687" s="239"/>
      <c r="BN687" s="330"/>
      <c r="BP687" s="330"/>
      <c r="BS687" s="116"/>
      <c r="BU687" s="331"/>
      <c r="BW687" s="116"/>
      <c r="BX687" s="116"/>
      <c r="BZ687" s="330"/>
      <c r="CB687" s="330"/>
      <c r="CC687" s="116"/>
      <c r="CG687" s="242"/>
      <c r="CH687" s="116"/>
      <c r="CI687" s="116"/>
      <c r="CJ687" s="116"/>
      <c r="CL687" s="116"/>
      <c r="CN687" s="239"/>
      <c r="CO687" s="153"/>
      <c r="DM687" s="116"/>
      <c r="DN687" s="116"/>
      <c r="DO687" s="116"/>
      <c r="DP687" s="116"/>
      <c r="DW687" s="116"/>
      <c r="DX687" s="219"/>
      <c r="DY687" s="219"/>
      <c r="DZ687" s="116"/>
      <c r="EA687" s="116"/>
      <c r="EB687" s="116"/>
      <c r="EC687" s="116"/>
      <c r="ED687" s="116"/>
      <c r="EF687" s="332"/>
      <c r="EG687" s="116"/>
      <c r="EH687" s="116"/>
      <c r="EI687" s="116"/>
      <c r="EJ687" s="116"/>
      <c r="EK687" s="116"/>
      <c r="EM687" s="116"/>
      <c r="EN687" s="116"/>
      <c r="EO687" s="116"/>
      <c r="EQ687" s="116"/>
      <c r="ER687" s="116"/>
      <c r="ES687" s="116"/>
      <c r="ET687" s="116"/>
      <c r="EU687" s="116"/>
      <c r="EV687" s="116"/>
      <c r="EX687" s="116"/>
      <c r="EY687" s="116"/>
      <c r="EZ687" s="116"/>
      <c r="FA687" s="116"/>
      <c r="FB687" s="116"/>
    </row>
    <row r="688" spans="5:158" ht="13">
      <c r="E688" s="153"/>
      <c r="T688" s="153"/>
      <c r="BD688" s="31"/>
      <c r="BE688" s="31"/>
      <c r="BF688" s="31"/>
      <c r="BG688" s="31"/>
      <c r="BH688" s="31"/>
      <c r="BI688" s="116"/>
      <c r="BL688" s="196"/>
      <c r="BM688" s="239"/>
      <c r="BN688" s="330"/>
      <c r="BP688" s="330"/>
      <c r="BS688" s="116"/>
      <c r="BU688" s="331"/>
      <c r="BW688" s="116"/>
      <c r="BX688" s="116"/>
      <c r="BZ688" s="330"/>
      <c r="CB688" s="330"/>
      <c r="CC688" s="116"/>
      <c r="CG688" s="242"/>
      <c r="CH688" s="116"/>
      <c r="CI688" s="116"/>
      <c r="CJ688" s="116"/>
      <c r="CL688" s="116"/>
      <c r="CN688" s="239"/>
      <c r="CO688" s="153"/>
      <c r="DM688" s="116"/>
      <c r="DN688" s="116"/>
      <c r="DO688" s="116"/>
      <c r="DP688" s="116"/>
      <c r="DW688" s="116"/>
      <c r="DX688" s="219"/>
      <c r="DY688" s="219"/>
      <c r="DZ688" s="116"/>
      <c r="EA688" s="116"/>
      <c r="EB688" s="116"/>
      <c r="EC688" s="116"/>
      <c r="ED688" s="116"/>
      <c r="EF688" s="332"/>
      <c r="EG688" s="116"/>
      <c r="EH688" s="116"/>
      <c r="EI688" s="116"/>
      <c r="EJ688" s="116"/>
      <c r="EK688" s="116"/>
      <c r="EM688" s="116"/>
      <c r="EN688" s="116"/>
      <c r="EO688" s="116"/>
      <c r="EQ688" s="116"/>
      <c r="ER688" s="116"/>
      <c r="ES688" s="116"/>
      <c r="ET688" s="116"/>
      <c r="EU688" s="116"/>
      <c r="EV688" s="116"/>
      <c r="EX688" s="116"/>
      <c r="EY688" s="116"/>
      <c r="EZ688" s="116"/>
      <c r="FA688" s="116"/>
      <c r="FB688" s="116"/>
    </row>
    <row r="689" spans="5:158" ht="13">
      <c r="E689" s="153"/>
      <c r="T689" s="153"/>
      <c r="BD689" s="31"/>
      <c r="BE689" s="31"/>
      <c r="BF689" s="31"/>
      <c r="BG689" s="31"/>
      <c r="BH689" s="31"/>
      <c r="BI689" s="116"/>
      <c r="BL689" s="196"/>
      <c r="BM689" s="239"/>
      <c r="BN689" s="330"/>
      <c r="BP689" s="330"/>
      <c r="BS689" s="116"/>
      <c r="BU689" s="331"/>
      <c r="BW689" s="116"/>
      <c r="BX689" s="116"/>
      <c r="BZ689" s="330"/>
      <c r="CB689" s="330"/>
      <c r="CC689" s="116"/>
      <c r="CG689" s="242"/>
      <c r="CH689" s="116"/>
      <c r="CI689" s="116"/>
      <c r="CJ689" s="116"/>
      <c r="CL689" s="116"/>
      <c r="CN689" s="239"/>
      <c r="CO689" s="153"/>
      <c r="DM689" s="116"/>
      <c r="DN689" s="116"/>
      <c r="DO689" s="116"/>
      <c r="DP689" s="116"/>
      <c r="DW689" s="116"/>
      <c r="DX689" s="219"/>
      <c r="DY689" s="219"/>
      <c r="DZ689" s="116"/>
      <c r="EA689" s="116"/>
      <c r="EB689" s="116"/>
      <c r="EC689" s="116"/>
      <c r="ED689" s="116"/>
      <c r="EF689" s="332"/>
      <c r="EG689" s="116"/>
      <c r="EH689" s="116"/>
      <c r="EI689" s="116"/>
      <c r="EJ689" s="116"/>
      <c r="EK689" s="116"/>
      <c r="EM689" s="116"/>
      <c r="EN689" s="116"/>
      <c r="EO689" s="116"/>
      <c r="EQ689" s="116"/>
      <c r="ER689" s="116"/>
      <c r="ES689" s="116"/>
      <c r="ET689" s="116"/>
      <c r="EU689" s="116"/>
      <c r="EV689" s="116"/>
      <c r="EX689" s="116"/>
      <c r="EY689" s="116"/>
      <c r="EZ689" s="116"/>
      <c r="FA689" s="116"/>
      <c r="FB689" s="116"/>
    </row>
    <row r="690" spans="5:158" ht="13">
      <c r="E690" s="153"/>
      <c r="T690" s="153"/>
      <c r="BD690" s="31"/>
      <c r="BE690" s="31"/>
      <c r="BF690" s="31"/>
      <c r="BG690" s="31"/>
      <c r="BH690" s="31"/>
      <c r="BI690" s="116"/>
      <c r="BL690" s="196"/>
      <c r="BM690" s="239"/>
      <c r="BN690" s="330"/>
      <c r="BP690" s="330"/>
      <c r="BS690" s="116"/>
      <c r="BU690" s="331"/>
      <c r="BW690" s="116"/>
      <c r="BX690" s="116"/>
      <c r="BZ690" s="330"/>
      <c r="CB690" s="330"/>
      <c r="CC690" s="116"/>
      <c r="CG690" s="242"/>
      <c r="CH690" s="116"/>
      <c r="CI690" s="116"/>
      <c r="CJ690" s="116"/>
      <c r="CL690" s="116"/>
      <c r="CN690" s="239"/>
      <c r="CO690" s="153"/>
      <c r="DM690" s="116"/>
      <c r="DN690" s="116"/>
      <c r="DO690" s="116"/>
      <c r="DP690" s="116"/>
      <c r="DW690" s="116"/>
      <c r="DX690" s="219"/>
      <c r="DY690" s="219"/>
      <c r="DZ690" s="116"/>
      <c r="EA690" s="116"/>
      <c r="EB690" s="116"/>
      <c r="EC690" s="116"/>
      <c r="ED690" s="116"/>
      <c r="EF690" s="332"/>
      <c r="EG690" s="116"/>
      <c r="EH690" s="116"/>
      <c r="EI690" s="116"/>
      <c r="EJ690" s="116"/>
      <c r="EK690" s="116"/>
      <c r="EM690" s="116"/>
      <c r="EN690" s="116"/>
      <c r="EO690" s="116"/>
      <c r="EQ690" s="116"/>
      <c r="ER690" s="116"/>
      <c r="ES690" s="116"/>
      <c r="ET690" s="116"/>
      <c r="EU690" s="116"/>
      <c r="EV690" s="116"/>
      <c r="EX690" s="116"/>
      <c r="EY690" s="116"/>
      <c r="EZ690" s="116"/>
      <c r="FA690" s="116"/>
      <c r="FB690" s="116"/>
    </row>
    <row r="691" spans="5:158" ht="13">
      <c r="E691" s="153"/>
      <c r="T691" s="153"/>
      <c r="BD691" s="31"/>
      <c r="BE691" s="31"/>
      <c r="BF691" s="31"/>
      <c r="BG691" s="31"/>
      <c r="BH691" s="31"/>
      <c r="BI691" s="116"/>
      <c r="BL691" s="196"/>
      <c r="BM691" s="239"/>
      <c r="BN691" s="330"/>
      <c r="BP691" s="330"/>
      <c r="BS691" s="116"/>
      <c r="BU691" s="331"/>
      <c r="BW691" s="116"/>
      <c r="BX691" s="116"/>
      <c r="BZ691" s="330"/>
      <c r="CB691" s="330"/>
      <c r="CC691" s="116"/>
      <c r="CG691" s="242"/>
      <c r="CH691" s="116"/>
      <c r="CI691" s="116"/>
      <c r="CJ691" s="116"/>
      <c r="CL691" s="116"/>
      <c r="CN691" s="239"/>
      <c r="CO691" s="153"/>
      <c r="DM691" s="116"/>
      <c r="DN691" s="116"/>
      <c r="DO691" s="116"/>
      <c r="DP691" s="116"/>
      <c r="DW691" s="116"/>
      <c r="DX691" s="219"/>
      <c r="DY691" s="219"/>
      <c r="DZ691" s="116"/>
      <c r="EA691" s="116"/>
      <c r="EB691" s="116"/>
      <c r="EC691" s="116"/>
      <c r="ED691" s="116"/>
      <c r="EF691" s="332"/>
      <c r="EG691" s="116"/>
      <c r="EH691" s="116"/>
      <c r="EI691" s="116"/>
      <c r="EJ691" s="116"/>
      <c r="EK691" s="116"/>
      <c r="EM691" s="116"/>
      <c r="EN691" s="116"/>
      <c r="EO691" s="116"/>
      <c r="EQ691" s="116"/>
      <c r="ER691" s="116"/>
      <c r="ES691" s="116"/>
      <c r="ET691" s="116"/>
      <c r="EU691" s="116"/>
      <c r="EV691" s="116"/>
      <c r="EX691" s="116"/>
      <c r="EY691" s="116"/>
      <c r="EZ691" s="116"/>
      <c r="FA691" s="116"/>
      <c r="FB691" s="116"/>
    </row>
    <row r="692" spans="5:158" ht="13">
      <c r="E692" s="153"/>
      <c r="T692" s="153"/>
      <c r="BD692" s="31"/>
      <c r="BE692" s="31"/>
      <c r="BF692" s="31"/>
      <c r="BG692" s="31"/>
      <c r="BH692" s="31"/>
      <c r="BI692" s="116"/>
      <c r="BL692" s="196"/>
      <c r="BM692" s="239"/>
      <c r="BN692" s="330"/>
      <c r="BP692" s="330"/>
      <c r="BS692" s="116"/>
      <c r="BU692" s="331"/>
      <c r="BW692" s="116"/>
      <c r="BX692" s="116"/>
      <c r="BZ692" s="330"/>
      <c r="CB692" s="330"/>
      <c r="CC692" s="116"/>
      <c r="CG692" s="242"/>
      <c r="CH692" s="116"/>
      <c r="CI692" s="116"/>
      <c r="CJ692" s="116"/>
      <c r="CL692" s="116"/>
      <c r="CN692" s="239"/>
      <c r="CO692" s="153"/>
      <c r="DM692" s="116"/>
      <c r="DN692" s="116"/>
      <c r="DO692" s="116"/>
      <c r="DP692" s="116"/>
      <c r="DW692" s="116"/>
      <c r="DX692" s="219"/>
      <c r="DY692" s="219"/>
      <c r="DZ692" s="116"/>
      <c r="EA692" s="116"/>
      <c r="EB692" s="116"/>
      <c r="EC692" s="116"/>
      <c r="ED692" s="116"/>
      <c r="EF692" s="332"/>
      <c r="EG692" s="116"/>
      <c r="EH692" s="116"/>
      <c r="EI692" s="116"/>
      <c r="EJ692" s="116"/>
      <c r="EK692" s="116"/>
      <c r="EM692" s="116"/>
      <c r="EN692" s="116"/>
      <c r="EO692" s="116"/>
      <c r="EQ692" s="116"/>
      <c r="ER692" s="116"/>
      <c r="ES692" s="116"/>
      <c r="ET692" s="116"/>
      <c r="EU692" s="116"/>
      <c r="EV692" s="116"/>
      <c r="EX692" s="116"/>
      <c r="EY692" s="116"/>
      <c r="EZ692" s="116"/>
      <c r="FA692" s="116"/>
      <c r="FB692" s="116"/>
    </row>
    <row r="693" spans="5:158" ht="13">
      <c r="E693" s="153"/>
      <c r="T693" s="153"/>
      <c r="BD693" s="31"/>
      <c r="BE693" s="31"/>
      <c r="BF693" s="31"/>
      <c r="BG693" s="31"/>
      <c r="BH693" s="31"/>
      <c r="BI693" s="116"/>
      <c r="BL693" s="196"/>
      <c r="BM693" s="239"/>
      <c r="BN693" s="330"/>
      <c r="BP693" s="330"/>
      <c r="BS693" s="116"/>
      <c r="BU693" s="331"/>
      <c r="BW693" s="116"/>
      <c r="BX693" s="116"/>
      <c r="BZ693" s="330"/>
      <c r="CB693" s="330"/>
      <c r="CC693" s="116"/>
      <c r="CG693" s="242"/>
      <c r="CH693" s="116"/>
      <c r="CI693" s="116"/>
      <c r="CJ693" s="116"/>
      <c r="CL693" s="116"/>
      <c r="CN693" s="239"/>
      <c r="CO693" s="153"/>
      <c r="DM693" s="116"/>
      <c r="DN693" s="116"/>
      <c r="DO693" s="116"/>
      <c r="DP693" s="116"/>
      <c r="DW693" s="116"/>
      <c r="DX693" s="219"/>
      <c r="DY693" s="219"/>
      <c r="DZ693" s="116"/>
      <c r="EA693" s="116"/>
      <c r="EB693" s="116"/>
      <c r="EC693" s="116"/>
      <c r="ED693" s="116"/>
      <c r="EF693" s="332"/>
      <c r="EG693" s="116"/>
      <c r="EH693" s="116"/>
      <c r="EI693" s="116"/>
      <c r="EJ693" s="116"/>
      <c r="EK693" s="116"/>
      <c r="EM693" s="116"/>
      <c r="EN693" s="116"/>
      <c r="EO693" s="116"/>
      <c r="EQ693" s="116"/>
      <c r="ER693" s="116"/>
      <c r="ES693" s="116"/>
      <c r="ET693" s="116"/>
      <c r="EU693" s="116"/>
      <c r="EV693" s="116"/>
      <c r="EX693" s="116"/>
      <c r="EY693" s="116"/>
      <c r="EZ693" s="116"/>
      <c r="FA693" s="116"/>
      <c r="FB693" s="116"/>
    </row>
    <row r="694" spans="5:158" ht="13">
      <c r="E694" s="153"/>
      <c r="T694" s="153"/>
      <c r="BD694" s="31"/>
      <c r="BE694" s="31"/>
      <c r="BF694" s="31"/>
      <c r="BG694" s="31"/>
      <c r="BH694" s="31"/>
      <c r="BI694" s="116"/>
      <c r="BL694" s="196"/>
      <c r="BM694" s="239"/>
      <c r="BN694" s="330"/>
      <c r="BP694" s="330"/>
      <c r="BS694" s="116"/>
      <c r="BU694" s="331"/>
      <c r="BW694" s="116"/>
      <c r="BX694" s="116"/>
      <c r="BZ694" s="330"/>
      <c r="CB694" s="330"/>
      <c r="CC694" s="116"/>
      <c r="CG694" s="242"/>
      <c r="CH694" s="116"/>
      <c r="CI694" s="116"/>
      <c r="CJ694" s="116"/>
      <c r="CL694" s="116"/>
      <c r="CN694" s="239"/>
      <c r="CO694" s="153"/>
      <c r="DM694" s="116"/>
      <c r="DN694" s="116"/>
      <c r="DO694" s="116"/>
      <c r="DP694" s="116"/>
      <c r="DW694" s="116"/>
      <c r="DX694" s="219"/>
      <c r="DY694" s="219"/>
      <c r="DZ694" s="116"/>
      <c r="EA694" s="116"/>
      <c r="EB694" s="116"/>
      <c r="EC694" s="116"/>
      <c r="ED694" s="116"/>
      <c r="EF694" s="332"/>
      <c r="EG694" s="116"/>
      <c r="EH694" s="116"/>
      <c r="EI694" s="116"/>
      <c r="EJ694" s="116"/>
      <c r="EK694" s="116"/>
      <c r="EM694" s="116"/>
      <c r="EN694" s="116"/>
      <c r="EO694" s="116"/>
      <c r="EQ694" s="116"/>
      <c r="ER694" s="116"/>
      <c r="ES694" s="116"/>
      <c r="ET694" s="116"/>
      <c r="EU694" s="116"/>
      <c r="EV694" s="116"/>
      <c r="EX694" s="116"/>
      <c r="EY694" s="116"/>
      <c r="EZ694" s="116"/>
      <c r="FA694" s="116"/>
      <c r="FB694" s="116"/>
    </row>
    <row r="695" spans="5:158" ht="13">
      <c r="E695" s="153"/>
      <c r="T695" s="153"/>
      <c r="BD695" s="31"/>
      <c r="BE695" s="31"/>
      <c r="BF695" s="31"/>
      <c r="BG695" s="31"/>
      <c r="BH695" s="31"/>
      <c r="BI695" s="116"/>
      <c r="BL695" s="196"/>
      <c r="BM695" s="239"/>
      <c r="BN695" s="330"/>
      <c r="BP695" s="330"/>
      <c r="BS695" s="116"/>
      <c r="BU695" s="331"/>
      <c r="BW695" s="116"/>
      <c r="BX695" s="116"/>
      <c r="BZ695" s="330"/>
      <c r="CB695" s="330"/>
      <c r="CC695" s="116"/>
      <c r="CG695" s="242"/>
      <c r="CH695" s="116"/>
      <c r="CI695" s="116"/>
      <c r="CJ695" s="116"/>
      <c r="CL695" s="116"/>
      <c r="CN695" s="239"/>
      <c r="CO695" s="153"/>
      <c r="DM695" s="116"/>
      <c r="DN695" s="116"/>
      <c r="DO695" s="116"/>
      <c r="DP695" s="116"/>
      <c r="DW695" s="116"/>
      <c r="DX695" s="219"/>
      <c r="DY695" s="219"/>
      <c r="DZ695" s="116"/>
      <c r="EA695" s="116"/>
      <c r="EB695" s="116"/>
      <c r="EC695" s="116"/>
      <c r="ED695" s="116"/>
      <c r="EF695" s="332"/>
      <c r="EG695" s="116"/>
      <c r="EH695" s="116"/>
      <c r="EI695" s="116"/>
      <c r="EJ695" s="116"/>
      <c r="EK695" s="116"/>
      <c r="EM695" s="116"/>
      <c r="EN695" s="116"/>
      <c r="EO695" s="116"/>
      <c r="EQ695" s="116"/>
      <c r="ER695" s="116"/>
      <c r="ES695" s="116"/>
      <c r="ET695" s="116"/>
      <c r="EU695" s="116"/>
      <c r="EV695" s="116"/>
      <c r="EX695" s="116"/>
      <c r="EY695" s="116"/>
      <c r="EZ695" s="116"/>
      <c r="FA695" s="116"/>
      <c r="FB695" s="116"/>
    </row>
    <row r="696" spans="5:158" ht="13">
      <c r="E696" s="153"/>
      <c r="T696" s="153"/>
      <c r="BD696" s="31"/>
      <c r="BE696" s="31"/>
      <c r="BF696" s="31"/>
      <c r="BG696" s="31"/>
      <c r="BH696" s="31"/>
      <c r="BI696" s="116"/>
      <c r="BL696" s="196"/>
      <c r="BM696" s="239"/>
      <c r="BN696" s="330"/>
      <c r="BP696" s="330"/>
      <c r="BS696" s="116"/>
      <c r="BU696" s="331"/>
      <c r="BW696" s="116"/>
      <c r="BX696" s="116"/>
      <c r="BZ696" s="330"/>
      <c r="CB696" s="330"/>
      <c r="CC696" s="116"/>
      <c r="CG696" s="242"/>
      <c r="CH696" s="116"/>
      <c r="CI696" s="116"/>
      <c r="CJ696" s="116"/>
      <c r="CL696" s="116"/>
      <c r="CN696" s="239"/>
      <c r="CO696" s="153"/>
      <c r="DM696" s="116"/>
      <c r="DN696" s="116"/>
      <c r="DO696" s="116"/>
      <c r="DP696" s="116"/>
      <c r="DW696" s="116"/>
      <c r="DX696" s="219"/>
      <c r="DY696" s="219"/>
      <c r="DZ696" s="116"/>
      <c r="EA696" s="116"/>
      <c r="EB696" s="116"/>
      <c r="EC696" s="116"/>
      <c r="ED696" s="116"/>
      <c r="EF696" s="332"/>
      <c r="EG696" s="116"/>
      <c r="EH696" s="116"/>
      <c r="EI696" s="116"/>
      <c r="EJ696" s="116"/>
      <c r="EK696" s="116"/>
      <c r="EM696" s="116"/>
      <c r="EN696" s="116"/>
      <c r="EO696" s="116"/>
      <c r="EQ696" s="116"/>
      <c r="ER696" s="116"/>
      <c r="ES696" s="116"/>
      <c r="ET696" s="116"/>
      <c r="EU696" s="116"/>
      <c r="EV696" s="116"/>
      <c r="EX696" s="116"/>
      <c r="EY696" s="116"/>
      <c r="EZ696" s="116"/>
      <c r="FA696" s="116"/>
      <c r="FB696" s="116"/>
    </row>
    <row r="697" spans="5:158" ht="13">
      <c r="E697" s="153"/>
      <c r="T697" s="153"/>
      <c r="BD697" s="31"/>
      <c r="BE697" s="31"/>
      <c r="BF697" s="31"/>
      <c r="BG697" s="31"/>
      <c r="BH697" s="31"/>
      <c r="BI697" s="116"/>
      <c r="BL697" s="196"/>
      <c r="BM697" s="239"/>
      <c r="BN697" s="330"/>
      <c r="BP697" s="330"/>
      <c r="BS697" s="116"/>
      <c r="BU697" s="331"/>
      <c r="BW697" s="116"/>
      <c r="BX697" s="116"/>
      <c r="BZ697" s="330"/>
      <c r="CB697" s="330"/>
      <c r="CC697" s="116"/>
      <c r="CG697" s="242"/>
      <c r="CH697" s="116"/>
      <c r="CI697" s="116"/>
      <c r="CJ697" s="116"/>
      <c r="CL697" s="116"/>
      <c r="CN697" s="239"/>
      <c r="CO697" s="153"/>
      <c r="DM697" s="116"/>
      <c r="DN697" s="116"/>
      <c r="DO697" s="116"/>
      <c r="DP697" s="116"/>
      <c r="DW697" s="116"/>
      <c r="DX697" s="219"/>
      <c r="DY697" s="219"/>
      <c r="DZ697" s="116"/>
      <c r="EA697" s="116"/>
      <c r="EB697" s="116"/>
      <c r="EC697" s="116"/>
      <c r="ED697" s="116"/>
      <c r="EF697" s="332"/>
      <c r="EG697" s="116"/>
      <c r="EH697" s="116"/>
      <c r="EI697" s="116"/>
      <c r="EJ697" s="116"/>
      <c r="EK697" s="116"/>
      <c r="EM697" s="116"/>
      <c r="EN697" s="116"/>
      <c r="EO697" s="116"/>
      <c r="EQ697" s="116"/>
      <c r="ER697" s="116"/>
      <c r="ES697" s="116"/>
      <c r="ET697" s="116"/>
      <c r="EU697" s="116"/>
      <c r="EV697" s="116"/>
      <c r="EX697" s="116"/>
      <c r="EY697" s="116"/>
      <c r="EZ697" s="116"/>
      <c r="FA697" s="116"/>
      <c r="FB697" s="116"/>
    </row>
    <row r="698" spans="5:158" ht="13">
      <c r="E698" s="153"/>
      <c r="T698" s="153"/>
      <c r="BD698" s="31"/>
      <c r="BE698" s="31"/>
      <c r="BF698" s="31"/>
      <c r="BG698" s="31"/>
      <c r="BH698" s="31"/>
      <c r="BI698" s="116"/>
      <c r="BL698" s="196"/>
      <c r="BM698" s="239"/>
      <c r="BN698" s="330"/>
      <c r="BP698" s="330"/>
      <c r="BS698" s="116"/>
      <c r="BU698" s="331"/>
      <c r="BW698" s="116"/>
      <c r="BX698" s="116"/>
      <c r="BZ698" s="330"/>
      <c r="CB698" s="330"/>
      <c r="CC698" s="116"/>
      <c r="CG698" s="242"/>
      <c r="CH698" s="116"/>
      <c r="CI698" s="116"/>
      <c r="CJ698" s="116"/>
      <c r="CL698" s="116"/>
      <c r="CN698" s="239"/>
      <c r="CO698" s="153"/>
      <c r="DM698" s="116"/>
      <c r="DN698" s="116"/>
      <c r="DO698" s="116"/>
      <c r="DP698" s="116"/>
      <c r="DW698" s="116"/>
      <c r="DX698" s="219"/>
      <c r="DY698" s="219"/>
      <c r="DZ698" s="116"/>
      <c r="EA698" s="116"/>
      <c r="EB698" s="116"/>
      <c r="EC698" s="116"/>
      <c r="ED698" s="116"/>
      <c r="EF698" s="332"/>
      <c r="EG698" s="116"/>
      <c r="EH698" s="116"/>
      <c r="EI698" s="116"/>
      <c r="EJ698" s="116"/>
      <c r="EK698" s="116"/>
      <c r="EM698" s="116"/>
      <c r="EN698" s="116"/>
      <c r="EO698" s="116"/>
      <c r="EQ698" s="116"/>
      <c r="ER698" s="116"/>
      <c r="ES698" s="116"/>
      <c r="ET698" s="116"/>
      <c r="EU698" s="116"/>
      <c r="EV698" s="116"/>
      <c r="EX698" s="116"/>
      <c r="EY698" s="116"/>
      <c r="EZ698" s="116"/>
      <c r="FA698" s="116"/>
      <c r="FB698" s="116"/>
    </row>
    <row r="699" spans="5:158" ht="13">
      <c r="E699" s="153"/>
      <c r="T699" s="153"/>
      <c r="BD699" s="31"/>
      <c r="BE699" s="31"/>
      <c r="BF699" s="31"/>
      <c r="BG699" s="31"/>
      <c r="BH699" s="31"/>
      <c r="BI699" s="116"/>
      <c r="BL699" s="196"/>
      <c r="BM699" s="239"/>
      <c r="BN699" s="330"/>
      <c r="BP699" s="330"/>
      <c r="BS699" s="116"/>
      <c r="BU699" s="331"/>
      <c r="BW699" s="116"/>
      <c r="BX699" s="116"/>
      <c r="BZ699" s="330"/>
      <c r="CB699" s="330"/>
      <c r="CC699" s="116"/>
      <c r="CG699" s="242"/>
      <c r="CH699" s="116"/>
      <c r="CI699" s="116"/>
      <c r="CJ699" s="116"/>
      <c r="CL699" s="116"/>
      <c r="CN699" s="239"/>
      <c r="CO699" s="153"/>
      <c r="DM699" s="116"/>
      <c r="DN699" s="116"/>
      <c r="DO699" s="116"/>
      <c r="DP699" s="116"/>
      <c r="DW699" s="116"/>
      <c r="DX699" s="219"/>
      <c r="DY699" s="219"/>
      <c r="DZ699" s="116"/>
      <c r="EA699" s="116"/>
      <c r="EB699" s="116"/>
      <c r="EC699" s="116"/>
      <c r="ED699" s="116"/>
      <c r="EF699" s="332"/>
      <c r="EG699" s="116"/>
      <c r="EH699" s="116"/>
      <c r="EI699" s="116"/>
      <c r="EJ699" s="116"/>
      <c r="EK699" s="116"/>
      <c r="EM699" s="116"/>
      <c r="EN699" s="116"/>
      <c r="EO699" s="116"/>
      <c r="EQ699" s="116"/>
      <c r="ER699" s="116"/>
      <c r="ES699" s="116"/>
      <c r="ET699" s="116"/>
      <c r="EU699" s="116"/>
      <c r="EV699" s="116"/>
      <c r="EX699" s="116"/>
      <c r="EY699" s="116"/>
      <c r="EZ699" s="116"/>
      <c r="FA699" s="116"/>
      <c r="FB699" s="116"/>
    </row>
    <row r="700" spans="5:158" ht="13">
      <c r="E700" s="153"/>
      <c r="T700" s="153"/>
      <c r="BD700" s="31"/>
      <c r="BE700" s="31"/>
      <c r="BF700" s="31"/>
      <c r="BG700" s="31"/>
      <c r="BH700" s="31"/>
      <c r="BI700" s="116"/>
      <c r="BL700" s="196"/>
      <c r="BM700" s="239"/>
      <c r="BN700" s="330"/>
      <c r="BP700" s="330"/>
      <c r="BS700" s="116"/>
      <c r="BU700" s="331"/>
      <c r="BW700" s="116"/>
      <c r="BX700" s="116"/>
      <c r="BZ700" s="330"/>
      <c r="CB700" s="330"/>
      <c r="CC700" s="116"/>
      <c r="CG700" s="242"/>
      <c r="CH700" s="116"/>
      <c r="CI700" s="116"/>
      <c r="CJ700" s="116"/>
      <c r="CL700" s="116"/>
      <c r="CN700" s="239"/>
      <c r="CO700" s="153"/>
      <c r="DM700" s="116"/>
      <c r="DN700" s="116"/>
      <c r="DO700" s="116"/>
      <c r="DP700" s="116"/>
      <c r="DW700" s="116"/>
      <c r="DX700" s="219"/>
      <c r="DY700" s="219"/>
      <c r="DZ700" s="116"/>
      <c r="EA700" s="116"/>
      <c r="EB700" s="116"/>
      <c r="EC700" s="116"/>
      <c r="ED700" s="116"/>
      <c r="EF700" s="332"/>
      <c r="EG700" s="116"/>
      <c r="EH700" s="116"/>
      <c r="EI700" s="116"/>
      <c r="EJ700" s="116"/>
      <c r="EK700" s="116"/>
      <c r="EM700" s="116"/>
      <c r="EN700" s="116"/>
      <c r="EO700" s="116"/>
      <c r="EQ700" s="116"/>
      <c r="ER700" s="116"/>
      <c r="ES700" s="116"/>
      <c r="ET700" s="116"/>
      <c r="EU700" s="116"/>
      <c r="EV700" s="116"/>
      <c r="EX700" s="116"/>
      <c r="EY700" s="116"/>
      <c r="EZ700" s="116"/>
      <c r="FA700" s="116"/>
      <c r="FB700" s="116"/>
    </row>
    <row r="701" spans="5:158" ht="13">
      <c r="E701" s="153"/>
      <c r="T701" s="153"/>
      <c r="BD701" s="31"/>
      <c r="BE701" s="31"/>
      <c r="BF701" s="31"/>
      <c r="BG701" s="31"/>
      <c r="BH701" s="31"/>
      <c r="BI701" s="116"/>
      <c r="BL701" s="196"/>
      <c r="BM701" s="239"/>
      <c r="BN701" s="330"/>
      <c r="BP701" s="330"/>
      <c r="BS701" s="116"/>
      <c r="BU701" s="331"/>
      <c r="BW701" s="116"/>
      <c r="BX701" s="116"/>
      <c r="BZ701" s="330"/>
      <c r="CB701" s="330"/>
      <c r="CC701" s="116"/>
      <c r="CG701" s="242"/>
      <c r="CH701" s="116"/>
      <c r="CI701" s="116"/>
      <c r="CJ701" s="116"/>
      <c r="CL701" s="116"/>
      <c r="CN701" s="239"/>
      <c r="CO701" s="153"/>
      <c r="DM701" s="116"/>
      <c r="DN701" s="116"/>
      <c r="DO701" s="116"/>
      <c r="DP701" s="116"/>
      <c r="DW701" s="116"/>
      <c r="DX701" s="219"/>
      <c r="DY701" s="219"/>
      <c r="DZ701" s="116"/>
      <c r="EA701" s="116"/>
      <c r="EB701" s="116"/>
      <c r="EC701" s="116"/>
      <c r="ED701" s="116"/>
      <c r="EF701" s="332"/>
      <c r="EG701" s="116"/>
      <c r="EH701" s="116"/>
      <c r="EI701" s="116"/>
      <c r="EJ701" s="116"/>
      <c r="EK701" s="116"/>
      <c r="EM701" s="116"/>
      <c r="EN701" s="116"/>
      <c r="EO701" s="116"/>
      <c r="EQ701" s="116"/>
      <c r="ER701" s="116"/>
      <c r="ES701" s="116"/>
      <c r="ET701" s="116"/>
      <c r="EU701" s="116"/>
      <c r="EV701" s="116"/>
      <c r="EX701" s="116"/>
      <c r="EY701" s="116"/>
      <c r="EZ701" s="116"/>
      <c r="FA701" s="116"/>
      <c r="FB701" s="116"/>
    </row>
    <row r="702" spans="5:158" ht="13">
      <c r="E702" s="153"/>
      <c r="T702" s="153"/>
      <c r="BD702" s="31"/>
      <c r="BE702" s="31"/>
      <c r="BF702" s="31"/>
      <c r="BG702" s="31"/>
      <c r="BH702" s="31"/>
      <c r="BI702" s="116"/>
      <c r="BL702" s="196"/>
      <c r="BM702" s="239"/>
      <c r="BN702" s="330"/>
      <c r="BP702" s="330"/>
      <c r="BS702" s="116"/>
      <c r="BU702" s="331"/>
      <c r="BW702" s="116"/>
      <c r="BX702" s="116"/>
      <c r="BZ702" s="330"/>
      <c r="CB702" s="330"/>
      <c r="CC702" s="116"/>
      <c r="CG702" s="242"/>
      <c r="CH702" s="116"/>
      <c r="CI702" s="116"/>
      <c r="CJ702" s="116"/>
      <c r="CL702" s="116"/>
      <c r="CN702" s="239"/>
      <c r="CO702" s="153"/>
      <c r="DM702" s="116"/>
      <c r="DN702" s="116"/>
      <c r="DO702" s="116"/>
      <c r="DP702" s="116"/>
      <c r="DW702" s="116"/>
      <c r="DX702" s="219"/>
      <c r="DY702" s="219"/>
      <c r="DZ702" s="116"/>
      <c r="EA702" s="116"/>
      <c r="EB702" s="116"/>
      <c r="EC702" s="116"/>
      <c r="ED702" s="116"/>
      <c r="EF702" s="332"/>
      <c r="EG702" s="116"/>
      <c r="EH702" s="116"/>
      <c r="EI702" s="116"/>
      <c r="EJ702" s="116"/>
      <c r="EK702" s="116"/>
      <c r="EM702" s="116"/>
      <c r="EN702" s="116"/>
      <c r="EO702" s="116"/>
      <c r="EQ702" s="116"/>
      <c r="ER702" s="116"/>
      <c r="ES702" s="116"/>
      <c r="ET702" s="116"/>
      <c r="EU702" s="116"/>
      <c r="EV702" s="116"/>
      <c r="EX702" s="116"/>
      <c r="EY702" s="116"/>
      <c r="EZ702" s="116"/>
      <c r="FA702" s="116"/>
      <c r="FB702" s="116"/>
    </row>
    <row r="703" spans="5:158" ht="13">
      <c r="E703" s="153"/>
      <c r="T703" s="153"/>
      <c r="BD703" s="31"/>
      <c r="BE703" s="31"/>
      <c r="BF703" s="31"/>
      <c r="BG703" s="31"/>
      <c r="BH703" s="31"/>
      <c r="BI703" s="116"/>
      <c r="BL703" s="196"/>
      <c r="BM703" s="239"/>
      <c r="BN703" s="330"/>
      <c r="BP703" s="330"/>
      <c r="BS703" s="116"/>
      <c r="BU703" s="331"/>
      <c r="BW703" s="116"/>
      <c r="BX703" s="116"/>
      <c r="BZ703" s="330"/>
      <c r="CB703" s="330"/>
      <c r="CC703" s="116"/>
      <c r="CG703" s="242"/>
      <c r="CH703" s="116"/>
      <c r="CI703" s="116"/>
      <c r="CJ703" s="116"/>
      <c r="CL703" s="116"/>
      <c r="CN703" s="239"/>
      <c r="CO703" s="153"/>
      <c r="DM703" s="116"/>
      <c r="DN703" s="116"/>
      <c r="DO703" s="116"/>
      <c r="DP703" s="116"/>
      <c r="DW703" s="116"/>
      <c r="DX703" s="219"/>
      <c r="DY703" s="219"/>
      <c r="DZ703" s="116"/>
      <c r="EA703" s="116"/>
      <c r="EB703" s="116"/>
      <c r="EC703" s="116"/>
      <c r="ED703" s="116"/>
      <c r="EF703" s="332"/>
      <c r="EG703" s="116"/>
      <c r="EH703" s="116"/>
      <c r="EI703" s="116"/>
      <c r="EJ703" s="116"/>
      <c r="EK703" s="116"/>
      <c r="EM703" s="116"/>
      <c r="EN703" s="116"/>
      <c r="EO703" s="116"/>
      <c r="EQ703" s="116"/>
      <c r="ER703" s="116"/>
      <c r="ES703" s="116"/>
      <c r="ET703" s="116"/>
      <c r="EU703" s="116"/>
      <c r="EV703" s="116"/>
      <c r="EX703" s="116"/>
      <c r="EY703" s="116"/>
      <c r="EZ703" s="116"/>
      <c r="FA703" s="116"/>
      <c r="FB703" s="116"/>
    </row>
    <row r="704" spans="5:158" ht="13">
      <c r="E704" s="153"/>
      <c r="T704" s="153"/>
      <c r="BD704" s="31"/>
      <c r="BE704" s="31"/>
      <c r="BF704" s="31"/>
      <c r="BG704" s="31"/>
      <c r="BH704" s="31"/>
      <c r="BI704" s="116"/>
      <c r="BL704" s="196"/>
      <c r="BM704" s="239"/>
      <c r="BN704" s="330"/>
      <c r="BP704" s="330"/>
      <c r="BS704" s="116"/>
      <c r="BU704" s="331"/>
      <c r="BW704" s="116"/>
      <c r="BX704" s="116"/>
      <c r="BZ704" s="330"/>
      <c r="CB704" s="330"/>
      <c r="CC704" s="116"/>
      <c r="CG704" s="242"/>
      <c r="CH704" s="116"/>
      <c r="CI704" s="116"/>
      <c r="CJ704" s="116"/>
      <c r="CL704" s="116"/>
      <c r="CN704" s="239"/>
      <c r="CO704" s="153"/>
      <c r="DM704" s="116"/>
      <c r="DN704" s="116"/>
      <c r="DO704" s="116"/>
      <c r="DP704" s="116"/>
      <c r="DW704" s="116"/>
      <c r="DX704" s="219"/>
      <c r="DY704" s="219"/>
      <c r="DZ704" s="116"/>
      <c r="EA704" s="116"/>
      <c r="EB704" s="116"/>
      <c r="EC704" s="116"/>
      <c r="ED704" s="116"/>
      <c r="EF704" s="332"/>
      <c r="EG704" s="116"/>
      <c r="EH704" s="116"/>
      <c r="EI704" s="116"/>
      <c r="EJ704" s="116"/>
      <c r="EK704" s="116"/>
      <c r="EM704" s="116"/>
      <c r="EN704" s="116"/>
      <c r="EO704" s="116"/>
      <c r="EQ704" s="116"/>
      <c r="ER704" s="116"/>
      <c r="ES704" s="116"/>
      <c r="ET704" s="116"/>
      <c r="EU704" s="116"/>
      <c r="EV704" s="116"/>
      <c r="EX704" s="116"/>
      <c r="EY704" s="116"/>
      <c r="EZ704" s="116"/>
      <c r="FA704" s="116"/>
      <c r="FB704" s="116"/>
    </row>
    <row r="705" spans="5:158" ht="13">
      <c r="E705" s="153"/>
      <c r="T705" s="153"/>
      <c r="BD705" s="31"/>
      <c r="BE705" s="31"/>
      <c r="BF705" s="31"/>
      <c r="BG705" s="31"/>
      <c r="BH705" s="31"/>
      <c r="BI705" s="116"/>
      <c r="BL705" s="196"/>
      <c r="BM705" s="239"/>
      <c r="BN705" s="330"/>
      <c r="BP705" s="330"/>
      <c r="BS705" s="116"/>
      <c r="BU705" s="331"/>
      <c r="BW705" s="116"/>
      <c r="BX705" s="116"/>
      <c r="BZ705" s="330"/>
      <c r="CB705" s="330"/>
      <c r="CC705" s="116"/>
      <c r="CG705" s="242"/>
      <c r="CH705" s="116"/>
      <c r="CI705" s="116"/>
      <c r="CJ705" s="116"/>
      <c r="CL705" s="116"/>
      <c r="CN705" s="239"/>
      <c r="CO705" s="153"/>
      <c r="DM705" s="116"/>
      <c r="DN705" s="116"/>
      <c r="DO705" s="116"/>
      <c r="DP705" s="116"/>
      <c r="DW705" s="116"/>
      <c r="DX705" s="219"/>
      <c r="DY705" s="219"/>
      <c r="DZ705" s="116"/>
      <c r="EA705" s="116"/>
      <c r="EB705" s="116"/>
      <c r="EC705" s="116"/>
      <c r="ED705" s="116"/>
      <c r="EF705" s="332"/>
      <c r="EG705" s="116"/>
      <c r="EH705" s="116"/>
      <c r="EI705" s="116"/>
      <c r="EJ705" s="116"/>
      <c r="EK705" s="116"/>
      <c r="EM705" s="116"/>
      <c r="EN705" s="116"/>
      <c r="EO705" s="116"/>
      <c r="EQ705" s="116"/>
      <c r="ER705" s="116"/>
      <c r="ES705" s="116"/>
      <c r="ET705" s="116"/>
      <c r="EU705" s="116"/>
      <c r="EV705" s="116"/>
      <c r="EX705" s="116"/>
      <c r="EY705" s="116"/>
      <c r="EZ705" s="116"/>
      <c r="FA705" s="116"/>
      <c r="FB705" s="116"/>
    </row>
    <row r="706" spans="5:158" ht="13">
      <c r="E706" s="153"/>
      <c r="T706" s="153"/>
      <c r="BD706" s="31"/>
      <c r="BE706" s="31"/>
      <c r="BF706" s="31"/>
      <c r="BG706" s="31"/>
      <c r="BH706" s="31"/>
      <c r="BI706" s="116"/>
      <c r="BL706" s="196"/>
      <c r="BM706" s="239"/>
      <c r="BN706" s="330"/>
      <c r="BP706" s="330"/>
      <c r="BS706" s="116"/>
      <c r="BU706" s="331"/>
      <c r="BW706" s="116"/>
      <c r="BX706" s="116"/>
      <c r="BZ706" s="330"/>
      <c r="CB706" s="330"/>
      <c r="CC706" s="116"/>
      <c r="CG706" s="242"/>
      <c r="CH706" s="116"/>
      <c r="CI706" s="116"/>
      <c r="CJ706" s="116"/>
      <c r="CL706" s="116"/>
      <c r="CN706" s="239"/>
      <c r="CO706" s="153"/>
      <c r="DM706" s="116"/>
      <c r="DN706" s="116"/>
      <c r="DO706" s="116"/>
      <c r="DP706" s="116"/>
      <c r="DW706" s="116"/>
      <c r="DX706" s="219"/>
      <c r="DY706" s="219"/>
      <c r="DZ706" s="116"/>
      <c r="EA706" s="116"/>
      <c r="EB706" s="116"/>
      <c r="EC706" s="116"/>
      <c r="ED706" s="116"/>
      <c r="EF706" s="332"/>
      <c r="EG706" s="116"/>
      <c r="EH706" s="116"/>
      <c r="EI706" s="116"/>
      <c r="EJ706" s="116"/>
      <c r="EK706" s="116"/>
      <c r="EM706" s="116"/>
      <c r="EN706" s="116"/>
      <c r="EO706" s="116"/>
      <c r="EQ706" s="116"/>
      <c r="ER706" s="116"/>
      <c r="ES706" s="116"/>
      <c r="ET706" s="116"/>
      <c r="EU706" s="116"/>
      <c r="EV706" s="116"/>
      <c r="EX706" s="116"/>
      <c r="EY706" s="116"/>
      <c r="EZ706" s="116"/>
      <c r="FA706" s="116"/>
      <c r="FB706" s="116"/>
    </row>
    <row r="707" spans="5:158" ht="13">
      <c r="E707" s="153"/>
      <c r="T707" s="153"/>
      <c r="BD707" s="31"/>
      <c r="BE707" s="31"/>
      <c r="BF707" s="31"/>
      <c r="BG707" s="31"/>
      <c r="BH707" s="31"/>
      <c r="BI707" s="116"/>
      <c r="BL707" s="196"/>
      <c r="BM707" s="239"/>
      <c r="BN707" s="330"/>
      <c r="BP707" s="330"/>
      <c r="BS707" s="116"/>
      <c r="BU707" s="331"/>
      <c r="BW707" s="116"/>
      <c r="BX707" s="116"/>
      <c r="BZ707" s="330"/>
      <c r="CB707" s="330"/>
      <c r="CC707" s="116"/>
      <c r="CG707" s="242"/>
      <c r="CH707" s="116"/>
      <c r="CI707" s="116"/>
      <c r="CJ707" s="116"/>
      <c r="CL707" s="116"/>
      <c r="CN707" s="239"/>
      <c r="CO707" s="153"/>
      <c r="DM707" s="116"/>
      <c r="DN707" s="116"/>
      <c r="DO707" s="116"/>
      <c r="DP707" s="116"/>
      <c r="DW707" s="116"/>
      <c r="DX707" s="219"/>
      <c r="DY707" s="219"/>
      <c r="DZ707" s="116"/>
      <c r="EA707" s="116"/>
      <c r="EB707" s="116"/>
      <c r="EC707" s="116"/>
      <c r="ED707" s="116"/>
      <c r="EF707" s="332"/>
      <c r="EG707" s="116"/>
      <c r="EH707" s="116"/>
      <c r="EI707" s="116"/>
      <c r="EJ707" s="116"/>
      <c r="EK707" s="116"/>
      <c r="EM707" s="116"/>
      <c r="EN707" s="116"/>
      <c r="EO707" s="116"/>
      <c r="EQ707" s="116"/>
      <c r="ER707" s="116"/>
      <c r="ES707" s="116"/>
      <c r="ET707" s="116"/>
      <c r="EU707" s="116"/>
      <c r="EV707" s="116"/>
      <c r="EX707" s="116"/>
      <c r="EY707" s="116"/>
      <c r="EZ707" s="116"/>
      <c r="FA707" s="116"/>
      <c r="FB707" s="116"/>
    </row>
    <row r="708" spans="5:158" ht="13">
      <c r="E708" s="153"/>
      <c r="T708" s="153"/>
      <c r="BD708" s="31"/>
      <c r="BE708" s="31"/>
      <c r="BF708" s="31"/>
      <c r="BG708" s="31"/>
      <c r="BH708" s="31"/>
      <c r="BI708" s="116"/>
      <c r="BL708" s="196"/>
      <c r="BM708" s="239"/>
      <c r="BN708" s="330"/>
      <c r="BP708" s="330"/>
      <c r="BS708" s="116"/>
      <c r="BU708" s="331"/>
      <c r="BW708" s="116"/>
      <c r="BX708" s="116"/>
      <c r="BZ708" s="330"/>
      <c r="CB708" s="330"/>
      <c r="CC708" s="116"/>
      <c r="CG708" s="242"/>
      <c r="CH708" s="116"/>
      <c r="CI708" s="116"/>
      <c r="CJ708" s="116"/>
      <c r="CL708" s="116"/>
      <c r="CN708" s="239"/>
      <c r="CO708" s="153"/>
      <c r="DM708" s="116"/>
      <c r="DN708" s="116"/>
      <c r="DO708" s="116"/>
      <c r="DP708" s="116"/>
      <c r="DW708" s="116"/>
      <c r="DX708" s="219"/>
      <c r="DY708" s="219"/>
      <c r="DZ708" s="116"/>
      <c r="EA708" s="116"/>
      <c r="EB708" s="116"/>
      <c r="EC708" s="116"/>
      <c r="ED708" s="116"/>
      <c r="EF708" s="332"/>
      <c r="EG708" s="116"/>
      <c r="EH708" s="116"/>
      <c r="EI708" s="116"/>
      <c r="EJ708" s="116"/>
      <c r="EK708" s="116"/>
      <c r="EM708" s="116"/>
      <c r="EN708" s="116"/>
      <c r="EO708" s="116"/>
      <c r="EQ708" s="116"/>
      <c r="ER708" s="116"/>
      <c r="ES708" s="116"/>
      <c r="ET708" s="116"/>
      <c r="EU708" s="116"/>
      <c r="EV708" s="116"/>
      <c r="EX708" s="116"/>
      <c r="EY708" s="116"/>
      <c r="EZ708" s="116"/>
      <c r="FA708" s="116"/>
      <c r="FB708" s="116"/>
    </row>
    <row r="709" spans="5:158" ht="13">
      <c r="E709" s="153"/>
      <c r="T709" s="153"/>
      <c r="BD709" s="31"/>
      <c r="BE709" s="31"/>
      <c r="BF709" s="31"/>
      <c r="BG709" s="31"/>
      <c r="BH709" s="31"/>
      <c r="BI709" s="116"/>
      <c r="BL709" s="196"/>
      <c r="BM709" s="239"/>
      <c r="BN709" s="330"/>
      <c r="BP709" s="330"/>
      <c r="BS709" s="116"/>
      <c r="BU709" s="331"/>
      <c r="BW709" s="116"/>
      <c r="BX709" s="116"/>
      <c r="BZ709" s="330"/>
      <c r="CB709" s="330"/>
      <c r="CC709" s="116"/>
      <c r="CG709" s="242"/>
      <c r="CH709" s="116"/>
      <c r="CI709" s="116"/>
      <c r="CJ709" s="116"/>
      <c r="CL709" s="116"/>
      <c r="CN709" s="239"/>
      <c r="CO709" s="153"/>
      <c r="DM709" s="116"/>
      <c r="DN709" s="116"/>
      <c r="DO709" s="116"/>
      <c r="DP709" s="116"/>
      <c r="DW709" s="116"/>
      <c r="DX709" s="219"/>
      <c r="DY709" s="219"/>
      <c r="DZ709" s="116"/>
      <c r="EA709" s="116"/>
      <c r="EB709" s="116"/>
      <c r="EC709" s="116"/>
      <c r="ED709" s="116"/>
      <c r="EF709" s="332"/>
      <c r="EG709" s="116"/>
      <c r="EH709" s="116"/>
      <c r="EI709" s="116"/>
      <c r="EJ709" s="116"/>
      <c r="EK709" s="116"/>
      <c r="EM709" s="116"/>
      <c r="EN709" s="116"/>
      <c r="EO709" s="116"/>
      <c r="EQ709" s="116"/>
      <c r="ER709" s="116"/>
      <c r="ES709" s="116"/>
      <c r="ET709" s="116"/>
      <c r="EU709" s="116"/>
      <c r="EV709" s="116"/>
      <c r="EX709" s="116"/>
      <c r="EY709" s="116"/>
      <c r="EZ709" s="116"/>
      <c r="FA709" s="116"/>
      <c r="FB709" s="116"/>
    </row>
    <row r="710" spans="5:158" ht="13">
      <c r="E710" s="153"/>
      <c r="T710" s="153"/>
      <c r="BD710" s="31"/>
      <c r="BE710" s="31"/>
      <c r="BF710" s="31"/>
      <c r="BG710" s="31"/>
      <c r="BH710" s="31"/>
      <c r="BI710" s="116"/>
      <c r="BL710" s="196"/>
      <c r="BM710" s="239"/>
      <c r="BN710" s="330"/>
      <c r="BP710" s="330"/>
      <c r="BS710" s="116"/>
      <c r="BU710" s="331"/>
      <c r="BW710" s="116"/>
      <c r="BX710" s="116"/>
      <c r="BZ710" s="330"/>
      <c r="CB710" s="330"/>
      <c r="CC710" s="116"/>
      <c r="CG710" s="242"/>
      <c r="CH710" s="116"/>
      <c r="CI710" s="116"/>
      <c r="CJ710" s="116"/>
      <c r="CL710" s="116"/>
      <c r="CN710" s="239"/>
      <c r="CO710" s="153"/>
      <c r="DM710" s="116"/>
      <c r="DN710" s="116"/>
      <c r="DO710" s="116"/>
      <c r="DP710" s="116"/>
      <c r="DW710" s="116"/>
      <c r="DX710" s="219"/>
      <c r="DY710" s="219"/>
      <c r="DZ710" s="116"/>
      <c r="EA710" s="116"/>
      <c r="EB710" s="116"/>
      <c r="EC710" s="116"/>
      <c r="ED710" s="116"/>
      <c r="EF710" s="332"/>
      <c r="EG710" s="116"/>
      <c r="EH710" s="116"/>
      <c r="EI710" s="116"/>
      <c r="EJ710" s="116"/>
      <c r="EK710" s="116"/>
      <c r="EM710" s="116"/>
      <c r="EN710" s="116"/>
      <c r="EO710" s="116"/>
      <c r="EQ710" s="116"/>
      <c r="ER710" s="116"/>
      <c r="ES710" s="116"/>
      <c r="ET710" s="116"/>
      <c r="EU710" s="116"/>
      <c r="EV710" s="116"/>
      <c r="EX710" s="116"/>
      <c r="EY710" s="116"/>
      <c r="EZ710" s="116"/>
      <c r="FA710" s="116"/>
      <c r="FB710" s="116"/>
    </row>
    <row r="711" spans="5:158" ht="13">
      <c r="E711" s="153"/>
      <c r="T711" s="153"/>
      <c r="BD711" s="31"/>
      <c r="BE711" s="31"/>
      <c r="BF711" s="31"/>
      <c r="BG711" s="31"/>
      <c r="BH711" s="31"/>
      <c r="BI711" s="116"/>
      <c r="BL711" s="196"/>
      <c r="BM711" s="239"/>
      <c r="BN711" s="330"/>
      <c r="BP711" s="330"/>
      <c r="BS711" s="116"/>
      <c r="BU711" s="331"/>
      <c r="BW711" s="116"/>
      <c r="BX711" s="116"/>
      <c r="BZ711" s="330"/>
      <c r="CB711" s="330"/>
      <c r="CC711" s="116"/>
      <c r="CG711" s="242"/>
      <c r="CH711" s="116"/>
      <c r="CI711" s="116"/>
      <c r="CJ711" s="116"/>
      <c r="CL711" s="116"/>
      <c r="CN711" s="239"/>
      <c r="CO711" s="153"/>
      <c r="DM711" s="116"/>
      <c r="DN711" s="116"/>
      <c r="DO711" s="116"/>
      <c r="DP711" s="116"/>
      <c r="DW711" s="116"/>
      <c r="DX711" s="219"/>
      <c r="DY711" s="219"/>
      <c r="DZ711" s="116"/>
      <c r="EA711" s="116"/>
      <c r="EB711" s="116"/>
      <c r="EC711" s="116"/>
      <c r="ED711" s="116"/>
      <c r="EF711" s="332"/>
      <c r="EG711" s="116"/>
      <c r="EH711" s="116"/>
      <c r="EI711" s="116"/>
      <c r="EJ711" s="116"/>
      <c r="EK711" s="116"/>
      <c r="EM711" s="116"/>
      <c r="EN711" s="116"/>
      <c r="EO711" s="116"/>
      <c r="EQ711" s="116"/>
      <c r="ER711" s="116"/>
      <c r="ES711" s="116"/>
      <c r="ET711" s="116"/>
      <c r="EU711" s="116"/>
      <c r="EV711" s="116"/>
      <c r="EX711" s="116"/>
      <c r="EY711" s="116"/>
      <c r="EZ711" s="116"/>
      <c r="FA711" s="116"/>
      <c r="FB711" s="116"/>
    </row>
    <row r="712" spans="5:158" ht="13">
      <c r="E712" s="153"/>
      <c r="T712" s="153"/>
      <c r="BD712" s="31"/>
      <c r="BE712" s="31"/>
      <c r="BF712" s="31"/>
      <c r="BG712" s="31"/>
      <c r="BH712" s="31"/>
      <c r="BI712" s="116"/>
      <c r="BL712" s="196"/>
      <c r="BM712" s="239"/>
      <c r="BN712" s="330"/>
      <c r="BP712" s="330"/>
      <c r="BS712" s="116"/>
      <c r="BU712" s="331"/>
      <c r="BW712" s="116"/>
      <c r="BX712" s="116"/>
      <c r="BZ712" s="330"/>
      <c r="CB712" s="330"/>
      <c r="CC712" s="116"/>
      <c r="CG712" s="242"/>
      <c r="CH712" s="116"/>
      <c r="CI712" s="116"/>
      <c r="CJ712" s="116"/>
      <c r="CL712" s="116"/>
      <c r="CN712" s="239"/>
      <c r="CO712" s="153"/>
      <c r="DM712" s="116"/>
      <c r="DN712" s="116"/>
      <c r="DO712" s="116"/>
      <c r="DP712" s="116"/>
      <c r="DW712" s="116"/>
      <c r="DX712" s="219"/>
      <c r="DY712" s="219"/>
      <c r="DZ712" s="116"/>
      <c r="EA712" s="116"/>
      <c r="EB712" s="116"/>
      <c r="EC712" s="116"/>
      <c r="ED712" s="116"/>
      <c r="EF712" s="332"/>
      <c r="EG712" s="116"/>
      <c r="EH712" s="116"/>
      <c r="EI712" s="116"/>
      <c r="EJ712" s="116"/>
      <c r="EK712" s="116"/>
      <c r="EM712" s="116"/>
      <c r="EN712" s="116"/>
      <c r="EO712" s="116"/>
      <c r="EQ712" s="116"/>
      <c r="ER712" s="116"/>
      <c r="ES712" s="116"/>
      <c r="ET712" s="116"/>
      <c r="EU712" s="116"/>
      <c r="EV712" s="116"/>
      <c r="EX712" s="116"/>
      <c r="EY712" s="116"/>
      <c r="EZ712" s="116"/>
      <c r="FA712" s="116"/>
      <c r="FB712" s="116"/>
    </row>
    <row r="713" spans="5:158" ht="13">
      <c r="E713" s="153"/>
      <c r="T713" s="153"/>
      <c r="BD713" s="31"/>
      <c r="BE713" s="31"/>
      <c r="BF713" s="31"/>
      <c r="BG713" s="31"/>
      <c r="BH713" s="31"/>
      <c r="BI713" s="116"/>
      <c r="BL713" s="196"/>
      <c r="BM713" s="239"/>
      <c r="BN713" s="330"/>
      <c r="BP713" s="330"/>
      <c r="BS713" s="116"/>
      <c r="BU713" s="331"/>
      <c r="BW713" s="116"/>
      <c r="BX713" s="116"/>
      <c r="BZ713" s="330"/>
      <c r="CB713" s="330"/>
      <c r="CC713" s="116"/>
      <c r="CG713" s="242"/>
      <c r="CH713" s="116"/>
      <c r="CI713" s="116"/>
      <c r="CJ713" s="116"/>
      <c r="CL713" s="116"/>
      <c r="CN713" s="239"/>
      <c r="CO713" s="153"/>
      <c r="DM713" s="116"/>
      <c r="DN713" s="116"/>
      <c r="DO713" s="116"/>
      <c r="DP713" s="116"/>
      <c r="DW713" s="116"/>
      <c r="DX713" s="219"/>
      <c r="DY713" s="219"/>
      <c r="DZ713" s="116"/>
      <c r="EA713" s="116"/>
      <c r="EB713" s="116"/>
      <c r="EC713" s="116"/>
      <c r="ED713" s="116"/>
      <c r="EF713" s="332"/>
      <c r="EG713" s="116"/>
      <c r="EH713" s="116"/>
      <c r="EI713" s="116"/>
      <c r="EJ713" s="116"/>
      <c r="EK713" s="116"/>
      <c r="EM713" s="116"/>
      <c r="EN713" s="116"/>
      <c r="EO713" s="116"/>
      <c r="EQ713" s="116"/>
      <c r="ER713" s="116"/>
      <c r="ES713" s="116"/>
      <c r="ET713" s="116"/>
      <c r="EU713" s="116"/>
      <c r="EV713" s="116"/>
      <c r="EX713" s="116"/>
      <c r="EY713" s="116"/>
      <c r="EZ713" s="116"/>
      <c r="FA713" s="116"/>
      <c r="FB713" s="116"/>
    </row>
    <row r="714" spans="5:158" ht="13">
      <c r="E714" s="153"/>
      <c r="T714" s="153"/>
      <c r="BD714" s="31"/>
      <c r="BE714" s="31"/>
      <c r="BF714" s="31"/>
      <c r="BG714" s="31"/>
      <c r="BH714" s="31"/>
      <c r="BI714" s="116"/>
      <c r="BL714" s="196"/>
      <c r="BM714" s="239"/>
      <c r="BN714" s="330"/>
      <c r="BP714" s="330"/>
      <c r="BS714" s="116"/>
      <c r="BU714" s="331"/>
      <c r="BW714" s="116"/>
      <c r="BX714" s="116"/>
      <c r="BZ714" s="330"/>
      <c r="CB714" s="330"/>
      <c r="CC714" s="116"/>
      <c r="CG714" s="242"/>
      <c r="CH714" s="116"/>
      <c r="CI714" s="116"/>
      <c r="CJ714" s="116"/>
      <c r="CL714" s="116"/>
      <c r="CN714" s="239"/>
      <c r="CO714" s="153"/>
      <c r="DM714" s="116"/>
      <c r="DN714" s="116"/>
      <c r="DO714" s="116"/>
      <c r="DP714" s="116"/>
      <c r="DW714" s="116"/>
      <c r="DX714" s="219"/>
      <c r="DY714" s="219"/>
      <c r="DZ714" s="116"/>
      <c r="EA714" s="116"/>
      <c r="EB714" s="116"/>
      <c r="EC714" s="116"/>
      <c r="ED714" s="116"/>
      <c r="EF714" s="332"/>
      <c r="EG714" s="116"/>
      <c r="EH714" s="116"/>
      <c r="EI714" s="116"/>
      <c r="EJ714" s="116"/>
      <c r="EK714" s="116"/>
      <c r="EM714" s="116"/>
      <c r="EN714" s="116"/>
      <c r="EO714" s="116"/>
      <c r="EQ714" s="116"/>
      <c r="ER714" s="116"/>
      <c r="ES714" s="116"/>
      <c r="ET714" s="116"/>
      <c r="EU714" s="116"/>
      <c r="EV714" s="116"/>
      <c r="EX714" s="116"/>
      <c r="EY714" s="116"/>
      <c r="EZ714" s="116"/>
      <c r="FA714" s="116"/>
      <c r="FB714" s="116"/>
    </row>
    <row r="715" spans="5:158" ht="13">
      <c r="E715" s="153"/>
      <c r="T715" s="153"/>
      <c r="BD715" s="31"/>
      <c r="BE715" s="31"/>
      <c r="BF715" s="31"/>
      <c r="BG715" s="31"/>
      <c r="BH715" s="31"/>
      <c r="BI715" s="116"/>
      <c r="BL715" s="196"/>
      <c r="BM715" s="239"/>
      <c r="BN715" s="330"/>
      <c r="BP715" s="330"/>
      <c r="BS715" s="116"/>
      <c r="BU715" s="331"/>
      <c r="BW715" s="116"/>
      <c r="BX715" s="116"/>
      <c r="BZ715" s="330"/>
      <c r="CB715" s="330"/>
      <c r="CC715" s="116"/>
      <c r="CG715" s="242"/>
      <c r="CH715" s="116"/>
      <c r="CI715" s="116"/>
      <c r="CJ715" s="116"/>
      <c r="CL715" s="116"/>
      <c r="CN715" s="239"/>
      <c r="CO715" s="153"/>
      <c r="DM715" s="116"/>
      <c r="DN715" s="116"/>
      <c r="DO715" s="116"/>
      <c r="DP715" s="116"/>
      <c r="DW715" s="116"/>
      <c r="DX715" s="219"/>
      <c r="DY715" s="219"/>
      <c r="DZ715" s="116"/>
      <c r="EA715" s="116"/>
      <c r="EB715" s="116"/>
      <c r="EC715" s="116"/>
      <c r="ED715" s="116"/>
      <c r="EF715" s="332"/>
      <c r="EG715" s="116"/>
      <c r="EH715" s="116"/>
      <c r="EI715" s="116"/>
      <c r="EJ715" s="116"/>
      <c r="EK715" s="116"/>
      <c r="EM715" s="116"/>
      <c r="EN715" s="116"/>
      <c r="EO715" s="116"/>
      <c r="EQ715" s="116"/>
      <c r="ER715" s="116"/>
      <c r="ES715" s="116"/>
      <c r="ET715" s="116"/>
      <c r="EU715" s="116"/>
      <c r="EV715" s="116"/>
      <c r="EX715" s="116"/>
      <c r="EY715" s="116"/>
      <c r="EZ715" s="116"/>
      <c r="FA715" s="116"/>
      <c r="FB715" s="116"/>
    </row>
    <row r="716" spans="5:158" ht="13">
      <c r="E716" s="153"/>
      <c r="T716" s="153"/>
      <c r="BD716" s="31"/>
      <c r="BE716" s="31"/>
      <c r="BF716" s="31"/>
      <c r="BG716" s="31"/>
      <c r="BH716" s="31"/>
      <c r="BI716" s="116"/>
      <c r="BL716" s="196"/>
      <c r="BM716" s="239"/>
      <c r="BN716" s="330"/>
      <c r="BP716" s="330"/>
      <c r="BS716" s="116"/>
      <c r="BU716" s="331"/>
      <c r="BW716" s="116"/>
      <c r="BX716" s="116"/>
      <c r="BZ716" s="330"/>
      <c r="CB716" s="330"/>
      <c r="CC716" s="116"/>
      <c r="CG716" s="242"/>
      <c r="CH716" s="116"/>
      <c r="CI716" s="116"/>
      <c r="CJ716" s="116"/>
      <c r="CL716" s="116"/>
      <c r="CN716" s="239"/>
      <c r="CO716" s="153"/>
      <c r="DM716" s="116"/>
      <c r="DN716" s="116"/>
      <c r="DO716" s="116"/>
      <c r="DP716" s="116"/>
      <c r="DW716" s="116"/>
      <c r="DX716" s="219"/>
      <c r="DY716" s="219"/>
      <c r="DZ716" s="116"/>
      <c r="EA716" s="116"/>
      <c r="EB716" s="116"/>
      <c r="EC716" s="116"/>
      <c r="ED716" s="116"/>
      <c r="EF716" s="332"/>
      <c r="EG716" s="116"/>
      <c r="EH716" s="116"/>
      <c r="EI716" s="116"/>
      <c r="EJ716" s="116"/>
      <c r="EK716" s="116"/>
      <c r="EM716" s="116"/>
      <c r="EN716" s="116"/>
      <c r="EO716" s="116"/>
      <c r="EQ716" s="116"/>
      <c r="ER716" s="116"/>
      <c r="ES716" s="116"/>
      <c r="ET716" s="116"/>
      <c r="EU716" s="116"/>
      <c r="EV716" s="116"/>
      <c r="EX716" s="116"/>
      <c r="EY716" s="116"/>
      <c r="EZ716" s="116"/>
      <c r="FA716" s="116"/>
      <c r="FB716" s="116"/>
    </row>
    <row r="717" spans="5:158" ht="13">
      <c r="E717" s="153"/>
      <c r="T717" s="153"/>
      <c r="BD717" s="31"/>
      <c r="BE717" s="31"/>
      <c r="BF717" s="31"/>
      <c r="BG717" s="31"/>
      <c r="BH717" s="31"/>
      <c r="BI717" s="116"/>
      <c r="BL717" s="196"/>
      <c r="BM717" s="239"/>
      <c r="BN717" s="330"/>
      <c r="BP717" s="330"/>
      <c r="BS717" s="116"/>
      <c r="BU717" s="331"/>
      <c r="BW717" s="116"/>
      <c r="BX717" s="116"/>
      <c r="BZ717" s="330"/>
      <c r="CB717" s="330"/>
      <c r="CC717" s="116"/>
      <c r="CG717" s="242"/>
      <c r="CH717" s="116"/>
      <c r="CI717" s="116"/>
      <c r="CJ717" s="116"/>
      <c r="CL717" s="116"/>
      <c r="CN717" s="239"/>
      <c r="CO717" s="153"/>
      <c r="DM717" s="116"/>
      <c r="DN717" s="116"/>
      <c r="DO717" s="116"/>
      <c r="DP717" s="116"/>
      <c r="DW717" s="116"/>
      <c r="DX717" s="219"/>
      <c r="DY717" s="219"/>
      <c r="DZ717" s="116"/>
      <c r="EA717" s="116"/>
      <c r="EB717" s="116"/>
      <c r="EC717" s="116"/>
      <c r="ED717" s="116"/>
      <c r="EF717" s="332"/>
      <c r="EG717" s="116"/>
      <c r="EH717" s="116"/>
      <c r="EI717" s="116"/>
      <c r="EJ717" s="116"/>
      <c r="EK717" s="116"/>
      <c r="EM717" s="116"/>
      <c r="EN717" s="116"/>
      <c r="EO717" s="116"/>
      <c r="EQ717" s="116"/>
      <c r="ER717" s="116"/>
      <c r="ES717" s="116"/>
      <c r="ET717" s="116"/>
      <c r="EU717" s="116"/>
      <c r="EV717" s="116"/>
      <c r="EX717" s="116"/>
      <c r="EY717" s="116"/>
      <c r="EZ717" s="116"/>
      <c r="FA717" s="116"/>
      <c r="FB717" s="116"/>
    </row>
    <row r="718" spans="5:158" ht="13">
      <c r="E718" s="153"/>
      <c r="T718" s="153"/>
      <c r="BD718" s="31"/>
      <c r="BE718" s="31"/>
      <c r="BF718" s="31"/>
      <c r="BG718" s="31"/>
      <c r="BH718" s="31"/>
      <c r="BI718" s="116"/>
      <c r="BL718" s="196"/>
      <c r="BM718" s="239"/>
      <c r="BN718" s="330"/>
      <c r="BP718" s="330"/>
      <c r="BS718" s="116"/>
      <c r="BU718" s="331"/>
      <c r="BW718" s="116"/>
      <c r="BX718" s="116"/>
      <c r="BZ718" s="330"/>
      <c r="CB718" s="330"/>
      <c r="CC718" s="116"/>
      <c r="CG718" s="242"/>
      <c r="CH718" s="116"/>
      <c r="CI718" s="116"/>
      <c r="CJ718" s="116"/>
      <c r="CL718" s="116"/>
      <c r="CN718" s="239"/>
      <c r="CO718" s="153"/>
      <c r="DM718" s="116"/>
      <c r="DN718" s="116"/>
      <c r="DO718" s="116"/>
      <c r="DP718" s="116"/>
      <c r="DW718" s="116"/>
      <c r="DX718" s="219"/>
      <c r="DY718" s="219"/>
      <c r="DZ718" s="116"/>
      <c r="EA718" s="116"/>
      <c r="EB718" s="116"/>
      <c r="EC718" s="116"/>
      <c r="ED718" s="116"/>
      <c r="EF718" s="332"/>
      <c r="EG718" s="116"/>
      <c r="EH718" s="116"/>
      <c r="EI718" s="116"/>
      <c r="EJ718" s="116"/>
      <c r="EK718" s="116"/>
      <c r="EM718" s="116"/>
      <c r="EN718" s="116"/>
      <c r="EO718" s="116"/>
      <c r="EQ718" s="116"/>
      <c r="ER718" s="116"/>
      <c r="ES718" s="116"/>
      <c r="ET718" s="116"/>
      <c r="EU718" s="116"/>
      <c r="EV718" s="116"/>
      <c r="EX718" s="116"/>
      <c r="EY718" s="116"/>
      <c r="EZ718" s="116"/>
      <c r="FA718" s="116"/>
      <c r="FB718" s="116"/>
    </row>
    <row r="719" spans="5:158" ht="13">
      <c r="E719" s="153"/>
      <c r="T719" s="153"/>
      <c r="BD719" s="31"/>
      <c r="BE719" s="31"/>
      <c r="BF719" s="31"/>
      <c r="BG719" s="31"/>
      <c r="BH719" s="31"/>
      <c r="BI719" s="116"/>
      <c r="BL719" s="196"/>
      <c r="BM719" s="239"/>
      <c r="BN719" s="330"/>
      <c r="BP719" s="330"/>
      <c r="BS719" s="116"/>
      <c r="BU719" s="331"/>
      <c r="BW719" s="116"/>
      <c r="BX719" s="116"/>
      <c r="BZ719" s="330"/>
      <c r="CB719" s="330"/>
      <c r="CC719" s="116"/>
      <c r="CG719" s="242"/>
      <c r="CH719" s="116"/>
      <c r="CI719" s="116"/>
      <c r="CJ719" s="116"/>
      <c r="CL719" s="116"/>
      <c r="CN719" s="239"/>
      <c r="CO719" s="153"/>
      <c r="DM719" s="116"/>
      <c r="DN719" s="116"/>
      <c r="DO719" s="116"/>
      <c r="DP719" s="116"/>
      <c r="DW719" s="116"/>
      <c r="DX719" s="219"/>
      <c r="DY719" s="219"/>
      <c r="DZ719" s="116"/>
      <c r="EA719" s="116"/>
      <c r="EB719" s="116"/>
      <c r="EC719" s="116"/>
      <c r="ED719" s="116"/>
      <c r="EF719" s="332"/>
      <c r="EG719" s="116"/>
      <c r="EH719" s="116"/>
      <c r="EI719" s="116"/>
      <c r="EJ719" s="116"/>
      <c r="EK719" s="116"/>
      <c r="EM719" s="116"/>
      <c r="EN719" s="116"/>
      <c r="EO719" s="116"/>
      <c r="EQ719" s="116"/>
      <c r="ER719" s="116"/>
      <c r="ES719" s="116"/>
      <c r="ET719" s="116"/>
      <c r="EU719" s="116"/>
      <c r="EV719" s="116"/>
      <c r="EX719" s="116"/>
      <c r="EY719" s="116"/>
      <c r="EZ719" s="116"/>
      <c r="FA719" s="116"/>
      <c r="FB719" s="116"/>
    </row>
    <row r="720" spans="5:158" ht="13">
      <c r="E720" s="153"/>
      <c r="T720" s="153"/>
      <c r="BD720" s="31"/>
      <c r="BE720" s="31"/>
      <c r="BF720" s="31"/>
      <c r="BG720" s="31"/>
      <c r="BH720" s="31"/>
      <c r="BI720" s="116"/>
      <c r="BL720" s="196"/>
      <c r="BM720" s="239"/>
      <c r="BN720" s="330"/>
      <c r="BP720" s="330"/>
      <c r="BS720" s="116"/>
      <c r="BU720" s="331"/>
      <c r="BW720" s="116"/>
      <c r="BX720" s="116"/>
      <c r="BZ720" s="330"/>
      <c r="CB720" s="330"/>
      <c r="CC720" s="116"/>
      <c r="CG720" s="242"/>
      <c r="CH720" s="116"/>
      <c r="CI720" s="116"/>
      <c r="CJ720" s="116"/>
      <c r="CL720" s="116"/>
      <c r="CN720" s="239"/>
      <c r="CO720" s="153"/>
      <c r="DM720" s="116"/>
      <c r="DN720" s="116"/>
      <c r="DO720" s="116"/>
      <c r="DP720" s="116"/>
      <c r="DW720" s="116"/>
      <c r="DX720" s="219"/>
      <c r="DY720" s="219"/>
      <c r="DZ720" s="116"/>
      <c r="EA720" s="116"/>
      <c r="EB720" s="116"/>
      <c r="EC720" s="116"/>
      <c r="ED720" s="116"/>
      <c r="EF720" s="332"/>
      <c r="EG720" s="116"/>
      <c r="EH720" s="116"/>
      <c r="EI720" s="116"/>
      <c r="EJ720" s="116"/>
      <c r="EK720" s="116"/>
      <c r="EM720" s="116"/>
      <c r="EN720" s="116"/>
      <c r="EO720" s="116"/>
      <c r="EQ720" s="116"/>
      <c r="ER720" s="116"/>
      <c r="ES720" s="116"/>
      <c r="ET720" s="116"/>
      <c r="EU720" s="116"/>
      <c r="EV720" s="116"/>
      <c r="EX720" s="116"/>
      <c r="EY720" s="116"/>
      <c r="EZ720" s="116"/>
      <c r="FA720" s="116"/>
      <c r="FB720" s="116"/>
    </row>
    <row r="721" spans="5:158" ht="13">
      <c r="E721" s="153"/>
      <c r="T721" s="153"/>
      <c r="BD721" s="31"/>
      <c r="BE721" s="31"/>
      <c r="BF721" s="31"/>
      <c r="BG721" s="31"/>
      <c r="BH721" s="31"/>
      <c r="BI721" s="116"/>
      <c r="BL721" s="196"/>
      <c r="BM721" s="239"/>
      <c r="BN721" s="330"/>
      <c r="BP721" s="330"/>
      <c r="BS721" s="116"/>
      <c r="BU721" s="331"/>
      <c r="BW721" s="116"/>
      <c r="BX721" s="116"/>
      <c r="BZ721" s="330"/>
      <c r="CB721" s="330"/>
      <c r="CC721" s="116"/>
      <c r="CG721" s="242"/>
      <c r="CH721" s="116"/>
      <c r="CI721" s="116"/>
      <c r="CJ721" s="116"/>
      <c r="CL721" s="116"/>
      <c r="CN721" s="239"/>
      <c r="CO721" s="153"/>
      <c r="DM721" s="116"/>
      <c r="DN721" s="116"/>
      <c r="DO721" s="116"/>
      <c r="DP721" s="116"/>
      <c r="DW721" s="116"/>
      <c r="DX721" s="219"/>
      <c r="DY721" s="219"/>
      <c r="DZ721" s="116"/>
      <c r="EA721" s="116"/>
      <c r="EB721" s="116"/>
      <c r="EC721" s="116"/>
      <c r="ED721" s="116"/>
      <c r="EF721" s="332"/>
      <c r="EG721" s="116"/>
      <c r="EH721" s="116"/>
      <c r="EI721" s="116"/>
      <c r="EJ721" s="116"/>
      <c r="EK721" s="116"/>
      <c r="EM721" s="116"/>
      <c r="EN721" s="116"/>
      <c r="EO721" s="116"/>
      <c r="EQ721" s="116"/>
      <c r="ER721" s="116"/>
      <c r="ES721" s="116"/>
      <c r="ET721" s="116"/>
      <c r="EU721" s="116"/>
      <c r="EV721" s="116"/>
      <c r="EX721" s="116"/>
      <c r="EY721" s="116"/>
      <c r="EZ721" s="116"/>
      <c r="FA721" s="116"/>
      <c r="FB721" s="116"/>
    </row>
    <row r="722" spans="5:158" ht="13">
      <c r="E722" s="153"/>
      <c r="T722" s="153"/>
      <c r="BD722" s="31"/>
      <c r="BE722" s="31"/>
      <c r="BF722" s="31"/>
      <c r="BG722" s="31"/>
      <c r="BH722" s="31"/>
      <c r="BI722" s="116"/>
      <c r="BL722" s="196"/>
      <c r="BM722" s="239"/>
      <c r="BN722" s="330"/>
      <c r="BP722" s="330"/>
      <c r="BS722" s="116"/>
      <c r="BU722" s="331"/>
      <c r="BW722" s="116"/>
      <c r="BX722" s="116"/>
      <c r="BZ722" s="330"/>
      <c r="CB722" s="330"/>
      <c r="CC722" s="116"/>
      <c r="CG722" s="242"/>
      <c r="CH722" s="116"/>
      <c r="CI722" s="116"/>
      <c r="CJ722" s="116"/>
      <c r="CL722" s="116"/>
      <c r="CN722" s="239"/>
      <c r="CO722" s="153"/>
      <c r="DM722" s="116"/>
      <c r="DN722" s="116"/>
      <c r="DO722" s="116"/>
      <c r="DP722" s="116"/>
      <c r="DW722" s="116"/>
      <c r="DX722" s="219"/>
      <c r="DY722" s="219"/>
      <c r="DZ722" s="116"/>
      <c r="EA722" s="116"/>
      <c r="EB722" s="116"/>
      <c r="EC722" s="116"/>
      <c r="ED722" s="116"/>
      <c r="EF722" s="332"/>
      <c r="EG722" s="116"/>
      <c r="EH722" s="116"/>
      <c r="EI722" s="116"/>
      <c r="EJ722" s="116"/>
      <c r="EK722" s="116"/>
      <c r="EM722" s="116"/>
      <c r="EN722" s="116"/>
      <c r="EO722" s="116"/>
      <c r="EQ722" s="116"/>
      <c r="ER722" s="116"/>
      <c r="ES722" s="116"/>
      <c r="ET722" s="116"/>
      <c r="EU722" s="116"/>
      <c r="EV722" s="116"/>
      <c r="EX722" s="116"/>
      <c r="EY722" s="116"/>
      <c r="EZ722" s="116"/>
      <c r="FA722" s="116"/>
      <c r="FB722" s="116"/>
    </row>
    <row r="723" spans="5:158" ht="13">
      <c r="E723" s="153"/>
      <c r="T723" s="153"/>
      <c r="BD723" s="31"/>
      <c r="BE723" s="31"/>
      <c r="BF723" s="31"/>
      <c r="BG723" s="31"/>
      <c r="BH723" s="31"/>
      <c r="BI723" s="116"/>
      <c r="BL723" s="196"/>
      <c r="BM723" s="239"/>
      <c r="BN723" s="330"/>
      <c r="BP723" s="330"/>
      <c r="BS723" s="116"/>
      <c r="BU723" s="331"/>
      <c r="BW723" s="116"/>
      <c r="BX723" s="116"/>
      <c r="BZ723" s="330"/>
      <c r="CB723" s="330"/>
      <c r="CC723" s="116"/>
      <c r="CG723" s="242"/>
      <c r="CH723" s="116"/>
      <c r="CI723" s="116"/>
      <c r="CJ723" s="116"/>
      <c r="CL723" s="116"/>
      <c r="CN723" s="239"/>
      <c r="CO723" s="153"/>
      <c r="DM723" s="116"/>
      <c r="DN723" s="116"/>
      <c r="DO723" s="116"/>
      <c r="DP723" s="116"/>
      <c r="DW723" s="116"/>
      <c r="DX723" s="219"/>
      <c r="DY723" s="219"/>
      <c r="DZ723" s="116"/>
      <c r="EA723" s="116"/>
      <c r="EB723" s="116"/>
      <c r="EC723" s="116"/>
      <c r="ED723" s="116"/>
      <c r="EF723" s="332"/>
      <c r="EG723" s="116"/>
      <c r="EH723" s="116"/>
      <c r="EI723" s="116"/>
      <c r="EJ723" s="116"/>
      <c r="EK723" s="116"/>
      <c r="EM723" s="116"/>
      <c r="EN723" s="116"/>
      <c r="EO723" s="116"/>
      <c r="EQ723" s="116"/>
      <c r="ER723" s="116"/>
      <c r="ES723" s="116"/>
      <c r="ET723" s="116"/>
      <c r="EU723" s="116"/>
      <c r="EV723" s="116"/>
      <c r="EX723" s="116"/>
      <c r="EY723" s="116"/>
      <c r="EZ723" s="116"/>
      <c r="FA723" s="116"/>
      <c r="FB723" s="116"/>
    </row>
    <row r="724" spans="5:158" ht="13">
      <c r="E724" s="153"/>
      <c r="T724" s="153"/>
      <c r="BD724" s="31"/>
      <c r="BE724" s="31"/>
      <c r="BF724" s="31"/>
      <c r="BG724" s="31"/>
      <c r="BH724" s="31"/>
      <c r="BI724" s="116"/>
      <c r="BL724" s="196"/>
      <c r="BM724" s="239"/>
      <c r="BN724" s="330"/>
      <c r="BP724" s="330"/>
      <c r="BS724" s="116"/>
      <c r="BU724" s="331"/>
      <c r="BW724" s="116"/>
      <c r="BX724" s="116"/>
      <c r="BZ724" s="330"/>
      <c r="CB724" s="330"/>
      <c r="CC724" s="116"/>
      <c r="CG724" s="242"/>
      <c r="CH724" s="116"/>
      <c r="CI724" s="116"/>
      <c r="CJ724" s="116"/>
      <c r="CL724" s="116"/>
      <c r="CN724" s="239"/>
      <c r="CO724" s="153"/>
      <c r="DM724" s="116"/>
      <c r="DN724" s="116"/>
      <c r="DO724" s="116"/>
      <c r="DP724" s="116"/>
      <c r="DW724" s="116"/>
      <c r="DX724" s="219"/>
      <c r="DY724" s="219"/>
      <c r="DZ724" s="116"/>
      <c r="EA724" s="116"/>
      <c r="EB724" s="116"/>
      <c r="EC724" s="116"/>
      <c r="ED724" s="116"/>
      <c r="EF724" s="332"/>
      <c r="EG724" s="116"/>
      <c r="EH724" s="116"/>
      <c r="EI724" s="116"/>
      <c r="EJ724" s="116"/>
      <c r="EK724" s="116"/>
      <c r="EM724" s="116"/>
      <c r="EN724" s="116"/>
      <c r="EO724" s="116"/>
      <c r="EQ724" s="116"/>
      <c r="ER724" s="116"/>
      <c r="ES724" s="116"/>
      <c r="ET724" s="116"/>
      <c r="EU724" s="116"/>
      <c r="EV724" s="116"/>
      <c r="EX724" s="116"/>
      <c r="EY724" s="116"/>
      <c r="EZ724" s="116"/>
      <c r="FA724" s="116"/>
      <c r="FB724" s="116"/>
    </row>
    <row r="725" spans="5:158" ht="13">
      <c r="E725" s="153"/>
      <c r="T725" s="153"/>
      <c r="BD725" s="31"/>
      <c r="BE725" s="31"/>
      <c r="BF725" s="31"/>
      <c r="BG725" s="31"/>
      <c r="BH725" s="31"/>
      <c r="BI725" s="116"/>
      <c r="BL725" s="196"/>
      <c r="BM725" s="239"/>
      <c r="BN725" s="330"/>
      <c r="BP725" s="330"/>
      <c r="BS725" s="116"/>
      <c r="BU725" s="331"/>
      <c r="BW725" s="116"/>
      <c r="BX725" s="116"/>
      <c r="BZ725" s="330"/>
      <c r="CB725" s="330"/>
      <c r="CC725" s="116"/>
      <c r="CG725" s="242"/>
      <c r="CH725" s="116"/>
      <c r="CI725" s="116"/>
      <c r="CJ725" s="116"/>
      <c r="CL725" s="116"/>
      <c r="CN725" s="239"/>
      <c r="CO725" s="153"/>
      <c r="DM725" s="116"/>
      <c r="DN725" s="116"/>
      <c r="DO725" s="116"/>
      <c r="DP725" s="116"/>
      <c r="DW725" s="116"/>
      <c r="DX725" s="219"/>
      <c r="DY725" s="219"/>
      <c r="DZ725" s="116"/>
      <c r="EA725" s="116"/>
      <c r="EB725" s="116"/>
      <c r="EC725" s="116"/>
      <c r="ED725" s="116"/>
      <c r="EF725" s="332"/>
      <c r="EG725" s="116"/>
      <c r="EH725" s="116"/>
      <c r="EI725" s="116"/>
      <c r="EJ725" s="116"/>
      <c r="EK725" s="116"/>
      <c r="EM725" s="116"/>
      <c r="EN725" s="116"/>
      <c r="EO725" s="116"/>
      <c r="EQ725" s="116"/>
      <c r="ER725" s="116"/>
      <c r="ES725" s="116"/>
      <c r="ET725" s="116"/>
      <c r="EU725" s="116"/>
      <c r="EV725" s="116"/>
      <c r="EX725" s="116"/>
      <c r="EY725" s="116"/>
      <c r="EZ725" s="116"/>
      <c r="FA725" s="116"/>
      <c r="FB725" s="116"/>
    </row>
    <row r="726" spans="5:158" ht="13">
      <c r="E726" s="153"/>
      <c r="T726" s="153"/>
      <c r="BD726" s="31"/>
      <c r="BE726" s="31"/>
      <c r="BF726" s="31"/>
      <c r="BG726" s="31"/>
      <c r="BH726" s="31"/>
      <c r="BI726" s="116"/>
      <c r="BL726" s="196"/>
      <c r="BM726" s="239"/>
      <c r="BN726" s="330"/>
      <c r="BP726" s="330"/>
      <c r="BS726" s="116"/>
      <c r="BU726" s="331"/>
      <c r="BW726" s="116"/>
      <c r="BX726" s="116"/>
      <c r="BZ726" s="330"/>
      <c r="CB726" s="330"/>
      <c r="CC726" s="116"/>
      <c r="CG726" s="242"/>
      <c r="CH726" s="116"/>
      <c r="CI726" s="116"/>
      <c r="CJ726" s="116"/>
      <c r="CL726" s="116"/>
      <c r="CN726" s="239"/>
      <c r="CO726" s="153"/>
      <c r="DM726" s="116"/>
      <c r="DN726" s="116"/>
      <c r="DO726" s="116"/>
      <c r="DP726" s="116"/>
      <c r="DW726" s="116"/>
      <c r="DX726" s="219"/>
      <c r="DY726" s="219"/>
      <c r="DZ726" s="116"/>
      <c r="EA726" s="116"/>
      <c r="EB726" s="116"/>
      <c r="EC726" s="116"/>
      <c r="ED726" s="116"/>
      <c r="EF726" s="332"/>
      <c r="EG726" s="116"/>
      <c r="EH726" s="116"/>
      <c r="EI726" s="116"/>
      <c r="EJ726" s="116"/>
      <c r="EK726" s="116"/>
      <c r="EM726" s="116"/>
      <c r="EN726" s="116"/>
      <c r="EO726" s="116"/>
      <c r="EQ726" s="116"/>
      <c r="ER726" s="116"/>
      <c r="ES726" s="116"/>
      <c r="ET726" s="116"/>
      <c r="EU726" s="116"/>
      <c r="EV726" s="116"/>
      <c r="EX726" s="116"/>
      <c r="EY726" s="116"/>
      <c r="EZ726" s="116"/>
      <c r="FA726" s="116"/>
      <c r="FB726" s="116"/>
    </row>
    <row r="727" spans="5:158" ht="13">
      <c r="E727" s="153"/>
      <c r="T727" s="153"/>
      <c r="BD727" s="31"/>
      <c r="BE727" s="31"/>
      <c r="BF727" s="31"/>
      <c r="BG727" s="31"/>
      <c r="BH727" s="31"/>
      <c r="BI727" s="116"/>
      <c r="BL727" s="196"/>
      <c r="BM727" s="239"/>
      <c r="BN727" s="330"/>
      <c r="BP727" s="330"/>
      <c r="BS727" s="116"/>
      <c r="BU727" s="331"/>
      <c r="BW727" s="116"/>
      <c r="BX727" s="116"/>
      <c r="BZ727" s="330"/>
      <c r="CB727" s="330"/>
      <c r="CC727" s="116"/>
      <c r="CG727" s="242"/>
      <c r="CH727" s="116"/>
      <c r="CI727" s="116"/>
      <c r="CJ727" s="116"/>
      <c r="CL727" s="116"/>
      <c r="CN727" s="239"/>
      <c r="CO727" s="153"/>
      <c r="DM727" s="116"/>
      <c r="DN727" s="116"/>
      <c r="DO727" s="116"/>
      <c r="DP727" s="116"/>
      <c r="DW727" s="116"/>
      <c r="DX727" s="219"/>
      <c r="DY727" s="219"/>
      <c r="DZ727" s="116"/>
      <c r="EA727" s="116"/>
      <c r="EB727" s="116"/>
      <c r="EC727" s="116"/>
      <c r="ED727" s="116"/>
      <c r="EF727" s="332"/>
      <c r="EG727" s="116"/>
      <c r="EH727" s="116"/>
      <c r="EI727" s="116"/>
      <c r="EJ727" s="116"/>
      <c r="EK727" s="116"/>
      <c r="EM727" s="116"/>
      <c r="EN727" s="116"/>
      <c r="EO727" s="116"/>
      <c r="EQ727" s="116"/>
      <c r="ER727" s="116"/>
      <c r="ES727" s="116"/>
      <c r="ET727" s="116"/>
      <c r="EU727" s="116"/>
      <c r="EV727" s="116"/>
      <c r="EX727" s="116"/>
      <c r="EY727" s="116"/>
      <c r="EZ727" s="116"/>
      <c r="FA727" s="116"/>
      <c r="FB727" s="116"/>
    </row>
    <row r="728" spans="5:158" ht="13">
      <c r="E728" s="153"/>
      <c r="T728" s="153"/>
      <c r="BD728" s="31"/>
      <c r="BE728" s="31"/>
      <c r="BF728" s="31"/>
      <c r="BG728" s="31"/>
      <c r="BH728" s="31"/>
      <c r="BI728" s="116"/>
      <c r="BL728" s="196"/>
      <c r="BM728" s="239"/>
      <c r="BN728" s="330"/>
      <c r="BP728" s="330"/>
      <c r="BS728" s="116"/>
      <c r="BU728" s="331"/>
      <c r="BW728" s="116"/>
      <c r="BX728" s="116"/>
      <c r="BZ728" s="330"/>
      <c r="CB728" s="330"/>
      <c r="CC728" s="116"/>
      <c r="CG728" s="242"/>
      <c r="CH728" s="116"/>
      <c r="CI728" s="116"/>
      <c r="CJ728" s="116"/>
      <c r="CL728" s="116"/>
      <c r="CN728" s="239"/>
      <c r="CO728" s="153"/>
      <c r="DM728" s="116"/>
      <c r="DN728" s="116"/>
      <c r="DO728" s="116"/>
      <c r="DP728" s="116"/>
      <c r="DW728" s="116"/>
      <c r="DX728" s="219"/>
      <c r="DY728" s="219"/>
      <c r="DZ728" s="116"/>
      <c r="EA728" s="116"/>
      <c r="EB728" s="116"/>
      <c r="EC728" s="116"/>
      <c r="ED728" s="116"/>
      <c r="EF728" s="332"/>
      <c r="EG728" s="116"/>
      <c r="EH728" s="116"/>
      <c r="EI728" s="116"/>
      <c r="EJ728" s="116"/>
      <c r="EK728" s="116"/>
      <c r="EM728" s="116"/>
      <c r="EN728" s="116"/>
      <c r="EO728" s="116"/>
      <c r="EQ728" s="116"/>
      <c r="ER728" s="116"/>
      <c r="ES728" s="116"/>
      <c r="ET728" s="116"/>
      <c r="EU728" s="116"/>
      <c r="EV728" s="116"/>
      <c r="EX728" s="116"/>
      <c r="EY728" s="116"/>
      <c r="EZ728" s="116"/>
      <c r="FA728" s="116"/>
      <c r="FB728" s="116"/>
    </row>
    <row r="729" spans="5:158" ht="13">
      <c r="E729" s="153"/>
      <c r="T729" s="153"/>
      <c r="BD729" s="31"/>
      <c r="BE729" s="31"/>
      <c r="BF729" s="31"/>
      <c r="BG729" s="31"/>
      <c r="BH729" s="31"/>
      <c r="BI729" s="116"/>
      <c r="BL729" s="196"/>
      <c r="BM729" s="239"/>
      <c r="BN729" s="330"/>
      <c r="BP729" s="330"/>
      <c r="BS729" s="116"/>
      <c r="BU729" s="331"/>
      <c r="BW729" s="116"/>
      <c r="BX729" s="116"/>
      <c r="BZ729" s="330"/>
      <c r="CB729" s="330"/>
      <c r="CC729" s="116"/>
      <c r="CG729" s="242"/>
      <c r="CH729" s="116"/>
      <c r="CI729" s="116"/>
      <c r="CJ729" s="116"/>
      <c r="CL729" s="116"/>
      <c r="CN729" s="239"/>
      <c r="CO729" s="153"/>
      <c r="DM729" s="116"/>
      <c r="DN729" s="116"/>
      <c r="DO729" s="116"/>
      <c r="DP729" s="116"/>
      <c r="DW729" s="116"/>
      <c r="DX729" s="219"/>
      <c r="DY729" s="219"/>
      <c r="DZ729" s="116"/>
      <c r="EA729" s="116"/>
      <c r="EB729" s="116"/>
      <c r="EC729" s="116"/>
      <c r="ED729" s="116"/>
      <c r="EF729" s="332"/>
      <c r="EG729" s="116"/>
      <c r="EH729" s="116"/>
      <c r="EI729" s="116"/>
      <c r="EJ729" s="116"/>
      <c r="EK729" s="116"/>
      <c r="EM729" s="116"/>
      <c r="EN729" s="116"/>
      <c r="EO729" s="116"/>
      <c r="EQ729" s="116"/>
      <c r="ER729" s="116"/>
      <c r="ES729" s="116"/>
      <c r="ET729" s="116"/>
      <c r="EU729" s="116"/>
      <c r="EV729" s="116"/>
      <c r="EX729" s="116"/>
      <c r="EY729" s="116"/>
      <c r="EZ729" s="116"/>
      <c r="FA729" s="116"/>
      <c r="FB729" s="116"/>
    </row>
    <row r="730" spans="5:158" ht="13">
      <c r="E730" s="153"/>
      <c r="T730" s="153"/>
      <c r="BD730" s="31"/>
      <c r="BE730" s="31"/>
      <c r="BF730" s="31"/>
      <c r="BG730" s="31"/>
      <c r="BH730" s="31"/>
      <c r="BI730" s="116"/>
      <c r="BL730" s="196"/>
      <c r="BM730" s="239"/>
      <c r="BN730" s="330"/>
      <c r="BP730" s="330"/>
      <c r="BS730" s="116"/>
      <c r="BU730" s="331"/>
      <c r="BW730" s="116"/>
      <c r="BX730" s="116"/>
      <c r="BZ730" s="330"/>
      <c r="CB730" s="330"/>
      <c r="CC730" s="116"/>
      <c r="CG730" s="242"/>
      <c r="CH730" s="116"/>
      <c r="CI730" s="116"/>
      <c r="CJ730" s="116"/>
      <c r="CL730" s="116"/>
      <c r="CN730" s="239"/>
      <c r="CO730" s="153"/>
      <c r="DM730" s="116"/>
      <c r="DN730" s="116"/>
      <c r="DO730" s="116"/>
      <c r="DP730" s="116"/>
      <c r="DW730" s="116"/>
      <c r="DX730" s="219"/>
      <c r="DY730" s="219"/>
      <c r="DZ730" s="116"/>
      <c r="EA730" s="116"/>
      <c r="EB730" s="116"/>
      <c r="EC730" s="116"/>
      <c r="ED730" s="116"/>
      <c r="EF730" s="332"/>
      <c r="EG730" s="116"/>
      <c r="EH730" s="116"/>
      <c r="EI730" s="116"/>
      <c r="EJ730" s="116"/>
      <c r="EK730" s="116"/>
      <c r="EM730" s="116"/>
      <c r="EN730" s="116"/>
      <c r="EO730" s="116"/>
      <c r="EQ730" s="116"/>
      <c r="ER730" s="116"/>
      <c r="ES730" s="116"/>
      <c r="ET730" s="116"/>
      <c r="EU730" s="116"/>
      <c r="EV730" s="116"/>
      <c r="EX730" s="116"/>
      <c r="EY730" s="116"/>
      <c r="EZ730" s="116"/>
      <c r="FA730" s="116"/>
      <c r="FB730" s="116"/>
    </row>
    <row r="731" spans="5:158" ht="13">
      <c r="E731" s="153"/>
      <c r="T731" s="153"/>
      <c r="BD731" s="31"/>
      <c r="BE731" s="31"/>
      <c r="BF731" s="31"/>
      <c r="BG731" s="31"/>
      <c r="BH731" s="31"/>
      <c r="BI731" s="116"/>
      <c r="BL731" s="196"/>
      <c r="BM731" s="239"/>
      <c r="BN731" s="330"/>
      <c r="BP731" s="330"/>
      <c r="BS731" s="116"/>
      <c r="BU731" s="331"/>
      <c r="BW731" s="116"/>
      <c r="BX731" s="116"/>
      <c r="BZ731" s="330"/>
      <c r="CB731" s="330"/>
      <c r="CC731" s="116"/>
      <c r="CG731" s="242"/>
      <c r="CH731" s="116"/>
      <c r="CI731" s="116"/>
      <c r="CJ731" s="116"/>
      <c r="CL731" s="116"/>
      <c r="CN731" s="239"/>
      <c r="CO731" s="153"/>
      <c r="DM731" s="116"/>
      <c r="DN731" s="116"/>
      <c r="DO731" s="116"/>
      <c r="DP731" s="116"/>
      <c r="DW731" s="116"/>
      <c r="DX731" s="219"/>
      <c r="DY731" s="219"/>
      <c r="DZ731" s="116"/>
      <c r="EA731" s="116"/>
      <c r="EB731" s="116"/>
      <c r="EC731" s="116"/>
      <c r="ED731" s="116"/>
      <c r="EF731" s="332"/>
      <c r="EG731" s="116"/>
      <c r="EH731" s="116"/>
      <c r="EI731" s="116"/>
      <c r="EJ731" s="116"/>
      <c r="EK731" s="116"/>
      <c r="EM731" s="116"/>
      <c r="EN731" s="116"/>
      <c r="EO731" s="116"/>
      <c r="EQ731" s="116"/>
      <c r="ER731" s="116"/>
      <c r="ES731" s="116"/>
      <c r="ET731" s="116"/>
      <c r="EU731" s="116"/>
      <c r="EV731" s="116"/>
      <c r="EX731" s="116"/>
      <c r="EY731" s="116"/>
      <c r="EZ731" s="116"/>
      <c r="FA731" s="116"/>
      <c r="FB731" s="116"/>
    </row>
    <row r="732" spans="5:158" ht="13">
      <c r="E732" s="153"/>
      <c r="T732" s="153"/>
      <c r="BD732" s="31"/>
      <c r="BE732" s="31"/>
      <c r="BF732" s="31"/>
      <c r="BG732" s="31"/>
      <c r="BH732" s="31"/>
      <c r="BI732" s="116"/>
      <c r="BL732" s="196"/>
      <c r="BM732" s="239"/>
      <c r="BN732" s="330"/>
      <c r="BP732" s="330"/>
      <c r="BS732" s="116"/>
      <c r="BU732" s="331"/>
      <c r="BW732" s="116"/>
      <c r="BX732" s="116"/>
      <c r="BZ732" s="330"/>
      <c r="CB732" s="330"/>
      <c r="CC732" s="116"/>
      <c r="CG732" s="242"/>
      <c r="CH732" s="116"/>
      <c r="CI732" s="116"/>
      <c r="CJ732" s="116"/>
      <c r="CL732" s="116"/>
      <c r="CN732" s="239"/>
      <c r="CO732" s="153"/>
      <c r="DM732" s="116"/>
      <c r="DN732" s="116"/>
      <c r="DO732" s="116"/>
      <c r="DP732" s="116"/>
      <c r="DW732" s="116"/>
      <c r="DX732" s="219"/>
      <c r="DY732" s="219"/>
      <c r="DZ732" s="116"/>
      <c r="EA732" s="116"/>
      <c r="EB732" s="116"/>
      <c r="EC732" s="116"/>
      <c r="ED732" s="116"/>
      <c r="EF732" s="332"/>
      <c r="EG732" s="116"/>
      <c r="EH732" s="116"/>
      <c r="EI732" s="116"/>
      <c r="EJ732" s="116"/>
      <c r="EK732" s="116"/>
      <c r="EM732" s="116"/>
      <c r="EN732" s="116"/>
      <c r="EO732" s="116"/>
      <c r="EQ732" s="116"/>
      <c r="ER732" s="116"/>
      <c r="ES732" s="116"/>
      <c r="ET732" s="116"/>
      <c r="EU732" s="116"/>
      <c r="EV732" s="116"/>
      <c r="EX732" s="116"/>
      <c r="EY732" s="116"/>
      <c r="EZ732" s="116"/>
      <c r="FA732" s="116"/>
      <c r="FB732" s="116"/>
    </row>
    <row r="733" spans="5:158" ht="13">
      <c r="E733" s="153"/>
      <c r="T733" s="153"/>
      <c r="BD733" s="31"/>
      <c r="BE733" s="31"/>
      <c r="BF733" s="31"/>
      <c r="BG733" s="31"/>
      <c r="BH733" s="31"/>
      <c r="BI733" s="116"/>
      <c r="BL733" s="196"/>
      <c r="BM733" s="239"/>
      <c r="BN733" s="330"/>
      <c r="BP733" s="330"/>
      <c r="BS733" s="116"/>
      <c r="BU733" s="331"/>
      <c r="BW733" s="116"/>
      <c r="BX733" s="116"/>
      <c r="BZ733" s="330"/>
      <c r="CB733" s="330"/>
      <c r="CC733" s="116"/>
      <c r="CG733" s="242"/>
      <c r="CH733" s="116"/>
      <c r="CI733" s="116"/>
      <c r="CJ733" s="116"/>
      <c r="CL733" s="116"/>
      <c r="CN733" s="239"/>
      <c r="CO733" s="153"/>
      <c r="DM733" s="116"/>
      <c r="DN733" s="116"/>
      <c r="DO733" s="116"/>
      <c r="DP733" s="116"/>
      <c r="DW733" s="116"/>
      <c r="DX733" s="219"/>
      <c r="DY733" s="219"/>
      <c r="DZ733" s="116"/>
      <c r="EA733" s="116"/>
      <c r="EB733" s="116"/>
      <c r="EC733" s="116"/>
      <c r="ED733" s="116"/>
      <c r="EF733" s="332"/>
      <c r="EG733" s="116"/>
      <c r="EH733" s="116"/>
      <c r="EI733" s="116"/>
      <c r="EJ733" s="116"/>
      <c r="EK733" s="116"/>
      <c r="EM733" s="116"/>
      <c r="EN733" s="116"/>
      <c r="EO733" s="116"/>
      <c r="EQ733" s="116"/>
      <c r="ER733" s="116"/>
      <c r="ES733" s="116"/>
      <c r="ET733" s="116"/>
      <c r="EU733" s="116"/>
      <c r="EV733" s="116"/>
      <c r="EX733" s="116"/>
      <c r="EY733" s="116"/>
      <c r="EZ733" s="116"/>
      <c r="FA733" s="116"/>
      <c r="FB733" s="116"/>
    </row>
    <row r="734" spans="5:158" ht="13">
      <c r="E734" s="153"/>
      <c r="T734" s="153"/>
      <c r="BD734" s="31"/>
      <c r="BE734" s="31"/>
      <c r="BF734" s="31"/>
      <c r="BG734" s="31"/>
      <c r="BH734" s="31"/>
      <c r="BI734" s="116"/>
      <c r="BL734" s="196"/>
      <c r="BM734" s="239"/>
      <c r="BN734" s="330"/>
      <c r="BP734" s="330"/>
      <c r="BS734" s="116"/>
      <c r="BU734" s="331"/>
      <c r="BW734" s="116"/>
      <c r="BX734" s="116"/>
      <c r="BZ734" s="330"/>
      <c r="CB734" s="330"/>
      <c r="CC734" s="116"/>
      <c r="CG734" s="242"/>
      <c r="CH734" s="116"/>
      <c r="CI734" s="116"/>
      <c r="CJ734" s="116"/>
      <c r="CL734" s="116"/>
      <c r="CN734" s="239"/>
      <c r="CO734" s="153"/>
      <c r="DM734" s="116"/>
      <c r="DN734" s="116"/>
      <c r="DO734" s="116"/>
      <c r="DP734" s="116"/>
      <c r="DW734" s="116"/>
      <c r="DX734" s="219"/>
      <c r="DY734" s="219"/>
      <c r="DZ734" s="116"/>
      <c r="EA734" s="116"/>
      <c r="EB734" s="116"/>
      <c r="EC734" s="116"/>
      <c r="ED734" s="116"/>
      <c r="EF734" s="332"/>
      <c r="EG734" s="116"/>
      <c r="EH734" s="116"/>
      <c r="EI734" s="116"/>
      <c r="EJ734" s="116"/>
      <c r="EK734" s="116"/>
      <c r="EM734" s="116"/>
      <c r="EN734" s="116"/>
      <c r="EO734" s="116"/>
      <c r="EQ734" s="116"/>
      <c r="ER734" s="116"/>
      <c r="ES734" s="116"/>
      <c r="ET734" s="116"/>
      <c r="EU734" s="116"/>
      <c r="EV734" s="116"/>
      <c r="EX734" s="116"/>
      <c r="EY734" s="116"/>
      <c r="EZ734" s="116"/>
      <c r="FA734" s="116"/>
      <c r="FB734" s="116"/>
    </row>
    <row r="735" spans="5:158" ht="13">
      <c r="E735" s="153"/>
      <c r="T735" s="153"/>
      <c r="BD735" s="31"/>
      <c r="BE735" s="31"/>
      <c r="BF735" s="31"/>
      <c r="BG735" s="31"/>
      <c r="BH735" s="31"/>
      <c r="BI735" s="116"/>
      <c r="BL735" s="196"/>
      <c r="BM735" s="239"/>
      <c r="BN735" s="330"/>
      <c r="BP735" s="330"/>
      <c r="BS735" s="116"/>
      <c r="BU735" s="331"/>
      <c r="BW735" s="116"/>
      <c r="BX735" s="116"/>
      <c r="BZ735" s="330"/>
      <c r="CB735" s="330"/>
      <c r="CC735" s="116"/>
      <c r="CG735" s="242"/>
      <c r="CH735" s="116"/>
      <c r="CI735" s="116"/>
      <c r="CJ735" s="116"/>
      <c r="CL735" s="116"/>
      <c r="CN735" s="239"/>
      <c r="CO735" s="153"/>
      <c r="DM735" s="116"/>
      <c r="DN735" s="116"/>
      <c r="DO735" s="116"/>
      <c r="DP735" s="116"/>
      <c r="DW735" s="116"/>
      <c r="DX735" s="219"/>
      <c r="DY735" s="219"/>
      <c r="DZ735" s="116"/>
      <c r="EA735" s="116"/>
      <c r="EB735" s="116"/>
      <c r="EC735" s="116"/>
      <c r="ED735" s="116"/>
      <c r="EF735" s="332"/>
      <c r="EG735" s="116"/>
      <c r="EH735" s="116"/>
      <c r="EI735" s="116"/>
      <c r="EJ735" s="116"/>
      <c r="EK735" s="116"/>
      <c r="EM735" s="116"/>
      <c r="EN735" s="116"/>
      <c r="EO735" s="116"/>
      <c r="EQ735" s="116"/>
      <c r="ER735" s="116"/>
      <c r="ES735" s="116"/>
      <c r="ET735" s="116"/>
      <c r="EU735" s="116"/>
      <c r="EV735" s="116"/>
      <c r="EX735" s="116"/>
      <c r="EY735" s="116"/>
      <c r="EZ735" s="116"/>
      <c r="FA735" s="116"/>
      <c r="FB735" s="116"/>
    </row>
    <row r="736" spans="5:158" ht="13">
      <c r="E736" s="153"/>
      <c r="T736" s="153"/>
      <c r="BD736" s="31"/>
      <c r="BE736" s="31"/>
      <c r="BF736" s="31"/>
      <c r="BG736" s="31"/>
      <c r="BH736" s="31"/>
      <c r="BI736" s="116"/>
      <c r="BL736" s="196"/>
      <c r="BM736" s="239"/>
      <c r="BN736" s="330"/>
      <c r="BP736" s="330"/>
      <c r="BS736" s="116"/>
      <c r="BU736" s="331"/>
      <c r="BW736" s="116"/>
      <c r="BX736" s="116"/>
      <c r="BZ736" s="330"/>
      <c r="CB736" s="330"/>
      <c r="CC736" s="116"/>
      <c r="CG736" s="242"/>
      <c r="CH736" s="116"/>
      <c r="CI736" s="116"/>
      <c r="CJ736" s="116"/>
      <c r="CL736" s="116"/>
      <c r="CN736" s="239"/>
      <c r="CO736" s="153"/>
      <c r="DM736" s="116"/>
      <c r="DN736" s="116"/>
      <c r="DO736" s="116"/>
      <c r="DP736" s="116"/>
      <c r="DW736" s="116"/>
      <c r="DX736" s="219"/>
      <c r="DY736" s="219"/>
      <c r="DZ736" s="116"/>
      <c r="EA736" s="116"/>
      <c r="EB736" s="116"/>
      <c r="EC736" s="116"/>
      <c r="ED736" s="116"/>
      <c r="EF736" s="332"/>
      <c r="EG736" s="116"/>
      <c r="EH736" s="116"/>
      <c r="EI736" s="116"/>
      <c r="EJ736" s="116"/>
      <c r="EK736" s="116"/>
      <c r="EM736" s="116"/>
      <c r="EN736" s="116"/>
      <c r="EO736" s="116"/>
      <c r="EQ736" s="116"/>
      <c r="ER736" s="116"/>
      <c r="ES736" s="116"/>
      <c r="ET736" s="116"/>
      <c r="EU736" s="116"/>
      <c r="EV736" s="116"/>
      <c r="EX736" s="116"/>
      <c r="EY736" s="116"/>
      <c r="EZ736" s="116"/>
      <c r="FA736" s="116"/>
      <c r="FB736" s="116"/>
    </row>
    <row r="737" spans="5:158" ht="13">
      <c r="E737" s="153"/>
      <c r="T737" s="153"/>
      <c r="BD737" s="31"/>
      <c r="BE737" s="31"/>
      <c r="BF737" s="31"/>
      <c r="BG737" s="31"/>
      <c r="BH737" s="31"/>
      <c r="BI737" s="116"/>
      <c r="BL737" s="196"/>
      <c r="BM737" s="239"/>
      <c r="BN737" s="330"/>
      <c r="BP737" s="330"/>
      <c r="BS737" s="116"/>
      <c r="BU737" s="331"/>
      <c r="BW737" s="116"/>
      <c r="BX737" s="116"/>
      <c r="BZ737" s="330"/>
      <c r="CB737" s="330"/>
      <c r="CC737" s="116"/>
      <c r="CG737" s="242"/>
      <c r="CH737" s="116"/>
      <c r="CI737" s="116"/>
      <c r="CJ737" s="116"/>
      <c r="CL737" s="116"/>
      <c r="CN737" s="239"/>
      <c r="CO737" s="153"/>
      <c r="DM737" s="116"/>
      <c r="DN737" s="116"/>
      <c r="DO737" s="116"/>
      <c r="DP737" s="116"/>
      <c r="DW737" s="116"/>
      <c r="DX737" s="219"/>
      <c r="DY737" s="219"/>
      <c r="DZ737" s="116"/>
      <c r="EA737" s="116"/>
      <c r="EB737" s="116"/>
      <c r="EC737" s="116"/>
      <c r="ED737" s="116"/>
      <c r="EF737" s="332"/>
      <c r="EG737" s="116"/>
      <c r="EH737" s="116"/>
      <c r="EI737" s="116"/>
      <c r="EJ737" s="116"/>
      <c r="EK737" s="116"/>
      <c r="EM737" s="116"/>
      <c r="EN737" s="116"/>
      <c r="EO737" s="116"/>
      <c r="EQ737" s="116"/>
      <c r="ER737" s="116"/>
      <c r="ES737" s="116"/>
      <c r="ET737" s="116"/>
      <c r="EU737" s="116"/>
      <c r="EV737" s="116"/>
      <c r="EX737" s="116"/>
      <c r="EY737" s="116"/>
      <c r="EZ737" s="116"/>
      <c r="FA737" s="116"/>
      <c r="FB737" s="116"/>
    </row>
    <row r="738" spans="5:158" ht="13">
      <c r="E738" s="153"/>
      <c r="T738" s="153"/>
      <c r="BD738" s="31"/>
      <c r="BE738" s="31"/>
      <c r="BF738" s="31"/>
      <c r="BG738" s="31"/>
      <c r="BH738" s="31"/>
      <c r="BI738" s="116"/>
      <c r="BL738" s="196"/>
      <c r="BM738" s="239"/>
      <c r="BN738" s="330"/>
      <c r="BP738" s="330"/>
      <c r="BS738" s="116"/>
      <c r="BU738" s="331"/>
      <c r="BW738" s="116"/>
      <c r="BX738" s="116"/>
      <c r="BZ738" s="330"/>
      <c r="CB738" s="330"/>
      <c r="CC738" s="116"/>
      <c r="CG738" s="242"/>
      <c r="CH738" s="116"/>
      <c r="CI738" s="116"/>
      <c r="CJ738" s="116"/>
      <c r="CL738" s="116"/>
      <c r="CN738" s="239"/>
      <c r="CO738" s="153"/>
      <c r="DM738" s="116"/>
      <c r="DN738" s="116"/>
      <c r="DO738" s="116"/>
      <c r="DP738" s="116"/>
      <c r="DW738" s="116"/>
      <c r="DX738" s="219"/>
      <c r="DY738" s="219"/>
      <c r="DZ738" s="116"/>
      <c r="EA738" s="116"/>
      <c r="EB738" s="116"/>
      <c r="EC738" s="116"/>
      <c r="ED738" s="116"/>
      <c r="EF738" s="332"/>
      <c r="EG738" s="116"/>
      <c r="EH738" s="116"/>
      <c r="EI738" s="116"/>
      <c r="EJ738" s="116"/>
      <c r="EK738" s="116"/>
      <c r="EM738" s="116"/>
      <c r="EN738" s="116"/>
      <c r="EO738" s="116"/>
      <c r="EQ738" s="116"/>
      <c r="ER738" s="116"/>
      <c r="ES738" s="116"/>
      <c r="ET738" s="116"/>
      <c r="EU738" s="116"/>
      <c r="EV738" s="116"/>
      <c r="EX738" s="116"/>
      <c r="EY738" s="116"/>
      <c r="EZ738" s="116"/>
      <c r="FA738" s="116"/>
      <c r="FB738" s="116"/>
    </row>
    <row r="739" spans="5:158" ht="13">
      <c r="E739" s="153"/>
      <c r="T739" s="153"/>
      <c r="BD739" s="31"/>
      <c r="BE739" s="31"/>
      <c r="BF739" s="31"/>
      <c r="BG739" s="31"/>
      <c r="BH739" s="31"/>
      <c r="BI739" s="116"/>
      <c r="BL739" s="196"/>
      <c r="BM739" s="239"/>
      <c r="BN739" s="330"/>
      <c r="BP739" s="330"/>
      <c r="BS739" s="116"/>
      <c r="BU739" s="331"/>
      <c r="BW739" s="116"/>
      <c r="BX739" s="116"/>
      <c r="BZ739" s="330"/>
      <c r="CB739" s="330"/>
      <c r="CC739" s="116"/>
      <c r="CG739" s="242"/>
      <c r="CH739" s="116"/>
      <c r="CI739" s="116"/>
      <c r="CJ739" s="116"/>
      <c r="CL739" s="116"/>
      <c r="CN739" s="239"/>
      <c r="CO739" s="153"/>
      <c r="DM739" s="116"/>
      <c r="DN739" s="116"/>
      <c r="DO739" s="116"/>
      <c r="DP739" s="116"/>
      <c r="DW739" s="116"/>
      <c r="DX739" s="219"/>
      <c r="DY739" s="219"/>
      <c r="DZ739" s="116"/>
      <c r="EA739" s="116"/>
      <c r="EB739" s="116"/>
      <c r="EC739" s="116"/>
      <c r="ED739" s="116"/>
      <c r="EF739" s="332"/>
      <c r="EG739" s="116"/>
      <c r="EH739" s="116"/>
      <c r="EI739" s="116"/>
      <c r="EJ739" s="116"/>
      <c r="EK739" s="116"/>
      <c r="EM739" s="116"/>
      <c r="EN739" s="116"/>
      <c r="EO739" s="116"/>
      <c r="EQ739" s="116"/>
      <c r="ER739" s="116"/>
      <c r="ES739" s="116"/>
      <c r="ET739" s="116"/>
      <c r="EU739" s="116"/>
      <c r="EV739" s="116"/>
      <c r="EX739" s="116"/>
      <c r="EY739" s="116"/>
      <c r="EZ739" s="116"/>
      <c r="FA739" s="116"/>
      <c r="FB739" s="116"/>
    </row>
    <row r="740" spans="5:158" ht="13">
      <c r="E740" s="153"/>
      <c r="T740" s="153"/>
      <c r="BD740" s="31"/>
      <c r="BE740" s="31"/>
      <c r="BF740" s="31"/>
      <c r="BG740" s="31"/>
      <c r="BH740" s="31"/>
      <c r="BI740" s="116"/>
      <c r="BL740" s="196"/>
      <c r="BM740" s="239"/>
      <c r="BN740" s="330"/>
      <c r="BP740" s="330"/>
      <c r="BS740" s="116"/>
      <c r="BU740" s="331"/>
      <c r="BW740" s="116"/>
      <c r="BX740" s="116"/>
      <c r="BZ740" s="330"/>
      <c r="CB740" s="330"/>
      <c r="CC740" s="116"/>
      <c r="CG740" s="242"/>
      <c r="CH740" s="116"/>
      <c r="CI740" s="116"/>
      <c r="CJ740" s="116"/>
      <c r="CL740" s="116"/>
      <c r="CN740" s="239"/>
      <c r="CO740" s="153"/>
      <c r="DM740" s="116"/>
      <c r="DN740" s="116"/>
      <c r="DO740" s="116"/>
      <c r="DP740" s="116"/>
      <c r="DW740" s="116"/>
      <c r="DX740" s="219"/>
      <c r="DY740" s="219"/>
      <c r="DZ740" s="116"/>
      <c r="EA740" s="116"/>
      <c r="EB740" s="116"/>
      <c r="EC740" s="116"/>
      <c r="ED740" s="116"/>
      <c r="EF740" s="332"/>
      <c r="EG740" s="116"/>
      <c r="EH740" s="116"/>
      <c r="EI740" s="116"/>
      <c r="EJ740" s="116"/>
      <c r="EK740" s="116"/>
      <c r="EM740" s="116"/>
      <c r="EN740" s="116"/>
      <c r="EO740" s="116"/>
      <c r="EQ740" s="116"/>
      <c r="ER740" s="116"/>
      <c r="ES740" s="116"/>
      <c r="ET740" s="116"/>
      <c r="EU740" s="116"/>
      <c r="EV740" s="116"/>
      <c r="EX740" s="116"/>
      <c r="EY740" s="116"/>
      <c r="EZ740" s="116"/>
      <c r="FA740" s="116"/>
      <c r="FB740" s="116"/>
    </row>
    <row r="741" spans="5:158" ht="13">
      <c r="E741" s="153"/>
      <c r="T741" s="153"/>
      <c r="BD741" s="31"/>
      <c r="BE741" s="31"/>
      <c r="BF741" s="31"/>
      <c r="BG741" s="31"/>
      <c r="BH741" s="31"/>
      <c r="BI741" s="116"/>
      <c r="BL741" s="196"/>
      <c r="BM741" s="239"/>
      <c r="BN741" s="330"/>
      <c r="BP741" s="330"/>
      <c r="BS741" s="116"/>
      <c r="BU741" s="331"/>
      <c r="BW741" s="116"/>
      <c r="BX741" s="116"/>
      <c r="BZ741" s="330"/>
      <c r="CB741" s="330"/>
      <c r="CC741" s="116"/>
      <c r="CG741" s="242"/>
      <c r="CH741" s="116"/>
      <c r="CI741" s="116"/>
      <c r="CJ741" s="116"/>
      <c r="CL741" s="116"/>
      <c r="CN741" s="239"/>
      <c r="CO741" s="153"/>
      <c r="DM741" s="116"/>
      <c r="DN741" s="116"/>
      <c r="DO741" s="116"/>
      <c r="DP741" s="116"/>
      <c r="DW741" s="116"/>
      <c r="DX741" s="219"/>
      <c r="DY741" s="219"/>
      <c r="DZ741" s="116"/>
      <c r="EA741" s="116"/>
      <c r="EB741" s="116"/>
      <c r="EC741" s="116"/>
      <c r="ED741" s="116"/>
      <c r="EF741" s="332"/>
      <c r="EG741" s="116"/>
      <c r="EH741" s="116"/>
      <c r="EI741" s="116"/>
      <c r="EJ741" s="116"/>
      <c r="EK741" s="116"/>
      <c r="EM741" s="116"/>
      <c r="EN741" s="116"/>
      <c r="EO741" s="116"/>
      <c r="EQ741" s="116"/>
      <c r="ER741" s="116"/>
      <c r="ES741" s="116"/>
      <c r="ET741" s="116"/>
      <c r="EU741" s="116"/>
      <c r="EV741" s="116"/>
      <c r="EX741" s="116"/>
      <c r="EY741" s="116"/>
      <c r="EZ741" s="116"/>
      <c r="FA741" s="116"/>
      <c r="FB741" s="116"/>
    </row>
    <row r="742" spans="5:158" ht="13">
      <c r="E742" s="153"/>
      <c r="T742" s="153"/>
      <c r="BD742" s="31"/>
      <c r="BE742" s="31"/>
      <c r="BF742" s="31"/>
      <c r="BG742" s="31"/>
      <c r="BH742" s="31"/>
      <c r="BI742" s="116"/>
      <c r="BL742" s="196"/>
      <c r="BM742" s="239"/>
      <c r="BN742" s="330"/>
      <c r="BP742" s="330"/>
      <c r="BS742" s="116"/>
      <c r="BU742" s="331"/>
      <c r="BW742" s="116"/>
      <c r="BX742" s="116"/>
      <c r="BZ742" s="330"/>
      <c r="CB742" s="330"/>
      <c r="CC742" s="116"/>
      <c r="CG742" s="242"/>
      <c r="CH742" s="116"/>
      <c r="CI742" s="116"/>
      <c r="CJ742" s="116"/>
      <c r="CL742" s="116"/>
      <c r="CN742" s="239"/>
      <c r="CO742" s="153"/>
      <c r="DM742" s="116"/>
      <c r="DN742" s="116"/>
      <c r="DO742" s="116"/>
      <c r="DP742" s="116"/>
      <c r="DW742" s="116"/>
      <c r="DX742" s="219"/>
      <c r="DY742" s="219"/>
      <c r="DZ742" s="116"/>
      <c r="EA742" s="116"/>
      <c r="EB742" s="116"/>
      <c r="EC742" s="116"/>
      <c r="ED742" s="116"/>
      <c r="EF742" s="332"/>
      <c r="EG742" s="116"/>
      <c r="EH742" s="116"/>
      <c r="EI742" s="116"/>
      <c r="EJ742" s="116"/>
      <c r="EK742" s="116"/>
      <c r="EM742" s="116"/>
      <c r="EN742" s="116"/>
      <c r="EO742" s="116"/>
      <c r="EQ742" s="116"/>
      <c r="ER742" s="116"/>
      <c r="ES742" s="116"/>
      <c r="ET742" s="116"/>
      <c r="EU742" s="116"/>
      <c r="EV742" s="116"/>
      <c r="EX742" s="116"/>
      <c r="EY742" s="116"/>
      <c r="EZ742" s="116"/>
      <c r="FA742" s="116"/>
      <c r="FB742" s="116"/>
    </row>
    <row r="743" spans="5:158" ht="13">
      <c r="E743" s="153"/>
      <c r="T743" s="153"/>
      <c r="BD743" s="31"/>
      <c r="BE743" s="31"/>
      <c r="BF743" s="31"/>
      <c r="BG743" s="31"/>
      <c r="BH743" s="31"/>
      <c r="BI743" s="116"/>
      <c r="BL743" s="196"/>
      <c r="BM743" s="239"/>
      <c r="BN743" s="330"/>
      <c r="BP743" s="330"/>
      <c r="BS743" s="116"/>
      <c r="BU743" s="331"/>
      <c r="BW743" s="116"/>
      <c r="BX743" s="116"/>
      <c r="BZ743" s="330"/>
      <c r="CB743" s="330"/>
      <c r="CC743" s="116"/>
      <c r="CG743" s="242"/>
      <c r="CH743" s="116"/>
      <c r="CI743" s="116"/>
      <c r="CJ743" s="116"/>
      <c r="CL743" s="116"/>
      <c r="CN743" s="239"/>
      <c r="CO743" s="153"/>
      <c r="DM743" s="116"/>
      <c r="DN743" s="116"/>
      <c r="DO743" s="116"/>
      <c r="DP743" s="116"/>
      <c r="DW743" s="116"/>
      <c r="DX743" s="219"/>
      <c r="DY743" s="219"/>
      <c r="DZ743" s="116"/>
      <c r="EA743" s="116"/>
      <c r="EB743" s="116"/>
      <c r="EC743" s="116"/>
      <c r="ED743" s="116"/>
      <c r="EF743" s="332"/>
      <c r="EG743" s="116"/>
      <c r="EH743" s="116"/>
      <c r="EI743" s="116"/>
      <c r="EJ743" s="116"/>
      <c r="EK743" s="116"/>
      <c r="EM743" s="116"/>
      <c r="EN743" s="116"/>
      <c r="EO743" s="116"/>
      <c r="EQ743" s="116"/>
      <c r="ER743" s="116"/>
      <c r="ES743" s="116"/>
      <c r="ET743" s="116"/>
      <c r="EU743" s="116"/>
      <c r="EV743" s="116"/>
      <c r="EX743" s="116"/>
      <c r="EY743" s="116"/>
      <c r="EZ743" s="116"/>
      <c r="FA743" s="116"/>
      <c r="FB743" s="116"/>
    </row>
    <row r="744" spans="5:158" ht="13">
      <c r="E744" s="153"/>
      <c r="T744" s="153"/>
      <c r="BD744" s="31"/>
      <c r="BE744" s="31"/>
      <c r="BF744" s="31"/>
      <c r="BG744" s="31"/>
      <c r="BH744" s="31"/>
      <c r="BI744" s="116"/>
      <c r="BL744" s="196"/>
      <c r="BM744" s="239"/>
      <c r="BN744" s="330"/>
      <c r="BP744" s="330"/>
      <c r="BS744" s="116"/>
      <c r="BU744" s="331"/>
      <c r="BW744" s="116"/>
      <c r="BX744" s="116"/>
      <c r="BZ744" s="330"/>
      <c r="CB744" s="330"/>
      <c r="CC744" s="116"/>
      <c r="CG744" s="242"/>
      <c r="CH744" s="116"/>
      <c r="CI744" s="116"/>
      <c r="CJ744" s="116"/>
      <c r="CL744" s="116"/>
      <c r="CN744" s="239"/>
      <c r="CO744" s="153"/>
      <c r="DM744" s="116"/>
      <c r="DN744" s="116"/>
      <c r="DO744" s="116"/>
      <c r="DP744" s="116"/>
      <c r="DW744" s="116"/>
      <c r="DX744" s="219"/>
      <c r="DY744" s="219"/>
      <c r="DZ744" s="116"/>
      <c r="EA744" s="116"/>
      <c r="EB744" s="116"/>
      <c r="EC744" s="116"/>
      <c r="ED744" s="116"/>
      <c r="EF744" s="332"/>
      <c r="EG744" s="116"/>
      <c r="EH744" s="116"/>
      <c r="EI744" s="116"/>
      <c r="EJ744" s="116"/>
      <c r="EK744" s="116"/>
      <c r="EM744" s="116"/>
      <c r="EN744" s="116"/>
      <c r="EO744" s="116"/>
      <c r="EQ744" s="116"/>
      <c r="ER744" s="116"/>
      <c r="ES744" s="116"/>
      <c r="ET744" s="116"/>
      <c r="EU744" s="116"/>
      <c r="EV744" s="116"/>
      <c r="EX744" s="116"/>
      <c r="EY744" s="116"/>
      <c r="EZ744" s="116"/>
      <c r="FA744" s="116"/>
      <c r="FB744" s="116"/>
    </row>
    <row r="745" spans="5:158" ht="13">
      <c r="E745" s="153"/>
      <c r="T745" s="153"/>
      <c r="BD745" s="31"/>
      <c r="BE745" s="31"/>
      <c r="BF745" s="31"/>
      <c r="BG745" s="31"/>
      <c r="BH745" s="31"/>
      <c r="BI745" s="116"/>
      <c r="BL745" s="196"/>
      <c r="BM745" s="239"/>
      <c r="BN745" s="330"/>
      <c r="BP745" s="330"/>
      <c r="BS745" s="116"/>
      <c r="BU745" s="331"/>
      <c r="BW745" s="116"/>
      <c r="BX745" s="116"/>
      <c r="BZ745" s="330"/>
      <c r="CB745" s="330"/>
      <c r="CC745" s="116"/>
      <c r="CG745" s="242"/>
      <c r="CH745" s="116"/>
      <c r="CI745" s="116"/>
      <c r="CJ745" s="116"/>
      <c r="CL745" s="116"/>
      <c r="CN745" s="239"/>
      <c r="CO745" s="153"/>
      <c r="DM745" s="116"/>
      <c r="DN745" s="116"/>
      <c r="DO745" s="116"/>
      <c r="DP745" s="116"/>
      <c r="DW745" s="116"/>
      <c r="DX745" s="219"/>
      <c r="DY745" s="219"/>
      <c r="DZ745" s="116"/>
      <c r="EA745" s="116"/>
      <c r="EB745" s="116"/>
      <c r="EC745" s="116"/>
      <c r="ED745" s="116"/>
      <c r="EF745" s="332"/>
      <c r="EG745" s="116"/>
      <c r="EH745" s="116"/>
      <c r="EI745" s="116"/>
      <c r="EJ745" s="116"/>
      <c r="EK745" s="116"/>
      <c r="EM745" s="116"/>
      <c r="EN745" s="116"/>
      <c r="EO745" s="116"/>
      <c r="EQ745" s="116"/>
      <c r="ER745" s="116"/>
      <c r="ES745" s="116"/>
      <c r="ET745" s="116"/>
      <c r="EU745" s="116"/>
      <c r="EV745" s="116"/>
      <c r="EX745" s="116"/>
      <c r="EY745" s="116"/>
      <c r="EZ745" s="116"/>
      <c r="FA745" s="116"/>
      <c r="FB745" s="116"/>
    </row>
    <row r="746" spans="5:158" ht="13">
      <c r="E746" s="153"/>
      <c r="T746" s="153"/>
      <c r="BD746" s="31"/>
      <c r="BE746" s="31"/>
      <c r="BF746" s="31"/>
      <c r="BG746" s="31"/>
      <c r="BH746" s="31"/>
      <c r="BI746" s="116"/>
      <c r="BL746" s="196"/>
      <c r="BM746" s="239"/>
      <c r="BN746" s="330"/>
      <c r="BP746" s="330"/>
      <c r="BS746" s="116"/>
      <c r="BU746" s="331"/>
      <c r="BW746" s="116"/>
      <c r="BX746" s="116"/>
      <c r="BZ746" s="330"/>
      <c r="CB746" s="330"/>
      <c r="CC746" s="116"/>
      <c r="CG746" s="242"/>
      <c r="CH746" s="116"/>
      <c r="CI746" s="116"/>
      <c r="CJ746" s="116"/>
      <c r="CL746" s="116"/>
      <c r="CN746" s="239"/>
      <c r="CO746" s="153"/>
      <c r="DM746" s="116"/>
      <c r="DN746" s="116"/>
      <c r="DO746" s="116"/>
      <c r="DP746" s="116"/>
      <c r="DW746" s="116"/>
      <c r="DX746" s="219"/>
      <c r="DY746" s="219"/>
      <c r="DZ746" s="116"/>
      <c r="EA746" s="116"/>
      <c r="EB746" s="116"/>
      <c r="EC746" s="116"/>
      <c r="ED746" s="116"/>
      <c r="EF746" s="332"/>
      <c r="EG746" s="116"/>
      <c r="EH746" s="116"/>
      <c r="EI746" s="116"/>
      <c r="EJ746" s="116"/>
      <c r="EK746" s="116"/>
      <c r="EM746" s="116"/>
      <c r="EN746" s="116"/>
      <c r="EO746" s="116"/>
      <c r="EQ746" s="116"/>
      <c r="ER746" s="116"/>
      <c r="ES746" s="116"/>
      <c r="ET746" s="116"/>
      <c r="EU746" s="116"/>
      <c r="EV746" s="116"/>
      <c r="EX746" s="116"/>
      <c r="EY746" s="116"/>
      <c r="EZ746" s="116"/>
      <c r="FA746" s="116"/>
      <c r="FB746" s="116"/>
    </row>
    <row r="747" spans="5:158" ht="13">
      <c r="E747" s="153"/>
      <c r="T747" s="153"/>
      <c r="BD747" s="31"/>
      <c r="BE747" s="31"/>
      <c r="BF747" s="31"/>
      <c r="BG747" s="31"/>
      <c r="BH747" s="31"/>
      <c r="BI747" s="116"/>
      <c r="BL747" s="196"/>
      <c r="BM747" s="239"/>
      <c r="BN747" s="330"/>
      <c r="BP747" s="330"/>
      <c r="BS747" s="116"/>
      <c r="BU747" s="331"/>
      <c r="BW747" s="116"/>
      <c r="BX747" s="116"/>
      <c r="BZ747" s="330"/>
      <c r="CB747" s="330"/>
      <c r="CC747" s="116"/>
      <c r="CG747" s="242"/>
      <c r="CH747" s="116"/>
      <c r="CI747" s="116"/>
      <c r="CJ747" s="116"/>
      <c r="CL747" s="116"/>
      <c r="CN747" s="239"/>
      <c r="CO747" s="153"/>
      <c r="DM747" s="116"/>
      <c r="DN747" s="116"/>
      <c r="DO747" s="116"/>
      <c r="DP747" s="116"/>
      <c r="DW747" s="116"/>
      <c r="DX747" s="219"/>
      <c r="DY747" s="219"/>
      <c r="DZ747" s="116"/>
      <c r="EA747" s="116"/>
      <c r="EB747" s="116"/>
      <c r="EC747" s="116"/>
      <c r="ED747" s="116"/>
      <c r="EF747" s="332"/>
      <c r="EG747" s="116"/>
      <c r="EH747" s="116"/>
      <c r="EI747" s="116"/>
      <c r="EJ747" s="116"/>
      <c r="EK747" s="116"/>
      <c r="EM747" s="116"/>
      <c r="EN747" s="116"/>
      <c r="EO747" s="116"/>
      <c r="EQ747" s="116"/>
      <c r="ER747" s="116"/>
      <c r="ES747" s="116"/>
      <c r="ET747" s="116"/>
      <c r="EU747" s="116"/>
      <c r="EV747" s="116"/>
      <c r="EX747" s="116"/>
      <c r="EY747" s="116"/>
      <c r="EZ747" s="116"/>
      <c r="FA747" s="116"/>
      <c r="FB747" s="116"/>
    </row>
    <row r="748" spans="5:158" ht="13">
      <c r="E748" s="153"/>
      <c r="T748" s="153"/>
      <c r="BD748" s="31"/>
      <c r="BE748" s="31"/>
      <c r="BF748" s="31"/>
      <c r="BG748" s="31"/>
      <c r="BH748" s="31"/>
      <c r="BI748" s="116"/>
      <c r="BL748" s="196"/>
      <c r="BM748" s="239"/>
      <c r="BN748" s="330"/>
      <c r="BP748" s="330"/>
      <c r="BS748" s="116"/>
      <c r="BU748" s="331"/>
      <c r="BW748" s="116"/>
      <c r="BX748" s="116"/>
      <c r="BZ748" s="330"/>
      <c r="CB748" s="330"/>
      <c r="CC748" s="116"/>
      <c r="CG748" s="242"/>
      <c r="CH748" s="116"/>
      <c r="CI748" s="116"/>
      <c r="CJ748" s="116"/>
      <c r="CL748" s="116"/>
      <c r="CN748" s="239"/>
      <c r="CO748" s="153"/>
      <c r="DM748" s="116"/>
      <c r="DN748" s="116"/>
      <c r="DO748" s="116"/>
      <c r="DP748" s="116"/>
      <c r="DW748" s="116"/>
      <c r="DX748" s="219"/>
      <c r="DY748" s="219"/>
      <c r="DZ748" s="116"/>
      <c r="EA748" s="116"/>
      <c r="EB748" s="116"/>
      <c r="EC748" s="116"/>
      <c r="ED748" s="116"/>
      <c r="EF748" s="332"/>
      <c r="EG748" s="116"/>
      <c r="EH748" s="116"/>
      <c r="EI748" s="116"/>
      <c r="EJ748" s="116"/>
      <c r="EK748" s="116"/>
      <c r="EM748" s="116"/>
      <c r="EN748" s="116"/>
      <c r="EO748" s="116"/>
      <c r="EQ748" s="116"/>
      <c r="ER748" s="116"/>
      <c r="ES748" s="116"/>
      <c r="ET748" s="116"/>
      <c r="EU748" s="116"/>
      <c r="EV748" s="116"/>
      <c r="EX748" s="116"/>
      <c r="EY748" s="116"/>
      <c r="EZ748" s="116"/>
      <c r="FA748" s="116"/>
      <c r="FB748" s="116"/>
    </row>
    <row r="749" spans="5:158" ht="13">
      <c r="E749" s="153"/>
      <c r="T749" s="153"/>
      <c r="BD749" s="31"/>
      <c r="BE749" s="31"/>
      <c r="BF749" s="31"/>
      <c r="BG749" s="31"/>
      <c r="BH749" s="31"/>
      <c r="BI749" s="116"/>
      <c r="BL749" s="196"/>
      <c r="BM749" s="239"/>
      <c r="BN749" s="330"/>
      <c r="BP749" s="330"/>
      <c r="BS749" s="116"/>
      <c r="BU749" s="331"/>
      <c r="BW749" s="116"/>
      <c r="BX749" s="116"/>
      <c r="BZ749" s="330"/>
      <c r="CB749" s="330"/>
      <c r="CC749" s="116"/>
      <c r="CG749" s="242"/>
      <c r="CH749" s="116"/>
      <c r="CI749" s="116"/>
      <c r="CJ749" s="116"/>
      <c r="CL749" s="116"/>
      <c r="CN749" s="239"/>
      <c r="CO749" s="153"/>
      <c r="DM749" s="116"/>
      <c r="DN749" s="116"/>
      <c r="DO749" s="116"/>
      <c r="DP749" s="116"/>
      <c r="DW749" s="116"/>
      <c r="DX749" s="219"/>
      <c r="DY749" s="219"/>
      <c r="DZ749" s="116"/>
      <c r="EA749" s="116"/>
      <c r="EB749" s="116"/>
      <c r="EC749" s="116"/>
      <c r="ED749" s="116"/>
      <c r="EF749" s="332"/>
      <c r="EG749" s="116"/>
      <c r="EH749" s="116"/>
      <c r="EI749" s="116"/>
      <c r="EJ749" s="116"/>
      <c r="EK749" s="116"/>
      <c r="EM749" s="116"/>
      <c r="EN749" s="116"/>
      <c r="EO749" s="116"/>
      <c r="EQ749" s="116"/>
      <c r="ER749" s="116"/>
      <c r="ES749" s="116"/>
      <c r="ET749" s="116"/>
      <c r="EU749" s="116"/>
      <c r="EV749" s="116"/>
      <c r="EX749" s="116"/>
      <c r="EY749" s="116"/>
      <c r="EZ749" s="116"/>
      <c r="FA749" s="116"/>
      <c r="FB749" s="116"/>
    </row>
    <row r="750" spans="5:158" ht="13">
      <c r="E750" s="153"/>
      <c r="T750" s="153"/>
      <c r="BD750" s="31"/>
      <c r="BE750" s="31"/>
      <c r="BF750" s="31"/>
      <c r="BG750" s="31"/>
      <c r="BH750" s="31"/>
      <c r="BI750" s="116"/>
      <c r="BL750" s="196"/>
      <c r="BM750" s="239"/>
      <c r="BN750" s="330"/>
      <c r="BP750" s="330"/>
      <c r="BS750" s="116"/>
      <c r="BU750" s="331"/>
      <c r="BW750" s="116"/>
      <c r="BX750" s="116"/>
      <c r="BZ750" s="330"/>
      <c r="CB750" s="330"/>
      <c r="CC750" s="116"/>
      <c r="CG750" s="242"/>
      <c r="CH750" s="116"/>
      <c r="CI750" s="116"/>
      <c r="CJ750" s="116"/>
      <c r="CL750" s="116"/>
      <c r="CN750" s="239"/>
      <c r="CO750" s="153"/>
      <c r="DM750" s="116"/>
      <c r="DN750" s="116"/>
      <c r="DO750" s="116"/>
      <c r="DP750" s="116"/>
      <c r="DW750" s="116"/>
      <c r="DX750" s="219"/>
      <c r="DY750" s="219"/>
      <c r="DZ750" s="116"/>
      <c r="EA750" s="116"/>
      <c r="EB750" s="116"/>
      <c r="EC750" s="116"/>
      <c r="ED750" s="116"/>
      <c r="EF750" s="332"/>
      <c r="EG750" s="116"/>
      <c r="EH750" s="116"/>
      <c r="EI750" s="116"/>
      <c r="EJ750" s="116"/>
      <c r="EK750" s="116"/>
      <c r="EM750" s="116"/>
      <c r="EN750" s="116"/>
      <c r="EO750" s="116"/>
      <c r="EQ750" s="116"/>
      <c r="ER750" s="116"/>
      <c r="ES750" s="116"/>
      <c r="ET750" s="116"/>
      <c r="EU750" s="116"/>
      <c r="EV750" s="116"/>
      <c r="EX750" s="116"/>
      <c r="EY750" s="116"/>
      <c r="EZ750" s="116"/>
      <c r="FA750" s="116"/>
      <c r="FB750" s="116"/>
    </row>
    <row r="751" spans="5:158" ht="13">
      <c r="E751" s="153"/>
      <c r="T751" s="153"/>
      <c r="BD751" s="31"/>
      <c r="BE751" s="31"/>
      <c r="BF751" s="31"/>
      <c r="BG751" s="31"/>
      <c r="BH751" s="31"/>
      <c r="BI751" s="116"/>
      <c r="BL751" s="196"/>
      <c r="BM751" s="239"/>
      <c r="BN751" s="330"/>
      <c r="BP751" s="330"/>
      <c r="BS751" s="116"/>
      <c r="BU751" s="331"/>
      <c r="BW751" s="116"/>
      <c r="BX751" s="116"/>
      <c r="BZ751" s="330"/>
      <c r="CB751" s="330"/>
      <c r="CC751" s="116"/>
      <c r="CG751" s="242"/>
      <c r="CH751" s="116"/>
      <c r="CI751" s="116"/>
      <c r="CJ751" s="116"/>
      <c r="CL751" s="116"/>
      <c r="CN751" s="239"/>
      <c r="CO751" s="153"/>
      <c r="DM751" s="116"/>
      <c r="DN751" s="116"/>
      <c r="DO751" s="116"/>
      <c r="DP751" s="116"/>
      <c r="DW751" s="116"/>
      <c r="DX751" s="219"/>
      <c r="DY751" s="219"/>
      <c r="DZ751" s="116"/>
      <c r="EA751" s="116"/>
      <c r="EB751" s="116"/>
      <c r="EC751" s="116"/>
      <c r="ED751" s="116"/>
      <c r="EF751" s="332"/>
      <c r="EG751" s="116"/>
      <c r="EH751" s="116"/>
      <c r="EI751" s="116"/>
      <c r="EJ751" s="116"/>
      <c r="EK751" s="116"/>
      <c r="EM751" s="116"/>
      <c r="EN751" s="116"/>
      <c r="EO751" s="116"/>
      <c r="EQ751" s="116"/>
      <c r="ER751" s="116"/>
      <c r="ES751" s="116"/>
      <c r="ET751" s="116"/>
      <c r="EU751" s="116"/>
      <c r="EV751" s="116"/>
      <c r="EX751" s="116"/>
      <c r="EY751" s="116"/>
      <c r="EZ751" s="116"/>
      <c r="FA751" s="116"/>
      <c r="FB751" s="116"/>
    </row>
    <row r="752" spans="5:158" ht="13">
      <c r="E752" s="153"/>
      <c r="T752" s="153"/>
      <c r="BD752" s="31"/>
      <c r="BE752" s="31"/>
      <c r="BF752" s="31"/>
      <c r="BG752" s="31"/>
      <c r="BH752" s="31"/>
      <c r="BI752" s="116"/>
      <c r="BL752" s="196"/>
      <c r="BM752" s="239"/>
      <c r="BN752" s="330"/>
      <c r="BP752" s="330"/>
      <c r="BS752" s="116"/>
      <c r="BU752" s="331"/>
      <c r="BW752" s="116"/>
      <c r="BX752" s="116"/>
      <c r="BZ752" s="330"/>
      <c r="CB752" s="330"/>
      <c r="CC752" s="116"/>
      <c r="CG752" s="242"/>
      <c r="CH752" s="116"/>
      <c r="CI752" s="116"/>
      <c r="CJ752" s="116"/>
      <c r="CL752" s="116"/>
      <c r="CN752" s="239"/>
      <c r="CO752" s="153"/>
      <c r="DM752" s="116"/>
      <c r="DN752" s="116"/>
      <c r="DO752" s="116"/>
      <c r="DP752" s="116"/>
      <c r="DW752" s="116"/>
      <c r="DX752" s="219"/>
      <c r="DY752" s="219"/>
      <c r="DZ752" s="116"/>
      <c r="EA752" s="116"/>
      <c r="EB752" s="116"/>
      <c r="EC752" s="116"/>
      <c r="ED752" s="116"/>
      <c r="EF752" s="332"/>
      <c r="EG752" s="116"/>
      <c r="EH752" s="116"/>
      <c r="EI752" s="116"/>
      <c r="EJ752" s="116"/>
      <c r="EK752" s="116"/>
      <c r="EM752" s="116"/>
      <c r="EN752" s="116"/>
      <c r="EO752" s="116"/>
      <c r="EQ752" s="116"/>
      <c r="ER752" s="116"/>
      <c r="ES752" s="116"/>
      <c r="ET752" s="116"/>
      <c r="EU752" s="116"/>
      <c r="EV752" s="116"/>
      <c r="EX752" s="116"/>
      <c r="EY752" s="116"/>
      <c r="EZ752" s="116"/>
      <c r="FA752" s="116"/>
      <c r="FB752" s="116"/>
    </row>
    <row r="753" spans="5:158" ht="13">
      <c r="E753" s="153"/>
      <c r="T753" s="153"/>
      <c r="BD753" s="31"/>
      <c r="BE753" s="31"/>
      <c r="BF753" s="31"/>
      <c r="BG753" s="31"/>
      <c r="BH753" s="31"/>
      <c r="BI753" s="116"/>
      <c r="BL753" s="196"/>
      <c r="BM753" s="239"/>
      <c r="BN753" s="330"/>
      <c r="BP753" s="330"/>
      <c r="BS753" s="116"/>
      <c r="BU753" s="331"/>
      <c r="BW753" s="116"/>
      <c r="BX753" s="116"/>
      <c r="BZ753" s="330"/>
      <c r="CB753" s="330"/>
      <c r="CC753" s="116"/>
      <c r="CG753" s="242"/>
      <c r="CH753" s="116"/>
      <c r="CI753" s="116"/>
      <c r="CJ753" s="116"/>
      <c r="CL753" s="116"/>
      <c r="CN753" s="239"/>
      <c r="CO753" s="153"/>
      <c r="DM753" s="116"/>
      <c r="DN753" s="116"/>
      <c r="DO753" s="116"/>
      <c r="DP753" s="116"/>
      <c r="DW753" s="116"/>
      <c r="DX753" s="219"/>
      <c r="DY753" s="219"/>
      <c r="DZ753" s="116"/>
      <c r="EA753" s="116"/>
      <c r="EB753" s="116"/>
      <c r="EC753" s="116"/>
      <c r="ED753" s="116"/>
      <c r="EF753" s="332"/>
      <c r="EG753" s="116"/>
      <c r="EH753" s="116"/>
      <c r="EI753" s="116"/>
      <c r="EJ753" s="116"/>
      <c r="EK753" s="116"/>
      <c r="EM753" s="116"/>
      <c r="EN753" s="116"/>
      <c r="EO753" s="116"/>
      <c r="EQ753" s="116"/>
      <c r="ER753" s="116"/>
      <c r="ES753" s="116"/>
      <c r="ET753" s="116"/>
      <c r="EU753" s="116"/>
      <c r="EV753" s="116"/>
      <c r="EX753" s="116"/>
      <c r="EY753" s="116"/>
      <c r="EZ753" s="116"/>
      <c r="FA753" s="116"/>
      <c r="FB753" s="116"/>
    </row>
    <row r="754" spans="5:158" ht="13">
      <c r="E754" s="153"/>
      <c r="T754" s="153"/>
      <c r="BD754" s="31"/>
      <c r="BE754" s="31"/>
      <c r="BF754" s="31"/>
      <c r="BG754" s="31"/>
      <c r="BH754" s="31"/>
      <c r="BI754" s="116"/>
      <c r="BL754" s="196"/>
      <c r="BM754" s="239"/>
      <c r="BN754" s="330"/>
      <c r="BP754" s="330"/>
      <c r="BS754" s="116"/>
      <c r="BU754" s="331"/>
      <c r="BW754" s="116"/>
      <c r="BX754" s="116"/>
      <c r="BZ754" s="330"/>
      <c r="CB754" s="330"/>
      <c r="CC754" s="116"/>
      <c r="CG754" s="242"/>
      <c r="CH754" s="116"/>
      <c r="CI754" s="116"/>
      <c r="CJ754" s="116"/>
      <c r="CL754" s="116"/>
      <c r="CN754" s="239"/>
      <c r="CO754" s="153"/>
      <c r="DM754" s="116"/>
      <c r="DN754" s="116"/>
      <c r="DO754" s="116"/>
      <c r="DP754" s="116"/>
      <c r="DW754" s="116"/>
      <c r="DX754" s="219"/>
      <c r="DY754" s="219"/>
      <c r="DZ754" s="116"/>
      <c r="EA754" s="116"/>
      <c r="EB754" s="116"/>
      <c r="EC754" s="116"/>
      <c r="ED754" s="116"/>
      <c r="EF754" s="332"/>
      <c r="EG754" s="116"/>
      <c r="EH754" s="116"/>
      <c r="EI754" s="116"/>
      <c r="EJ754" s="116"/>
      <c r="EK754" s="116"/>
      <c r="EM754" s="116"/>
      <c r="EN754" s="116"/>
      <c r="EO754" s="116"/>
      <c r="EQ754" s="116"/>
      <c r="ER754" s="116"/>
      <c r="ES754" s="116"/>
      <c r="ET754" s="116"/>
      <c r="EU754" s="116"/>
      <c r="EV754" s="116"/>
      <c r="EX754" s="116"/>
      <c r="EY754" s="116"/>
      <c r="EZ754" s="116"/>
      <c r="FA754" s="116"/>
      <c r="FB754" s="116"/>
    </row>
    <row r="755" spans="5:158" ht="13">
      <c r="E755" s="153"/>
      <c r="T755" s="153"/>
      <c r="BD755" s="31"/>
      <c r="BE755" s="31"/>
      <c r="BF755" s="31"/>
      <c r="BG755" s="31"/>
      <c r="BH755" s="31"/>
      <c r="BI755" s="116"/>
      <c r="BL755" s="196"/>
      <c r="BM755" s="239"/>
      <c r="BN755" s="330"/>
      <c r="BP755" s="330"/>
      <c r="BS755" s="116"/>
      <c r="BU755" s="331"/>
      <c r="BW755" s="116"/>
      <c r="BX755" s="116"/>
      <c r="BZ755" s="330"/>
      <c r="CB755" s="330"/>
      <c r="CC755" s="116"/>
      <c r="CG755" s="242"/>
      <c r="CH755" s="116"/>
      <c r="CI755" s="116"/>
      <c r="CJ755" s="116"/>
      <c r="CL755" s="116"/>
      <c r="CN755" s="239"/>
      <c r="CO755" s="153"/>
      <c r="DM755" s="116"/>
      <c r="DN755" s="116"/>
      <c r="DO755" s="116"/>
      <c r="DP755" s="116"/>
      <c r="DW755" s="116"/>
      <c r="DX755" s="219"/>
      <c r="DY755" s="219"/>
      <c r="DZ755" s="116"/>
      <c r="EA755" s="116"/>
      <c r="EB755" s="116"/>
      <c r="EC755" s="116"/>
      <c r="ED755" s="116"/>
      <c r="EF755" s="332"/>
      <c r="EG755" s="116"/>
      <c r="EH755" s="116"/>
      <c r="EI755" s="116"/>
      <c r="EJ755" s="116"/>
      <c r="EK755" s="116"/>
      <c r="EM755" s="116"/>
      <c r="EN755" s="116"/>
      <c r="EO755" s="116"/>
      <c r="EQ755" s="116"/>
      <c r="ER755" s="116"/>
      <c r="ES755" s="116"/>
      <c r="ET755" s="116"/>
      <c r="EU755" s="116"/>
      <c r="EV755" s="116"/>
      <c r="EX755" s="116"/>
      <c r="EY755" s="116"/>
      <c r="EZ755" s="116"/>
      <c r="FA755" s="116"/>
      <c r="FB755" s="116"/>
    </row>
    <row r="756" spans="5:158" ht="13">
      <c r="E756" s="153"/>
      <c r="T756" s="153"/>
      <c r="BD756" s="31"/>
      <c r="BE756" s="31"/>
      <c r="BF756" s="31"/>
      <c r="BG756" s="31"/>
      <c r="BH756" s="31"/>
      <c r="BI756" s="116"/>
      <c r="BL756" s="196"/>
      <c r="BM756" s="239"/>
      <c r="BN756" s="330"/>
      <c r="BP756" s="330"/>
      <c r="BS756" s="116"/>
      <c r="BU756" s="331"/>
      <c r="BW756" s="116"/>
      <c r="BX756" s="116"/>
      <c r="BZ756" s="330"/>
      <c r="CB756" s="330"/>
      <c r="CC756" s="116"/>
      <c r="CG756" s="242"/>
      <c r="CH756" s="116"/>
      <c r="CI756" s="116"/>
      <c r="CJ756" s="116"/>
      <c r="CL756" s="116"/>
      <c r="CN756" s="239"/>
      <c r="CO756" s="153"/>
      <c r="DM756" s="116"/>
      <c r="DN756" s="116"/>
      <c r="DO756" s="116"/>
      <c r="DP756" s="116"/>
      <c r="DW756" s="116"/>
      <c r="DX756" s="219"/>
      <c r="DY756" s="219"/>
      <c r="DZ756" s="116"/>
      <c r="EA756" s="116"/>
      <c r="EB756" s="116"/>
      <c r="EC756" s="116"/>
      <c r="ED756" s="116"/>
      <c r="EF756" s="332"/>
      <c r="EG756" s="116"/>
      <c r="EH756" s="116"/>
      <c r="EI756" s="116"/>
      <c r="EJ756" s="116"/>
      <c r="EK756" s="116"/>
      <c r="EM756" s="116"/>
      <c r="EN756" s="116"/>
      <c r="EO756" s="116"/>
      <c r="EQ756" s="116"/>
      <c r="ER756" s="116"/>
      <c r="ES756" s="116"/>
      <c r="ET756" s="116"/>
      <c r="EU756" s="116"/>
      <c r="EV756" s="116"/>
      <c r="EX756" s="116"/>
      <c r="EY756" s="116"/>
      <c r="EZ756" s="116"/>
      <c r="FA756" s="116"/>
      <c r="FB756" s="116"/>
    </row>
    <row r="757" spans="5:158" ht="13">
      <c r="E757" s="153"/>
      <c r="T757" s="153"/>
      <c r="BD757" s="31"/>
      <c r="BE757" s="31"/>
      <c r="BF757" s="31"/>
      <c r="BG757" s="31"/>
      <c r="BH757" s="31"/>
      <c r="BI757" s="116"/>
      <c r="BL757" s="196"/>
      <c r="BM757" s="239"/>
      <c r="BN757" s="330"/>
      <c r="BP757" s="330"/>
      <c r="BS757" s="116"/>
      <c r="BU757" s="331"/>
      <c r="BW757" s="116"/>
      <c r="BX757" s="116"/>
      <c r="BZ757" s="330"/>
      <c r="CB757" s="330"/>
      <c r="CC757" s="116"/>
      <c r="CG757" s="242"/>
      <c r="CH757" s="116"/>
      <c r="CI757" s="116"/>
      <c r="CJ757" s="116"/>
      <c r="CL757" s="116"/>
      <c r="CN757" s="239"/>
      <c r="CO757" s="153"/>
      <c r="DM757" s="116"/>
      <c r="DN757" s="116"/>
      <c r="DO757" s="116"/>
      <c r="DP757" s="116"/>
      <c r="DW757" s="116"/>
      <c r="DX757" s="219"/>
      <c r="DY757" s="219"/>
      <c r="DZ757" s="116"/>
      <c r="EA757" s="116"/>
      <c r="EB757" s="116"/>
      <c r="EC757" s="116"/>
      <c r="ED757" s="116"/>
      <c r="EF757" s="332"/>
      <c r="EG757" s="116"/>
      <c r="EH757" s="116"/>
      <c r="EI757" s="116"/>
      <c r="EJ757" s="116"/>
      <c r="EK757" s="116"/>
      <c r="EM757" s="116"/>
      <c r="EN757" s="116"/>
      <c r="EO757" s="116"/>
      <c r="EQ757" s="116"/>
      <c r="ER757" s="116"/>
      <c r="ES757" s="116"/>
      <c r="ET757" s="116"/>
      <c r="EU757" s="116"/>
      <c r="EV757" s="116"/>
      <c r="EX757" s="116"/>
      <c r="EY757" s="116"/>
      <c r="EZ757" s="116"/>
      <c r="FA757" s="116"/>
      <c r="FB757" s="116"/>
    </row>
    <row r="758" spans="5:158" ht="13">
      <c r="E758" s="153"/>
      <c r="T758" s="153"/>
      <c r="BD758" s="31"/>
      <c r="BE758" s="31"/>
      <c r="BF758" s="31"/>
      <c r="BG758" s="31"/>
      <c r="BH758" s="31"/>
      <c r="BI758" s="116"/>
      <c r="BL758" s="196"/>
      <c r="BM758" s="239"/>
      <c r="BN758" s="330"/>
      <c r="BP758" s="330"/>
      <c r="BS758" s="116"/>
      <c r="BU758" s="331"/>
      <c r="BW758" s="116"/>
      <c r="BX758" s="116"/>
      <c r="BZ758" s="330"/>
      <c r="CB758" s="330"/>
      <c r="CC758" s="116"/>
      <c r="CG758" s="242"/>
      <c r="CH758" s="116"/>
      <c r="CI758" s="116"/>
      <c r="CJ758" s="116"/>
      <c r="CL758" s="116"/>
      <c r="CN758" s="239"/>
      <c r="CO758" s="153"/>
      <c r="DM758" s="116"/>
      <c r="DN758" s="116"/>
      <c r="DO758" s="116"/>
      <c r="DP758" s="116"/>
      <c r="DW758" s="116"/>
      <c r="DX758" s="219"/>
      <c r="DY758" s="219"/>
      <c r="DZ758" s="116"/>
      <c r="EA758" s="116"/>
      <c r="EB758" s="116"/>
      <c r="EC758" s="116"/>
      <c r="ED758" s="116"/>
      <c r="EF758" s="332"/>
      <c r="EG758" s="116"/>
      <c r="EH758" s="116"/>
      <c r="EI758" s="116"/>
      <c r="EJ758" s="116"/>
      <c r="EK758" s="116"/>
      <c r="EM758" s="116"/>
      <c r="EN758" s="116"/>
      <c r="EO758" s="116"/>
      <c r="EQ758" s="116"/>
      <c r="ER758" s="116"/>
      <c r="ES758" s="116"/>
      <c r="ET758" s="116"/>
      <c r="EU758" s="116"/>
      <c r="EV758" s="116"/>
      <c r="EX758" s="116"/>
      <c r="EY758" s="116"/>
      <c r="EZ758" s="116"/>
      <c r="FA758" s="116"/>
      <c r="FB758" s="116"/>
    </row>
    <row r="759" spans="5:158" ht="13">
      <c r="E759" s="153"/>
      <c r="T759" s="153"/>
      <c r="BD759" s="31"/>
      <c r="BE759" s="31"/>
      <c r="BF759" s="31"/>
      <c r="BG759" s="31"/>
      <c r="BH759" s="31"/>
      <c r="BI759" s="116"/>
      <c r="BL759" s="196"/>
      <c r="BM759" s="239"/>
      <c r="BN759" s="330"/>
      <c r="BP759" s="330"/>
      <c r="BS759" s="116"/>
      <c r="BU759" s="331"/>
      <c r="BW759" s="116"/>
      <c r="BX759" s="116"/>
      <c r="BZ759" s="330"/>
      <c r="CB759" s="330"/>
      <c r="CC759" s="116"/>
      <c r="CG759" s="242"/>
      <c r="CH759" s="116"/>
      <c r="CI759" s="116"/>
      <c r="CJ759" s="116"/>
      <c r="CL759" s="116"/>
      <c r="CN759" s="239"/>
      <c r="CO759" s="153"/>
      <c r="DM759" s="116"/>
      <c r="DN759" s="116"/>
      <c r="DO759" s="116"/>
      <c r="DP759" s="116"/>
      <c r="DW759" s="116"/>
      <c r="DX759" s="219"/>
      <c r="DY759" s="219"/>
      <c r="DZ759" s="116"/>
      <c r="EA759" s="116"/>
      <c r="EB759" s="116"/>
      <c r="EC759" s="116"/>
      <c r="ED759" s="116"/>
      <c r="EF759" s="332"/>
      <c r="EG759" s="116"/>
      <c r="EH759" s="116"/>
      <c r="EI759" s="116"/>
      <c r="EJ759" s="116"/>
      <c r="EK759" s="116"/>
      <c r="EM759" s="116"/>
      <c r="EN759" s="116"/>
      <c r="EO759" s="116"/>
      <c r="EQ759" s="116"/>
      <c r="ER759" s="116"/>
      <c r="ES759" s="116"/>
      <c r="ET759" s="116"/>
      <c r="EU759" s="116"/>
      <c r="EV759" s="116"/>
      <c r="EX759" s="116"/>
      <c r="EY759" s="116"/>
      <c r="EZ759" s="116"/>
      <c r="FA759" s="116"/>
      <c r="FB759" s="116"/>
    </row>
    <row r="760" spans="5:158" ht="13">
      <c r="E760" s="153"/>
      <c r="T760" s="153"/>
      <c r="BD760" s="31"/>
      <c r="BE760" s="31"/>
      <c r="BF760" s="31"/>
      <c r="BG760" s="31"/>
      <c r="BH760" s="31"/>
      <c r="BI760" s="116"/>
      <c r="BL760" s="196"/>
      <c r="BM760" s="239"/>
      <c r="BN760" s="330"/>
      <c r="BP760" s="330"/>
      <c r="BS760" s="116"/>
      <c r="BU760" s="331"/>
      <c r="BW760" s="116"/>
      <c r="BX760" s="116"/>
      <c r="BZ760" s="330"/>
      <c r="CB760" s="330"/>
      <c r="CC760" s="116"/>
      <c r="CG760" s="242"/>
      <c r="CH760" s="116"/>
      <c r="CI760" s="116"/>
      <c r="CJ760" s="116"/>
      <c r="CL760" s="116"/>
      <c r="CN760" s="239"/>
      <c r="CO760" s="153"/>
      <c r="DM760" s="116"/>
      <c r="DN760" s="116"/>
      <c r="DO760" s="116"/>
      <c r="DP760" s="116"/>
      <c r="DW760" s="116"/>
      <c r="DX760" s="219"/>
      <c r="DY760" s="219"/>
      <c r="DZ760" s="116"/>
      <c r="EA760" s="116"/>
      <c r="EB760" s="116"/>
      <c r="EC760" s="116"/>
      <c r="ED760" s="116"/>
      <c r="EF760" s="332"/>
      <c r="EG760" s="116"/>
      <c r="EH760" s="116"/>
      <c r="EI760" s="116"/>
      <c r="EJ760" s="116"/>
      <c r="EK760" s="116"/>
      <c r="EM760" s="116"/>
      <c r="EN760" s="116"/>
      <c r="EO760" s="116"/>
      <c r="EQ760" s="116"/>
      <c r="ER760" s="116"/>
      <c r="ES760" s="116"/>
      <c r="ET760" s="116"/>
      <c r="EU760" s="116"/>
      <c r="EV760" s="116"/>
      <c r="EX760" s="116"/>
      <c r="EY760" s="116"/>
      <c r="EZ760" s="116"/>
      <c r="FA760" s="116"/>
      <c r="FB760" s="116"/>
    </row>
    <row r="761" spans="5:158" ht="13">
      <c r="E761" s="153"/>
      <c r="T761" s="153"/>
      <c r="BD761" s="31"/>
      <c r="BE761" s="31"/>
      <c r="BF761" s="31"/>
      <c r="BG761" s="31"/>
      <c r="BH761" s="31"/>
      <c r="BI761" s="116"/>
      <c r="BL761" s="196"/>
      <c r="BM761" s="239"/>
      <c r="BN761" s="330"/>
      <c r="BP761" s="330"/>
      <c r="BS761" s="116"/>
      <c r="BU761" s="331"/>
      <c r="BW761" s="116"/>
      <c r="BX761" s="116"/>
      <c r="BZ761" s="330"/>
      <c r="CB761" s="330"/>
      <c r="CC761" s="116"/>
      <c r="CG761" s="242"/>
      <c r="CH761" s="116"/>
      <c r="CI761" s="116"/>
      <c r="CJ761" s="116"/>
      <c r="CL761" s="116"/>
      <c r="CN761" s="239"/>
      <c r="CO761" s="153"/>
      <c r="DM761" s="116"/>
      <c r="DN761" s="116"/>
      <c r="DO761" s="116"/>
      <c r="DP761" s="116"/>
      <c r="DW761" s="116"/>
      <c r="DX761" s="219"/>
      <c r="DY761" s="219"/>
      <c r="DZ761" s="116"/>
      <c r="EA761" s="116"/>
      <c r="EB761" s="116"/>
      <c r="EC761" s="116"/>
      <c r="ED761" s="116"/>
      <c r="EF761" s="332"/>
      <c r="EG761" s="116"/>
      <c r="EH761" s="116"/>
      <c r="EI761" s="116"/>
      <c r="EJ761" s="116"/>
      <c r="EK761" s="116"/>
      <c r="EM761" s="116"/>
      <c r="EN761" s="116"/>
      <c r="EO761" s="116"/>
      <c r="EQ761" s="116"/>
      <c r="ER761" s="116"/>
      <c r="ES761" s="116"/>
      <c r="ET761" s="116"/>
      <c r="EU761" s="116"/>
      <c r="EV761" s="116"/>
      <c r="EX761" s="116"/>
      <c r="EY761" s="116"/>
      <c r="EZ761" s="116"/>
      <c r="FA761" s="116"/>
      <c r="FB761" s="116"/>
    </row>
    <row r="762" spans="5:158" ht="13">
      <c r="E762" s="153"/>
      <c r="T762" s="153"/>
      <c r="BD762" s="31"/>
      <c r="BE762" s="31"/>
      <c r="BF762" s="31"/>
      <c r="BG762" s="31"/>
      <c r="BH762" s="31"/>
      <c r="BI762" s="116"/>
      <c r="BL762" s="196"/>
      <c r="BM762" s="239"/>
      <c r="BN762" s="330"/>
      <c r="BP762" s="330"/>
      <c r="BS762" s="116"/>
      <c r="BU762" s="331"/>
      <c r="BW762" s="116"/>
      <c r="BX762" s="116"/>
      <c r="BZ762" s="330"/>
      <c r="CB762" s="330"/>
      <c r="CC762" s="116"/>
      <c r="CG762" s="242"/>
      <c r="CH762" s="116"/>
      <c r="CI762" s="116"/>
      <c r="CJ762" s="116"/>
      <c r="CL762" s="116"/>
      <c r="CN762" s="239"/>
      <c r="CO762" s="153"/>
      <c r="DM762" s="116"/>
      <c r="DN762" s="116"/>
      <c r="DO762" s="116"/>
      <c r="DP762" s="116"/>
      <c r="DW762" s="116"/>
      <c r="DX762" s="219"/>
      <c r="DY762" s="219"/>
      <c r="DZ762" s="116"/>
      <c r="EA762" s="116"/>
      <c r="EB762" s="116"/>
      <c r="EC762" s="116"/>
      <c r="ED762" s="116"/>
      <c r="EF762" s="332"/>
      <c r="EG762" s="116"/>
      <c r="EH762" s="116"/>
      <c r="EI762" s="116"/>
      <c r="EJ762" s="116"/>
      <c r="EK762" s="116"/>
      <c r="EM762" s="116"/>
      <c r="EN762" s="116"/>
      <c r="EO762" s="116"/>
      <c r="EQ762" s="116"/>
      <c r="ER762" s="116"/>
      <c r="ES762" s="116"/>
      <c r="ET762" s="116"/>
      <c r="EU762" s="116"/>
      <c r="EV762" s="116"/>
      <c r="EX762" s="116"/>
      <c r="EY762" s="116"/>
      <c r="EZ762" s="116"/>
      <c r="FA762" s="116"/>
      <c r="FB762" s="116"/>
    </row>
    <row r="763" spans="5:158" ht="13">
      <c r="E763" s="153"/>
      <c r="T763" s="153"/>
      <c r="BD763" s="31"/>
      <c r="BE763" s="31"/>
      <c r="BF763" s="31"/>
      <c r="BG763" s="31"/>
      <c r="BH763" s="31"/>
      <c r="BI763" s="116"/>
      <c r="BL763" s="196"/>
      <c r="BM763" s="239"/>
      <c r="BN763" s="330"/>
      <c r="BP763" s="330"/>
      <c r="BS763" s="116"/>
      <c r="BU763" s="331"/>
      <c r="BW763" s="116"/>
      <c r="BX763" s="116"/>
      <c r="BZ763" s="330"/>
      <c r="CB763" s="330"/>
      <c r="CC763" s="116"/>
      <c r="CG763" s="242"/>
      <c r="CH763" s="116"/>
      <c r="CI763" s="116"/>
      <c r="CJ763" s="116"/>
      <c r="CL763" s="116"/>
      <c r="CN763" s="239"/>
      <c r="CO763" s="153"/>
      <c r="DM763" s="116"/>
      <c r="DN763" s="116"/>
      <c r="DO763" s="116"/>
      <c r="DP763" s="116"/>
      <c r="DW763" s="116"/>
      <c r="DX763" s="219"/>
      <c r="DY763" s="219"/>
      <c r="DZ763" s="116"/>
      <c r="EA763" s="116"/>
      <c r="EB763" s="116"/>
      <c r="EC763" s="116"/>
      <c r="ED763" s="116"/>
      <c r="EF763" s="332"/>
      <c r="EG763" s="116"/>
      <c r="EH763" s="116"/>
      <c r="EI763" s="116"/>
      <c r="EJ763" s="116"/>
      <c r="EK763" s="116"/>
      <c r="EM763" s="116"/>
      <c r="EN763" s="116"/>
      <c r="EO763" s="116"/>
      <c r="EQ763" s="116"/>
      <c r="ER763" s="116"/>
      <c r="ES763" s="116"/>
      <c r="ET763" s="116"/>
      <c r="EU763" s="116"/>
      <c r="EV763" s="116"/>
      <c r="EX763" s="116"/>
      <c r="EY763" s="116"/>
      <c r="EZ763" s="116"/>
      <c r="FA763" s="116"/>
      <c r="FB763" s="116"/>
    </row>
    <row r="764" spans="5:158" ht="13">
      <c r="E764" s="153"/>
      <c r="T764" s="153"/>
      <c r="BD764" s="31"/>
      <c r="BE764" s="31"/>
      <c r="BF764" s="31"/>
      <c r="BG764" s="31"/>
      <c r="BH764" s="31"/>
      <c r="BI764" s="116"/>
      <c r="BL764" s="196"/>
      <c r="BM764" s="239"/>
      <c r="BN764" s="330"/>
      <c r="BP764" s="330"/>
      <c r="BS764" s="116"/>
      <c r="BU764" s="331"/>
      <c r="BW764" s="116"/>
      <c r="BX764" s="116"/>
      <c r="BZ764" s="330"/>
      <c r="CB764" s="330"/>
      <c r="CC764" s="116"/>
      <c r="CG764" s="242"/>
      <c r="CH764" s="116"/>
      <c r="CI764" s="116"/>
      <c r="CJ764" s="116"/>
      <c r="CL764" s="116"/>
      <c r="CN764" s="239"/>
      <c r="CO764" s="153"/>
      <c r="DM764" s="116"/>
      <c r="DN764" s="116"/>
      <c r="DO764" s="116"/>
      <c r="DP764" s="116"/>
      <c r="DW764" s="116"/>
      <c r="DX764" s="219"/>
      <c r="DY764" s="219"/>
      <c r="DZ764" s="116"/>
      <c r="EA764" s="116"/>
      <c r="EB764" s="116"/>
      <c r="EC764" s="116"/>
      <c r="ED764" s="116"/>
      <c r="EF764" s="332"/>
      <c r="EG764" s="116"/>
      <c r="EH764" s="116"/>
      <c r="EI764" s="116"/>
      <c r="EJ764" s="116"/>
      <c r="EK764" s="116"/>
      <c r="EM764" s="116"/>
      <c r="EN764" s="116"/>
      <c r="EO764" s="116"/>
      <c r="EQ764" s="116"/>
      <c r="ER764" s="116"/>
      <c r="ES764" s="116"/>
      <c r="ET764" s="116"/>
      <c r="EU764" s="116"/>
      <c r="EV764" s="116"/>
      <c r="EX764" s="116"/>
      <c r="EY764" s="116"/>
      <c r="EZ764" s="116"/>
      <c r="FA764" s="116"/>
      <c r="FB764" s="116"/>
    </row>
    <row r="765" spans="5:158" ht="13">
      <c r="E765" s="153"/>
      <c r="T765" s="153"/>
      <c r="BD765" s="31"/>
      <c r="BE765" s="31"/>
      <c r="BF765" s="31"/>
      <c r="BG765" s="31"/>
      <c r="BH765" s="31"/>
      <c r="BI765" s="116"/>
      <c r="BL765" s="196"/>
      <c r="BM765" s="239"/>
      <c r="BN765" s="330"/>
      <c r="BP765" s="330"/>
      <c r="BS765" s="116"/>
      <c r="BU765" s="331"/>
      <c r="BW765" s="116"/>
      <c r="BX765" s="116"/>
      <c r="BZ765" s="330"/>
      <c r="CB765" s="330"/>
      <c r="CC765" s="116"/>
      <c r="CG765" s="242"/>
      <c r="CH765" s="116"/>
      <c r="CI765" s="116"/>
      <c r="CJ765" s="116"/>
      <c r="CL765" s="116"/>
      <c r="CN765" s="239"/>
      <c r="CO765" s="153"/>
      <c r="DM765" s="116"/>
      <c r="DN765" s="116"/>
      <c r="DO765" s="116"/>
      <c r="DP765" s="116"/>
      <c r="DW765" s="116"/>
      <c r="DX765" s="219"/>
      <c r="DY765" s="219"/>
      <c r="DZ765" s="116"/>
      <c r="EA765" s="116"/>
      <c r="EB765" s="116"/>
      <c r="EC765" s="116"/>
      <c r="ED765" s="116"/>
      <c r="EF765" s="332"/>
      <c r="EG765" s="116"/>
      <c r="EH765" s="116"/>
      <c r="EI765" s="116"/>
      <c r="EJ765" s="116"/>
      <c r="EK765" s="116"/>
      <c r="EM765" s="116"/>
      <c r="EN765" s="116"/>
      <c r="EO765" s="116"/>
      <c r="EQ765" s="116"/>
      <c r="ER765" s="116"/>
      <c r="ES765" s="116"/>
      <c r="ET765" s="116"/>
      <c r="EU765" s="116"/>
      <c r="EV765" s="116"/>
      <c r="EX765" s="116"/>
      <c r="EY765" s="116"/>
      <c r="EZ765" s="116"/>
      <c r="FA765" s="116"/>
      <c r="FB765" s="116"/>
    </row>
    <row r="766" spans="5:158" ht="13">
      <c r="E766" s="153"/>
      <c r="T766" s="153"/>
      <c r="BD766" s="31"/>
      <c r="BE766" s="31"/>
      <c r="BF766" s="31"/>
      <c r="BG766" s="31"/>
      <c r="BH766" s="31"/>
      <c r="BI766" s="116"/>
      <c r="BL766" s="196"/>
      <c r="BM766" s="239"/>
      <c r="BN766" s="330"/>
      <c r="BP766" s="330"/>
      <c r="BS766" s="116"/>
      <c r="BU766" s="331"/>
      <c r="BW766" s="116"/>
      <c r="BX766" s="116"/>
      <c r="BZ766" s="330"/>
      <c r="CB766" s="330"/>
      <c r="CC766" s="116"/>
      <c r="CG766" s="242"/>
      <c r="CH766" s="116"/>
      <c r="CI766" s="116"/>
      <c r="CJ766" s="116"/>
      <c r="CL766" s="116"/>
      <c r="CN766" s="239"/>
      <c r="CO766" s="153"/>
      <c r="DM766" s="116"/>
      <c r="DN766" s="116"/>
      <c r="DO766" s="116"/>
      <c r="DP766" s="116"/>
      <c r="DW766" s="116"/>
      <c r="DX766" s="219"/>
      <c r="DY766" s="219"/>
      <c r="DZ766" s="116"/>
      <c r="EA766" s="116"/>
      <c r="EB766" s="116"/>
      <c r="EC766" s="116"/>
      <c r="ED766" s="116"/>
      <c r="EF766" s="332"/>
      <c r="EG766" s="116"/>
      <c r="EH766" s="116"/>
      <c r="EI766" s="116"/>
      <c r="EJ766" s="116"/>
      <c r="EK766" s="116"/>
      <c r="EM766" s="116"/>
      <c r="EN766" s="116"/>
      <c r="EO766" s="116"/>
      <c r="EQ766" s="116"/>
      <c r="ER766" s="116"/>
      <c r="ES766" s="116"/>
      <c r="ET766" s="116"/>
      <c r="EU766" s="116"/>
      <c r="EV766" s="116"/>
      <c r="EX766" s="116"/>
      <c r="EY766" s="116"/>
      <c r="EZ766" s="116"/>
      <c r="FA766" s="116"/>
      <c r="FB766" s="116"/>
    </row>
    <row r="767" spans="5:158" ht="13">
      <c r="E767" s="153"/>
      <c r="T767" s="153"/>
      <c r="BD767" s="31"/>
      <c r="BE767" s="31"/>
      <c r="BF767" s="31"/>
      <c r="BG767" s="31"/>
      <c r="BH767" s="31"/>
      <c r="BI767" s="116"/>
      <c r="BL767" s="196"/>
      <c r="BM767" s="239"/>
      <c r="BN767" s="330"/>
      <c r="BP767" s="330"/>
      <c r="BS767" s="116"/>
      <c r="BU767" s="331"/>
      <c r="BW767" s="116"/>
      <c r="BX767" s="116"/>
      <c r="BZ767" s="330"/>
      <c r="CB767" s="330"/>
      <c r="CC767" s="116"/>
      <c r="CG767" s="242"/>
      <c r="CH767" s="116"/>
      <c r="CI767" s="116"/>
      <c r="CJ767" s="116"/>
      <c r="CL767" s="116"/>
      <c r="CN767" s="239"/>
      <c r="CO767" s="153"/>
      <c r="DM767" s="116"/>
      <c r="DN767" s="116"/>
      <c r="DO767" s="116"/>
      <c r="DP767" s="116"/>
      <c r="DW767" s="116"/>
      <c r="DX767" s="219"/>
      <c r="DY767" s="219"/>
      <c r="DZ767" s="116"/>
      <c r="EA767" s="116"/>
      <c r="EB767" s="116"/>
      <c r="EC767" s="116"/>
      <c r="ED767" s="116"/>
      <c r="EF767" s="332"/>
      <c r="EG767" s="116"/>
      <c r="EH767" s="116"/>
      <c r="EI767" s="116"/>
      <c r="EJ767" s="116"/>
      <c r="EK767" s="116"/>
      <c r="EM767" s="116"/>
      <c r="EN767" s="116"/>
      <c r="EO767" s="116"/>
      <c r="EQ767" s="116"/>
      <c r="ER767" s="116"/>
      <c r="ES767" s="116"/>
      <c r="ET767" s="116"/>
      <c r="EU767" s="116"/>
      <c r="EV767" s="116"/>
      <c r="EX767" s="116"/>
      <c r="EY767" s="116"/>
      <c r="EZ767" s="116"/>
      <c r="FA767" s="116"/>
      <c r="FB767" s="116"/>
    </row>
    <row r="768" spans="5:158" ht="13">
      <c r="E768" s="153"/>
      <c r="T768" s="153"/>
      <c r="BD768" s="31"/>
      <c r="BE768" s="31"/>
      <c r="BF768" s="31"/>
      <c r="BG768" s="31"/>
      <c r="BH768" s="31"/>
      <c r="BI768" s="116"/>
      <c r="BL768" s="196"/>
      <c r="BM768" s="239"/>
      <c r="BN768" s="330"/>
      <c r="BP768" s="330"/>
      <c r="BS768" s="116"/>
      <c r="BU768" s="331"/>
      <c r="BW768" s="116"/>
      <c r="BX768" s="116"/>
      <c r="BZ768" s="330"/>
      <c r="CB768" s="330"/>
      <c r="CC768" s="116"/>
      <c r="CG768" s="242"/>
      <c r="CH768" s="116"/>
      <c r="CI768" s="116"/>
      <c r="CJ768" s="116"/>
      <c r="CL768" s="116"/>
      <c r="CN768" s="239"/>
      <c r="CO768" s="153"/>
      <c r="DM768" s="116"/>
      <c r="DN768" s="116"/>
      <c r="DO768" s="116"/>
      <c r="DP768" s="116"/>
      <c r="DW768" s="116"/>
      <c r="DX768" s="219"/>
      <c r="DY768" s="219"/>
      <c r="DZ768" s="116"/>
      <c r="EA768" s="116"/>
      <c r="EB768" s="116"/>
      <c r="EC768" s="116"/>
      <c r="ED768" s="116"/>
      <c r="EF768" s="332"/>
      <c r="EG768" s="116"/>
      <c r="EH768" s="116"/>
      <c r="EI768" s="116"/>
      <c r="EJ768" s="116"/>
      <c r="EK768" s="116"/>
      <c r="EM768" s="116"/>
      <c r="EN768" s="116"/>
      <c r="EO768" s="116"/>
      <c r="EQ768" s="116"/>
      <c r="ER768" s="116"/>
      <c r="ES768" s="116"/>
      <c r="ET768" s="116"/>
      <c r="EU768" s="116"/>
      <c r="EV768" s="116"/>
      <c r="EX768" s="116"/>
      <c r="EY768" s="116"/>
      <c r="EZ768" s="116"/>
      <c r="FA768" s="116"/>
      <c r="FB768" s="116"/>
    </row>
    <row r="769" spans="5:158" ht="13">
      <c r="E769" s="153"/>
      <c r="T769" s="153"/>
      <c r="BD769" s="31"/>
      <c r="BE769" s="31"/>
      <c r="BF769" s="31"/>
      <c r="BG769" s="31"/>
      <c r="BH769" s="31"/>
      <c r="BI769" s="116"/>
      <c r="BL769" s="196"/>
      <c r="BM769" s="239"/>
      <c r="BN769" s="330"/>
      <c r="BP769" s="330"/>
      <c r="BS769" s="116"/>
      <c r="BU769" s="331"/>
      <c r="BW769" s="116"/>
      <c r="BX769" s="116"/>
      <c r="BZ769" s="330"/>
      <c r="CB769" s="330"/>
      <c r="CC769" s="116"/>
      <c r="CG769" s="242"/>
      <c r="CH769" s="116"/>
      <c r="CI769" s="116"/>
      <c r="CJ769" s="116"/>
      <c r="CL769" s="116"/>
      <c r="CN769" s="239"/>
      <c r="CO769" s="153"/>
      <c r="DM769" s="116"/>
      <c r="DN769" s="116"/>
      <c r="DO769" s="116"/>
      <c r="DP769" s="116"/>
      <c r="DW769" s="116"/>
      <c r="DX769" s="219"/>
      <c r="DY769" s="219"/>
      <c r="DZ769" s="116"/>
      <c r="EA769" s="116"/>
      <c r="EB769" s="116"/>
      <c r="EC769" s="116"/>
      <c r="ED769" s="116"/>
      <c r="EF769" s="332"/>
      <c r="EG769" s="116"/>
      <c r="EH769" s="116"/>
      <c r="EI769" s="116"/>
      <c r="EJ769" s="116"/>
      <c r="EK769" s="116"/>
      <c r="EM769" s="116"/>
      <c r="EN769" s="116"/>
      <c r="EO769" s="116"/>
      <c r="EQ769" s="116"/>
      <c r="ER769" s="116"/>
      <c r="ES769" s="116"/>
      <c r="ET769" s="116"/>
      <c r="EU769" s="116"/>
      <c r="EV769" s="116"/>
      <c r="EX769" s="116"/>
      <c r="EY769" s="116"/>
      <c r="EZ769" s="116"/>
      <c r="FA769" s="116"/>
      <c r="FB769" s="116"/>
    </row>
    <row r="770" spans="5:158" ht="13">
      <c r="E770" s="153"/>
      <c r="T770" s="153"/>
      <c r="BD770" s="31"/>
      <c r="BE770" s="31"/>
      <c r="BF770" s="31"/>
      <c r="BG770" s="31"/>
      <c r="BH770" s="31"/>
      <c r="BI770" s="116"/>
      <c r="BL770" s="196"/>
      <c r="BM770" s="239"/>
      <c r="BN770" s="330"/>
      <c r="BP770" s="330"/>
      <c r="BS770" s="116"/>
      <c r="BU770" s="331"/>
      <c r="BW770" s="116"/>
      <c r="BX770" s="116"/>
      <c r="BZ770" s="330"/>
      <c r="CB770" s="330"/>
      <c r="CC770" s="116"/>
      <c r="CG770" s="242"/>
      <c r="CH770" s="116"/>
      <c r="CI770" s="116"/>
      <c r="CJ770" s="116"/>
      <c r="CL770" s="116"/>
      <c r="CN770" s="239"/>
      <c r="CO770" s="153"/>
      <c r="DM770" s="116"/>
      <c r="DN770" s="116"/>
      <c r="DO770" s="116"/>
      <c r="DP770" s="116"/>
      <c r="DW770" s="116"/>
      <c r="DX770" s="219"/>
      <c r="DY770" s="219"/>
      <c r="DZ770" s="116"/>
      <c r="EA770" s="116"/>
      <c r="EB770" s="116"/>
      <c r="EC770" s="116"/>
      <c r="ED770" s="116"/>
      <c r="EF770" s="332"/>
      <c r="EG770" s="116"/>
      <c r="EH770" s="116"/>
      <c r="EI770" s="116"/>
      <c r="EJ770" s="116"/>
      <c r="EK770" s="116"/>
      <c r="EM770" s="116"/>
      <c r="EN770" s="116"/>
      <c r="EO770" s="116"/>
      <c r="EQ770" s="116"/>
      <c r="ER770" s="116"/>
      <c r="ES770" s="116"/>
      <c r="ET770" s="116"/>
      <c r="EU770" s="116"/>
      <c r="EV770" s="116"/>
      <c r="EX770" s="116"/>
      <c r="EY770" s="116"/>
      <c r="EZ770" s="116"/>
      <c r="FA770" s="116"/>
      <c r="FB770" s="116"/>
    </row>
    <row r="771" spans="5:158" ht="13">
      <c r="E771" s="153"/>
      <c r="T771" s="153"/>
      <c r="BD771" s="31"/>
      <c r="BE771" s="31"/>
      <c r="BF771" s="31"/>
      <c r="BG771" s="31"/>
      <c r="BH771" s="31"/>
      <c r="BI771" s="116"/>
      <c r="BL771" s="196"/>
      <c r="BM771" s="239"/>
      <c r="BN771" s="330"/>
      <c r="BP771" s="330"/>
      <c r="BS771" s="116"/>
      <c r="BU771" s="331"/>
      <c r="BW771" s="116"/>
      <c r="BX771" s="116"/>
      <c r="BZ771" s="330"/>
      <c r="CB771" s="330"/>
      <c r="CC771" s="116"/>
      <c r="CG771" s="242"/>
      <c r="CH771" s="116"/>
      <c r="CI771" s="116"/>
      <c r="CJ771" s="116"/>
      <c r="CL771" s="116"/>
      <c r="CN771" s="239"/>
      <c r="CO771" s="153"/>
      <c r="DM771" s="116"/>
      <c r="DN771" s="116"/>
      <c r="DO771" s="116"/>
      <c r="DP771" s="116"/>
      <c r="DW771" s="116"/>
      <c r="DX771" s="219"/>
      <c r="DY771" s="219"/>
      <c r="DZ771" s="116"/>
      <c r="EA771" s="116"/>
      <c r="EB771" s="116"/>
      <c r="EC771" s="116"/>
      <c r="ED771" s="116"/>
      <c r="EF771" s="332"/>
      <c r="EG771" s="116"/>
      <c r="EH771" s="116"/>
      <c r="EI771" s="116"/>
      <c r="EJ771" s="116"/>
      <c r="EK771" s="116"/>
      <c r="EM771" s="116"/>
      <c r="EN771" s="116"/>
      <c r="EO771" s="116"/>
      <c r="EQ771" s="116"/>
      <c r="ER771" s="116"/>
      <c r="ES771" s="116"/>
      <c r="ET771" s="116"/>
      <c r="EU771" s="116"/>
      <c r="EV771" s="116"/>
      <c r="EX771" s="116"/>
      <c r="EY771" s="116"/>
      <c r="EZ771" s="116"/>
      <c r="FA771" s="116"/>
      <c r="FB771" s="116"/>
    </row>
    <row r="772" spans="5:158" ht="13">
      <c r="E772" s="153"/>
      <c r="T772" s="153"/>
      <c r="BD772" s="31"/>
      <c r="BE772" s="31"/>
      <c r="BF772" s="31"/>
      <c r="BG772" s="31"/>
      <c r="BH772" s="31"/>
      <c r="BI772" s="116"/>
      <c r="BL772" s="196"/>
      <c r="BM772" s="239"/>
      <c r="BN772" s="330"/>
      <c r="BP772" s="330"/>
      <c r="BS772" s="116"/>
      <c r="BU772" s="331"/>
      <c r="BW772" s="116"/>
      <c r="BX772" s="116"/>
      <c r="BZ772" s="330"/>
      <c r="CB772" s="330"/>
      <c r="CC772" s="116"/>
      <c r="CG772" s="242"/>
      <c r="CH772" s="116"/>
      <c r="CI772" s="116"/>
      <c r="CJ772" s="116"/>
      <c r="CL772" s="116"/>
      <c r="CN772" s="239"/>
      <c r="CO772" s="153"/>
      <c r="DM772" s="116"/>
      <c r="DN772" s="116"/>
      <c r="DO772" s="116"/>
      <c r="DP772" s="116"/>
      <c r="DW772" s="116"/>
      <c r="DX772" s="219"/>
      <c r="DY772" s="219"/>
      <c r="DZ772" s="116"/>
      <c r="EA772" s="116"/>
      <c r="EB772" s="116"/>
      <c r="EC772" s="116"/>
      <c r="ED772" s="116"/>
      <c r="EF772" s="332"/>
      <c r="EG772" s="116"/>
      <c r="EH772" s="116"/>
      <c r="EI772" s="116"/>
      <c r="EJ772" s="116"/>
      <c r="EK772" s="116"/>
      <c r="EM772" s="116"/>
      <c r="EN772" s="116"/>
      <c r="EO772" s="116"/>
      <c r="EQ772" s="116"/>
      <c r="ER772" s="116"/>
      <c r="ES772" s="116"/>
      <c r="ET772" s="116"/>
      <c r="EU772" s="116"/>
      <c r="EV772" s="116"/>
      <c r="EX772" s="116"/>
      <c r="EY772" s="116"/>
      <c r="EZ772" s="116"/>
      <c r="FA772" s="116"/>
      <c r="FB772" s="116"/>
    </row>
    <row r="773" spans="5:158" ht="13">
      <c r="E773" s="153"/>
      <c r="T773" s="153"/>
      <c r="BD773" s="31"/>
      <c r="BE773" s="31"/>
      <c r="BF773" s="31"/>
      <c r="BG773" s="31"/>
      <c r="BH773" s="31"/>
      <c r="BI773" s="116"/>
      <c r="BL773" s="196"/>
      <c r="BM773" s="239"/>
      <c r="BN773" s="330"/>
      <c r="BP773" s="330"/>
      <c r="BS773" s="116"/>
      <c r="BU773" s="331"/>
      <c r="BW773" s="116"/>
      <c r="BX773" s="116"/>
      <c r="BZ773" s="330"/>
      <c r="CB773" s="330"/>
      <c r="CC773" s="116"/>
      <c r="CG773" s="242"/>
      <c r="CH773" s="116"/>
      <c r="CI773" s="116"/>
      <c r="CJ773" s="116"/>
      <c r="CL773" s="116"/>
      <c r="CN773" s="239"/>
      <c r="CO773" s="153"/>
      <c r="DM773" s="116"/>
      <c r="DN773" s="116"/>
      <c r="DO773" s="116"/>
      <c r="DP773" s="116"/>
      <c r="DW773" s="116"/>
      <c r="DX773" s="219"/>
      <c r="DY773" s="219"/>
      <c r="DZ773" s="116"/>
      <c r="EA773" s="116"/>
      <c r="EB773" s="116"/>
      <c r="EC773" s="116"/>
      <c r="ED773" s="116"/>
      <c r="EF773" s="332"/>
      <c r="EG773" s="116"/>
      <c r="EH773" s="116"/>
      <c r="EI773" s="116"/>
      <c r="EJ773" s="116"/>
      <c r="EK773" s="116"/>
      <c r="EM773" s="116"/>
      <c r="EN773" s="116"/>
      <c r="EO773" s="116"/>
      <c r="EQ773" s="116"/>
      <c r="ER773" s="116"/>
      <c r="ES773" s="116"/>
      <c r="ET773" s="116"/>
      <c r="EU773" s="116"/>
      <c r="EV773" s="116"/>
      <c r="EX773" s="116"/>
      <c r="EY773" s="116"/>
      <c r="EZ773" s="116"/>
      <c r="FA773" s="116"/>
      <c r="FB773" s="116"/>
    </row>
    <row r="774" spans="5:158" ht="13">
      <c r="E774" s="153"/>
      <c r="T774" s="153"/>
      <c r="BD774" s="31"/>
      <c r="BE774" s="31"/>
      <c r="BF774" s="31"/>
      <c r="BG774" s="31"/>
      <c r="BH774" s="31"/>
      <c r="BI774" s="116"/>
      <c r="BL774" s="196"/>
      <c r="BM774" s="239"/>
      <c r="BN774" s="330"/>
      <c r="BP774" s="330"/>
      <c r="BS774" s="116"/>
      <c r="BU774" s="331"/>
      <c r="BW774" s="116"/>
      <c r="BX774" s="116"/>
      <c r="BZ774" s="330"/>
      <c r="CB774" s="330"/>
      <c r="CC774" s="116"/>
      <c r="CG774" s="242"/>
      <c r="CH774" s="116"/>
      <c r="CI774" s="116"/>
      <c r="CJ774" s="116"/>
      <c r="CL774" s="116"/>
      <c r="CN774" s="239"/>
      <c r="CO774" s="153"/>
      <c r="DM774" s="116"/>
      <c r="DN774" s="116"/>
      <c r="DO774" s="116"/>
      <c r="DP774" s="116"/>
      <c r="DW774" s="116"/>
      <c r="DX774" s="219"/>
      <c r="DY774" s="219"/>
      <c r="DZ774" s="116"/>
      <c r="EA774" s="116"/>
      <c r="EB774" s="116"/>
      <c r="EC774" s="116"/>
      <c r="ED774" s="116"/>
      <c r="EF774" s="332"/>
      <c r="EG774" s="116"/>
      <c r="EH774" s="116"/>
      <c r="EI774" s="116"/>
      <c r="EJ774" s="116"/>
      <c r="EK774" s="116"/>
      <c r="EM774" s="116"/>
      <c r="EN774" s="116"/>
      <c r="EO774" s="116"/>
      <c r="EQ774" s="116"/>
      <c r="ER774" s="116"/>
      <c r="ES774" s="116"/>
      <c r="ET774" s="116"/>
      <c r="EU774" s="116"/>
      <c r="EV774" s="116"/>
      <c r="EX774" s="116"/>
      <c r="EY774" s="116"/>
      <c r="EZ774" s="116"/>
      <c r="FA774" s="116"/>
      <c r="FB774" s="116"/>
    </row>
    <row r="775" spans="5:158" ht="13">
      <c r="E775" s="153"/>
      <c r="T775" s="153"/>
      <c r="BD775" s="31"/>
      <c r="BE775" s="31"/>
      <c r="BF775" s="31"/>
      <c r="BG775" s="31"/>
      <c r="BH775" s="31"/>
      <c r="BI775" s="116"/>
      <c r="BL775" s="196"/>
      <c r="BM775" s="239"/>
      <c r="BN775" s="330"/>
      <c r="BP775" s="330"/>
      <c r="BS775" s="116"/>
      <c r="BU775" s="331"/>
      <c r="BW775" s="116"/>
      <c r="BX775" s="116"/>
      <c r="BZ775" s="330"/>
      <c r="CB775" s="330"/>
      <c r="CC775" s="116"/>
      <c r="CG775" s="242"/>
      <c r="CH775" s="116"/>
      <c r="CI775" s="116"/>
      <c r="CJ775" s="116"/>
      <c r="CL775" s="116"/>
      <c r="CN775" s="239"/>
      <c r="CO775" s="153"/>
      <c r="DM775" s="116"/>
      <c r="DN775" s="116"/>
      <c r="DO775" s="116"/>
      <c r="DP775" s="116"/>
      <c r="DW775" s="116"/>
      <c r="DX775" s="219"/>
      <c r="DY775" s="219"/>
      <c r="DZ775" s="116"/>
      <c r="EA775" s="116"/>
      <c r="EB775" s="116"/>
      <c r="EC775" s="116"/>
      <c r="ED775" s="116"/>
      <c r="EF775" s="332"/>
      <c r="EG775" s="116"/>
      <c r="EH775" s="116"/>
      <c r="EI775" s="116"/>
      <c r="EJ775" s="116"/>
      <c r="EK775" s="116"/>
      <c r="EM775" s="116"/>
      <c r="EN775" s="116"/>
      <c r="EO775" s="116"/>
      <c r="EQ775" s="116"/>
      <c r="ER775" s="116"/>
      <c r="ES775" s="116"/>
      <c r="ET775" s="116"/>
      <c r="EU775" s="116"/>
      <c r="EV775" s="116"/>
      <c r="EX775" s="116"/>
      <c r="EY775" s="116"/>
      <c r="EZ775" s="116"/>
      <c r="FA775" s="116"/>
      <c r="FB775" s="116"/>
    </row>
    <row r="776" spans="5:158" ht="13">
      <c r="E776" s="153"/>
      <c r="T776" s="153"/>
      <c r="BD776" s="31"/>
      <c r="BE776" s="31"/>
      <c r="BF776" s="31"/>
      <c r="BG776" s="31"/>
      <c r="BH776" s="31"/>
      <c r="BI776" s="116"/>
      <c r="BL776" s="196"/>
      <c r="BM776" s="239"/>
      <c r="BN776" s="330"/>
      <c r="BP776" s="330"/>
      <c r="BS776" s="116"/>
      <c r="BU776" s="331"/>
      <c r="BW776" s="116"/>
      <c r="BX776" s="116"/>
      <c r="BZ776" s="330"/>
      <c r="CB776" s="330"/>
      <c r="CC776" s="116"/>
      <c r="CG776" s="242"/>
      <c r="CH776" s="116"/>
      <c r="CI776" s="116"/>
      <c r="CJ776" s="116"/>
      <c r="CL776" s="116"/>
      <c r="CN776" s="239"/>
      <c r="CO776" s="153"/>
      <c r="DM776" s="116"/>
      <c r="DN776" s="116"/>
      <c r="DO776" s="116"/>
      <c r="DP776" s="116"/>
      <c r="DW776" s="116"/>
      <c r="DX776" s="219"/>
      <c r="DY776" s="219"/>
      <c r="DZ776" s="116"/>
      <c r="EA776" s="116"/>
      <c r="EB776" s="116"/>
      <c r="EC776" s="116"/>
      <c r="ED776" s="116"/>
      <c r="EF776" s="332"/>
      <c r="EG776" s="116"/>
      <c r="EH776" s="116"/>
      <c r="EI776" s="116"/>
      <c r="EJ776" s="116"/>
      <c r="EK776" s="116"/>
      <c r="EM776" s="116"/>
      <c r="EN776" s="116"/>
      <c r="EO776" s="116"/>
      <c r="EQ776" s="116"/>
      <c r="ER776" s="116"/>
      <c r="ES776" s="116"/>
      <c r="ET776" s="116"/>
      <c r="EU776" s="116"/>
      <c r="EV776" s="116"/>
      <c r="EX776" s="116"/>
      <c r="EY776" s="116"/>
      <c r="EZ776" s="116"/>
      <c r="FA776" s="116"/>
      <c r="FB776" s="116"/>
    </row>
    <row r="777" spans="5:158" ht="13">
      <c r="E777" s="153"/>
      <c r="T777" s="153"/>
      <c r="BD777" s="31"/>
      <c r="BE777" s="31"/>
      <c r="BF777" s="31"/>
      <c r="BG777" s="31"/>
      <c r="BH777" s="31"/>
      <c r="BI777" s="116"/>
      <c r="BL777" s="196"/>
      <c r="BM777" s="239"/>
      <c r="BN777" s="330"/>
      <c r="BP777" s="330"/>
      <c r="BS777" s="116"/>
      <c r="BU777" s="331"/>
      <c r="BW777" s="116"/>
      <c r="BX777" s="116"/>
      <c r="BZ777" s="330"/>
      <c r="CB777" s="330"/>
      <c r="CC777" s="116"/>
      <c r="CG777" s="242"/>
      <c r="CH777" s="116"/>
      <c r="CI777" s="116"/>
      <c r="CJ777" s="116"/>
      <c r="CL777" s="116"/>
      <c r="CN777" s="239"/>
      <c r="CO777" s="153"/>
      <c r="DM777" s="116"/>
      <c r="DN777" s="116"/>
      <c r="DO777" s="116"/>
      <c r="DP777" s="116"/>
      <c r="DW777" s="116"/>
      <c r="DX777" s="219"/>
      <c r="DY777" s="219"/>
      <c r="DZ777" s="116"/>
      <c r="EA777" s="116"/>
      <c r="EB777" s="116"/>
      <c r="EC777" s="116"/>
      <c r="ED777" s="116"/>
      <c r="EF777" s="332"/>
      <c r="EG777" s="116"/>
      <c r="EH777" s="116"/>
      <c r="EI777" s="116"/>
      <c r="EJ777" s="116"/>
      <c r="EK777" s="116"/>
      <c r="EM777" s="116"/>
      <c r="EN777" s="116"/>
      <c r="EO777" s="116"/>
      <c r="EQ777" s="116"/>
      <c r="ER777" s="116"/>
      <c r="ES777" s="116"/>
      <c r="ET777" s="116"/>
      <c r="EU777" s="116"/>
      <c r="EV777" s="116"/>
      <c r="EX777" s="116"/>
      <c r="EY777" s="116"/>
      <c r="EZ777" s="116"/>
      <c r="FA777" s="116"/>
      <c r="FB777" s="116"/>
    </row>
    <row r="778" spans="5:158" ht="13">
      <c r="E778" s="153"/>
      <c r="T778" s="153"/>
      <c r="BD778" s="31"/>
      <c r="BE778" s="31"/>
      <c r="BF778" s="31"/>
      <c r="BG778" s="31"/>
      <c r="BH778" s="31"/>
      <c r="BI778" s="116"/>
      <c r="BL778" s="196"/>
      <c r="BM778" s="239"/>
      <c r="BN778" s="330"/>
      <c r="BP778" s="330"/>
      <c r="BS778" s="116"/>
      <c r="BU778" s="331"/>
      <c r="BW778" s="116"/>
      <c r="BX778" s="116"/>
      <c r="BZ778" s="330"/>
      <c r="CB778" s="330"/>
      <c r="CC778" s="116"/>
      <c r="CG778" s="242"/>
      <c r="CH778" s="116"/>
      <c r="CI778" s="116"/>
      <c r="CJ778" s="116"/>
      <c r="CL778" s="116"/>
      <c r="CN778" s="239"/>
      <c r="CO778" s="153"/>
      <c r="DM778" s="116"/>
      <c r="DN778" s="116"/>
      <c r="DO778" s="116"/>
      <c r="DP778" s="116"/>
      <c r="DW778" s="116"/>
      <c r="DX778" s="219"/>
      <c r="DY778" s="219"/>
      <c r="DZ778" s="116"/>
      <c r="EA778" s="116"/>
      <c r="EB778" s="116"/>
      <c r="EC778" s="116"/>
      <c r="ED778" s="116"/>
      <c r="EF778" s="332"/>
      <c r="EG778" s="116"/>
      <c r="EH778" s="116"/>
      <c r="EI778" s="116"/>
      <c r="EJ778" s="116"/>
      <c r="EK778" s="116"/>
      <c r="EM778" s="116"/>
      <c r="EN778" s="116"/>
      <c r="EO778" s="116"/>
      <c r="EQ778" s="116"/>
      <c r="ER778" s="116"/>
      <c r="ES778" s="116"/>
      <c r="ET778" s="116"/>
      <c r="EU778" s="116"/>
      <c r="EV778" s="116"/>
      <c r="EX778" s="116"/>
      <c r="EY778" s="116"/>
      <c r="EZ778" s="116"/>
      <c r="FA778" s="116"/>
      <c r="FB778" s="116"/>
    </row>
    <row r="779" spans="5:158" ht="13">
      <c r="E779" s="153"/>
      <c r="T779" s="153"/>
      <c r="BD779" s="31"/>
      <c r="BE779" s="31"/>
      <c r="BF779" s="31"/>
      <c r="BG779" s="31"/>
      <c r="BH779" s="31"/>
      <c r="BI779" s="116"/>
      <c r="BL779" s="196"/>
      <c r="BM779" s="239"/>
      <c r="BN779" s="330"/>
      <c r="BP779" s="330"/>
      <c r="BS779" s="116"/>
      <c r="BU779" s="331"/>
      <c r="BW779" s="116"/>
      <c r="BX779" s="116"/>
      <c r="BZ779" s="330"/>
      <c r="CB779" s="330"/>
      <c r="CC779" s="116"/>
      <c r="CG779" s="242"/>
      <c r="CH779" s="116"/>
      <c r="CI779" s="116"/>
      <c r="CJ779" s="116"/>
      <c r="CL779" s="116"/>
      <c r="CN779" s="239"/>
      <c r="CO779" s="153"/>
      <c r="DM779" s="116"/>
      <c r="DN779" s="116"/>
      <c r="DO779" s="116"/>
      <c r="DP779" s="116"/>
      <c r="DW779" s="116"/>
      <c r="DX779" s="219"/>
      <c r="DY779" s="219"/>
      <c r="DZ779" s="116"/>
      <c r="EA779" s="116"/>
      <c r="EB779" s="116"/>
      <c r="EC779" s="116"/>
      <c r="ED779" s="116"/>
      <c r="EF779" s="332"/>
      <c r="EG779" s="116"/>
      <c r="EH779" s="116"/>
      <c r="EI779" s="116"/>
      <c r="EJ779" s="116"/>
      <c r="EK779" s="116"/>
      <c r="EM779" s="116"/>
      <c r="EN779" s="116"/>
      <c r="EO779" s="116"/>
      <c r="EQ779" s="116"/>
      <c r="ER779" s="116"/>
      <c r="ES779" s="116"/>
      <c r="ET779" s="116"/>
      <c r="EU779" s="116"/>
      <c r="EV779" s="116"/>
      <c r="EX779" s="116"/>
      <c r="EY779" s="116"/>
      <c r="EZ779" s="116"/>
      <c r="FA779" s="116"/>
      <c r="FB779" s="116"/>
    </row>
    <row r="780" spans="5:158" ht="13">
      <c r="E780" s="153"/>
      <c r="T780" s="153"/>
      <c r="BD780" s="31"/>
      <c r="BE780" s="31"/>
      <c r="BF780" s="31"/>
      <c r="BG780" s="31"/>
      <c r="BH780" s="31"/>
      <c r="BI780" s="116"/>
      <c r="BL780" s="196"/>
      <c r="BM780" s="239"/>
      <c r="BN780" s="330"/>
      <c r="BP780" s="330"/>
      <c r="BS780" s="116"/>
      <c r="BU780" s="331"/>
      <c r="BW780" s="116"/>
      <c r="BX780" s="116"/>
      <c r="BZ780" s="330"/>
      <c r="CB780" s="330"/>
      <c r="CC780" s="116"/>
      <c r="CG780" s="242"/>
      <c r="CH780" s="116"/>
      <c r="CI780" s="116"/>
      <c r="CJ780" s="116"/>
      <c r="CL780" s="116"/>
      <c r="CN780" s="239"/>
      <c r="CO780" s="153"/>
      <c r="DM780" s="116"/>
      <c r="DN780" s="116"/>
      <c r="DO780" s="116"/>
      <c r="DP780" s="116"/>
      <c r="DW780" s="116"/>
      <c r="DX780" s="219"/>
      <c r="DY780" s="219"/>
      <c r="DZ780" s="116"/>
      <c r="EA780" s="116"/>
      <c r="EB780" s="116"/>
      <c r="EC780" s="116"/>
      <c r="ED780" s="116"/>
      <c r="EF780" s="332"/>
      <c r="EG780" s="116"/>
      <c r="EH780" s="116"/>
      <c r="EI780" s="116"/>
      <c r="EJ780" s="116"/>
      <c r="EK780" s="116"/>
      <c r="EM780" s="116"/>
      <c r="EN780" s="116"/>
      <c r="EO780" s="116"/>
      <c r="EQ780" s="116"/>
      <c r="ER780" s="116"/>
      <c r="ES780" s="116"/>
      <c r="ET780" s="116"/>
      <c r="EU780" s="116"/>
      <c r="EV780" s="116"/>
      <c r="EX780" s="116"/>
      <c r="EY780" s="116"/>
      <c r="EZ780" s="116"/>
      <c r="FA780" s="116"/>
      <c r="FB780" s="116"/>
    </row>
    <row r="781" spans="5:158" ht="13">
      <c r="E781" s="153"/>
      <c r="T781" s="153"/>
      <c r="BD781" s="31"/>
      <c r="BE781" s="31"/>
      <c r="BF781" s="31"/>
      <c r="BG781" s="31"/>
      <c r="BH781" s="31"/>
      <c r="BI781" s="116"/>
      <c r="BL781" s="196"/>
      <c r="BM781" s="239"/>
      <c r="BN781" s="330"/>
      <c r="BP781" s="330"/>
      <c r="BS781" s="116"/>
      <c r="BU781" s="331"/>
      <c r="BW781" s="116"/>
      <c r="BX781" s="116"/>
      <c r="BZ781" s="330"/>
      <c r="CB781" s="330"/>
      <c r="CC781" s="116"/>
      <c r="CG781" s="242"/>
      <c r="CH781" s="116"/>
      <c r="CI781" s="116"/>
      <c r="CJ781" s="116"/>
      <c r="CL781" s="116"/>
      <c r="CN781" s="239"/>
      <c r="CO781" s="153"/>
      <c r="DM781" s="116"/>
      <c r="DN781" s="116"/>
      <c r="DO781" s="116"/>
      <c r="DP781" s="116"/>
      <c r="DW781" s="116"/>
      <c r="DX781" s="219"/>
      <c r="DY781" s="219"/>
      <c r="DZ781" s="116"/>
      <c r="EA781" s="116"/>
      <c r="EB781" s="116"/>
      <c r="EC781" s="116"/>
      <c r="ED781" s="116"/>
      <c r="EF781" s="332"/>
      <c r="EG781" s="116"/>
      <c r="EH781" s="116"/>
      <c r="EI781" s="116"/>
      <c r="EJ781" s="116"/>
      <c r="EK781" s="116"/>
      <c r="EM781" s="116"/>
      <c r="EN781" s="116"/>
      <c r="EO781" s="116"/>
      <c r="EQ781" s="116"/>
      <c r="ER781" s="116"/>
      <c r="ES781" s="116"/>
      <c r="ET781" s="116"/>
      <c r="EU781" s="116"/>
      <c r="EV781" s="116"/>
      <c r="EX781" s="116"/>
      <c r="EY781" s="116"/>
      <c r="EZ781" s="116"/>
      <c r="FA781" s="116"/>
      <c r="FB781" s="116"/>
    </row>
    <row r="782" spans="5:158" ht="13">
      <c r="E782" s="153"/>
      <c r="T782" s="153"/>
      <c r="BD782" s="31"/>
      <c r="BE782" s="31"/>
      <c r="BF782" s="31"/>
      <c r="BG782" s="31"/>
      <c r="BH782" s="31"/>
      <c r="BI782" s="116"/>
      <c r="BL782" s="196"/>
      <c r="BM782" s="239"/>
      <c r="BN782" s="330"/>
      <c r="BP782" s="330"/>
      <c r="BS782" s="116"/>
      <c r="BU782" s="331"/>
      <c r="BW782" s="116"/>
      <c r="BX782" s="116"/>
      <c r="BZ782" s="330"/>
      <c r="CB782" s="330"/>
      <c r="CC782" s="116"/>
      <c r="CG782" s="242"/>
      <c r="CH782" s="116"/>
      <c r="CI782" s="116"/>
      <c r="CJ782" s="116"/>
      <c r="CL782" s="116"/>
      <c r="CN782" s="239"/>
      <c r="CO782" s="153"/>
      <c r="DM782" s="116"/>
      <c r="DN782" s="116"/>
      <c r="DO782" s="116"/>
      <c r="DP782" s="116"/>
      <c r="DW782" s="116"/>
      <c r="DX782" s="219"/>
      <c r="DY782" s="219"/>
      <c r="DZ782" s="116"/>
      <c r="EA782" s="116"/>
      <c r="EB782" s="116"/>
      <c r="EC782" s="116"/>
      <c r="ED782" s="116"/>
      <c r="EF782" s="332"/>
      <c r="EG782" s="116"/>
      <c r="EH782" s="116"/>
      <c r="EI782" s="116"/>
      <c r="EJ782" s="116"/>
      <c r="EK782" s="116"/>
      <c r="EM782" s="116"/>
      <c r="EN782" s="116"/>
      <c r="EO782" s="116"/>
      <c r="EQ782" s="116"/>
      <c r="ER782" s="116"/>
      <c r="ES782" s="116"/>
      <c r="ET782" s="116"/>
      <c r="EU782" s="116"/>
      <c r="EV782" s="116"/>
      <c r="EX782" s="116"/>
      <c r="EY782" s="116"/>
      <c r="EZ782" s="116"/>
      <c r="FA782" s="116"/>
      <c r="FB782" s="116"/>
    </row>
    <row r="783" spans="5:158" ht="13">
      <c r="E783" s="153"/>
      <c r="T783" s="153"/>
      <c r="BD783" s="31"/>
      <c r="BE783" s="31"/>
      <c r="BF783" s="31"/>
      <c r="BG783" s="31"/>
      <c r="BH783" s="31"/>
      <c r="BI783" s="116"/>
      <c r="BL783" s="196"/>
      <c r="BM783" s="239"/>
      <c r="BN783" s="330"/>
      <c r="BP783" s="330"/>
      <c r="BS783" s="116"/>
      <c r="BU783" s="331"/>
      <c r="BW783" s="116"/>
      <c r="BX783" s="116"/>
      <c r="BZ783" s="330"/>
      <c r="CB783" s="330"/>
      <c r="CC783" s="116"/>
      <c r="CG783" s="242"/>
      <c r="CH783" s="116"/>
      <c r="CI783" s="116"/>
      <c r="CJ783" s="116"/>
      <c r="CL783" s="116"/>
      <c r="CN783" s="239"/>
      <c r="CO783" s="153"/>
      <c r="DM783" s="116"/>
      <c r="DN783" s="116"/>
      <c r="DO783" s="116"/>
      <c r="DP783" s="116"/>
      <c r="DW783" s="116"/>
      <c r="DX783" s="219"/>
      <c r="DY783" s="219"/>
      <c r="DZ783" s="116"/>
      <c r="EA783" s="116"/>
      <c r="EB783" s="116"/>
      <c r="EC783" s="116"/>
      <c r="ED783" s="116"/>
      <c r="EF783" s="332"/>
      <c r="EG783" s="116"/>
      <c r="EH783" s="116"/>
      <c r="EI783" s="116"/>
      <c r="EJ783" s="116"/>
      <c r="EK783" s="116"/>
      <c r="EM783" s="116"/>
      <c r="EN783" s="116"/>
      <c r="EO783" s="116"/>
      <c r="EQ783" s="116"/>
      <c r="ER783" s="116"/>
      <c r="ES783" s="116"/>
      <c r="ET783" s="116"/>
      <c r="EU783" s="116"/>
      <c r="EV783" s="116"/>
      <c r="EX783" s="116"/>
      <c r="EY783" s="116"/>
      <c r="EZ783" s="116"/>
      <c r="FA783" s="116"/>
      <c r="FB783" s="116"/>
    </row>
    <row r="784" spans="5:158" ht="13">
      <c r="E784" s="153"/>
      <c r="T784" s="153"/>
      <c r="BD784" s="31"/>
      <c r="BE784" s="31"/>
      <c r="BF784" s="31"/>
      <c r="BG784" s="31"/>
      <c r="BH784" s="31"/>
      <c r="BI784" s="116"/>
      <c r="BL784" s="196"/>
      <c r="BM784" s="239"/>
      <c r="BN784" s="330"/>
      <c r="BP784" s="330"/>
      <c r="BS784" s="116"/>
      <c r="BU784" s="331"/>
      <c r="BW784" s="116"/>
      <c r="BX784" s="116"/>
      <c r="BZ784" s="330"/>
      <c r="CB784" s="330"/>
      <c r="CC784" s="116"/>
      <c r="CG784" s="242"/>
      <c r="CH784" s="116"/>
      <c r="CI784" s="116"/>
      <c r="CJ784" s="116"/>
      <c r="CL784" s="116"/>
      <c r="CN784" s="239"/>
      <c r="CO784" s="153"/>
      <c r="DM784" s="116"/>
      <c r="DN784" s="116"/>
      <c r="DO784" s="116"/>
      <c r="DP784" s="116"/>
      <c r="DW784" s="116"/>
      <c r="DX784" s="219"/>
      <c r="DY784" s="219"/>
      <c r="DZ784" s="116"/>
      <c r="EA784" s="116"/>
      <c r="EB784" s="116"/>
      <c r="EC784" s="116"/>
      <c r="ED784" s="116"/>
      <c r="EF784" s="332"/>
      <c r="EG784" s="116"/>
      <c r="EH784" s="116"/>
      <c r="EI784" s="116"/>
      <c r="EJ784" s="116"/>
      <c r="EK784" s="116"/>
      <c r="EM784" s="116"/>
      <c r="EN784" s="116"/>
      <c r="EO784" s="116"/>
      <c r="EQ784" s="116"/>
      <c r="ER784" s="116"/>
      <c r="ES784" s="116"/>
      <c r="ET784" s="116"/>
      <c r="EU784" s="116"/>
      <c r="EV784" s="116"/>
      <c r="EX784" s="116"/>
      <c r="EY784" s="116"/>
      <c r="EZ784" s="116"/>
      <c r="FA784" s="116"/>
      <c r="FB784" s="116"/>
    </row>
    <row r="785" spans="5:158" ht="13">
      <c r="E785" s="153"/>
      <c r="T785" s="153"/>
      <c r="BD785" s="31"/>
      <c r="BE785" s="31"/>
      <c r="BF785" s="31"/>
      <c r="BG785" s="31"/>
      <c r="BH785" s="31"/>
      <c r="BI785" s="116"/>
      <c r="BL785" s="196"/>
      <c r="BM785" s="239"/>
      <c r="BN785" s="330"/>
      <c r="BP785" s="330"/>
      <c r="BS785" s="116"/>
      <c r="BU785" s="331"/>
      <c r="BW785" s="116"/>
      <c r="BX785" s="116"/>
      <c r="BZ785" s="330"/>
      <c r="CB785" s="330"/>
      <c r="CC785" s="116"/>
      <c r="CG785" s="242"/>
      <c r="CH785" s="116"/>
      <c r="CI785" s="116"/>
      <c r="CJ785" s="116"/>
      <c r="CL785" s="116"/>
      <c r="CN785" s="239"/>
      <c r="CO785" s="153"/>
      <c r="DM785" s="116"/>
      <c r="DN785" s="116"/>
      <c r="DO785" s="116"/>
      <c r="DP785" s="116"/>
      <c r="DW785" s="116"/>
      <c r="DX785" s="219"/>
      <c r="DY785" s="219"/>
      <c r="DZ785" s="116"/>
      <c r="EA785" s="116"/>
      <c r="EB785" s="116"/>
      <c r="EC785" s="116"/>
      <c r="ED785" s="116"/>
      <c r="EF785" s="332"/>
      <c r="EG785" s="116"/>
      <c r="EH785" s="116"/>
      <c r="EI785" s="116"/>
      <c r="EJ785" s="116"/>
      <c r="EK785" s="116"/>
      <c r="EM785" s="116"/>
      <c r="EN785" s="116"/>
      <c r="EO785" s="116"/>
      <c r="EQ785" s="116"/>
      <c r="ER785" s="116"/>
      <c r="ES785" s="116"/>
      <c r="ET785" s="116"/>
      <c r="EU785" s="116"/>
      <c r="EV785" s="116"/>
      <c r="EX785" s="116"/>
      <c r="EY785" s="116"/>
      <c r="EZ785" s="116"/>
      <c r="FA785" s="116"/>
      <c r="FB785" s="116"/>
    </row>
    <row r="786" spans="5:158" ht="13">
      <c r="E786" s="153"/>
      <c r="T786" s="153"/>
      <c r="BD786" s="31"/>
      <c r="BE786" s="31"/>
      <c r="BF786" s="31"/>
      <c r="BG786" s="31"/>
      <c r="BH786" s="31"/>
      <c r="BI786" s="116"/>
      <c r="BL786" s="196"/>
      <c r="BM786" s="239"/>
      <c r="BN786" s="330"/>
      <c r="BP786" s="330"/>
      <c r="BS786" s="116"/>
      <c r="BU786" s="331"/>
      <c r="BW786" s="116"/>
      <c r="BX786" s="116"/>
      <c r="BZ786" s="330"/>
      <c r="CB786" s="330"/>
      <c r="CC786" s="116"/>
      <c r="CG786" s="242"/>
      <c r="CH786" s="116"/>
      <c r="CI786" s="116"/>
      <c r="CJ786" s="116"/>
      <c r="CL786" s="116"/>
      <c r="CN786" s="239"/>
      <c r="CO786" s="153"/>
      <c r="DM786" s="116"/>
      <c r="DN786" s="116"/>
      <c r="DO786" s="116"/>
      <c r="DP786" s="116"/>
      <c r="DW786" s="116"/>
      <c r="DX786" s="219"/>
      <c r="DY786" s="219"/>
      <c r="DZ786" s="116"/>
      <c r="EA786" s="116"/>
      <c r="EB786" s="116"/>
      <c r="EC786" s="116"/>
      <c r="ED786" s="116"/>
      <c r="EF786" s="332"/>
      <c r="EG786" s="116"/>
      <c r="EH786" s="116"/>
      <c r="EI786" s="116"/>
      <c r="EJ786" s="116"/>
      <c r="EK786" s="116"/>
      <c r="EM786" s="116"/>
      <c r="EN786" s="116"/>
      <c r="EO786" s="116"/>
      <c r="EQ786" s="116"/>
      <c r="ER786" s="116"/>
      <c r="ES786" s="116"/>
      <c r="ET786" s="116"/>
      <c r="EU786" s="116"/>
      <c r="EV786" s="116"/>
      <c r="EX786" s="116"/>
      <c r="EY786" s="116"/>
      <c r="EZ786" s="116"/>
      <c r="FA786" s="116"/>
      <c r="FB786" s="116"/>
    </row>
    <row r="787" spans="5:158" ht="13">
      <c r="E787" s="153"/>
      <c r="T787" s="153"/>
      <c r="BD787" s="31"/>
      <c r="BE787" s="31"/>
      <c r="BF787" s="31"/>
      <c r="BG787" s="31"/>
      <c r="BH787" s="31"/>
      <c r="BI787" s="116"/>
      <c r="BL787" s="196"/>
      <c r="BM787" s="239"/>
      <c r="BN787" s="330"/>
      <c r="BP787" s="330"/>
      <c r="BS787" s="116"/>
      <c r="BU787" s="331"/>
      <c r="BW787" s="116"/>
      <c r="BX787" s="116"/>
      <c r="BZ787" s="330"/>
      <c r="CB787" s="330"/>
      <c r="CC787" s="116"/>
      <c r="CG787" s="242"/>
      <c r="CH787" s="116"/>
      <c r="CI787" s="116"/>
      <c r="CJ787" s="116"/>
      <c r="CL787" s="116"/>
      <c r="CN787" s="239"/>
      <c r="CO787" s="153"/>
      <c r="DM787" s="116"/>
      <c r="DN787" s="116"/>
      <c r="DO787" s="116"/>
      <c r="DP787" s="116"/>
      <c r="DW787" s="116"/>
      <c r="DX787" s="219"/>
      <c r="DY787" s="219"/>
      <c r="DZ787" s="116"/>
      <c r="EA787" s="116"/>
      <c r="EB787" s="116"/>
      <c r="EC787" s="116"/>
      <c r="ED787" s="116"/>
      <c r="EF787" s="332"/>
      <c r="EG787" s="116"/>
      <c r="EH787" s="116"/>
      <c r="EI787" s="116"/>
      <c r="EJ787" s="116"/>
      <c r="EK787" s="116"/>
      <c r="EM787" s="116"/>
      <c r="EN787" s="116"/>
      <c r="EO787" s="116"/>
      <c r="EQ787" s="116"/>
      <c r="ER787" s="116"/>
      <c r="ES787" s="116"/>
      <c r="ET787" s="116"/>
      <c r="EU787" s="116"/>
      <c r="EV787" s="116"/>
      <c r="EX787" s="116"/>
      <c r="EY787" s="116"/>
      <c r="EZ787" s="116"/>
      <c r="FA787" s="116"/>
      <c r="FB787" s="116"/>
    </row>
    <row r="788" spans="5:158" ht="13">
      <c r="E788" s="153"/>
      <c r="T788" s="153"/>
      <c r="BD788" s="31"/>
      <c r="BE788" s="31"/>
      <c r="BF788" s="31"/>
      <c r="BG788" s="31"/>
      <c r="BH788" s="31"/>
      <c r="BI788" s="116"/>
      <c r="BL788" s="196"/>
      <c r="BM788" s="239"/>
      <c r="BN788" s="330"/>
      <c r="BP788" s="330"/>
      <c r="BS788" s="116"/>
      <c r="BU788" s="331"/>
      <c r="BW788" s="116"/>
      <c r="BX788" s="116"/>
      <c r="BZ788" s="330"/>
      <c r="CB788" s="330"/>
      <c r="CC788" s="116"/>
      <c r="CG788" s="242"/>
      <c r="CH788" s="116"/>
      <c r="CI788" s="116"/>
      <c r="CJ788" s="116"/>
      <c r="CL788" s="116"/>
      <c r="CN788" s="239"/>
      <c r="CO788" s="153"/>
      <c r="DM788" s="116"/>
      <c r="DN788" s="116"/>
      <c r="DO788" s="116"/>
      <c r="DP788" s="116"/>
      <c r="DW788" s="116"/>
      <c r="DX788" s="219"/>
      <c r="DY788" s="219"/>
      <c r="DZ788" s="116"/>
      <c r="EA788" s="116"/>
      <c r="EB788" s="116"/>
      <c r="EC788" s="116"/>
      <c r="ED788" s="116"/>
      <c r="EF788" s="332"/>
      <c r="EG788" s="116"/>
      <c r="EH788" s="116"/>
      <c r="EI788" s="116"/>
      <c r="EJ788" s="116"/>
      <c r="EK788" s="116"/>
      <c r="EM788" s="116"/>
      <c r="EN788" s="116"/>
      <c r="EO788" s="116"/>
      <c r="EQ788" s="116"/>
      <c r="ER788" s="116"/>
      <c r="ES788" s="116"/>
      <c r="ET788" s="116"/>
      <c r="EU788" s="116"/>
      <c r="EV788" s="116"/>
      <c r="EX788" s="116"/>
      <c r="EY788" s="116"/>
      <c r="EZ788" s="116"/>
      <c r="FA788" s="116"/>
      <c r="FB788" s="116"/>
    </row>
    <row r="789" spans="5:158" ht="13">
      <c r="E789" s="153"/>
      <c r="T789" s="153"/>
      <c r="BD789" s="31"/>
      <c r="BE789" s="31"/>
      <c r="BF789" s="31"/>
      <c r="BG789" s="31"/>
      <c r="BH789" s="31"/>
      <c r="BI789" s="116"/>
      <c r="BL789" s="196"/>
      <c r="BM789" s="239"/>
      <c r="BN789" s="330"/>
      <c r="BP789" s="330"/>
      <c r="BS789" s="116"/>
      <c r="BU789" s="331"/>
      <c r="BW789" s="116"/>
      <c r="BX789" s="116"/>
      <c r="BZ789" s="330"/>
      <c r="CB789" s="330"/>
      <c r="CC789" s="116"/>
      <c r="CG789" s="242"/>
      <c r="CH789" s="116"/>
      <c r="CI789" s="116"/>
      <c r="CJ789" s="116"/>
      <c r="CL789" s="116"/>
      <c r="CN789" s="239"/>
      <c r="CO789" s="153"/>
      <c r="DM789" s="116"/>
      <c r="DN789" s="116"/>
      <c r="DO789" s="116"/>
      <c r="DP789" s="116"/>
      <c r="DW789" s="116"/>
      <c r="DX789" s="219"/>
      <c r="DY789" s="219"/>
      <c r="DZ789" s="116"/>
      <c r="EA789" s="116"/>
      <c r="EB789" s="116"/>
      <c r="EC789" s="116"/>
      <c r="ED789" s="116"/>
      <c r="EF789" s="332"/>
      <c r="EG789" s="116"/>
      <c r="EH789" s="116"/>
      <c r="EI789" s="116"/>
      <c r="EJ789" s="116"/>
      <c r="EK789" s="116"/>
      <c r="EM789" s="116"/>
      <c r="EN789" s="116"/>
      <c r="EO789" s="116"/>
      <c r="EQ789" s="116"/>
      <c r="ER789" s="116"/>
      <c r="ES789" s="116"/>
      <c r="ET789" s="116"/>
      <c r="EU789" s="116"/>
      <c r="EV789" s="116"/>
      <c r="EX789" s="116"/>
      <c r="EY789" s="116"/>
      <c r="EZ789" s="116"/>
      <c r="FA789" s="116"/>
      <c r="FB789" s="116"/>
    </row>
    <row r="790" spans="5:158" ht="13">
      <c r="E790" s="153"/>
      <c r="T790" s="153"/>
      <c r="BD790" s="31"/>
      <c r="BE790" s="31"/>
      <c r="BF790" s="31"/>
      <c r="BG790" s="31"/>
      <c r="BH790" s="31"/>
      <c r="BI790" s="116"/>
      <c r="BL790" s="196"/>
      <c r="BM790" s="239"/>
      <c r="BN790" s="330"/>
      <c r="BP790" s="330"/>
      <c r="BS790" s="116"/>
      <c r="BU790" s="331"/>
      <c r="BW790" s="116"/>
      <c r="BX790" s="116"/>
      <c r="BZ790" s="330"/>
      <c r="CB790" s="330"/>
      <c r="CC790" s="116"/>
      <c r="CG790" s="242"/>
      <c r="CH790" s="116"/>
      <c r="CI790" s="116"/>
      <c r="CJ790" s="116"/>
      <c r="CL790" s="116"/>
      <c r="CN790" s="239"/>
      <c r="CO790" s="153"/>
      <c r="DM790" s="116"/>
      <c r="DN790" s="116"/>
      <c r="DO790" s="116"/>
      <c r="DP790" s="116"/>
      <c r="DW790" s="116"/>
      <c r="DX790" s="219"/>
      <c r="DY790" s="219"/>
      <c r="DZ790" s="116"/>
      <c r="EA790" s="116"/>
      <c r="EB790" s="116"/>
      <c r="EC790" s="116"/>
      <c r="ED790" s="116"/>
      <c r="EF790" s="332"/>
      <c r="EG790" s="116"/>
      <c r="EH790" s="116"/>
      <c r="EI790" s="116"/>
      <c r="EJ790" s="116"/>
      <c r="EK790" s="116"/>
      <c r="EM790" s="116"/>
      <c r="EN790" s="116"/>
      <c r="EO790" s="116"/>
      <c r="EQ790" s="116"/>
      <c r="ER790" s="116"/>
      <c r="ES790" s="116"/>
      <c r="ET790" s="116"/>
      <c r="EU790" s="116"/>
      <c r="EV790" s="116"/>
      <c r="EX790" s="116"/>
      <c r="EY790" s="116"/>
      <c r="EZ790" s="116"/>
      <c r="FA790" s="116"/>
      <c r="FB790" s="116"/>
    </row>
    <row r="791" spans="5:158" ht="13">
      <c r="E791" s="153"/>
      <c r="T791" s="153"/>
      <c r="BD791" s="31"/>
      <c r="BE791" s="31"/>
      <c r="BF791" s="31"/>
      <c r="BG791" s="31"/>
      <c r="BH791" s="31"/>
      <c r="BI791" s="116"/>
      <c r="BL791" s="196"/>
      <c r="BM791" s="239"/>
      <c r="BN791" s="330"/>
      <c r="BP791" s="330"/>
      <c r="BS791" s="116"/>
      <c r="BU791" s="331"/>
      <c r="BW791" s="116"/>
      <c r="BX791" s="116"/>
      <c r="BZ791" s="330"/>
      <c r="CB791" s="330"/>
      <c r="CC791" s="116"/>
      <c r="CG791" s="242"/>
      <c r="CH791" s="116"/>
      <c r="CI791" s="116"/>
      <c r="CJ791" s="116"/>
      <c r="CL791" s="116"/>
      <c r="CN791" s="239"/>
      <c r="CO791" s="153"/>
      <c r="DM791" s="116"/>
      <c r="DN791" s="116"/>
      <c r="DO791" s="116"/>
      <c r="DP791" s="116"/>
      <c r="DW791" s="116"/>
      <c r="DX791" s="219"/>
      <c r="DY791" s="219"/>
      <c r="DZ791" s="116"/>
      <c r="EA791" s="116"/>
      <c r="EB791" s="116"/>
      <c r="EC791" s="116"/>
      <c r="ED791" s="116"/>
      <c r="EF791" s="332"/>
      <c r="EG791" s="116"/>
      <c r="EH791" s="116"/>
      <c r="EI791" s="116"/>
      <c r="EJ791" s="116"/>
      <c r="EK791" s="116"/>
      <c r="EM791" s="116"/>
      <c r="EN791" s="116"/>
      <c r="EO791" s="116"/>
      <c r="EQ791" s="116"/>
      <c r="ER791" s="116"/>
      <c r="ES791" s="116"/>
      <c r="ET791" s="116"/>
      <c r="EU791" s="116"/>
      <c r="EV791" s="116"/>
      <c r="EX791" s="116"/>
      <c r="EY791" s="116"/>
      <c r="EZ791" s="116"/>
      <c r="FA791" s="116"/>
      <c r="FB791" s="116"/>
    </row>
    <row r="792" spans="5:158" ht="13">
      <c r="E792" s="153"/>
      <c r="T792" s="153"/>
      <c r="BD792" s="31"/>
      <c r="BE792" s="31"/>
      <c r="BF792" s="31"/>
      <c r="BG792" s="31"/>
      <c r="BH792" s="31"/>
      <c r="BI792" s="116"/>
      <c r="BL792" s="196"/>
      <c r="BM792" s="239"/>
      <c r="BN792" s="330"/>
      <c r="BP792" s="330"/>
      <c r="BS792" s="116"/>
      <c r="BU792" s="331"/>
      <c r="BW792" s="116"/>
      <c r="BX792" s="116"/>
      <c r="BZ792" s="330"/>
      <c r="CB792" s="330"/>
      <c r="CC792" s="116"/>
      <c r="CG792" s="242"/>
      <c r="CH792" s="116"/>
      <c r="CI792" s="116"/>
      <c r="CJ792" s="116"/>
      <c r="CL792" s="116"/>
      <c r="CN792" s="239"/>
      <c r="CO792" s="153"/>
      <c r="DM792" s="116"/>
      <c r="DN792" s="116"/>
      <c r="DO792" s="116"/>
      <c r="DP792" s="116"/>
      <c r="DW792" s="116"/>
      <c r="DX792" s="219"/>
      <c r="DY792" s="219"/>
      <c r="DZ792" s="116"/>
      <c r="EA792" s="116"/>
      <c r="EB792" s="116"/>
      <c r="EC792" s="116"/>
      <c r="ED792" s="116"/>
      <c r="EF792" s="332"/>
      <c r="EG792" s="116"/>
      <c r="EH792" s="116"/>
      <c r="EI792" s="116"/>
      <c r="EJ792" s="116"/>
      <c r="EK792" s="116"/>
      <c r="EM792" s="116"/>
      <c r="EN792" s="116"/>
      <c r="EO792" s="116"/>
      <c r="EQ792" s="116"/>
      <c r="ER792" s="116"/>
      <c r="ES792" s="116"/>
      <c r="ET792" s="116"/>
      <c r="EU792" s="116"/>
      <c r="EV792" s="116"/>
      <c r="EX792" s="116"/>
      <c r="EY792" s="116"/>
      <c r="EZ792" s="116"/>
      <c r="FA792" s="116"/>
      <c r="FB792" s="116"/>
    </row>
    <row r="793" spans="5:158" ht="13">
      <c r="E793" s="153"/>
      <c r="T793" s="153"/>
      <c r="BD793" s="31"/>
      <c r="BE793" s="31"/>
      <c r="BF793" s="31"/>
      <c r="BG793" s="31"/>
      <c r="BH793" s="31"/>
      <c r="BI793" s="116"/>
      <c r="BL793" s="196"/>
      <c r="BM793" s="239"/>
      <c r="BN793" s="330"/>
      <c r="BP793" s="330"/>
      <c r="BS793" s="116"/>
      <c r="BU793" s="331"/>
      <c r="BW793" s="116"/>
      <c r="BX793" s="116"/>
      <c r="BZ793" s="330"/>
      <c r="CB793" s="330"/>
      <c r="CC793" s="116"/>
      <c r="CG793" s="242"/>
      <c r="CH793" s="116"/>
      <c r="CI793" s="116"/>
      <c r="CJ793" s="116"/>
      <c r="CL793" s="116"/>
      <c r="CN793" s="239"/>
      <c r="CO793" s="153"/>
      <c r="DM793" s="116"/>
      <c r="DN793" s="116"/>
      <c r="DO793" s="116"/>
      <c r="DP793" s="116"/>
      <c r="DW793" s="116"/>
      <c r="DX793" s="219"/>
      <c r="DY793" s="219"/>
      <c r="DZ793" s="116"/>
      <c r="EA793" s="116"/>
      <c r="EB793" s="116"/>
      <c r="EC793" s="116"/>
      <c r="ED793" s="116"/>
      <c r="EF793" s="332"/>
      <c r="EG793" s="116"/>
      <c r="EH793" s="116"/>
      <c r="EI793" s="116"/>
      <c r="EJ793" s="116"/>
      <c r="EK793" s="116"/>
      <c r="EM793" s="116"/>
      <c r="EN793" s="116"/>
      <c r="EO793" s="116"/>
      <c r="EQ793" s="116"/>
      <c r="ER793" s="116"/>
      <c r="ES793" s="116"/>
      <c r="ET793" s="116"/>
      <c r="EU793" s="116"/>
      <c r="EV793" s="116"/>
      <c r="EX793" s="116"/>
      <c r="EY793" s="116"/>
      <c r="EZ793" s="116"/>
      <c r="FA793" s="116"/>
      <c r="FB793" s="116"/>
    </row>
    <row r="794" spans="5:158" ht="13">
      <c r="E794" s="153"/>
      <c r="T794" s="153"/>
      <c r="BD794" s="31"/>
      <c r="BE794" s="31"/>
      <c r="BF794" s="31"/>
      <c r="BG794" s="31"/>
      <c r="BH794" s="31"/>
      <c r="BI794" s="116"/>
      <c r="BL794" s="196"/>
      <c r="BM794" s="239"/>
      <c r="BN794" s="330"/>
      <c r="BP794" s="330"/>
      <c r="BS794" s="116"/>
      <c r="BU794" s="331"/>
      <c r="BW794" s="116"/>
      <c r="BX794" s="116"/>
      <c r="BZ794" s="330"/>
      <c r="CB794" s="330"/>
      <c r="CC794" s="116"/>
      <c r="CG794" s="242"/>
      <c r="CH794" s="116"/>
      <c r="CI794" s="116"/>
      <c r="CJ794" s="116"/>
      <c r="CL794" s="116"/>
      <c r="CN794" s="239"/>
      <c r="CO794" s="153"/>
      <c r="DM794" s="116"/>
      <c r="DN794" s="116"/>
      <c r="DO794" s="116"/>
      <c r="DP794" s="116"/>
      <c r="DW794" s="116"/>
      <c r="DX794" s="219"/>
      <c r="DY794" s="219"/>
      <c r="DZ794" s="116"/>
      <c r="EA794" s="116"/>
      <c r="EB794" s="116"/>
      <c r="EC794" s="116"/>
      <c r="ED794" s="116"/>
      <c r="EF794" s="332"/>
      <c r="EG794" s="116"/>
      <c r="EH794" s="116"/>
      <c r="EI794" s="116"/>
      <c r="EJ794" s="116"/>
      <c r="EK794" s="116"/>
      <c r="EM794" s="116"/>
      <c r="EN794" s="116"/>
      <c r="EO794" s="116"/>
      <c r="EQ794" s="116"/>
      <c r="ER794" s="116"/>
      <c r="ES794" s="116"/>
      <c r="ET794" s="116"/>
      <c r="EU794" s="116"/>
      <c r="EV794" s="116"/>
      <c r="EX794" s="116"/>
      <c r="EY794" s="116"/>
      <c r="EZ794" s="116"/>
      <c r="FA794" s="116"/>
      <c r="FB794" s="116"/>
    </row>
    <row r="795" spans="5:158" ht="13">
      <c r="E795" s="153"/>
      <c r="T795" s="153"/>
      <c r="BD795" s="31"/>
      <c r="BE795" s="31"/>
      <c r="BF795" s="31"/>
      <c r="BG795" s="31"/>
      <c r="BH795" s="31"/>
      <c r="BI795" s="116"/>
      <c r="BL795" s="196"/>
      <c r="BM795" s="239"/>
      <c r="BN795" s="330"/>
      <c r="BP795" s="330"/>
      <c r="BS795" s="116"/>
      <c r="BU795" s="331"/>
      <c r="BW795" s="116"/>
      <c r="BX795" s="116"/>
      <c r="BZ795" s="330"/>
      <c r="CB795" s="330"/>
      <c r="CC795" s="116"/>
      <c r="CG795" s="242"/>
      <c r="CH795" s="116"/>
      <c r="CI795" s="116"/>
      <c r="CJ795" s="116"/>
      <c r="CL795" s="116"/>
      <c r="CN795" s="239"/>
      <c r="CO795" s="153"/>
      <c r="DM795" s="116"/>
      <c r="DN795" s="116"/>
      <c r="DO795" s="116"/>
      <c r="DP795" s="116"/>
      <c r="DW795" s="116"/>
      <c r="DX795" s="219"/>
      <c r="DY795" s="219"/>
      <c r="DZ795" s="116"/>
      <c r="EA795" s="116"/>
      <c r="EB795" s="116"/>
      <c r="EC795" s="116"/>
      <c r="ED795" s="116"/>
      <c r="EF795" s="332"/>
      <c r="EG795" s="116"/>
      <c r="EH795" s="116"/>
      <c r="EI795" s="116"/>
      <c r="EJ795" s="116"/>
      <c r="EK795" s="116"/>
      <c r="EM795" s="116"/>
      <c r="EN795" s="116"/>
      <c r="EO795" s="116"/>
      <c r="EQ795" s="116"/>
      <c r="ER795" s="116"/>
      <c r="ES795" s="116"/>
      <c r="ET795" s="116"/>
      <c r="EU795" s="116"/>
      <c r="EV795" s="116"/>
      <c r="EX795" s="116"/>
      <c r="EY795" s="116"/>
      <c r="EZ795" s="116"/>
      <c r="FA795" s="116"/>
      <c r="FB795" s="116"/>
    </row>
    <row r="796" spans="5:158" ht="13">
      <c r="E796" s="153"/>
      <c r="T796" s="153"/>
      <c r="BD796" s="31"/>
      <c r="BE796" s="31"/>
      <c r="BF796" s="31"/>
      <c r="BG796" s="31"/>
      <c r="BH796" s="31"/>
      <c r="BI796" s="116"/>
      <c r="BL796" s="196"/>
      <c r="BM796" s="239"/>
      <c r="BN796" s="330"/>
      <c r="BP796" s="330"/>
      <c r="BS796" s="116"/>
      <c r="BU796" s="331"/>
      <c r="BW796" s="116"/>
      <c r="BX796" s="116"/>
      <c r="BZ796" s="330"/>
      <c r="CB796" s="330"/>
      <c r="CC796" s="116"/>
      <c r="CG796" s="242"/>
      <c r="CH796" s="116"/>
      <c r="CI796" s="116"/>
      <c r="CJ796" s="116"/>
      <c r="CL796" s="116"/>
      <c r="CN796" s="239"/>
      <c r="CO796" s="153"/>
      <c r="DM796" s="116"/>
      <c r="DN796" s="116"/>
      <c r="DO796" s="116"/>
      <c r="DP796" s="116"/>
      <c r="DW796" s="116"/>
      <c r="DX796" s="219"/>
      <c r="DY796" s="219"/>
      <c r="DZ796" s="116"/>
      <c r="EA796" s="116"/>
      <c r="EB796" s="116"/>
      <c r="EC796" s="116"/>
      <c r="ED796" s="116"/>
      <c r="EF796" s="332"/>
      <c r="EG796" s="116"/>
      <c r="EH796" s="116"/>
      <c r="EI796" s="116"/>
      <c r="EJ796" s="116"/>
      <c r="EK796" s="116"/>
      <c r="EM796" s="116"/>
      <c r="EN796" s="116"/>
      <c r="EO796" s="116"/>
      <c r="EQ796" s="116"/>
      <c r="ER796" s="116"/>
      <c r="ES796" s="116"/>
      <c r="ET796" s="116"/>
      <c r="EU796" s="116"/>
      <c r="EV796" s="116"/>
      <c r="EX796" s="116"/>
      <c r="EY796" s="116"/>
      <c r="EZ796" s="116"/>
      <c r="FA796" s="116"/>
      <c r="FB796" s="116"/>
    </row>
    <row r="797" spans="5:158" ht="13">
      <c r="E797" s="153"/>
      <c r="T797" s="153"/>
      <c r="BD797" s="31"/>
      <c r="BE797" s="31"/>
      <c r="BF797" s="31"/>
      <c r="BG797" s="31"/>
      <c r="BH797" s="31"/>
      <c r="BI797" s="116"/>
      <c r="BL797" s="196"/>
      <c r="BM797" s="239"/>
      <c r="BN797" s="330"/>
      <c r="BP797" s="330"/>
      <c r="BS797" s="116"/>
      <c r="BU797" s="331"/>
      <c r="BW797" s="116"/>
      <c r="BX797" s="116"/>
      <c r="BZ797" s="330"/>
      <c r="CB797" s="330"/>
      <c r="CC797" s="116"/>
      <c r="CG797" s="242"/>
      <c r="CH797" s="116"/>
      <c r="CI797" s="116"/>
      <c r="CJ797" s="116"/>
      <c r="CL797" s="116"/>
      <c r="CN797" s="239"/>
      <c r="CO797" s="153"/>
      <c r="DM797" s="116"/>
      <c r="DN797" s="116"/>
      <c r="DO797" s="116"/>
      <c r="DP797" s="116"/>
      <c r="DW797" s="116"/>
      <c r="DX797" s="219"/>
      <c r="DY797" s="219"/>
      <c r="DZ797" s="116"/>
      <c r="EA797" s="116"/>
      <c r="EB797" s="116"/>
      <c r="EC797" s="116"/>
      <c r="ED797" s="116"/>
      <c r="EF797" s="332"/>
      <c r="EG797" s="116"/>
      <c r="EH797" s="116"/>
      <c r="EI797" s="116"/>
      <c r="EJ797" s="116"/>
      <c r="EK797" s="116"/>
      <c r="EM797" s="116"/>
      <c r="EN797" s="116"/>
      <c r="EO797" s="116"/>
      <c r="EQ797" s="116"/>
      <c r="ER797" s="116"/>
      <c r="ES797" s="116"/>
      <c r="ET797" s="116"/>
      <c r="EU797" s="116"/>
      <c r="EV797" s="116"/>
      <c r="EX797" s="116"/>
      <c r="EY797" s="116"/>
      <c r="EZ797" s="116"/>
      <c r="FA797" s="116"/>
      <c r="FB797" s="116"/>
    </row>
    <row r="798" spans="5:158" ht="13">
      <c r="E798" s="153"/>
      <c r="T798" s="153"/>
      <c r="BD798" s="31"/>
      <c r="BE798" s="31"/>
      <c r="BF798" s="31"/>
      <c r="BG798" s="31"/>
      <c r="BH798" s="31"/>
      <c r="BI798" s="116"/>
      <c r="BL798" s="196"/>
      <c r="BM798" s="239"/>
      <c r="BN798" s="330"/>
      <c r="BP798" s="330"/>
      <c r="BS798" s="116"/>
      <c r="BU798" s="331"/>
      <c r="BW798" s="116"/>
      <c r="BX798" s="116"/>
      <c r="BZ798" s="330"/>
      <c r="CB798" s="330"/>
      <c r="CC798" s="116"/>
      <c r="CG798" s="242"/>
      <c r="CH798" s="116"/>
      <c r="CI798" s="116"/>
      <c r="CJ798" s="116"/>
      <c r="CL798" s="116"/>
      <c r="CN798" s="239"/>
      <c r="CO798" s="153"/>
      <c r="DM798" s="116"/>
      <c r="DN798" s="116"/>
      <c r="DO798" s="116"/>
      <c r="DP798" s="116"/>
      <c r="DW798" s="116"/>
      <c r="DX798" s="219"/>
      <c r="DY798" s="219"/>
      <c r="DZ798" s="116"/>
      <c r="EA798" s="116"/>
      <c r="EB798" s="116"/>
      <c r="EC798" s="116"/>
      <c r="ED798" s="116"/>
      <c r="EF798" s="332"/>
      <c r="EG798" s="116"/>
      <c r="EH798" s="116"/>
      <c r="EI798" s="116"/>
      <c r="EJ798" s="116"/>
      <c r="EK798" s="116"/>
      <c r="EM798" s="116"/>
      <c r="EN798" s="116"/>
      <c r="EO798" s="116"/>
      <c r="EQ798" s="116"/>
      <c r="ER798" s="116"/>
      <c r="ES798" s="116"/>
      <c r="ET798" s="116"/>
      <c r="EU798" s="116"/>
      <c r="EV798" s="116"/>
      <c r="EX798" s="116"/>
      <c r="EY798" s="116"/>
      <c r="EZ798" s="116"/>
      <c r="FA798" s="116"/>
      <c r="FB798" s="116"/>
    </row>
    <row r="799" spans="5:158" ht="13">
      <c r="E799" s="153"/>
      <c r="T799" s="153"/>
      <c r="BD799" s="31"/>
      <c r="BE799" s="31"/>
      <c r="BF799" s="31"/>
      <c r="BG799" s="31"/>
      <c r="BH799" s="31"/>
      <c r="BI799" s="116"/>
      <c r="BL799" s="196"/>
      <c r="BM799" s="239"/>
      <c r="BN799" s="330"/>
      <c r="BP799" s="330"/>
      <c r="BS799" s="116"/>
      <c r="BU799" s="331"/>
      <c r="BW799" s="116"/>
      <c r="BX799" s="116"/>
      <c r="BZ799" s="330"/>
      <c r="CB799" s="330"/>
      <c r="CC799" s="116"/>
      <c r="CG799" s="242"/>
      <c r="CH799" s="116"/>
      <c r="CI799" s="116"/>
      <c r="CJ799" s="116"/>
      <c r="CL799" s="116"/>
      <c r="CN799" s="239"/>
      <c r="CO799" s="153"/>
      <c r="DM799" s="116"/>
      <c r="DN799" s="116"/>
      <c r="DO799" s="116"/>
      <c r="DP799" s="116"/>
      <c r="DW799" s="116"/>
      <c r="DX799" s="219"/>
      <c r="DY799" s="219"/>
      <c r="DZ799" s="116"/>
      <c r="EA799" s="116"/>
      <c r="EB799" s="116"/>
      <c r="EC799" s="116"/>
      <c r="ED799" s="116"/>
      <c r="EF799" s="332"/>
      <c r="EG799" s="116"/>
      <c r="EH799" s="116"/>
      <c r="EI799" s="116"/>
      <c r="EJ799" s="116"/>
      <c r="EK799" s="116"/>
      <c r="EM799" s="116"/>
      <c r="EN799" s="116"/>
      <c r="EO799" s="116"/>
      <c r="EQ799" s="116"/>
      <c r="ER799" s="116"/>
      <c r="ES799" s="116"/>
      <c r="ET799" s="116"/>
      <c r="EU799" s="116"/>
      <c r="EV799" s="116"/>
      <c r="EX799" s="116"/>
      <c r="EY799" s="116"/>
      <c r="EZ799" s="116"/>
      <c r="FA799" s="116"/>
      <c r="FB799" s="116"/>
    </row>
    <row r="800" spans="5:158" ht="13">
      <c r="E800" s="153"/>
      <c r="T800" s="153"/>
      <c r="BD800" s="31"/>
      <c r="BE800" s="31"/>
      <c r="BF800" s="31"/>
      <c r="BG800" s="31"/>
      <c r="BH800" s="31"/>
      <c r="BI800" s="116"/>
      <c r="BL800" s="196"/>
      <c r="BM800" s="239"/>
      <c r="BN800" s="330"/>
      <c r="BP800" s="330"/>
      <c r="BS800" s="116"/>
      <c r="BU800" s="331"/>
      <c r="BW800" s="116"/>
      <c r="BX800" s="116"/>
      <c r="BZ800" s="330"/>
      <c r="CB800" s="330"/>
      <c r="CC800" s="116"/>
      <c r="CG800" s="242"/>
      <c r="CH800" s="116"/>
      <c r="CI800" s="116"/>
      <c r="CJ800" s="116"/>
      <c r="CL800" s="116"/>
      <c r="CN800" s="239"/>
      <c r="CO800" s="153"/>
      <c r="DM800" s="116"/>
      <c r="DN800" s="116"/>
      <c r="DO800" s="116"/>
      <c r="DP800" s="116"/>
      <c r="DW800" s="116"/>
      <c r="DX800" s="219"/>
      <c r="DY800" s="219"/>
      <c r="DZ800" s="116"/>
      <c r="EA800" s="116"/>
      <c r="EB800" s="116"/>
      <c r="EC800" s="116"/>
      <c r="ED800" s="116"/>
      <c r="EF800" s="332"/>
      <c r="EG800" s="116"/>
      <c r="EH800" s="116"/>
      <c r="EI800" s="116"/>
      <c r="EJ800" s="116"/>
      <c r="EK800" s="116"/>
      <c r="EM800" s="116"/>
      <c r="EN800" s="116"/>
      <c r="EO800" s="116"/>
      <c r="EQ800" s="116"/>
      <c r="ER800" s="116"/>
      <c r="ES800" s="116"/>
      <c r="ET800" s="116"/>
      <c r="EU800" s="116"/>
      <c r="EV800" s="116"/>
      <c r="EX800" s="116"/>
      <c r="EY800" s="116"/>
      <c r="EZ800" s="116"/>
      <c r="FA800" s="116"/>
      <c r="FB800" s="116"/>
    </row>
    <row r="801" spans="5:158" ht="13">
      <c r="E801" s="153"/>
      <c r="T801" s="153"/>
      <c r="BD801" s="31"/>
      <c r="BE801" s="31"/>
      <c r="BF801" s="31"/>
      <c r="BG801" s="31"/>
      <c r="BH801" s="31"/>
      <c r="BI801" s="116"/>
      <c r="BL801" s="196"/>
      <c r="BM801" s="239"/>
      <c r="BN801" s="330"/>
      <c r="BP801" s="330"/>
      <c r="BS801" s="116"/>
      <c r="BU801" s="331"/>
      <c r="BW801" s="116"/>
      <c r="BX801" s="116"/>
      <c r="BZ801" s="330"/>
      <c r="CB801" s="330"/>
      <c r="CC801" s="116"/>
      <c r="CG801" s="242"/>
      <c r="CH801" s="116"/>
      <c r="CI801" s="116"/>
      <c r="CJ801" s="116"/>
      <c r="CL801" s="116"/>
      <c r="CN801" s="239"/>
      <c r="CO801" s="153"/>
      <c r="DM801" s="116"/>
      <c r="DN801" s="116"/>
      <c r="DO801" s="116"/>
      <c r="DP801" s="116"/>
      <c r="DW801" s="116"/>
      <c r="DX801" s="219"/>
      <c r="DY801" s="219"/>
      <c r="DZ801" s="116"/>
      <c r="EA801" s="116"/>
      <c r="EB801" s="116"/>
      <c r="EC801" s="116"/>
      <c r="ED801" s="116"/>
      <c r="EF801" s="332"/>
      <c r="EG801" s="116"/>
      <c r="EH801" s="116"/>
      <c r="EI801" s="116"/>
      <c r="EJ801" s="116"/>
      <c r="EK801" s="116"/>
      <c r="EM801" s="116"/>
      <c r="EN801" s="116"/>
      <c r="EO801" s="116"/>
      <c r="EQ801" s="116"/>
      <c r="ER801" s="116"/>
      <c r="ES801" s="116"/>
      <c r="ET801" s="116"/>
      <c r="EU801" s="116"/>
      <c r="EV801" s="116"/>
      <c r="EX801" s="116"/>
      <c r="EY801" s="116"/>
      <c r="EZ801" s="116"/>
      <c r="FA801" s="116"/>
      <c r="FB801" s="116"/>
    </row>
    <row r="802" spans="5:158" ht="13">
      <c r="E802" s="153"/>
      <c r="T802" s="153"/>
      <c r="BD802" s="31"/>
      <c r="BE802" s="31"/>
      <c r="BF802" s="31"/>
      <c r="BG802" s="31"/>
      <c r="BH802" s="31"/>
      <c r="BI802" s="116"/>
      <c r="BL802" s="196"/>
      <c r="BM802" s="239"/>
      <c r="BN802" s="330"/>
      <c r="BP802" s="330"/>
      <c r="BS802" s="116"/>
      <c r="BU802" s="331"/>
      <c r="BW802" s="116"/>
      <c r="BX802" s="116"/>
      <c r="BZ802" s="330"/>
      <c r="CB802" s="330"/>
      <c r="CC802" s="116"/>
      <c r="CG802" s="242"/>
      <c r="CH802" s="116"/>
      <c r="CI802" s="116"/>
      <c r="CJ802" s="116"/>
      <c r="CL802" s="116"/>
      <c r="CN802" s="239"/>
      <c r="CO802" s="153"/>
      <c r="DM802" s="116"/>
      <c r="DN802" s="116"/>
      <c r="DO802" s="116"/>
      <c r="DP802" s="116"/>
      <c r="DW802" s="116"/>
      <c r="DX802" s="219"/>
      <c r="DY802" s="219"/>
      <c r="DZ802" s="116"/>
      <c r="EA802" s="116"/>
      <c r="EB802" s="116"/>
      <c r="EC802" s="116"/>
      <c r="ED802" s="116"/>
      <c r="EF802" s="332"/>
      <c r="EG802" s="116"/>
      <c r="EH802" s="116"/>
      <c r="EI802" s="116"/>
      <c r="EJ802" s="116"/>
      <c r="EK802" s="116"/>
      <c r="EM802" s="116"/>
      <c r="EN802" s="116"/>
      <c r="EO802" s="116"/>
      <c r="EQ802" s="116"/>
      <c r="ER802" s="116"/>
      <c r="ES802" s="116"/>
      <c r="ET802" s="116"/>
      <c r="EU802" s="116"/>
      <c r="EV802" s="116"/>
      <c r="EX802" s="116"/>
      <c r="EY802" s="116"/>
      <c r="EZ802" s="116"/>
      <c r="FA802" s="116"/>
      <c r="FB802" s="116"/>
    </row>
    <row r="803" spans="5:158" ht="13">
      <c r="E803" s="153"/>
      <c r="T803" s="153"/>
      <c r="BD803" s="31"/>
      <c r="BE803" s="31"/>
      <c r="BF803" s="31"/>
      <c r="BG803" s="31"/>
      <c r="BH803" s="31"/>
      <c r="BI803" s="116"/>
      <c r="BL803" s="196"/>
      <c r="BM803" s="239"/>
      <c r="BN803" s="330"/>
      <c r="BP803" s="330"/>
      <c r="BS803" s="116"/>
      <c r="BU803" s="331"/>
      <c r="BW803" s="116"/>
      <c r="BX803" s="116"/>
      <c r="BZ803" s="330"/>
      <c r="CB803" s="330"/>
      <c r="CC803" s="116"/>
      <c r="CG803" s="242"/>
      <c r="CH803" s="116"/>
      <c r="CI803" s="116"/>
      <c r="CJ803" s="116"/>
      <c r="CL803" s="116"/>
      <c r="CN803" s="239"/>
      <c r="CO803" s="153"/>
      <c r="DM803" s="116"/>
      <c r="DN803" s="116"/>
      <c r="DO803" s="116"/>
      <c r="DP803" s="116"/>
      <c r="DW803" s="116"/>
      <c r="DX803" s="219"/>
      <c r="DY803" s="219"/>
      <c r="DZ803" s="116"/>
      <c r="EA803" s="116"/>
      <c r="EB803" s="116"/>
      <c r="EC803" s="116"/>
      <c r="ED803" s="116"/>
      <c r="EF803" s="332"/>
      <c r="EG803" s="116"/>
      <c r="EH803" s="116"/>
      <c r="EI803" s="116"/>
      <c r="EJ803" s="116"/>
      <c r="EK803" s="116"/>
      <c r="EM803" s="116"/>
      <c r="EN803" s="116"/>
      <c r="EO803" s="116"/>
      <c r="EQ803" s="116"/>
      <c r="ER803" s="116"/>
      <c r="ES803" s="116"/>
      <c r="ET803" s="116"/>
      <c r="EU803" s="116"/>
      <c r="EV803" s="116"/>
      <c r="EX803" s="116"/>
      <c r="EY803" s="116"/>
      <c r="EZ803" s="116"/>
      <c r="FA803" s="116"/>
      <c r="FB803" s="116"/>
    </row>
    <row r="804" spans="5:158" ht="13">
      <c r="E804" s="153"/>
      <c r="T804" s="153"/>
      <c r="BD804" s="31"/>
      <c r="BE804" s="31"/>
      <c r="BF804" s="31"/>
      <c r="BG804" s="31"/>
      <c r="BH804" s="31"/>
      <c r="BI804" s="116"/>
      <c r="BL804" s="196"/>
      <c r="BM804" s="239"/>
      <c r="BN804" s="330"/>
      <c r="BP804" s="330"/>
      <c r="BS804" s="116"/>
      <c r="BU804" s="331"/>
      <c r="BW804" s="116"/>
      <c r="BX804" s="116"/>
      <c r="BZ804" s="330"/>
      <c r="CB804" s="330"/>
      <c r="CC804" s="116"/>
      <c r="CG804" s="242"/>
      <c r="CH804" s="116"/>
      <c r="CI804" s="116"/>
      <c r="CJ804" s="116"/>
      <c r="CL804" s="116"/>
      <c r="CN804" s="239"/>
      <c r="CO804" s="153"/>
      <c r="DM804" s="116"/>
      <c r="DN804" s="116"/>
      <c r="DO804" s="116"/>
      <c r="DP804" s="116"/>
      <c r="DW804" s="116"/>
      <c r="DX804" s="219"/>
      <c r="DY804" s="219"/>
      <c r="DZ804" s="116"/>
      <c r="EA804" s="116"/>
      <c r="EB804" s="116"/>
      <c r="EC804" s="116"/>
      <c r="ED804" s="116"/>
      <c r="EF804" s="332"/>
      <c r="EG804" s="116"/>
      <c r="EH804" s="116"/>
      <c r="EI804" s="116"/>
      <c r="EJ804" s="116"/>
      <c r="EK804" s="116"/>
      <c r="EM804" s="116"/>
      <c r="EN804" s="116"/>
      <c r="EO804" s="116"/>
      <c r="EQ804" s="116"/>
      <c r="ER804" s="116"/>
      <c r="ES804" s="116"/>
      <c r="ET804" s="116"/>
      <c r="EU804" s="116"/>
      <c r="EV804" s="116"/>
      <c r="EX804" s="116"/>
      <c r="EY804" s="116"/>
      <c r="EZ804" s="116"/>
      <c r="FA804" s="116"/>
      <c r="FB804" s="116"/>
    </row>
    <row r="805" spans="5:158" ht="13">
      <c r="E805" s="153"/>
      <c r="T805" s="153"/>
      <c r="BD805" s="31"/>
      <c r="BE805" s="31"/>
      <c r="BF805" s="31"/>
      <c r="BG805" s="31"/>
      <c r="BH805" s="31"/>
      <c r="BI805" s="116"/>
      <c r="BL805" s="196"/>
      <c r="BM805" s="239"/>
      <c r="BN805" s="330"/>
      <c r="BP805" s="330"/>
      <c r="BS805" s="116"/>
      <c r="BU805" s="331"/>
      <c r="BW805" s="116"/>
      <c r="BX805" s="116"/>
      <c r="BZ805" s="330"/>
      <c r="CB805" s="330"/>
      <c r="CC805" s="116"/>
      <c r="CG805" s="242"/>
      <c r="CH805" s="116"/>
      <c r="CI805" s="116"/>
      <c r="CJ805" s="116"/>
      <c r="CL805" s="116"/>
      <c r="CN805" s="239"/>
      <c r="CO805" s="153"/>
      <c r="DM805" s="116"/>
      <c r="DN805" s="116"/>
      <c r="DO805" s="116"/>
      <c r="DP805" s="116"/>
      <c r="DW805" s="116"/>
      <c r="DX805" s="219"/>
      <c r="DY805" s="219"/>
      <c r="DZ805" s="116"/>
      <c r="EA805" s="116"/>
      <c r="EB805" s="116"/>
      <c r="EC805" s="116"/>
      <c r="ED805" s="116"/>
      <c r="EF805" s="332"/>
      <c r="EG805" s="116"/>
      <c r="EH805" s="116"/>
      <c r="EI805" s="116"/>
      <c r="EJ805" s="116"/>
      <c r="EK805" s="116"/>
      <c r="EM805" s="116"/>
      <c r="EN805" s="116"/>
      <c r="EO805" s="116"/>
      <c r="EQ805" s="116"/>
      <c r="ER805" s="116"/>
      <c r="ES805" s="116"/>
      <c r="ET805" s="116"/>
      <c r="EU805" s="116"/>
      <c r="EV805" s="116"/>
      <c r="EX805" s="116"/>
      <c r="EY805" s="116"/>
      <c r="EZ805" s="116"/>
      <c r="FA805" s="116"/>
      <c r="FB805" s="116"/>
    </row>
    <row r="806" spans="5:158" ht="13">
      <c r="E806" s="153"/>
      <c r="T806" s="153"/>
      <c r="BD806" s="31"/>
      <c r="BE806" s="31"/>
      <c r="BF806" s="31"/>
      <c r="BG806" s="31"/>
      <c r="BH806" s="31"/>
      <c r="BI806" s="116"/>
      <c r="BL806" s="196"/>
      <c r="BM806" s="239"/>
      <c r="BN806" s="330"/>
      <c r="BP806" s="330"/>
      <c r="BS806" s="116"/>
      <c r="BU806" s="331"/>
      <c r="BW806" s="116"/>
      <c r="BX806" s="116"/>
      <c r="BZ806" s="330"/>
      <c r="CB806" s="330"/>
      <c r="CC806" s="116"/>
      <c r="CG806" s="242"/>
      <c r="CH806" s="116"/>
      <c r="CI806" s="116"/>
      <c r="CJ806" s="116"/>
      <c r="CL806" s="116"/>
      <c r="CN806" s="239"/>
      <c r="CO806" s="153"/>
      <c r="DM806" s="116"/>
      <c r="DN806" s="116"/>
      <c r="DO806" s="116"/>
      <c r="DP806" s="116"/>
      <c r="DW806" s="116"/>
      <c r="DX806" s="219"/>
      <c r="DY806" s="219"/>
      <c r="DZ806" s="116"/>
      <c r="EA806" s="116"/>
      <c r="EB806" s="116"/>
      <c r="EC806" s="116"/>
      <c r="ED806" s="116"/>
      <c r="EF806" s="332"/>
      <c r="EG806" s="116"/>
      <c r="EH806" s="116"/>
      <c r="EI806" s="116"/>
      <c r="EJ806" s="116"/>
      <c r="EK806" s="116"/>
      <c r="EM806" s="116"/>
      <c r="EN806" s="116"/>
      <c r="EO806" s="116"/>
      <c r="EQ806" s="116"/>
      <c r="ER806" s="116"/>
      <c r="ES806" s="116"/>
      <c r="ET806" s="116"/>
      <c r="EU806" s="116"/>
      <c r="EV806" s="116"/>
      <c r="EX806" s="116"/>
      <c r="EY806" s="116"/>
      <c r="EZ806" s="116"/>
      <c r="FA806" s="116"/>
      <c r="FB806" s="116"/>
    </row>
    <row r="807" spans="5:158" ht="13">
      <c r="E807" s="153"/>
      <c r="T807" s="153"/>
      <c r="BD807" s="31"/>
      <c r="BE807" s="31"/>
      <c r="BF807" s="31"/>
      <c r="BG807" s="31"/>
      <c r="BH807" s="31"/>
      <c r="BI807" s="116"/>
      <c r="BL807" s="196"/>
      <c r="BM807" s="239"/>
      <c r="BN807" s="330"/>
      <c r="BP807" s="330"/>
      <c r="BS807" s="116"/>
      <c r="BU807" s="331"/>
      <c r="BW807" s="116"/>
      <c r="BX807" s="116"/>
      <c r="BZ807" s="330"/>
      <c r="CB807" s="330"/>
      <c r="CC807" s="116"/>
      <c r="CG807" s="242"/>
      <c r="CH807" s="116"/>
      <c r="CI807" s="116"/>
      <c r="CJ807" s="116"/>
      <c r="CL807" s="116"/>
      <c r="CN807" s="239"/>
      <c r="CO807" s="153"/>
      <c r="DM807" s="116"/>
      <c r="DN807" s="116"/>
      <c r="DO807" s="116"/>
      <c r="DP807" s="116"/>
      <c r="DW807" s="116"/>
      <c r="DX807" s="219"/>
      <c r="DY807" s="219"/>
      <c r="DZ807" s="116"/>
      <c r="EA807" s="116"/>
      <c r="EB807" s="116"/>
      <c r="EC807" s="116"/>
      <c r="ED807" s="116"/>
      <c r="EF807" s="332"/>
      <c r="EG807" s="116"/>
      <c r="EH807" s="116"/>
      <c r="EI807" s="116"/>
      <c r="EJ807" s="116"/>
      <c r="EK807" s="116"/>
      <c r="EM807" s="116"/>
      <c r="EN807" s="116"/>
      <c r="EO807" s="116"/>
      <c r="EQ807" s="116"/>
      <c r="ER807" s="116"/>
      <c r="ES807" s="116"/>
      <c r="ET807" s="116"/>
      <c r="EU807" s="116"/>
      <c r="EV807" s="116"/>
      <c r="EX807" s="116"/>
      <c r="EY807" s="116"/>
      <c r="EZ807" s="116"/>
      <c r="FA807" s="116"/>
      <c r="FB807" s="116"/>
    </row>
    <row r="808" spans="5:158" ht="13">
      <c r="E808" s="153"/>
      <c r="T808" s="153"/>
      <c r="BD808" s="31"/>
      <c r="BE808" s="31"/>
      <c r="BF808" s="31"/>
      <c r="BG808" s="31"/>
      <c r="BH808" s="31"/>
      <c r="BI808" s="116"/>
      <c r="BL808" s="196"/>
      <c r="BM808" s="239"/>
      <c r="BN808" s="330"/>
      <c r="BP808" s="330"/>
      <c r="BS808" s="116"/>
      <c r="BU808" s="331"/>
      <c r="BW808" s="116"/>
      <c r="BX808" s="116"/>
      <c r="BZ808" s="330"/>
      <c r="CB808" s="330"/>
      <c r="CC808" s="116"/>
      <c r="CG808" s="242"/>
      <c r="CH808" s="116"/>
      <c r="CI808" s="116"/>
      <c r="CJ808" s="116"/>
      <c r="CL808" s="116"/>
      <c r="CN808" s="239"/>
      <c r="CO808" s="153"/>
      <c r="DM808" s="116"/>
      <c r="DN808" s="116"/>
      <c r="DO808" s="116"/>
      <c r="DP808" s="116"/>
      <c r="DW808" s="116"/>
      <c r="DX808" s="219"/>
      <c r="DY808" s="219"/>
      <c r="DZ808" s="116"/>
      <c r="EA808" s="116"/>
      <c r="EB808" s="116"/>
      <c r="EC808" s="116"/>
      <c r="ED808" s="116"/>
      <c r="EF808" s="332"/>
      <c r="EG808" s="116"/>
      <c r="EH808" s="116"/>
      <c r="EI808" s="116"/>
      <c r="EJ808" s="116"/>
      <c r="EK808" s="116"/>
      <c r="EM808" s="116"/>
      <c r="EN808" s="116"/>
      <c r="EO808" s="116"/>
      <c r="EQ808" s="116"/>
      <c r="ER808" s="116"/>
      <c r="ES808" s="116"/>
      <c r="ET808" s="116"/>
      <c r="EU808" s="116"/>
      <c r="EV808" s="116"/>
      <c r="EX808" s="116"/>
      <c r="EY808" s="116"/>
      <c r="EZ808" s="116"/>
      <c r="FA808" s="116"/>
      <c r="FB808" s="116"/>
    </row>
    <row r="809" spans="5:158" ht="13">
      <c r="E809" s="153"/>
      <c r="T809" s="153"/>
      <c r="BD809" s="31"/>
      <c r="BE809" s="31"/>
      <c r="BF809" s="31"/>
      <c r="BG809" s="31"/>
      <c r="BH809" s="31"/>
      <c r="BI809" s="116"/>
      <c r="BL809" s="196"/>
      <c r="BM809" s="239"/>
      <c r="BN809" s="330"/>
      <c r="BP809" s="330"/>
      <c r="BS809" s="116"/>
      <c r="BU809" s="331"/>
      <c r="BW809" s="116"/>
      <c r="BX809" s="116"/>
      <c r="BZ809" s="330"/>
      <c r="CB809" s="330"/>
      <c r="CC809" s="116"/>
      <c r="CG809" s="242"/>
      <c r="CH809" s="116"/>
      <c r="CI809" s="116"/>
      <c r="CJ809" s="116"/>
      <c r="CL809" s="116"/>
      <c r="CN809" s="239"/>
      <c r="CO809" s="153"/>
      <c r="DM809" s="116"/>
      <c r="DN809" s="116"/>
      <c r="DO809" s="116"/>
      <c r="DP809" s="116"/>
      <c r="DW809" s="116"/>
      <c r="DX809" s="219"/>
      <c r="DY809" s="219"/>
      <c r="DZ809" s="116"/>
      <c r="EA809" s="116"/>
      <c r="EB809" s="116"/>
      <c r="EC809" s="116"/>
      <c r="ED809" s="116"/>
      <c r="EF809" s="332"/>
      <c r="EG809" s="116"/>
      <c r="EH809" s="116"/>
      <c r="EI809" s="116"/>
      <c r="EJ809" s="116"/>
      <c r="EK809" s="116"/>
      <c r="EM809" s="116"/>
      <c r="EN809" s="116"/>
      <c r="EO809" s="116"/>
      <c r="EQ809" s="116"/>
      <c r="ER809" s="116"/>
      <c r="ES809" s="116"/>
      <c r="ET809" s="116"/>
      <c r="EU809" s="116"/>
      <c r="EV809" s="116"/>
      <c r="EX809" s="116"/>
      <c r="EY809" s="116"/>
      <c r="EZ809" s="116"/>
      <c r="FA809" s="116"/>
      <c r="FB809" s="116"/>
    </row>
    <row r="810" spans="5:158" ht="13">
      <c r="E810" s="153"/>
      <c r="T810" s="153"/>
      <c r="BD810" s="31"/>
      <c r="BE810" s="31"/>
      <c r="BF810" s="31"/>
      <c r="BG810" s="31"/>
      <c r="BH810" s="31"/>
      <c r="BI810" s="116"/>
      <c r="BL810" s="196"/>
      <c r="BM810" s="239"/>
      <c r="BN810" s="330"/>
      <c r="BP810" s="330"/>
      <c r="BS810" s="116"/>
      <c r="BU810" s="331"/>
      <c r="BW810" s="116"/>
      <c r="BX810" s="116"/>
      <c r="BZ810" s="330"/>
      <c r="CB810" s="330"/>
      <c r="CC810" s="116"/>
      <c r="CG810" s="242"/>
      <c r="CH810" s="116"/>
      <c r="CI810" s="116"/>
      <c r="CJ810" s="116"/>
      <c r="CL810" s="116"/>
      <c r="CN810" s="239"/>
      <c r="CO810" s="153"/>
      <c r="DM810" s="116"/>
      <c r="DN810" s="116"/>
      <c r="DO810" s="116"/>
      <c r="DP810" s="116"/>
      <c r="DW810" s="116"/>
      <c r="DX810" s="219"/>
      <c r="DY810" s="219"/>
      <c r="DZ810" s="116"/>
      <c r="EA810" s="116"/>
      <c r="EB810" s="116"/>
      <c r="EC810" s="116"/>
      <c r="ED810" s="116"/>
      <c r="EF810" s="332"/>
      <c r="EG810" s="116"/>
      <c r="EH810" s="116"/>
      <c r="EI810" s="116"/>
      <c r="EJ810" s="116"/>
      <c r="EK810" s="116"/>
      <c r="EM810" s="116"/>
      <c r="EN810" s="116"/>
      <c r="EO810" s="116"/>
      <c r="EQ810" s="116"/>
      <c r="ER810" s="116"/>
      <c r="ES810" s="116"/>
      <c r="ET810" s="116"/>
      <c r="EU810" s="116"/>
      <c r="EV810" s="116"/>
      <c r="EX810" s="116"/>
      <c r="EY810" s="116"/>
      <c r="EZ810" s="116"/>
      <c r="FA810" s="116"/>
      <c r="FB810" s="116"/>
    </row>
    <row r="811" spans="5:158" ht="13">
      <c r="E811" s="153"/>
      <c r="T811" s="153"/>
      <c r="BD811" s="31"/>
      <c r="BE811" s="31"/>
      <c r="BF811" s="31"/>
      <c r="BG811" s="31"/>
      <c r="BH811" s="31"/>
      <c r="BI811" s="116"/>
      <c r="BL811" s="196"/>
      <c r="BM811" s="239"/>
      <c r="BN811" s="330"/>
      <c r="BP811" s="330"/>
      <c r="BS811" s="116"/>
      <c r="BU811" s="331"/>
      <c r="BW811" s="116"/>
      <c r="BX811" s="116"/>
      <c r="BZ811" s="330"/>
      <c r="CB811" s="330"/>
      <c r="CC811" s="116"/>
      <c r="CG811" s="242"/>
      <c r="CH811" s="116"/>
      <c r="CI811" s="116"/>
      <c r="CJ811" s="116"/>
      <c r="CL811" s="116"/>
      <c r="CN811" s="239"/>
      <c r="CO811" s="153"/>
      <c r="DM811" s="116"/>
      <c r="DN811" s="116"/>
      <c r="DO811" s="116"/>
      <c r="DP811" s="116"/>
      <c r="DW811" s="116"/>
      <c r="DX811" s="219"/>
      <c r="DY811" s="219"/>
      <c r="DZ811" s="116"/>
      <c r="EA811" s="116"/>
      <c r="EB811" s="116"/>
      <c r="EC811" s="116"/>
      <c r="ED811" s="116"/>
      <c r="EF811" s="332"/>
      <c r="EG811" s="116"/>
      <c r="EH811" s="116"/>
      <c r="EI811" s="116"/>
      <c r="EJ811" s="116"/>
      <c r="EK811" s="116"/>
      <c r="EM811" s="116"/>
      <c r="EN811" s="116"/>
      <c r="EO811" s="116"/>
      <c r="EQ811" s="116"/>
      <c r="ER811" s="116"/>
      <c r="ES811" s="116"/>
      <c r="ET811" s="116"/>
      <c r="EU811" s="116"/>
      <c r="EV811" s="116"/>
      <c r="EX811" s="116"/>
      <c r="EY811" s="116"/>
      <c r="EZ811" s="116"/>
      <c r="FA811" s="116"/>
      <c r="FB811" s="116"/>
    </row>
    <row r="812" spans="5:158" ht="13">
      <c r="E812" s="153"/>
      <c r="T812" s="153"/>
      <c r="BD812" s="31"/>
      <c r="BE812" s="31"/>
      <c r="BF812" s="31"/>
      <c r="BG812" s="31"/>
      <c r="BH812" s="31"/>
      <c r="BI812" s="116"/>
      <c r="BL812" s="196"/>
      <c r="BM812" s="239"/>
      <c r="BN812" s="330"/>
      <c r="BP812" s="330"/>
      <c r="BS812" s="116"/>
      <c r="BU812" s="331"/>
      <c r="BW812" s="116"/>
      <c r="BX812" s="116"/>
      <c r="BZ812" s="330"/>
      <c r="CB812" s="330"/>
      <c r="CC812" s="116"/>
      <c r="CG812" s="242"/>
      <c r="CH812" s="116"/>
      <c r="CI812" s="116"/>
      <c r="CJ812" s="116"/>
      <c r="CL812" s="116"/>
      <c r="CN812" s="239"/>
      <c r="CO812" s="153"/>
      <c r="DM812" s="116"/>
      <c r="DN812" s="116"/>
      <c r="DO812" s="116"/>
      <c r="DP812" s="116"/>
      <c r="DW812" s="116"/>
      <c r="DX812" s="219"/>
      <c r="DY812" s="219"/>
      <c r="DZ812" s="116"/>
      <c r="EA812" s="116"/>
      <c r="EB812" s="116"/>
      <c r="EC812" s="116"/>
      <c r="ED812" s="116"/>
      <c r="EF812" s="332"/>
      <c r="EG812" s="116"/>
      <c r="EH812" s="116"/>
      <c r="EI812" s="116"/>
      <c r="EJ812" s="116"/>
      <c r="EK812" s="116"/>
      <c r="EM812" s="116"/>
      <c r="EN812" s="116"/>
      <c r="EO812" s="116"/>
      <c r="EQ812" s="116"/>
      <c r="ER812" s="116"/>
      <c r="ES812" s="116"/>
      <c r="ET812" s="116"/>
      <c r="EU812" s="116"/>
      <c r="EV812" s="116"/>
      <c r="EX812" s="116"/>
      <c r="EY812" s="116"/>
      <c r="EZ812" s="116"/>
      <c r="FA812" s="116"/>
      <c r="FB812" s="116"/>
    </row>
    <row r="813" spans="5:158" ht="13">
      <c r="E813" s="153"/>
      <c r="T813" s="153"/>
      <c r="BD813" s="31"/>
      <c r="BE813" s="31"/>
      <c r="BF813" s="31"/>
      <c r="BG813" s="31"/>
      <c r="BH813" s="31"/>
      <c r="BI813" s="116"/>
      <c r="BL813" s="196"/>
      <c r="BM813" s="239"/>
      <c r="BN813" s="330"/>
      <c r="BP813" s="330"/>
      <c r="BS813" s="116"/>
      <c r="BU813" s="331"/>
      <c r="BW813" s="116"/>
      <c r="BX813" s="116"/>
      <c r="BZ813" s="330"/>
      <c r="CB813" s="330"/>
      <c r="CC813" s="116"/>
      <c r="CG813" s="242"/>
      <c r="CH813" s="116"/>
      <c r="CI813" s="116"/>
      <c r="CJ813" s="116"/>
      <c r="CL813" s="116"/>
      <c r="CN813" s="239"/>
      <c r="CO813" s="153"/>
      <c r="DM813" s="116"/>
      <c r="DN813" s="116"/>
      <c r="DO813" s="116"/>
      <c r="DP813" s="116"/>
      <c r="DW813" s="116"/>
      <c r="DX813" s="219"/>
      <c r="DY813" s="219"/>
      <c r="DZ813" s="116"/>
      <c r="EA813" s="116"/>
      <c r="EB813" s="116"/>
      <c r="EC813" s="116"/>
      <c r="ED813" s="116"/>
      <c r="EF813" s="332"/>
      <c r="EG813" s="116"/>
      <c r="EH813" s="116"/>
      <c r="EI813" s="116"/>
      <c r="EJ813" s="116"/>
      <c r="EK813" s="116"/>
      <c r="EM813" s="116"/>
      <c r="EN813" s="116"/>
      <c r="EO813" s="116"/>
      <c r="EQ813" s="116"/>
      <c r="ER813" s="116"/>
      <c r="ES813" s="116"/>
      <c r="ET813" s="116"/>
      <c r="EU813" s="116"/>
      <c r="EV813" s="116"/>
      <c r="EX813" s="116"/>
      <c r="EY813" s="116"/>
      <c r="EZ813" s="116"/>
      <c r="FA813" s="116"/>
      <c r="FB813" s="116"/>
    </row>
    <row r="814" spans="5:158" ht="13">
      <c r="E814" s="153"/>
      <c r="T814" s="153"/>
      <c r="BD814" s="31"/>
      <c r="BE814" s="31"/>
      <c r="BF814" s="31"/>
      <c r="BG814" s="31"/>
      <c r="BH814" s="31"/>
      <c r="BI814" s="116"/>
      <c r="BL814" s="196"/>
      <c r="BM814" s="239"/>
      <c r="BN814" s="330"/>
      <c r="BP814" s="330"/>
      <c r="BS814" s="116"/>
      <c r="BU814" s="331"/>
      <c r="BW814" s="116"/>
      <c r="BX814" s="116"/>
      <c r="BZ814" s="330"/>
      <c r="CB814" s="330"/>
      <c r="CC814" s="116"/>
      <c r="CG814" s="242"/>
      <c r="CH814" s="116"/>
      <c r="CI814" s="116"/>
      <c r="CJ814" s="116"/>
      <c r="CL814" s="116"/>
      <c r="CN814" s="239"/>
      <c r="CO814" s="153"/>
      <c r="DM814" s="116"/>
      <c r="DN814" s="116"/>
      <c r="DO814" s="116"/>
      <c r="DP814" s="116"/>
      <c r="DW814" s="116"/>
      <c r="DX814" s="219"/>
      <c r="DY814" s="219"/>
      <c r="DZ814" s="116"/>
      <c r="EA814" s="116"/>
      <c r="EB814" s="116"/>
      <c r="EC814" s="116"/>
      <c r="ED814" s="116"/>
      <c r="EF814" s="332"/>
      <c r="EG814" s="116"/>
      <c r="EH814" s="116"/>
      <c r="EI814" s="116"/>
      <c r="EJ814" s="116"/>
      <c r="EK814" s="116"/>
      <c r="EM814" s="116"/>
      <c r="EN814" s="116"/>
      <c r="EO814" s="116"/>
      <c r="EQ814" s="116"/>
      <c r="ER814" s="116"/>
      <c r="ES814" s="116"/>
      <c r="ET814" s="116"/>
      <c r="EU814" s="116"/>
      <c r="EV814" s="116"/>
      <c r="EX814" s="116"/>
      <c r="EY814" s="116"/>
      <c r="EZ814" s="116"/>
      <c r="FA814" s="116"/>
      <c r="FB814" s="116"/>
    </row>
    <row r="815" spans="5:158" ht="13">
      <c r="E815" s="153"/>
      <c r="T815" s="153"/>
      <c r="BD815" s="31"/>
      <c r="BE815" s="31"/>
      <c r="BF815" s="31"/>
      <c r="BG815" s="31"/>
      <c r="BH815" s="31"/>
      <c r="BI815" s="116"/>
      <c r="BL815" s="196"/>
      <c r="BM815" s="239"/>
      <c r="BN815" s="330"/>
      <c r="BP815" s="330"/>
      <c r="BS815" s="116"/>
      <c r="BU815" s="331"/>
      <c r="BW815" s="116"/>
      <c r="BX815" s="116"/>
      <c r="BZ815" s="330"/>
      <c r="CB815" s="330"/>
      <c r="CC815" s="116"/>
      <c r="CG815" s="242"/>
      <c r="CH815" s="116"/>
      <c r="CI815" s="116"/>
      <c r="CJ815" s="116"/>
      <c r="CL815" s="116"/>
      <c r="CN815" s="239"/>
      <c r="CO815" s="153"/>
      <c r="DM815" s="116"/>
      <c r="DN815" s="116"/>
      <c r="DO815" s="116"/>
      <c r="DP815" s="116"/>
      <c r="DW815" s="116"/>
      <c r="DX815" s="219"/>
      <c r="DY815" s="219"/>
      <c r="DZ815" s="116"/>
      <c r="EA815" s="116"/>
      <c r="EB815" s="116"/>
      <c r="EC815" s="116"/>
      <c r="ED815" s="116"/>
      <c r="EF815" s="332"/>
      <c r="EG815" s="116"/>
      <c r="EH815" s="116"/>
      <c r="EI815" s="116"/>
      <c r="EJ815" s="116"/>
      <c r="EK815" s="116"/>
      <c r="EM815" s="116"/>
      <c r="EN815" s="116"/>
      <c r="EO815" s="116"/>
      <c r="EQ815" s="116"/>
      <c r="ER815" s="116"/>
      <c r="ES815" s="116"/>
      <c r="ET815" s="116"/>
      <c r="EU815" s="116"/>
      <c r="EV815" s="116"/>
      <c r="EX815" s="116"/>
      <c r="EY815" s="116"/>
      <c r="EZ815" s="116"/>
      <c r="FA815" s="116"/>
      <c r="FB815" s="116"/>
    </row>
    <row r="816" spans="5:158" ht="13">
      <c r="E816" s="153"/>
      <c r="T816" s="153"/>
      <c r="BD816" s="31"/>
      <c r="BE816" s="31"/>
      <c r="BF816" s="31"/>
      <c r="BG816" s="31"/>
      <c r="BH816" s="31"/>
      <c r="BI816" s="116"/>
      <c r="BL816" s="196"/>
      <c r="BM816" s="239"/>
      <c r="BN816" s="330"/>
      <c r="BP816" s="330"/>
      <c r="BS816" s="116"/>
      <c r="BU816" s="331"/>
      <c r="BW816" s="116"/>
      <c r="BX816" s="116"/>
      <c r="BZ816" s="330"/>
      <c r="CB816" s="330"/>
      <c r="CC816" s="116"/>
      <c r="CG816" s="242"/>
      <c r="CH816" s="116"/>
      <c r="CI816" s="116"/>
      <c r="CJ816" s="116"/>
      <c r="CL816" s="116"/>
      <c r="CN816" s="239"/>
      <c r="CO816" s="153"/>
      <c r="DM816" s="116"/>
      <c r="DN816" s="116"/>
      <c r="DO816" s="116"/>
      <c r="DP816" s="116"/>
      <c r="DW816" s="116"/>
      <c r="DX816" s="219"/>
      <c r="DY816" s="219"/>
      <c r="DZ816" s="116"/>
      <c r="EA816" s="116"/>
      <c r="EB816" s="116"/>
      <c r="EC816" s="116"/>
      <c r="ED816" s="116"/>
      <c r="EF816" s="332"/>
      <c r="EG816" s="116"/>
      <c r="EH816" s="116"/>
      <c r="EI816" s="116"/>
      <c r="EJ816" s="116"/>
      <c r="EK816" s="116"/>
      <c r="EM816" s="116"/>
      <c r="EN816" s="116"/>
      <c r="EO816" s="116"/>
      <c r="EQ816" s="116"/>
      <c r="ER816" s="116"/>
      <c r="ES816" s="116"/>
      <c r="ET816" s="116"/>
      <c r="EU816" s="116"/>
      <c r="EV816" s="116"/>
      <c r="EX816" s="116"/>
      <c r="EY816" s="116"/>
      <c r="EZ816" s="116"/>
      <c r="FA816" s="116"/>
      <c r="FB816" s="116"/>
    </row>
    <row r="817" spans="5:158" ht="13">
      <c r="E817" s="153"/>
      <c r="T817" s="153"/>
      <c r="BD817" s="31"/>
      <c r="BE817" s="31"/>
      <c r="BF817" s="31"/>
      <c r="BG817" s="31"/>
      <c r="BH817" s="31"/>
      <c r="BI817" s="116"/>
      <c r="BL817" s="196"/>
      <c r="BM817" s="239"/>
      <c r="BN817" s="330"/>
      <c r="BP817" s="330"/>
      <c r="BS817" s="116"/>
      <c r="BU817" s="331"/>
      <c r="BW817" s="116"/>
      <c r="BX817" s="116"/>
      <c r="BZ817" s="330"/>
      <c r="CB817" s="330"/>
      <c r="CC817" s="116"/>
      <c r="CG817" s="242"/>
      <c r="CH817" s="116"/>
      <c r="CI817" s="116"/>
      <c r="CJ817" s="116"/>
      <c r="CL817" s="116"/>
      <c r="CN817" s="239"/>
      <c r="CO817" s="153"/>
      <c r="DM817" s="116"/>
      <c r="DN817" s="116"/>
      <c r="DO817" s="116"/>
      <c r="DP817" s="116"/>
      <c r="DW817" s="116"/>
      <c r="DX817" s="219"/>
      <c r="DY817" s="219"/>
      <c r="DZ817" s="116"/>
      <c r="EA817" s="116"/>
      <c r="EB817" s="116"/>
      <c r="EC817" s="116"/>
      <c r="ED817" s="116"/>
      <c r="EF817" s="332"/>
      <c r="EG817" s="116"/>
      <c r="EH817" s="116"/>
      <c r="EI817" s="116"/>
      <c r="EJ817" s="116"/>
      <c r="EK817" s="116"/>
      <c r="EM817" s="116"/>
      <c r="EN817" s="116"/>
      <c r="EO817" s="116"/>
      <c r="EQ817" s="116"/>
      <c r="ER817" s="116"/>
      <c r="ES817" s="116"/>
      <c r="ET817" s="116"/>
      <c r="EU817" s="116"/>
      <c r="EV817" s="116"/>
      <c r="EX817" s="116"/>
      <c r="EY817" s="116"/>
      <c r="EZ817" s="116"/>
      <c r="FA817" s="116"/>
      <c r="FB817" s="116"/>
    </row>
    <row r="818" spans="5:158" ht="13">
      <c r="E818" s="153"/>
      <c r="T818" s="153"/>
      <c r="BD818" s="31"/>
      <c r="BE818" s="31"/>
      <c r="BF818" s="31"/>
      <c r="BG818" s="31"/>
      <c r="BH818" s="31"/>
      <c r="BI818" s="116"/>
      <c r="BL818" s="196"/>
      <c r="BM818" s="239"/>
      <c r="BN818" s="330"/>
      <c r="BP818" s="330"/>
      <c r="BS818" s="116"/>
      <c r="BU818" s="331"/>
      <c r="BW818" s="116"/>
      <c r="BX818" s="116"/>
      <c r="BZ818" s="330"/>
      <c r="CB818" s="330"/>
      <c r="CC818" s="116"/>
      <c r="CG818" s="242"/>
      <c r="CH818" s="116"/>
      <c r="CI818" s="116"/>
      <c r="CJ818" s="116"/>
      <c r="CL818" s="116"/>
      <c r="CN818" s="239"/>
      <c r="CO818" s="153"/>
      <c r="DM818" s="116"/>
      <c r="DN818" s="116"/>
      <c r="DO818" s="116"/>
      <c r="DP818" s="116"/>
      <c r="DW818" s="116"/>
      <c r="DX818" s="219"/>
      <c r="DY818" s="219"/>
      <c r="DZ818" s="116"/>
      <c r="EA818" s="116"/>
      <c r="EB818" s="116"/>
      <c r="EC818" s="116"/>
      <c r="ED818" s="116"/>
      <c r="EF818" s="332"/>
      <c r="EG818" s="116"/>
      <c r="EH818" s="116"/>
      <c r="EI818" s="116"/>
      <c r="EJ818" s="116"/>
      <c r="EK818" s="116"/>
      <c r="EM818" s="116"/>
      <c r="EN818" s="116"/>
      <c r="EO818" s="116"/>
      <c r="EQ818" s="116"/>
      <c r="ER818" s="116"/>
      <c r="ES818" s="116"/>
      <c r="ET818" s="116"/>
      <c r="EU818" s="116"/>
      <c r="EV818" s="116"/>
      <c r="EX818" s="116"/>
      <c r="EY818" s="116"/>
      <c r="EZ818" s="116"/>
      <c r="FA818" s="116"/>
      <c r="FB818" s="116"/>
    </row>
    <row r="819" spans="5:158" ht="13">
      <c r="E819" s="153"/>
      <c r="T819" s="153"/>
      <c r="BD819" s="31"/>
      <c r="BE819" s="31"/>
      <c r="BF819" s="31"/>
      <c r="BG819" s="31"/>
      <c r="BH819" s="31"/>
      <c r="BI819" s="116"/>
      <c r="BL819" s="196"/>
      <c r="BM819" s="239"/>
      <c r="BN819" s="330"/>
      <c r="BP819" s="330"/>
      <c r="BS819" s="116"/>
      <c r="BU819" s="331"/>
      <c r="BW819" s="116"/>
      <c r="BX819" s="116"/>
      <c r="BZ819" s="330"/>
      <c r="CB819" s="330"/>
      <c r="CC819" s="116"/>
      <c r="CG819" s="242"/>
      <c r="CH819" s="116"/>
      <c r="CI819" s="116"/>
      <c r="CJ819" s="116"/>
      <c r="CL819" s="116"/>
      <c r="CN819" s="239"/>
      <c r="CO819" s="153"/>
      <c r="DM819" s="116"/>
      <c r="DN819" s="116"/>
      <c r="DO819" s="116"/>
      <c r="DP819" s="116"/>
      <c r="DW819" s="116"/>
      <c r="DX819" s="219"/>
      <c r="DY819" s="219"/>
      <c r="DZ819" s="116"/>
      <c r="EA819" s="116"/>
      <c r="EB819" s="116"/>
      <c r="EC819" s="116"/>
      <c r="ED819" s="116"/>
      <c r="EF819" s="332"/>
      <c r="EG819" s="116"/>
      <c r="EH819" s="116"/>
      <c r="EI819" s="116"/>
      <c r="EJ819" s="116"/>
      <c r="EK819" s="116"/>
      <c r="EM819" s="116"/>
      <c r="EN819" s="116"/>
      <c r="EO819" s="116"/>
      <c r="EQ819" s="116"/>
      <c r="ER819" s="116"/>
      <c r="ES819" s="116"/>
      <c r="ET819" s="116"/>
      <c r="EU819" s="116"/>
      <c r="EV819" s="116"/>
      <c r="EX819" s="116"/>
      <c r="EY819" s="116"/>
      <c r="EZ819" s="116"/>
      <c r="FA819" s="116"/>
      <c r="FB819" s="116"/>
    </row>
    <row r="820" spans="5:158" ht="13">
      <c r="E820" s="153"/>
      <c r="T820" s="153"/>
      <c r="BD820" s="31"/>
      <c r="BE820" s="31"/>
      <c r="BF820" s="31"/>
      <c r="BG820" s="31"/>
      <c r="BH820" s="31"/>
      <c r="BI820" s="116"/>
      <c r="BL820" s="196"/>
      <c r="BM820" s="239"/>
      <c r="BN820" s="330"/>
      <c r="BP820" s="330"/>
      <c r="BS820" s="116"/>
      <c r="BU820" s="331"/>
      <c r="BW820" s="116"/>
      <c r="BX820" s="116"/>
      <c r="BZ820" s="330"/>
      <c r="CB820" s="330"/>
      <c r="CC820" s="116"/>
      <c r="CG820" s="242"/>
      <c r="CH820" s="116"/>
      <c r="CI820" s="116"/>
      <c r="CJ820" s="116"/>
      <c r="CL820" s="116"/>
      <c r="CN820" s="239"/>
      <c r="CO820" s="153"/>
      <c r="DM820" s="116"/>
      <c r="DN820" s="116"/>
      <c r="DO820" s="116"/>
      <c r="DP820" s="116"/>
      <c r="DW820" s="116"/>
      <c r="DX820" s="219"/>
      <c r="DY820" s="219"/>
      <c r="DZ820" s="116"/>
      <c r="EA820" s="116"/>
      <c r="EB820" s="116"/>
      <c r="EC820" s="116"/>
      <c r="ED820" s="116"/>
      <c r="EF820" s="332"/>
      <c r="EG820" s="116"/>
      <c r="EH820" s="116"/>
      <c r="EI820" s="116"/>
      <c r="EJ820" s="116"/>
      <c r="EK820" s="116"/>
      <c r="EM820" s="116"/>
      <c r="EN820" s="116"/>
      <c r="EO820" s="116"/>
      <c r="EQ820" s="116"/>
      <c r="ER820" s="116"/>
      <c r="ES820" s="116"/>
      <c r="ET820" s="116"/>
      <c r="EU820" s="116"/>
      <c r="EV820" s="116"/>
      <c r="EX820" s="116"/>
      <c r="EY820" s="116"/>
      <c r="EZ820" s="116"/>
      <c r="FA820" s="116"/>
      <c r="FB820" s="116"/>
    </row>
    <row r="821" spans="5:158" ht="13">
      <c r="E821" s="153"/>
      <c r="T821" s="153"/>
      <c r="BD821" s="31"/>
      <c r="BE821" s="31"/>
      <c r="BF821" s="31"/>
      <c r="BG821" s="31"/>
      <c r="BH821" s="31"/>
      <c r="BI821" s="116"/>
      <c r="BL821" s="196"/>
      <c r="BM821" s="239"/>
      <c r="BN821" s="330"/>
      <c r="BP821" s="330"/>
      <c r="BS821" s="116"/>
      <c r="BU821" s="331"/>
      <c r="BW821" s="116"/>
      <c r="BX821" s="116"/>
      <c r="BZ821" s="330"/>
      <c r="CB821" s="330"/>
      <c r="CC821" s="116"/>
      <c r="CG821" s="242"/>
      <c r="CH821" s="116"/>
      <c r="CI821" s="116"/>
      <c r="CJ821" s="116"/>
      <c r="CL821" s="116"/>
      <c r="CN821" s="239"/>
      <c r="CO821" s="153"/>
      <c r="DM821" s="116"/>
      <c r="DN821" s="116"/>
      <c r="DO821" s="116"/>
      <c r="DP821" s="116"/>
      <c r="DW821" s="116"/>
      <c r="DX821" s="219"/>
      <c r="DY821" s="219"/>
      <c r="DZ821" s="116"/>
      <c r="EA821" s="116"/>
      <c r="EB821" s="116"/>
      <c r="EC821" s="116"/>
      <c r="ED821" s="116"/>
      <c r="EF821" s="332"/>
      <c r="EG821" s="116"/>
      <c r="EH821" s="116"/>
      <c r="EI821" s="116"/>
      <c r="EJ821" s="116"/>
      <c r="EK821" s="116"/>
      <c r="EM821" s="116"/>
      <c r="EN821" s="116"/>
      <c r="EO821" s="116"/>
      <c r="EQ821" s="116"/>
      <c r="ER821" s="116"/>
      <c r="ES821" s="116"/>
      <c r="ET821" s="116"/>
      <c r="EU821" s="116"/>
      <c r="EV821" s="116"/>
      <c r="EX821" s="116"/>
      <c r="EY821" s="116"/>
      <c r="EZ821" s="116"/>
      <c r="FA821" s="116"/>
      <c r="FB821" s="116"/>
    </row>
    <row r="822" spans="5:158" ht="13">
      <c r="E822" s="153"/>
      <c r="T822" s="153"/>
      <c r="BD822" s="31"/>
      <c r="BE822" s="31"/>
      <c r="BF822" s="31"/>
      <c r="BG822" s="31"/>
      <c r="BH822" s="31"/>
      <c r="BI822" s="116"/>
      <c r="BL822" s="196"/>
      <c r="BM822" s="239"/>
      <c r="BN822" s="330"/>
      <c r="BP822" s="330"/>
      <c r="BS822" s="116"/>
      <c r="BU822" s="331"/>
      <c r="BW822" s="116"/>
      <c r="BX822" s="116"/>
      <c r="BZ822" s="330"/>
      <c r="CB822" s="330"/>
      <c r="CC822" s="116"/>
      <c r="CG822" s="242"/>
      <c r="CH822" s="116"/>
      <c r="CI822" s="116"/>
      <c r="CJ822" s="116"/>
      <c r="CL822" s="116"/>
      <c r="CN822" s="239"/>
      <c r="CO822" s="153"/>
      <c r="DM822" s="116"/>
      <c r="DN822" s="116"/>
      <c r="DO822" s="116"/>
      <c r="DP822" s="116"/>
      <c r="DW822" s="116"/>
      <c r="DX822" s="219"/>
      <c r="DY822" s="219"/>
      <c r="DZ822" s="116"/>
      <c r="EA822" s="116"/>
      <c r="EB822" s="116"/>
      <c r="EC822" s="116"/>
      <c r="ED822" s="116"/>
      <c r="EF822" s="332"/>
      <c r="EG822" s="116"/>
      <c r="EH822" s="116"/>
      <c r="EI822" s="116"/>
      <c r="EJ822" s="116"/>
      <c r="EK822" s="116"/>
      <c r="EM822" s="116"/>
      <c r="EN822" s="116"/>
      <c r="EO822" s="116"/>
      <c r="EQ822" s="116"/>
      <c r="ER822" s="116"/>
      <c r="ES822" s="116"/>
      <c r="ET822" s="116"/>
      <c r="EU822" s="116"/>
      <c r="EV822" s="116"/>
      <c r="EX822" s="116"/>
      <c r="EY822" s="116"/>
      <c r="EZ822" s="116"/>
      <c r="FA822" s="116"/>
      <c r="FB822" s="116"/>
    </row>
  </sheetData>
  <mergeCells count="2">
    <mergeCell ref="F3:P3"/>
    <mergeCell ref="T3:AV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  <pageSetUpPr fitToPage="1"/>
  </sheetPr>
  <dimension ref="A1:BI1004"/>
  <sheetViews>
    <sheetView showGridLines="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G5" sqref="G5"/>
    </sheetView>
  </sheetViews>
  <sheetFormatPr baseColWidth="10" defaultColWidth="14.5" defaultRowHeight="15.75" customHeight="1" outlineLevelRow="1"/>
  <cols>
    <col min="1" max="2" width="9.6640625" customWidth="1"/>
    <col min="3" max="3" width="14.5" customWidth="1"/>
    <col min="4" max="4" width="12" customWidth="1"/>
    <col min="5" max="5" width="20.5" customWidth="1"/>
    <col min="6" max="6" width="13.1640625" customWidth="1"/>
    <col min="7" max="7" width="12.6640625" customWidth="1"/>
    <col min="10" max="11" width="10.83203125" customWidth="1"/>
    <col min="12" max="12" width="12" customWidth="1"/>
    <col min="13" max="20" width="10.33203125" customWidth="1"/>
    <col min="21" max="21" width="9.33203125" customWidth="1"/>
    <col min="22" max="22" width="10.83203125" customWidth="1"/>
    <col min="23" max="23" width="12" customWidth="1"/>
    <col min="24" max="32" width="9.83203125" customWidth="1"/>
    <col min="33" max="35" width="10.33203125" customWidth="1"/>
    <col min="36" max="43" width="9.33203125" customWidth="1"/>
    <col min="44" max="44" width="9.1640625" customWidth="1"/>
    <col min="45" max="55" width="9.33203125" customWidth="1"/>
    <col min="56" max="57" width="10.6640625" customWidth="1"/>
  </cols>
  <sheetData>
    <row r="1" spans="1:61" ht="20">
      <c r="A1" s="59" t="s">
        <v>316</v>
      </c>
      <c r="B1" s="334"/>
      <c r="E1" s="4">
        <f>DATE(2022,1,1)+F1</f>
        <v>44566</v>
      </c>
      <c r="F1" s="335">
        <v>4</v>
      </c>
      <c r="G1" s="4"/>
      <c r="I1" s="116"/>
      <c r="J1" s="116"/>
      <c r="K1" s="116"/>
      <c r="L1" s="116"/>
      <c r="M1" s="116"/>
      <c r="N1" s="116"/>
      <c r="AB1" s="332"/>
      <c r="AQ1" s="336"/>
      <c r="AR1" s="336"/>
      <c r="AS1" s="336"/>
      <c r="AY1" s="42" t="s">
        <v>317</v>
      </c>
      <c r="BA1" s="337">
        <v>2.0000000000000001E-4</v>
      </c>
      <c r="BD1" s="338">
        <f>(1+BA1/365)^365-1</f>
        <v>2.0001994651153154E-4</v>
      </c>
    </row>
    <row r="2" spans="1:61" ht="20">
      <c r="A2" s="59" t="s">
        <v>318</v>
      </c>
      <c r="I2" s="116"/>
      <c r="J2" s="116"/>
      <c r="K2" s="116"/>
      <c r="L2" s="116"/>
      <c r="M2" s="116"/>
      <c r="N2" s="116"/>
      <c r="AB2" s="332"/>
      <c r="AK2" s="3" t="s">
        <v>319</v>
      </c>
      <c r="AQ2" s="336"/>
      <c r="AR2" s="336"/>
      <c r="AS2" s="336"/>
      <c r="AY2" s="159">
        <v>0.05</v>
      </c>
      <c r="AZ2" s="159">
        <v>0.06</v>
      </c>
      <c r="BA2" s="337">
        <v>1.5E-3</v>
      </c>
      <c r="BB2" s="152">
        <f t="shared" ref="BB2:BD2" si="0">(1+AY2/365)^365-1</f>
        <v>5.1267496467422902E-2</v>
      </c>
      <c r="BC2" s="152">
        <f t="shared" si="0"/>
        <v>6.1831310677866957E-2</v>
      </c>
      <c r="BD2" s="338">
        <f t="shared" si="0"/>
        <v>1.5011224758847419E-3</v>
      </c>
    </row>
    <row r="3" spans="1:61" ht="13">
      <c r="I3" s="116"/>
      <c r="J3" s="116"/>
      <c r="K3" s="116"/>
      <c r="L3" s="116"/>
      <c r="M3" s="116"/>
      <c r="O3" s="137" t="s">
        <v>320</v>
      </c>
      <c r="X3" s="3" t="s">
        <v>321</v>
      </c>
      <c r="AB3" s="245" t="s">
        <v>322</v>
      </c>
      <c r="AG3" s="339">
        <f>IF(D3="Stock",R3,IF(D3="Bond",T3,IF(D3="Option",V3,IF(D3="TD",W3,0))))</f>
        <v>0</v>
      </c>
      <c r="AH3" s="340">
        <f>IF(D3="Stock",AK3,IF(AND(D3="Bond",AG3&gt;0),AL3,IF(AND(D3="Bond",AG3&lt;0),AMR3,IF(D3="Option",AN3,IF(D3="TD",1,IF(D3="Cash",1,0))))))</f>
        <v>0</v>
      </c>
      <c r="AI3" s="340">
        <f>IF(B3="",0,IF(C3=_xludf.maxifs(C:C,A:A,A3,B:B,B3),1,0))</f>
        <v>0</v>
      </c>
      <c r="AJ3" s="340">
        <f ca="1">IF(OR(A3="DateCum",A3=""),0,IF(G3="HKD",1,OFFSET(FX!$A$5,MATCH(A3,FX!A:A,0)-ROW(FX!$A$5),MATCH(G3,FX!$A$5:$AM$5,0)-1,1,1)))</f>
        <v>0</v>
      </c>
      <c r="AK3" s="340">
        <f ca="1">IF($D3="Stock",OFFSET(HistPrices!$A$8,MATCH($A3,HistPrices!$A:$A,0)-ROW(HistPrices!$A$8)+3,MATCH($E3,HistPrices!$8:$8,0)-1,1,1),0)</f>
        <v>0</v>
      </c>
      <c r="AL3" s="340">
        <f ca="1">IF($D3="Bond",OFFSET(HistPrices!$A$8,MATCH($A3,HistPrices!$A:$A,0)-ROW(HistPrices!$A$8)+5,MATCH($E3,HistPrices!$8:$8,0)-1,1,1),0)</f>
        <v>0</v>
      </c>
      <c r="AM3" s="340">
        <f ca="1">IF($D3="Bond",OFFSET(HistPrices!$A$8,MATCH($A3,HistPrices!$A:$A,0)-ROW(HistPrices!$A$8)+6,MATCH($E3,HistPrices!$8:$8,0)-1,1,1),0)</f>
        <v>0</v>
      </c>
      <c r="AN3" s="340">
        <f ca="1">IF($D3="Option",OFFSET(HistPrices!$A$8,MATCH($A3,HistPrices!$A:$A,0)-ROW(HistPrices!$A$8)+3,MATCH($E3,HistPrices!$8:$8,0)-1,1,1),0)</f>
        <v>0</v>
      </c>
      <c r="AO3" s="340">
        <f>IF(D3="Option",RIGHT(E3,6)/1000,0)</f>
        <v>0</v>
      </c>
      <c r="AP3" s="340">
        <f>IF(D3="TD",1,0)</f>
        <v>0</v>
      </c>
      <c r="AQ3" s="341">
        <f>IF(OR(A3="DateCum",A3=""),0,IF(B3&lt;&gt;B2,1,IF(COUNTIFS($E3:E$5,E3,$B3:B$5,B3)=1,AQ2+1,AQ2)))</f>
        <v>0</v>
      </c>
      <c r="AR3" s="341">
        <f>IF(OR(A3="DateCum",A3=""),0,IF(D3="Bond",10,IF(D3="Option",100,1))*AG3*AH3*AJ3)</f>
        <v>0</v>
      </c>
      <c r="AS3" s="341">
        <f>IF(OR(A3="DateCum",A3=""),0,SUMIFS(AR:AR,B:B,B3,E:E,E3))</f>
        <v>0</v>
      </c>
      <c r="AT3" s="340">
        <f>IF(OR(A3="DateCum",A3=""),0,IF(COUNTIFS($E3:E$5,E3,$B3:B$5,B3)&gt;1,0,1))</f>
        <v>0</v>
      </c>
      <c r="AU3" s="340">
        <f>IF(OR(A3="DateCum",A3=""),0,IF(AI3=1,SUMIFS(AS:AS,AT:AT,1,B:B,B3,AS:AS,"&gt;"&amp;0),0))</f>
        <v>0</v>
      </c>
      <c r="AV3" s="340">
        <f>IF(OR(A3="DateCum",A3=""),0,IF(AI3=1,SUMIFS(AS:AS,AT:AT,1,B:B,B3,AS:AS,"&lt;"&amp;0),0))</f>
        <v>0</v>
      </c>
      <c r="AW3" s="340">
        <f>IF(OR(A3="DateCum",A3=""),0,AU3+AV3)</f>
        <v>0</v>
      </c>
      <c r="AX3" s="340">
        <f>IF(OR(A3="DateCum",A3=""),0,IF(D3="Cash",M3,IF(D3&lt;&gt;"Option",AF3*AJ3*IF(D3="Stock",AK3,IF(D3="Bond",AVERAGE(AL3:AM3)*10,IF(D3="TD",AP3,""))),IF(AND(D3="Option",AG3&gt;0),0,VLOOKUP(C3,'1TradeRecord'!$B:$EE,134,FALSE)))))</f>
        <v>0</v>
      </c>
      <c r="AY3" s="340">
        <f>IF(OR(A3="DateCum",A3=""),0,$BB$2*BD3/365*-1)</f>
        <v>0</v>
      </c>
      <c r="AZ3" s="340">
        <f>IF(OR(A3="DateCum",A3=""),0,IF(AB3&lt;0,AB3,IF(AC3&lt;0,AC3,IF(AE3&lt;0,AE3,0)))*AH3*AJ3*$BC$2/365)</f>
        <v>0</v>
      </c>
      <c r="BA3" s="340">
        <f>IF(OR(A3="DateCum",A3=""),0,IF(AE3&gt;0,IF(E3="1m",$BD$1,$BD$2)*AE3/365,0))</f>
        <v>0</v>
      </c>
      <c r="BB3" s="340">
        <f>IF(OR(A3="DateCum",B3=""),0,SUMIFS(AY:AY,B:B,B3)+SUMIFS(AZ:AZ,B:B,B3)+SUMIFS(BA:BA,B:B,B3)+H3)</f>
        <v>0</v>
      </c>
      <c r="BC3" s="340">
        <f>IF(OR(AI3&lt;&gt;1,B3=""),0,SUMIFS(AY:AY,B:B,B3)+SUMIFS(AZ:AZ,B:B,B3)+SUMIFS(BA:BA,B:B,B3)+IF(AI3=1,H3,0))</f>
        <v>0</v>
      </c>
      <c r="BD3" s="342">
        <f>IF(AI3&lt;&gt;1,0,SUMIFS(L:L,B:B,B3))</f>
        <v>0</v>
      </c>
      <c r="BE3" s="343">
        <f>IF(OR(AI3&lt;&gt;1,B3=""),0,SUMIFS(AW:AW,B:B,B3)+IF(AI3=1,H3,0))</f>
        <v>0</v>
      </c>
    </row>
    <row r="4" spans="1:61" ht="63" customHeight="1">
      <c r="A4" s="44"/>
      <c r="B4" s="119" t="str">
        <f t="shared" ref="B4:L4" si="1">B5</f>
        <v>Acct#</v>
      </c>
      <c r="C4" s="119" t="str">
        <f t="shared" si="1"/>
        <v>Order #</v>
      </c>
      <c r="D4" s="119" t="str">
        <f t="shared" si="1"/>
        <v>Asset Class</v>
      </c>
      <c r="E4" s="119" t="str">
        <f t="shared" si="1"/>
        <v>Ticker Code</v>
      </c>
      <c r="F4" s="344" t="str">
        <f t="shared" si="1"/>
        <v>Date/ Time</v>
      </c>
      <c r="G4" s="344" t="str">
        <f t="shared" si="1"/>
        <v>Currency</v>
      </c>
      <c r="H4" s="345" t="str">
        <f t="shared" si="1"/>
        <v>Post-Trade Cash Balance</v>
      </c>
      <c r="I4" s="345" t="str">
        <f t="shared" si="1"/>
        <v>Post-Trade Total Securities Value Balance</v>
      </c>
      <c r="J4" s="345" t="str">
        <f t="shared" si="1"/>
        <v>Post-Trade Total Asset Balance</v>
      </c>
      <c r="K4" s="345" t="str">
        <f t="shared" si="1"/>
        <v>Post-Trade Ava Margin Balance</v>
      </c>
      <c r="L4" s="345" t="str">
        <f t="shared" si="1"/>
        <v>Post-Trade Margin Loan Balance</v>
      </c>
      <c r="M4" s="346" t="str">
        <f t="shared" ref="M4:AF4" si="2">RIGHT(M5,LEN(M5)-7)</f>
        <v>Proposed Total Traded Notional</v>
      </c>
      <c r="N4" s="347" t="str">
        <f t="shared" si="2"/>
        <v>Proposed Total Margin Req</v>
      </c>
      <c r="O4" s="348" t="str">
        <f t="shared" si="2"/>
        <v>Stock Traded (Long)</v>
      </c>
      <c r="P4" s="349" t="str">
        <f t="shared" si="2"/>
        <v>Stock Traded (Short)</v>
      </c>
      <c r="Q4" s="350" t="str">
        <f t="shared" si="2"/>
        <v>Stock Price (Executed) (HKD)</v>
      </c>
      <c r="R4" s="350" t="str">
        <f t="shared" si="2"/>
        <v>QTY Stock (# of shrs)</v>
      </c>
      <c r="S4" s="351" t="str">
        <f t="shared" si="2"/>
        <v>Bond Price (Executed)</v>
      </c>
      <c r="T4" s="351" t="str">
        <f t="shared" si="2"/>
        <v>Bond Qty</v>
      </c>
      <c r="U4" s="352" t="str">
        <f t="shared" si="2"/>
        <v>Option Price (Executed)</v>
      </c>
      <c r="V4" s="352" t="str">
        <f t="shared" si="2"/>
        <v>Option Qty</v>
      </c>
      <c r="W4" s="353" t="str">
        <f t="shared" si="2"/>
        <v>TD Qty</v>
      </c>
      <c r="X4" s="354" t="str">
        <f t="shared" si="2"/>
        <v>Stock Previous Cum Qty Balance</v>
      </c>
      <c r="Y4" s="355" t="str">
        <f t="shared" si="2"/>
        <v>Bond Previous Cum Qty Balance</v>
      </c>
      <c r="Z4" s="356" t="str">
        <f t="shared" si="2"/>
        <v>Option Previous Cum Qty Balance</v>
      </c>
      <c r="AA4" s="357" t="str">
        <f t="shared" si="2"/>
        <v>TD Previous Cum Qty Balance</v>
      </c>
      <c r="AB4" s="358" t="str">
        <f t="shared" si="2"/>
        <v>Stock Proposed Cumulative Qty</v>
      </c>
      <c r="AC4" s="359" t="str">
        <f t="shared" si="2"/>
        <v>Bond Proposed Cumulative Qty</v>
      </c>
      <c r="AD4" s="360" t="str">
        <f t="shared" si="2"/>
        <v>Option Proposed Cumulative Qty</v>
      </c>
      <c r="AE4" s="361" t="str">
        <f t="shared" si="2"/>
        <v>TD Proposed Cumulative Qty</v>
      </c>
      <c r="AF4" s="362" t="str">
        <f t="shared" si="2"/>
        <v>Margin QTY adj -(ABS(PropQ)-ABS(PrevQ))</v>
      </c>
      <c r="AG4" s="363" t="s">
        <v>323</v>
      </c>
      <c r="AH4" s="363" t="s">
        <v>324</v>
      </c>
      <c r="AI4" s="363" t="s">
        <v>325</v>
      </c>
      <c r="AJ4" s="363" t="s">
        <v>226</v>
      </c>
      <c r="AK4" s="364" t="s">
        <v>326</v>
      </c>
      <c r="AL4" s="365" t="s">
        <v>327</v>
      </c>
      <c r="AM4" s="365" t="s">
        <v>328</v>
      </c>
      <c r="AN4" s="365" t="s">
        <v>329</v>
      </c>
      <c r="AO4" s="366" t="s">
        <v>330</v>
      </c>
      <c r="AP4" s="366" t="s">
        <v>61</v>
      </c>
      <c r="AQ4" s="367" t="s">
        <v>331</v>
      </c>
      <c r="AR4" s="367" t="s">
        <v>332</v>
      </c>
      <c r="AS4" s="367" t="s">
        <v>333</v>
      </c>
      <c r="AT4" s="73" t="s">
        <v>334</v>
      </c>
      <c r="AU4" s="73" t="s">
        <v>335</v>
      </c>
      <c r="AV4" s="73" t="s">
        <v>336</v>
      </c>
      <c r="AW4" s="73" t="s">
        <v>337</v>
      </c>
      <c r="AX4" s="73" t="s">
        <v>338</v>
      </c>
      <c r="AY4" s="73" t="s">
        <v>339</v>
      </c>
      <c r="AZ4" s="73" t="s">
        <v>340</v>
      </c>
      <c r="BA4" s="73" t="s">
        <v>341</v>
      </c>
      <c r="BB4" s="73" t="s">
        <v>342</v>
      </c>
      <c r="BC4" s="73" t="s">
        <v>343</v>
      </c>
      <c r="BD4" s="368" t="s">
        <v>344</v>
      </c>
      <c r="BE4" s="73" t="s">
        <v>345</v>
      </c>
      <c r="BF4" s="73"/>
      <c r="BG4" s="73"/>
      <c r="BH4" s="73"/>
      <c r="BI4" s="73"/>
    </row>
    <row r="5" spans="1:61" ht="13" outlineLevel="1">
      <c r="A5" s="369" t="s">
        <v>346</v>
      </c>
      <c r="B5" s="10" t="s">
        <v>103</v>
      </c>
      <c r="C5" s="10" t="s">
        <v>105</v>
      </c>
      <c r="D5" s="10" t="s">
        <v>110</v>
      </c>
      <c r="E5" s="10" t="s">
        <v>109</v>
      </c>
      <c r="F5" s="153" t="s">
        <v>106</v>
      </c>
      <c r="G5" s="10" t="s">
        <v>119</v>
      </c>
      <c r="H5" s="116" t="s">
        <v>303</v>
      </c>
      <c r="I5" s="116" t="s">
        <v>304</v>
      </c>
      <c r="J5" s="116" t="s">
        <v>305</v>
      </c>
      <c r="K5" s="116" t="s">
        <v>306</v>
      </c>
      <c r="L5" s="116" t="s">
        <v>307</v>
      </c>
      <c r="M5" s="116" t="s">
        <v>347</v>
      </c>
      <c r="N5" s="116" t="s">
        <v>348</v>
      </c>
      <c r="O5" s="10" t="s">
        <v>349</v>
      </c>
      <c r="P5" s="10" t="s">
        <v>350</v>
      </c>
      <c r="Q5" s="10" t="s">
        <v>351</v>
      </c>
      <c r="R5" s="10" t="s">
        <v>352</v>
      </c>
      <c r="S5" s="10" t="s">
        <v>353</v>
      </c>
      <c r="T5" s="10" t="s">
        <v>354</v>
      </c>
      <c r="U5" s="10" t="s">
        <v>355</v>
      </c>
      <c r="V5" s="10" t="s">
        <v>356</v>
      </c>
      <c r="W5" s="10" t="s">
        <v>357</v>
      </c>
      <c r="X5" s="10" t="s">
        <v>358</v>
      </c>
      <c r="Y5" s="10" t="s">
        <v>359</v>
      </c>
      <c r="Z5" s="10" t="s">
        <v>360</v>
      </c>
      <c r="AA5" s="10" t="s">
        <v>361</v>
      </c>
      <c r="AB5" s="332" t="s">
        <v>362</v>
      </c>
      <c r="AC5" s="10" t="s">
        <v>363</v>
      </c>
      <c r="AD5" s="10" t="s">
        <v>364</v>
      </c>
      <c r="AE5" s="10" t="s">
        <v>365</v>
      </c>
      <c r="AF5" s="10" t="s">
        <v>366</v>
      </c>
      <c r="AG5" s="332">
        <f t="shared" ref="AG5:AG42" si="3">IF(D5="Stock",R5,IF(D5="Bond",T5,IF(D5="Option",V5,IF(D5="TD",W5,0))))</f>
        <v>0</v>
      </c>
      <c r="AH5" s="10">
        <f t="shared" ref="AH5:AH42" si="4">IF(D5="Stock",AK5,IF(AND(D5="Bond",AG5&gt;0),AL5,IF(AND(D5="Bond",AG5&lt;0),AMR5,IF(D5="Option",AN5,IF(D5="TD",1,IF(D5="Cash",1,0))))))</f>
        <v>0</v>
      </c>
      <c r="AI5" s="31" t="e">
        <f t="shared" ref="AI5:AI42" ca="1" si="5">IF(B5="",0,IF(C5=_xludf.maxifs(C:C,A:A,A5,B:B,B5),1,0))</f>
        <v>#NAME?</v>
      </c>
      <c r="AJ5" s="370">
        <f ca="1">IF(OR(A5="DateCum",A5=""),0,IF(G5="HKD",1,OFFSET(FX!$A$5,MATCH(A5,FX!A:A,0)-ROW(FX!$A$5),MATCH(G5,FX!$A$5:$AM$5,0)-1,1,1)))</f>
        <v>0</v>
      </c>
      <c r="AK5" s="371">
        <f ca="1">IF($D5="Stock",OFFSET(HistPrices!$A$8,MATCH($A5,HistPrices!$A:$A,0)-ROW(HistPrices!$A$8)+3,MATCH($E5,HistPrices!$8:$8,0)-1,1,1),0)</f>
        <v>0</v>
      </c>
      <c r="AL5" s="371">
        <f ca="1">IF($D5="Bond",OFFSET(HistPrices!$A$8,MATCH($A5,HistPrices!$A:$A,0)-ROW(HistPrices!$A$8)+5,MATCH($E5,HistPrices!$8:$8,0)-1,1,1),0)</f>
        <v>0</v>
      </c>
      <c r="AM5" s="371">
        <f ca="1">IF($D5="Bond",OFFSET(HistPrices!$A$8,MATCH($A5,HistPrices!$A:$A,0)-ROW(HistPrices!$A$8)+6,MATCH($E5,HistPrices!$8:$8,0)-1,1,1),0)</f>
        <v>0</v>
      </c>
      <c r="AN5" s="371">
        <f ca="1">IF($D5="Option",OFFSET(HistPrices!$A$8,MATCH($A5,HistPrices!$A:$A,0)-ROW(HistPrices!$A$8)+3,MATCH($E5,HistPrices!$8:$8,0)-1,1,1),0)</f>
        <v>0</v>
      </c>
      <c r="AO5" s="217">
        <f t="shared" ref="AO5:AO42" si="6">IF(D5="Option",RIGHT(E5,6)/1000,0)</f>
        <v>0</v>
      </c>
      <c r="AP5" s="217">
        <f t="shared" ref="AP5:AP42" si="7">IF(D5="TD",1,0)</f>
        <v>0</v>
      </c>
      <c r="AQ5" s="336">
        <f t="shared" ref="AQ5:AQ42" si="8">IF(OR(A5="DateCum",A5=""),0,IF(B5&lt;&gt;B4,1,IF(COUNTIFS($E$5:E5,E5,$B$5:B5,B5)=1,AQ4+1,AQ4)))</f>
        <v>0</v>
      </c>
      <c r="AR5" s="336">
        <f t="shared" ref="AR5:AR42" si="9">IF(OR(A5="DateCum",A5=""),0,IF(D5="Bond",10,IF(D5="Option",100,1))*AG5*AH5*AJ5)</f>
        <v>0</v>
      </c>
      <c r="AS5" s="336">
        <f t="shared" ref="AS5:AS42" si="10">IF(OR(A5="DateCum",A5=""),0,SUMIFS(AR:AR,B:B,B5,E:E,E5))</f>
        <v>0</v>
      </c>
      <c r="AT5" s="116">
        <f t="shared" ref="AT5:AT42" si="11">IF(OR(A5="DateCum",A5=""),0,IF(COUNTIFS($E$5:E5,E5,$B$5:B5,B5)&gt;1,0,1))</f>
        <v>0</v>
      </c>
      <c r="AU5" s="116">
        <f t="shared" ref="AU5:AU42" si="12">IF(OR(A5="DateCum",A5=""),0,IF(AI5=1,SUMIFS(AS:AS,AT:AT,1,B:B,B5,AS:AS,"&gt;"&amp;0),0))</f>
        <v>0</v>
      </c>
      <c r="AV5" s="116">
        <f t="shared" ref="AV5:AV42" si="13">IF(OR(A5="DateCum",A5=""),0,IF(AI5=1,SUMIFS(AS:AS,AT:AT,1,B:B,B5,AS:AS,"&lt;"&amp;0),0))</f>
        <v>0</v>
      </c>
      <c r="AW5" s="116">
        <f t="shared" ref="AW5:AW42" si="14">IF(OR(A5="DateCum",A5=""),0,AU5+AV5)</f>
        <v>0</v>
      </c>
      <c r="AX5" s="116">
        <f>IF(OR(A5="DateCum",A5=""),0,IF(D5="Cash",M5,IF(D5&lt;&gt;"Option",AF5*AJ5*IF(D5="Stock",AK5,IF(D5="Bond",AVERAGE(AL5:AM5)*10,IF(D5="TD",AP5,""))),IF(AND(D5="Option",AG5&gt;0),0,VLOOKUP(C5,'1TradeRecord'!$B:$EE,134,FALSE)))))</f>
        <v>0</v>
      </c>
      <c r="AY5" s="116">
        <f t="shared" ref="AY5:AY42" si="15">IF(OR(A5="DateCum",A5=""),0,$BB$2*BD5/365*-1)</f>
        <v>0</v>
      </c>
      <c r="AZ5" s="116">
        <f t="shared" ref="AZ5:AZ42" si="16">IF(OR(A5="DateCum",A5=""),0,IF(AB5&lt;0,AB5,IF(AC5&lt;0,AC5,IF(AE5&lt;0,AE5,0)))*AH5*AJ5*$BC$2/365)</f>
        <v>0</v>
      </c>
      <c r="BA5" s="116">
        <f t="shared" ref="BA5:BA42" si="17">IF(OR(A5="DateCum",A5=""),0,IF(AE5&gt;0,IF(E5="1m",$BD$1,$BD$2)*AE5/365,0))</f>
        <v>0</v>
      </c>
      <c r="BB5" s="116">
        <f t="shared" ref="BB5:BB42" si="18">IF(OR(A5="DateCum",B5=""),0,SUMIFS(AY:AY,B:B,B5)+SUMIFS(AZ:AZ,B:B,B5)+SUMIFS(BA:BA,B:B,B5)+H5)</f>
        <v>0</v>
      </c>
      <c r="BC5" s="116" t="e">
        <f t="shared" ref="BC5:BC42" ca="1" si="19">IF(OR(AI5&lt;&gt;1,B5=""),0,SUMIFS(AY:AY,B:B,B5)+SUMIFS(AZ:AZ,B:B,B5)+SUMIFS(BA:BA,B:B,B5)+IF(AI5=1,H5,0))</f>
        <v>#NAME?</v>
      </c>
      <c r="BD5" s="368" t="e">
        <f t="shared" ref="BD5:BD42" ca="1" si="20">IF(AI5&lt;&gt;1,0,SUMIFS(L:L,B:B,B5))</f>
        <v>#NAME?</v>
      </c>
      <c r="BE5" s="73" t="e">
        <f t="shared" ref="BE5:BE42" ca="1" si="21">IF(OR(AI5&lt;&gt;1,B5=""),0,SUMIFS(AW:AW,B:B,B5)+IF(AI5=1,H5,0))</f>
        <v>#NAME?</v>
      </c>
      <c r="BF5" s="73"/>
      <c r="BG5" s="73"/>
      <c r="BH5" s="73"/>
      <c r="BI5" s="73"/>
    </row>
    <row r="6" spans="1:61" ht="13">
      <c r="A6" s="151">
        <f t="shared" ref="A6:A43" si="22">IF(B6="","",$E$1)</f>
        <v>44566</v>
      </c>
      <c r="B6" s="10" t="s">
        <v>183</v>
      </c>
      <c r="C6" s="10">
        <v>44561000005</v>
      </c>
      <c r="D6" s="10" t="s">
        <v>64</v>
      </c>
      <c r="E6" s="10" t="s">
        <v>64</v>
      </c>
      <c r="F6" s="151">
        <v>44561</v>
      </c>
      <c r="G6" s="10" t="s">
        <v>39</v>
      </c>
      <c r="H6" s="116">
        <v>500000</v>
      </c>
      <c r="I6" s="116">
        <v>0</v>
      </c>
      <c r="J6" s="116">
        <v>500000</v>
      </c>
      <c r="K6" s="116">
        <v>0</v>
      </c>
      <c r="L6" s="116">
        <v>0</v>
      </c>
      <c r="M6" s="116">
        <v>500000</v>
      </c>
      <c r="N6" s="116">
        <v>500000</v>
      </c>
      <c r="O6" s="116">
        <v>0</v>
      </c>
      <c r="P6" s="116">
        <v>0</v>
      </c>
      <c r="Q6" s="76">
        <v>0</v>
      </c>
      <c r="R6" s="10">
        <v>0</v>
      </c>
      <c r="S6" s="331">
        <v>0</v>
      </c>
      <c r="T6" s="10">
        <v>0</v>
      </c>
      <c r="U6" s="330">
        <v>0</v>
      </c>
      <c r="V6" s="116">
        <v>0</v>
      </c>
      <c r="W6" s="31">
        <v>0</v>
      </c>
      <c r="X6" s="31">
        <v>0</v>
      </c>
      <c r="Y6" s="10">
        <v>0</v>
      </c>
      <c r="Z6" s="10">
        <v>0</v>
      </c>
      <c r="AA6" s="10">
        <v>0</v>
      </c>
      <c r="AB6" s="332">
        <v>0</v>
      </c>
      <c r="AC6" s="10">
        <v>0</v>
      </c>
      <c r="AD6" s="10">
        <v>0</v>
      </c>
      <c r="AE6" s="10">
        <v>0</v>
      </c>
      <c r="AF6" s="332">
        <v>0</v>
      </c>
      <c r="AG6" s="332">
        <f t="shared" si="3"/>
        <v>0</v>
      </c>
      <c r="AH6" s="10">
        <f t="shared" si="4"/>
        <v>1</v>
      </c>
      <c r="AI6" s="31" t="e">
        <f t="shared" ca="1" si="5"/>
        <v>#NAME?</v>
      </c>
      <c r="AJ6" s="370">
        <f ca="1">IF(OR(A6="DateCum",A6=""),0,IF(G6="HKD",1,OFFSET(FX!$A$5,MATCH(A6,FX!A:A,0)-ROW(FX!$A$5),MATCH(G6,FX!$A$5:$AM$5,0)-1,1,1)))</f>
        <v>1</v>
      </c>
      <c r="AK6" s="371">
        <f ca="1">IF($D6="Stock",OFFSET(HistPrices!$A$8,MATCH($A6,HistPrices!$A:$A,0)-ROW(HistPrices!$A$8)+3,MATCH($E6,HistPrices!$8:$8,0)-1,1,1),0)</f>
        <v>0</v>
      </c>
      <c r="AL6" s="371">
        <f ca="1">IF($D6="Bond",OFFSET(HistPrices!$A$8,MATCH($A6,HistPrices!$A:$A,0)-ROW(HistPrices!$A$8)+5,MATCH($E6,HistPrices!$8:$8,0)-1,1,1),0)</f>
        <v>0</v>
      </c>
      <c r="AM6" s="371">
        <f ca="1">IF($D6="Bond",OFFSET(HistPrices!$A$8,MATCH($A6,HistPrices!$A:$A,0)-ROW(HistPrices!$A$8)+6,MATCH($E6,HistPrices!$8:$8,0)-1,1,1),0)</f>
        <v>0</v>
      </c>
      <c r="AN6" s="371">
        <f ca="1">IF($D6="Option",OFFSET(HistPrices!$A$8,MATCH($A6,HistPrices!$A:$A,0)-ROW(HistPrices!$A$8)+3,MATCH($E6,HistPrices!$8:$8,0)-1,1,1),0)</f>
        <v>0</v>
      </c>
      <c r="AO6" s="217">
        <f t="shared" si="6"/>
        <v>0</v>
      </c>
      <c r="AP6" s="217">
        <f t="shared" si="7"/>
        <v>0</v>
      </c>
      <c r="AQ6" s="336">
        <f t="shared" si="8"/>
        <v>1</v>
      </c>
      <c r="AR6" s="336">
        <f t="shared" ca="1" si="9"/>
        <v>0</v>
      </c>
      <c r="AS6" s="336">
        <f t="shared" ca="1" si="10"/>
        <v>0</v>
      </c>
      <c r="AT6" s="116">
        <f t="shared" si="11"/>
        <v>1</v>
      </c>
      <c r="AU6" s="116" t="e">
        <f t="shared" ca="1" si="12"/>
        <v>#NAME?</v>
      </c>
      <c r="AV6" s="116" t="e">
        <f t="shared" ca="1" si="13"/>
        <v>#NAME?</v>
      </c>
      <c r="AW6" s="116" t="e">
        <f t="shared" ca="1" si="14"/>
        <v>#NAME?</v>
      </c>
      <c r="AX6" s="116">
        <f>IF(OR(A6="DateCum",A6=""),0,IF(D6="Cash",M6,IF(D6&lt;&gt;"Option",AF6*AJ6*IF(D6="Stock",AK6,IF(D6="Bond",AVERAGE(AL6:AM6)*10,IF(D6="TD",AP6,""))),IF(AND(D6="Option",AG6&gt;0),0,VLOOKUP(C6,'1TradeRecord'!$B:$EE,134,FALSE)))))</f>
        <v>500000</v>
      </c>
      <c r="AY6" s="116" t="e">
        <f t="shared" ca="1" si="15"/>
        <v>#NAME?</v>
      </c>
      <c r="AZ6" s="116">
        <f t="shared" ca="1" si="16"/>
        <v>0</v>
      </c>
      <c r="BA6" s="116">
        <f t="shared" si="17"/>
        <v>0</v>
      </c>
      <c r="BB6" s="116" t="e">
        <f t="shared" ca="1" si="18"/>
        <v>#NAME?</v>
      </c>
      <c r="BC6" s="116" t="e">
        <f t="shared" ca="1" si="19"/>
        <v>#NAME?</v>
      </c>
      <c r="BD6" s="368" t="e">
        <f t="shared" ca="1" si="20"/>
        <v>#NAME?</v>
      </c>
      <c r="BE6" s="73" t="e">
        <f t="shared" ca="1" si="21"/>
        <v>#NAME?</v>
      </c>
      <c r="BG6" s="73"/>
      <c r="BH6" s="73"/>
      <c r="BI6" s="73"/>
    </row>
    <row r="7" spans="1:61" ht="13">
      <c r="A7" s="151">
        <f t="shared" si="22"/>
        <v>44566</v>
      </c>
      <c r="B7" s="10" t="s">
        <v>183</v>
      </c>
      <c r="C7" s="10">
        <v>44562000011</v>
      </c>
      <c r="D7" s="10" t="s">
        <v>16</v>
      </c>
      <c r="E7" s="10" t="s">
        <v>42</v>
      </c>
      <c r="F7" s="151">
        <v>44562</v>
      </c>
      <c r="G7" s="10" t="s">
        <v>41</v>
      </c>
      <c r="H7" s="116">
        <v>447610.20799999998</v>
      </c>
      <c r="I7" s="116">
        <v>52389.792000000001</v>
      </c>
      <c r="J7" s="116">
        <v>500000</v>
      </c>
      <c r="K7" s="116">
        <v>447610.20799999998</v>
      </c>
      <c r="L7" s="116">
        <v>0</v>
      </c>
      <c r="M7" s="116">
        <v>-52389.792000000001</v>
      </c>
      <c r="N7" s="116">
        <v>-52389.792000000001</v>
      </c>
      <c r="O7" s="116">
        <v>52389.792000000001</v>
      </c>
      <c r="P7" s="116">
        <v>0</v>
      </c>
      <c r="Q7" s="76">
        <v>26194.896000000001</v>
      </c>
      <c r="R7" s="10">
        <v>2</v>
      </c>
      <c r="S7" s="331">
        <v>0</v>
      </c>
      <c r="T7" s="10">
        <v>0</v>
      </c>
      <c r="U7" s="330">
        <v>0</v>
      </c>
      <c r="V7" s="116">
        <v>0</v>
      </c>
      <c r="W7" s="31">
        <v>0</v>
      </c>
      <c r="X7" s="31">
        <v>0</v>
      </c>
      <c r="Y7" s="10">
        <v>0</v>
      </c>
      <c r="Z7" s="10">
        <v>0</v>
      </c>
      <c r="AA7" s="10">
        <v>0</v>
      </c>
      <c r="AB7" s="332">
        <v>2</v>
      </c>
      <c r="AC7" s="10">
        <v>0</v>
      </c>
      <c r="AD7" s="10">
        <v>0</v>
      </c>
      <c r="AE7" s="10">
        <v>0</v>
      </c>
      <c r="AF7" s="332">
        <v>-2</v>
      </c>
      <c r="AG7" s="332">
        <f t="shared" si="3"/>
        <v>2</v>
      </c>
      <c r="AH7" s="219">
        <f t="shared" ca="1" si="4"/>
        <v>430.6</v>
      </c>
      <c r="AI7" s="31" t="e">
        <f t="shared" ca="1" si="5"/>
        <v>#NAME?</v>
      </c>
      <c r="AJ7" s="370">
        <f ca="1">IF(OR(A7="DateCum",A7=""),0,IF(G7="HKD",1,OFFSET(FX!$A$5,MATCH(A7,FX!A:A,0)-ROW(FX!$A$5),MATCH(G7,FX!$A$5:$AM$5,0)-1,1,1)))</f>
        <v>7.7952399999999997</v>
      </c>
      <c r="AK7" s="371">
        <f ca="1">IF($D7="Stock",OFFSET(HistPrices!$A$8,MATCH($A7,HistPrices!$A:$A,0)-ROW(HistPrices!$A$8)+3,MATCH($E7,HistPrices!$8:$8,0)-1,1,1),0)</f>
        <v>430.6</v>
      </c>
      <c r="AL7" s="371">
        <f ca="1">IF($D7="Bond",OFFSET(HistPrices!$A$8,MATCH($A7,HistPrices!$A:$A,0)-ROW(HistPrices!$A$8)+5,MATCH($E7,HistPrices!$8:$8,0)-1,1,1),0)</f>
        <v>0</v>
      </c>
      <c r="AM7" s="371">
        <f ca="1">IF($D7="Bond",OFFSET(HistPrices!$A$8,MATCH($A7,HistPrices!$A:$A,0)-ROW(HistPrices!$A$8)+6,MATCH($E7,HistPrices!$8:$8,0)-1,1,1),0)</f>
        <v>0</v>
      </c>
      <c r="AN7" s="371">
        <f ca="1">IF($D7="Option",OFFSET(HistPrices!$A$8,MATCH($A7,HistPrices!$A:$A,0)-ROW(HistPrices!$A$8)+3,MATCH($E7,HistPrices!$8:$8,0)-1,1,1),0)</f>
        <v>0</v>
      </c>
      <c r="AO7" s="217">
        <f t="shared" si="6"/>
        <v>0</v>
      </c>
      <c r="AP7" s="217">
        <f t="shared" si="7"/>
        <v>0</v>
      </c>
      <c r="AQ7" s="336">
        <f t="shared" si="8"/>
        <v>2</v>
      </c>
      <c r="AR7" s="336">
        <f t="shared" ca="1" si="9"/>
        <v>6713.2606880000003</v>
      </c>
      <c r="AS7" s="336">
        <f t="shared" ca="1" si="10"/>
        <v>6713.2606880000003</v>
      </c>
      <c r="AT7" s="116">
        <f t="shared" si="11"/>
        <v>1</v>
      </c>
      <c r="AU7" s="116" t="e">
        <f t="shared" ca="1" si="12"/>
        <v>#NAME?</v>
      </c>
      <c r="AV7" s="116" t="e">
        <f t="shared" ca="1" si="13"/>
        <v>#NAME?</v>
      </c>
      <c r="AW7" s="116" t="e">
        <f t="shared" ca="1" si="14"/>
        <v>#NAME?</v>
      </c>
      <c r="AX7" s="116">
        <f ca="1">IF(OR(A7="DateCum",A7=""),0,IF(D7="Cash",M7,IF(D7&lt;&gt;"Option",AF7*AJ7*IF(D7="Stock",AK7,IF(D7="Bond",AVERAGE(AL7:AM7)*10,IF(D7="TD",AP7,""))),IF(AND(D7="Option",AG7&gt;0),0,VLOOKUP(C7,'1TradeRecord'!$B:$EE,134,FALSE)))))</f>
        <v>-6713.2606880000003</v>
      </c>
      <c r="AY7" s="116" t="e">
        <f t="shared" ca="1" si="15"/>
        <v>#NAME?</v>
      </c>
      <c r="AZ7" s="116">
        <f t="shared" ca="1" si="16"/>
        <v>0</v>
      </c>
      <c r="BA7" s="116">
        <f t="shared" si="17"/>
        <v>0</v>
      </c>
      <c r="BB7" s="116" t="e">
        <f t="shared" ca="1" si="18"/>
        <v>#NAME?</v>
      </c>
      <c r="BC7" s="116" t="e">
        <f t="shared" ca="1" si="19"/>
        <v>#NAME?</v>
      </c>
      <c r="BD7" s="368" t="e">
        <f t="shared" ca="1" si="20"/>
        <v>#NAME?</v>
      </c>
      <c r="BE7" s="73" t="e">
        <f t="shared" ca="1" si="21"/>
        <v>#NAME?</v>
      </c>
      <c r="BG7" s="73"/>
      <c r="BH7" s="73"/>
      <c r="BI7" s="73"/>
    </row>
    <row r="8" spans="1:61" ht="13">
      <c r="A8" s="151">
        <f t="shared" si="22"/>
        <v>44566</v>
      </c>
      <c r="B8" s="10" t="s">
        <v>183</v>
      </c>
      <c r="C8" s="10">
        <v>44563000012</v>
      </c>
      <c r="D8" s="10" t="s">
        <v>16</v>
      </c>
      <c r="E8" s="61" t="s">
        <v>38</v>
      </c>
      <c r="F8" s="151">
        <v>44563</v>
      </c>
      <c r="G8" s="10" t="s">
        <v>39</v>
      </c>
      <c r="H8" s="116">
        <v>443010.20799999998</v>
      </c>
      <c r="I8" s="116">
        <v>56989.792000000001</v>
      </c>
      <c r="J8" s="116">
        <v>500000</v>
      </c>
      <c r="K8" s="116">
        <v>443010.20799999998</v>
      </c>
      <c r="L8" s="116">
        <v>0</v>
      </c>
      <c r="M8" s="116">
        <v>-4600</v>
      </c>
      <c r="N8" s="116">
        <v>-4600</v>
      </c>
      <c r="O8" s="116">
        <v>4600</v>
      </c>
      <c r="P8" s="116">
        <v>0</v>
      </c>
      <c r="Q8" s="76">
        <v>460</v>
      </c>
      <c r="R8" s="10">
        <v>10</v>
      </c>
      <c r="S8" s="331">
        <v>0</v>
      </c>
      <c r="T8" s="10">
        <v>0</v>
      </c>
      <c r="U8" s="330">
        <v>0</v>
      </c>
      <c r="V8" s="116">
        <v>0</v>
      </c>
      <c r="W8" s="31">
        <v>0</v>
      </c>
      <c r="X8" s="31">
        <v>0</v>
      </c>
      <c r="Y8" s="10">
        <v>0</v>
      </c>
      <c r="Z8" s="10">
        <v>0</v>
      </c>
      <c r="AA8" s="10">
        <v>0</v>
      </c>
      <c r="AB8" s="332">
        <v>10</v>
      </c>
      <c r="AC8" s="10">
        <v>0</v>
      </c>
      <c r="AD8" s="10">
        <v>0</v>
      </c>
      <c r="AE8" s="10">
        <v>0</v>
      </c>
      <c r="AF8" s="332">
        <v>-10</v>
      </c>
      <c r="AG8" s="332">
        <f t="shared" si="3"/>
        <v>10</v>
      </c>
      <c r="AH8" s="372">
        <f t="shared" ca="1" si="4"/>
        <v>2024</v>
      </c>
      <c r="AI8" s="31" t="e">
        <f t="shared" ca="1" si="5"/>
        <v>#NAME?</v>
      </c>
      <c r="AJ8" s="10">
        <f ca="1">IF(OR(A8="DateCum",A8=""),0,IF(G8="HKD",1,OFFSET(FX!$A$5,MATCH(A8,FX!A:A,0)-ROW(FX!$A$5),MATCH(G8,FX!$A$5:$AM$5,0)-1,1,1)))</f>
        <v>1</v>
      </c>
      <c r="AK8" s="373">
        <f ca="1">IF($D8="Stock",OFFSET(HistPrices!$A$8,MATCH($A8,HistPrices!$A:$A,0)-ROW(HistPrices!$A$8)+3,MATCH($E8,HistPrices!$8:$8,0)-1,1,1),0)</f>
        <v>2024</v>
      </c>
      <c r="AL8" s="104">
        <f ca="1">IF($D8="Bond",OFFSET(HistPrices!$A$8,MATCH($A8,HistPrices!$A:$A,0)-ROW(HistPrices!$A$8)+5,MATCH($E8,HistPrices!$8:$8,0)-1,1,1),0)</f>
        <v>0</v>
      </c>
      <c r="AM8" s="104">
        <f ca="1">IF($D8="Bond",OFFSET(HistPrices!$A$8,MATCH($A8,HistPrices!$A:$A,0)-ROW(HistPrices!$A$8)+6,MATCH($E8,HistPrices!$8:$8,0)-1,1,1),0)</f>
        <v>0</v>
      </c>
      <c r="AN8" s="104">
        <f ca="1">IF($D8="Option",OFFSET(HistPrices!$A$8,MATCH($A8,HistPrices!$A:$A,0)-ROW(HistPrices!$A$8)+3,MATCH($E8,HistPrices!$8:$8,0)-1,1,1),0)</f>
        <v>0</v>
      </c>
      <c r="AO8" s="104">
        <f t="shared" si="6"/>
        <v>0</v>
      </c>
      <c r="AP8" s="104">
        <f t="shared" si="7"/>
        <v>0</v>
      </c>
      <c r="AQ8" s="336">
        <f t="shared" si="8"/>
        <v>3</v>
      </c>
      <c r="AR8" s="336">
        <f t="shared" ca="1" si="9"/>
        <v>20240</v>
      </c>
      <c r="AS8" s="336">
        <f t="shared" ca="1" si="10"/>
        <v>20240</v>
      </c>
      <c r="AT8" s="116">
        <f t="shared" si="11"/>
        <v>1</v>
      </c>
      <c r="AU8" s="116" t="e">
        <f t="shared" ca="1" si="12"/>
        <v>#NAME?</v>
      </c>
      <c r="AV8" s="116" t="e">
        <f t="shared" ca="1" si="13"/>
        <v>#NAME?</v>
      </c>
      <c r="AW8" s="116" t="e">
        <f t="shared" ca="1" si="14"/>
        <v>#NAME?</v>
      </c>
      <c r="AX8" s="116">
        <f ca="1">IF(OR(A8="DateCum",A8=""),0,IF(D8="Cash",M8,IF(D8&lt;&gt;"Option",AF8*AJ8*IF(D8="Stock",AK8,IF(D8="Bond",AVERAGE(AL8:AM8)*10,IF(D8="TD",AP8,""))),IF(AND(D8="Option",AG8&gt;0),0,VLOOKUP(C8,'1TradeRecord'!$B:$EE,134,FALSE)))))</f>
        <v>-20240</v>
      </c>
      <c r="AY8" s="116" t="e">
        <f t="shared" ca="1" si="15"/>
        <v>#NAME?</v>
      </c>
      <c r="AZ8" s="116">
        <f t="shared" ca="1" si="16"/>
        <v>0</v>
      </c>
      <c r="BA8" s="116">
        <f t="shared" si="17"/>
        <v>0</v>
      </c>
      <c r="BB8" s="116" t="e">
        <f t="shared" ca="1" si="18"/>
        <v>#NAME?</v>
      </c>
      <c r="BC8" s="116" t="e">
        <f t="shared" ca="1" si="19"/>
        <v>#NAME?</v>
      </c>
      <c r="BD8" s="368" t="e">
        <f t="shared" ca="1" si="20"/>
        <v>#NAME?</v>
      </c>
      <c r="BE8" s="10" t="e">
        <f t="shared" ca="1" si="21"/>
        <v>#NAME?</v>
      </c>
    </row>
    <row r="9" spans="1:61" ht="13">
      <c r="A9" s="151">
        <f t="shared" si="22"/>
        <v>44566</v>
      </c>
      <c r="B9" s="10" t="s">
        <v>183</v>
      </c>
      <c r="C9" s="10">
        <v>44563000013</v>
      </c>
      <c r="D9" s="10" t="s">
        <v>16</v>
      </c>
      <c r="E9" s="61" t="s">
        <v>40</v>
      </c>
      <c r="F9" s="151">
        <v>44563</v>
      </c>
      <c r="G9" s="10" t="s">
        <v>29</v>
      </c>
      <c r="H9" s="116">
        <v>480735.87624999997</v>
      </c>
      <c r="I9" s="116">
        <v>19264.123750000006</v>
      </c>
      <c r="J9" s="116">
        <v>500000</v>
      </c>
      <c r="K9" s="116">
        <v>409884.53975</v>
      </c>
      <c r="L9" s="116">
        <v>0</v>
      </c>
      <c r="M9" s="116">
        <v>37725.668249999995</v>
      </c>
      <c r="N9" s="116">
        <v>-37725.668249999995</v>
      </c>
      <c r="O9" s="116">
        <v>0</v>
      </c>
      <c r="P9" s="116">
        <v>-37725.668249999995</v>
      </c>
      <c r="Q9" s="76">
        <v>2515.0445499999996</v>
      </c>
      <c r="R9" s="10">
        <v>-15</v>
      </c>
      <c r="S9" s="331">
        <v>0</v>
      </c>
      <c r="T9" s="10">
        <v>0</v>
      </c>
      <c r="U9" s="330">
        <v>0</v>
      </c>
      <c r="V9" s="116">
        <v>0</v>
      </c>
      <c r="W9" s="31">
        <v>0</v>
      </c>
      <c r="X9" s="31">
        <v>0</v>
      </c>
      <c r="Y9" s="10">
        <v>0</v>
      </c>
      <c r="Z9" s="10">
        <v>0</v>
      </c>
      <c r="AA9" s="10">
        <v>0</v>
      </c>
      <c r="AB9" s="332">
        <v>-15</v>
      </c>
      <c r="AC9" s="10">
        <v>0</v>
      </c>
      <c r="AD9" s="10">
        <v>0</v>
      </c>
      <c r="AE9" s="10">
        <v>0</v>
      </c>
      <c r="AF9" s="332">
        <v>-15</v>
      </c>
      <c r="AG9" s="332">
        <f t="shared" si="3"/>
        <v>-15</v>
      </c>
      <c r="AH9" s="372">
        <f t="shared" ca="1" si="4"/>
        <v>758</v>
      </c>
      <c r="AI9" s="31" t="e">
        <f t="shared" ca="1" si="5"/>
        <v>#NAME?</v>
      </c>
      <c r="AJ9" s="10">
        <f ca="1">IF(OR(A9="DateCum",A9=""),0,IF(G9="HKD",1,OFFSET(FX!$A$5,MATCH(A9,FX!A:A,0)-ROW(FX!$A$5),MATCH(G9,FX!$A$5:$AM$5,0)-1,1,1)))</f>
        <v>1.224766</v>
      </c>
      <c r="AK9" s="373">
        <f ca="1">IF($D9="Stock",OFFSET(HistPrices!$A$8,MATCH($A9,HistPrices!$A:$A,0)-ROW(HistPrices!$A$8)+3,MATCH($E9,HistPrices!$8:$8,0)-1,1,1),0)</f>
        <v>758</v>
      </c>
      <c r="AL9" s="104">
        <f ca="1">IF($D9="Bond",OFFSET(HistPrices!$A$8,MATCH($A9,HistPrices!$A:$A,0)-ROW(HistPrices!$A$8)+5,MATCH($E9,HistPrices!$8:$8,0)-1,1,1),0)</f>
        <v>0</v>
      </c>
      <c r="AM9" s="104">
        <f ca="1">IF($D9="Bond",OFFSET(HistPrices!$A$8,MATCH($A9,HistPrices!$A:$A,0)-ROW(HistPrices!$A$8)+6,MATCH($E9,HistPrices!$8:$8,0)-1,1,1),0)</f>
        <v>0</v>
      </c>
      <c r="AN9" s="104">
        <f ca="1">IF($D9="Option",OFFSET(HistPrices!$A$8,MATCH($A9,HistPrices!$A:$A,0)-ROW(HistPrices!$A$8)+3,MATCH($E9,HistPrices!$8:$8,0)-1,1,1),0)</f>
        <v>0</v>
      </c>
      <c r="AO9" s="104">
        <f t="shared" si="6"/>
        <v>0</v>
      </c>
      <c r="AP9" s="104">
        <f t="shared" si="7"/>
        <v>0</v>
      </c>
      <c r="AQ9" s="336">
        <f t="shared" si="8"/>
        <v>4</v>
      </c>
      <c r="AR9" s="336">
        <f t="shared" ca="1" si="9"/>
        <v>-13925.58942</v>
      </c>
      <c r="AS9" s="336">
        <f t="shared" ca="1" si="10"/>
        <v>-13925.58942</v>
      </c>
      <c r="AT9" s="116">
        <f t="shared" si="11"/>
        <v>1</v>
      </c>
      <c r="AU9" s="116" t="e">
        <f t="shared" ca="1" si="12"/>
        <v>#NAME?</v>
      </c>
      <c r="AV9" s="116" t="e">
        <f t="shared" ca="1" si="13"/>
        <v>#NAME?</v>
      </c>
      <c r="AW9" s="116" t="e">
        <f t="shared" ca="1" si="14"/>
        <v>#NAME?</v>
      </c>
      <c r="AX9" s="116">
        <f ca="1">IF(OR(A9="DateCum",A9=""),0,IF(D9="Cash",M9,IF(D9&lt;&gt;"Option",AF9*AJ9*IF(D9="Stock",AK9,IF(D9="Bond",AVERAGE(AL9:AM9)*10,IF(D9="TD",AP9,""))),IF(AND(D9="Option",AG9&gt;0),0,VLOOKUP(C9,'1TradeRecord'!$B:$EE,134,FALSE)))))</f>
        <v>-13925.58942</v>
      </c>
      <c r="AY9" s="116" t="e">
        <f t="shared" ca="1" si="15"/>
        <v>#NAME?</v>
      </c>
      <c r="AZ9" s="116">
        <f t="shared" ca="1" si="16"/>
        <v>-2.3590067008231155</v>
      </c>
      <c r="BA9" s="116">
        <f t="shared" si="17"/>
        <v>0</v>
      </c>
      <c r="BB9" s="116" t="e">
        <f t="shared" ca="1" si="18"/>
        <v>#NAME?</v>
      </c>
      <c r="BC9" s="116" t="e">
        <f t="shared" ca="1" si="19"/>
        <v>#NAME?</v>
      </c>
      <c r="BD9" s="368" t="e">
        <f t="shared" ca="1" si="20"/>
        <v>#NAME?</v>
      </c>
      <c r="BE9" s="10" t="e">
        <f t="shared" ca="1" si="21"/>
        <v>#NAME?</v>
      </c>
    </row>
    <row r="10" spans="1:61" ht="13">
      <c r="A10" s="151">
        <f t="shared" si="22"/>
        <v>44566</v>
      </c>
      <c r="B10" s="10" t="s">
        <v>183</v>
      </c>
      <c r="C10" s="10">
        <v>44563000014</v>
      </c>
      <c r="D10" s="10" t="s">
        <v>16</v>
      </c>
      <c r="E10" s="61" t="s">
        <v>36</v>
      </c>
      <c r="F10" s="151">
        <v>44563</v>
      </c>
      <c r="G10" s="10" t="s">
        <v>37</v>
      </c>
      <c r="H10" s="116">
        <v>416011.66724999994</v>
      </c>
      <c r="I10" s="116">
        <v>83988.332750000001</v>
      </c>
      <c r="J10" s="116">
        <v>499999.99999999994</v>
      </c>
      <c r="K10" s="116">
        <v>345160.33075000002</v>
      </c>
      <c r="L10" s="116">
        <v>0</v>
      </c>
      <c r="M10" s="116">
        <v>-64724.209000000003</v>
      </c>
      <c r="N10" s="116">
        <v>-64724.208999999995</v>
      </c>
      <c r="O10" s="116">
        <v>64724.209000000003</v>
      </c>
      <c r="P10" s="116">
        <v>0</v>
      </c>
      <c r="Q10" s="76">
        <v>6472.4209000000001</v>
      </c>
      <c r="R10" s="10">
        <v>10</v>
      </c>
      <c r="S10" s="331">
        <v>0</v>
      </c>
      <c r="T10" s="10">
        <v>0</v>
      </c>
      <c r="U10" s="330">
        <v>0</v>
      </c>
      <c r="V10" s="116">
        <v>0</v>
      </c>
      <c r="W10" s="31">
        <v>0</v>
      </c>
      <c r="X10" s="31">
        <v>0</v>
      </c>
      <c r="Y10" s="10">
        <v>0</v>
      </c>
      <c r="Z10" s="10">
        <v>0</v>
      </c>
      <c r="AA10" s="10">
        <v>0</v>
      </c>
      <c r="AB10" s="332">
        <v>10</v>
      </c>
      <c r="AC10" s="10">
        <v>0</v>
      </c>
      <c r="AD10" s="10">
        <v>0</v>
      </c>
      <c r="AE10" s="10">
        <v>0</v>
      </c>
      <c r="AF10" s="332">
        <v>-10</v>
      </c>
      <c r="AG10" s="332">
        <f t="shared" si="3"/>
        <v>10</v>
      </c>
      <c r="AH10" s="372">
        <f t="shared" ca="1" si="4"/>
        <v>0</v>
      </c>
      <c r="AI10" s="31" t="e">
        <f t="shared" ca="1" si="5"/>
        <v>#NAME?</v>
      </c>
      <c r="AJ10" s="10">
        <f ca="1">IF(OR(A10="DateCum",A10=""),0,IF(G10="HKD",1,OFFSET(FX!$A$5,MATCH(A10,FX!A:A,0)-ROW(FX!$A$5),MATCH(G10,FX!$A$5:$AM$5,0)-1,1,1)))</f>
        <v>8.8180150000000008</v>
      </c>
      <c r="AK10" s="373">
        <f ca="1">IF($D10="Stock",OFFSET(HistPrices!$A$8,MATCH($A10,HistPrices!$A:$A,0)-ROW(HistPrices!$A$8)+3,MATCH($E10,HistPrices!$8:$8,0)-1,1,1),0)</f>
        <v>0</v>
      </c>
      <c r="AL10" s="104">
        <f ca="1">IF($D10="Bond",OFFSET(HistPrices!$A$8,MATCH($A10,HistPrices!$A:$A,0)-ROW(HistPrices!$A$8)+5,MATCH($E10,HistPrices!$8:$8,0)-1,1,1),0)</f>
        <v>0</v>
      </c>
      <c r="AM10" s="104">
        <f ca="1">IF($D10="Bond",OFFSET(HistPrices!$A$8,MATCH($A10,HistPrices!$A:$A,0)-ROW(HistPrices!$A$8)+6,MATCH($E10,HistPrices!$8:$8,0)-1,1,1),0)</f>
        <v>0</v>
      </c>
      <c r="AN10" s="104">
        <f ca="1">IF($D10="Option",OFFSET(HistPrices!$A$8,MATCH($A10,HistPrices!$A:$A,0)-ROW(HistPrices!$A$8)+3,MATCH($E10,HistPrices!$8:$8,0)-1,1,1),0)</f>
        <v>0</v>
      </c>
      <c r="AO10" s="104">
        <f t="shared" si="6"/>
        <v>0</v>
      </c>
      <c r="AP10" s="104">
        <f t="shared" si="7"/>
        <v>0</v>
      </c>
      <c r="AQ10" s="336">
        <f t="shared" si="8"/>
        <v>5</v>
      </c>
      <c r="AR10" s="336">
        <f t="shared" ca="1" si="9"/>
        <v>0</v>
      </c>
      <c r="AS10" s="336">
        <f t="shared" ca="1" si="10"/>
        <v>0</v>
      </c>
      <c r="AT10" s="116">
        <f t="shared" si="11"/>
        <v>1</v>
      </c>
      <c r="AU10" s="116" t="e">
        <f t="shared" ca="1" si="12"/>
        <v>#NAME?</v>
      </c>
      <c r="AV10" s="116" t="e">
        <f t="shared" ca="1" si="13"/>
        <v>#NAME?</v>
      </c>
      <c r="AW10" s="116" t="e">
        <f t="shared" ca="1" si="14"/>
        <v>#NAME?</v>
      </c>
      <c r="AX10" s="116">
        <f ca="1">IF(OR(A10="DateCum",A10=""),0,IF(D10="Cash",M10,IF(D10&lt;&gt;"Option",AF10*AJ10*IF(D10="Stock",AK10,IF(D10="Bond",AVERAGE(AL10:AM10)*10,IF(D10="TD",AP10,""))),IF(AND(D10="Option",AG10&gt;0),0,VLOOKUP(C10,'1TradeRecord'!$B:$EE,134,FALSE)))))</f>
        <v>0</v>
      </c>
      <c r="AY10" s="116" t="e">
        <f t="shared" ca="1" si="15"/>
        <v>#NAME?</v>
      </c>
      <c r="AZ10" s="116">
        <f t="shared" ca="1" si="16"/>
        <v>0</v>
      </c>
      <c r="BA10" s="116">
        <f t="shared" si="17"/>
        <v>0</v>
      </c>
      <c r="BB10" s="116" t="e">
        <f t="shared" ca="1" si="18"/>
        <v>#NAME?</v>
      </c>
      <c r="BC10" s="116" t="e">
        <f t="shared" ca="1" si="19"/>
        <v>#NAME?</v>
      </c>
      <c r="BD10" s="368" t="e">
        <f t="shared" ca="1" si="20"/>
        <v>#NAME?</v>
      </c>
      <c r="BE10" s="10" t="e">
        <f t="shared" ca="1" si="21"/>
        <v>#NAME?</v>
      </c>
    </row>
    <row r="11" spans="1:61" ht="13">
      <c r="A11" s="151">
        <f t="shared" si="22"/>
        <v>44566</v>
      </c>
      <c r="B11" s="10" t="s">
        <v>183</v>
      </c>
      <c r="C11" s="10">
        <v>44565000016</v>
      </c>
      <c r="D11" s="10" t="s">
        <v>16</v>
      </c>
      <c r="E11" s="61" t="s">
        <v>36</v>
      </c>
      <c r="F11" s="153">
        <v>44565</v>
      </c>
      <c r="G11" s="10" t="s">
        <v>37</v>
      </c>
      <c r="H11" s="116">
        <v>448553.16724999994</v>
      </c>
      <c r="I11" s="116">
        <v>51446.832750000001</v>
      </c>
      <c r="J11" s="116">
        <v>499999.99999999994</v>
      </c>
      <c r="K11" s="116">
        <v>507150.24874999997</v>
      </c>
      <c r="L11" s="116">
        <v>0</v>
      </c>
      <c r="M11" s="116">
        <v>32541.5</v>
      </c>
      <c r="N11" s="116">
        <v>32541.5</v>
      </c>
      <c r="O11" s="116">
        <v>0</v>
      </c>
      <c r="P11" s="116">
        <v>-32541.5</v>
      </c>
      <c r="Q11" s="10">
        <v>6508.3</v>
      </c>
      <c r="R11" s="10">
        <v>-5</v>
      </c>
      <c r="S11" s="331">
        <v>0</v>
      </c>
      <c r="T11" s="10">
        <v>0</v>
      </c>
      <c r="U11" s="330">
        <v>0</v>
      </c>
      <c r="V11" s="116">
        <v>0</v>
      </c>
      <c r="W11" s="31">
        <v>0</v>
      </c>
      <c r="X11" s="10">
        <v>10</v>
      </c>
      <c r="Y11" s="10">
        <v>0</v>
      </c>
      <c r="Z11" s="10">
        <v>0</v>
      </c>
      <c r="AA11" s="10">
        <v>0</v>
      </c>
      <c r="AB11" s="332">
        <v>5</v>
      </c>
      <c r="AC11" s="10">
        <v>0</v>
      </c>
      <c r="AD11" s="10">
        <v>0</v>
      </c>
      <c r="AE11" s="10">
        <v>0</v>
      </c>
      <c r="AF11" s="332">
        <v>5</v>
      </c>
      <c r="AG11" s="332">
        <f t="shared" si="3"/>
        <v>-5</v>
      </c>
      <c r="AH11" s="372">
        <f t="shared" ca="1" si="4"/>
        <v>0</v>
      </c>
      <c r="AI11" s="31" t="e">
        <f t="shared" ca="1" si="5"/>
        <v>#NAME?</v>
      </c>
      <c r="AJ11" s="10">
        <f ca="1">IF(OR(A11="DateCum",A11=""),0,IF(G11="HKD",1,OFFSET(FX!$A$5,MATCH(A11,FX!A:A,0)-ROW(FX!$A$5),MATCH(G11,FX!$A$5:$AM$5,0)-1,1,1)))</f>
        <v>8.8180150000000008</v>
      </c>
      <c r="AK11" s="373">
        <f ca="1">IF($D11="Stock",OFFSET(HistPrices!$A$8,MATCH($A11,HistPrices!$A:$A,0)-ROW(HistPrices!$A$8)+3,MATCH($E11,HistPrices!$8:$8,0)-1,1,1),0)</f>
        <v>0</v>
      </c>
      <c r="AL11" s="104">
        <f ca="1">IF($D11="Bond",OFFSET(HistPrices!$A$8,MATCH($A11,HistPrices!$A:$A,0)-ROW(HistPrices!$A$8)+5,MATCH($E11,HistPrices!$8:$8,0)-1,1,1),0)</f>
        <v>0</v>
      </c>
      <c r="AM11" s="104">
        <f ca="1">IF($D11="Bond",OFFSET(HistPrices!$A$8,MATCH($A11,HistPrices!$A:$A,0)-ROW(HistPrices!$A$8)+6,MATCH($E11,HistPrices!$8:$8,0)-1,1,1),0)</f>
        <v>0</v>
      </c>
      <c r="AN11" s="104">
        <f ca="1">IF($D11="Option",OFFSET(HistPrices!$A$8,MATCH($A11,HistPrices!$A:$A,0)-ROW(HistPrices!$A$8)+3,MATCH($E11,HistPrices!$8:$8,0)-1,1,1),0)</f>
        <v>0</v>
      </c>
      <c r="AO11" s="104">
        <f t="shared" si="6"/>
        <v>0</v>
      </c>
      <c r="AP11" s="104">
        <f t="shared" si="7"/>
        <v>0</v>
      </c>
      <c r="AQ11" s="336">
        <f t="shared" si="8"/>
        <v>5</v>
      </c>
      <c r="AR11" s="336">
        <f t="shared" ca="1" si="9"/>
        <v>0</v>
      </c>
      <c r="AS11" s="336">
        <f t="shared" ca="1" si="10"/>
        <v>0</v>
      </c>
      <c r="AT11" s="116">
        <f t="shared" si="11"/>
        <v>0</v>
      </c>
      <c r="AU11" s="116" t="e">
        <f t="shared" ca="1" si="12"/>
        <v>#NAME?</v>
      </c>
      <c r="AV11" s="116" t="e">
        <f t="shared" ca="1" si="13"/>
        <v>#NAME?</v>
      </c>
      <c r="AW11" s="116" t="e">
        <f t="shared" ca="1" si="14"/>
        <v>#NAME?</v>
      </c>
      <c r="AX11" s="116">
        <f ca="1">IF(OR(A11="DateCum",A11=""),0,IF(D11="Cash",M11,IF(D11&lt;&gt;"Option",AF11*AJ11*IF(D11="Stock",AK11,IF(D11="Bond",AVERAGE(AL11:AM11)*10,IF(D11="TD",AP11,""))),IF(AND(D11="Option",AG11&gt;0),0,VLOOKUP(C11,'1TradeRecord'!$B:$EE,134,FALSE)))))</f>
        <v>0</v>
      </c>
      <c r="AY11" s="116" t="e">
        <f t="shared" ca="1" si="15"/>
        <v>#NAME?</v>
      </c>
      <c r="AZ11" s="116">
        <f t="shared" ca="1" si="16"/>
        <v>0</v>
      </c>
      <c r="BA11" s="116">
        <f t="shared" si="17"/>
        <v>0</v>
      </c>
      <c r="BB11" s="116" t="e">
        <f t="shared" ca="1" si="18"/>
        <v>#NAME?</v>
      </c>
      <c r="BC11" s="116" t="e">
        <f t="shared" ca="1" si="19"/>
        <v>#NAME?</v>
      </c>
      <c r="BD11" s="368" t="e">
        <f t="shared" ca="1" si="20"/>
        <v>#NAME?</v>
      </c>
      <c r="BE11" s="10" t="e">
        <f t="shared" ca="1" si="21"/>
        <v>#NAME?</v>
      </c>
    </row>
    <row r="12" spans="1:61" ht="13">
      <c r="A12" s="151">
        <f t="shared" si="22"/>
        <v>44566</v>
      </c>
      <c r="B12" s="10" t="s">
        <v>183</v>
      </c>
      <c r="C12" s="10">
        <v>44566000017</v>
      </c>
      <c r="D12" s="10" t="s">
        <v>16</v>
      </c>
      <c r="E12" s="61" t="s">
        <v>36</v>
      </c>
      <c r="F12" s="153">
        <v>44566</v>
      </c>
      <c r="G12" s="10" t="s">
        <v>37</v>
      </c>
      <c r="H12" s="116">
        <v>422451.84284999996</v>
      </c>
      <c r="I12" s="116">
        <v>77548.157149999999</v>
      </c>
      <c r="J12" s="116">
        <v>499999.99999999994</v>
      </c>
      <c r="K12" s="116">
        <v>415965.92434999999</v>
      </c>
      <c r="L12" s="116">
        <v>0</v>
      </c>
      <c r="M12" s="116">
        <v>-26101.324400000001</v>
      </c>
      <c r="N12" s="116">
        <v>-26101.324400000001</v>
      </c>
      <c r="O12" s="116">
        <v>26101.324400000001</v>
      </c>
      <c r="P12" s="116">
        <v>0</v>
      </c>
      <c r="Q12" s="10">
        <v>6525.3311000000003</v>
      </c>
      <c r="R12" s="10">
        <v>4</v>
      </c>
      <c r="S12" s="331">
        <v>0</v>
      </c>
      <c r="T12" s="10">
        <v>0</v>
      </c>
      <c r="U12" s="330">
        <v>0</v>
      </c>
      <c r="V12" s="116">
        <v>0</v>
      </c>
      <c r="W12" s="31">
        <v>0</v>
      </c>
      <c r="X12" s="31">
        <v>5</v>
      </c>
      <c r="Y12" s="10">
        <v>0</v>
      </c>
      <c r="Z12" s="10">
        <v>0</v>
      </c>
      <c r="AA12" s="10">
        <v>0</v>
      </c>
      <c r="AB12" s="332">
        <v>9</v>
      </c>
      <c r="AC12" s="10">
        <v>0</v>
      </c>
      <c r="AD12" s="10">
        <v>0</v>
      </c>
      <c r="AE12" s="10">
        <v>0</v>
      </c>
      <c r="AF12" s="332">
        <v>-4</v>
      </c>
      <c r="AG12" s="332">
        <f t="shared" si="3"/>
        <v>4</v>
      </c>
      <c r="AH12" s="372">
        <f t="shared" ca="1" si="4"/>
        <v>0</v>
      </c>
      <c r="AI12" s="31" t="e">
        <f t="shared" ca="1" si="5"/>
        <v>#NAME?</v>
      </c>
      <c r="AJ12" s="10">
        <f ca="1">IF(OR(A12="DateCum",A12=""),0,IF(G12="HKD",1,OFFSET(FX!$A$5,MATCH(A12,FX!A:A,0)-ROW(FX!$A$5),MATCH(G12,FX!$A$5:$AM$5,0)-1,1,1)))</f>
        <v>8.8180150000000008</v>
      </c>
      <c r="AK12" s="373">
        <f ca="1">IF($D12="Stock",OFFSET(HistPrices!$A$8,MATCH($A12,HistPrices!$A:$A,0)-ROW(HistPrices!$A$8)+3,MATCH($E12,HistPrices!$8:$8,0)-1,1,1),0)</f>
        <v>0</v>
      </c>
      <c r="AL12" s="104">
        <f ca="1">IF($D12="Bond",OFFSET(HistPrices!$A$8,MATCH($A12,HistPrices!$A:$A,0)-ROW(HistPrices!$A$8)+5,MATCH($E12,HistPrices!$8:$8,0)-1,1,1),0)</f>
        <v>0</v>
      </c>
      <c r="AM12" s="104">
        <f ca="1">IF($D12="Bond",OFFSET(HistPrices!$A$8,MATCH($A12,HistPrices!$A:$A,0)-ROW(HistPrices!$A$8)+6,MATCH($E12,HistPrices!$8:$8,0)-1,1,1),0)</f>
        <v>0</v>
      </c>
      <c r="AN12" s="104">
        <f ca="1">IF($D12="Option",OFFSET(HistPrices!$A$8,MATCH($A12,HistPrices!$A:$A,0)-ROW(HistPrices!$A$8)+3,MATCH($E12,HistPrices!$8:$8,0)-1,1,1),0)</f>
        <v>0</v>
      </c>
      <c r="AO12" s="104">
        <f t="shared" si="6"/>
        <v>0</v>
      </c>
      <c r="AP12" s="104">
        <f t="shared" si="7"/>
        <v>0</v>
      </c>
      <c r="AQ12" s="336">
        <f t="shared" si="8"/>
        <v>5</v>
      </c>
      <c r="AR12" s="336">
        <f t="shared" ca="1" si="9"/>
        <v>0</v>
      </c>
      <c r="AS12" s="336">
        <f t="shared" ca="1" si="10"/>
        <v>0</v>
      </c>
      <c r="AT12" s="116">
        <f t="shared" si="11"/>
        <v>0</v>
      </c>
      <c r="AU12" s="116" t="e">
        <f t="shared" ca="1" si="12"/>
        <v>#NAME?</v>
      </c>
      <c r="AV12" s="116" t="e">
        <f t="shared" ca="1" si="13"/>
        <v>#NAME?</v>
      </c>
      <c r="AW12" s="116" t="e">
        <f t="shared" ca="1" si="14"/>
        <v>#NAME?</v>
      </c>
      <c r="AX12" s="116">
        <f ca="1">IF(OR(A12="DateCum",A12=""),0,IF(D12="Cash",M12,IF(D12&lt;&gt;"Option",AF12*AJ12*IF(D12="Stock",AK12,IF(D12="Bond",AVERAGE(AL12:AM12)*10,IF(D12="TD",AP12,""))),IF(AND(D12="Option",AG12&gt;0),0,VLOOKUP(C12,'1TradeRecord'!$B:$EE,134,FALSE)))))</f>
        <v>0</v>
      </c>
      <c r="AY12" s="116" t="e">
        <f t="shared" ca="1" si="15"/>
        <v>#NAME?</v>
      </c>
      <c r="AZ12" s="116">
        <f t="shared" ca="1" si="16"/>
        <v>0</v>
      </c>
      <c r="BA12" s="116">
        <f t="shared" si="17"/>
        <v>0</v>
      </c>
      <c r="BB12" s="116" t="e">
        <f t="shared" ca="1" si="18"/>
        <v>#NAME?</v>
      </c>
      <c r="BC12" s="116" t="e">
        <f t="shared" ca="1" si="19"/>
        <v>#NAME?</v>
      </c>
      <c r="BD12" s="368" t="e">
        <f t="shared" ca="1" si="20"/>
        <v>#NAME?</v>
      </c>
      <c r="BE12" s="116" t="e">
        <f t="shared" ca="1" si="21"/>
        <v>#NAME?</v>
      </c>
    </row>
    <row r="13" spans="1:61" ht="13">
      <c r="A13" s="151">
        <f t="shared" si="22"/>
        <v>44566</v>
      </c>
      <c r="B13" s="10" t="s">
        <v>184</v>
      </c>
      <c r="C13" s="10">
        <v>44561000006</v>
      </c>
      <c r="D13" s="10" t="s">
        <v>64</v>
      </c>
      <c r="E13" s="10" t="s">
        <v>64</v>
      </c>
      <c r="F13" s="151">
        <v>44561</v>
      </c>
      <c r="G13" s="10" t="s">
        <v>39</v>
      </c>
      <c r="H13" s="116">
        <v>500000</v>
      </c>
      <c r="I13" s="116">
        <v>0</v>
      </c>
      <c r="J13" s="116">
        <v>500000</v>
      </c>
      <c r="K13" s="116">
        <v>0</v>
      </c>
      <c r="L13" s="116">
        <v>0</v>
      </c>
      <c r="M13" s="116">
        <v>500000</v>
      </c>
      <c r="N13" s="116">
        <v>500000</v>
      </c>
      <c r="O13" s="116">
        <v>0</v>
      </c>
      <c r="P13" s="116">
        <v>0</v>
      </c>
      <c r="Q13" s="76">
        <v>0</v>
      </c>
      <c r="R13" s="10">
        <v>0</v>
      </c>
      <c r="S13" s="331">
        <v>0</v>
      </c>
      <c r="T13" s="10">
        <v>0</v>
      </c>
      <c r="U13" s="330">
        <v>0</v>
      </c>
      <c r="V13" s="116">
        <v>0</v>
      </c>
      <c r="W13" s="31">
        <v>0</v>
      </c>
      <c r="X13" s="31">
        <v>0</v>
      </c>
      <c r="Y13" s="10">
        <v>0</v>
      </c>
      <c r="Z13" s="10">
        <v>0</v>
      </c>
      <c r="AA13" s="10">
        <v>0</v>
      </c>
      <c r="AB13" s="332">
        <v>0</v>
      </c>
      <c r="AC13" s="10">
        <v>0</v>
      </c>
      <c r="AD13" s="10">
        <v>0</v>
      </c>
      <c r="AE13" s="10">
        <v>0</v>
      </c>
      <c r="AF13" s="332">
        <v>0</v>
      </c>
      <c r="AG13" s="332">
        <f t="shared" si="3"/>
        <v>0</v>
      </c>
      <c r="AH13" s="10">
        <f t="shared" si="4"/>
        <v>1</v>
      </c>
      <c r="AI13" s="31" t="e">
        <f t="shared" ca="1" si="5"/>
        <v>#NAME?</v>
      </c>
      <c r="AJ13" s="10">
        <f ca="1">IF(OR(A13="DateCum",A13=""),0,IF(G13="HKD",1,OFFSET(FX!$A$5,MATCH(A13,FX!A:A,0)-ROW(FX!$A$5),MATCH(G13,FX!$A$5:$AM$5,0)-1,1,1)))</f>
        <v>1</v>
      </c>
      <c r="AK13" s="104">
        <f ca="1">IF($D13="Stock",OFFSET(HistPrices!$A$8,MATCH($A13,HistPrices!$A:$A,0)-ROW(HistPrices!$A$8)+3,MATCH($E13,HistPrices!$8:$8,0)-1,1,1),0)</f>
        <v>0</v>
      </c>
      <c r="AL13" s="104">
        <f ca="1">IF($D13="Bond",OFFSET(HistPrices!$A$8,MATCH($A13,HistPrices!$A:$A,0)-ROW(HistPrices!$A$8)+5,MATCH($E13,HistPrices!$8:$8,0)-1,1,1),0)</f>
        <v>0</v>
      </c>
      <c r="AM13" s="104">
        <f ca="1">IF($D13="Bond",OFFSET(HistPrices!$A$8,MATCH($A13,HistPrices!$A:$A,0)-ROW(HistPrices!$A$8)+6,MATCH($E13,HistPrices!$8:$8,0)-1,1,1),0)</f>
        <v>0</v>
      </c>
      <c r="AN13" s="104">
        <f ca="1">IF($D13="Option",OFFSET(HistPrices!$A$8,MATCH($A13,HistPrices!$A:$A,0)-ROW(HistPrices!$A$8)+3,MATCH($E13,HistPrices!$8:$8,0)-1,1,1),0)</f>
        <v>0</v>
      </c>
      <c r="AO13" s="104">
        <f t="shared" si="6"/>
        <v>0</v>
      </c>
      <c r="AP13" s="104">
        <f t="shared" si="7"/>
        <v>0</v>
      </c>
      <c r="AQ13" s="336">
        <f t="shared" si="8"/>
        <v>1</v>
      </c>
      <c r="AR13" s="336">
        <f t="shared" ca="1" si="9"/>
        <v>0</v>
      </c>
      <c r="AS13" s="336">
        <f t="shared" ca="1" si="10"/>
        <v>0</v>
      </c>
      <c r="AT13" s="116">
        <f t="shared" si="11"/>
        <v>1</v>
      </c>
      <c r="AU13" s="116" t="e">
        <f t="shared" ca="1" si="12"/>
        <v>#NAME?</v>
      </c>
      <c r="AV13" s="116" t="e">
        <f t="shared" ca="1" si="13"/>
        <v>#NAME?</v>
      </c>
      <c r="AW13" s="116" t="e">
        <f t="shared" ca="1" si="14"/>
        <v>#NAME?</v>
      </c>
      <c r="AX13" s="116">
        <f>IF(OR(A13="DateCum",A13=""),0,IF(D13="Cash",M13,IF(D13&lt;&gt;"Option",AF13*AJ13*IF(D13="Stock",AK13,IF(D13="Bond",AVERAGE(AL13:AM13)*10,IF(D13="TD",AP13,""))),IF(AND(D13="Option",AG13&gt;0),0,VLOOKUP(C13,'1TradeRecord'!$B:$EE,134,FALSE)))))</f>
        <v>500000</v>
      </c>
      <c r="AY13" s="116" t="e">
        <f t="shared" ca="1" si="15"/>
        <v>#NAME?</v>
      </c>
      <c r="AZ13" s="116">
        <f t="shared" ca="1" si="16"/>
        <v>0</v>
      </c>
      <c r="BA13" s="116">
        <f t="shared" si="17"/>
        <v>0</v>
      </c>
      <c r="BB13" s="116" t="e">
        <f t="shared" ca="1" si="18"/>
        <v>#NAME?</v>
      </c>
      <c r="BC13" s="116" t="e">
        <f t="shared" ca="1" si="19"/>
        <v>#NAME?</v>
      </c>
      <c r="BD13" s="368" t="e">
        <f t="shared" ca="1" si="20"/>
        <v>#NAME?</v>
      </c>
      <c r="BE13" s="10" t="e">
        <f t="shared" ca="1" si="21"/>
        <v>#NAME?</v>
      </c>
    </row>
    <row r="14" spans="1:61" ht="13">
      <c r="A14" s="151">
        <f t="shared" si="22"/>
        <v>44566</v>
      </c>
      <c r="B14" s="10" t="s">
        <v>184</v>
      </c>
      <c r="C14" s="10">
        <v>44563000025</v>
      </c>
      <c r="D14" s="10" t="s">
        <v>16</v>
      </c>
      <c r="E14" s="61" t="s">
        <v>40</v>
      </c>
      <c r="F14" s="151">
        <v>44563</v>
      </c>
      <c r="G14" s="10" t="s">
        <v>29</v>
      </c>
      <c r="H14" s="116">
        <v>450189.84940000001</v>
      </c>
      <c r="I14" s="116">
        <v>49810.150599999994</v>
      </c>
      <c r="J14" s="116">
        <v>500000</v>
      </c>
      <c r="K14" s="116">
        <v>450189.84940000001</v>
      </c>
      <c r="L14" s="116">
        <v>0</v>
      </c>
      <c r="M14" s="116">
        <v>-49810.150599999994</v>
      </c>
      <c r="N14" s="116">
        <v>-49810.150599999994</v>
      </c>
      <c r="O14" s="116">
        <v>49810.150599999994</v>
      </c>
      <c r="P14" s="116">
        <v>0</v>
      </c>
      <c r="Q14" s="76">
        <v>2490.5075299999999</v>
      </c>
      <c r="R14" s="10">
        <v>20</v>
      </c>
      <c r="S14" s="331">
        <v>0</v>
      </c>
      <c r="T14" s="10">
        <v>0</v>
      </c>
      <c r="U14" s="330">
        <v>0</v>
      </c>
      <c r="V14" s="116">
        <v>0</v>
      </c>
      <c r="W14" s="31">
        <v>0</v>
      </c>
      <c r="X14" s="31">
        <v>0</v>
      </c>
      <c r="Y14" s="10">
        <v>0</v>
      </c>
      <c r="Z14" s="10">
        <v>0</v>
      </c>
      <c r="AA14" s="10">
        <v>0</v>
      </c>
      <c r="AB14" s="332">
        <v>20</v>
      </c>
      <c r="AC14" s="10">
        <v>0</v>
      </c>
      <c r="AD14" s="10">
        <v>0</v>
      </c>
      <c r="AE14" s="10">
        <v>0</v>
      </c>
      <c r="AF14" s="332">
        <v>-20</v>
      </c>
      <c r="AG14" s="332">
        <f t="shared" si="3"/>
        <v>20</v>
      </c>
      <c r="AH14" s="372">
        <f t="shared" ca="1" si="4"/>
        <v>758</v>
      </c>
      <c r="AI14" s="31" t="e">
        <f t="shared" ca="1" si="5"/>
        <v>#NAME?</v>
      </c>
      <c r="AJ14" s="10">
        <f ca="1">IF(OR(A14="DateCum",A14=""),0,IF(G14="HKD",1,OFFSET(FX!$A$5,MATCH(A14,FX!A:A,0)-ROW(FX!$A$5),MATCH(G14,FX!$A$5:$AM$5,0)-1,1,1)))</f>
        <v>1.224766</v>
      </c>
      <c r="AK14" s="373">
        <f ca="1">IF($D14="Stock",OFFSET(HistPrices!$A$8,MATCH($A14,HistPrices!$A:$A,0)-ROW(HistPrices!$A$8)+3,MATCH($E14,HistPrices!$8:$8,0)-1,1,1),0)</f>
        <v>758</v>
      </c>
      <c r="AL14" s="104">
        <f ca="1">IF($D14="Bond",OFFSET(HistPrices!$A$8,MATCH($A14,HistPrices!$A:$A,0)-ROW(HistPrices!$A$8)+5,MATCH($E14,HistPrices!$8:$8,0)-1,1,1),0)</f>
        <v>0</v>
      </c>
      <c r="AM14" s="104">
        <f ca="1">IF($D14="Bond",OFFSET(HistPrices!$A$8,MATCH($A14,HistPrices!$A:$A,0)-ROW(HistPrices!$A$8)+6,MATCH($E14,HistPrices!$8:$8,0)-1,1,1),0)</f>
        <v>0</v>
      </c>
      <c r="AN14" s="104">
        <f ca="1">IF($D14="Option",OFFSET(HistPrices!$A$8,MATCH($A14,HistPrices!$A:$A,0)-ROW(HistPrices!$A$8)+3,MATCH($E14,HistPrices!$8:$8,0)-1,1,1),0)</f>
        <v>0</v>
      </c>
      <c r="AO14" s="104">
        <f t="shared" si="6"/>
        <v>0</v>
      </c>
      <c r="AP14" s="104">
        <f t="shared" si="7"/>
        <v>0</v>
      </c>
      <c r="AQ14" s="336">
        <f t="shared" si="8"/>
        <v>2</v>
      </c>
      <c r="AR14" s="336">
        <f t="shared" ca="1" si="9"/>
        <v>18567.452560000002</v>
      </c>
      <c r="AS14" s="336">
        <f t="shared" ca="1" si="10"/>
        <v>9283.7262800000008</v>
      </c>
      <c r="AT14" s="116">
        <f t="shared" si="11"/>
        <v>1</v>
      </c>
      <c r="AU14" s="116" t="e">
        <f t="shared" ca="1" si="12"/>
        <v>#NAME?</v>
      </c>
      <c r="AV14" s="116" t="e">
        <f t="shared" ca="1" si="13"/>
        <v>#NAME?</v>
      </c>
      <c r="AW14" s="116" t="e">
        <f t="shared" ca="1" si="14"/>
        <v>#NAME?</v>
      </c>
      <c r="AX14" s="116">
        <f ca="1">IF(OR(A14="DateCum",A14=""),0,IF(D14="Cash",M14,IF(D14&lt;&gt;"Option",AF14*AJ14*IF(D14="Stock",AK14,IF(D14="Bond",AVERAGE(AL14:AM14)*10,IF(D14="TD",AP14,""))),IF(AND(D14="Option",AG14&gt;0),0,VLOOKUP(C14,'1TradeRecord'!$B:$EE,134,FALSE)))))</f>
        <v>-18567.452559999998</v>
      </c>
      <c r="AY14" s="116" t="e">
        <f t="shared" ca="1" si="15"/>
        <v>#NAME?</v>
      </c>
      <c r="AZ14" s="116">
        <f t="shared" ca="1" si="16"/>
        <v>0</v>
      </c>
      <c r="BA14" s="116">
        <f t="shared" si="17"/>
        <v>0</v>
      </c>
      <c r="BB14" s="116" t="e">
        <f t="shared" ca="1" si="18"/>
        <v>#NAME?</v>
      </c>
      <c r="BC14" s="116" t="e">
        <f t="shared" ca="1" si="19"/>
        <v>#NAME?</v>
      </c>
      <c r="BD14" s="368" t="e">
        <f t="shared" ca="1" si="20"/>
        <v>#NAME?</v>
      </c>
      <c r="BE14" s="10" t="e">
        <f t="shared" ca="1" si="21"/>
        <v>#NAME?</v>
      </c>
    </row>
    <row r="15" spans="1:61" ht="13">
      <c r="A15" s="151">
        <f t="shared" si="22"/>
        <v>44566</v>
      </c>
      <c r="B15" s="10" t="s">
        <v>184</v>
      </c>
      <c r="C15" s="10">
        <v>44563000026</v>
      </c>
      <c r="D15" s="10" t="s">
        <v>16</v>
      </c>
      <c r="E15" s="61" t="s">
        <v>38</v>
      </c>
      <c r="F15" s="151">
        <v>44563</v>
      </c>
      <c r="G15" s="10" t="s">
        <v>39</v>
      </c>
      <c r="H15" s="116">
        <v>452489.84940000001</v>
      </c>
      <c r="I15" s="116">
        <v>47510.150599999994</v>
      </c>
      <c r="J15" s="116">
        <v>500000</v>
      </c>
      <c r="K15" s="116">
        <v>447889.84940000001</v>
      </c>
      <c r="L15" s="116">
        <v>0</v>
      </c>
      <c r="M15" s="116">
        <v>2300</v>
      </c>
      <c r="N15" s="116">
        <v>-2300</v>
      </c>
      <c r="O15" s="116">
        <v>0</v>
      </c>
      <c r="P15" s="116">
        <v>-2300</v>
      </c>
      <c r="Q15" s="76">
        <v>460</v>
      </c>
      <c r="R15" s="10">
        <v>-5</v>
      </c>
      <c r="S15" s="331">
        <v>0</v>
      </c>
      <c r="T15" s="10">
        <v>0</v>
      </c>
      <c r="U15" s="330">
        <v>0</v>
      </c>
      <c r="V15" s="116">
        <v>0</v>
      </c>
      <c r="W15" s="31">
        <v>0</v>
      </c>
      <c r="X15" s="10">
        <v>0</v>
      </c>
      <c r="Y15" s="10">
        <v>0</v>
      </c>
      <c r="Z15" s="10">
        <v>0</v>
      </c>
      <c r="AA15" s="10">
        <v>0</v>
      </c>
      <c r="AB15" s="332">
        <v>-5</v>
      </c>
      <c r="AC15" s="10">
        <v>0</v>
      </c>
      <c r="AD15" s="10">
        <v>0</v>
      </c>
      <c r="AE15" s="10">
        <v>0</v>
      </c>
      <c r="AF15" s="332">
        <v>-5</v>
      </c>
      <c r="AG15" s="332">
        <f t="shared" si="3"/>
        <v>-5</v>
      </c>
      <c r="AH15" s="372">
        <f t="shared" ca="1" si="4"/>
        <v>2024</v>
      </c>
      <c r="AI15" s="31" t="e">
        <f t="shared" ca="1" si="5"/>
        <v>#NAME?</v>
      </c>
      <c r="AJ15" s="10">
        <f ca="1">IF(OR(A15="DateCum",A15=""),0,IF(G15="HKD",1,OFFSET(FX!$A$5,MATCH(A15,FX!A:A,0)-ROW(FX!$A$5),MATCH(G15,FX!$A$5:$AM$5,0)-1,1,1)))</f>
        <v>1</v>
      </c>
      <c r="AK15" s="373">
        <f ca="1">IF($D15="Stock",OFFSET(HistPrices!$A$8,MATCH($A15,HistPrices!$A:$A,0)-ROW(HistPrices!$A$8)+3,MATCH($E15,HistPrices!$8:$8,0)-1,1,1),0)</f>
        <v>2024</v>
      </c>
      <c r="AL15" s="104">
        <f ca="1">IF($D15="Bond",OFFSET(HistPrices!$A$8,MATCH($A15,HistPrices!$A:$A,0)-ROW(HistPrices!$A$8)+5,MATCH($E15,HistPrices!$8:$8,0)-1,1,1),0)</f>
        <v>0</v>
      </c>
      <c r="AM15" s="104">
        <f ca="1">IF($D15="Bond",OFFSET(HistPrices!$A$8,MATCH($A15,HistPrices!$A:$A,0)-ROW(HistPrices!$A$8)+6,MATCH($E15,HistPrices!$8:$8,0)-1,1,1),0)</f>
        <v>0</v>
      </c>
      <c r="AN15" s="104">
        <f ca="1">IF($D15="Option",OFFSET(HistPrices!$A$8,MATCH($A15,HistPrices!$A:$A,0)-ROW(HistPrices!$A$8)+3,MATCH($E15,HistPrices!$8:$8,0)-1,1,1),0)</f>
        <v>0</v>
      </c>
      <c r="AO15" s="104">
        <f t="shared" si="6"/>
        <v>0</v>
      </c>
      <c r="AP15" s="104">
        <f t="shared" si="7"/>
        <v>0</v>
      </c>
      <c r="AQ15" s="336">
        <f t="shared" si="8"/>
        <v>3</v>
      </c>
      <c r="AR15" s="336">
        <f t="shared" ca="1" si="9"/>
        <v>-10120</v>
      </c>
      <c r="AS15" s="336">
        <f t="shared" ca="1" si="10"/>
        <v>20240</v>
      </c>
      <c r="AT15" s="116">
        <f t="shared" si="11"/>
        <v>1</v>
      </c>
      <c r="AU15" s="116" t="e">
        <f t="shared" ca="1" si="12"/>
        <v>#NAME?</v>
      </c>
      <c r="AV15" s="116" t="e">
        <f t="shared" ca="1" si="13"/>
        <v>#NAME?</v>
      </c>
      <c r="AW15" s="116" t="e">
        <f t="shared" ca="1" si="14"/>
        <v>#NAME?</v>
      </c>
      <c r="AX15" s="116">
        <f ca="1">IF(OR(A15="DateCum",A15=""),0,IF(D15="Cash",M15,IF(D15&lt;&gt;"Option",AF15*AJ15*IF(D15="Stock",AK15,IF(D15="Bond",AVERAGE(AL15:AM15)*10,IF(D15="TD",AP15,""))),IF(AND(D15="Option",AG15&gt;0),0,VLOOKUP(C15,'1TradeRecord'!$B:$EE,134,FALSE)))))</f>
        <v>-10120</v>
      </c>
      <c r="AY15" s="116" t="e">
        <f t="shared" ca="1" si="15"/>
        <v>#NAME?</v>
      </c>
      <c r="AZ15" s="116">
        <f t="shared" ca="1" si="16"/>
        <v>-1.7143366138630511</v>
      </c>
      <c r="BA15" s="116">
        <f t="shared" si="17"/>
        <v>0</v>
      </c>
      <c r="BB15" s="116" t="e">
        <f t="shared" ca="1" si="18"/>
        <v>#NAME?</v>
      </c>
      <c r="BC15" s="116" t="e">
        <f t="shared" ca="1" si="19"/>
        <v>#NAME?</v>
      </c>
      <c r="BD15" s="368" t="e">
        <f t="shared" ca="1" si="20"/>
        <v>#NAME?</v>
      </c>
      <c r="BE15" s="10" t="e">
        <f t="shared" ca="1" si="21"/>
        <v>#NAME?</v>
      </c>
    </row>
    <row r="16" spans="1:61" ht="13">
      <c r="A16" s="151">
        <f t="shared" si="22"/>
        <v>44566</v>
      </c>
      <c r="B16" s="10" t="s">
        <v>184</v>
      </c>
      <c r="C16" s="10">
        <v>44564000027</v>
      </c>
      <c r="D16" s="10" t="s">
        <v>16</v>
      </c>
      <c r="E16" s="61" t="s">
        <v>40</v>
      </c>
      <c r="F16" s="153">
        <v>44564</v>
      </c>
      <c r="G16" s="10" t="s">
        <v>29</v>
      </c>
      <c r="H16" s="116">
        <v>477643.14439999999</v>
      </c>
      <c r="I16" s="116">
        <v>22356.855599999995</v>
      </c>
      <c r="J16" s="116">
        <v>500000</v>
      </c>
      <c r="K16" s="116">
        <v>473043.14439999999</v>
      </c>
      <c r="L16" s="116">
        <v>0</v>
      </c>
      <c r="M16" s="116">
        <v>25153.294999999998</v>
      </c>
      <c r="N16" s="116">
        <v>25153.295000000002</v>
      </c>
      <c r="O16" s="116">
        <v>0</v>
      </c>
      <c r="P16" s="116">
        <v>-25153.294999999998</v>
      </c>
      <c r="Q16" s="10">
        <v>2515.3294999999998</v>
      </c>
      <c r="R16" s="10">
        <v>-10</v>
      </c>
      <c r="S16" s="331">
        <v>0</v>
      </c>
      <c r="T16" s="10">
        <v>0</v>
      </c>
      <c r="U16" s="330">
        <v>0</v>
      </c>
      <c r="V16" s="116">
        <v>0</v>
      </c>
      <c r="W16" s="31">
        <v>0</v>
      </c>
      <c r="X16" s="31">
        <v>20</v>
      </c>
      <c r="Y16" s="10">
        <v>0</v>
      </c>
      <c r="Z16" s="10">
        <v>0</v>
      </c>
      <c r="AA16" s="10">
        <v>0</v>
      </c>
      <c r="AB16" s="332">
        <v>10</v>
      </c>
      <c r="AC16" s="10">
        <v>0</v>
      </c>
      <c r="AD16" s="10">
        <v>0</v>
      </c>
      <c r="AE16" s="10">
        <v>0</v>
      </c>
      <c r="AF16" s="332">
        <v>10</v>
      </c>
      <c r="AG16" s="332">
        <f t="shared" si="3"/>
        <v>-10</v>
      </c>
      <c r="AH16" s="372">
        <f t="shared" ca="1" si="4"/>
        <v>758</v>
      </c>
      <c r="AI16" s="31" t="e">
        <f t="shared" ca="1" si="5"/>
        <v>#NAME?</v>
      </c>
      <c r="AJ16" s="10">
        <f ca="1">IF(OR(A16="DateCum",A16=""),0,IF(G16="HKD",1,OFFSET(FX!$A$5,MATCH(A16,FX!A:A,0)-ROW(FX!$A$5),MATCH(G16,FX!$A$5:$AM$5,0)-1,1,1)))</f>
        <v>1.224766</v>
      </c>
      <c r="AK16" s="373">
        <f ca="1">IF($D16="Stock",OFFSET(HistPrices!$A$8,MATCH($A16,HistPrices!$A:$A,0)-ROW(HistPrices!$A$8)+3,MATCH($E16,HistPrices!$8:$8,0)-1,1,1),0)</f>
        <v>758</v>
      </c>
      <c r="AL16" s="104">
        <f ca="1">IF($D16="Bond",OFFSET(HistPrices!$A$8,MATCH($A16,HistPrices!$A:$A,0)-ROW(HistPrices!$A$8)+5,MATCH($E16,HistPrices!$8:$8,0)-1,1,1),0)</f>
        <v>0</v>
      </c>
      <c r="AM16" s="104">
        <f ca="1">IF($D16="Bond",OFFSET(HistPrices!$A$8,MATCH($A16,HistPrices!$A:$A,0)-ROW(HistPrices!$A$8)+6,MATCH($E16,HistPrices!$8:$8,0)-1,1,1),0)</f>
        <v>0</v>
      </c>
      <c r="AN16" s="104">
        <f ca="1">IF($D16="Option",OFFSET(HistPrices!$A$8,MATCH($A16,HistPrices!$A:$A,0)-ROW(HistPrices!$A$8)+3,MATCH($E16,HistPrices!$8:$8,0)-1,1,1),0)</f>
        <v>0</v>
      </c>
      <c r="AO16" s="104">
        <f t="shared" si="6"/>
        <v>0</v>
      </c>
      <c r="AP16" s="104">
        <f t="shared" si="7"/>
        <v>0</v>
      </c>
      <c r="AQ16" s="336">
        <f t="shared" si="8"/>
        <v>3</v>
      </c>
      <c r="AR16" s="336">
        <f t="shared" ca="1" si="9"/>
        <v>-9283.7262800000008</v>
      </c>
      <c r="AS16" s="336">
        <f t="shared" ca="1" si="10"/>
        <v>9283.7262800000008</v>
      </c>
      <c r="AT16" s="116">
        <f t="shared" si="11"/>
        <v>0</v>
      </c>
      <c r="AU16" s="116" t="e">
        <f t="shared" ca="1" si="12"/>
        <v>#NAME?</v>
      </c>
      <c r="AV16" s="116" t="e">
        <f t="shared" ca="1" si="13"/>
        <v>#NAME?</v>
      </c>
      <c r="AW16" s="116" t="e">
        <f t="shared" ca="1" si="14"/>
        <v>#NAME?</v>
      </c>
      <c r="AX16" s="116">
        <f ca="1">IF(OR(A16="DateCum",A16=""),0,IF(D16="Cash",M16,IF(D16&lt;&gt;"Option",AF16*AJ16*IF(D16="Stock",AK16,IF(D16="Bond",AVERAGE(AL16:AM16)*10,IF(D16="TD",AP16,""))),IF(AND(D16="Option",AG16&gt;0),0,VLOOKUP(C16,'1TradeRecord'!$B:$EE,134,FALSE)))))</f>
        <v>9283.726279999999</v>
      </c>
      <c r="AY16" s="116" t="e">
        <f t="shared" ca="1" si="15"/>
        <v>#NAME?</v>
      </c>
      <c r="AZ16" s="116">
        <f t="shared" ca="1" si="16"/>
        <v>0</v>
      </c>
      <c r="BA16" s="116">
        <f t="shared" si="17"/>
        <v>0</v>
      </c>
      <c r="BB16" s="116" t="e">
        <f t="shared" ca="1" si="18"/>
        <v>#NAME?</v>
      </c>
      <c r="BC16" s="116" t="e">
        <f t="shared" ca="1" si="19"/>
        <v>#NAME?</v>
      </c>
      <c r="BD16" s="368" t="e">
        <f t="shared" ca="1" si="20"/>
        <v>#NAME?</v>
      </c>
      <c r="BE16" s="10" t="e">
        <f t="shared" ca="1" si="21"/>
        <v>#NAME?</v>
      </c>
    </row>
    <row r="17" spans="1:57" ht="13">
      <c r="A17" s="151">
        <f t="shared" si="22"/>
        <v>44566</v>
      </c>
      <c r="B17" s="10" t="s">
        <v>184</v>
      </c>
      <c r="C17" s="10">
        <v>44564000028</v>
      </c>
      <c r="D17" s="10" t="s">
        <v>16</v>
      </c>
      <c r="E17" s="61" t="s">
        <v>38</v>
      </c>
      <c r="F17" s="153">
        <v>44564</v>
      </c>
      <c r="G17" s="10" t="s">
        <v>39</v>
      </c>
      <c r="H17" s="116">
        <v>470743.14439999999</v>
      </c>
      <c r="I17" s="116">
        <v>29256.855599999995</v>
      </c>
      <c r="J17" s="116">
        <v>500000</v>
      </c>
      <c r="K17" s="116">
        <v>470743.14439999999</v>
      </c>
      <c r="L17" s="116">
        <v>0</v>
      </c>
      <c r="M17" s="116">
        <v>-6900</v>
      </c>
      <c r="N17" s="116">
        <v>-2300</v>
      </c>
      <c r="O17" s="116">
        <v>6900</v>
      </c>
      <c r="P17" s="116">
        <v>0</v>
      </c>
      <c r="Q17" s="10">
        <v>460</v>
      </c>
      <c r="R17" s="10">
        <v>15</v>
      </c>
      <c r="S17" s="331">
        <v>0</v>
      </c>
      <c r="T17" s="10">
        <v>0</v>
      </c>
      <c r="U17" s="330">
        <v>0</v>
      </c>
      <c r="V17" s="116">
        <v>0</v>
      </c>
      <c r="W17" s="31">
        <v>0</v>
      </c>
      <c r="X17" s="31">
        <v>-5</v>
      </c>
      <c r="Y17" s="10">
        <v>0</v>
      </c>
      <c r="Z17" s="10">
        <v>0</v>
      </c>
      <c r="AA17" s="10">
        <v>0</v>
      </c>
      <c r="AB17" s="332">
        <v>10</v>
      </c>
      <c r="AC17" s="10">
        <v>0</v>
      </c>
      <c r="AD17" s="10">
        <v>0</v>
      </c>
      <c r="AE17" s="10">
        <v>0</v>
      </c>
      <c r="AF17" s="332">
        <v>-5</v>
      </c>
      <c r="AG17" s="332">
        <f t="shared" si="3"/>
        <v>15</v>
      </c>
      <c r="AH17" s="372">
        <f t="shared" ca="1" si="4"/>
        <v>2024</v>
      </c>
      <c r="AI17" s="31" t="e">
        <f t="shared" ca="1" si="5"/>
        <v>#NAME?</v>
      </c>
      <c r="AJ17" s="10">
        <f ca="1">IF(OR(A17="DateCum",A17=""),0,IF(G17="HKD",1,OFFSET(FX!$A$5,MATCH(A17,FX!A:A,0)-ROW(FX!$A$5),MATCH(G17,FX!$A$5:$AM$5,0)-1,1,1)))</f>
        <v>1</v>
      </c>
      <c r="AK17" s="373">
        <f ca="1">IF($D17="Stock",OFFSET(HistPrices!$A$8,MATCH($A17,HistPrices!$A:$A,0)-ROW(HistPrices!$A$8)+3,MATCH($E17,HistPrices!$8:$8,0)-1,1,1),0)</f>
        <v>2024</v>
      </c>
      <c r="AL17" s="104">
        <f ca="1">IF($D17="Bond",OFFSET(HistPrices!$A$8,MATCH($A17,HistPrices!$A:$A,0)-ROW(HistPrices!$A$8)+5,MATCH($E17,HistPrices!$8:$8,0)-1,1,1),0)</f>
        <v>0</v>
      </c>
      <c r="AM17" s="104">
        <f ca="1">IF($D17="Bond",OFFSET(HistPrices!$A$8,MATCH($A17,HistPrices!$A:$A,0)-ROW(HistPrices!$A$8)+6,MATCH($E17,HistPrices!$8:$8,0)-1,1,1),0)</f>
        <v>0</v>
      </c>
      <c r="AN17" s="104">
        <f ca="1">IF($D17="Option",OFFSET(HistPrices!$A$8,MATCH($A17,HistPrices!$A:$A,0)-ROW(HistPrices!$A$8)+3,MATCH($E17,HistPrices!$8:$8,0)-1,1,1),0)</f>
        <v>0</v>
      </c>
      <c r="AO17" s="104">
        <f t="shared" si="6"/>
        <v>0</v>
      </c>
      <c r="AP17" s="104">
        <f t="shared" si="7"/>
        <v>0</v>
      </c>
      <c r="AQ17" s="336">
        <f t="shared" si="8"/>
        <v>3</v>
      </c>
      <c r="AR17" s="336">
        <f t="shared" ca="1" si="9"/>
        <v>30360</v>
      </c>
      <c r="AS17" s="336">
        <f t="shared" ca="1" si="10"/>
        <v>20240</v>
      </c>
      <c r="AT17" s="116">
        <f t="shared" si="11"/>
        <v>0</v>
      </c>
      <c r="AU17" s="116" t="e">
        <f t="shared" ca="1" si="12"/>
        <v>#NAME?</v>
      </c>
      <c r="AV17" s="116" t="e">
        <f t="shared" ca="1" si="13"/>
        <v>#NAME?</v>
      </c>
      <c r="AW17" s="116" t="e">
        <f t="shared" ca="1" si="14"/>
        <v>#NAME?</v>
      </c>
      <c r="AX17" s="116">
        <f ca="1">IF(OR(A17="DateCum",A17=""),0,IF(D17="Cash",M17,IF(D17&lt;&gt;"Option",AF17*AJ17*IF(D17="Stock",AK17,IF(D17="Bond",AVERAGE(AL17:AM17)*10,IF(D17="TD",AP17,""))),IF(AND(D17="Option",AG17&gt;0),0,VLOOKUP(C17,'1TradeRecord'!$B:$EE,134,FALSE)))))</f>
        <v>-10120</v>
      </c>
      <c r="AY17" s="116" t="e">
        <f t="shared" ca="1" si="15"/>
        <v>#NAME?</v>
      </c>
      <c r="AZ17" s="116">
        <f t="shared" ca="1" si="16"/>
        <v>0</v>
      </c>
      <c r="BA17" s="116">
        <f t="shared" si="17"/>
        <v>0</v>
      </c>
      <c r="BB17" s="116" t="e">
        <f t="shared" ca="1" si="18"/>
        <v>#NAME?</v>
      </c>
      <c r="BC17" s="116" t="e">
        <f t="shared" ca="1" si="19"/>
        <v>#NAME?</v>
      </c>
      <c r="BD17" s="368" t="e">
        <f t="shared" ca="1" si="20"/>
        <v>#NAME?</v>
      </c>
      <c r="BE17" s="116" t="e">
        <f t="shared" ca="1" si="21"/>
        <v>#NAME?</v>
      </c>
    </row>
    <row r="18" spans="1:57" ht="13">
      <c r="A18" s="151">
        <f t="shared" si="22"/>
        <v>44566</v>
      </c>
      <c r="B18" s="10" t="s">
        <v>185</v>
      </c>
      <c r="C18" s="10">
        <v>44561000007</v>
      </c>
      <c r="D18" s="10" t="s">
        <v>64</v>
      </c>
      <c r="E18" s="10" t="s">
        <v>64</v>
      </c>
      <c r="F18" s="151">
        <v>44561</v>
      </c>
      <c r="G18" s="10" t="s">
        <v>39</v>
      </c>
      <c r="H18" s="116">
        <v>500000</v>
      </c>
      <c r="I18" s="116">
        <v>0</v>
      </c>
      <c r="J18" s="116">
        <v>500000</v>
      </c>
      <c r="K18" s="116">
        <v>0</v>
      </c>
      <c r="L18" s="116">
        <v>0</v>
      </c>
      <c r="M18" s="116">
        <v>500000</v>
      </c>
      <c r="N18" s="116">
        <v>500000</v>
      </c>
      <c r="O18" s="116">
        <v>0</v>
      </c>
      <c r="P18" s="116">
        <v>0</v>
      </c>
      <c r="Q18" s="76">
        <v>0</v>
      </c>
      <c r="R18" s="10">
        <v>0</v>
      </c>
      <c r="S18" s="331">
        <v>0</v>
      </c>
      <c r="T18" s="10">
        <v>0</v>
      </c>
      <c r="U18" s="330">
        <v>0</v>
      </c>
      <c r="V18" s="116">
        <v>0</v>
      </c>
      <c r="W18" s="31">
        <v>0</v>
      </c>
      <c r="X18" s="10">
        <v>0</v>
      </c>
      <c r="Y18" s="10">
        <v>0</v>
      </c>
      <c r="Z18" s="10">
        <v>0</v>
      </c>
      <c r="AA18" s="10">
        <v>0</v>
      </c>
      <c r="AB18" s="332">
        <v>0</v>
      </c>
      <c r="AC18" s="10">
        <v>0</v>
      </c>
      <c r="AD18" s="10">
        <v>0</v>
      </c>
      <c r="AE18" s="10">
        <v>0</v>
      </c>
      <c r="AF18" s="332">
        <v>0</v>
      </c>
      <c r="AG18" s="332">
        <f t="shared" si="3"/>
        <v>0</v>
      </c>
      <c r="AH18" s="10">
        <f t="shared" si="4"/>
        <v>1</v>
      </c>
      <c r="AI18" s="31" t="e">
        <f t="shared" ca="1" si="5"/>
        <v>#NAME?</v>
      </c>
      <c r="AJ18" s="10">
        <f ca="1">IF(OR(A18="DateCum",A18=""),0,IF(G18="HKD",1,OFFSET(FX!$A$5,MATCH(A18,FX!A:A,0)-ROW(FX!$A$5),MATCH(G18,FX!$A$5:$AM$5,0)-1,1,1)))</f>
        <v>1</v>
      </c>
      <c r="AK18" s="104">
        <f ca="1">IF($D18="Stock",OFFSET(HistPrices!$A$8,MATCH($A18,HistPrices!$A:$A,0)-ROW(HistPrices!$A$8)+3,MATCH($E18,HistPrices!$8:$8,0)-1,1,1),0)</f>
        <v>0</v>
      </c>
      <c r="AL18" s="104">
        <f ca="1">IF($D18="Bond",OFFSET(HistPrices!$A$8,MATCH($A18,HistPrices!$A:$A,0)-ROW(HistPrices!$A$8)+5,MATCH($E18,HistPrices!$8:$8,0)-1,1,1),0)</f>
        <v>0</v>
      </c>
      <c r="AM18" s="104">
        <f ca="1">IF($D18="Bond",OFFSET(HistPrices!$A$8,MATCH($A18,HistPrices!$A:$A,0)-ROW(HistPrices!$A$8)+6,MATCH($E18,HistPrices!$8:$8,0)-1,1,1),0)</f>
        <v>0</v>
      </c>
      <c r="AN18" s="104">
        <f ca="1">IF($D18="Option",OFFSET(HistPrices!$A$8,MATCH($A18,HistPrices!$A:$A,0)-ROW(HistPrices!$A$8)+3,MATCH($E18,HistPrices!$8:$8,0)-1,1,1),0)</f>
        <v>0</v>
      </c>
      <c r="AO18" s="104">
        <f t="shared" si="6"/>
        <v>0</v>
      </c>
      <c r="AP18" s="104">
        <f t="shared" si="7"/>
        <v>0</v>
      </c>
      <c r="AQ18" s="336">
        <f t="shared" si="8"/>
        <v>1</v>
      </c>
      <c r="AR18" s="336">
        <f t="shared" ca="1" si="9"/>
        <v>0</v>
      </c>
      <c r="AS18" s="336">
        <f t="shared" ca="1" si="10"/>
        <v>0</v>
      </c>
      <c r="AT18" s="116">
        <f t="shared" si="11"/>
        <v>1</v>
      </c>
      <c r="AU18" s="116" t="e">
        <f t="shared" ca="1" si="12"/>
        <v>#NAME?</v>
      </c>
      <c r="AV18" s="116" t="e">
        <f t="shared" ca="1" si="13"/>
        <v>#NAME?</v>
      </c>
      <c r="AW18" s="116" t="e">
        <f t="shared" ca="1" si="14"/>
        <v>#NAME?</v>
      </c>
      <c r="AX18" s="116">
        <f>IF(OR(A18="DateCum",A18=""),0,IF(D18="Cash",M18,IF(D18&lt;&gt;"Option",AF18*AJ18*IF(D18="Stock",AK18,IF(D18="Bond",AVERAGE(AL18:AM18)*10,IF(D18="TD",AP18,""))),IF(AND(D18="Option",AG18&gt;0),0,VLOOKUP(C18,'1TradeRecord'!$B:$EE,134,FALSE)))))</f>
        <v>500000</v>
      </c>
      <c r="AY18" s="116" t="e">
        <f t="shared" ca="1" si="15"/>
        <v>#NAME?</v>
      </c>
      <c r="AZ18" s="116">
        <f t="shared" ca="1" si="16"/>
        <v>0</v>
      </c>
      <c r="BA18" s="116">
        <f t="shared" si="17"/>
        <v>0</v>
      </c>
      <c r="BB18" s="116" t="e">
        <f t="shared" ca="1" si="18"/>
        <v>#NAME?</v>
      </c>
      <c r="BC18" s="116" t="e">
        <f t="shared" ca="1" si="19"/>
        <v>#NAME?</v>
      </c>
      <c r="BD18" s="368" t="e">
        <f t="shared" ca="1" si="20"/>
        <v>#NAME?</v>
      </c>
      <c r="BE18" s="10" t="e">
        <f t="shared" ca="1" si="21"/>
        <v>#NAME?</v>
      </c>
    </row>
    <row r="19" spans="1:57" ht="13">
      <c r="A19" s="151">
        <f t="shared" si="22"/>
        <v>44566</v>
      </c>
      <c r="B19" s="10" t="s">
        <v>185</v>
      </c>
      <c r="C19" s="10">
        <v>44562000029</v>
      </c>
      <c r="D19" s="10" t="s">
        <v>61</v>
      </c>
      <c r="E19" s="10" t="s">
        <v>63</v>
      </c>
      <c r="F19" s="151">
        <v>44562</v>
      </c>
      <c r="G19" s="10" t="s">
        <v>39</v>
      </c>
      <c r="H19" s="116">
        <v>490000</v>
      </c>
      <c r="I19" s="116">
        <v>10000</v>
      </c>
      <c r="J19" s="116">
        <v>500000</v>
      </c>
      <c r="K19" s="116">
        <v>490000</v>
      </c>
      <c r="L19" s="116">
        <v>0</v>
      </c>
      <c r="M19" s="116">
        <v>-10000</v>
      </c>
      <c r="N19" s="116">
        <v>-10000</v>
      </c>
      <c r="O19" s="116">
        <v>0</v>
      </c>
      <c r="P19" s="116">
        <v>0</v>
      </c>
      <c r="Q19" s="76">
        <v>0</v>
      </c>
      <c r="R19" s="10">
        <v>0</v>
      </c>
      <c r="S19" s="331">
        <v>0</v>
      </c>
      <c r="T19" s="10">
        <v>0</v>
      </c>
      <c r="U19" s="330">
        <v>0</v>
      </c>
      <c r="V19" s="116">
        <v>0</v>
      </c>
      <c r="W19" s="31">
        <v>10000</v>
      </c>
      <c r="X19" s="10">
        <v>0</v>
      </c>
      <c r="Y19" s="10">
        <v>0</v>
      </c>
      <c r="Z19" s="10">
        <v>0</v>
      </c>
      <c r="AA19" s="10">
        <v>0</v>
      </c>
      <c r="AB19" s="332">
        <v>0</v>
      </c>
      <c r="AC19" s="10">
        <v>0</v>
      </c>
      <c r="AD19" s="10">
        <v>0</v>
      </c>
      <c r="AE19" s="10">
        <v>10000</v>
      </c>
      <c r="AF19" s="332">
        <v>-10000</v>
      </c>
      <c r="AG19" s="332">
        <f t="shared" si="3"/>
        <v>10000</v>
      </c>
      <c r="AH19" s="10">
        <f t="shared" si="4"/>
        <v>1</v>
      </c>
      <c r="AI19" s="31" t="e">
        <f t="shared" ca="1" si="5"/>
        <v>#NAME?</v>
      </c>
      <c r="AJ19" s="10">
        <f ca="1">IF(OR(A19="DateCum",A19=""),0,IF(G19="HKD",1,OFFSET(FX!$A$5,MATCH(A19,FX!A:A,0)-ROW(FX!$A$5),MATCH(G19,FX!$A$5:$AM$5,0)-1,1,1)))</f>
        <v>1</v>
      </c>
      <c r="AK19" s="104">
        <f ca="1">IF($D19="Stock",OFFSET(HistPrices!$A$8,MATCH($A19,HistPrices!$A:$A,0)-ROW(HistPrices!$A$8)+3,MATCH($E19,HistPrices!$8:$8,0)-1,1,1),0)</f>
        <v>0</v>
      </c>
      <c r="AL19" s="104">
        <f ca="1">IF($D19="Bond",OFFSET(HistPrices!$A$8,MATCH($A19,HistPrices!$A:$A,0)-ROW(HistPrices!$A$8)+5,MATCH($E19,HistPrices!$8:$8,0)-1,1,1),0)</f>
        <v>0</v>
      </c>
      <c r="AM19" s="104">
        <f ca="1">IF($D19="Bond",OFFSET(HistPrices!$A$8,MATCH($A19,HistPrices!$A:$A,0)-ROW(HistPrices!$A$8)+6,MATCH($E19,HistPrices!$8:$8,0)-1,1,1),0)</f>
        <v>0</v>
      </c>
      <c r="AN19" s="104">
        <f ca="1">IF($D19="Option",OFFSET(HistPrices!$A$8,MATCH($A19,HistPrices!$A:$A,0)-ROW(HistPrices!$A$8)+3,MATCH($E19,HistPrices!$8:$8,0)-1,1,1),0)</f>
        <v>0</v>
      </c>
      <c r="AO19" s="104">
        <f t="shared" si="6"/>
        <v>0</v>
      </c>
      <c r="AP19" s="104">
        <f t="shared" si="7"/>
        <v>1</v>
      </c>
      <c r="AQ19" s="336">
        <f t="shared" si="8"/>
        <v>2</v>
      </c>
      <c r="AR19" s="336">
        <f t="shared" ca="1" si="9"/>
        <v>10000</v>
      </c>
      <c r="AS19" s="336">
        <f t="shared" ca="1" si="10"/>
        <v>-5000</v>
      </c>
      <c r="AT19" s="116">
        <f t="shared" si="11"/>
        <v>1</v>
      </c>
      <c r="AU19" s="116" t="e">
        <f t="shared" ca="1" si="12"/>
        <v>#NAME?</v>
      </c>
      <c r="AV19" s="116" t="e">
        <f t="shared" ca="1" si="13"/>
        <v>#NAME?</v>
      </c>
      <c r="AW19" s="116" t="e">
        <f t="shared" ca="1" si="14"/>
        <v>#NAME?</v>
      </c>
      <c r="AX19" s="116">
        <f ca="1">IF(OR(A19="DateCum",A19=""),0,IF(D19="Cash",M19,IF(D19&lt;&gt;"Option",AF19*AJ19*IF(D19="Stock",AK19,IF(D19="Bond",AVERAGE(AL19:AM19)*10,IF(D19="TD",AP19,""))),IF(AND(D19="Option",AG19&gt;0),0,VLOOKUP(C19,'1TradeRecord'!$B:$EE,134,FALSE)))))</f>
        <v>-10000</v>
      </c>
      <c r="AY19" s="116" t="e">
        <f t="shared" ca="1" si="15"/>
        <v>#NAME?</v>
      </c>
      <c r="AZ19" s="116">
        <f t="shared" ca="1" si="16"/>
        <v>0</v>
      </c>
      <c r="BA19" s="116">
        <f t="shared" si="17"/>
        <v>4.1126643174924433E-2</v>
      </c>
      <c r="BB19" s="116" t="e">
        <f t="shared" ca="1" si="18"/>
        <v>#NAME?</v>
      </c>
      <c r="BC19" s="116" t="e">
        <f t="shared" ca="1" si="19"/>
        <v>#NAME?</v>
      </c>
      <c r="BD19" s="368" t="e">
        <f t="shared" ca="1" si="20"/>
        <v>#NAME?</v>
      </c>
      <c r="BE19" s="10" t="e">
        <f t="shared" ca="1" si="21"/>
        <v>#NAME?</v>
      </c>
    </row>
    <row r="20" spans="1:57" ht="13">
      <c r="A20" s="151">
        <f t="shared" si="22"/>
        <v>44566</v>
      </c>
      <c r="B20" s="10" t="s">
        <v>185</v>
      </c>
      <c r="C20" s="10">
        <v>44562000030</v>
      </c>
      <c r="D20" s="10" t="s">
        <v>18</v>
      </c>
      <c r="E20" s="10" t="s">
        <v>7</v>
      </c>
      <c r="F20" s="151">
        <v>44562</v>
      </c>
      <c r="G20" s="10" t="s">
        <v>41</v>
      </c>
      <c r="H20" s="116">
        <v>448805.40759999998</v>
      </c>
      <c r="I20" s="116">
        <v>51194.592400000009</v>
      </c>
      <c r="J20" s="116">
        <v>500000</v>
      </c>
      <c r="K20" s="116">
        <v>458805.40759999998</v>
      </c>
      <c r="L20" s="116">
        <v>0</v>
      </c>
      <c r="M20" s="116">
        <v>-41194.592400000009</v>
      </c>
      <c r="N20" s="116">
        <v>-41194.592400000001</v>
      </c>
      <c r="O20" s="116">
        <v>0</v>
      </c>
      <c r="P20" s="116">
        <v>0</v>
      </c>
      <c r="Q20" s="76">
        <v>0</v>
      </c>
      <c r="R20" s="10">
        <v>0</v>
      </c>
      <c r="S20" s="331">
        <v>13.21</v>
      </c>
      <c r="T20" s="10">
        <v>40</v>
      </c>
      <c r="U20" s="330">
        <v>0</v>
      </c>
      <c r="V20" s="116">
        <v>0</v>
      </c>
      <c r="W20" s="31">
        <v>0</v>
      </c>
      <c r="X20" s="31">
        <v>0</v>
      </c>
      <c r="Y20" s="10">
        <v>0</v>
      </c>
      <c r="Z20" s="10">
        <v>0</v>
      </c>
      <c r="AA20" s="10">
        <v>0</v>
      </c>
      <c r="AB20" s="332">
        <v>0</v>
      </c>
      <c r="AC20" s="10">
        <v>40</v>
      </c>
      <c r="AD20" s="10">
        <v>0</v>
      </c>
      <c r="AE20" s="10">
        <v>0</v>
      </c>
      <c r="AF20" s="332">
        <v>-40</v>
      </c>
      <c r="AG20" s="332">
        <f t="shared" si="3"/>
        <v>40</v>
      </c>
      <c r="AH20" s="372" t="str">
        <f t="shared" ca="1" si="4"/>
        <v/>
      </c>
      <c r="AI20" s="31" t="e">
        <f t="shared" ca="1" si="5"/>
        <v>#NAME?</v>
      </c>
      <c r="AJ20" s="10">
        <f ca="1">IF(OR(A20="DateCum",A20=""),0,IF(G20="HKD",1,OFFSET(FX!$A$5,MATCH(A20,FX!A:A,0)-ROW(FX!$A$5),MATCH(G20,FX!$A$5:$AM$5,0)-1,1,1)))</f>
        <v>7.7952399999999997</v>
      </c>
      <c r="AK20" s="104">
        <f ca="1">IF($D20="Stock",OFFSET(HistPrices!$A$8,MATCH($A20,HistPrices!$A:$A,0)-ROW(HistPrices!$A$8)+3,MATCH($E20,HistPrices!$8:$8,0)-1,1,1),0)</f>
        <v>0</v>
      </c>
      <c r="AL20" s="373" t="str">
        <f ca="1">IF($D20="Bond",OFFSET(HistPrices!$A$8,MATCH($A20,HistPrices!$A:$A,0)-ROW(HistPrices!$A$8)+5,MATCH($E20,HistPrices!$8:$8,0)-1,1,1),0)</f>
        <v/>
      </c>
      <c r="AM20" s="373" t="str">
        <f ca="1">IF($D20="Bond",OFFSET(HistPrices!$A$8,MATCH($A20,HistPrices!$A:$A,0)-ROW(HistPrices!$A$8)+6,MATCH($E20,HistPrices!$8:$8,0)-1,1,1),0)</f>
        <v/>
      </c>
      <c r="AN20" s="104">
        <f ca="1">IF($D20="Option",OFFSET(HistPrices!$A$8,MATCH($A20,HistPrices!$A:$A,0)-ROW(HistPrices!$A$8)+3,MATCH($E20,HistPrices!$8:$8,0)-1,1,1),0)</f>
        <v>0</v>
      </c>
      <c r="AO20" s="104">
        <f t="shared" si="6"/>
        <v>0</v>
      </c>
      <c r="AP20" s="104">
        <f t="shared" si="7"/>
        <v>0</v>
      </c>
      <c r="AQ20" s="336">
        <f t="shared" si="8"/>
        <v>3</v>
      </c>
      <c r="AR20" s="336" t="e">
        <f t="shared" ca="1" si="9"/>
        <v>#VALUE!</v>
      </c>
      <c r="AS20" s="336" t="e">
        <f t="shared" ca="1" si="10"/>
        <v>#VALUE!</v>
      </c>
      <c r="AT20" s="116">
        <f t="shared" si="11"/>
        <v>1</v>
      </c>
      <c r="AU20" s="116" t="e">
        <f t="shared" ca="1" si="12"/>
        <v>#NAME?</v>
      </c>
      <c r="AV20" s="116" t="e">
        <f t="shared" ca="1" si="13"/>
        <v>#NAME?</v>
      </c>
      <c r="AW20" s="116" t="e">
        <f t="shared" ca="1" si="14"/>
        <v>#NAME?</v>
      </c>
      <c r="AX20" s="116" t="e">
        <f ca="1">IF(OR(A20="DateCum",A20=""),0,IF(D20="Cash",M20,IF(D20&lt;&gt;"Option",AF20*AJ20*IF(D20="Stock",AK20,IF(D20="Bond",AVERAGE(AL20:AM20)*10,IF(D20="TD",AP20,""))),IF(AND(D20="Option",AG20&gt;0),0,VLOOKUP(C20,'1TradeRecord'!$B:$EE,134,FALSE)))))</f>
        <v>#DIV/0!</v>
      </c>
      <c r="AY20" s="116" t="e">
        <f t="shared" ca="1" si="15"/>
        <v>#NAME?</v>
      </c>
      <c r="AZ20" s="116" t="e">
        <f t="shared" ca="1" si="16"/>
        <v>#VALUE!</v>
      </c>
      <c r="BA20" s="116">
        <f t="shared" si="17"/>
        <v>0</v>
      </c>
      <c r="BB20" s="116" t="e">
        <f t="shared" ca="1" si="18"/>
        <v>#NAME?</v>
      </c>
      <c r="BC20" s="116" t="e">
        <f t="shared" ca="1" si="19"/>
        <v>#NAME?</v>
      </c>
      <c r="BD20" s="368" t="e">
        <f t="shared" ca="1" si="20"/>
        <v>#NAME?</v>
      </c>
      <c r="BE20" s="10" t="e">
        <f t="shared" ca="1" si="21"/>
        <v>#NAME?</v>
      </c>
    </row>
    <row r="21" spans="1:57" ht="13">
      <c r="A21" s="151">
        <f t="shared" si="22"/>
        <v>44566</v>
      </c>
      <c r="B21" s="10" t="s">
        <v>185</v>
      </c>
      <c r="C21" s="10">
        <v>44562000031</v>
      </c>
      <c r="D21" s="10" t="s">
        <v>61</v>
      </c>
      <c r="E21" s="10" t="s">
        <v>63</v>
      </c>
      <c r="F21" s="151">
        <v>44562</v>
      </c>
      <c r="G21" s="10" t="s">
        <v>39</v>
      </c>
      <c r="H21" s="116">
        <v>428805.40759999998</v>
      </c>
      <c r="I21" s="116">
        <v>71194.592400000009</v>
      </c>
      <c r="J21" s="116">
        <v>500000</v>
      </c>
      <c r="K21" s="116">
        <v>438805.40759999998</v>
      </c>
      <c r="L21" s="116">
        <v>0</v>
      </c>
      <c r="M21" s="116">
        <v>-20000</v>
      </c>
      <c r="N21" s="116">
        <v>-20000</v>
      </c>
      <c r="O21" s="116">
        <v>0</v>
      </c>
      <c r="P21" s="116">
        <v>0</v>
      </c>
      <c r="Q21" s="76">
        <v>0</v>
      </c>
      <c r="R21" s="10">
        <v>0</v>
      </c>
      <c r="S21" s="331">
        <v>0</v>
      </c>
      <c r="T21" s="10">
        <v>0</v>
      </c>
      <c r="U21" s="330">
        <v>0</v>
      </c>
      <c r="V21" s="116">
        <v>0</v>
      </c>
      <c r="W21" s="31">
        <v>20000</v>
      </c>
      <c r="X21" s="31">
        <v>0</v>
      </c>
      <c r="Y21" s="10">
        <v>0</v>
      </c>
      <c r="Z21" s="10">
        <v>0</v>
      </c>
      <c r="AA21" s="10">
        <v>10000</v>
      </c>
      <c r="AB21" s="332">
        <v>0</v>
      </c>
      <c r="AC21" s="10">
        <v>0</v>
      </c>
      <c r="AD21" s="10">
        <v>0</v>
      </c>
      <c r="AE21" s="10">
        <v>30000</v>
      </c>
      <c r="AF21" s="332">
        <v>-20000</v>
      </c>
      <c r="AG21" s="332">
        <f t="shared" si="3"/>
        <v>20000</v>
      </c>
      <c r="AH21" s="10">
        <f t="shared" si="4"/>
        <v>1</v>
      </c>
      <c r="AI21" s="31" t="e">
        <f t="shared" ca="1" si="5"/>
        <v>#NAME?</v>
      </c>
      <c r="AJ21" s="10">
        <f ca="1">IF(OR(A21="DateCum",A21=""),0,IF(G21="HKD",1,OFFSET(FX!$A$5,MATCH(A21,FX!A:A,0)-ROW(FX!$A$5),MATCH(G21,FX!$A$5:$AM$5,0)-1,1,1)))</f>
        <v>1</v>
      </c>
      <c r="AK21" s="104">
        <f ca="1">IF($D21="Stock",OFFSET(HistPrices!$A$8,MATCH($A21,HistPrices!$A:$A,0)-ROW(HistPrices!$A$8)+3,MATCH($E21,HistPrices!$8:$8,0)-1,1,1),0)</f>
        <v>0</v>
      </c>
      <c r="AL21" s="104">
        <f ca="1">IF($D21="Bond",OFFSET(HistPrices!$A$8,MATCH($A21,HistPrices!$A:$A,0)-ROW(HistPrices!$A$8)+5,MATCH($E21,HistPrices!$8:$8,0)-1,1,1),0)</f>
        <v>0</v>
      </c>
      <c r="AM21" s="104">
        <f ca="1">IF($D21="Bond",OFFSET(HistPrices!$A$8,MATCH($A21,HistPrices!$A:$A,0)-ROW(HistPrices!$A$8)+6,MATCH($E21,HistPrices!$8:$8,0)-1,1,1),0)</f>
        <v>0</v>
      </c>
      <c r="AN21" s="104">
        <f ca="1">IF($D21="Option",OFFSET(HistPrices!$A$8,MATCH($A21,HistPrices!$A:$A,0)-ROW(HistPrices!$A$8)+3,MATCH($E21,HistPrices!$8:$8,0)-1,1,1),0)</f>
        <v>0</v>
      </c>
      <c r="AO21" s="104">
        <f t="shared" si="6"/>
        <v>0</v>
      </c>
      <c r="AP21" s="104">
        <f t="shared" si="7"/>
        <v>1</v>
      </c>
      <c r="AQ21" s="336">
        <f t="shared" si="8"/>
        <v>3</v>
      </c>
      <c r="AR21" s="336">
        <f t="shared" ca="1" si="9"/>
        <v>20000</v>
      </c>
      <c r="AS21" s="336">
        <f t="shared" ca="1" si="10"/>
        <v>-5000</v>
      </c>
      <c r="AT21" s="116">
        <f t="shared" si="11"/>
        <v>0</v>
      </c>
      <c r="AU21" s="116" t="e">
        <f t="shared" ca="1" si="12"/>
        <v>#NAME?</v>
      </c>
      <c r="AV21" s="116" t="e">
        <f t="shared" ca="1" si="13"/>
        <v>#NAME?</v>
      </c>
      <c r="AW21" s="116" t="e">
        <f t="shared" ca="1" si="14"/>
        <v>#NAME?</v>
      </c>
      <c r="AX21" s="116">
        <f ca="1">IF(OR(A21="DateCum",A21=""),0,IF(D21="Cash",M21,IF(D21&lt;&gt;"Option",AF21*AJ21*IF(D21="Stock",AK21,IF(D21="Bond",AVERAGE(AL21:AM21)*10,IF(D21="TD",AP21,""))),IF(AND(D21="Option",AG21&gt;0),0,VLOOKUP(C21,'1TradeRecord'!$B:$EE,134,FALSE)))))</f>
        <v>-20000</v>
      </c>
      <c r="AY21" s="116" t="e">
        <f t="shared" ca="1" si="15"/>
        <v>#NAME?</v>
      </c>
      <c r="AZ21" s="116">
        <f t="shared" ca="1" si="16"/>
        <v>0</v>
      </c>
      <c r="BA21" s="116">
        <f t="shared" si="17"/>
        <v>0.12337992952477331</v>
      </c>
      <c r="BB21" s="116" t="e">
        <f t="shared" ca="1" si="18"/>
        <v>#NAME?</v>
      </c>
      <c r="BC21" s="116" t="e">
        <f t="shared" ca="1" si="19"/>
        <v>#NAME?</v>
      </c>
      <c r="BD21" s="368" t="e">
        <f t="shared" ca="1" si="20"/>
        <v>#NAME?</v>
      </c>
      <c r="BE21" s="10" t="e">
        <f t="shared" ca="1" si="21"/>
        <v>#NAME?</v>
      </c>
    </row>
    <row r="22" spans="1:57" ht="13">
      <c r="A22" s="151">
        <f t="shared" si="22"/>
        <v>44566</v>
      </c>
      <c r="B22" s="10" t="s">
        <v>185</v>
      </c>
      <c r="C22" s="10">
        <v>44562000035</v>
      </c>
      <c r="D22" s="10" t="s">
        <v>16</v>
      </c>
      <c r="E22" s="61" t="s">
        <v>38</v>
      </c>
      <c r="F22" s="151">
        <v>44562</v>
      </c>
      <c r="G22" s="10" t="s">
        <v>39</v>
      </c>
      <c r="H22" s="116">
        <v>424205.40759999998</v>
      </c>
      <c r="I22" s="116">
        <v>75794.592400000009</v>
      </c>
      <c r="J22" s="116">
        <v>500000</v>
      </c>
      <c r="K22" s="116">
        <v>444205.40759999998</v>
      </c>
      <c r="L22" s="116">
        <v>0</v>
      </c>
      <c r="M22" s="116">
        <v>-4600</v>
      </c>
      <c r="N22" s="116">
        <v>-4600</v>
      </c>
      <c r="O22" s="116">
        <v>4600</v>
      </c>
      <c r="P22" s="116">
        <v>0</v>
      </c>
      <c r="Q22" s="76">
        <v>460</v>
      </c>
      <c r="R22" s="10">
        <v>10</v>
      </c>
      <c r="S22" s="331">
        <v>0</v>
      </c>
      <c r="T22" s="10">
        <v>0</v>
      </c>
      <c r="U22" s="330">
        <v>0</v>
      </c>
      <c r="V22" s="116">
        <v>0</v>
      </c>
      <c r="W22" s="31">
        <v>0</v>
      </c>
      <c r="X22" s="31">
        <v>0</v>
      </c>
      <c r="Y22" s="10">
        <v>0</v>
      </c>
      <c r="Z22" s="10">
        <v>0</v>
      </c>
      <c r="AA22" s="10">
        <v>0</v>
      </c>
      <c r="AB22" s="332">
        <v>10</v>
      </c>
      <c r="AC22" s="10">
        <v>0</v>
      </c>
      <c r="AD22" s="10">
        <v>0</v>
      </c>
      <c r="AE22" s="10">
        <v>0</v>
      </c>
      <c r="AF22" s="332">
        <v>-10</v>
      </c>
      <c r="AG22" s="332">
        <f t="shared" si="3"/>
        <v>10</v>
      </c>
      <c r="AH22" s="372">
        <f t="shared" ca="1" si="4"/>
        <v>2024</v>
      </c>
      <c r="AI22" s="31" t="e">
        <f t="shared" ca="1" si="5"/>
        <v>#NAME?</v>
      </c>
      <c r="AJ22" s="10">
        <f ca="1">IF(OR(A22="DateCum",A22=""),0,IF(G22="HKD",1,OFFSET(FX!$A$5,MATCH(A22,FX!A:A,0)-ROW(FX!$A$5),MATCH(G22,FX!$A$5:$AM$5,0)-1,1,1)))</f>
        <v>1</v>
      </c>
      <c r="AK22" s="373">
        <f ca="1">IF($D22="Stock",OFFSET(HistPrices!$A$8,MATCH($A22,HistPrices!$A:$A,0)-ROW(HistPrices!$A$8)+3,MATCH($E22,HistPrices!$8:$8,0)-1,1,1),0)</f>
        <v>2024</v>
      </c>
      <c r="AL22" s="104">
        <f ca="1">IF($D22="Bond",OFFSET(HistPrices!$A$8,MATCH($A22,HistPrices!$A:$A,0)-ROW(HistPrices!$A$8)+5,MATCH($E22,HistPrices!$8:$8,0)-1,1,1),0)</f>
        <v>0</v>
      </c>
      <c r="AM22" s="104">
        <f ca="1">IF($D22="Bond",OFFSET(HistPrices!$A$8,MATCH($A22,HistPrices!$A:$A,0)-ROW(HistPrices!$A$8)+6,MATCH($E22,HistPrices!$8:$8,0)-1,1,1),0)</f>
        <v>0</v>
      </c>
      <c r="AN22" s="104">
        <f ca="1">IF($D22="Option",OFFSET(HistPrices!$A$8,MATCH($A22,HistPrices!$A:$A,0)-ROW(HistPrices!$A$8)+3,MATCH($E22,HistPrices!$8:$8,0)-1,1,1),0)</f>
        <v>0</v>
      </c>
      <c r="AO22" s="104">
        <f t="shared" si="6"/>
        <v>0</v>
      </c>
      <c r="AP22" s="104">
        <f t="shared" si="7"/>
        <v>0</v>
      </c>
      <c r="AQ22" s="336">
        <f t="shared" si="8"/>
        <v>4</v>
      </c>
      <c r="AR22" s="336">
        <f t="shared" ca="1" si="9"/>
        <v>20240</v>
      </c>
      <c r="AS22" s="336">
        <f t="shared" ca="1" si="10"/>
        <v>789360</v>
      </c>
      <c r="AT22" s="116">
        <f t="shared" si="11"/>
        <v>1</v>
      </c>
      <c r="AU22" s="116" t="e">
        <f t="shared" ca="1" si="12"/>
        <v>#NAME?</v>
      </c>
      <c r="AV22" s="116" t="e">
        <f t="shared" ca="1" si="13"/>
        <v>#NAME?</v>
      </c>
      <c r="AW22" s="116" t="e">
        <f t="shared" ca="1" si="14"/>
        <v>#NAME?</v>
      </c>
      <c r="AX22" s="116">
        <f ca="1">IF(OR(A22="DateCum",A22=""),0,IF(D22="Cash",M22,IF(D22&lt;&gt;"Option",AF22*AJ22*IF(D22="Stock",AK22,IF(D22="Bond",AVERAGE(AL22:AM22)*10,IF(D22="TD",AP22,""))),IF(AND(D22="Option",AG22&gt;0),0,VLOOKUP(C22,'1TradeRecord'!$B:$EE,134,FALSE)))))</f>
        <v>-20240</v>
      </c>
      <c r="AY22" s="116" t="e">
        <f t="shared" ca="1" si="15"/>
        <v>#NAME?</v>
      </c>
      <c r="AZ22" s="116">
        <f t="shared" ca="1" si="16"/>
        <v>0</v>
      </c>
      <c r="BA22" s="116">
        <f t="shared" si="17"/>
        <v>0</v>
      </c>
      <c r="BB22" s="116" t="e">
        <f t="shared" ca="1" si="18"/>
        <v>#NAME?</v>
      </c>
      <c r="BC22" s="116" t="e">
        <f t="shared" ca="1" si="19"/>
        <v>#NAME?</v>
      </c>
      <c r="BD22" s="368" t="e">
        <f t="shared" ca="1" si="20"/>
        <v>#NAME?</v>
      </c>
      <c r="BE22" s="10" t="e">
        <f t="shared" ca="1" si="21"/>
        <v>#NAME?</v>
      </c>
    </row>
    <row r="23" spans="1:57" ht="13">
      <c r="A23" s="151">
        <f t="shared" si="22"/>
        <v>44566</v>
      </c>
      <c r="B23" s="10" t="s">
        <v>185</v>
      </c>
      <c r="C23" s="10">
        <v>44563000032</v>
      </c>
      <c r="D23" s="10" t="s">
        <v>61</v>
      </c>
      <c r="E23" s="10" t="s">
        <v>63</v>
      </c>
      <c r="F23" s="151">
        <v>44563</v>
      </c>
      <c r="G23" s="10" t="s">
        <v>39</v>
      </c>
      <c r="H23" s="116">
        <v>459205.40759999998</v>
      </c>
      <c r="I23" s="116">
        <v>40794.592400000009</v>
      </c>
      <c r="J23" s="116">
        <v>500000</v>
      </c>
      <c r="K23" s="116">
        <v>469205.40759999998</v>
      </c>
      <c r="L23" s="116">
        <v>0</v>
      </c>
      <c r="M23" s="116">
        <v>35000</v>
      </c>
      <c r="N23" s="116">
        <v>25000</v>
      </c>
      <c r="O23" s="116">
        <v>0</v>
      </c>
      <c r="P23" s="116">
        <v>0</v>
      </c>
      <c r="Q23" s="76">
        <v>0</v>
      </c>
      <c r="R23" s="10">
        <v>0</v>
      </c>
      <c r="S23" s="331">
        <v>0</v>
      </c>
      <c r="T23" s="10">
        <v>0</v>
      </c>
      <c r="U23" s="330">
        <v>0</v>
      </c>
      <c r="V23" s="116">
        <v>0</v>
      </c>
      <c r="W23" s="31">
        <v>-35000</v>
      </c>
      <c r="X23" s="31">
        <v>0</v>
      </c>
      <c r="Y23" s="10">
        <v>0</v>
      </c>
      <c r="Z23" s="10">
        <v>0</v>
      </c>
      <c r="AA23" s="10">
        <v>30000</v>
      </c>
      <c r="AB23" s="332">
        <v>0</v>
      </c>
      <c r="AC23" s="10">
        <v>0</v>
      </c>
      <c r="AD23" s="10">
        <v>0</v>
      </c>
      <c r="AE23" s="10">
        <v>-5000</v>
      </c>
      <c r="AF23" s="332">
        <v>25000</v>
      </c>
      <c r="AG23" s="332">
        <f t="shared" si="3"/>
        <v>-35000</v>
      </c>
      <c r="AH23" s="10">
        <f t="shared" si="4"/>
        <v>1</v>
      </c>
      <c r="AI23" s="31" t="e">
        <f t="shared" ca="1" si="5"/>
        <v>#NAME?</v>
      </c>
      <c r="AJ23" s="10">
        <f ca="1">IF(OR(A23="DateCum",A23=""),0,IF(G23="HKD",1,OFFSET(FX!$A$5,MATCH(A23,FX!A:A,0)-ROW(FX!$A$5),MATCH(G23,FX!$A$5:$AM$5,0)-1,1,1)))</f>
        <v>1</v>
      </c>
      <c r="AK23" s="104">
        <f ca="1">IF($D23="Stock",OFFSET(HistPrices!$A$8,MATCH($A23,HistPrices!$A:$A,0)-ROW(HistPrices!$A$8)+3,MATCH($E23,HistPrices!$8:$8,0)-1,1,1),0)</f>
        <v>0</v>
      </c>
      <c r="AL23" s="104">
        <f ca="1">IF($D23="Bond",OFFSET(HistPrices!$A$8,MATCH($A23,HistPrices!$A:$A,0)-ROW(HistPrices!$A$8)+5,MATCH($E23,HistPrices!$8:$8,0)-1,1,1),0)</f>
        <v>0</v>
      </c>
      <c r="AM23" s="104">
        <f ca="1">IF($D23="Bond",OFFSET(HistPrices!$A$8,MATCH($A23,HistPrices!$A:$A,0)-ROW(HistPrices!$A$8)+6,MATCH($E23,HistPrices!$8:$8,0)-1,1,1),0)</f>
        <v>0</v>
      </c>
      <c r="AN23" s="104">
        <f ca="1">IF($D23="Option",OFFSET(HistPrices!$A$8,MATCH($A23,HistPrices!$A:$A,0)-ROW(HistPrices!$A$8)+3,MATCH($E23,HistPrices!$8:$8,0)-1,1,1),0)</f>
        <v>0</v>
      </c>
      <c r="AO23" s="104">
        <f t="shared" si="6"/>
        <v>0</v>
      </c>
      <c r="AP23" s="104">
        <f t="shared" si="7"/>
        <v>1</v>
      </c>
      <c r="AQ23" s="336">
        <f t="shared" si="8"/>
        <v>4</v>
      </c>
      <c r="AR23" s="336">
        <f t="shared" ca="1" si="9"/>
        <v>-35000</v>
      </c>
      <c r="AS23" s="336">
        <f t="shared" ca="1" si="10"/>
        <v>-5000</v>
      </c>
      <c r="AT23" s="116">
        <f t="shared" si="11"/>
        <v>0</v>
      </c>
      <c r="AU23" s="116" t="e">
        <f t="shared" ca="1" si="12"/>
        <v>#NAME?</v>
      </c>
      <c r="AV23" s="116" t="e">
        <f t="shared" ca="1" si="13"/>
        <v>#NAME?</v>
      </c>
      <c r="AW23" s="116" t="e">
        <f t="shared" ca="1" si="14"/>
        <v>#NAME?</v>
      </c>
      <c r="AX23" s="116">
        <f ca="1">IF(OR(A23="DateCum",A23=""),0,IF(D23="Cash",M23,IF(D23&lt;&gt;"Option",AF23*AJ23*IF(D23="Stock",AK23,IF(D23="Bond",AVERAGE(AL23:AM23)*10,IF(D23="TD",AP23,""))),IF(AND(D23="Option",AG23&gt;0),0,VLOOKUP(C23,'1TradeRecord'!$B:$EE,134,FALSE)))))</f>
        <v>25000</v>
      </c>
      <c r="AY23" s="116" t="e">
        <f t="shared" ca="1" si="15"/>
        <v>#NAME?</v>
      </c>
      <c r="AZ23" s="116">
        <f t="shared" ca="1" si="16"/>
        <v>-0.8470042558611911</v>
      </c>
      <c r="BA23" s="116">
        <f t="shared" si="17"/>
        <v>0</v>
      </c>
      <c r="BB23" s="116" t="e">
        <f t="shared" ca="1" si="18"/>
        <v>#NAME?</v>
      </c>
      <c r="BC23" s="116" t="e">
        <f t="shared" ca="1" si="19"/>
        <v>#NAME?</v>
      </c>
      <c r="BD23" s="368" t="e">
        <f t="shared" ca="1" si="20"/>
        <v>#NAME?</v>
      </c>
      <c r="BE23" s="10" t="e">
        <f t="shared" ca="1" si="21"/>
        <v>#NAME?</v>
      </c>
    </row>
    <row r="24" spans="1:57" ht="13">
      <c r="A24" s="151">
        <f t="shared" si="22"/>
        <v>44566</v>
      </c>
      <c r="B24" s="10" t="s">
        <v>185</v>
      </c>
      <c r="C24" s="10">
        <v>44565000036</v>
      </c>
      <c r="D24" s="10" t="s">
        <v>16</v>
      </c>
      <c r="E24" s="61" t="s">
        <v>38</v>
      </c>
      <c r="F24" s="153">
        <v>44565</v>
      </c>
      <c r="G24" s="10" t="s">
        <v>39</v>
      </c>
      <c r="H24" s="116">
        <v>288205.40759999998</v>
      </c>
      <c r="I24" s="116">
        <v>211794.59240000002</v>
      </c>
      <c r="J24" s="116">
        <v>500000</v>
      </c>
      <c r="K24" s="116">
        <v>238205.40759999998</v>
      </c>
      <c r="L24" s="116">
        <v>0</v>
      </c>
      <c r="M24" s="116">
        <v>-171000</v>
      </c>
      <c r="N24" s="116">
        <v>-171000</v>
      </c>
      <c r="O24" s="116">
        <v>171000</v>
      </c>
      <c r="P24" s="116">
        <v>0</v>
      </c>
      <c r="Q24" s="10">
        <v>450</v>
      </c>
      <c r="R24" s="10">
        <v>380</v>
      </c>
      <c r="S24" s="331">
        <v>0</v>
      </c>
      <c r="T24" s="10">
        <v>0</v>
      </c>
      <c r="U24" s="330">
        <v>0</v>
      </c>
      <c r="V24" s="116">
        <v>0</v>
      </c>
      <c r="W24" s="31">
        <v>0</v>
      </c>
      <c r="X24" s="31">
        <v>10</v>
      </c>
      <c r="Y24" s="10">
        <v>0</v>
      </c>
      <c r="Z24" s="10">
        <v>0</v>
      </c>
      <c r="AA24" s="10">
        <v>0</v>
      </c>
      <c r="AB24" s="332">
        <v>390</v>
      </c>
      <c r="AC24" s="10">
        <v>0</v>
      </c>
      <c r="AD24" s="10">
        <v>0</v>
      </c>
      <c r="AE24" s="10">
        <v>0</v>
      </c>
      <c r="AF24" s="332">
        <v>-380</v>
      </c>
      <c r="AG24" s="332">
        <f t="shared" si="3"/>
        <v>380</v>
      </c>
      <c r="AH24" s="372">
        <f t="shared" ca="1" si="4"/>
        <v>2024</v>
      </c>
      <c r="AI24" s="31" t="e">
        <f t="shared" ca="1" si="5"/>
        <v>#NAME?</v>
      </c>
      <c r="AJ24" s="10">
        <f ca="1">IF(OR(A24="DateCum",A24=""),0,IF(G24="HKD",1,OFFSET(FX!$A$5,MATCH(A24,FX!A:A,0)-ROW(FX!$A$5),MATCH(G24,FX!$A$5:$AM$5,0)-1,1,1)))</f>
        <v>1</v>
      </c>
      <c r="AK24" s="373">
        <f ca="1">IF($D24="Stock",OFFSET(HistPrices!$A$8,MATCH($A24,HistPrices!$A:$A,0)-ROW(HistPrices!$A$8)+3,MATCH($E24,HistPrices!$8:$8,0)-1,1,1),0)</f>
        <v>2024</v>
      </c>
      <c r="AL24" s="104">
        <f ca="1">IF($D24="Bond",OFFSET(HistPrices!$A$8,MATCH($A24,HistPrices!$A:$A,0)-ROW(HistPrices!$A$8)+5,MATCH($E24,HistPrices!$8:$8,0)-1,1,1),0)</f>
        <v>0</v>
      </c>
      <c r="AM24" s="104">
        <f ca="1">IF($D24="Bond",OFFSET(HistPrices!$A$8,MATCH($A24,HistPrices!$A:$A,0)-ROW(HistPrices!$A$8)+6,MATCH($E24,HistPrices!$8:$8,0)-1,1,1),0)</f>
        <v>0</v>
      </c>
      <c r="AN24" s="104">
        <f ca="1">IF($D24="Option",OFFSET(HistPrices!$A$8,MATCH($A24,HistPrices!$A:$A,0)-ROW(HistPrices!$A$8)+3,MATCH($E24,HistPrices!$8:$8,0)-1,1,1),0)</f>
        <v>0</v>
      </c>
      <c r="AO24" s="104">
        <f t="shared" si="6"/>
        <v>0</v>
      </c>
      <c r="AP24" s="104">
        <f t="shared" si="7"/>
        <v>0</v>
      </c>
      <c r="AQ24" s="336">
        <f t="shared" si="8"/>
        <v>4</v>
      </c>
      <c r="AR24" s="336">
        <f t="shared" ca="1" si="9"/>
        <v>769120</v>
      </c>
      <c r="AS24" s="336">
        <f t="shared" ca="1" si="10"/>
        <v>789360</v>
      </c>
      <c r="AT24" s="116">
        <f t="shared" si="11"/>
        <v>0</v>
      </c>
      <c r="AU24" s="116" t="e">
        <f t="shared" ca="1" si="12"/>
        <v>#NAME?</v>
      </c>
      <c r="AV24" s="116" t="e">
        <f t="shared" ca="1" si="13"/>
        <v>#NAME?</v>
      </c>
      <c r="AW24" s="116" t="e">
        <f t="shared" ca="1" si="14"/>
        <v>#NAME?</v>
      </c>
      <c r="AX24" s="116">
        <f ca="1">IF(OR(A24="DateCum",A24=""),0,IF(D24="Cash",M24,IF(D24&lt;&gt;"Option",AF24*AJ24*IF(D24="Stock",AK24,IF(D24="Bond",AVERAGE(AL24:AM24)*10,IF(D24="TD",AP24,""))),IF(AND(D24="Option",AG24&gt;0),0,VLOOKUP(C24,'1TradeRecord'!$B:$EE,134,FALSE)))))</f>
        <v>-769120</v>
      </c>
      <c r="AY24" s="116" t="e">
        <f t="shared" ca="1" si="15"/>
        <v>#NAME?</v>
      </c>
      <c r="AZ24" s="116">
        <f t="shared" ca="1" si="16"/>
        <v>0</v>
      </c>
      <c r="BA24" s="116">
        <f t="shared" si="17"/>
        <v>0</v>
      </c>
      <c r="BB24" s="116" t="e">
        <f t="shared" ca="1" si="18"/>
        <v>#NAME?</v>
      </c>
      <c r="BC24" s="116" t="e">
        <f t="shared" ca="1" si="19"/>
        <v>#NAME?</v>
      </c>
      <c r="BD24" s="368" t="e">
        <f t="shared" ca="1" si="20"/>
        <v>#NAME?</v>
      </c>
      <c r="BE24" s="116" t="e">
        <f t="shared" ca="1" si="21"/>
        <v>#NAME?</v>
      </c>
    </row>
    <row r="25" spans="1:57" ht="13">
      <c r="A25" s="151">
        <f t="shared" si="22"/>
        <v>44566</v>
      </c>
      <c r="B25" s="10" t="s">
        <v>186</v>
      </c>
      <c r="C25" s="10">
        <v>44561000008</v>
      </c>
      <c r="D25" s="10" t="s">
        <v>64</v>
      </c>
      <c r="E25" s="10" t="s">
        <v>64</v>
      </c>
      <c r="F25" s="151">
        <v>44561</v>
      </c>
      <c r="G25" s="10" t="s">
        <v>39</v>
      </c>
      <c r="H25" s="116">
        <v>500000</v>
      </c>
      <c r="I25" s="116">
        <v>0</v>
      </c>
      <c r="J25" s="116">
        <v>500000</v>
      </c>
      <c r="K25" s="116">
        <v>0</v>
      </c>
      <c r="L25" s="116">
        <v>0</v>
      </c>
      <c r="M25" s="116">
        <v>500000</v>
      </c>
      <c r="N25" s="116">
        <v>500000</v>
      </c>
      <c r="O25" s="116">
        <v>0</v>
      </c>
      <c r="P25" s="116">
        <v>0</v>
      </c>
      <c r="Q25" s="76">
        <v>0</v>
      </c>
      <c r="R25" s="10">
        <v>0</v>
      </c>
      <c r="S25" s="331">
        <v>0</v>
      </c>
      <c r="T25" s="10">
        <v>0</v>
      </c>
      <c r="U25" s="330">
        <v>0</v>
      </c>
      <c r="V25" s="116">
        <v>0</v>
      </c>
      <c r="W25" s="31">
        <v>0</v>
      </c>
      <c r="X25" s="31">
        <v>0</v>
      </c>
      <c r="Y25" s="10">
        <v>0</v>
      </c>
      <c r="Z25" s="10">
        <v>0</v>
      </c>
      <c r="AA25" s="10">
        <v>0</v>
      </c>
      <c r="AB25" s="332">
        <v>0</v>
      </c>
      <c r="AC25" s="10">
        <v>0</v>
      </c>
      <c r="AD25" s="10">
        <v>0</v>
      </c>
      <c r="AE25" s="10">
        <v>0</v>
      </c>
      <c r="AF25" s="332">
        <v>0</v>
      </c>
      <c r="AG25" s="332">
        <f t="shared" si="3"/>
        <v>0</v>
      </c>
      <c r="AH25" s="10">
        <f t="shared" si="4"/>
        <v>1</v>
      </c>
      <c r="AI25" s="31" t="e">
        <f t="shared" ca="1" si="5"/>
        <v>#NAME?</v>
      </c>
      <c r="AJ25" s="10">
        <f ca="1">IF(OR(A25="DateCum",A25=""),0,IF(G25="HKD",1,OFFSET(FX!$A$5,MATCH(A25,FX!A:A,0)-ROW(FX!$A$5),MATCH(G25,FX!$A$5:$AM$5,0)-1,1,1)))</f>
        <v>1</v>
      </c>
      <c r="AK25" s="104">
        <f ca="1">IF($D25="Stock",OFFSET(HistPrices!$A$8,MATCH($A25,HistPrices!$A:$A,0)-ROW(HistPrices!$A$8)+3,MATCH($E25,HistPrices!$8:$8,0)-1,1,1),0)</f>
        <v>0</v>
      </c>
      <c r="AL25" s="104">
        <f ca="1">IF($D25="Bond",OFFSET(HistPrices!$A$8,MATCH($A25,HistPrices!$A:$A,0)-ROW(HistPrices!$A$8)+5,MATCH($E25,HistPrices!$8:$8,0)-1,1,1),0)</f>
        <v>0</v>
      </c>
      <c r="AM25" s="104">
        <f ca="1">IF($D25="Bond",OFFSET(HistPrices!$A$8,MATCH($A25,HistPrices!$A:$A,0)-ROW(HistPrices!$A$8)+6,MATCH($E25,HistPrices!$8:$8,0)-1,1,1),0)</f>
        <v>0</v>
      </c>
      <c r="AN25" s="104">
        <f ca="1">IF($D25="Option",OFFSET(HistPrices!$A$8,MATCH($A25,HistPrices!$A:$A,0)-ROW(HistPrices!$A$8)+3,MATCH($E25,HistPrices!$8:$8,0)-1,1,1),0)</f>
        <v>0</v>
      </c>
      <c r="AO25" s="104">
        <f t="shared" si="6"/>
        <v>0</v>
      </c>
      <c r="AP25" s="104">
        <f t="shared" si="7"/>
        <v>0</v>
      </c>
      <c r="AQ25" s="336">
        <f t="shared" si="8"/>
        <v>1</v>
      </c>
      <c r="AR25" s="336">
        <f t="shared" ca="1" si="9"/>
        <v>0</v>
      </c>
      <c r="AS25" s="336">
        <f t="shared" ca="1" si="10"/>
        <v>0</v>
      </c>
      <c r="AT25" s="116">
        <f t="shared" si="11"/>
        <v>1</v>
      </c>
      <c r="AU25" s="116" t="e">
        <f t="shared" ca="1" si="12"/>
        <v>#NAME?</v>
      </c>
      <c r="AV25" s="116" t="e">
        <f t="shared" ca="1" si="13"/>
        <v>#NAME?</v>
      </c>
      <c r="AW25" s="116" t="e">
        <f t="shared" ca="1" si="14"/>
        <v>#NAME?</v>
      </c>
      <c r="AX25" s="116">
        <f>IF(OR(A25="DateCum",A25=""),0,IF(D25="Cash",M25,IF(D25&lt;&gt;"Option",AF25*AJ25*IF(D25="Stock",AK25,IF(D25="Bond",AVERAGE(AL25:AM25)*10,IF(D25="TD",AP25,""))),IF(AND(D25="Option",AG25&gt;0),0,VLOOKUP(C25,'1TradeRecord'!$B:$EE,134,FALSE)))))</f>
        <v>500000</v>
      </c>
      <c r="AY25" s="116" t="e">
        <f t="shared" ca="1" si="15"/>
        <v>#NAME?</v>
      </c>
      <c r="AZ25" s="116">
        <f t="shared" ca="1" si="16"/>
        <v>0</v>
      </c>
      <c r="BA25" s="96">
        <f t="shared" si="17"/>
        <v>0</v>
      </c>
      <c r="BB25" s="116" t="e">
        <f t="shared" ca="1" si="18"/>
        <v>#NAME?</v>
      </c>
      <c r="BC25" s="116" t="e">
        <f t="shared" ca="1" si="19"/>
        <v>#NAME?</v>
      </c>
      <c r="BD25" s="368" t="e">
        <f t="shared" ca="1" si="20"/>
        <v>#NAME?</v>
      </c>
      <c r="BE25" s="10" t="e">
        <f t="shared" ca="1" si="21"/>
        <v>#NAME?</v>
      </c>
    </row>
    <row r="26" spans="1:57" ht="13">
      <c r="A26" s="151">
        <f t="shared" si="22"/>
        <v>44566</v>
      </c>
      <c r="B26" s="10" t="s">
        <v>186</v>
      </c>
      <c r="C26" s="10">
        <v>44563000037</v>
      </c>
      <c r="D26" s="10" t="s">
        <v>16</v>
      </c>
      <c r="E26" s="10" t="s">
        <v>0</v>
      </c>
      <c r="F26" s="151">
        <v>44563</v>
      </c>
      <c r="G26" s="10" t="s">
        <v>41</v>
      </c>
      <c r="H26" s="116">
        <v>409954.46750000003</v>
      </c>
      <c r="I26" s="116">
        <v>90045.532500000001</v>
      </c>
      <c r="J26" s="116">
        <v>500000</v>
      </c>
      <c r="K26" s="116">
        <v>409954.46750000003</v>
      </c>
      <c r="L26" s="116">
        <v>0</v>
      </c>
      <c r="M26" s="116">
        <v>-90045.532500000001</v>
      </c>
      <c r="N26" s="116">
        <v>-90045.532500000001</v>
      </c>
      <c r="O26" s="116">
        <v>90045.532500000001</v>
      </c>
      <c r="P26" s="116">
        <v>0</v>
      </c>
      <c r="Q26" s="76">
        <v>3001.51775</v>
      </c>
      <c r="R26" s="10">
        <v>30</v>
      </c>
      <c r="S26" s="331">
        <v>0</v>
      </c>
      <c r="T26" s="10">
        <v>0</v>
      </c>
      <c r="U26" s="330">
        <v>0</v>
      </c>
      <c r="V26" s="116">
        <v>0</v>
      </c>
      <c r="W26" s="31">
        <v>0</v>
      </c>
      <c r="X26" s="31">
        <v>0</v>
      </c>
      <c r="Y26" s="10">
        <v>0</v>
      </c>
      <c r="Z26" s="10">
        <v>0</v>
      </c>
      <c r="AA26" s="10">
        <v>0</v>
      </c>
      <c r="AB26" s="332">
        <v>30</v>
      </c>
      <c r="AC26" s="10">
        <v>0</v>
      </c>
      <c r="AD26" s="10">
        <v>0</v>
      </c>
      <c r="AE26" s="10">
        <v>0</v>
      </c>
      <c r="AF26" s="332">
        <v>-30</v>
      </c>
      <c r="AG26" s="332">
        <f t="shared" si="3"/>
        <v>30</v>
      </c>
      <c r="AH26" s="372">
        <f t="shared" ca="1" si="4"/>
        <v>5.15</v>
      </c>
      <c r="AI26" s="31" t="e">
        <f t="shared" ca="1" si="5"/>
        <v>#NAME?</v>
      </c>
      <c r="AJ26" s="10">
        <f ca="1">IF(OR(A26="DateCum",A26=""),0,IF(G26="HKD",1,OFFSET(FX!$A$5,MATCH(A26,FX!A:A,0)-ROW(FX!$A$5),MATCH(G26,FX!$A$5:$AM$5,0)-1,1,1)))</f>
        <v>7.7952399999999997</v>
      </c>
      <c r="AK26" s="373">
        <f ca="1">IF($D26="Stock",OFFSET(HistPrices!$A$8,MATCH($A26,HistPrices!$A:$A,0)-ROW(HistPrices!$A$8)+3,MATCH($E26,HistPrices!$8:$8,0)-1,1,1),0)</f>
        <v>5.15</v>
      </c>
      <c r="AL26" s="104">
        <f ca="1">IF($D26="Bond",OFFSET(HistPrices!$A$8,MATCH($A26,HistPrices!$A:$A,0)-ROW(HistPrices!$A$8)+5,MATCH($E26,HistPrices!$8:$8,0)-1,1,1),0)</f>
        <v>0</v>
      </c>
      <c r="AM26" s="104">
        <f ca="1">IF($D26="Bond",OFFSET(HistPrices!$A$8,MATCH($A26,HistPrices!$A:$A,0)-ROW(HistPrices!$A$8)+6,MATCH($E26,HistPrices!$8:$8,0)-1,1,1),0)</f>
        <v>0</v>
      </c>
      <c r="AN26" s="104">
        <f ca="1">IF($D26="Option",OFFSET(HistPrices!$A$8,MATCH($A26,HistPrices!$A:$A,0)-ROW(HistPrices!$A$8)+3,MATCH($E26,HistPrices!$8:$8,0)-1,1,1),0)</f>
        <v>0</v>
      </c>
      <c r="AO26" s="104">
        <f t="shared" si="6"/>
        <v>0</v>
      </c>
      <c r="AP26" s="104">
        <f t="shared" si="7"/>
        <v>0</v>
      </c>
      <c r="AQ26" s="336">
        <f t="shared" si="8"/>
        <v>2</v>
      </c>
      <c r="AR26" s="336">
        <f t="shared" ca="1" si="9"/>
        <v>1204.3645799999999</v>
      </c>
      <c r="AS26" s="336">
        <f t="shared" ca="1" si="10"/>
        <v>1204.3645799999999</v>
      </c>
      <c r="AT26" s="116">
        <f t="shared" si="11"/>
        <v>1</v>
      </c>
      <c r="AU26" s="116" t="e">
        <f t="shared" ca="1" si="12"/>
        <v>#NAME?</v>
      </c>
      <c r="AV26" s="116" t="e">
        <f t="shared" ca="1" si="13"/>
        <v>#NAME?</v>
      </c>
      <c r="AW26" s="116" t="e">
        <f t="shared" ca="1" si="14"/>
        <v>#NAME?</v>
      </c>
      <c r="AX26" s="116">
        <f ca="1">IF(OR(A26="DateCum",A26=""),0,IF(D26="Cash",M26,IF(D26&lt;&gt;"Option",AF26*AJ26*IF(D26="Stock",AK26,IF(D26="Bond",AVERAGE(AL26:AM26)*10,IF(D26="TD",AP26,""))),IF(AND(D26="Option",AG26&gt;0),0,VLOOKUP(C26,'1TradeRecord'!$B:$EE,134,FALSE)))))</f>
        <v>-1204.3645799999999</v>
      </c>
      <c r="AY26" s="116" t="e">
        <f t="shared" ca="1" si="15"/>
        <v>#NAME?</v>
      </c>
      <c r="AZ26" s="116">
        <f t="shared" ca="1" si="16"/>
        <v>0</v>
      </c>
      <c r="BA26" s="116">
        <f t="shared" si="17"/>
        <v>0</v>
      </c>
      <c r="BB26" s="116" t="e">
        <f t="shared" ca="1" si="18"/>
        <v>#NAME?</v>
      </c>
      <c r="BC26" s="116" t="e">
        <f t="shared" ca="1" si="19"/>
        <v>#NAME?</v>
      </c>
      <c r="BD26" s="368" t="e">
        <f t="shared" ca="1" si="20"/>
        <v>#NAME?</v>
      </c>
      <c r="BE26" s="10" t="e">
        <f t="shared" ca="1" si="21"/>
        <v>#NAME?</v>
      </c>
    </row>
    <row r="27" spans="1:57" ht="13">
      <c r="A27" s="151">
        <f t="shared" si="22"/>
        <v>44566</v>
      </c>
      <c r="B27" s="10" t="s">
        <v>186</v>
      </c>
      <c r="C27" s="10">
        <v>44563000038</v>
      </c>
      <c r="D27" s="10" t="s">
        <v>16</v>
      </c>
      <c r="E27" s="61" t="s">
        <v>38</v>
      </c>
      <c r="F27" s="151">
        <v>44563</v>
      </c>
      <c r="G27" s="10" t="s">
        <v>39</v>
      </c>
      <c r="H27" s="116">
        <v>396154.46750000003</v>
      </c>
      <c r="I27" s="116">
        <v>103845.5325</v>
      </c>
      <c r="J27" s="116">
        <v>500000</v>
      </c>
      <c r="K27" s="116">
        <v>396154.46750000003</v>
      </c>
      <c r="L27" s="116">
        <v>0</v>
      </c>
      <c r="M27" s="116">
        <v>-13800</v>
      </c>
      <c r="N27" s="116">
        <v>-13800</v>
      </c>
      <c r="O27" s="116">
        <v>13800</v>
      </c>
      <c r="P27" s="116">
        <v>0</v>
      </c>
      <c r="Q27" s="76">
        <v>460</v>
      </c>
      <c r="R27" s="10">
        <v>30</v>
      </c>
      <c r="S27" s="331">
        <v>0</v>
      </c>
      <c r="T27" s="10">
        <v>0</v>
      </c>
      <c r="U27" s="330">
        <v>0</v>
      </c>
      <c r="V27" s="116">
        <v>0</v>
      </c>
      <c r="W27" s="31">
        <v>0</v>
      </c>
      <c r="X27" s="31">
        <v>0</v>
      </c>
      <c r="Y27" s="10">
        <v>0</v>
      </c>
      <c r="Z27" s="10">
        <v>0</v>
      </c>
      <c r="AA27" s="10">
        <v>0</v>
      </c>
      <c r="AB27" s="332">
        <v>30</v>
      </c>
      <c r="AC27" s="10">
        <v>0</v>
      </c>
      <c r="AD27" s="10">
        <v>0</v>
      </c>
      <c r="AE27" s="10">
        <v>0</v>
      </c>
      <c r="AF27" s="332">
        <v>-30</v>
      </c>
      <c r="AG27" s="332">
        <f t="shared" si="3"/>
        <v>30</v>
      </c>
      <c r="AH27" s="372">
        <f t="shared" ca="1" si="4"/>
        <v>2024</v>
      </c>
      <c r="AI27" s="31" t="e">
        <f t="shared" ca="1" si="5"/>
        <v>#NAME?</v>
      </c>
      <c r="AJ27" s="10">
        <f ca="1">IF(OR(A27="DateCum",A27=""),0,IF(G27="HKD",1,OFFSET(FX!$A$5,MATCH(A27,FX!A:A,0)-ROW(FX!$A$5),MATCH(G27,FX!$A$5:$AM$5,0)-1,1,1)))</f>
        <v>1</v>
      </c>
      <c r="AK27" s="373">
        <f ca="1">IF($D27="Stock",OFFSET(HistPrices!$A$8,MATCH($A27,HistPrices!$A:$A,0)-ROW(HistPrices!$A$8)+3,MATCH($E27,HistPrices!$8:$8,0)-1,1,1),0)</f>
        <v>2024</v>
      </c>
      <c r="AL27" s="104">
        <f ca="1">IF($D27="Bond",OFFSET(HistPrices!$A$8,MATCH($A27,HistPrices!$A:$A,0)-ROW(HistPrices!$A$8)+5,MATCH($E27,HistPrices!$8:$8,0)-1,1,1),0)</f>
        <v>0</v>
      </c>
      <c r="AM27" s="104">
        <f ca="1">IF($D27="Bond",OFFSET(HistPrices!$A$8,MATCH($A27,HistPrices!$A:$A,0)-ROW(HistPrices!$A$8)+6,MATCH($E27,HistPrices!$8:$8,0)-1,1,1),0)</f>
        <v>0</v>
      </c>
      <c r="AN27" s="104">
        <f ca="1">IF($D27="Option",OFFSET(HistPrices!$A$8,MATCH($A27,HistPrices!$A:$A,0)-ROW(HistPrices!$A$8)+3,MATCH($E27,HistPrices!$8:$8,0)-1,1,1),0)</f>
        <v>0</v>
      </c>
      <c r="AO27" s="104">
        <f t="shared" si="6"/>
        <v>0</v>
      </c>
      <c r="AP27" s="104">
        <f t="shared" si="7"/>
        <v>0</v>
      </c>
      <c r="AQ27" s="336">
        <f t="shared" si="8"/>
        <v>3</v>
      </c>
      <c r="AR27" s="336">
        <f t="shared" ca="1" si="9"/>
        <v>60720</v>
      </c>
      <c r="AS27" s="336">
        <f t="shared" ca="1" si="10"/>
        <v>60720</v>
      </c>
      <c r="AT27" s="116">
        <f t="shared" si="11"/>
        <v>1</v>
      </c>
      <c r="AU27" s="116" t="e">
        <f t="shared" ca="1" si="12"/>
        <v>#NAME?</v>
      </c>
      <c r="AV27" s="116" t="e">
        <f t="shared" ca="1" si="13"/>
        <v>#NAME?</v>
      </c>
      <c r="AW27" s="116" t="e">
        <f t="shared" ca="1" si="14"/>
        <v>#NAME?</v>
      </c>
      <c r="AX27" s="116">
        <f ca="1">IF(OR(A27="DateCum",A27=""),0,IF(D27="Cash",M27,IF(D27&lt;&gt;"Option",AF27*AJ27*IF(D27="Stock",AK27,IF(D27="Bond",AVERAGE(AL27:AM27)*10,IF(D27="TD",AP27,""))),IF(AND(D27="Option",AG27&gt;0),0,VLOOKUP(C27,'1TradeRecord'!$B:$EE,134,FALSE)))))</f>
        <v>-60720</v>
      </c>
      <c r="AY27" s="116" t="e">
        <f t="shared" ca="1" si="15"/>
        <v>#NAME?</v>
      </c>
      <c r="AZ27" s="116">
        <f t="shared" ca="1" si="16"/>
        <v>0</v>
      </c>
      <c r="BA27" s="116">
        <f t="shared" si="17"/>
        <v>0</v>
      </c>
      <c r="BB27" s="116" t="e">
        <f t="shared" ca="1" si="18"/>
        <v>#NAME?</v>
      </c>
      <c r="BC27" s="116" t="e">
        <f t="shared" ca="1" si="19"/>
        <v>#NAME?</v>
      </c>
      <c r="BD27" s="368" t="e">
        <f t="shared" ca="1" si="20"/>
        <v>#NAME?</v>
      </c>
      <c r="BE27" s="10" t="e">
        <f t="shared" ca="1" si="21"/>
        <v>#NAME?</v>
      </c>
    </row>
    <row r="28" spans="1:57" ht="13">
      <c r="A28" s="151">
        <f t="shared" si="22"/>
        <v>44566</v>
      </c>
      <c r="B28" s="10" t="s">
        <v>186</v>
      </c>
      <c r="C28" s="10">
        <v>44564000045</v>
      </c>
      <c r="D28" s="10" t="s">
        <v>18</v>
      </c>
      <c r="E28" s="10" t="s">
        <v>7</v>
      </c>
      <c r="F28" s="153">
        <v>44564</v>
      </c>
      <c r="G28" s="10" t="s">
        <v>41</v>
      </c>
      <c r="H28" s="116">
        <v>365251.58795000002</v>
      </c>
      <c r="I28" s="116">
        <v>134748.41205000001</v>
      </c>
      <c r="J28" s="116">
        <v>500000</v>
      </c>
      <c r="K28" s="116">
        <v>365251.58795000002</v>
      </c>
      <c r="L28" s="116">
        <v>0</v>
      </c>
      <c r="M28" s="116">
        <v>-30902.879550000001</v>
      </c>
      <c r="N28" s="116">
        <v>-30902.879550000005</v>
      </c>
      <c r="O28" s="116">
        <v>0</v>
      </c>
      <c r="P28" s="116">
        <v>0</v>
      </c>
      <c r="Q28" s="10">
        <v>0</v>
      </c>
      <c r="R28" s="10">
        <v>0</v>
      </c>
      <c r="S28" s="331">
        <v>13.21</v>
      </c>
      <c r="T28" s="10">
        <v>30</v>
      </c>
      <c r="U28" s="330">
        <v>0</v>
      </c>
      <c r="V28" s="116">
        <v>0</v>
      </c>
      <c r="W28" s="31">
        <v>0</v>
      </c>
      <c r="X28" s="10">
        <v>0</v>
      </c>
      <c r="Y28" s="10">
        <v>0</v>
      </c>
      <c r="Z28" s="10">
        <v>0</v>
      </c>
      <c r="AA28" s="10">
        <v>0</v>
      </c>
      <c r="AB28" s="332">
        <v>0</v>
      </c>
      <c r="AC28" s="10">
        <v>30</v>
      </c>
      <c r="AD28" s="10">
        <v>0</v>
      </c>
      <c r="AE28" s="10">
        <v>0</v>
      </c>
      <c r="AF28" s="332">
        <v>-30</v>
      </c>
      <c r="AG28" s="332">
        <f t="shared" si="3"/>
        <v>30</v>
      </c>
      <c r="AH28" s="372" t="str">
        <f t="shared" ca="1" si="4"/>
        <v/>
      </c>
      <c r="AI28" s="31" t="e">
        <f t="shared" ca="1" si="5"/>
        <v>#NAME?</v>
      </c>
      <c r="AJ28" s="10">
        <f ca="1">IF(OR(A28="DateCum",A28=""),0,IF(G28="HKD",1,OFFSET(FX!$A$5,MATCH(A28,FX!A:A,0)-ROW(FX!$A$5),MATCH(G28,FX!$A$5:$AM$5,0)-1,1,1)))</f>
        <v>7.7952399999999997</v>
      </c>
      <c r="AK28" s="104">
        <f ca="1">IF($D28="Stock",OFFSET(HistPrices!$A$8,MATCH($A28,HistPrices!$A:$A,0)-ROW(HistPrices!$A$8)+3,MATCH($E28,HistPrices!$8:$8,0)-1,1,1),0)</f>
        <v>0</v>
      </c>
      <c r="AL28" s="373" t="str">
        <f ca="1">IF($D28="Bond",OFFSET(HistPrices!$A$8,MATCH($A28,HistPrices!$A:$A,0)-ROW(HistPrices!$A$8)+5,MATCH($E28,HistPrices!$8:$8,0)-1,1,1),0)</f>
        <v/>
      </c>
      <c r="AM28" s="373" t="str">
        <f ca="1">IF($D28="Bond",OFFSET(HistPrices!$A$8,MATCH($A28,HistPrices!$A:$A,0)-ROW(HistPrices!$A$8)+6,MATCH($E28,HistPrices!$8:$8,0)-1,1,1),0)</f>
        <v/>
      </c>
      <c r="AN28" s="104">
        <f ca="1">IF($D28="Option",OFFSET(HistPrices!$A$8,MATCH($A28,HistPrices!$A:$A,0)-ROW(HistPrices!$A$8)+3,MATCH($E28,HistPrices!$8:$8,0)-1,1,1),0)</f>
        <v>0</v>
      </c>
      <c r="AO28" s="104">
        <f t="shared" si="6"/>
        <v>0</v>
      </c>
      <c r="AP28" s="104">
        <f t="shared" si="7"/>
        <v>0</v>
      </c>
      <c r="AQ28" s="336">
        <f t="shared" si="8"/>
        <v>4</v>
      </c>
      <c r="AR28" s="336" t="e">
        <f t="shared" ca="1" si="9"/>
        <v>#VALUE!</v>
      </c>
      <c r="AS28" s="336" t="e">
        <f t="shared" ca="1" si="10"/>
        <v>#VALUE!</v>
      </c>
      <c r="AT28" s="116">
        <f t="shared" si="11"/>
        <v>1</v>
      </c>
      <c r="AU28" s="116" t="e">
        <f t="shared" ca="1" si="12"/>
        <v>#NAME?</v>
      </c>
      <c r="AV28" s="116" t="e">
        <f t="shared" ca="1" si="13"/>
        <v>#NAME?</v>
      </c>
      <c r="AW28" s="116" t="e">
        <f t="shared" ca="1" si="14"/>
        <v>#NAME?</v>
      </c>
      <c r="AX28" s="116" t="e">
        <f ca="1">IF(OR(A28="DateCum",A28=""),0,IF(D28="Cash",M28,IF(D28&lt;&gt;"Option",AF28*AJ28*IF(D28="Stock",AK28,IF(D28="Bond",AVERAGE(AL28:AM28)*10,IF(D28="TD",AP28,""))),IF(AND(D28="Option",AG28&gt;0),0,VLOOKUP(C28,'1TradeRecord'!$B:$EE,134,FALSE)))))</f>
        <v>#DIV/0!</v>
      </c>
      <c r="AY28" s="116" t="e">
        <f t="shared" ca="1" si="15"/>
        <v>#NAME?</v>
      </c>
      <c r="AZ28" s="116" t="e">
        <f t="shared" ca="1" si="16"/>
        <v>#VALUE!</v>
      </c>
      <c r="BA28" s="116">
        <f t="shared" si="17"/>
        <v>0</v>
      </c>
      <c r="BB28" s="116" t="e">
        <f t="shared" ca="1" si="18"/>
        <v>#NAME?</v>
      </c>
      <c r="BC28" s="116" t="e">
        <f t="shared" ca="1" si="19"/>
        <v>#NAME?</v>
      </c>
      <c r="BD28" s="368" t="e">
        <f t="shared" ca="1" si="20"/>
        <v>#NAME?</v>
      </c>
      <c r="BE28" s="10" t="e">
        <f t="shared" ca="1" si="21"/>
        <v>#NAME?</v>
      </c>
    </row>
    <row r="29" spans="1:57" ht="13">
      <c r="A29" s="151">
        <f t="shared" si="22"/>
        <v>44566</v>
      </c>
      <c r="B29" s="10" t="s">
        <v>186</v>
      </c>
      <c r="C29" s="10">
        <v>44565000046</v>
      </c>
      <c r="D29" s="10" t="s">
        <v>18</v>
      </c>
      <c r="E29" s="10" t="s">
        <v>7</v>
      </c>
      <c r="F29" s="153">
        <v>44565</v>
      </c>
      <c r="G29" s="10" t="s">
        <v>41</v>
      </c>
      <c r="H29" s="116">
        <v>382070.50044999999</v>
      </c>
      <c r="I29" s="116">
        <v>117929.49955000001</v>
      </c>
      <c r="J29" s="116">
        <v>500000</v>
      </c>
      <c r="K29" s="116">
        <v>382070.50044999999</v>
      </c>
      <c r="L29" s="116">
        <v>0</v>
      </c>
      <c r="M29" s="116">
        <v>16818.912500000002</v>
      </c>
      <c r="N29" s="116">
        <v>16818.912500000002</v>
      </c>
      <c r="O29" s="116">
        <v>0</v>
      </c>
      <c r="P29" s="116">
        <v>0</v>
      </c>
      <c r="Q29" s="10">
        <v>0</v>
      </c>
      <c r="R29" s="10">
        <v>0</v>
      </c>
      <c r="S29" s="331">
        <v>10.79</v>
      </c>
      <c r="T29" s="10">
        <v>-20</v>
      </c>
      <c r="U29" s="330">
        <v>0</v>
      </c>
      <c r="V29" s="116">
        <v>0</v>
      </c>
      <c r="W29" s="31">
        <v>0</v>
      </c>
      <c r="X29" s="31">
        <v>0</v>
      </c>
      <c r="Y29" s="10">
        <v>30</v>
      </c>
      <c r="Z29" s="10">
        <v>0</v>
      </c>
      <c r="AA29" s="10">
        <v>0</v>
      </c>
      <c r="AB29" s="332">
        <v>0</v>
      </c>
      <c r="AC29" s="10">
        <v>10</v>
      </c>
      <c r="AD29" s="10">
        <v>0</v>
      </c>
      <c r="AE29" s="10">
        <v>0</v>
      </c>
      <c r="AF29" s="332">
        <v>20</v>
      </c>
      <c r="AG29" s="332">
        <f t="shared" si="3"/>
        <v>-20</v>
      </c>
      <c r="AH29" s="10">
        <f t="shared" si="4"/>
        <v>0</v>
      </c>
      <c r="AI29" s="31" t="e">
        <f t="shared" ca="1" si="5"/>
        <v>#NAME?</v>
      </c>
      <c r="AJ29" s="10">
        <f ca="1">IF(OR(A29="DateCum",A29=""),0,IF(G29="HKD",1,OFFSET(FX!$A$5,MATCH(A29,FX!A:A,0)-ROW(FX!$A$5),MATCH(G29,FX!$A$5:$AM$5,0)-1,1,1)))</f>
        <v>7.7952399999999997</v>
      </c>
      <c r="AK29" s="104">
        <f ca="1">IF($D29="Stock",OFFSET(HistPrices!$A$8,MATCH($A29,HistPrices!$A:$A,0)-ROW(HistPrices!$A$8)+3,MATCH($E29,HistPrices!$8:$8,0)-1,1,1),0)</f>
        <v>0</v>
      </c>
      <c r="AL29" s="373" t="str">
        <f ca="1">IF($D29="Bond",OFFSET(HistPrices!$A$8,MATCH($A29,HistPrices!$A:$A,0)-ROW(HistPrices!$A$8)+5,MATCH($E29,HistPrices!$8:$8,0)-1,1,1),0)</f>
        <v/>
      </c>
      <c r="AM29" s="373" t="str">
        <f ca="1">IF($D29="Bond",OFFSET(HistPrices!$A$8,MATCH($A29,HistPrices!$A:$A,0)-ROW(HistPrices!$A$8)+6,MATCH($E29,HistPrices!$8:$8,0)-1,1,1),0)</f>
        <v/>
      </c>
      <c r="AN29" s="104">
        <f ca="1">IF($D29="Option",OFFSET(HistPrices!$A$8,MATCH($A29,HistPrices!$A:$A,0)-ROW(HistPrices!$A$8)+3,MATCH($E29,HistPrices!$8:$8,0)-1,1,1),0)</f>
        <v>0</v>
      </c>
      <c r="AO29" s="104">
        <f t="shared" si="6"/>
        <v>0</v>
      </c>
      <c r="AP29" s="104">
        <f t="shared" si="7"/>
        <v>0</v>
      </c>
      <c r="AQ29" s="336">
        <f t="shared" si="8"/>
        <v>4</v>
      </c>
      <c r="AR29" s="336">
        <f t="shared" ca="1" si="9"/>
        <v>0</v>
      </c>
      <c r="AS29" s="336" t="e">
        <f t="shared" ca="1" si="10"/>
        <v>#VALUE!</v>
      </c>
      <c r="AT29" s="116">
        <f t="shared" si="11"/>
        <v>0</v>
      </c>
      <c r="AU29" s="116" t="e">
        <f t="shared" ca="1" si="12"/>
        <v>#NAME?</v>
      </c>
      <c r="AV29" s="116" t="e">
        <f t="shared" ca="1" si="13"/>
        <v>#NAME?</v>
      </c>
      <c r="AW29" s="116" t="e">
        <f t="shared" ca="1" si="14"/>
        <v>#NAME?</v>
      </c>
      <c r="AX29" s="116" t="e">
        <f ca="1">IF(OR(A29="DateCum",A29=""),0,IF(D29="Cash",M29,IF(D29&lt;&gt;"Option",AF29*AJ29*IF(D29="Stock",AK29,IF(D29="Bond",AVERAGE(AL29:AM29)*10,IF(D29="TD",AP29,""))),IF(AND(D29="Option",AG29&gt;0),0,VLOOKUP(C29,'1TradeRecord'!$B:$EE,134,FALSE)))))</f>
        <v>#DIV/0!</v>
      </c>
      <c r="AY29" s="116" t="e">
        <f t="shared" ca="1" si="15"/>
        <v>#NAME?</v>
      </c>
      <c r="AZ29" s="116">
        <f t="shared" ca="1" si="16"/>
        <v>0</v>
      </c>
      <c r="BA29" s="116">
        <f t="shared" si="17"/>
        <v>0</v>
      </c>
      <c r="BB29" s="116" t="e">
        <f t="shared" ca="1" si="18"/>
        <v>#NAME?</v>
      </c>
      <c r="BC29" s="116" t="e">
        <f t="shared" ca="1" si="19"/>
        <v>#NAME?</v>
      </c>
      <c r="BD29" s="368" t="e">
        <f t="shared" ca="1" si="20"/>
        <v>#NAME?</v>
      </c>
      <c r="BE29" s="116" t="e">
        <f t="shared" ca="1" si="21"/>
        <v>#NAME?</v>
      </c>
    </row>
    <row r="30" spans="1:57" ht="13">
      <c r="A30" s="151">
        <f t="shared" si="22"/>
        <v>44566</v>
      </c>
      <c r="B30" s="10" t="s">
        <v>187</v>
      </c>
      <c r="C30" s="10">
        <v>44561000009</v>
      </c>
      <c r="D30" s="10" t="s">
        <v>64</v>
      </c>
      <c r="E30" s="10" t="s">
        <v>64</v>
      </c>
      <c r="F30" s="151">
        <v>44561</v>
      </c>
      <c r="G30" s="10" t="s">
        <v>39</v>
      </c>
      <c r="H30" s="116">
        <v>500000</v>
      </c>
      <c r="I30" s="116">
        <v>0</v>
      </c>
      <c r="J30" s="116">
        <v>500000</v>
      </c>
      <c r="K30" s="116">
        <v>0</v>
      </c>
      <c r="L30" s="116">
        <v>0</v>
      </c>
      <c r="M30" s="116">
        <v>500000</v>
      </c>
      <c r="N30" s="116">
        <v>500000</v>
      </c>
      <c r="O30" s="116">
        <v>0</v>
      </c>
      <c r="P30" s="116">
        <v>0</v>
      </c>
      <c r="Q30" s="76">
        <v>0</v>
      </c>
      <c r="R30" s="10">
        <v>0</v>
      </c>
      <c r="S30" s="331">
        <v>0</v>
      </c>
      <c r="T30" s="10">
        <v>0</v>
      </c>
      <c r="U30" s="330">
        <v>0</v>
      </c>
      <c r="V30" s="116">
        <v>0</v>
      </c>
      <c r="W30" s="31">
        <v>0</v>
      </c>
      <c r="X30" s="10">
        <v>0</v>
      </c>
      <c r="Y30" s="10">
        <v>0</v>
      </c>
      <c r="Z30" s="10">
        <v>0</v>
      </c>
      <c r="AA30" s="10">
        <v>0</v>
      </c>
      <c r="AB30" s="332">
        <v>0</v>
      </c>
      <c r="AC30" s="10">
        <v>0</v>
      </c>
      <c r="AD30" s="10">
        <v>0</v>
      </c>
      <c r="AE30" s="10">
        <v>0</v>
      </c>
      <c r="AF30" s="332">
        <v>0</v>
      </c>
      <c r="AG30" s="332">
        <f t="shared" si="3"/>
        <v>0</v>
      </c>
      <c r="AH30" s="10">
        <f t="shared" si="4"/>
        <v>1</v>
      </c>
      <c r="AI30" s="31" t="e">
        <f t="shared" ca="1" si="5"/>
        <v>#NAME?</v>
      </c>
      <c r="AJ30" s="10">
        <f ca="1">IF(OR(A30="DateCum",A30=""),0,IF(G30="HKD",1,OFFSET(FX!$A$5,MATCH(A30,FX!A:A,0)-ROW(FX!$A$5),MATCH(G30,FX!$A$5:$AM$5,0)-1,1,1)))</f>
        <v>1</v>
      </c>
      <c r="AK30" s="104">
        <f ca="1">IF($D30="Stock",OFFSET(HistPrices!$A$8,MATCH($A30,HistPrices!$A:$A,0)-ROW(HistPrices!$A$8)+3,MATCH($E30,HistPrices!$8:$8,0)-1,1,1),0)</f>
        <v>0</v>
      </c>
      <c r="AL30" s="104">
        <f ca="1">IF($D30="Bond",OFFSET(HistPrices!$A$8,MATCH($A30,HistPrices!$A:$A,0)-ROW(HistPrices!$A$8)+5,MATCH($E30,HistPrices!$8:$8,0)-1,1,1),0)</f>
        <v>0</v>
      </c>
      <c r="AM30" s="104">
        <f ca="1">IF($D30="Bond",OFFSET(HistPrices!$A$8,MATCH($A30,HistPrices!$A:$A,0)-ROW(HistPrices!$A$8)+6,MATCH($E30,HistPrices!$8:$8,0)-1,1,1),0)</f>
        <v>0</v>
      </c>
      <c r="AN30" s="104">
        <f ca="1">IF($D30="Option",OFFSET(HistPrices!$A$8,MATCH($A30,HistPrices!$A:$A,0)-ROW(HistPrices!$A$8)+3,MATCH($E30,HistPrices!$8:$8,0)-1,1,1),0)</f>
        <v>0</v>
      </c>
      <c r="AO30" s="104">
        <f t="shared" si="6"/>
        <v>0</v>
      </c>
      <c r="AP30" s="104">
        <f t="shared" si="7"/>
        <v>0</v>
      </c>
      <c r="AQ30" s="336">
        <f t="shared" si="8"/>
        <v>1</v>
      </c>
      <c r="AR30" s="336">
        <f t="shared" ca="1" si="9"/>
        <v>0</v>
      </c>
      <c r="AS30" s="336">
        <f t="shared" ca="1" si="10"/>
        <v>0</v>
      </c>
      <c r="AT30" s="116">
        <f t="shared" si="11"/>
        <v>1</v>
      </c>
      <c r="AU30" s="116" t="e">
        <f t="shared" ca="1" si="12"/>
        <v>#NAME?</v>
      </c>
      <c r="AV30" s="116" t="e">
        <f t="shared" ca="1" si="13"/>
        <v>#NAME?</v>
      </c>
      <c r="AW30" s="116" t="e">
        <f t="shared" ca="1" si="14"/>
        <v>#NAME?</v>
      </c>
      <c r="AX30" s="116">
        <f>IF(OR(A30="DateCum",A30=""),0,IF(D30="Cash",M30,IF(D30&lt;&gt;"Option",AF30*AJ30*IF(D30="Stock",AK30,IF(D30="Bond",AVERAGE(AL30:AM30)*10,IF(D30="TD",AP30,""))),IF(AND(D30="Option",AG30&gt;0),0,VLOOKUP(C30,'1TradeRecord'!$B:$EE,134,FALSE)))))</f>
        <v>500000</v>
      </c>
      <c r="AY30" s="116" t="e">
        <f t="shared" ca="1" si="15"/>
        <v>#NAME?</v>
      </c>
      <c r="AZ30" s="116">
        <f t="shared" ca="1" si="16"/>
        <v>0</v>
      </c>
      <c r="BA30" s="116">
        <f t="shared" si="17"/>
        <v>0</v>
      </c>
      <c r="BB30" s="116" t="e">
        <f t="shared" ca="1" si="18"/>
        <v>#NAME?</v>
      </c>
      <c r="BC30" s="116" t="e">
        <f t="shared" ca="1" si="19"/>
        <v>#NAME?</v>
      </c>
      <c r="BD30" s="368" t="e">
        <f t="shared" ca="1" si="20"/>
        <v>#NAME?</v>
      </c>
      <c r="BE30" s="10" t="e">
        <f t="shared" ca="1" si="21"/>
        <v>#NAME?</v>
      </c>
    </row>
    <row r="31" spans="1:57" ht="13">
      <c r="A31" s="151">
        <f t="shared" si="22"/>
        <v>44566</v>
      </c>
      <c r="B31" s="10" t="s">
        <v>187</v>
      </c>
      <c r="C31" s="10">
        <v>44566000040</v>
      </c>
      <c r="D31" s="10" t="s">
        <v>21</v>
      </c>
      <c r="E31" s="10" t="s">
        <v>4</v>
      </c>
      <c r="F31" s="153">
        <v>44566</v>
      </c>
      <c r="G31" s="10" t="s">
        <v>41</v>
      </c>
      <c r="H31" s="116">
        <v>527283.34</v>
      </c>
      <c r="I31" s="116">
        <v>-27283.34</v>
      </c>
      <c r="J31" s="116">
        <v>499999.99999999994</v>
      </c>
      <c r="K31" s="116">
        <v>149214.20000000001</v>
      </c>
      <c r="L31" s="116">
        <v>0</v>
      </c>
      <c r="M31" s="116">
        <v>27283.34</v>
      </c>
      <c r="N31" s="116">
        <v>-350785.8</v>
      </c>
      <c r="O31" s="116">
        <v>0</v>
      </c>
      <c r="P31" s="116">
        <v>0</v>
      </c>
      <c r="Q31" s="10">
        <v>0</v>
      </c>
      <c r="R31" s="10">
        <v>0</v>
      </c>
      <c r="S31" s="331">
        <v>0</v>
      </c>
      <c r="T31" s="10">
        <v>0</v>
      </c>
      <c r="U31" s="330">
        <v>3.5</v>
      </c>
      <c r="V31" s="116">
        <v>-10</v>
      </c>
      <c r="W31" s="31">
        <v>0</v>
      </c>
      <c r="X31" s="31">
        <v>0</v>
      </c>
      <c r="Y31" s="10">
        <v>0</v>
      </c>
      <c r="Z31" s="10">
        <v>0</v>
      </c>
      <c r="AA31" s="10">
        <v>0</v>
      </c>
      <c r="AB31" s="332">
        <v>0</v>
      </c>
      <c r="AC31" s="10">
        <v>0</v>
      </c>
      <c r="AD31" s="10">
        <v>-10</v>
      </c>
      <c r="AE31" s="10">
        <v>0</v>
      </c>
      <c r="AF31" s="332">
        <v>0</v>
      </c>
      <c r="AG31" s="332">
        <f t="shared" si="3"/>
        <v>-10</v>
      </c>
      <c r="AH31" s="372">
        <f t="shared" ca="1" si="4"/>
        <v>3.2500000000000004</v>
      </c>
      <c r="AI31" s="31" t="e">
        <f t="shared" ca="1" si="5"/>
        <v>#NAME?</v>
      </c>
      <c r="AJ31" s="10">
        <f ca="1">IF(OR(A31="DateCum",A31=""),0,IF(G31="HKD",1,OFFSET(FX!$A$5,MATCH(A31,FX!A:A,0)-ROW(FX!$A$5),MATCH(G31,FX!$A$5:$AM$5,0)-1,1,1)))</f>
        <v>7.7952399999999997</v>
      </c>
      <c r="AK31" s="104">
        <f ca="1">IF($D31="Stock",OFFSET(HistPrices!$A$8,MATCH($A31,HistPrices!$A:$A,0)-ROW(HistPrices!$A$8)+3,MATCH($E31,HistPrices!$8:$8,0)-1,1,1),0)</f>
        <v>0</v>
      </c>
      <c r="AL31" s="104">
        <f ca="1">IF($D31="Bond",OFFSET(HistPrices!$A$8,MATCH($A31,HistPrices!$A:$A,0)-ROW(HistPrices!$A$8)+5,MATCH($E31,HistPrices!$8:$8,0)-1,1,1),0)</f>
        <v>0</v>
      </c>
      <c r="AM31" s="104">
        <f ca="1">IF($D31="Bond",OFFSET(HistPrices!$A$8,MATCH($A31,HistPrices!$A:$A,0)-ROW(HistPrices!$A$8)+6,MATCH($E31,HistPrices!$8:$8,0)-1,1,1),0)</f>
        <v>0</v>
      </c>
      <c r="AN31" s="373">
        <f ca="1">IF($D31="Option",OFFSET(HistPrices!$A$8,MATCH($A31,HistPrices!$A:$A,0)-ROW(HistPrices!$A$8)+3,MATCH($E31,HistPrices!$8:$8,0)-1,1,1),0)</f>
        <v>3.2500000000000004</v>
      </c>
      <c r="AO31" s="104">
        <f t="shared" si="6"/>
        <v>45</v>
      </c>
      <c r="AP31" s="104">
        <f t="shared" si="7"/>
        <v>0</v>
      </c>
      <c r="AQ31" s="336">
        <f t="shared" si="8"/>
        <v>2</v>
      </c>
      <c r="AR31" s="336">
        <f t="shared" ca="1" si="9"/>
        <v>-25334.530000000002</v>
      </c>
      <c r="AS31" s="336">
        <f t="shared" ca="1" si="10"/>
        <v>-25334.530000000002</v>
      </c>
      <c r="AT31" s="116">
        <f t="shared" si="11"/>
        <v>1</v>
      </c>
      <c r="AU31" s="116" t="e">
        <f t="shared" ca="1" si="12"/>
        <v>#NAME?</v>
      </c>
      <c r="AV31" s="116" t="e">
        <f t="shared" ca="1" si="13"/>
        <v>#NAME?</v>
      </c>
      <c r="AW31" s="116" t="e">
        <f t="shared" ca="1" si="14"/>
        <v>#NAME?</v>
      </c>
      <c r="AX31" s="116" t="e">
        <f ca="1">IF(OR(A31="DateCum",A31=""),0,IF(D31="Cash",M31,IF(D31&lt;&gt;"Option",AF31*AJ31*IF(D31="Stock",AK31,IF(D31="Bond",AVERAGE(AL31:AM31)*10,IF(D31="TD",AP31,""))),IF(AND(D31="Option",AG31&gt;0),0,VLOOKUP(C31,'1TradeRecord'!$B:$EE,134,FALSE)))))</f>
        <v>#NAME?</v>
      </c>
      <c r="AY31" s="116" t="e">
        <f t="shared" ca="1" si="15"/>
        <v>#NAME?</v>
      </c>
      <c r="AZ31" s="116">
        <f t="shared" ca="1" si="16"/>
        <v>0</v>
      </c>
      <c r="BA31" s="116">
        <f t="shared" si="17"/>
        <v>0</v>
      </c>
      <c r="BB31" s="116" t="e">
        <f t="shared" ca="1" si="18"/>
        <v>#NAME?</v>
      </c>
      <c r="BC31" s="116" t="e">
        <f t="shared" ca="1" si="19"/>
        <v>#NAME?</v>
      </c>
      <c r="BD31" s="368" t="e">
        <f t="shared" ca="1" si="20"/>
        <v>#NAME?</v>
      </c>
      <c r="BE31" s="10" t="e">
        <f t="shared" ca="1" si="21"/>
        <v>#NAME?</v>
      </c>
    </row>
    <row r="32" spans="1:57" ht="13">
      <c r="A32" s="151">
        <f t="shared" si="22"/>
        <v>44566</v>
      </c>
      <c r="B32" s="10" t="s">
        <v>187</v>
      </c>
      <c r="C32" s="10">
        <v>44566000041</v>
      </c>
      <c r="D32" s="10" t="s">
        <v>21</v>
      </c>
      <c r="E32" s="10" t="s">
        <v>5</v>
      </c>
      <c r="F32" s="153">
        <v>44566</v>
      </c>
      <c r="G32" s="10" t="s">
        <v>41</v>
      </c>
      <c r="H32" s="116">
        <v>507795.24</v>
      </c>
      <c r="I32" s="116">
        <v>-7795.2400000000016</v>
      </c>
      <c r="J32" s="116">
        <v>500000</v>
      </c>
      <c r="K32" s="116">
        <v>461023.8</v>
      </c>
      <c r="L32" s="116">
        <v>0</v>
      </c>
      <c r="M32" s="116">
        <v>-19488.099999999999</v>
      </c>
      <c r="N32" s="116">
        <v>311809.59999999998</v>
      </c>
      <c r="O32" s="116">
        <v>0</v>
      </c>
      <c r="P32" s="116">
        <v>0</v>
      </c>
      <c r="Q32" s="10">
        <v>0</v>
      </c>
      <c r="R32" s="10">
        <v>0</v>
      </c>
      <c r="S32" s="331">
        <v>0</v>
      </c>
      <c r="T32" s="10">
        <v>0</v>
      </c>
      <c r="U32" s="330">
        <v>2.5</v>
      </c>
      <c r="V32" s="116">
        <v>10</v>
      </c>
      <c r="W32" s="31">
        <v>0</v>
      </c>
      <c r="X32" s="31">
        <v>0</v>
      </c>
      <c r="Y32" s="10">
        <v>0</v>
      </c>
      <c r="Z32" s="10">
        <v>0</v>
      </c>
      <c r="AA32" s="10">
        <v>0</v>
      </c>
      <c r="AB32" s="332">
        <v>0</v>
      </c>
      <c r="AC32" s="10">
        <v>0</v>
      </c>
      <c r="AD32" s="10">
        <v>10</v>
      </c>
      <c r="AE32" s="10">
        <v>0</v>
      </c>
      <c r="AF32" s="332">
        <v>0</v>
      </c>
      <c r="AG32" s="332">
        <f t="shared" si="3"/>
        <v>10</v>
      </c>
      <c r="AH32" s="372">
        <f t="shared" ca="1" si="4"/>
        <v>0</v>
      </c>
      <c r="AI32" s="31" t="e">
        <f t="shared" ca="1" si="5"/>
        <v>#NAME?</v>
      </c>
      <c r="AJ32" s="10">
        <f ca="1">IF(OR(A32="DateCum",A32=""),0,IF(G32="HKD",1,OFFSET(FX!$A$5,MATCH(A32,FX!A:A,0)-ROW(FX!$A$5),MATCH(G32,FX!$A$5:$AM$5,0)-1,1,1)))</f>
        <v>7.7952399999999997</v>
      </c>
      <c r="AK32" s="104">
        <f ca="1">IF($D32="Stock",OFFSET(HistPrices!$A$8,MATCH($A32,HistPrices!$A:$A,0)-ROW(HistPrices!$A$8)+3,MATCH($E32,HistPrices!$8:$8,0)-1,1,1),0)</f>
        <v>0</v>
      </c>
      <c r="AL32" s="104">
        <f ca="1">IF($D32="Bond",OFFSET(HistPrices!$A$8,MATCH($A32,HistPrices!$A:$A,0)-ROW(HistPrices!$A$8)+5,MATCH($E32,HistPrices!$8:$8,0)-1,1,1),0)</f>
        <v>0</v>
      </c>
      <c r="AM32" s="104">
        <f ca="1">IF($D32="Bond",OFFSET(HistPrices!$A$8,MATCH($A32,HistPrices!$A:$A,0)-ROW(HistPrices!$A$8)+6,MATCH($E32,HistPrices!$8:$8,0)-1,1,1),0)</f>
        <v>0</v>
      </c>
      <c r="AN32" s="373">
        <f ca="1">IF($D32="Option",OFFSET(HistPrices!$A$8,MATCH($A32,HistPrices!$A:$A,0)-ROW(HistPrices!$A$8)+3,MATCH($E32,HistPrices!$8:$8,0)-1,1,1),0)</f>
        <v>0</v>
      </c>
      <c r="AO32" s="104">
        <f t="shared" si="6"/>
        <v>40</v>
      </c>
      <c r="AP32" s="104">
        <f t="shared" si="7"/>
        <v>0</v>
      </c>
      <c r="AQ32" s="336">
        <f t="shared" si="8"/>
        <v>3</v>
      </c>
      <c r="AR32" s="336">
        <f t="shared" ca="1" si="9"/>
        <v>0</v>
      </c>
      <c r="AS32" s="336">
        <f t="shared" ca="1" si="10"/>
        <v>0</v>
      </c>
      <c r="AT32" s="116">
        <f t="shared" si="11"/>
        <v>1</v>
      </c>
      <c r="AU32" s="116" t="e">
        <f t="shared" ca="1" si="12"/>
        <v>#NAME?</v>
      </c>
      <c r="AV32" s="116" t="e">
        <f t="shared" ca="1" si="13"/>
        <v>#NAME?</v>
      </c>
      <c r="AW32" s="116" t="e">
        <f t="shared" ca="1" si="14"/>
        <v>#NAME?</v>
      </c>
      <c r="AX32" s="116">
        <f>IF(OR(A32="DateCum",A32=""),0,IF(D32="Cash",M32,IF(D32&lt;&gt;"Option",AF32*AJ32*IF(D32="Stock",AK32,IF(D32="Bond",AVERAGE(AL32:AM32)*10,IF(D32="TD",AP32,""))),IF(AND(D32="Option",AG32&gt;0),0,VLOOKUP(C32,'1TradeRecord'!$B:$EE,134,FALSE)))))</f>
        <v>0</v>
      </c>
      <c r="AY32" s="116" t="e">
        <f t="shared" ca="1" si="15"/>
        <v>#NAME?</v>
      </c>
      <c r="AZ32" s="116">
        <f t="shared" ca="1" si="16"/>
        <v>0</v>
      </c>
      <c r="BA32" s="116">
        <f t="shared" si="17"/>
        <v>0</v>
      </c>
      <c r="BB32" s="116" t="e">
        <f t="shared" ca="1" si="18"/>
        <v>#NAME?</v>
      </c>
      <c r="BC32" s="116" t="e">
        <f t="shared" ca="1" si="19"/>
        <v>#NAME?</v>
      </c>
      <c r="BD32" s="368" t="e">
        <f t="shared" ca="1" si="20"/>
        <v>#NAME?</v>
      </c>
      <c r="BE32" s="116" t="e">
        <f t="shared" ca="1" si="21"/>
        <v>#NAME?</v>
      </c>
    </row>
    <row r="33" spans="1:57" ht="13">
      <c r="A33" s="151">
        <f t="shared" si="22"/>
        <v>44566</v>
      </c>
      <c r="B33" s="10" t="s">
        <v>188</v>
      </c>
      <c r="C33" s="10">
        <v>44561000010</v>
      </c>
      <c r="D33" s="10" t="s">
        <v>64</v>
      </c>
      <c r="E33" s="10" t="s">
        <v>64</v>
      </c>
      <c r="F33" s="151">
        <v>44561</v>
      </c>
      <c r="G33" s="10" t="s">
        <v>39</v>
      </c>
      <c r="H33" s="116">
        <v>500000</v>
      </c>
      <c r="I33" s="116">
        <v>0</v>
      </c>
      <c r="J33" s="116">
        <v>500000</v>
      </c>
      <c r="K33" s="116">
        <v>0</v>
      </c>
      <c r="L33" s="116">
        <v>0</v>
      </c>
      <c r="M33" s="116">
        <v>500000</v>
      </c>
      <c r="N33" s="116">
        <v>500000</v>
      </c>
      <c r="O33" s="116">
        <v>0</v>
      </c>
      <c r="P33" s="116">
        <v>0</v>
      </c>
      <c r="Q33" s="76">
        <v>0</v>
      </c>
      <c r="R33" s="10">
        <v>0</v>
      </c>
      <c r="S33" s="331">
        <v>0</v>
      </c>
      <c r="T33" s="10">
        <v>0</v>
      </c>
      <c r="U33" s="330">
        <v>0</v>
      </c>
      <c r="V33" s="116">
        <v>0</v>
      </c>
      <c r="W33" s="31">
        <v>0</v>
      </c>
      <c r="X33" s="31">
        <v>0</v>
      </c>
      <c r="Y33" s="10">
        <v>0</v>
      </c>
      <c r="Z33" s="10">
        <v>0</v>
      </c>
      <c r="AA33" s="10">
        <v>0</v>
      </c>
      <c r="AB33" s="332">
        <v>0</v>
      </c>
      <c r="AC33" s="10">
        <v>0</v>
      </c>
      <c r="AD33" s="10">
        <v>0</v>
      </c>
      <c r="AE33" s="10">
        <v>0</v>
      </c>
      <c r="AF33" s="332">
        <v>0</v>
      </c>
      <c r="AG33" s="332">
        <f t="shared" si="3"/>
        <v>0</v>
      </c>
      <c r="AH33" s="10">
        <f t="shared" si="4"/>
        <v>1</v>
      </c>
      <c r="AI33" s="31" t="e">
        <f t="shared" ca="1" si="5"/>
        <v>#NAME?</v>
      </c>
      <c r="AJ33" s="10">
        <f ca="1">IF(OR(A33="DateCum",A33=""),0,IF(G33="HKD",1,OFFSET(FX!$A$5,MATCH(A33,FX!A:A,0)-ROW(FX!$A$5),MATCH(G33,FX!$A$5:$AM$5,0)-1,1,1)))</f>
        <v>1</v>
      </c>
      <c r="AK33" s="104">
        <f ca="1">IF($D33="Stock",OFFSET(HistPrices!$A$8,MATCH($A33,HistPrices!$A:$A,0)-ROW(HistPrices!$A$8)+3,MATCH($E33,HistPrices!$8:$8,0)-1,1,1),0)</f>
        <v>0</v>
      </c>
      <c r="AL33" s="104">
        <f ca="1">IF($D33="Bond",OFFSET(HistPrices!$A$8,MATCH($A33,HistPrices!$A:$A,0)-ROW(HistPrices!$A$8)+5,MATCH($E33,HistPrices!$8:$8,0)-1,1,1),0)</f>
        <v>0</v>
      </c>
      <c r="AM33" s="104">
        <f ca="1">IF($D33="Bond",OFFSET(HistPrices!$A$8,MATCH($A33,HistPrices!$A:$A,0)-ROW(HistPrices!$A$8)+6,MATCH($E33,HistPrices!$8:$8,0)-1,1,1),0)</f>
        <v>0</v>
      </c>
      <c r="AN33" s="104">
        <f ca="1">IF($D33="Option",OFFSET(HistPrices!$A$8,MATCH($A33,HistPrices!$A:$A,0)-ROW(HistPrices!$A$8)+3,MATCH($E33,HistPrices!$8:$8,0)-1,1,1),0)</f>
        <v>0</v>
      </c>
      <c r="AO33" s="104">
        <f t="shared" si="6"/>
        <v>0</v>
      </c>
      <c r="AP33" s="104">
        <f t="shared" si="7"/>
        <v>0</v>
      </c>
      <c r="AQ33" s="336">
        <f t="shared" si="8"/>
        <v>1</v>
      </c>
      <c r="AR33" s="336">
        <f t="shared" ca="1" si="9"/>
        <v>0</v>
      </c>
      <c r="AS33" s="336">
        <f t="shared" ca="1" si="10"/>
        <v>0</v>
      </c>
      <c r="AT33" s="116">
        <f t="shared" si="11"/>
        <v>1</v>
      </c>
      <c r="AU33" s="116" t="e">
        <f t="shared" ca="1" si="12"/>
        <v>#NAME?</v>
      </c>
      <c r="AV33" s="116" t="e">
        <f t="shared" ca="1" si="13"/>
        <v>#NAME?</v>
      </c>
      <c r="AW33" s="116" t="e">
        <f t="shared" ca="1" si="14"/>
        <v>#NAME?</v>
      </c>
      <c r="AX33" s="116">
        <f>IF(OR(A33="DateCum",A33=""),0,IF(D33="Cash",M33,IF(D33&lt;&gt;"Option",AF33*AJ33*IF(D33="Stock",AK33,IF(D33="Bond",AVERAGE(AL33:AM33)*10,IF(D33="TD",AP33,""))),IF(AND(D33="Option",AG33&gt;0),0,VLOOKUP(C33,'1TradeRecord'!$B:$EE,134,FALSE)))))</f>
        <v>500000</v>
      </c>
      <c r="AY33" s="116" t="e">
        <f t="shared" ca="1" si="15"/>
        <v>#NAME?</v>
      </c>
      <c r="AZ33" s="116">
        <f t="shared" ca="1" si="16"/>
        <v>0</v>
      </c>
      <c r="BA33" s="116">
        <f t="shared" si="17"/>
        <v>0</v>
      </c>
      <c r="BB33" s="116" t="e">
        <f t="shared" ca="1" si="18"/>
        <v>#NAME?</v>
      </c>
      <c r="BC33" s="116" t="e">
        <f t="shared" ca="1" si="19"/>
        <v>#NAME?</v>
      </c>
      <c r="BD33" s="368" t="e">
        <f t="shared" ca="1" si="20"/>
        <v>#NAME?</v>
      </c>
      <c r="BE33" s="116" t="e">
        <f t="shared" ca="1" si="21"/>
        <v>#NAME?</v>
      </c>
    </row>
    <row r="34" spans="1:57" ht="13">
      <c r="A34" s="10" t="str">
        <f t="shared" si="22"/>
        <v/>
      </c>
      <c r="I34" s="116"/>
      <c r="J34" s="116"/>
      <c r="K34" s="116"/>
      <c r="L34" s="116"/>
      <c r="M34" s="116"/>
      <c r="N34" s="116"/>
      <c r="W34" s="31"/>
      <c r="X34" s="31"/>
      <c r="Y34" s="31"/>
      <c r="AB34" s="332"/>
      <c r="AG34" s="332">
        <f t="shared" si="3"/>
        <v>0</v>
      </c>
      <c r="AH34" s="10">
        <f t="shared" si="4"/>
        <v>0</v>
      </c>
      <c r="AI34" s="31">
        <f t="shared" si="5"/>
        <v>0</v>
      </c>
      <c r="AJ34" s="10">
        <f ca="1">IF(OR(A34="DateCum",A34=""),0,IF(G34="HKD",1,OFFSET(FX!$A$5,MATCH(A34,FX!A:A,0)-ROW(FX!$A$5),MATCH(G34,FX!$A$5:$AM$5,0)-1,1,1)))</f>
        <v>0</v>
      </c>
      <c r="AK34" s="104">
        <f ca="1">IF($D34="Stock",OFFSET(HistPrices!$A$8,MATCH($A34,HistPrices!$A:$A,0)-ROW(HistPrices!$A$8)+3,MATCH($E34,HistPrices!$8:$8,0)-1,1,1),0)</f>
        <v>0</v>
      </c>
      <c r="AL34" s="104">
        <f ca="1">IF($D34="Bond",OFFSET(HistPrices!$A$8,MATCH($A34,HistPrices!$A:$A,0)-ROW(HistPrices!$A$8)+5,MATCH($E34,HistPrices!$8:$8,0)-1,1,1),0)</f>
        <v>0</v>
      </c>
      <c r="AM34" s="104">
        <f ca="1">IF($D34="Bond",OFFSET(HistPrices!$A$8,MATCH($A34,HistPrices!$A:$A,0)-ROW(HistPrices!$A$8)+6,MATCH($E34,HistPrices!$8:$8,0)-1,1,1),0)</f>
        <v>0</v>
      </c>
      <c r="AN34" s="104">
        <f ca="1">IF($D34="Option",OFFSET(HistPrices!$A$8,MATCH($A34,HistPrices!$A:$A,0)-ROW(HistPrices!$A$8)+3,MATCH($E34,HistPrices!$8:$8,0)-1,1,1),0)</f>
        <v>0</v>
      </c>
      <c r="AO34" s="104">
        <f t="shared" si="6"/>
        <v>0</v>
      </c>
      <c r="AP34" s="104">
        <f t="shared" si="7"/>
        <v>0</v>
      </c>
      <c r="AQ34" s="336">
        <f t="shared" si="8"/>
        <v>0</v>
      </c>
      <c r="AR34" s="336">
        <f t="shared" si="9"/>
        <v>0</v>
      </c>
      <c r="AS34" s="336">
        <f t="shared" si="10"/>
        <v>0</v>
      </c>
      <c r="AT34" s="116">
        <f t="shared" si="11"/>
        <v>0</v>
      </c>
      <c r="AU34" s="116">
        <f t="shared" si="12"/>
        <v>0</v>
      </c>
      <c r="AV34" s="116">
        <f t="shared" si="13"/>
        <v>0</v>
      </c>
      <c r="AW34" s="116">
        <f t="shared" si="14"/>
        <v>0</v>
      </c>
      <c r="AX34" s="116">
        <f>IF(OR(A34="DateCum",A34=""),0,IF(D34="Cash",M34,IF(D34&lt;&gt;"Option",AF34*AJ34*IF(D34="Stock",AK34,IF(D34="Bond",AVERAGE(AL34:AM34)*10,IF(D34="TD",AP34,""))),IF(AND(D34="Option",AG34&gt;0),0,VLOOKUP(C34,'1TradeRecord'!$B:$EE,134,FALSE)))))</f>
        <v>0</v>
      </c>
      <c r="AY34" s="116">
        <f t="shared" si="15"/>
        <v>0</v>
      </c>
      <c r="AZ34" s="116">
        <f t="shared" si="16"/>
        <v>0</v>
      </c>
      <c r="BA34" s="116">
        <f t="shared" si="17"/>
        <v>0</v>
      </c>
      <c r="BB34" s="116">
        <f t="shared" si="18"/>
        <v>0</v>
      </c>
      <c r="BC34" s="116">
        <f t="shared" si="19"/>
        <v>0</v>
      </c>
      <c r="BD34" s="368">
        <f t="shared" si="20"/>
        <v>0</v>
      </c>
      <c r="BE34" s="10">
        <f t="shared" si="21"/>
        <v>0</v>
      </c>
    </row>
    <row r="35" spans="1:57" ht="13">
      <c r="A35" s="10" t="str">
        <f t="shared" si="22"/>
        <v/>
      </c>
      <c r="I35" s="116"/>
      <c r="J35" s="116"/>
      <c r="K35" s="116"/>
      <c r="L35" s="116"/>
      <c r="M35" s="116"/>
      <c r="N35" s="116"/>
      <c r="W35" s="31"/>
      <c r="X35" s="31"/>
      <c r="AB35" s="332"/>
      <c r="AG35" s="332">
        <f t="shared" si="3"/>
        <v>0</v>
      </c>
      <c r="AH35" s="10">
        <f t="shared" si="4"/>
        <v>0</v>
      </c>
      <c r="AI35" s="31">
        <f t="shared" si="5"/>
        <v>0</v>
      </c>
      <c r="AJ35" s="10">
        <f ca="1">IF(OR(A35="DateCum",A35=""),0,IF(G35="HKD",1,OFFSET(FX!$A$5,MATCH(A35,FX!A:A,0)-ROW(FX!$A$5),MATCH(G35,FX!$A$5:$AM$5,0)-1,1,1)))</f>
        <v>0</v>
      </c>
      <c r="AK35" s="104">
        <f ca="1">IF($D35="Stock",OFFSET(HistPrices!$A$8,MATCH($A35,HistPrices!$A:$A,0)-ROW(HistPrices!$A$8)+3,MATCH($E35,HistPrices!$8:$8,0)-1,1,1),0)</f>
        <v>0</v>
      </c>
      <c r="AL35" s="104">
        <f ca="1">IF($D35="Bond",OFFSET(HistPrices!$A$8,MATCH($A35,HistPrices!$A:$A,0)-ROW(HistPrices!$A$8)+5,MATCH($E35,HistPrices!$8:$8,0)-1,1,1),0)</f>
        <v>0</v>
      </c>
      <c r="AM35" s="104">
        <f ca="1">IF($D35="Bond",OFFSET(HistPrices!$A$8,MATCH($A35,HistPrices!$A:$A,0)-ROW(HistPrices!$A$8)+6,MATCH($E35,HistPrices!$8:$8,0)-1,1,1),0)</f>
        <v>0</v>
      </c>
      <c r="AN35" s="104">
        <f ca="1">IF($D35="Option",OFFSET(HistPrices!$A$8,MATCH($A35,HistPrices!$A:$A,0)-ROW(HistPrices!$A$8)+3,MATCH($E35,HistPrices!$8:$8,0)-1,1,1),0)</f>
        <v>0</v>
      </c>
      <c r="AO35" s="104">
        <f t="shared" si="6"/>
        <v>0</v>
      </c>
      <c r="AP35" s="104">
        <f t="shared" si="7"/>
        <v>0</v>
      </c>
      <c r="AQ35" s="336">
        <f t="shared" si="8"/>
        <v>0</v>
      </c>
      <c r="AR35" s="336">
        <f t="shared" si="9"/>
        <v>0</v>
      </c>
      <c r="AS35" s="336">
        <f t="shared" si="10"/>
        <v>0</v>
      </c>
      <c r="AT35" s="116">
        <f t="shared" si="11"/>
        <v>0</v>
      </c>
      <c r="AU35" s="116">
        <f t="shared" si="12"/>
        <v>0</v>
      </c>
      <c r="AV35" s="116">
        <f t="shared" si="13"/>
        <v>0</v>
      </c>
      <c r="AW35" s="116">
        <f t="shared" si="14"/>
        <v>0</v>
      </c>
      <c r="AX35" s="116">
        <f>IF(OR(A35="DateCum",A35=""),0,IF(D35="Cash",M35,IF(D35&lt;&gt;"Option",AF35*AJ35*IF(D35="Stock",AK35,IF(D35="Bond",AVERAGE(AL35:AM35)*10,IF(D35="TD",AP35,""))),IF(AND(D35="Option",AG35&gt;0),0,VLOOKUP(C35,'1TradeRecord'!$B:$EE,134,FALSE)))))</f>
        <v>0</v>
      </c>
      <c r="AY35" s="116">
        <f t="shared" si="15"/>
        <v>0</v>
      </c>
      <c r="AZ35" s="116">
        <f t="shared" si="16"/>
        <v>0</v>
      </c>
      <c r="BA35" s="116">
        <f t="shared" si="17"/>
        <v>0</v>
      </c>
      <c r="BB35" s="116">
        <f t="shared" si="18"/>
        <v>0</v>
      </c>
      <c r="BC35" s="116">
        <f t="shared" si="19"/>
        <v>0</v>
      </c>
      <c r="BD35" s="368">
        <f t="shared" si="20"/>
        <v>0</v>
      </c>
      <c r="BE35" s="10">
        <f t="shared" si="21"/>
        <v>0</v>
      </c>
    </row>
    <row r="36" spans="1:57" ht="13">
      <c r="A36" s="10" t="str">
        <f t="shared" si="22"/>
        <v/>
      </c>
      <c r="I36" s="116"/>
      <c r="J36" s="116"/>
      <c r="K36" s="116"/>
      <c r="L36" s="116"/>
      <c r="M36" s="116"/>
      <c r="N36" s="116"/>
      <c r="W36" s="31"/>
      <c r="X36" s="31"/>
      <c r="Y36" s="31"/>
      <c r="AB36" s="332"/>
      <c r="AG36" s="332">
        <f t="shared" si="3"/>
        <v>0</v>
      </c>
      <c r="AH36" s="10">
        <f t="shared" si="4"/>
        <v>0</v>
      </c>
      <c r="AI36" s="31">
        <f t="shared" si="5"/>
        <v>0</v>
      </c>
      <c r="AJ36" s="10">
        <f ca="1">IF(OR(A36="DateCum",A36=""),0,IF(G36="HKD",1,OFFSET(FX!$A$5,MATCH(A36,FX!A:A,0)-ROW(FX!$A$5),MATCH(G36,FX!$A$5:$AM$5,0)-1,1,1)))</f>
        <v>0</v>
      </c>
      <c r="AK36" s="104">
        <f ca="1">IF($D36="Stock",OFFSET(HistPrices!$A$8,MATCH($A36,HistPrices!$A:$A,0)-ROW(HistPrices!$A$8)+3,MATCH($E36,HistPrices!$8:$8,0)-1,1,1),0)</f>
        <v>0</v>
      </c>
      <c r="AL36" s="104">
        <f ca="1">IF($D36="Bond",OFFSET(HistPrices!$A$8,MATCH($A36,HistPrices!$A:$A,0)-ROW(HistPrices!$A$8)+5,MATCH($E36,HistPrices!$8:$8,0)-1,1,1),0)</f>
        <v>0</v>
      </c>
      <c r="AM36" s="104">
        <f ca="1">IF($D36="Bond",OFFSET(HistPrices!$A$8,MATCH($A36,HistPrices!$A:$A,0)-ROW(HistPrices!$A$8)+6,MATCH($E36,HistPrices!$8:$8,0)-1,1,1),0)</f>
        <v>0</v>
      </c>
      <c r="AN36" s="104">
        <f ca="1">IF($D36="Option",OFFSET(HistPrices!$A$8,MATCH($A36,HistPrices!$A:$A,0)-ROW(HistPrices!$A$8)+3,MATCH($E36,HistPrices!$8:$8,0)-1,1,1),0)</f>
        <v>0</v>
      </c>
      <c r="AO36" s="104">
        <f t="shared" si="6"/>
        <v>0</v>
      </c>
      <c r="AP36" s="104">
        <f t="shared" si="7"/>
        <v>0</v>
      </c>
      <c r="AQ36" s="336">
        <f t="shared" si="8"/>
        <v>0</v>
      </c>
      <c r="AR36" s="336">
        <f t="shared" si="9"/>
        <v>0</v>
      </c>
      <c r="AS36" s="336">
        <f t="shared" si="10"/>
        <v>0</v>
      </c>
      <c r="AT36" s="116">
        <f t="shared" si="11"/>
        <v>0</v>
      </c>
      <c r="AU36" s="116">
        <f t="shared" si="12"/>
        <v>0</v>
      </c>
      <c r="AV36" s="116">
        <f t="shared" si="13"/>
        <v>0</v>
      </c>
      <c r="AW36" s="116">
        <f t="shared" si="14"/>
        <v>0</v>
      </c>
      <c r="AX36" s="116">
        <f>IF(OR(A36="DateCum",A36=""),0,IF(D36="Cash",M36,IF(D36&lt;&gt;"Option",AF36*AJ36*IF(D36="Stock",AK36,IF(D36="Bond",AVERAGE(AL36:AM36)*10,IF(D36="TD",AP36,""))),IF(AND(D36="Option",AG36&gt;0),0,VLOOKUP(C36,'1TradeRecord'!$B:$EE,134,FALSE)))))</f>
        <v>0</v>
      </c>
      <c r="AY36" s="116">
        <f t="shared" si="15"/>
        <v>0</v>
      </c>
      <c r="AZ36" s="116">
        <f t="shared" si="16"/>
        <v>0</v>
      </c>
      <c r="BA36" s="116">
        <f t="shared" si="17"/>
        <v>0</v>
      </c>
      <c r="BB36" s="116">
        <f t="shared" si="18"/>
        <v>0</v>
      </c>
      <c r="BC36" s="116">
        <f t="shared" si="19"/>
        <v>0</v>
      </c>
      <c r="BD36" s="368">
        <f t="shared" si="20"/>
        <v>0</v>
      </c>
      <c r="BE36" s="10">
        <f t="shared" si="21"/>
        <v>0</v>
      </c>
    </row>
    <row r="37" spans="1:57" ht="13">
      <c r="A37" s="10" t="str">
        <f t="shared" si="22"/>
        <v/>
      </c>
      <c r="I37" s="116"/>
      <c r="J37" s="116"/>
      <c r="K37" s="116"/>
      <c r="L37" s="116"/>
      <c r="M37" s="116"/>
      <c r="N37" s="116"/>
      <c r="W37" s="31"/>
      <c r="X37" s="31"/>
      <c r="AB37" s="332"/>
      <c r="AG37" s="332">
        <f t="shared" si="3"/>
        <v>0</v>
      </c>
      <c r="AH37" s="10">
        <f t="shared" si="4"/>
        <v>0</v>
      </c>
      <c r="AI37" s="31">
        <f t="shared" si="5"/>
        <v>0</v>
      </c>
      <c r="AJ37" s="10">
        <f ca="1">IF(OR(A37="DateCum",A37=""),0,IF(G37="HKD",1,OFFSET(FX!$A$5,MATCH(A37,FX!A:A,0)-ROW(FX!$A$5),MATCH(G37,FX!$A$5:$AM$5,0)-1,1,1)))</f>
        <v>0</v>
      </c>
      <c r="AK37" s="104">
        <f ca="1">IF($D37="Stock",OFFSET(HistPrices!$A$8,MATCH($A37,HistPrices!$A:$A,0)-ROW(HistPrices!$A$8)+3,MATCH($E37,HistPrices!$8:$8,0)-1,1,1),0)</f>
        <v>0</v>
      </c>
      <c r="AL37" s="104">
        <f ca="1">IF($D37="Bond",OFFSET(HistPrices!$A$8,MATCH($A37,HistPrices!$A:$A,0)-ROW(HistPrices!$A$8)+5,MATCH($E37,HistPrices!$8:$8,0)-1,1,1),0)</f>
        <v>0</v>
      </c>
      <c r="AM37" s="104">
        <f ca="1">IF($D37="Bond",OFFSET(HistPrices!$A$8,MATCH($A37,HistPrices!$A:$A,0)-ROW(HistPrices!$A$8)+6,MATCH($E37,HistPrices!$8:$8,0)-1,1,1),0)</f>
        <v>0</v>
      </c>
      <c r="AN37" s="104">
        <f ca="1">IF($D37="Option",OFFSET(HistPrices!$A$8,MATCH($A37,HistPrices!$A:$A,0)-ROW(HistPrices!$A$8)+3,MATCH($E37,HistPrices!$8:$8,0)-1,1,1),0)</f>
        <v>0</v>
      </c>
      <c r="AO37" s="104">
        <f t="shared" si="6"/>
        <v>0</v>
      </c>
      <c r="AP37" s="104">
        <f t="shared" si="7"/>
        <v>0</v>
      </c>
      <c r="AQ37" s="336">
        <f t="shared" si="8"/>
        <v>0</v>
      </c>
      <c r="AR37" s="336">
        <f t="shared" si="9"/>
        <v>0</v>
      </c>
      <c r="AS37" s="336">
        <f t="shared" si="10"/>
        <v>0</v>
      </c>
      <c r="AT37" s="116">
        <f t="shared" si="11"/>
        <v>0</v>
      </c>
      <c r="AU37" s="116">
        <f t="shared" si="12"/>
        <v>0</v>
      </c>
      <c r="AV37" s="116">
        <f t="shared" si="13"/>
        <v>0</v>
      </c>
      <c r="AW37" s="116">
        <f t="shared" si="14"/>
        <v>0</v>
      </c>
      <c r="AX37" s="116">
        <f>IF(OR(A37="DateCum",A37=""),0,IF(D37="Cash",M37,IF(D37&lt;&gt;"Option",AF37*AJ37*IF(D37="Stock",AK37,IF(D37="Bond",AVERAGE(AL37:AM37)*10,IF(D37="TD",AP37,""))),IF(AND(D37="Option",AG37&gt;0),0,VLOOKUP(C37,'1TradeRecord'!$B:$EE,134,FALSE)))))</f>
        <v>0</v>
      </c>
      <c r="AY37" s="116">
        <f t="shared" si="15"/>
        <v>0</v>
      </c>
      <c r="AZ37" s="116">
        <f t="shared" si="16"/>
        <v>0</v>
      </c>
      <c r="BA37" s="116">
        <f t="shared" si="17"/>
        <v>0</v>
      </c>
      <c r="BB37" s="116">
        <f t="shared" si="18"/>
        <v>0</v>
      </c>
      <c r="BC37" s="116">
        <f t="shared" si="19"/>
        <v>0</v>
      </c>
      <c r="BD37" s="368">
        <f t="shared" si="20"/>
        <v>0</v>
      </c>
      <c r="BE37" s="10">
        <f t="shared" si="21"/>
        <v>0</v>
      </c>
    </row>
    <row r="38" spans="1:57" ht="13">
      <c r="A38" s="10" t="str">
        <f t="shared" si="22"/>
        <v/>
      </c>
      <c r="I38" s="116"/>
      <c r="J38" s="116"/>
      <c r="K38" s="116"/>
      <c r="L38" s="116"/>
      <c r="M38" s="116"/>
      <c r="N38" s="116"/>
      <c r="W38" s="31"/>
      <c r="X38" s="31"/>
      <c r="AB38" s="332"/>
      <c r="AG38" s="332">
        <f t="shared" si="3"/>
        <v>0</v>
      </c>
      <c r="AH38" s="10">
        <f t="shared" si="4"/>
        <v>0</v>
      </c>
      <c r="AI38" s="31">
        <f t="shared" si="5"/>
        <v>0</v>
      </c>
      <c r="AJ38" s="10">
        <f ca="1">IF(OR(A38="DateCum",A38=""),0,IF(G38="HKD",1,OFFSET(FX!$A$5,MATCH(A38,FX!A:A,0)-ROW(FX!$A$5),MATCH(G38,FX!$A$5:$AM$5,0)-1,1,1)))</f>
        <v>0</v>
      </c>
      <c r="AK38" s="104">
        <f ca="1">IF($D38="Stock",OFFSET(HistPrices!$A$8,MATCH($A38,HistPrices!$A:$A,0)-ROW(HistPrices!$A$8)+3,MATCH($E38,HistPrices!$8:$8,0)-1,1,1),0)</f>
        <v>0</v>
      </c>
      <c r="AL38" s="104">
        <f ca="1">IF($D38="Bond",OFFSET(HistPrices!$A$8,MATCH($A38,HistPrices!$A:$A,0)-ROW(HistPrices!$A$8)+5,MATCH($E38,HistPrices!$8:$8,0)-1,1,1),0)</f>
        <v>0</v>
      </c>
      <c r="AM38" s="104">
        <f ca="1">IF($D38="Bond",OFFSET(HistPrices!$A$8,MATCH($A38,HistPrices!$A:$A,0)-ROW(HistPrices!$A$8)+6,MATCH($E38,HistPrices!$8:$8,0)-1,1,1),0)</f>
        <v>0</v>
      </c>
      <c r="AN38" s="104">
        <f ca="1">IF($D38="Option",OFFSET(HistPrices!$A$8,MATCH($A38,HistPrices!$A:$A,0)-ROW(HistPrices!$A$8)+3,MATCH($E38,HistPrices!$8:$8,0)-1,1,1),0)</f>
        <v>0</v>
      </c>
      <c r="AO38" s="104">
        <f t="shared" si="6"/>
        <v>0</v>
      </c>
      <c r="AP38" s="104">
        <f t="shared" si="7"/>
        <v>0</v>
      </c>
      <c r="AQ38" s="336">
        <f t="shared" si="8"/>
        <v>0</v>
      </c>
      <c r="AR38" s="336">
        <f t="shared" si="9"/>
        <v>0</v>
      </c>
      <c r="AS38" s="336">
        <f t="shared" si="10"/>
        <v>0</v>
      </c>
      <c r="AT38" s="116">
        <f t="shared" si="11"/>
        <v>0</v>
      </c>
      <c r="AU38" s="116">
        <f t="shared" si="12"/>
        <v>0</v>
      </c>
      <c r="AV38" s="116">
        <f t="shared" si="13"/>
        <v>0</v>
      </c>
      <c r="AW38" s="116">
        <f t="shared" si="14"/>
        <v>0</v>
      </c>
      <c r="AX38" s="116">
        <f>IF(OR(A38="DateCum",A38=""),0,IF(D38="Cash",M38,IF(D38&lt;&gt;"Option",AF38*AJ38*IF(D38="Stock",AK38,IF(D38="Bond",AVERAGE(AL38:AM38)*10,IF(D38="TD",AP38,""))),IF(AND(D38="Option",AG38&gt;0),0,VLOOKUP(C38,'1TradeRecord'!$B:$EE,134,FALSE)))))</f>
        <v>0</v>
      </c>
      <c r="AY38" s="116">
        <f t="shared" si="15"/>
        <v>0</v>
      </c>
      <c r="AZ38" s="116">
        <f t="shared" si="16"/>
        <v>0</v>
      </c>
      <c r="BA38" s="116">
        <f t="shared" si="17"/>
        <v>0</v>
      </c>
      <c r="BB38" s="116">
        <f t="shared" si="18"/>
        <v>0</v>
      </c>
      <c r="BC38" s="116">
        <f t="shared" si="19"/>
        <v>0</v>
      </c>
      <c r="BD38" s="368">
        <f t="shared" si="20"/>
        <v>0</v>
      </c>
      <c r="BE38" s="10">
        <f t="shared" si="21"/>
        <v>0</v>
      </c>
    </row>
    <row r="39" spans="1:57" ht="13">
      <c r="A39" s="10" t="str">
        <f t="shared" si="22"/>
        <v/>
      </c>
      <c r="I39" s="116"/>
      <c r="J39" s="116"/>
      <c r="K39" s="116"/>
      <c r="L39" s="116"/>
      <c r="M39" s="116"/>
      <c r="N39" s="116"/>
      <c r="W39" s="31"/>
      <c r="X39" s="31"/>
      <c r="AB39" s="332"/>
      <c r="AG39" s="332">
        <f t="shared" si="3"/>
        <v>0</v>
      </c>
      <c r="AH39" s="10">
        <f t="shared" si="4"/>
        <v>0</v>
      </c>
      <c r="AI39" s="31">
        <f t="shared" si="5"/>
        <v>0</v>
      </c>
      <c r="AJ39" s="10">
        <f ca="1">IF(OR(A39="DateCum",A39=""),0,IF(G39="HKD",1,OFFSET(FX!$A$5,MATCH(A39,FX!A:A,0)-ROW(FX!$A$5),MATCH(G39,FX!$A$5:$AM$5,0)-1,1,1)))</f>
        <v>0</v>
      </c>
      <c r="AK39" s="104">
        <f ca="1">IF($D39="Stock",OFFSET(HistPrices!$A$8,MATCH($A39,HistPrices!$A:$A,0)-ROW(HistPrices!$A$8)+3,MATCH($E39,HistPrices!$8:$8,0)-1,1,1),0)</f>
        <v>0</v>
      </c>
      <c r="AL39" s="104">
        <f ca="1">IF($D39="Bond",OFFSET(HistPrices!$A$8,MATCH($A39,HistPrices!$A:$A,0)-ROW(HistPrices!$A$8)+5,MATCH($E39,HistPrices!$8:$8,0)-1,1,1),0)</f>
        <v>0</v>
      </c>
      <c r="AM39" s="104">
        <f ca="1">IF($D39="Bond",OFFSET(HistPrices!$A$8,MATCH($A39,HistPrices!$A:$A,0)-ROW(HistPrices!$A$8)+6,MATCH($E39,HistPrices!$8:$8,0)-1,1,1),0)</f>
        <v>0</v>
      </c>
      <c r="AN39" s="104">
        <f ca="1">IF($D39="Option",OFFSET(HistPrices!$A$8,MATCH($A39,HistPrices!$A:$A,0)-ROW(HistPrices!$A$8)+3,MATCH($E39,HistPrices!$8:$8,0)-1,1,1),0)</f>
        <v>0</v>
      </c>
      <c r="AO39" s="104">
        <f t="shared" si="6"/>
        <v>0</v>
      </c>
      <c r="AP39" s="104">
        <f t="shared" si="7"/>
        <v>0</v>
      </c>
      <c r="AQ39" s="336">
        <f t="shared" si="8"/>
        <v>0</v>
      </c>
      <c r="AR39" s="336">
        <f t="shared" si="9"/>
        <v>0</v>
      </c>
      <c r="AS39" s="336">
        <f t="shared" si="10"/>
        <v>0</v>
      </c>
      <c r="AT39" s="116">
        <f t="shared" si="11"/>
        <v>0</v>
      </c>
      <c r="AU39" s="116">
        <f t="shared" si="12"/>
        <v>0</v>
      </c>
      <c r="AV39" s="116">
        <f t="shared" si="13"/>
        <v>0</v>
      </c>
      <c r="AW39" s="116">
        <f t="shared" si="14"/>
        <v>0</v>
      </c>
      <c r="AX39" s="116">
        <f>IF(OR(A39="DateCum",A39=""),0,IF(D39="Cash",M39,IF(D39&lt;&gt;"Option",AF39*AJ39*IF(D39="Stock",AK39,IF(D39="Bond",AVERAGE(AL39:AM39)*10,IF(D39="TD",AP39,""))),IF(AND(D39="Option",AG39&gt;0),0,VLOOKUP(C39,'1TradeRecord'!$B:$EE,134,FALSE)))))</f>
        <v>0</v>
      </c>
      <c r="AY39" s="116">
        <f t="shared" si="15"/>
        <v>0</v>
      </c>
      <c r="AZ39" s="116">
        <f t="shared" si="16"/>
        <v>0</v>
      </c>
      <c r="BA39" s="116">
        <f t="shared" si="17"/>
        <v>0</v>
      </c>
      <c r="BB39" s="116">
        <f t="shared" si="18"/>
        <v>0</v>
      </c>
      <c r="BC39" s="116">
        <f t="shared" si="19"/>
        <v>0</v>
      </c>
      <c r="BD39" s="368">
        <f t="shared" si="20"/>
        <v>0</v>
      </c>
      <c r="BE39" s="10">
        <f t="shared" si="21"/>
        <v>0</v>
      </c>
    </row>
    <row r="40" spans="1:57" ht="13">
      <c r="A40" s="10" t="str">
        <f t="shared" si="22"/>
        <v/>
      </c>
      <c r="I40" s="116"/>
      <c r="J40" s="116"/>
      <c r="K40" s="116"/>
      <c r="L40" s="116"/>
      <c r="M40" s="116"/>
      <c r="N40" s="116"/>
      <c r="W40" s="31"/>
      <c r="AB40" s="332"/>
      <c r="AG40" s="332">
        <f t="shared" si="3"/>
        <v>0</v>
      </c>
      <c r="AH40" s="10">
        <f t="shared" si="4"/>
        <v>0</v>
      </c>
      <c r="AI40" s="31">
        <f t="shared" si="5"/>
        <v>0</v>
      </c>
      <c r="AJ40" s="10">
        <f ca="1">IF(OR(A40="DateCum",A40=""),0,IF(G40="HKD",1,OFFSET(FX!$A$5,MATCH(A40,FX!A:A,0)-ROW(FX!$A$5),MATCH(G40,FX!$A$5:$AM$5,0)-1,1,1)))</f>
        <v>0</v>
      </c>
      <c r="AK40" s="104">
        <f ca="1">IF($D40="Stock",OFFSET(HistPrices!$A$8,MATCH($A40,HistPrices!$A:$A,0)-ROW(HistPrices!$A$8)+3,MATCH($E40,HistPrices!$8:$8,0)-1,1,1),0)</f>
        <v>0</v>
      </c>
      <c r="AL40" s="104">
        <f ca="1">IF($D40="Bond",OFFSET(HistPrices!$A$8,MATCH($A40,HistPrices!$A:$A,0)-ROW(HistPrices!$A$8)+5,MATCH($E40,HistPrices!$8:$8,0)-1,1,1),0)</f>
        <v>0</v>
      </c>
      <c r="AM40" s="104">
        <f ca="1">IF($D40="Bond",OFFSET(HistPrices!$A$8,MATCH($A40,HistPrices!$A:$A,0)-ROW(HistPrices!$A$8)+6,MATCH($E40,HistPrices!$8:$8,0)-1,1,1),0)</f>
        <v>0</v>
      </c>
      <c r="AN40" s="104">
        <f ca="1">IF($D40="Option",OFFSET(HistPrices!$A$8,MATCH($A40,HistPrices!$A:$A,0)-ROW(HistPrices!$A$8)+3,MATCH($E40,HistPrices!$8:$8,0)-1,1,1),0)</f>
        <v>0</v>
      </c>
      <c r="AO40" s="104">
        <f t="shared" si="6"/>
        <v>0</v>
      </c>
      <c r="AP40" s="104">
        <f t="shared" si="7"/>
        <v>0</v>
      </c>
      <c r="AQ40" s="336">
        <f t="shared" si="8"/>
        <v>0</v>
      </c>
      <c r="AR40" s="336">
        <f t="shared" si="9"/>
        <v>0</v>
      </c>
      <c r="AS40" s="336">
        <f t="shared" si="10"/>
        <v>0</v>
      </c>
      <c r="AT40" s="116">
        <f t="shared" si="11"/>
        <v>0</v>
      </c>
      <c r="AU40" s="116">
        <f t="shared" si="12"/>
        <v>0</v>
      </c>
      <c r="AV40" s="116">
        <f t="shared" si="13"/>
        <v>0</v>
      </c>
      <c r="AW40" s="116">
        <f t="shared" si="14"/>
        <v>0</v>
      </c>
      <c r="AX40" s="116">
        <f>IF(OR(A40="DateCum",A40=""),0,IF(D40="Cash",M40,IF(D40&lt;&gt;"Option",AF40*AJ40*IF(D40="Stock",AK40,IF(D40="Bond",AVERAGE(AL40:AM40)*10,IF(D40="TD",AP40,""))),IF(AND(D40="Option",AG40&gt;0),0,VLOOKUP(C40,'1TradeRecord'!$B:$EE,134,FALSE)))))</f>
        <v>0</v>
      </c>
      <c r="AY40" s="116">
        <f t="shared" si="15"/>
        <v>0</v>
      </c>
      <c r="AZ40" s="116">
        <f t="shared" si="16"/>
        <v>0</v>
      </c>
      <c r="BA40" s="116">
        <f t="shared" si="17"/>
        <v>0</v>
      </c>
      <c r="BB40" s="116">
        <f t="shared" si="18"/>
        <v>0</v>
      </c>
      <c r="BC40" s="116">
        <f t="shared" si="19"/>
        <v>0</v>
      </c>
      <c r="BD40" s="368">
        <f t="shared" si="20"/>
        <v>0</v>
      </c>
      <c r="BE40" s="10">
        <f t="shared" si="21"/>
        <v>0</v>
      </c>
    </row>
    <row r="41" spans="1:57" ht="13">
      <c r="A41" s="10" t="str">
        <f t="shared" si="22"/>
        <v/>
      </c>
      <c r="I41" s="116"/>
      <c r="J41" s="116"/>
      <c r="K41" s="116"/>
      <c r="L41" s="116"/>
      <c r="M41" s="116"/>
      <c r="N41" s="116"/>
      <c r="AB41" s="332"/>
      <c r="AG41" s="332">
        <f t="shared" si="3"/>
        <v>0</v>
      </c>
      <c r="AH41" s="10">
        <f t="shared" si="4"/>
        <v>0</v>
      </c>
      <c r="AI41" s="31">
        <f t="shared" si="5"/>
        <v>0</v>
      </c>
      <c r="AJ41" s="10">
        <f ca="1">IF(OR(A41="DateCum",A41=""),0,IF(G41="HKD",1,OFFSET(FX!$A$5,MATCH(A41,FX!A:A,0)-ROW(FX!$A$5),MATCH(G41,FX!$A$5:$AM$5,0)-1,1,1)))</f>
        <v>0</v>
      </c>
      <c r="AK41" s="104">
        <f ca="1">IF($D41="Stock",OFFSET(HistPrices!$A$8,MATCH($A41,HistPrices!$A:$A,0)-ROW(HistPrices!$A$8)+3,MATCH($E41,HistPrices!$8:$8,0)-1,1,1),0)</f>
        <v>0</v>
      </c>
      <c r="AL41" s="104">
        <f ca="1">IF($D41="Bond",OFFSET(HistPrices!$A$8,MATCH($A41,HistPrices!$A:$A,0)-ROW(HistPrices!$A$8)+5,MATCH($E41,HistPrices!$8:$8,0)-1,1,1),0)</f>
        <v>0</v>
      </c>
      <c r="AM41" s="104">
        <f ca="1">IF($D41="Bond",OFFSET(HistPrices!$A$8,MATCH($A41,HistPrices!$A:$A,0)-ROW(HistPrices!$A$8)+6,MATCH($E41,HistPrices!$8:$8,0)-1,1,1),0)</f>
        <v>0</v>
      </c>
      <c r="AN41" s="104">
        <f ca="1">IF($D41="Option",OFFSET(HistPrices!$A$8,MATCH($A41,HistPrices!$A:$A,0)-ROW(HistPrices!$A$8)+3,MATCH($E41,HistPrices!$8:$8,0)-1,1,1),0)</f>
        <v>0</v>
      </c>
      <c r="AO41" s="104">
        <f t="shared" si="6"/>
        <v>0</v>
      </c>
      <c r="AP41" s="104">
        <f t="shared" si="7"/>
        <v>0</v>
      </c>
      <c r="AQ41" s="336">
        <f t="shared" si="8"/>
        <v>0</v>
      </c>
      <c r="AR41" s="336">
        <f t="shared" si="9"/>
        <v>0</v>
      </c>
      <c r="AS41" s="336">
        <f t="shared" si="10"/>
        <v>0</v>
      </c>
      <c r="AT41" s="116">
        <f t="shared" si="11"/>
        <v>0</v>
      </c>
      <c r="AU41" s="116">
        <f t="shared" si="12"/>
        <v>0</v>
      </c>
      <c r="AV41" s="116">
        <f t="shared" si="13"/>
        <v>0</v>
      </c>
      <c r="AW41" s="116">
        <f t="shared" si="14"/>
        <v>0</v>
      </c>
      <c r="AX41" s="116">
        <f>IF(OR(A41="DateCum",A41=""),0,IF(D41="Cash",M41,IF(D41&lt;&gt;"Option",AF41*AJ41*IF(D41="Stock",AK41,IF(D41="Bond",AVERAGE(AL41:AM41)*10,IF(D41="TD",AP41,""))),IF(AND(D41="Option",AG41&gt;0),0,VLOOKUP(C41,'1TradeRecord'!$B:$EE,134,FALSE)))))</f>
        <v>0</v>
      </c>
      <c r="AY41" s="116">
        <f t="shared" si="15"/>
        <v>0</v>
      </c>
      <c r="AZ41" s="116">
        <f t="shared" si="16"/>
        <v>0</v>
      </c>
      <c r="BA41" s="116">
        <f t="shared" si="17"/>
        <v>0</v>
      </c>
      <c r="BB41" s="116">
        <f t="shared" si="18"/>
        <v>0</v>
      </c>
      <c r="BC41" s="116">
        <f t="shared" si="19"/>
        <v>0</v>
      </c>
      <c r="BD41" s="368">
        <f t="shared" si="20"/>
        <v>0</v>
      </c>
      <c r="BE41" s="10">
        <f t="shared" si="21"/>
        <v>0</v>
      </c>
    </row>
    <row r="42" spans="1:57" ht="13">
      <c r="A42" s="10" t="str">
        <f t="shared" si="22"/>
        <v/>
      </c>
      <c r="I42" s="116"/>
      <c r="J42" s="116"/>
      <c r="K42" s="116"/>
      <c r="L42" s="116"/>
      <c r="M42" s="116"/>
      <c r="N42" s="116"/>
      <c r="AB42" s="332"/>
      <c r="AG42" s="332">
        <f t="shared" si="3"/>
        <v>0</v>
      </c>
      <c r="AH42" s="10">
        <f t="shared" si="4"/>
        <v>0</v>
      </c>
      <c r="AI42" s="31">
        <f t="shared" si="5"/>
        <v>0</v>
      </c>
      <c r="AJ42" s="10">
        <f ca="1">IF(OR(A42="DateCum",A42=""),0,IF(G42="HKD",1,OFFSET(FX!$A$5,MATCH(A42,FX!A:A,0)-ROW(FX!$A$5),MATCH(G42,FX!$A$5:$AM$5,0)-1,1,1)))</f>
        <v>0</v>
      </c>
      <c r="AK42" s="104">
        <f ca="1">IF($D42="Stock",OFFSET(HistPrices!$A$8,MATCH($A42,HistPrices!$A:$A,0)-ROW(HistPrices!$A$8)+3,MATCH($E42,HistPrices!$8:$8,0)-1,1,1),0)</f>
        <v>0</v>
      </c>
      <c r="AL42" s="104">
        <f ca="1">IF($D42="Bond",OFFSET(HistPrices!$A$8,MATCH($A42,HistPrices!$A:$A,0)-ROW(HistPrices!$A$8)+5,MATCH($E42,HistPrices!$8:$8,0)-1,1,1),0)</f>
        <v>0</v>
      </c>
      <c r="AM42" s="104">
        <f ca="1">IF($D42="Bond",OFFSET(HistPrices!$A$8,MATCH($A42,HistPrices!$A:$A,0)-ROW(HistPrices!$A$8)+6,MATCH($E42,HistPrices!$8:$8,0)-1,1,1),0)</f>
        <v>0</v>
      </c>
      <c r="AN42" s="104">
        <f ca="1">IF($D42="Option",OFFSET(HistPrices!$A$8,MATCH($A42,HistPrices!$A:$A,0)-ROW(HistPrices!$A$8)+3,MATCH($E42,HistPrices!$8:$8,0)-1,1,1),0)</f>
        <v>0</v>
      </c>
      <c r="AO42" s="104">
        <f t="shared" si="6"/>
        <v>0</v>
      </c>
      <c r="AP42" s="104">
        <f t="shared" si="7"/>
        <v>0</v>
      </c>
      <c r="AQ42" s="336">
        <f t="shared" si="8"/>
        <v>0</v>
      </c>
      <c r="AR42" s="336">
        <f t="shared" si="9"/>
        <v>0</v>
      </c>
      <c r="AS42" s="336">
        <f t="shared" si="10"/>
        <v>0</v>
      </c>
      <c r="AT42" s="116">
        <f t="shared" si="11"/>
        <v>0</v>
      </c>
      <c r="AU42" s="116">
        <f t="shared" si="12"/>
        <v>0</v>
      </c>
      <c r="AV42" s="116">
        <f t="shared" si="13"/>
        <v>0</v>
      </c>
      <c r="AW42" s="116">
        <f t="shared" si="14"/>
        <v>0</v>
      </c>
      <c r="AX42" s="116">
        <f>IF(OR(A42="DateCum",A42=""),0,IF(D42="Cash",M42,IF(D42&lt;&gt;"Option",AF42*AJ42*IF(D42="Stock",AK42,IF(D42="Bond",AVERAGE(AL42:AM42)*10,IF(D42="TD",AP42,""))),IF(AND(D42="Option",AG42&gt;0),0,VLOOKUP(C42,'1TradeRecord'!$B:$EE,134,FALSE)))))</f>
        <v>0</v>
      </c>
      <c r="AY42" s="116">
        <f t="shared" si="15"/>
        <v>0</v>
      </c>
      <c r="AZ42" s="116">
        <f t="shared" si="16"/>
        <v>0</v>
      </c>
      <c r="BA42" s="116">
        <f t="shared" si="17"/>
        <v>0</v>
      </c>
      <c r="BB42" s="116">
        <f t="shared" si="18"/>
        <v>0</v>
      </c>
      <c r="BC42" s="116">
        <f t="shared" si="19"/>
        <v>0</v>
      </c>
      <c r="BD42" s="368">
        <f t="shared" si="20"/>
        <v>0</v>
      </c>
      <c r="BE42" s="10">
        <f t="shared" si="21"/>
        <v>0</v>
      </c>
    </row>
    <row r="43" spans="1:57" ht="13">
      <c r="A43" s="10" t="str">
        <f t="shared" si="22"/>
        <v/>
      </c>
      <c r="I43" s="116"/>
      <c r="J43" s="116"/>
      <c r="K43" s="116"/>
      <c r="L43" s="116"/>
      <c r="M43" s="116"/>
      <c r="N43" s="116"/>
      <c r="AB43" s="332"/>
      <c r="AG43" s="332"/>
      <c r="AI43" s="31"/>
      <c r="AK43" s="104"/>
      <c r="AL43" s="104"/>
      <c r="AM43" s="104"/>
      <c r="AN43" s="104"/>
      <c r="AO43" s="104"/>
      <c r="AP43" s="104"/>
      <c r="AQ43" s="336"/>
      <c r="AR43" s="336"/>
      <c r="AS43" s="336"/>
      <c r="AT43" s="116"/>
      <c r="AW43" s="116"/>
      <c r="AY43" s="116"/>
      <c r="AZ43" s="116"/>
      <c r="BA43" s="116"/>
      <c r="BB43" s="116"/>
      <c r="BC43" s="116"/>
      <c r="BD43" s="368"/>
    </row>
    <row r="44" spans="1:57" ht="13">
      <c r="I44" s="116"/>
      <c r="J44" s="116"/>
      <c r="K44" s="116"/>
      <c r="L44" s="116"/>
      <c r="M44" s="116"/>
      <c r="N44" s="116"/>
      <c r="AB44" s="332"/>
      <c r="AG44" s="332"/>
      <c r="AI44" s="31"/>
      <c r="AK44" s="104"/>
      <c r="AL44" s="104"/>
      <c r="AM44" s="104"/>
      <c r="AN44" s="104"/>
      <c r="AO44" s="104"/>
      <c r="AP44" s="104"/>
      <c r="AQ44" s="336"/>
      <c r="AR44" s="336"/>
      <c r="AS44" s="336"/>
      <c r="AT44" s="116"/>
      <c r="AW44" s="116"/>
      <c r="AY44" s="116"/>
      <c r="AZ44" s="116"/>
      <c r="BA44" s="116"/>
      <c r="BB44" s="116"/>
      <c r="BC44" s="116"/>
      <c r="BD44" s="368"/>
    </row>
    <row r="45" spans="1:57" ht="13">
      <c r="A45" s="10" t="str">
        <f>IF(B45="","",$E$1)</f>
        <v/>
      </c>
      <c r="G45" s="44"/>
      <c r="H45" s="44"/>
      <c r="I45" s="124"/>
      <c r="J45" s="124"/>
      <c r="K45" s="124"/>
      <c r="L45" s="124"/>
      <c r="M45" s="124"/>
      <c r="N45" s="124"/>
      <c r="O45" s="44"/>
      <c r="P45" s="44"/>
      <c r="Q45" s="44"/>
      <c r="AB45" s="332"/>
      <c r="AG45" s="332"/>
      <c r="AI45" s="31"/>
      <c r="AK45" s="104"/>
      <c r="AL45" s="104"/>
      <c r="AM45" s="104"/>
      <c r="AN45" s="104"/>
      <c r="AO45" s="104"/>
      <c r="AP45" s="104"/>
      <c r="AQ45" s="336"/>
      <c r="AR45" s="336"/>
      <c r="AS45" s="336"/>
      <c r="AT45" s="116"/>
      <c r="AW45" s="116"/>
      <c r="AY45" s="116"/>
      <c r="AZ45" s="116"/>
      <c r="BA45" s="116"/>
      <c r="BB45" s="116"/>
      <c r="BC45" s="116"/>
      <c r="BD45" s="368"/>
    </row>
    <row r="46" spans="1:57" ht="13">
      <c r="I46" s="116"/>
      <c r="J46" s="116"/>
      <c r="K46" s="116"/>
      <c r="L46" s="116"/>
      <c r="M46" s="116"/>
      <c r="N46" s="116"/>
      <c r="AB46" s="332"/>
      <c r="AG46" s="332"/>
      <c r="AI46" s="31"/>
      <c r="AQ46" s="336"/>
      <c r="AR46" s="336"/>
      <c r="AS46" s="336"/>
      <c r="AT46" s="116"/>
      <c r="AW46" s="116"/>
      <c r="AY46" s="116"/>
      <c r="AZ46" s="116"/>
      <c r="BA46" s="116"/>
      <c r="BB46" s="116"/>
      <c r="BC46" s="116"/>
      <c r="BD46" s="368"/>
    </row>
    <row r="47" spans="1:57" ht="13">
      <c r="A47" s="10" t="str">
        <f t="shared" ref="A47:A228" si="23">IF(B47="","",$E$1)</f>
        <v/>
      </c>
      <c r="I47" s="116"/>
      <c r="J47" s="116"/>
      <c r="K47" s="116"/>
      <c r="L47" s="116"/>
      <c r="M47" s="116"/>
      <c r="N47" s="116"/>
      <c r="AB47" s="332"/>
      <c r="AG47" s="332"/>
      <c r="AI47" s="31"/>
      <c r="AQ47" s="336"/>
      <c r="AR47" s="336"/>
      <c r="AS47" s="336"/>
      <c r="AT47" s="116"/>
      <c r="AW47" s="116"/>
      <c r="AY47" s="116"/>
      <c r="AZ47" s="116"/>
      <c r="BA47" s="116"/>
      <c r="BB47" s="116"/>
      <c r="BC47" s="116"/>
      <c r="BD47" s="368"/>
    </row>
    <row r="48" spans="1:57" ht="13">
      <c r="A48" s="10" t="str">
        <f t="shared" si="23"/>
        <v/>
      </c>
      <c r="I48" s="116"/>
      <c r="J48" s="116"/>
      <c r="K48" s="116"/>
      <c r="L48" s="116"/>
      <c r="M48" s="116"/>
      <c r="N48" s="116"/>
      <c r="AB48" s="332"/>
      <c r="AG48" s="332"/>
      <c r="AI48" s="31"/>
      <c r="AQ48" s="336"/>
      <c r="AR48" s="336"/>
      <c r="AS48" s="336"/>
      <c r="AT48" s="116"/>
      <c r="AW48" s="116"/>
      <c r="AY48" s="116"/>
      <c r="AZ48" s="116"/>
      <c r="BA48" s="116"/>
      <c r="BB48" s="116"/>
      <c r="BC48" s="116"/>
      <c r="BD48" s="368"/>
    </row>
    <row r="49" spans="1:56" ht="13">
      <c r="A49" s="10" t="str">
        <f t="shared" si="23"/>
        <v/>
      </c>
      <c r="I49" s="116"/>
      <c r="J49" s="116"/>
      <c r="K49" s="116"/>
      <c r="L49" s="116"/>
      <c r="M49" s="116"/>
      <c r="N49" s="116"/>
      <c r="AB49" s="332"/>
      <c r="AG49" s="332"/>
      <c r="AI49" s="31"/>
      <c r="AQ49" s="336"/>
      <c r="AR49" s="336"/>
      <c r="AS49" s="336"/>
      <c r="AT49" s="116"/>
      <c r="AW49" s="116"/>
      <c r="AY49" s="116"/>
      <c r="AZ49" s="116"/>
      <c r="BA49" s="116"/>
      <c r="BB49" s="116"/>
      <c r="BC49" s="116"/>
      <c r="BD49" s="368"/>
    </row>
    <row r="50" spans="1:56" ht="13">
      <c r="A50" s="10" t="str">
        <f t="shared" si="23"/>
        <v/>
      </c>
      <c r="I50" s="116"/>
      <c r="J50" s="116"/>
      <c r="K50" s="116"/>
      <c r="L50" s="116"/>
      <c r="M50" s="116"/>
      <c r="N50" s="116"/>
      <c r="AB50" s="332"/>
      <c r="AG50" s="332"/>
      <c r="AI50" s="31"/>
      <c r="AQ50" s="336"/>
      <c r="AR50" s="336"/>
      <c r="AS50" s="336"/>
      <c r="AT50" s="116"/>
      <c r="AW50" s="116"/>
      <c r="AY50" s="116"/>
      <c r="AZ50" s="116"/>
      <c r="BA50" s="116"/>
      <c r="BB50" s="116"/>
      <c r="BC50" s="116"/>
      <c r="BD50" s="368"/>
    </row>
    <row r="51" spans="1:56" ht="13">
      <c r="A51" s="10" t="str">
        <f t="shared" si="23"/>
        <v/>
      </c>
      <c r="I51" s="116"/>
      <c r="J51" s="116"/>
      <c r="K51" s="116"/>
      <c r="L51" s="116"/>
      <c r="M51" s="116"/>
      <c r="N51" s="116"/>
      <c r="AB51" s="332"/>
      <c r="AG51" s="332"/>
      <c r="AI51" s="31"/>
      <c r="AQ51" s="336"/>
      <c r="AR51" s="336"/>
      <c r="AS51" s="336"/>
      <c r="AT51" s="116"/>
      <c r="AW51" s="116"/>
      <c r="AY51" s="116"/>
      <c r="AZ51" s="116"/>
      <c r="BA51" s="116"/>
      <c r="BB51" s="116"/>
      <c r="BC51" s="116"/>
      <c r="BD51" s="368"/>
    </row>
    <row r="52" spans="1:56" ht="13">
      <c r="A52" s="10" t="str">
        <f t="shared" si="23"/>
        <v/>
      </c>
      <c r="I52" s="116"/>
      <c r="J52" s="116"/>
      <c r="K52" s="116"/>
      <c r="L52" s="116"/>
      <c r="M52" s="116"/>
      <c r="N52" s="116"/>
      <c r="AB52" s="332"/>
      <c r="AG52" s="332"/>
      <c r="AI52" s="31"/>
      <c r="AQ52" s="336"/>
      <c r="AR52" s="336"/>
      <c r="AS52" s="336"/>
      <c r="AT52" s="116"/>
      <c r="AW52" s="116"/>
      <c r="AY52" s="116"/>
      <c r="AZ52" s="116"/>
      <c r="BA52" s="116"/>
      <c r="BB52" s="116"/>
      <c r="BC52" s="116"/>
      <c r="BD52" s="368"/>
    </row>
    <row r="53" spans="1:56" ht="13">
      <c r="A53" s="10" t="str">
        <f t="shared" si="23"/>
        <v/>
      </c>
      <c r="I53" s="116"/>
      <c r="J53" s="116"/>
      <c r="K53" s="116"/>
      <c r="L53" s="116"/>
      <c r="M53" s="116"/>
      <c r="N53" s="116"/>
      <c r="AB53" s="332"/>
      <c r="AG53" s="332"/>
      <c r="AI53" s="31"/>
      <c r="AQ53" s="336"/>
      <c r="AR53" s="336"/>
      <c r="AS53" s="336"/>
      <c r="AT53" s="116"/>
      <c r="AW53" s="116"/>
      <c r="AY53" s="116"/>
      <c r="AZ53" s="116"/>
      <c r="BA53" s="116"/>
      <c r="BB53" s="116"/>
      <c r="BC53" s="116"/>
      <c r="BD53" s="368"/>
    </row>
    <row r="54" spans="1:56" ht="13">
      <c r="A54" s="10" t="str">
        <f t="shared" si="23"/>
        <v/>
      </c>
      <c r="I54" s="116"/>
      <c r="J54" s="116"/>
      <c r="K54" s="116"/>
      <c r="L54" s="116"/>
      <c r="M54" s="116"/>
      <c r="N54" s="116"/>
      <c r="AB54" s="332"/>
      <c r="AG54" s="332"/>
      <c r="AI54" s="31"/>
      <c r="AQ54" s="336"/>
      <c r="AR54" s="336"/>
      <c r="AS54" s="336"/>
      <c r="AT54" s="116"/>
      <c r="AW54" s="116"/>
      <c r="AY54" s="116"/>
      <c r="AZ54" s="116"/>
      <c r="BA54" s="116"/>
      <c r="BB54" s="116"/>
      <c r="BC54" s="116"/>
      <c r="BD54" s="368"/>
    </row>
    <row r="55" spans="1:56" ht="13">
      <c r="A55" s="10" t="str">
        <f t="shared" si="23"/>
        <v/>
      </c>
      <c r="I55" s="116"/>
      <c r="J55" s="116"/>
      <c r="K55" s="116"/>
      <c r="L55" s="116"/>
      <c r="M55" s="116"/>
      <c r="N55" s="116"/>
      <c r="AB55" s="332"/>
      <c r="AG55" s="332"/>
      <c r="AI55" s="31"/>
      <c r="AQ55" s="336"/>
      <c r="AR55" s="336"/>
      <c r="AS55" s="336"/>
      <c r="AT55" s="116"/>
      <c r="AW55" s="116"/>
      <c r="AY55" s="116"/>
      <c r="AZ55" s="116"/>
      <c r="BA55" s="116"/>
      <c r="BB55" s="116"/>
      <c r="BC55" s="116"/>
      <c r="BD55" s="368"/>
    </row>
    <row r="56" spans="1:56" ht="13">
      <c r="A56" s="10" t="str">
        <f t="shared" si="23"/>
        <v/>
      </c>
      <c r="I56" s="116"/>
      <c r="J56" s="116"/>
      <c r="K56" s="116"/>
      <c r="L56" s="116"/>
      <c r="M56" s="116"/>
      <c r="N56" s="116"/>
      <c r="AB56" s="332"/>
      <c r="AG56" s="332"/>
      <c r="AI56" s="31"/>
      <c r="AQ56" s="336"/>
      <c r="AR56" s="336"/>
      <c r="AS56" s="336"/>
      <c r="AT56" s="116"/>
      <c r="AW56" s="116"/>
      <c r="AY56" s="116"/>
      <c r="AZ56" s="116"/>
      <c r="BA56" s="116"/>
      <c r="BB56" s="116"/>
      <c r="BC56" s="116"/>
      <c r="BD56" s="368"/>
    </row>
    <row r="57" spans="1:56" ht="13">
      <c r="A57" s="10" t="str">
        <f t="shared" si="23"/>
        <v/>
      </c>
      <c r="I57" s="116"/>
      <c r="J57" s="116"/>
      <c r="K57" s="116"/>
      <c r="L57" s="116"/>
      <c r="M57" s="116"/>
      <c r="N57" s="116"/>
      <c r="AB57" s="332"/>
      <c r="AG57" s="332"/>
      <c r="AI57" s="31"/>
      <c r="AQ57" s="336"/>
      <c r="AR57" s="336"/>
      <c r="AS57" s="336"/>
      <c r="AT57" s="116"/>
      <c r="AW57" s="116"/>
      <c r="AY57" s="116"/>
      <c r="AZ57" s="116"/>
      <c r="BA57" s="116"/>
      <c r="BB57" s="116"/>
      <c r="BC57" s="116"/>
      <c r="BD57" s="368"/>
    </row>
    <row r="58" spans="1:56" ht="13">
      <c r="A58" s="10" t="str">
        <f t="shared" si="23"/>
        <v/>
      </c>
      <c r="I58" s="116"/>
      <c r="J58" s="116"/>
      <c r="K58" s="116"/>
      <c r="L58" s="116"/>
      <c r="M58" s="116"/>
      <c r="N58" s="116"/>
      <c r="AB58" s="332"/>
      <c r="AG58" s="332"/>
      <c r="AI58" s="31"/>
      <c r="AQ58" s="336"/>
      <c r="AR58" s="336"/>
      <c r="AS58" s="336"/>
      <c r="AT58" s="116"/>
      <c r="AW58" s="116"/>
      <c r="AY58" s="116"/>
      <c r="AZ58" s="116"/>
      <c r="BA58" s="116"/>
      <c r="BB58" s="116"/>
      <c r="BC58" s="116"/>
      <c r="BD58" s="368"/>
    </row>
    <row r="59" spans="1:56" ht="13">
      <c r="A59" s="10" t="str">
        <f t="shared" si="23"/>
        <v/>
      </c>
      <c r="I59" s="116"/>
      <c r="J59" s="116"/>
      <c r="K59" s="116"/>
      <c r="L59" s="116"/>
      <c r="M59" s="116"/>
      <c r="N59" s="116"/>
      <c r="AB59" s="332"/>
      <c r="AG59" s="332"/>
      <c r="AI59" s="31"/>
      <c r="AQ59" s="336"/>
      <c r="AR59" s="336"/>
      <c r="AS59" s="336"/>
      <c r="AT59" s="116"/>
      <c r="AW59" s="116"/>
      <c r="AY59" s="116"/>
      <c r="AZ59" s="116"/>
      <c r="BA59" s="116"/>
      <c r="BB59" s="116"/>
      <c r="BC59" s="116"/>
      <c r="BD59" s="368"/>
    </row>
    <row r="60" spans="1:56" ht="13">
      <c r="A60" s="10" t="str">
        <f t="shared" si="23"/>
        <v/>
      </c>
      <c r="I60" s="116"/>
      <c r="J60" s="116"/>
      <c r="K60" s="116"/>
      <c r="L60" s="116"/>
      <c r="M60" s="116"/>
      <c r="N60" s="116"/>
      <c r="AB60" s="332"/>
      <c r="AG60" s="332"/>
      <c r="AI60" s="31"/>
      <c r="AQ60" s="336"/>
      <c r="AR60" s="336"/>
      <c r="AS60" s="336"/>
      <c r="AT60" s="116"/>
      <c r="AW60" s="116"/>
      <c r="AY60" s="116"/>
      <c r="AZ60" s="116"/>
      <c r="BA60" s="116"/>
      <c r="BB60" s="116"/>
      <c r="BC60" s="116"/>
      <c r="BD60" s="368"/>
    </row>
    <row r="61" spans="1:56" ht="13">
      <c r="A61" s="10" t="str">
        <f t="shared" si="23"/>
        <v/>
      </c>
      <c r="I61" s="116"/>
      <c r="J61" s="116"/>
      <c r="K61" s="116"/>
      <c r="L61" s="116"/>
      <c r="M61" s="116"/>
      <c r="N61" s="116"/>
      <c r="AB61" s="332"/>
      <c r="AG61" s="332"/>
      <c r="AI61" s="31"/>
      <c r="AQ61" s="336"/>
      <c r="AR61" s="336"/>
      <c r="AS61" s="336"/>
      <c r="AT61" s="116"/>
      <c r="AW61" s="116"/>
      <c r="AY61" s="116"/>
      <c r="AZ61" s="116"/>
      <c r="BA61" s="116"/>
      <c r="BB61" s="116"/>
      <c r="BC61" s="116"/>
      <c r="BD61" s="368"/>
    </row>
    <row r="62" spans="1:56" ht="13">
      <c r="A62" s="10" t="str">
        <f t="shared" si="23"/>
        <v/>
      </c>
      <c r="I62" s="116"/>
      <c r="J62" s="116"/>
      <c r="K62" s="116"/>
      <c r="L62" s="116"/>
      <c r="M62" s="116"/>
      <c r="N62" s="116"/>
      <c r="AB62" s="332"/>
      <c r="AG62" s="332"/>
      <c r="AI62" s="31"/>
      <c r="AQ62" s="336"/>
      <c r="AR62" s="336"/>
      <c r="AS62" s="336"/>
      <c r="AT62" s="116"/>
      <c r="AW62" s="116"/>
      <c r="AY62" s="116"/>
      <c r="AZ62" s="116"/>
      <c r="BA62" s="116"/>
      <c r="BB62" s="116"/>
      <c r="BC62" s="116"/>
      <c r="BD62" s="368"/>
    </row>
    <row r="63" spans="1:56" ht="13">
      <c r="A63" s="10" t="str">
        <f t="shared" si="23"/>
        <v/>
      </c>
      <c r="I63" s="116"/>
      <c r="J63" s="116"/>
      <c r="K63" s="116"/>
      <c r="L63" s="116"/>
      <c r="M63" s="116"/>
      <c r="N63" s="116"/>
      <c r="AB63" s="332"/>
      <c r="AG63" s="332"/>
      <c r="AI63" s="31"/>
      <c r="AQ63" s="336"/>
      <c r="AR63" s="336"/>
      <c r="AS63" s="336"/>
      <c r="AT63" s="116"/>
      <c r="AW63" s="116"/>
      <c r="AY63" s="116"/>
      <c r="AZ63" s="116"/>
      <c r="BA63" s="116"/>
      <c r="BB63" s="116"/>
      <c r="BC63" s="116"/>
      <c r="BD63" s="368"/>
    </row>
    <row r="64" spans="1:56" ht="13">
      <c r="A64" s="10" t="str">
        <f t="shared" si="23"/>
        <v/>
      </c>
      <c r="I64" s="116"/>
      <c r="J64" s="116"/>
      <c r="K64" s="116"/>
      <c r="L64" s="116"/>
      <c r="M64" s="116"/>
      <c r="N64" s="116"/>
      <c r="AB64" s="332"/>
      <c r="AG64" s="332"/>
      <c r="AI64" s="31"/>
      <c r="AQ64" s="336"/>
      <c r="AR64" s="336"/>
      <c r="AS64" s="336"/>
      <c r="AT64" s="116"/>
      <c r="AW64" s="116"/>
      <c r="AY64" s="116"/>
      <c r="AZ64" s="116"/>
      <c r="BA64" s="116"/>
      <c r="BB64" s="116"/>
      <c r="BC64" s="116"/>
      <c r="BD64" s="368"/>
    </row>
    <row r="65" spans="1:56" ht="13">
      <c r="A65" s="10" t="str">
        <f t="shared" si="23"/>
        <v/>
      </c>
      <c r="I65" s="116"/>
      <c r="J65" s="116"/>
      <c r="K65" s="116"/>
      <c r="L65" s="116"/>
      <c r="M65" s="116"/>
      <c r="N65" s="116"/>
      <c r="AB65" s="332"/>
      <c r="AG65" s="332"/>
      <c r="AI65" s="31"/>
      <c r="AQ65" s="336"/>
      <c r="AR65" s="336"/>
      <c r="AS65" s="336"/>
      <c r="AT65" s="116"/>
      <c r="AW65" s="116"/>
      <c r="AY65" s="116"/>
      <c r="AZ65" s="116"/>
      <c r="BA65" s="116"/>
      <c r="BB65" s="116"/>
      <c r="BC65" s="116"/>
      <c r="BD65" s="368"/>
    </row>
    <row r="66" spans="1:56" ht="13">
      <c r="A66" s="10" t="str">
        <f t="shared" si="23"/>
        <v/>
      </c>
      <c r="I66" s="116"/>
      <c r="J66" s="116"/>
      <c r="K66" s="116"/>
      <c r="L66" s="116"/>
      <c r="M66" s="116"/>
      <c r="N66" s="116"/>
      <c r="AB66" s="332"/>
      <c r="AG66" s="332"/>
      <c r="AI66" s="31"/>
      <c r="AQ66" s="336"/>
      <c r="AR66" s="336"/>
      <c r="AS66" s="336"/>
      <c r="AT66" s="116"/>
      <c r="AW66" s="116"/>
      <c r="AY66" s="116"/>
      <c r="AZ66" s="116"/>
      <c r="BA66" s="116"/>
      <c r="BB66" s="116"/>
      <c r="BC66" s="116"/>
      <c r="BD66" s="368"/>
    </row>
    <row r="67" spans="1:56" ht="13">
      <c r="A67" s="10" t="str">
        <f t="shared" si="23"/>
        <v/>
      </c>
      <c r="I67" s="116"/>
      <c r="J67" s="116"/>
      <c r="K67" s="116"/>
      <c r="L67" s="116"/>
      <c r="M67" s="116"/>
      <c r="N67" s="116"/>
      <c r="AB67" s="332"/>
      <c r="AG67" s="332"/>
      <c r="AI67" s="31"/>
      <c r="AQ67" s="336"/>
      <c r="AR67" s="336"/>
      <c r="AS67" s="336"/>
      <c r="AT67" s="116"/>
      <c r="AW67" s="116"/>
      <c r="AY67" s="116"/>
      <c r="AZ67" s="116"/>
      <c r="BA67" s="116"/>
      <c r="BB67" s="116"/>
      <c r="BC67" s="116"/>
      <c r="BD67" s="368"/>
    </row>
    <row r="68" spans="1:56" ht="13">
      <c r="A68" s="10" t="str">
        <f t="shared" si="23"/>
        <v/>
      </c>
      <c r="I68" s="116"/>
      <c r="J68" s="116"/>
      <c r="K68" s="116"/>
      <c r="L68" s="116"/>
      <c r="M68" s="116"/>
      <c r="N68" s="116"/>
      <c r="AB68" s="332"/>
      <c r="AG68" s="332"/>
      <c r="AI68" s="31"/>
      <c r="AQ68" s="336"/>
      <c r="AR68" s="336"/>
      <c r="AS68" s="336"/>
      <c r="AT68" s="116"/>
      <c r="AW68" s="116"/>
      <c r="AY68" s="116"/>
      <c r="AZ68" s="116"/>
      <c r="BA68" s="116"/>
      <c r="BB68" s="116"/>
      <c r="BC68" s="116"/>
      <c r="BD68" s="368"/>
    </row>
    <row r="69" spans="1:56" ht="13">
      <c r="A69" s="10" t="str">
        <f t="shared" si="23"/>
        <v/>
      </c>
      <c r="I69" s="116"/>
      <c r="J69" s="116"/>
      <c r="K69" s="116"/>
      <c r="L69" s="116"/>
      <c r="M69" s="116"/>
      <c r="N69" s="116"/>
      <c r="AB69" s="332"/>
      <c r="AG69" s="332"/>
      <c r="AI69" s="31"/>
      <c r="AQ69" s="336"/>
      <c r="AR69" s="336"/>
      <c r="AS69" s="336"/>
      <c r="AT69" s="116"/>
      <c r="AW69" s="116"/>
      <c r="AY69" s="116"/>
      <c r="AZ69" s="116"/>
      <c r="BA69" s="116"/>
      <c r="BB69" s="116"/>
      <c r="BC69" s="116"/>
      <c r="BD69" s="368"/>
    </row>
    <row r="70" spans="1:56" ht="13">
      <c r="A70" s="10" t="str">
        <f t="shared" si="23"/>
        <v/>
      </c>
      <c r="I70" s="116"/>
      <c r="J70" s="116"/>
      <c r="K70" s="116"/>
      <c r="L70" s="116"/>
      <c r="M70" s="116"/>
      <c r="N70" s="116"/>
      <c r="AB70" s="332"/>
      <c r="AG70" s="332"/>
      <c r="AI70" s="31"/>
      <c r="AQ70" s="336"/>
      <c r="AR70" s="336"/>
      <c r="AS70" s="336"/>
      <c r="AT70" s="116"/>
      <c r="AW70" s="116"/>
      <c r="AY70" s="116"/>
      <c r="AZ70" s="116"/>
      <c r="BA70" s="116"/>
      <c r="BB70" s="116"/>
      <c r="BC70" s="116"/>
      <c r="BD70" s="368"/>
    </row>
    <row r="71" spans="1:56" ht="13">
      <c r="A71" s="10" t="str">
        <f t="shared" si="23"/>
        <v/>
      </c>
      <c r="I71" s="116"/>
      <c r="J71" s="116"/>
      <c r="K71" s="116"/>
      <c r="L71" s="116"/>
      <c r="M71" s="116"/>
      <c r="N71" s="116"/>
      <c r="AB71" s="332"/>
      <c r="AG71" s="332"/>
      <c r="AI71" s="31"/>
      <c r="AQ71" s="336"/>
      <c r="AR71" s="336"/>
      <c r="AS71" s="336"/>
      <c r="AT71" s="116"/>
      <c r="AW71" s="116"/>
      <c r="AY71" s="116"/>
      <c r="AZ71" s="116"/>
      <c r="BA71" s="116"/>
      <c r="BB71" s="116"/>
      <c r="BC71" s="116"/>
      <c r="BD71" s="368"/>
    </row>
    <row r="72" spans="1:56" ht="13">
      <c r="A72" s="10" t="str">
        <f t="shared" si="23"/>
        <v/>
      </c>
      <c r="I72" s="116"/>
      <c r="J72" s="116"/>
      <c r="K72" s="116"/>
      <c r="L72" s="116"/>
      <c r="M72" s="116"/>
      <c r="N72" s="116"/>
      <c r="AB72" s="332"/>
      <c r="AG72" s="332"/>
      <c r="AI72" s="31"/>
      <c r="AQ72" s="336"/>
      <c r="AR72" s="336"/>
      <c r="AS72" s="336"/>
      <c r="AT72" s="116"/>
      <c r="AW72" s="116"/>
      <c r="AY72" s="116"/>
      <c r="AZ72" s="116"/>
      <c r="BA72" s="116"/>
      <c r="BB72" s="116"/>
      <c r="BC72" s="116"/>
      <c r="BD72" s="368"/>
    </row>
    <row r="73" spans="1:56" ht="13">
      <c r="A73" s="10" t="str">
        <f t="shared" si="23"/>
        <v/>
      </c>
      <c r="I73" s="116"/>
      <c r="J73" s="116"/>
      <c r="K73" s="116"/>
      <c r="L73" s="116"/>
      <c r="M73" s="116"/>
      <c r="N73" s="116"/>
      <c r="AB73" s="332"/>
      <c r="AG73" s="332"/>
      <c r="AI73" s="31"/>
      <c r="AQ73" s="336"/>
      <c r="AR73" s="336"/>
      <c r="AS73" s="336"/>
      <c r="AT73" s="116"/>
      <c r="AW73" s="116"/>
      <c r="AY73" s="116"/>
      <c r="AZ73" s="116"/>
      <c r="BA73" s="116"/>
      <c r="BB73" s="116"/>
      <c r="BC73" s="116"/>
      <c r="BD73" s="368"/>
    </row>
    <row r="74" spans="1:56" ht="13">
      <c r="A74" s="10" t="str">
        <f t="shared" si="23"/>
        <v/>
      </c>
      <c r="I74" s="116"/>
      <c r="J74" s="116"/>
      <c r="K74" s="116"/>
      <c r="L74" s="116"/>
      <c r="M74" s="116"/>
      <c r="N74" s="116"/>
      <c r="AB74" s="332"/>
      <c r="AG74" s="332"/>
      <c r="AI74" s="31"/>
      <c r="AQ74" s="336"/>
      <c r="AR74" s="336"/>
      <c r="AS74" s="336"/>
      <c r="AT74" s="116"/>
      <c r="AW74" s="116"/>
      <c r="AY74" s="116"/>
      <c r="AZ74" s="116"/>
      <c r="BA74" s="116"/>
      <c r="BB74" s="116"/>
      <c r="BC74" s="116"/>
      <c r="BD74" s="368"/>
    </row>
    <row r="75" spans="1:56" ht="13">
      <c r="A75" s="10" t="str">
        <f t="shared" si="23"/>
        <v/>
      </c>
      <c r="I75" s="116"/>
      <c r="J75" s="116"/>
      <c r="K75" s="116"/>
      <c r="L75" s="116"/>
      <c r="M75" s="116"/>
      <c r="N75" s="116"/>
      <c r="AB75" s="332"/>
      <c r="AG75" s="332"/>
      <c r="AI75" s="31"/>
      <c r="AQ75" s="336"/>
      <c r="AR75" s="336"/>
      <c r="AS75" s="336"/>
      <c r="AT75" s="116"/>
      <c r="AW75" s="116"/>
      <c r="AY75" s="116"/>
      <c r="AZ75" s="116"/>
      <c r="BA75" s="116"/>
      <c r="BB75" s="116"/>
      <c r="BC75" s="116"/>
      <c r="BD75" s="368"/>
    </row>
    <row r="76" spans="1:56" ht="13">
      <c r="A76" s="10" t="str">
        <f t="shared" si="23"/>
        <v/>
      </c>
      <c r="I76" s="116"/>
      <c r="J76" s="116"/>
      <c r="K76" s="116"/>
      <c r="L76" s="116"/>
      <c r="M76" s="116"/>
      <c r="N76" s="116"/>
      <c r="AB76" s="332"/>
      <c r="AG76" s="332"/>
      <c r="AI76" s="31"/>
      <c r="AQ76" s="336"/>
      <c r="AR76" s="336"/>
      <c r="AS76" s="336"/>
      <c r="AT76" s="116"/>
      <c r="AW76" s="116"/>
      <c r="AY76" s="116"/>
      <c r="AZ76" s="116"/>
      <c r="BA76" s="116"/>
      <c r="BB76" s="116"/>
      <c r="BC76" s="116"/>
      <c r="BD76" s="368"/>
    </row>
    <row r="77" spans="1:56" ht="13">
      <c r="A77" s="10" t="str">
        <f t="shared" si="23"/>
        <v/>
      </c>
      <c r="I77" s="116"/>
      <c r="J77" s="116"/>
      <c r="K77" s="116"/>
      <c r="L77" s="116"/>
      <c r="M77" s="116"/>
      <c r="N77" s="116"/>
      <c r="AB77" s="332"/>
      <c r="AG77" s="332"/>
      <c r="AI77" s="31"/>
      <c r="AQ77" s="336"/>
      <c r="AR77" s="336"/>
      <c r="AS77" s="336"/>
      <c r="AT77" s="116"/>
      <c r="AW77" s="116"/>
      <c r="AY77" s="116"/>
      <c r="AZ77" s="116"/>
      <c r="BA77" s="116"/>
      <c r="BB77" s="116"/>
      <c r="BC77" s="116"/>
      <c r="BD77" s="368"/>
    </row>
    <row r="78" spans="1:56" ht="13">
      <c r="A78" s="10" t="str">
        <f t="shared" si="23"/>
        <v/>
      </c>
      <c r="I78" s="116"/>
      <c r="J78" s="116"/>
      <c r="K78" s="116"/>
      <c r="L78" s="116"/>
      <c r="M78" s="116"/>
      <c r="N78" s="116"/>
      <c r="AB78" s="332"/>
      <c r="AG78" s="332"/>
      <c r="AI78" s="31"/>
      <c r="AQ78" s="336"/>
      <c r="AR78" s="336"/>
      <c r="AS78" s="336"/>
      <c r="AT78" s="116"/>
      <c r="AW78" s="116"/>
      <c r="AY78" s="116"/>
      <c r="AZ78" s="116"/>
      <c r="BA78" s="116"/>
      <c r="BB78" s="116"/>
      <c r="BC78" s="116"/>
      <c r="BD78" s="368"/>
    </row>
    <row r="79" spans="1:56" ht="13">
      <c r="A79" s="10" t="str">
        <f t="shared" si="23"/>
        <v/>
      </c>
      <c r="I79" s="116"/>
      <c r="J79" s="116"/>
      <c r="K79" s="116"/>
      <c r="L79" s="116"/>
      <c r="M79" s="116"/>
      <c r="N79" s="116"/>
      <c r="AB79" s="332"/>
      <c r="AG79" s="332"/>
      <c r="AI79" s="31"/>
      <c r="AQ79" s="336"/>
      <c r="AR79" s="336"/>
      <c r="AS79" s="336"/>
      <c r="AT79" s="116"/>
      <c r="AW79" s="116"/>
      <c r="AY79" s="116"/>
      <c r="AZ79" s="116"/>
      <c r="BA79" s="116"/>
      <c r="BB79" s="116"/>
      <c r="BC79" s="116"/>
      <c r="BD79" s="368"/>
    </row>
    <row r="80" spans="1:56" ht="13">
      <c r="A80" s="10" t="str">
        <f t="shared" si="23"/>
        <v/>
      </c>
      <c r="I80" s="116"/>
      <c r="J80" s="116"/>
      <c r="K80" s="116"/>
      <c r="L80" s="116"/>
      <c r="M80" s="116"/>
      <c r="N80" s="116"/>
      <c r="AB80" s="332"/>
      <c r="AG80" s="332"/>
      <c r="AI80" s="31"/>
      <c r="AQ80" s="336"/>
      <c r="AR80" s="336"/>
      <c r="AS80" s="336"/>
      <c r="AT80" s="116"/>
      <c r="AW80" s="116"/>
      <c r="AY80" s="116"/>
      <c r="AZ80" s="116"/>
      <c r="BA80" s="116"/>
      <c r="BB80" s="116"/>
      <c r="BC80" s="116"/>
      <c r="BD80" s="368"/>
    </row>
    <row r="81" spans="1:56" ht="13">
      <c r="A81" s="10" t="str">
        <f t="shared" si="23"/>
        <v/>
      </c>
      <c r="I81" s="116"/>
      <c r="J81" s="116"/>
      <c r="K81" s="116"/>
      <c r="L81" s="116"/>
      <c r="M81" s="116"/>
      <c r="N81" s="116"/>
      <c r="AB81" s="332"/>
      <c r="AG81" s="332"/>
      <c r="AI81" s="31"/>
      <c r="AQ81" s="336"/>
      <c r="AR81" s="336"/>
      <c r="AS81" s="336"/>
      <c r="AT81" s="116"/>
      <c r="AW81" s="116"/>
      <c r="AY81" s="116"/>
      <c r="AZ81" s="116"/>
      <c r="BA81" s="116"/>
      <c r="BB81" s="116"/>
      <c r="BC81" s="116"/>
      <c r="BD81" s="368"/>
    </row>
    <row r="82" spans="1:56" ht="13">
      <c r="A82" s="10" t="str">
        <f t="shared" si="23"/>
        <v/>
      </c>
      <c r="I82" s="116"/>
      <c r="J82" s="116"/>
      <c r="K82" s="116"/>
      <c r="L82" s="116"/>
      <c r="M82" s="116"/>
      <c r="N82" s="116"/>
      <c r="AB82" s="332"/>
      <c r="AG82" s="332"/>
      <c r="AI82" s="31"/>
      <c r="AQ82" s="336"/>
      <c r="AR82" s="336"/>
      <c r="AS82" s="336"/>
      <c r="AT82" s="116"/>
      <c r="AW82" s="116"/>
      <c r="AY82" s="116"/>
      <c r="AZ82" s="116"/>
      <c r="BA82" s="116"/>
      <c r="BB82" s="116"/>
      <c r="BC82" s="116"/>
      <c r="BD82" s="368"/>
    </row>
    <row r="83" spans="1:56" ht="13">
      <c r="A83" s="10" t="str">
        <f t="shared" si="23"/>
        <v/>
      </c>
      <c r="I83" s="116"/>
      <c r="J83" s="116"/>
      <c r="K83" s="116"/>
      <c r="L83" s="116"/>
      <c r="M83" s="116"/>
      <c r="N83" s="116"/>
      <c r="AB83" s="332"/>
      <c r="AG83" s="332"/>
      <c r="AI83" s="31"/>
      <c r="AQ83" s="336"/>
      <c r="AR83" s="336"/>
      <c r="AS83" s="336"/>
      <c r="AT83" s="116"/>
      <c r="AW83" s="116"/>
      <c r="AY83" s="116"/>
      <c r="AZ83" s="116"/>
      <c r="BA83" s="116"/>
      <c r="BB83" s="116"/>
      <c r="BC83" s="116"/>
      <c r="BD83" s="368"/>
    </row>
    <row r="84" spans="1:56" ht="13">
      <c r="A84" s="10" t="str">
        <f t="shared" si="23"/>
        <v/>
      </c>
      <c r="I84" s="116"/>
      <c r="J84" s="116"/>
      <c r="K84" s="116"/>
      <c r="L84" s="116"/>
      <c r="M84" s="116"/>
      <c r="N84" s="116"/>
      <c r="AB84" s="332"/>
      <c r="AG84" s="332"/>
      <c r="AI84" s="31"/>
      <c r="AQ84" s="336"/>
      <c r="AR84" s="336"/>
      <c r="AS84" s="336"/>
      <c r="AT84" s="116"/>
      <c r="AW84" s="116"/>
      <c r="AY84" s="116"/>
      <c r="AZ84" s="116"/>
      <c r="BA84" s="116"/>
      <c r="BB84" s="116"/>
      <c r="BC84" s="116"/>
      <c r="BD84" s="368"/>
    </row>
    <row r="85" spans="1:56" ht="13">
      <c r="A85" s="10" t="str">
        <f t="shared" si="23"/>
        <v/>
      </c>
      <c r="I85" s="116"/>
      <c r="J85" s="116"/>
      <c r="K85" s="116"/>
      <c r="L85" s="116"/>
      <c r="M85" s="116"/>
      <c r="N85" s="116"/>
      <c r="AB85" s="332"/>
      <c r="AG85" s="332"/>
      <c r="AI85" s="31"/>
      <c r="AQ85" s="336"/>
      <c r="AR85" s="336"/>
      <c r="AS85" s="336"/>
      <c r="AT85" s="116"/>
      <c r="AW85" s="116"/>
      <c r="AY85" s="116"/>
      <c r="AZ85" s="116"/>
      <c r="BA85" s="116"/>
      <c r="BB85" s="116"/>
      <c r="BC85" s="116"/>
      <c r="BD85" s="368"/>
    </row>
    <row r="86" spans="1:56" ht="13">
      <c r="A86" s="10" t="str">
        <f t="shared" si="23"/>
        <v/>
      </c>
      <c r="I86" s="116"/>
      <c r="J86" s="116"/>
      <c r="K86" s="116"/>
      <c r="L86" s="116"/>
      <c r="M86" s="116"/>
      <c r="N86" s="116"/>
      <c r="AB86" s="332"/>
      <c r="AG86" s="332"/>
      <c r="AI86" s="31"/>
      <c r="AQ86" s="336"/>
      <c r="AR86" s="336"/>
      <c r="AS86" s="336"/>
      <c r="AT86" s="116"/>
      <c r="AW86" s="116"/>
      <c r="AY86" s="116"/>
      <c r="AZ86" s="116"/>
      <c r="BA86" s="116"/>
      <c r="BB86" s="116"/>
      <c r="BC86" s="116"/>
      <c r="BD86" s="368"/>
    </row>
    <row r="87" spans="1:56" ht="13">
      <c r="A87" s="10" t="str">
        <f t="shared" si="23"/>
        <v/>
      </c>
      <c r="I87" s="116"/>
      <c r="J87" s="116"/>
      <c r="K87" s="116"/>
      <c r="L87" s="116"/>
      <c r="M87" s="116"/>
      <c r="N87" s="116"/>
      <c r="AB87" s="332"/>
      <c r="AG87" s="332"/>
      <c r="AI87" s="31"/>
      <c r="AQ87" s="336"/>
      <c r="AR87" s="336"/>
      <c r="AS87" s="336"/>
      <c r="AT87" s="116"/>
      <c r="AW87" s="116"/>
      <c r="AY87" s="116"/>
      <c r="AZ87" s="116"/>
      <c r="BA87" s="116"/>
      <c r="BB87" s="116"/>
      <c r="BC87" s="116"/>
      <c r="BD87" s="368"/>
    </row>
    <row r="88" spans="1:56" ht="13">
      <c r="A88" s="10" t="str">
        <f t="shared" si="23"/>
        <v/>
      </c>
      <c r="I88" s="116"/>
      <c r="J88" s="116"/>
      <c r="K88" s="116"/>
      <c r="L88" s="116"/>
      <c r="M88" s="116"/>
      <c r="N88" s="116"/>
      <c r="AB88" s="332"/>
      <c r="AG88" s="332"/>
      <c r="AI88" s="31"/>
      <c r="AQ88" s="336"/>
      <c r="AR88" s="336"/>
      <c r="AS88" s="336"/>
      <c r="AT88" s="116"/>
      <c r="AW88" s="116"/>
      <c r="AY88" s="116"/>
      <c r="AZ88" s="116"/>
      <c r="BA88" s="116"/>
      <c r="BB88" s="116"/>
      <c r="BC88" s="116"/>
      <c r="BD88" s="368"/>
    </row>
    <row r="89" spans="1:56" ht="13">
      <c r="A89" s="10" t="str">
        <f t="shared" si="23"/>
        <v/>
      </c>
      <c r="I89" s="116"/>
      <c r="J89" s="116"/>
      <c r="K89" s="116"/>
      <c r="L89" s="116"/>
      <c r="M89" s="116"/>
      <c r="N89" s="116"/>
      <c r="AB89" s="332"/>
      <c r="AG89" s="332"/>
      <c r="AI89" s="31"/>
      <c r="AQ89" s="336"/>
      <c r="AR89" s="336"/>
      <c r="AS89" s="336"/>
      <c r="AT89" s="116"/>
      <c r="AW89" s="116"/>
      <c r="AY89" s="116"/>
      <c r="AZ89" s="116"/>
      <c r="BA89" s="116"/>
      <c r="BB89" s="116"/>
      <c r="BC89" s="116"/>
      <c r="BD89" s="368"/>
    </row>
    <row r="90" spans="1:56" ht="13">
      <c r="A90" s="10" t="str">
        <f t="shared" si="23"/>
        <v/>
      </c>
      <c r="I90" s="116"/>
      <c r="J90" s="116"/>
      <c r="K90" s="116"/>
      <c r="L90" s="116"/>
      <c r="M90" s="116"/>
      <c r="N90" s="116"/>
      <c r="AB90" s="332"/>
      <c r="AG90" s="332"/>
      <c r="AI90" s="31"/>
      <c r="AQ90" s="336"/>
      <c r="AR90" s="336"/>
      <c r="AS90" s="336"/>
      <c r="AT90" s="116"/>
      <c r="AW90" s="116"/>
      <c r="AY90" s="116"/>
      <c r="AZ90" s="116"/>
      <c r="BA90" s="116"/>
      <c r="BB90" s="116"/>
      <c r="BC90" s="116"/>
      <c r="BD90" s="368"/>
    </row>
    <row r="91" spans="1:56" ht="13">
      <c r="A91" s="10" t="str">
        <f t="shared" si="23"/>
        <v/>
      </c>
      <c r="I91" s="116"/>
      <c r="J91" s="116"/>
      <c r="K91" s="116"/>
      <c r="L91" s="116"/>
      <c r="M91" s="116"/>
      <c r="N91" s="116"/>
      <c r="AB91" s="332"/>
      <c r="AG91" s="332"/>
      <c r="AI91" s="31"/>
      <c r="AQ91" s="336"/>
      <c r="AR91" s="336"/>
      <c r="AS91" s="336"/>
      <c r="AT91" s="116"/>
      <c r="AW91" s="116"/>
      <c r="AY91" s="116"/>
      <c r="AZ91" s="116"/>
      <c r="BA91" s="116"/>
      <c r="BB91" s="116"/>
      <c r="BC91" s="116"/>
      <c r="BD91" s="368"/>
    </row>
    <row r="92" spans="1:56" ht="13">
      <c r="A92" s="10" t="str">
        <f t="shared" si="23"/>
        <v/>
      </c>
      <c r="I92" s="116"/>
      <c r="J92" s="116"/>
      <c r="K92" s="116"/>
      <c r="L92" s="116"/>
      <c r="M92" s="116"/>
      <c r="N92" s="116"/>
      <c r="AB92" s="332"/>
      <c r="AG92" s="332"/>
      <c r="AI92" s="31"/>
      <c r="AQ92" s="336"/>
      <c r="AR92" s="336"/>
      <c r="AS92" s="336"/>
      <c r="AT92" s="116"/>
      <c r="AW92" s="116"/>
      <c r="AY92" s="116"/>
      <c r="AZ92" s="116"/>
      <c r="BA92" s="116"/>
      <c r="BB92" s="116"/>
      <c r="BC92" s="116"/>
      <c r="BD92" s="368"/>
    </row>
    <row r="93" spans="1:56" ht="13">
      <c r="A93" s="10" t="str">
        <f t="shared" si="23"/>
        <v/>
      </c>
      <c r="I93" s="116"/>
      <c r="J93" s="116"/>
      <c r="K93" s="116"/>
      <c r="L93" s="116"/>
      <c r="M93" s="116"/>
      <c r="N93" s="116"/>
      <c r="AB93" s="332"/>
      <c r="AG93" s="332"/>
      <c r="AI93" s="31"/>
      <c r="AQ93" s="336"/>
      <c r="AR93" s="336"/>
      <c r="AS93" s="336"/>
      <c r="AT93" s="116"/>
      <c r="AW93" s="116"/>
      <c r="AY93" s="116"/>
      <c r="AZ93" s="116"/>
      <c r="BA93" s="116"/>
      <c r="BB93" s="116"/>
      <c r="BC93" s="116"/>
      <c r="BD93" s="368"/>
    </row>
    <row r="94" spans="1:56" ht="13">
      <c r="A94" s="10" t="str">
        <f t="shared" si="23"/>
        <v/>
      </c>
      <c r="I94" s="116"/>
      <c r="J94" s="116"/>
      <c r="K94" s="116"/>
      <c r="L94" s="116"/>
      <c r="M94" s="116"/>
      <c r="N94" s="116"/>
      <c r="AB94" s="332"/>
      <c r="AG94" s="332"/>
      <c r="AI94" s="31"/>
      <c r="AQ94" s="336"/>
      <c r="AR94" s="336"/>
      <c r="AS94" s="336"/>
      <c r="AT94" s="116"/>
      <c r="AW94" s="116"/>
      <c r="AY94" s="116"/>
      <c r="AZ94" s="116"/>
      <c r="BA94" s="116"/>
      <c r="BB94" s="116"/>
      <c r="BC94" s="116"/>
      <c r="BD94" s="368"/>
    </row>
    <row r="95" spans="1:56" ht="13">
      <c r="A95" s="10" t="str">
        <f t="shared" si="23"/>
        <v/>
      </c>
      <c r="I95" s="116"/>
      <c r="J95" s="116"/>
      <c r="K95" s="116"/>
      <c r="L95" s="116"/>
      <c r="M95" s="116"/>
      <c r="N95" s="116"/>
      <c r="AB95" s="332"/>
      <c r="AG95" s="332"/>
      <c r="AI95" s="31"/>
      <c r="AQ95" s="336"/>
      <c r="AR95" s="336"/>
      <c r="AS95" s="336"/>
      <c r="AT95" s="116"/>
      <c r="AW95" s="116"/>
      <c r="AY95" s="116"/>
      <c r="AZ95" s="116"/>
      <c r="BA95" s="116"/>
      <c r="BB95" s="116"/>
      <c r="BC95" s="116"/>
      <c r="BD95" s="368"/>
    </row>
    <row r="96" spans="1:56" ht="13">
      <c r="A96" s="10" t="str">
        <f t="shared" si="23"/>
        <v/>
      </c>
      <c r="I96" s="116"/>
      <c r="J96" s="116"/>
      <c r="K96" s="116"/>
      <c r="L96" s="116"/>
      <c r="M96" s="116"/>
      <c r="N96" s="116"/>
      <c r="AB96" s="332"/>
      <c r="AG96" s="332"/>
      <c r="AI96" s="31"/>
      <c r="AQ96" s="336"/>
      <c r="AR96" s="336"/>
      <c r="AS96" s="336"/>
      <c r="AT96" s="116"/>
      <c r="AW96" s="116"/>
      <c r="AY96" s="116"/>
      <c r="AZ96" s="116"/>
      <c r="BA96" s="116"/>
      <c r="BB96" s="116"/>
      <c r="BC96" s="116"/>
      <c r="BD96" s="368"/>
    </row>
    <row r="97" spans="1:56" ht="13">
      <c r="A97" s="10" t="str">
        <f t="shared" si="23"/>
        <v/>
      </c>
      <c r="I97" s="116"/>
      <c r="J97" s="116"/>
      <c r="K97" s="116"/>
      <c r="L97" s="116"/>
      <c r="M97" s="116"/>
      <c r="N97" s="116"/>
      <c r="AB97" s="332"/>
      <c r="AG97" s="332"/>
      <c r="AI97" s="31"/>
      <c r="AQ97" s="336"/>
      <c r="AR97" s="336"/>
      <c r="AS97" s="336"/>
      <c r="AT97" s="116"/>
      <c r="AW97" s="116"/>
      <c r="AY97" s="116"/>
      <c r="AZ97" s="116"/>
      <c r="BA97" s="116"/>
      <c r="BB97" s="116"/>
      <c r="BC97" s="116"/>
      <c r="BD97" s="368"/>
    </row>
    <row r="98" spans="1:56" ht="13">
      <c r="A98" s="10" t="str">
        <f t="shared" si="23"/>
        <v/>
      </c>
      <c r="I98" s="116"/>
      <c r="J98" s="116"/>
      <c r="K98" s="116"/>
      <c r="L98" s="116"/>
      <c r="M98" s="116"/>
      <c r="N98" s="116"/>
      <c r="AB98" s="332"/>
      <c r="AG98" s="332"/>
      <c r="AI98" s="31"/>
      <c r="AQ98" s="336"/>
      <c r="AR98" s="336"/>
      <c r="AS98" s="336"/>
      <c r="AT98" s="116"/>
      <c r="AW98" s="116"/>
      <c r="AY98" s="116"/>
      <c r="AZ98" s="116"/>
      <c r="BA98" s="116"/>
      <c r="BB98" s="116"/>
      <c r="BC98" s="116"/>
      <c r="BD98" s="368"/>
    </row>
    <row r="99" spans="1:56" ht="13">
      <c r="A99" s="10" t="str">
        <f t="shared" si="23"/>
        <v/>
      </c>
      <c r="I99" s="116"/>
      <c r="J99" s="116"/>
      <c r="K99" s="116"/>
      <c r="L99" s="116"/>
      <c r="M99" s="116"/>
      <c r="N99" s="116"/>
      <c r="AB99" s="332"/>
      <c r="AG99" s="332"/>
      <c r="AI99" s="31"/>
      <c r="AQ99" s="336"/>
      <c r="AR99" s="336"/>
      <c r="AS99" s="336"/>
      <c r="AT99" s="116"/>
      <c r="AW99" s="116"/>
      <c r="AY99" s="116"/>
      <c r="AZ99" s="116"/>
      <c r="BA99" s="116"/>
      <c r="BB99" s="116"/>
      <c r="BC99" s="116"/>
      <c r="BD99" s="368"/>
    </row>
    <row r="100" spans="1:56" ht="13">
      <c r="A100" s="10" t="str">
        <f t="shared" si="23"/>
        <v/>
      </c>
      <c r="I100" s="116"/>
      <c r="J100" s="116"/>
      <c r="K100" s="116"/>
      <c r="L100" s="116"/>
      <c r="M100" s="116"/>
      <c r="N100" s="116"/>
      <c r="AB100" s="332"/>
      <c r="AG100" s="332"/>
      <c r="AI100" s="31"/>
      <c r="AQ100" s="336"/>
      <c r="AR100" s="336"/>
      <c r="AS100" s="336"/>
      <c r="AT100" s="116"/>
      <c r="AW100" s="116"/>
      <c r="AY100" s="116"/>
      <c r="AZ100" s="116"/>
      <c r="BA100" s="116"/>
      <c r="BB100" s="116"/>
      <c r="BC100" s="116"/>
      <c r="BD100" s="368"/>
    </row>
    <row r="101" spans="1:56" ht="13">
      <c r="A101" s="10" t="str">
        <f t="shared" si="23"/>
        <v/>
      </c>
      <c r="I101" s="116"/>
      <c r="J101" s="116"/>
      <c r="K101" s="116"/>
      <c r="L101" s="116"/>
      <c r="M101" s="116"/>
      <c r="N101" s="116"/>
      <c r="AB101" s="332"/>
      <c r="AG101" s="332"/>
      <c r="AI101" s="31"/>
      <c r="AQ101" s="336"/>
      <c r="AR101" s="336"/>
      <c r="AS101" s="336"/>
      <c r="AT101" s="116"/>
      <c r="AW101" s="116"/>
      <c r="AY101" s="116"/>
      <c r="AZ101" s="116"/>
      <c r="BA101" s="116"/>
      <c r="BB101" s="116"/>
      <c r="BC101" s="116"/>
      <c r="BD101" s="368"/>
    </row>
    <row r="102" spans="1:56" ht="13">
      <c r="A102" s="10" t="str">
        <f t="shared" si="23"/>
        <v/>
      </c>
      <c r="I102" s="116"/>
      <c r="J102" s="116"/>
      <c r="K102" s="116"/>
      <c r="L102" s="116"/>
      <c r="M102" s="116"/>
      <c r="N102" s="116"/>
      <c r="AB102" s="332"/>
      <c r="AG102" s="332"/>
      <c r="AI102" s="31"/>
      <c r="AQ102" s="336"/>
      <c r="AR102" s="336"/>
      <c r="AS102" s="336"/>
      <c r="AT102" s="116"/>
      <c r="AW102" s="116"/>
      <c r="AY102" s="116"/>
      <c r="AZ102" s="116"/>
      <c r="BA102" s="116"/>
      <c r="BB102" s="116"/>
      <c r="BC102" s="116"/>
      <c r="BD102" s="368"/>
    </row>
    <row r="103" spans="1:56" ht="13">
      <c r="A103" s="10" t="str">
        <f t="shared" si="23"/>
        <v/>
      </c>
      <c r="I103" s="116"/>
      <c r="J103" s="116"/>
      <c r="K103" s="116"/>
      <c r="L103" s="116"/>
      <c r="M103" s="116"/>
      <c r="N103" s="116"/>
      <c r="AB103" s="332"/>
      <c r="AG103" s="332"/>
      <c r="AI103" s="31"/>
      <c r="AQ103" s="336"/>
      <c r="AR103" s="336"/>
      <c r="AS103" s="336"/>
      <c r="AT103" s="116"/>
      <c r="AW103" s="116"/>
      <c r="AY103" s="116"/>
      <c r="AZ103" s="116"/>
      <c r="BA103" s="116"/>
      <c r="BB103" s="116"/>
      <c r="BC103" s="116"/>
      <c r="BD103" s="368"/>
    </row>
    <row r="104" spans="1:56" ht="13">
      <c r="A104" s="10" t="str">
        <f t="shared" si="23"/>
        <v/>
      </c>
      <c r="I104" s="116"/>
      <c r="J104" s="116"/>
      <c r="K104" s="116"/>
      <c r="L104" s="116"/>
      <c r="M104" s="116"/>
      <c r="N104" s="116"/>
      <c r="AB104" s="332"/>
      <c r="AG104" s="332"/>
      <c r="AI104" s="31"/>
      <c r="AQ104" s="336"/>
      <c r="AR104" s="336"/>
      <c r="AS104" s="336"/>
      <c r="AT104" s="116"/>
      <c r="AW104" s="116"/>
      <c r="AY104" s="116"/>
      <c r="AZ104" s="116"/>
      <c r="BA104" s="116"/>
      <c r="BB104" s="116"/>
      <c r="BC104" s="116"/>
      <c r="BD104" s="368"/>
    </row>
    <row r="105" spans="1:56" ht="13">
      <c r="A105" s="10" t="str">
        <f t="shared" si="23"/>
        <v/>
      </c>
      <c r="I105" s="116"/>
      <c r="J105" s="116"/>
      <c r="K105" s="116"/>
      <c r="L105" s="116"/>
      <c r="M105" s="116"/>
      <c r="N105" s="116"/>
      <c r="AB105" s="332"/>
      <c r="AG105" s="332"/>
      <c r="AI105" s="31"/>
      <c r="AQ105" s="336"/>
      <c r="AR105" s="336"/>
      <c r="AS105" s="336"/>
      <c r="AT105" s="116"/>
      <c r="AW105" s="116"/>
      <c r="AY105" s="116"/>
      <c r="AZ105" s="116"/>
      <c r="BA105" s="116"/>
      <c r="BB105" s="116"/>
      <c r="BC105" s="116"/>
      <c r="BD105" s="368"/>
    </row>
    <row r="106" spans="1:56" ht="13">
      <c r="A106" s="10" t="str">
        <f t="shared" si="23"/>
        <v/>
      </c>
      <c r="I106" s="116"/>
      <c r="J106" s="116"/>
      <c r="K106" s="116"/>
      <c r="L106" s="116"/>
      <c r="M106" s="116"/>
      <c r="N106" s="116"/>
      <c r="AB106" s="332"/>
      <c r="AQ106" s="336"/>
      <c r="AR106" s="336"/>
      <c r="AS106" s="336"/>
      <c r="BD106" s="332"/>
    </row>
    <row r="107" spans="1:56" ht="13">
      <c r="A107" s="10" t="str">
        <f t="shared" si="23"/>
        <v/>
      </c>
      <c r="I107" s="116"/>
      <c r="J107" s="116"/>
      <c r="K107" s="116"/>
      <c r="L107" s="116"/>
      <c r="M107" s="116"/>
      <c r="N107" s="116"/>
      <c r="AB107" s="332"/>
      <c r="AQ107" s="336"/>
      <c r="AR107" s="336"/>
      <c r="AS107" s="336"/>
      <c r="BD107" s="332"/>
    </row>
    <row r="108" spans="1:56" ht="13">
      <c r="A108" s="10" t="str">
        <f t="shared" si="23"/>
        <v/>
      </c>
      <c r="I108" s="116"/>
      <c r="J108" s="116"/>
      <c r="K108" s="116"/>
      <c r="L108" s="116"/>
      <c r="M108" s="116"/>
      <c r="N108" s="116"/>
      <c r="AB108" s="332"/>
      <c r="AQ108" s="336"/>
      <c r="AR108" s="336"/>
      <c r="AS108" s="336"/>
      <c r="BD108" s="332"/>
    </row>
    <row r="109" spans="1:56" ht="13">
      <c r="A109" s="10" t="str">
        <f t="shared" si="23"/>
        <v/>
      </c>
      <c r="I109" s="116"/>
      <c r="J109" s="116"/>
      <c r="K109" s="116"/>
      <c r="L109" s="116"/>
      <c r="M109" s="116"/>
      <c r="N109" s="116"/>
      <c r="AB109" s="332"/>
      <c r="AQ109" s="336"/>
      <c r="AR109" s="336"/>
      <c r="AS109" s="336"/>
      <c r="BD109" s="332"/>
    </row>
    <row r="110" spans="1:56" ht="13">
      <c r="A110" s="10" t="str">
        <f t="shared" si="23"/>
        <v/>
      </c>
      <c r="I110" s="116"/>
      <c r="J110" s="116"/>
      <c r="K110" s="116"/>
      <c r="L110" s="116"/>
      <c r="M110" s="116"/>
      <c r="N110" s="116"/>
      <c r="AB110" s="332"/>
      <c r="AQ110" s="336"/>
      <c r="AR110" s="336"/>
      <c r="AS110" s="336"/>
      <c r="BD110" s="332"/>
    </row>
    <row r="111" spans="1:56" ht="13">
      <c r="A111" s="10" t="str">
        <f t="shared" si="23"/>
        <v/>
      </c>
      <c r="I111" s="116"/>
      <c r="J111" s="116"/>
      <c r="K111" s="116"/>
      <c r="L111" s="116"/>
      <c r="M111" s="116"/>
      <c r="N111" s="116"/>
      <c r="AB111" s="332"/>
      <c r="AQ111" s="336"/>
      <c r="AR111" s="336"/>
      <c r="AS111" s="336"/>
      <c r="BD111" s="332"/>
    </row>
    <row r="112" spans="1:56" ht="13">
      <c r="A112" s="10" t="str">
        <f t="shared" si="23"/>
        <v/>
      </c>
      <c r="I112" s="116"/>
      <c r="J112" s="116"/>
      <c r="K112" s="116"/>
      <c r="L112" s="116"/>
      <c r="M112" s="116"/>
      <c r="N112" s="116"/>
      <c r="AB112" s="332"/>
      <c r="AQ112" s="336"/>
      <c r="AR112" s="336"/>
      <c r="AS112" s="336"/>
      <c r="BD112" s="332"/>
    </row>
    <row r="113" spans="1:56" ht="13">
      <c r="A113" s="10" t="str">
        <f t="shared" si="23"/>
        <v/>
      </c>
      <c r="I113" s="116"/>
      <c r="J113" s="116"/>
      <c r="K113" s="116"/>
      <c r="L113" s="116"/>
      <c r="M113" s="116"/>
      <c r="N113" s="116"/>
      <c r="AB113" s="332"/>
      <c r="AQ113" s="336"/>
      <c r="AR113" s="336"/>
      <c r="AS113" s="336"/>
      <c r="BD113" s="332"/>
    </row>
    <row r="114" spans="1:56" ht="13">
      <c r="A114" s="10" t="str">
        <f t="shared" si="23"/>
        <v/>
      </c>
      <c r="I114" s="116"/>
      <c r="J114" s="116"/>
      <c r="K114" s="116"/>
      <c r="L114" s="116"/>
      <c r="M114" s="116"/>
      <c r="N114" s="116"/>
      <c r="AB114" s="332"/>
      <c r="AQ114" s="336"/>
      <c r="AR114" s="336"/>
      <c r="AS114" s="336"/>
      <c r="BD114" s="332"/>
    </row>
    <row r="115" spans="1:56" ht="13">
      <c r="A115" s="10" t="str">
        <f t="shared" si="23"/>
        <v/>
      </c>
      <c r="I115" s="116"/>
      <c r="J115" s="116"/>
      <c r="K115" s="116"/>
      <c r="L115" s="116"/>
      <c r="M115" s="116"/>
      <c r="N115" s="116"/>
      <c r="AB115" s="332"/>
      <c r="AQ115" s="336"/>
      <c r="AR115" s="336"/>
      <c r="AS115" s="336"/>
      <c r="BD115" s="332"/>
    </row>
    <row r="116" spans="1:56" ht="13">
      <c r="A116" s="10" t="str">
        <f t="shared" si="23"/>
        <v/>
      </c>
      <c r="I116" s="116"/>
      <c r="J116" s="116"/>
      <c r="K116" s="116"/>
      <c r="L116" s="116"/>
      <c r="M116" s="116"/>
      <c r="N116" s="116"/>
      <c r="AB116" s="332"/>
      <c r="AQ116" s="336"/>
      <c r="AR116" s="336"/>
      <c r="AS116" s="336"/>
      <c r="BD116" s="332"/>
    </row>
    <row r="117" spans="1:56" ht="13">
      <c r="A117" s="10" t="str">
        <f t="shared" si="23"/>
        <v/>
      </c>
      <c r="I117" s="116"/>
      <c r="J117" s="116"/>
      <c r="K117" s="116"/>
      <c r="L117" s="116"/>
      <c r="M117" s="116"/>
      <c r="N117" s="116"/>
      <c r="AB117" s="332"/>
      <c r="AQ117" s="336"/>
      <c r="AR117" s="336"/>
      <c r="AS117" s="336"/>
      <c r="BD117" s="332"/>
    </row>
    <row r="118" spans="1:56" ht="13">
      <c r="A118" s="10" t="str">
        <f t="shared" si="23"/>
        <v/>
      </c>
      <c r="I118" s="116"/>
      <c r="J118" s="116"/>
      <c r="K118" s="116"/>
      <c r="L118" s="116"/>
      <c r="M118" s="116"/>
      <c r="N118" s="116"/>
      <c r="AB118" s="332"/>
      <c r="AQ118" s="336"/>
      <c r="AR118" s="336"/>
      <c r="AS118" s="336"/>
      <c r="BD118" s="332"/>
    </row>
    <row r="119" spans="1:56" ht="13">
      <c r="A119" s="10" t="str">
        <f t="shared" si="23"/>
        <v/>
      </c>
      <c r="I119" s="116"/>
      <c r="J119" s="116"/>
      <c r="K119" s="116"/>
      <c r="L119" s="116"/>
      <c r="M119" s="116"/>
      <c r="N119" s="116"/>
      <c r="AB119" s="332"/>
      <c r="AQ119" s="336"/>
      <c r="AR119" s="336"/>
      <c r="AS119" s="336"/>
      <c r="BD119" s="332"/>
    </row>
    <row r="120" spans="1:56" ht="13">
      <c r="A120" s="10" t="str">
        <f t="shared" si="23"/>
        <v/>
      </c>
      <c r="I120" s="116"/>
      <c r="J120" s="116"/>
      <c r="K120" s="116"/>
      <c r="L120" s="116"/>
      <c r="M120" s="116"/>
      <c r="N120" s="116"/>
      <c r="AB120" s="332"/>
      <c r="AQ120" s="336"/>
      <c r="AR120" s="336"/>
      <c r="AS120" s="336"/>
      <c r="BD120" s="332"/>
    </row>
    <row r="121" spans="1:56" ht="13">
      <c r="A121" s="10" t="str">
        <f t="shared" si="23"/>
        <v/>
      </c>
      <c r="I121" s="116"/>
      <c r="J121" s="116"/>
      <c r="K121" s="116"/>
      <c r="L121" s="116"/>
      <c r="M121" s="116"/>
      <c r="N121" s="116"/>
      <c r="AB121" s="332"/>
      <c r="AQ121" s="336"/>
      <c r="AR121" s="336"/>
      <c r="AS121" s="336"/>
      <c r="BD121" s="332"/>
    </row>
    <row r="122" spans="1:56" ht="13">
      <c r="A122" s="10" t="str">
        <f t="shared" si="23"/>
        <v/>
      </c>
      <c r="I122" s="116"/>
      <c r="J122" s="116"/>
      <c r="K122" s="116"/>
      <c r="L122" s="116"/>
      <c r="M122" s="116"/>
      <c r="N122" s="116"/>
      <c r="AB122" s="332"/>
      <c r="AQ122" s="336"/>
      <c r="AR122" s="336"/>
      <c r="AS122" s="336"/>
      <c r="BD122" s="332"/>
    </row>
    <row r="123" spans="1:56" ht="13">
      <c r="A123" s="10" t="str">
        <f t="shared" si="23"/>
        <v/>
      </c>
      <c r="I123" s="116"/>
      <c r="J123" s="116"/>
      <c r="K123" s="116"/>
      <c r="L123" s="116"/>
      <c r="M123" s="116"/>
      <c r="N123" s="116"/>
      <c r="AB123" s="332"/>
      <c r="AQ123" s="336"/>
      <c r="AR123" s="336"/>
      <c r="AS123" s="336"/>
      <c r="BD123" s="332"/>
    </row>
    <row r="124" spans="1:56" ht="13">
      <c r="A124" s="10" t="str">
        <f t="shared" si="23"/>
        <v/>
      </c>
      <c r="I124" s="116"/>
      <c r="J124" s="116"/>
      <c r="K124" s="116"/>
      <c r="L124" s="116"/>
      <c r="M124" s="116"/>
      <c r="N124" s="116"/>
      <c r="AB124" s="332"/>
      <c r="AQ124" s="336"/>
      <c r="AR124" s="336"/>
      <c r="AS124" s="336"/>
      <c r="BD124" s="332"/>
    </row>
    <row r="125" spans="1:56" ht="13">
      <c r="A125" s="10" t="str">
        <f t="shared" si="23"/>
        <v/>
      </c>
      <c r="I125" s="116"/>
      <c r="J125" s="116"/>
      <c r="K125" s="116"/>
      <c r="L125" s="116"/>
      <c r="M125" s="116"/>
      <c r="N125" s="116"/>
      <c r="AB125" s="332"/>
      <c r="AQ125" s="336"/>
      <c r="AR125" s="336"/>
      <c r="AS125" s="336"/>
      <c r="BD125" s="332"/>
    </row>
    <row r="126" spans="1:56" ht="13">
      <c r="A126" s="10" t="str">
        <f t="shared" si="23"/>
        <v/>
      </c>
      <c r="I126" s="116"/>
      <c r="J126" s="116"/>
      <c r="K126" s="116"/>
      <c r="L126" s="116"/>
      <c r="M126" s="116"/>
      <c r="N126" s="116"/>
      <c r="AB126" s="332"/>
      <c r="AQ126" s="336"/>
      <c r="AR126" s="336"/>
      <c r="AS126" s="336"/>
      <c r="BD126" s="332"/>
    </row>
    <row r="127" spans="1:56" ht="13">
      <c r="A127" s="10" t="str">
        <f t="shared" si="23"/>
        <v/>
      </c>
      <c r="I127" s="116"/>
      <c r="J127" s="116"/>
      <c r="K127" s="116"/>
      <c r="L127" s="116"/>
      <c r="M127" s="116"/>
      <c r="N127" s="116"/>
      <c r="AB127" s="332"/>
      <c r="AQ127" s="336"/>
      <c r="AR127" s="336"/>
      <c r="AS127" s="336"/>
      <c r="BD127" s="332"/>
    </row>
    <row r="128" spans="1:56" ht="13">
      <c r="A128" s="10" t="str">
        <f t="shared" si="23"/>
        <v/>
      </c>
      <c r="I128" s="116"/>
      <c r="J128" s="116"/>
      <c r="K128" s="116"/>
      <c r="L128" s="116"/>
      <c r="M128" s="116"/>
      <c r="N128" s="116"/>
      <c r="AB128" s="332"/>
      <c r="AQ128" s="336"/>
      <c r="AR128" s="336"/>
      <c r="AS128" s="336"/>
      <c r="BD128" s="332"/>
    </row>
    <row r="129" spans="1:56" ht="13">
      <c r="A129" s="10" t="str">
        <f t="shared" si="23"/>
        <v/>
      </c>
      <c r="I129" s="116"/>
      <c r="J129" s="116"/>
      <c r="K129" s="116"/>
      <c r="L129" s="116"/>
      <c r="M129" s="116"/>
      <c r="N129" s="116"/>
      <c r="AB129" s="332"/>
      <c r="AQ129" s="336"/>
      <c r="AR129" s="336"/>
      <c r="AS129" s="336"/>
      <c r="BD129" s="332"/>
    </row>
    <row r="130" spans="1:56" ht="13">
      <c r="A130" s="10" t="str">
        <f t="shared" si="23"/>
        <v/>
      </c>
      <c r="I130" s="116"/>
      <c r="J130" s="116"/>
      <c r="K130" s="116"/>
      <c r="L130" s="116"/>
      <c r="M130" s="116"/>
      <c r="N130" s="116"/>
      <c r="AB130" s="332"/>
      <c r="AQ130" s="336"/>
      <c r="AR130" s="336"/>
      <c r="AS130" s="336"/>
      <c r="BD130" s="332"/>
    </row>
    <row r="131" spans="1:56" ht="13">
      <c r="A131" s="10" t="str">
        <f t="shared" si="23"/>
        <v/>
      </c>
      <c r="I131" s="116"/>
      <c r="J131" s="116"/>
      <c r="K131" s="116"/>
      <c r="L131" s="116"/>
      <c r="M131" s="116"/>
      <c r="N131" s="116"/>
      <c r="AB131" s="332"/>
      <c r="AQ131" s="336"/>
      <c r="AR131" s="336"/>
      <c r="AS131" s="336"/>
      <c r="BD131" s="332"/>
    </row>
    <row r="132" spans="1:56" ht="13">
      <c r="A132" s="10" t="str">
        <f t="shared" si="23"/>
        <v/>
      </c>
      <c r="I132" s="116"/>
      <c r="J132" s="116"/>
      <c r="K132" s="116"/>
      <c r="L132" s="116"/>
      <c r="M132" s="116"/>
      <c r="N132" s="116"/>
      <c r="AB132" s="332"/>
      <c r="AQ132" s="336"/>
      <c r="AR132" s="336"/>
      <c r="AS132" s="336"/>
      <c r="BD132" s="332"/>
    </row>
    <row r="133" spans="1:56" ht="13">
      <c r="A133" s="10" t="str">
        <f t="shared" si="23"/>
        <v/>
      </c>
      <c r="I133" s="116"/>
      <c r="J133" s="116"/>
      <c r="K133" s="116"/>
      <c r="L133" s="116"/>
      <c r="M133" s="116"/>
      <c r="N133" s="116"/>
      <c r="AB133" s="332"/>
      <c r="AQ133" s="336"/>
      <c r="AR133" s="336"/>
      <c r="AS133" s="336"/>
      <c r="BD133" s="332"/>
    </row>
    <row r="134" spans="1:56" ht="13">
      <c r="A134" s="10" t="str">
        <f t="shared" si="23"/>
        <v/>
      </c>
      <c r="I134" s="116"/>
      <c r="J134" s="116"/>
      <c r="K134" s="116"/>
      <c r="L134" s="116"/>
      <c r="M134" s="116"/>
      <c r="N134" s="116"/>
      <c r="AB134" s="332"/>
      <c r="AQ134" s="336"/>
      <c r="AR134" s="336"/>
      <c r="AS134" s="336"/>
      <c r="BD134" s="332"/>
    </row>
    <row r="135" spans="1:56" ht="13">
      <c r="A135" s="10" t="str">
        <f t="shared" si="23"/>
        <v/>
      </c>
      <c r="I135" s="116"/>
      <c r="J135" s="116"/>
      <c r="K135" s="116"/>
      <c r="L135" s="116"/>
      <c r="M135" s="116"/>
      <c r="N135" s="116"/>
      <c r="AB135" s="332"/>
      <c r="AQ135" s="336"/>
      <c r="AR135" s="336"/>
      <c r="AS135" s="336"/>
      <c r="BD135" s="332"/>
    </row>
    <row r="136" spans="1:56" ht="13">
      <c r="A136" s="10" t="str">
        <f t="shared" si="23"/>
        <v/>
      </c>
      <c r="I136" s="116"/>
      <c r="J136" s="116"/>
      <c r="K136" s="116"/>
      <c r="L136" s="116"/>
      <c r="M136" s="116"/>
      <c r="N136" s="116"/>
      <c r="AB136" s="332"/>
      <c r="AQ136" s="336"/>
      <c r="AR136" s="336"/>
      <c r="AS136" s="336"/>
      <c r="BD136" s="332"/>
    </row>
    <row r="137" spans="1:56" ht="13">
      <c r="A137" s="10" t="str">
        <f t="shared" si="23"/>
        <v/>
      </c>
      <c r="I137" s="116"/>
      <c r="J137" s="116"/>
      <c r="K137" s="116"/>
      <c r="L137" s="116"/>
      <c r="M137" s="116"/>
      <c r="N137" s="116"/>
      <c r="AB137" s="332"/>
      <c r="AQ137" s="336"/>
      <c r="AR137" s="336"/>
      <c r="AS137" s="336"/>
      <c r="BD137" s="332"/>
    </row>
    <row r="138" spans="1:56" ht="13">
      <c r="A138" s="10" t="str">
        <f t="shared" si="23"/>
        <v/>
      </c>
      <c r="I138" s="116"/>
      <c r="J138" s="116"/>
      <c r="K138" s="116"/>
      <c r="L138" s="116"/>
      <c r="M138" s="116"/>
      <c r="N138" s="116"/>
      <c r="AB138" s="332"/>
      <c r="AQ138" s="336"/>
      <c r="AR138" s="336"/>
      <c r="AS138" s="336"/>
      <c r="BD138" s="332"/>
    </row>
    <row r="139" spans="1:56" ht="13">
      <c r="A139" s="10" t="str">
        <f t="shared" si="23"/>
        <v/>
      </c>
      <c r="I139" s="116"/>
      <c r="J139" s="116"/>
      <c r="K139" s="116"/>
      <c r="L139" s="116"/>
      <c r="M139" s="116"/>
      <c r="N139" s="116"/>
      <c r="AB139" s="332"/>
      <c r="AQ139" s="336"/>
      <c r="AR139" s="336"/>
      <c r="AS139" s="336"/>
      <c r="BD139" s="332"/>
    </row>
    <row r="140" spans="1:56" ht="13">
      <c r="A140" s="10" t="str">
        <f t="shared" si="23"/>
        <v/>
      </c>
      <c r="I140" s="116"/>
      <c r="J140" s="116"/>
      <c r="K140" s="116"/>
      <c r="L140" s="116"/>
      <c r="M140" s="116"/>
      <c r="N140" s="116"/>
      <c r="AB140" s="332"/>
      <c r="AQ140" s="336"/>
      <c r="AR140" s="336"/>
      <c r="AS140" s="336"/>
      <c r="BD140" s="332"/>
    </row>
    <row r="141" spans="1:56" ht="13">
      <c r="A141" s="10" t="str">
        <f t="shared" si="23"/>
        <v/>
      </c>
      <c r="I141" s="116"/>
      <c r="J141" s="116"/>
      <c r="K141" s="116"/>
      <c r="L141" s="116"/>
      <c r="M141" s="116"/>
      <c r="N141" s="116"/>
      <c r="AB141" s="332"/>
      <c r="AQ141" s="336"/>
      <c r="AR141" s="336"/>
      <c r="AS141" s="336"/>
      <c r="BD141" s="332"/>
    </row>
    <row r="142" spans="1:56" ht="13">
      <c r="A142" s="10" t="str">
        <f t="shared" si="23"/>
        <v/>
      </c>
      <c r="I142" s="116"/>
      <c r="J142" s="116"/>
      <c r="K142" s="116"/>
      <c r="L142" s="116"/>
      <c r="M142" s="116"/>
      <c r="N142" s="116"/>
      <c r="AB142" s="332"/>
      <c r="AQ142" s="336"/>
      <c r="AR142" s="336"/>
      <c r="AS142" s="336"/>
      <c r="BD142" s="332"/>
    </row>
    <row r="143" spans="1:56" ht="13">
      <c r="A143" s="10" t="str">
        <f t="shared" si="23"/>
        <v/>
      </c>
      <c r="I143" s="116"/>
      <c r="J143" s="116"/>
      <c r="K143" s="116"/>
      <c r="L143" s="116"/>
      <c r="M143" s="116"/>
      <c r="N143" s="116"/>
      <c r="AB143" s="332"/>
      <c r="AQ143" s="336"/>
      <c r="AR143" s="336"/>
      <c r="AS143" s="336"/>
      <c r="BD143" s="332"/>
    </row>
    <row r="144" spans="1:56" ht="13">
      <c r="A144" s="10" t="str">
        <f t="shared" si="23"/>
        <v/>
      </c>
      <c r="I144" s="116"/>
      <c r="J144" s="116"/>
      <c r="K144" s="116"/>
      <c r="L144" s="116"/>
      <c r="M144" s="116"/>
      <c r="N144" s="116"/>
      <c r="AB144" s="332"/>
      <c r="AQ144" s="336"/>
      <c r="AR144" s="336"/>
      <c r="AS144" s="336"/>
      <c r="BD144" s="332"/>
    </row>
    <row r="145" spans="1:56" ht="13">
      <c r="A145" s="10" t="str">
        <f t="shared" si="23"/>
        <v/>
      </c>
      <c r="I145" s="116"/>
      <c r="J145" s="116"/>
      <c r="K145" s="116"/>
      <c r="L145" s="116"/>
      <c r="M145" s="116"/>
      <c r="N145" s="116"/>
      <c r="AB145" s="332"/>
      <c r="AQ145" s="336"/>
      <c r="AR145" s="336"/>
      <c r="AS145" s="336"/>
      <c r="BD145" s="332"/>
    </row>
    <row r="146" spans="1:56" ht="13">
      <c r="A146" s="10" t="str">
        <f t="shared" si="23"/>
        <v/>
      </c>
      <c r="I146" s="116"/>
      <c r="J146" s="116"/>
      <c r="K146" s="116"/>
      <c r="L146" s="116"/>
      <c r="M146" s="116"/>
      <c r="N146" s="116"/>
      <c r="AB146" s="332"/>
      <c r="AQ146" s="336"/>
      <c r="AR146" s="336"/>
      <c r="AS146" s="336"/>
      <c r="BD146" s="332"/>
    </row>
    <row r="147" spans="1:56" ht="13">
      <c r="A147" s="10" t="str">
        <f t="shared" si="23"/>
        <v/>
      </c>
      <c r="I147" s="116"/>
      <c r="J147" s="116"/>
      <c r="K147" s="116"/>
      <c r="L147" s="116"/>
      <c r="M147" s="116"/>
      <c r="N147" s="116"/>
      <c r="AB147" s="332"/>
      <c r="AQ147" s="336"/>
      <c r="AR147" s="336"/>
      <c r="AS147" s="336"/>
      <c r="BD147" s="332"/>
    </row>
    <row r="148" spans="1:56" ht="13">
      <c r="A148" s="10" t="str">
        <f t="shared" si="23"/>
        <v/>
      </c>
      <c r="I148" s="116"/>
      <c r="J148" s="116"/>
      <c r="K148" s="116"/>
      <c r="L148" s="116"/>
      <c r="M148" s="116"/>
      <c r="N148" s="116"/>
      <c r="AB148" s="332"/>
      <c r="AQ148" s="336"/>
      <c r="AR148" s="336"/>
      <c r="AS148" s="336"/>
      <c r="BD148" s="332"/>
    </row>
    <row r="149" spans="1:56" ht="13">
      <c r="A149" s="10" t="str">
        <f t="shared" si="23"/>
        <v/>
      </c>
      <c r="I149" s="116"/>
      <c r="J149" s="116"/>
      <c r="K149" s="116"/>
      <c r="L149" s="116"/>
      <c r="M149" s="116"/>
      <c r="N149" s="116"/>
      <c r="AB149" s="332"/>
      <c r="AQ149" s="336"/>
      <c r="AR149" s="336"/>
      <c r="AS149" s="336"/>
      <c r="BD149" s="332"/>
    </row>
    <row r="150" spans="1:56" ht="13">
      <c r="A150" s="10" t="str">
        <f t="shared" si="23"/>
        <v/>
      </c>
      <c r="I150" s="116"/>
      <c r="J150" s="116"/>
      <c r="K150" s="116"/>
      <c r="L150" s="116"/>
      <c r="M150" s="116"/>
      <c r="N150" s="116"/>
      <c r="AB150" s="332"/>
      <c r="AQ150" s="336"/>
      <c r="AR150" s="336"/>
      <c r="AS150" s="336"/>
      <c r="BD150" s="332"/>
    </row>
    <row r="151" spans="1:56" ht="13">
      <c r="A151" s="10" t="str">
        <f t="shared" si="23"/>
        <v/>
      </c>
      <c r="I151" s="116"/>
      <c r="J151" s="116"/>
      <c r="K151" s="116"/>
      <c r="L151" s="116"/>
      <c r="M151" s="116"/>
      <c r="N151" s="116"/>
      <c r="AB151" s="332"/>
      <c r="AQ151" s="336"/>
      <c r="AR151" s="336"/>
      <c r="AS151" s="336"/>
      <c r="BD151" s="332"/>
    </row>
    <row r="152" spans="1:56" ht="13">
      <c r="A152" s="10" t="str">
        <f t="shared" si="23"/>
        <v/>
      </c>
      <c r="I152" s="116"/>
      <c r="J152" s="116"/>
      <c r="K152" s="116"/>
      <c r="L152" s="116"/>
      <c r="M152" s="116"/>
      <c r="N152" s="116"/>
      <c r="AB152" s="332"/>
      <c r="AQ152" s="336"/>
      <c r="AR152" s="336"/>
      <c r="AS152" s="336"/>
      <c r="BD152" s="332"/>
    </row>
    <row r="153" spans="1:56" ht="13">
      <c r="A153" s="10" t="str">
        <f t="shared" si="23"/>
        <v/>
      </c>
      <c r="I153" s="116"/>
      <c r="J153" s="116"/>
      <c r="K153" s="116"/>
      <c r="L153" s="116"/>
      <c r="M153" s="116"/>
      <c r="N153" s="116"/>
      <c r="AB153" s="332"/>
      <c r="AQ153" s="336"/>
      <c r="AR153" s="336"/>
      <c r="AS153" s="336"/>
      <c r="BD153" s="332"/>
    </row>
    <row r="154" spans="1:56" ht="13">
      <c r="A154" s="10" t="str">
        <f t="shared" si="23"/>
        <v/>
      </c>
      <c r="I154" s="116"/>
      <c r="J154" s="116"/>
      <c r="K154" s="116"/>
      <c r="L154" s="116"/>
      <c r="M154" s="116"/>
      <c r="N154" s="116"/>
      <c r="AB154" s="332"/>
      <c r="AQ154" s="336"/>
      <c r="AR154" s="336"/>
      <c r="AS154" s="336"/>
      <c r="BD154" s="332"/>
    </row>
    <row r="155" spans="1:56" ht="13">
      <c r="A155" s="10" t="str">
        <f t="shared" si="23"/>
        <v/>
      </c>
      <c r="I155" s="116"/>
      <c r="J155" s="116"/>
      <c r="K155" s="116"/>
      <c r="L155" s="116"/>
      <c r="M155" s="116"/>
      <c r="N155" s="116"/>
      <c r="AB155" s="332"/>
      <c r="AQ155" s="336"/>
      <c r="AR155" s="336"/>
      <c r="AS155" s="336"/>
      <c r="BD155" s="332"/>
    </row>
    <row r="156" spans="1:56" ht="13">
      <c r="A156" s="10" t="str">
        <f t="shared" si="23"/>
        <v/>
      </c>
      <c r="I156" s="116"/>
      <c r="J156" s="116"/>
      <c r="K156" s="116"/>
      <c r="L156" s="116"/>
      <c r="M156" s="116"/>
      <c r="N156" s="116"/>
      <c r="AB156" s="332"/>
      <c r="AQ156" s="336"/>
      <c r="AR156" s="336"/>
      <c r="AS156" s="336"/>
      <c r="BD156" s="332"/>
    </row>
    <row r="157" spans="1:56" ht="13">
      <c r="A157" s="10" t="str">
        <f t="shared" si="23"/>
        <v/>
      </c>
      <c r="I157" s="116"/>
      <c r="J157" s="116"/>
      <c r="K157" s="116"/>
      <c r="L157" s="116"/>
      <c r="M157" s="116"/>
      <c r="N157" s="116"/>
      <c r="AB157" s="332"/>
      <c r="AQ157" s="336"/>
      <c r="AR157" s="336"/>
      <c r="AS157" s="336"/>
      <c r="BD157" s="332"/>
    </row>
    <row r="158" spans="1:56" ht="13">
      <c r="A158" s="10" t="str">
        <f t="shared" si="23"/>
        <v/>
      </c>
      <c r="I158" s="116"/>
      <c r="J158" s="116"/>
      <c r="K158" s="116"/>
      <c r="L158" s="116"/>
      <c r="M158" s="116"/>
      <c r="N158" s="116"/>
      <c r="AB158" s="332"/>
      <c r="AQ158" s="336"/>
      <c r="AR158" s="336"/>
      <c r="AS158" s="336"/>
      <c r="BD158" s="332"/>
    </row>
    <row r="159" spans="1:56" ht="13">
      <c r="A159" s="10" t="str">
        <f t="shared" si="23"/>
        <v/>
      </c>
      <c r="I159" s="116"/>
      <c r="J159" s="116"/>
      <c r="K159" s="116"/>
      <c r="L159" s="116"/>
      <c r="M159" s="116"/>
      <c r="N159" s="116"/>
      <c r="AB159" s="332"/>
      <c r="AQ159" s="336"/>
      <c r="AR159" s="336"/>
      <c r="AS159" s="336"/>
      <c r="BD159" s="332"/>
    </row>
    <row r="160" spans="1:56" ht="13">
      <c r="A160" s="10" t="str">
        <f t="shared" si="23"/>
        <v/>
      </c>
      <c r="I160" s="116"/>
      <c r="J160" s="116"/>
      <c r="K160" s="116"/>
      <c r="L160" s="116"/>
      <c r="M160" s="116"/>
      <c r="N160" s="116"/>
      <c r="AB160" s="332"/>
      <c r="AQ160" s="336"/>
      <c r="AR160" s="336"/>
      <c r="AS160" s="336"/>
      <c r="BD160" s="332"/>
    </row>
    <row r="161" spans="1:56" ht="13">
      <c r="A161" s="10" t="str">
        <f t="shared" si="23"/>
        <v/>
      </c>
      <c r="I161" s="116"/>
      <c r="J161" s="116"/>
      <c r="K161" s="116"/>
      <c r="L161" s="116"/>
      <c r="M161" s="116"/>
      <c r="N161" s="116"/>
      <c r="AB161" s="332"/>
      <c r="AQ161" s="336"/>
      <c r="AR161" s="336"/>
      <c r="AS161" s="336"/>
      <c r="BD161" s="332"/>
    </row>
    <row r="162" spans="1:56" ht="13">
      <c r="A162" s="10" t="str">
        <f t="shared" si="23"/>
        <v/>
      </c>
      <c r="I162" s="116"/>
      <c r="J162" s="116"/>
      <c r="K162" s="116"/>
      <c r="L162" s="116"/>
      <c r="M162" s="116"/>
      <c r="N162" s="116"/>
      <c r="AB162" s="332"/>
      <c r="AQ162" s="336"/>
      <c r="AR162" s="336"/>
      <c r="AS162" s="336"/>
      <c r="BD162" s="332"/>
    </row>
    <row r="163" spans="1:56" ht="13">
      <c r="A163" s="10" t="str">
        <f t="shared" si="23"/>
        <v/>
      </c>
      <c r="I163" s="116"/>
      <c r="J163" s="116"/>
      <c r="K163" s="116"/>
      <c r="L163" s="116"/>
      <c r="M163" s="116"/>
      <c r="N163" s="116"/>
      <c r="AB163" s="332"/>
      <c r="AQ163" s="336"/>
      <c r="AR163" s="336"/>
      <c r="AS163" s="336"/>
      <c r="BD163" s="332"/>
    </row>
    <row r="164" spans="1:56" ht="13">
      <c r="A164" s="10" t="str">
        <f t="shared" si="23"/>
        <v/>
      </c>
      <c r="I164" s="116"/>
      <c r="J164" s="116"/>
      <c r="K164" s="116"/>
      <c r="L164" s="116"/>
      <c r="M164" s="116"/>
      <c r="N164" s="116"/>
      <c r="AB164" s="332"/>
      <c r="AQ164" s="336"/>
      <c r="AR164" s="336"/>
      <c r="AS164" s="336"/>
      <c r="BD164" s="332"/>
    </row>
    <row r="165" spans="1:56" ht="13">
      <c r="A165" s="10" t="str">
        <f t="shared" si="23"/>
        <v/>
      </c>
      <c r="I165" s="116"/>
      <c r="J165" s="116"/>
      <c r="K165" s="116"/>
      <c r="L165" s="116"/>
      <c r="M165" s="116"/>
      <c r="N165" s="116"/>
      <c r="AB165" s="332"/>
      <c r="AQ165" s="336"/>
      <c r="AR165" s="336"/>
      <c r="AS165" s="336"/>
      <c r="BD165" s="332"/>
    </row>
    <row r="166" spans="1:56" ht="13">
      <c r="A166" s="10" t="str">
        <f t="shared" si="23"/>
        <v/>
      </c>
      <c r="I166" s="116"/>
      <c r="J166" s="116"/>
      <c r="K166" s="116"/>
      <c r="L166" s="116"/>
      <c r="M166" s="116"/>
      <c r="N166" s="116"/>
      <c r="AB166" s="332"/>
      <c r="AQ166" s="336"/>
      <c r="AR166" s="336"/>
      <c r="AS166" s="336"/>
      <c r="BD166" s="332"/>
    </row>
    <row r="167" spans="1:56" ht="13">
      <c r="A167" s="10" t="str">
        <f t="shared" si="23"/>
        <v/>
      </c>
      <c r="I167" s="116"/>
      <c r="J167" s="116"/>
      <c r="K167" s="116"/>
      <c r="L167" s="116"/>
      <c r="M167" s="116"/>
      <c r="N167" s="116"/>
      <c r="AB167" s="332"/>
      <c r="AQ167" s="336"/>
      <c r="AR167" s="336"/>
      <c r="AS167" s="336"/>
      <c r="BD167" s="332"/>
    </row>
    <row r="168" spans="1:56" ht="13">
      <c r="A168" s="10" t="str">
        <f t="shared" si="23"/>
        <v/>
      </c>
      <c r="I168" s="116"/>
      <c r="J168" s="116"/>
      <c r="K168" s="116"/>
      <c r="L168" s="116"/>
      <c r="M168" s="116"/>
      <c r="N168" s="116"/>
      <c r="AB168" s="332"/>
      <c r="AQ168" s="336"/>
      <c r="AR168" s="336"/>
      <c r="AS168" s="336"/>
      <c r="BD168" s="332"/>
    </row>
    <row r="169" spans="1:56" ht="13">
      <c r="A169" s="10" t="str">
        <f t="shared" si="23"/>
        <v/>
      </c>
      <c r="I169" s="116"/>
      <c r="J169" s="116"/>
      <c r="K169" s="116"/>
      <c r="L169" s="116"/>
      <c r="M169" s="116"/>
      <c r="N169" s="116"/>
      <c r="AB169" s="332"/>
      <c r="AQ169" s="336"/>
      <c r="AR169" s="336"/>
      <c r="AS169" s="336"/>
      <c r="BD169" s="332"/>
    </row>
    <row r="170" spans="1:56" ht="13">
      <c r="A170" s="10" t="str">
        <f t="shared" si="23"/>
        <v/>
      </c>
      <c r="I170" s="116"/>
      <c r="J170" s="116"/>
      <c r="K170" s="116"/>
      <c r="L170" s="116"/>
      <c r="M170" s="116"/>
      <c r="N170" s="116"/>
      <c r="AB170" s="332"/>
      <c r="AQ170" s="336"/>
      <c r="AR170" s="336"/>
      <c r="AS170" s="336"/>
      <c r="BD170" s="332"/>
    </row>
    <row r="171" spans="1:56" ht="13">
      <c r="A171" s="10" t="str">
        <f t="shared" si="23"/>
        <v/>
      </c>
      <c r="I171" s="116"/>
      <c r="J171" s="116"/>
      <c r="K171" s="116"/>
      <c r="L171" s="116"/>
      <c r="M171" s="116"/>
      <c r="N171" s="116"/>
      <c r="AB171" s="332"/>
      <c r="AQ171" s="336"/>
      <c r="AR171" s="336"/>
      <c r="AS171" s="336"/>
      <c r="BD171" s="332"/>
    </row>
    <row r="172" spans="1:56" ht="13">
      <c r="A172" s="10" t="str">
        <f t="shared" si="23"/>
        <v/>
      </c>
      <c r="I172" s="116"/>
      <c r="J172" s="116"/>
      <c r="K172" s="116"/>
      <c r="L172" s="116"/>
      <c r="M172" s="116"/>
      <c r="N172" s="116"/>
      <c r="AB172" s="332"/>
      <c r="AQ172" s="336"/>
      <c r="AR172" s="336"/>
      <c r="AS172" s="336"/>
      <c r="BD172" s="332"/>
    </row>
    <row r="173" spans="1:56" ht="13">
      <c r="A173" s="10" t="str">
        <f t="shared" si="23"/>
        <v/>
      </c>
      <c r="I173" s="116"/>
      <c r="J173" s="116"/>
      <c r="K173" s="116"/>
      <c r="L173" s="116"/>
      <c r="M173" s="116"/>
      <c r="N173" s="116"/>
      <c r="AB173" s="332"/>
      <c r="AQ173" s="336"/>
      <c r="AR173" s="336"/>
      <c r="AS173" s="336"/>
      <c r="BD173" s="332"/>
    </row>
    <row r="174" spans="1:56" ht="13">
      <c r="A174" s="10" t="str">
        <f t="shared" si="23"/>
        <v/>
      </c>
      <c r="I174" s="116"/>
      <c r="J174" s="116"/>
      <c r="K174" s="116"/>
      <c r="L174" s="116"/>
      <c r="M174" s="116"/>
      <c r="N174" s="116"/>
      <c r="AB174" s="332"/>
      <c r="AQ174" s="336"/>
      <c r="AR174" s="336"/>
      <c r="AS174" s="336"/>
      <c r="BD174" s="332"/>
    </row>
    <row r="175" spans="1:56" ht="13">
      <c r="A175" s="10" t="str">
        <f t="shared" si="23"/>
        <v/>
      </c>
      <c r="I175" s="116"/>
      <c r="J175" s="116"/>
      <c r="K175" s="116"/>
      <c r="L175" s="116"/>
      <c r="M175" s="116"/>
      <c r="N175" s="116"/>
      <c r="AB175" s="332"/>
      <c r="AQ175" s="336"/>
      <c r="AR175" s="336"/>
      <c r="AS175" s="336"/>
      <c r="BD175" s="332"/>
    </row>
    <row r="176" spans="1:56" ht="13">
      <c r="A176" s="10" t="str">
        <f t="shared" si="23"/>
        <v/>
      </c>
      <c r="I176" s="116"/>
      <c r="J176" s="116"/>
      <c r="K176" s="116"/>
      <c r="L176" s="116"/>
      <c r="M176" s="116"/>
      <c r="N176" s="116"/>
      <c r="AB176" s="332"/>
      <c r="AQ176" s="336"/>
      <c r="AR176" s="336"/>
      <c r="AS176" s="336"/>
      <c r="BD176" s="332"/>
    </row>
    <row r="177" spans="1:56" ht="13">
      <c r="A177" s="10" t="str">
        <f t="shared" si="23"/>
        <v/>
      </c>
      <c r="I177" s="116"/>
      <c r="J177" s="116"/>
      <c r="K177" s="116"/>
      <c r="L177" s="116"/>
      <c r="M177" s="116"/>
      <c r="N177" s="116"/>
      <c r="AB177" s="332"/>
      <c r="AQ177" s="336"/>
      <c r="AR177" s="336"/>
      <c r="AS177" s="336"/>
      <c r="BD177" s="332"/>
    </row>
    <row r="178" spans="1:56" ht="13">
      <c r="A178" s="10" t="str">
        <f t="shared" si="23"/>
        <v/>
      </c>
      <c r="I178" s="116"/>
      <c r="J178" s="116"/>
      <c r="K178" s="116"/>
      <c r="L178" s="116"/>
      <c r="M178" s="116"/>
      <c r="N178" s="116"/>
      <c r="AB178" s="332"/>
      <c r="AQ178" s="336"/>
      <c r="AR178" s="336"/>
      <c r="AS178" s="336"/>
      <c r="BD178" s="332"/>
    </row>
    <row r="179" spans="1:56" ht="13">
      <c r="A179" s="10" t="str">
        <f t="shared" si="23"/>
        <v/>
      </c>
      <c r="I179" s="116"/>
      <c r="J179" s="116"/>
      <c r="K179" s="116"/>
      <c r="L179" s="116"/>
      <c r="M179" s="116"/>
      <c r="N179" s="116"/>
      <c r="AB179" s="332"/>
      <c r="AQ179" s="336"/>
      <c r="AR179" s="336"/>
      <c r="AS179" s="336"/>
      <c r="BD179" s="332"/>
    </row>
    <row r="180" spans="1:56" ht="13">
      <c r="A180" s="10" t="str">
        <f t="shared" si="23"/>
        <v/>
      </c>
      <c r="I180" s="116"/>
      <c r="J180" s="116"/>
      <c r="K180" s="116"/>
      <c r="L180" s="116"/>
      <c r="M180" s="116"/>
      <c r="N180" s="116"/>
      <c r="AB180" s="332"/>
      <c r="AQ180" s="336"/>
      <c r="AR180" s="336"/>
      <c r="AS180" s="336"/>
      <c r="BD180" s="332"/>
    </row>
    <row r="181" spans="1:56" ht="13">
      <c r="A181" s="10" t="str">
        <f t="shared" si="23"/>
        <v/>
      </c>
      <c r="I181" s="116"/>
      <c r="J181" s="116"/>
      <c r="K181" s="116"/>
      <c r="L181" s="116"/>
      <c r="M181" s="116"/>
      <c r="N181" s="116"/>
      <c r="AB181" s="332"/>
      <c r="AQ181" s="336"/>
      <c r="AR181" s="336"/>
      <c r="AS181" s="336"/>
      <c r="BD181" s="332"/>
    </row>
    <row r="182" spans="1:56" ht="13">
      <c r="A182" s="10" t="str">
        <f t="shared" si="23"/>
        <v/>
      </c>
      <c r="I182" s="116"/>
      <c r="J182" s="116"/>
      <c r="K182" s="116"/>
      <c r="L182" s="116"/>
      <c r="M182" s="116"/>
      <c r="N182" s="116"/>
      <c r="AB182" s="332"/>
      <c r="AQ182" s="336"/>
      <c r="AR182" s="336"/>
      <c r="AS182" s="336"/>
      <c r="BD182" s="332"/>
    </row>
    <row r="183" spans="1:56" ht="13">
      <c r="A183" s="10" t="str">
        <f t="shared" si="23"/>
        <v/>
      </c>
      <c r="I183" s="116"/>
      <c r="J183" s="116"/>
      <c r="K183" s="116"/>
      <c r="L183" s="116"/>
      <c r="M183" s="116"/>
      <c r="N183" s="116"/>
      <c r="AB183" s="332"/>
      <c r="AQ183" s="336"/>
      <c r="AR183" s="336"/>
      <c r="AS183" s="336"/>
      <c r="BD183" s="332"/>
    </row>
    <row r="184" spans="1:56" ht="13">
      <c r="A184" s="10" t="str">
        <f t="shared" si="23"/>
        <v/>
      </c>
      <c r="I184" s="116"/>
      <c r="J184" s="116"/>
      <c r="K184" s="116"/>
      <c r="L184" s="116"/>
      <c r="M184" s="116"/>
      <c r="N184" s="116"/>
      <c r="AB184" s="332"/>
      <c r="AQ184" s="336"/>
      <c r="AR184" s="336"/>
      <c r="AS184" s="336"/>
      <c r="BD184" s="332"/>
    </row>
    <row r="185" spans="1:56" ht="13">
      <c r="A185" s="10" t="str">
        <f t="shared" si="23"/>
        <v/>
      </c>
      <c r="I185" s="116"/>
      <c r="J185" s="116"/>
      <c r="K185" s="116"/>
      <c r="L185" s="116"/>
      <c r="M185" s="116"/>
      <c r="N185" s="116"/>
      <c r="AB185" s="332"/>
      <c r="AQ185" s="336"/>
      <c r="AR185" s="336"/>
      <c r="AS185" s="336"/>
      <c r="BD185" s="332"/>
    </row>
    <row r="186" spans="1:56" ht="13">
      <c r="A186" s="10" t="str">
        <f t="shared" si="23"/>
        <v/>
      </c>
      <c r="I186" s="116"/>
      <c r="J186" s="116"/>
      <c r="K186" s="116"/>
      <c r="L186" s="116"/>
      <c r="M186" s="116"/>
      <c r="N186" s="116"/>
      <c r="AB186" s="332"/>
      <c r="AQ186" s="336"/>
      <c r="AR186" s="336"/>
      <c r="AS186" s="336"/>
      <c r="BD186" s="332"/>
    </row>
    <row r="187" spans="1:56" ht="13">
      <c r="A187" s="10" t="str">
        <f t="shared" si="23"/>
        <v/>
      </c>
      <c r="I187" s="116"/>
      <c r="J187" s="116"/>
      <c r="K187" s="116"/>
      <c r="L187" s="116"/>
      <c r="M187" s="116"/>
      <c r="N187" s="116"/>
      <c r="AB187" s="332"/>
      <c r="AQ187" s="336"/>
      <c r="AR187" s="336"/>
      <c r="AS187" s="336"/>
      <c r="BD187" s="332"/>
    </row>
    <row r="188" spans="1:56" ht="13">
      <c r="A188" s="10" t="str">
        <f t="shared" si="23"/>
        <v/>
      </c>
      <c r="I188" s="116"/>
      <c r="J188" s="116"/>
      <c r="K188" s="116"/>
      <c r="L188" s="116"/>
      <c r="M188" s="116"/>
      <c r="N188" s="116"/>
      <c r="AB188" s="332"/>
      <c r="AQ188" s="336"/>
      <c r="AR188" s="336"/>
      <c r="AS188" s="336"/>
      <c r="BD188" s="332"/>
    </row>
    <row r="189" spans="1:56" ht="13">
      <c r="A189" s="10" t="str">
        <f t="shared" si="23"/>
        <v/>
      </c>
      <c r="I189" s="116"/>
      <c r="J189" s="116"/>
      <c r="K189" s="116"/>
      <c r="L189" s="116"/>
      <c r="M189" s="116"/>
      <c r="N189" s="116"/>
      <c r="AB189" s="332"/>
      <c r="AQ189" s="336"/>
      <c r="AR189" s="336"/>
      <c r="AS189" s="336"/>
      <c r="BD189" s="332"/>
    </row>
    <row r="190" spans="1:56" ht="13">
      <c r="A190" s="10" t="str">
        <f t="shared" si="23"/>
        <v/>
      </c>
      <c r="I190" s="116"/>
      <c r="J190" s="116"/>
      <c r="K190" s="116"/>
      <c r="L190" s="116"/>
      <c r="M190" s="116"/>
      <c r="N190" s="116"/>
      <c r="AB190" s="332"/>
      <c r="AQ190" s="336"/>
      <c r="AR190" s="336"/>
      <c r="AS190" s="336"/>
      <c r="BD190" s="332"/>
    </row>
    <row r="191" spans="1:56" ht="13">
      <c r="A191" s="10" t="str">
        <f t="shared" si="23"/>
        <v/>
      </c>
      <c r="I191" s="116"/>
      <c r="J191" s="116"/>
      <c r="K191" s="116"/>
      <c r="L191" s="116"/>
      <c r="M191" s="116"/>
      <c r="N191" s="116"/>
      <c r="AB191" s="332"/>
      <c r="AQ191" s="336"/>
      <c r="AR191" s="336"/>
      <c r="AS191" s="336"/>
      <c r="BD191" s="332"/>
    </row>
    <row r="192" spans="1:56" ht="13">
      <c r="A192" s="10" t="str">
        <f t="shared" si="23"/>
        <v/>
      </c>
      <c r="I192" s="116"/>
      <c r="J192" s="116"/>
      <c r="K192" s="116"/>
      <c r="L192" s="116"/>
      <c r="M192" s="116"/>
      <c r="N192" s="116"/>
      <c r="AB192" s="332"/>
      <c r="AQ192" s="336"/>
      <c r="AR192" s="336"/>
      <c r="AS192" s="336"/>
      <c r="BD192" s="332"/>
    </row>
    <row r="193" spans="1:56" ht="13">
      <c r="A193" s="10" t="str">
        <f t="shared" si="23"/>
        <v/>
      </c>
      <c r="I193" s="116"/>
      <c r="J193" s="116"/>
      <c r="K193" s="116"/>
      <c r="L193" s="116"/>
      <c r="M193" s="116"/>
      <c r="N193" s="116"/>
      <c r="AB193" s="332"/>
      <c r="AQ193" s="336"/>
      <c r="AR193" s="336"/>
      <c r="AS193" s="336"/>
      <c r="BD193" s="332"/>
    </row>
    <row r="194" spans="1:56" ht="13">
      <c r="A194" s="10" t="str">
        <f t="shared" si="23"/>
        <v/>
      </c>
      <c r="I194" s="116"/>
      <c r="J194" s="116"/>
      <c r="K194" s="116"/>
      <c r="L194" s="116"/>
      <c r="M194" s="116"/>
      <c r="N194" s="116"/>
      <c r="AB194" s="332"/>
      <c r="AQ194" s="336"/>
      <c r="AR194" s="336"/>
      <c r="AS194" s="336"/>
      <c r="BD194" s="332"/>
    </row>
    <row r="195" spans="1:56" ht="13">
      <c r="A195" s="10" t="str">
        <f t="shared" si="23"/>
        <v/>
      </c>
      <c r="I195" s="116"/>
      <c r="J195" s="116"/>
      <c r="K195" s="116"/>
      <c r="L195" s="116"/>
      <c r="M195" s="116"/>
      <c r="N195" s="116"/>
      <c r="AB195" s="332"/>
      <c r="AQ195" s="336"/>
      <c r="AR195" s="336"/>
      <c r="AS195" s="336"/>
      <c r="BD195" s="332"/>
    </row>
    <row r="196" spans="1:56" ht="13">
      <c r="A196" s="10" t="str">
        <f t="shared" si="23"/>
        <v/>
      </c>
      <c r="I196" s="116"/>
      <c r="J196" s="116"/>
      <c r="K196" s="116"/>
      <c r="L196" s="116"/>
      <c r="M196" s="116"/>
      <c r="N196" s="116"/>
      <c r="AB196" s="332"/>
      <c r="AQ196" s="336"/>
      <c r="AR196" s="336"/>
      <c r="AS196" s="336"/>
      <c r="BD196" s="332"/>
    </row>
    <row r="197" spans="1:56" ht="13">
      <c r="A197" s="10" t="str">
        <f t="shared" si="23"/>
        <v/>
      </c>
      <c r="I197" s="116"/>
      <c r="J197" s="116"/>
      <c r="K197" s="116"/>
      <c r="L197" s="116"/>
      <c r="M197" s="116"/>
      <c r="N197" s="116"/>
      <c r="AB197" s="332"/>
      <c r="AQ197" s="336"/>
      <c r="AR197" s="336"/>
      <c r="AS197" s="336"/>
      <c r="BD197" s="332"/>
    </row>
    <row r="198" spans="1:56" ht="13">
      <c r="A198" s="10" t="str">
        <f t="shared" si="23"/>
        <v/>
      </c>
      <c r="I198" s="116"/>
      <c r="J198" s="116"/>
      <c r="K198" s="116"/>
      <c r="L198" s="116"/>
      <c r="M198" s="116"/>
      <c r="N198" s="116"/>
      <c r="AB198" s="332"/>
      <c r="AQ198" s="336"/>
      <c r="AR198" s="336"/>
      <c r="AS198" s="336"/>
      <c r="BD198" s="332"/>
    </row>
    <row r="199" spans="1:56" ht="13">
      <c r="A199" s="10" t="str">
        <f t="shared" si="23"/>
        <v/>
      </c>
      <c r="I199" s="116"/>
      <c r="J199" s="116"/>
      <c r="K199" s="116"/>
      <c r="L199" s="116"/>
      <c r="M199" s="116"/>
      <c r="N199" s="116"/>
      <c r="AB199" s="332"/>
      <c r="AQ199" s="336"/>
      <c r="AR199" s="336"/>
      <c r="AS199" s="336"/>
      <c r="BD199" s="332"/>
    </row>
    <row r="200" spans="1:56" ht="13">
      <c r="A200" s="10" t="str">
        <f t="shared" si="23"/>
        <v/>
      </c>
      <c r="I200" s="116"/>
      <c r="J200" s="116"/>
      <c r="K200" s="116"/>
      <c r="L200" s="116"/>
      <c r="M200" s="116"/>
      <c r="N200" s="116"/>
      <c r="AB200" s="332"/>
      <c r="AQ200" s="336"/>
      <c r="AR200" s="336"/>
      <c r="AS200" s="336"/>
      <c r="BD200" s="332"/>
    </row>
    <row r="201" spans="1:56" ht="13">
      <c r="A201" s="10" t="str">
        <f t="shared" si="23"/>
        <v/>
      </c>
      <c r="I201" s="116"/>
      <c r="J201" s="116"/>
      <c r="K201" s="116"/>
      <c r="L201" s="116"/>
      <c r="M201" s="116"/>
      <c r="N201" s="116"/>
      <c r="AB201" s="332"/>
      <c r="AQ201" s="336"/>
      <c r="AR201" s="336"/>
      <c r="AS201" s="336"/>
      <c r="BD201" s="332"/>
    </row>
    <row r="202" spans="1:56" ht="13">
      <c r="A202" s="10" t="str">
        <f t="shared" si="23"/>
        <v/>
      </c>
      <c r="I202" s="116"/>
      <c r="J202" s="116"/>
      <c r="K202" s="116"/>
      <c r="L202" s="116"/>
      <c r="M202" s="116"/>
      <c r="N202" s="116"/>
      <c r="AB202" s="332"/>
      <c r="AQ202" s="336"/>
      <c r="AR202" s="336"/>
      <c r="AS202" s="336"/>
      <c r="BD202" s="332"/>
    </row>
    <row r="203" spans="1:56" ht="13">
      <c r="A203" s="10" t="str">
        <f t="shared" si="23"/>
        <v/>
      </c>
      <c r="I203" s="116"/>
      <c r="J203" s="116"/>
      <c r="K203" s="116"/>
      <c r="L203" s="116"/>
      <c r="M203" s="116"/>
      <c r="N203" s="116"/>
      <c r="AB203" s="332"/>
      <c r="AQ203" s="336"/>
      <c r="AR203" s="336"/>
      <c r="AS203" s="336"/>
      <c r="BD203" s="332"/>
    </row>
    <row r="204" spans="1:56" ht="13">
      <c r="A204" s="10" t="str">
        <f t="shared" si="23"/>
        <v/>
      </c>
      <c r="I204" s="116"/>
      <c r="J204" s="116"/>
      <c r="K204" s="116"/>
      <c r="L204" s="116"/>
      <c r="M204" s="116"/>
      <c r="N204" s="116"/>
      <c r="AB204" s="332"/>
      <c r="AQ204" s="336"/>
      <c r="AR204" s="336"/>
      <c r="AS204" s="336"/>
      <c r="BD204" s="332"/>
    </row>
    <row r="205" spans="1:56" ht="13">
      <c r="A205" s="10" t="str">
        <f t="shared" si="23"/>
        <v/>
      </c>
      <c r="I205" s="116"/>
      <c r="J205" s="116"/>
      <c r="K205" s="116"/>
      <c r="L205" s="116"/>
      <c r="M205" s="116"/>
      <c r="N205" s="116"/>
      <c r="AB205" s="332"/>
      <c r="AQ205" s="336"/>
      <c r="AR205" s="336"/>
      <c r="AS205" s="336"/>
      <c r="BD205" s="332"/>
    </row>
    <row r="206" spans="1:56" ht="13">
      <c r="A206" s="10" t="str">
        <f t="shared" si="23"/>
        <v/>
      </c>
      <c r="I206" s="116"/>
      <c r="J206" s="116"/>
      <c r="K206" s="116"/>
      <c r="L206" s="116"/>
      <c r="M206" s="116"/>
      <c r="N206" s="116"/>
      <c r="AB206" s="332"/>
      <c r="AQ206" s="336"/>
      <c r="AR206" s="336"/>
      <c r="AS206" s="336"/>
      <c r="BD206" s="332"/>
    </row>
    <row r="207" spans="1:56" ht="13">
      <c r="A207" s="10" t="str">
        <f t="shared" si="23"/>
        <v/>
      </c>
      <c r="I207" s="116"/>
      <c r="J207" s="116"/>
      <c r="K207" s="116"/>
      <c r="L207" s="116"/>
      <c r="M207" s="116"/>
      <c r="N207" s="116"/>
      <c r="AB207" s="332"/>
      <c r="AQ207" s="336"/>
      <c r="AR207" s="336"/>
      <c r="AS207" s="336"/>
      <c r="BD207" s="332"/>
    </row>
    <row r="208" spans="1:56" ht="13">
      <c r="A208" s="10" t="str">
        <f t="shared" si="23"/>
        <v/>
      </c>
      <c r="I208" s="116"/>
      <c r="J208" s="116"/>
      <c r="K208" s="116"/>
      <c r="L208" s="116"/>
      <c r="M208" s="116"/>
      <c r="N208" s="116"/>
      <c r="AB208" s="332"/>
      <c r="AQ208" s="336"/>
      <c r="AR208" s="336"/>
      <c r="AS208" s="336"/>
      <c r="BD208" s="332"/>
    </row>
    <row r="209" spans="1:56" ht="13">
      <c r="A209" s="10" t="str">
        <f t="shared" si="23"/>
        <v/>
      </c>
      <c r="I209" s="116"/>
      <c r="J209" s="116"/>
      <c r="K209" s="116"/>
      <c r="L209" s="116"/>
      <c r="M209" s="116"/>
      <c r="N209" s="116"/>
      <c r="AB209" s="332"/>
      <c r="AQ209" s="336"/>
      <c r="AR209" s="336"/>
      <c r="AS209" s="336"/>
      <c r="BD209" s="332"/>
    </row>
    <row r="210" spans="1:56" ht="13">
      <c r="A210" s="10" t="str">
        <f t="shared" si="23"/>
        <v/>
      </c>
      <c r="I210" s="116"/>
      <c r="J210" s="116"/>
      <c r="K210" s="116"/>
      <c r="L210" s="116"/>
      <c r="M210" s="116"/>
      <c r="N210" s="116"/>
      <c r="AB210" s="332"/>
      <c r="AQ210" s="336"/>
      <c r="AR210" s="336"/>
      <c r="AS210" s="336"/>
      <c r="BD210" s="332"/>
    </row>
    <row r="211" spans="1:56" ht="13">
      <c r="A211" s="10" t="str">
        <f t="shared" si="23"/>
        <v/>
      </c>
      <c r="I211" s="116"/>
      <c r="J211" s="116"/>
      <c r="K211" s="116"/>
      <c r="L211" s="116"/>
      <c r="M211" s="116"/>
      <c r="N211" s="116"/>
      <c r="AB211" s="332"/>
      <c r="AQ211" s="336"/>
      <c r="AR211" s="336"/>
      <c r="AS211" s="336"/>
      <c r="BD211" s="332"/>
    </row>
    <row r="212" spans="1:56" ht="13">
      <c r="A212" s="10" t="str">
        <f t="shared" si="23"/>
        <v/>
      </c>
      <c r="I212" s="116"/>
      <c r="J212" s="116"/>
      <c r="K212" s="116"/>
      <c r="L212" s="116"/>
      <c r="M212" s="116"/>
      <c r="N212" s="116"/>
      <c r="AB212" s="332"/>
      <c r="AQ212" s="336"/>
      <c r="AR212" s="336"/>
      <c r="AS212" s="336"/>
      <c r="BD212" s="332"/>
    </row>
    <row r="213" spans="1:56" ht="13">
      <c r="A213" s="10" t="str">
        <f t="shared" si="23"/>
        <v/>
      </c>
      <c r="I213" s="116"/>
      <c r="J213" s="116"/>
      <c r="K213" s="116"/>
      <c r="L213" s="116"/>
      <c r="M213" s="116"/>
      <c r="N213" s="116"/>
      <c r="AB213" s="332"/>
      <c r="AQ213" s="336"/>
      <c r="AR213" s="336"/>
      <c r="AS213" s="336"/>
      <c r="BD213" s="332"/>
    </row>
    <row r="214" spans="1:56" ht="13">
      <c r="A214" s="10" t="str">
        <f t="shared" si="23"/>
        <v/>
      </c>
      <c r="I214" s="116"/>
      <c r="J214" s="116"/>
      <c r="K214" s="116"/>
      <c r="L214" s="116"/>
      <c r="M214" s="116"/>
      <c r="N214" s="116"/>
      <c r="AB214" s="332"/>
      <c r="AQ214" s="336"/>
      <c r="AR214" s="336"/>
      <c r="AS214" s="336"/>
      <c r="BD214" s="332"/>
    </row>
    <row r="215" spans="1:56" ht="13">
      <c r="A215" s="10" t="str">
        <f t="shared" si="23"/>
        <v/>
      </c>
      <c r="I215" s="116"/>
      <c r="J215" s="116"/>
      <c r="K215" s="116"/>
      <c r="L215" s="116"/>
      <c r="M215" s="116"/>
      <c r="N215" s="116"/>
      <c r="AB215" s="332"/>
      <c r="AQ215" s="336"/>
      <c r="AR215" s="336"/>
      <c r="AS215" s="336"/>
      <c r="BD215" s="332"/>
    </row>
    <row r="216" spans="1:56" ht="13">
      <c r="A216" s="10" t="str">
        <f t="shared" si="23"/>
        <v/>
      </c>
      <c r="I216" s="116"/>
      <c r="J216" s="116"/>
      <c r="K216" s="116"/>
      <c r="L216" s="116"/>
      <c r="M216" s="116"/>
      <c r="N216" s="116"/>
      <c r="AB216" s="332"/>
      <c r="AQ216" s="336"/>
      <c r="AR216" s="336"/>
      <c r="AS216" s="336"/>
      <c r="BD216" s="332"/>
    </row>
    <row r="217" spans="1:56" ht="13">
      <c r="A217" s="10" t="str">
        <f t="shared" si="23"/>
        <v/>
      </c>
      <c r="I217" s="116"/>
      <c r="J217" s="116"/>
      <c r="K217" s="116"/>
      <c r="L217" s="116"/>
      <c r="M217" s="116"/>
      <c r="N217" s="116"/>
      <c r="AB217" s="332"/>
      <c r="AQ217" s="336"/>
      <c r="AR217" s="336"/>
      <c r="AS217" s="336"/>
      <c r="BD217" s="332"/>
    </row>
    <row r="218" spans="1:56" ht="13">
      <c r="A218" s="10" t="str">
        <f t="shared" si="23"/>
        <v/>
      </c>
      <c r="I218" s="116"/>
      <c r="J218" s="116"/>
      <c r="K218" s="116"/>
      <c r="L218" s="116"/>
      <c r="M218" s="116"/>
      <c r="N218" s="116"/>
      <c r="AB218" s="332"/>
      <c r="AQ218" s="336"/>
      <c r="AR218" s="336"/>
      <c r="AS218" s="336"/>
      <c r="BD218" s="332"/>
    </row>
    <row r="219" spans="1:56" ht="13">
      <c r="A219" s="10" t="str">
        <f t="shared" si="23"/>
        <v/>
      </c>
      <c r="I219" s="116"/>
      <c r="J219" s="116"/>
      <c r="K219" s="116"/>
      <c r="L219" s="116"/>
      <c r="M219" s="116"/>
      <c r="N219" s="116"/>
      <c r="AB219" s="332"/>
      <c r="AQ219" s="336"/>
      <c r="AR219" s="336"/>
      <c r="AS219" s="336"/>
      <c r="BD219" s="332"/>
    </row>
    <row r="220" spans="1:56" ht="13">
      <c r="A220" s="10" t="str">
        <f t="shared" si="23"/>
        <v/>
      </c>
      <c r="I220" s="116"/>
      <c r="J220" s="116"/>
      <c r="K220" s="116"/>
      <c r="L220" s="116"/>
      <c r="M220" s="116"/>
      <c r="N220" s="116"/>
      <c r="AB220" s="332"/>
      <c r="AQ220" s="336"/>
      <c r="AR220" s="336"/>
      <c r="AS220" s="336"/>
      <c r="BD220" s="332"/>
    </row>
    <row r="221" spans="1:56" ht="13">
      <c r="A221" s="10" t="str">
        <f t="shared" si="23"/>
        <v/>
      </c>
      <c r="I221" s="116"/>
      <c r="J221" s="116"/>
      <c r="K221" s="116"/>
      <c r="L221" s="116"/>
      <c r="M221" s="116"/>
      <c r="N221" s="116"/>
      <c r="AB221" s="332"/>
      <c r="AQ221" s="336"/>
      <c r="AR221" s="336"/>
      <c r="AS221" s="336"/>
      <c r="BD221" s="332"/>
    </row>
    <row r="222" spans="1:56" ht="13">
      <c r="A222" s="10" t="str">
        <f t="shared" si="23"/>
        <v/>
      </c>
      <c r="I222" s="116"/>
      <c r="J222" s="116"/>
      <c r="K222" s="116"/>
      <c r="L222" s="116"/>
      <c r="M222" s="116"/>
      <c r="N222" s="116"/>
      <c r="AB222" s="332"/>
      <c r="AQ222" s="336"/>
      <c r="AR222" s="336"/>
      <c r="AS222" s="336"/>
      <c r="BD222" s="332"/>
    </row>
    <row r="223" spans="1:56" ht="13">
      <c r="A223" s="10" t="str">
        <f t="shared" si="23"/>
        <v/>
      </c>
      <c r="I223" s="116"/>
      <c r="J223" s="116"/>
      <c r="K223" s="116"/>
      <c r="L223" s="116"/>
      <c r="M223" s="116"/>
      <c r="N223" s="116"/>
      <c r="AB223" s="332"/>
      <c r="AQ223" s="336"/>
      <c r="AR223" s="336"/>
      <c r="AS223" s="336"/>
      <c r="BD223" s="332"/>
    </row>
    <row r="224" spans="1:56" ht="13">
      <c r="A224" s="10" t="str">
        <f t="shared" si="23"/>
        <v/>
      </c>
      <c r="I224" s="116"/>
      <c r="J224" s="116"/>
      <c r="K224" s="116"/>
      <c r="L224" s="116"/>
      <c r="M224" s="116"/>
      <c r="N224" s="116"/>
      <c r="AB224" s="332"/>
      <c r="AQ224" s="336"/>
      <c r="AR224" s="336"/>
      <c r="AS224" s="336"/>
      <c r="BD224" s="332"/>
    </row>
    <row r="225" spans="1:56" ht="13">
      <c r="A225" s="10" t="str">
        <f t="shared" si="23"/>
        <v/>
      </c>
      <c r="I225" s="116"/>
      <c r="J225" s="116"/>
      <c r="K225" s="116"/>
      <c r="L225" s="116"/>
      <c r="M225" s="116"/>
      <c r="N225" s="116"/>
      <c r="AB225" s="332"/>
      <c r="AQ225" s="336"/>
      <c r="AR225" s="336"/>
      <c r="AS225" s="336"/>
      <c r="BD225" s="332"/>
    </row>
    <row r="226" spans="1:56" ht="13">
      <c r="A226" s="10" t="str">
        <f t="shared" si="23"/>
        <v/>
      </c>
      <c r="I226" s="116"/>
      <c r="J226" s="116"/>
      <c r="K226" s="116"/>
      <c r="L226" s="116"/>
      <c r="M226" s="116"/>
      <c r="N226" s="116"/>
      <c r="AB226" s="332"/>
      <c r="AQ226" s="336"/>
      <c r="AR226" s="336"/>
      <c r="AS226" s="336"/>
      <c r="BD226" s="332"/>
    </row>
    <row r="227" spans="1:56" ht="13">
      <c r="A227" s="10" t="str">
        <f t="shared" si="23"/>
        <v/>
      </c>
      <c r="I227" s="116"/>
      <c r="J227" s="116"/>
      <c r="K227" s="116"/>
      <c r="L227" s="116"/>
      <c r="M227" s="116"/>
      <c r="N227" s="116"/>
      <c r="AB227" s="332"/>
      <c r="AQ227" s="336"/>
      <c r="AR227" s="336"/>
      <c r="AS227" s="336"/>
      <c r="BD227" s="332"/>
    </row>
    <row r="228" spans="1:56" ht="13">
      <c r="A228" s="10" t="str">
        <f t="shared" si="23"/>
        <v/>
      </c>
      <c r="I228" s="116"/>
      <c r="J228" s="116"/>
      <c r="K228" s="116"/>
      <c r="L228" s="116"/>
      <c r="M228" s="116"/>
      <c r="N228" s="116"/>
      <c r="AB228" s="332"/>
      <c r="AQ228" s="336"/>
      <c r="AR228" s="336"/>
      <c r="AS228" s="336"/>
      <c r="BD228" s="332"/>
    </row>
    <row r="229" spans="1:56" ht="13">
      <c r="I229" s="116"/>
      <c r="J229" s="116"/>
      <c r="K229" s="116"/>
      <c r="L229" s="116"/>
      <c r="M229" s="116"/>
      <c r="N229" s="116"/>
      <c r="AB229" s="332"/>
      <c r="AQ229" s="336"/>
      <c r="AR229" s="336"/>
      <c r="AS229" s="336"/>
      <c r="BD229" s="332"/>
    </row>
    <row r="230" spans="1:56" ht="13">
      <c r="I230" s="116"/>
      <c r="J230" s="116"/>
      <c r="K230" s="116"/>
      <c r="L230" s="116"/>
      <c r="M230" s="116"/>
      <c r="N230" s="116"/>
      <c r="AB230" s="332"/>
      <c r="AQ230" s="336"/>
      <c r="AR230" s="336"/>
      <c r="AS230" s="336"/>
      <c r="BD230" s="332"/>
    </row>
    <row r="231" spans="1:56" ht="13">
      <c r="I231" s="116"/>
      <c r="J231" s="116"/>
      <c r="K231" s="116"/>
      <c r="L231" s="116"/>
      <c r="M231" s="116"/>
      <c r="N231" s="116"/>
      <c r="AB231" s="332"/>
      <c r="AQ231" s="336"/>
      <c r="AR231" s="336"/>
      <c r="AS231" s="336"/>
      <c r="BD231" s="332"/>
    </row>
    <row r="232" spans="1:56" ht="13">
      <c r="I232" s="116"/>
      <c r="J232" s="116"/>
      <c r="K232" s="116"/>
      <c r="L232" s="116"/>
      <c r="M232" s="116"/>
      <c r="N232" s="116"/>
      <c r="AB232" s="332"/>
      <c r="AQ232" s="336"/>
      <c r="AR232" s="336"/>
      <c r="AS232" s="336"/>
      <c r="BD232" s="332"/>
    </row>
    <row r="233" spans="1:56" ht="13">
      <c r="I233" s="116"/>
      <c r="J233" s="116"/>
      <c r="K233" s="116"/>
      <c r="L233" s="116"/>
      <c r="M233" s="116"/>
      <c r="N233" s="116"/>
      <c r="AB233" s="332"/>
      <c r="AQ233" s="336"/>
      <c r="AR233" s="336"/>
      <c r="AS233" s="336"/>
      <c r="BD233" s="332"/>
    </row>
    <row r="234" spans="1:56" ht="13">
      <c r="I234" s="116"/>
      <c r="J234" s="116"/>
      <c r="K234" s="116"/>
      <c r="L234" s="116"/>
      <c r="M234" s="116"/>
      <c r="N234" s="116"/>
      <c r="AB234" s="332"/>
      <c r="AQ234" s="336"/>
      <c r="AR234" s="336"/>
      <c r="AS234" s="336"/>
      <c r="BD234" s="332"/>
    </row>
    <row r="235" spans="1:56" ht="13">
      <c r="I235" s="116"/>
      <c r="J235" s="116"/>
      <c r="K235" s="116"/>
      <c r="L235" s="116"/>
      <c r="M235" s="116"/>
      <c r="N235" s="116"/>
      <c r="AB235" s="332"/>
      <c r="AQ235" s="336"/>
      <c r="AR235" s="336"/>
      <c r="AS235" s="336"/>
      <c r="BD235" s="332"/>
    </row>
    <row r="236" spans="1:56" ht="13">
      <c r="I236" s="116"/>
      <c r="J236" s="116"/>
      <c r="K236" s="116"/>
      <c r="L236" s="116"/>
      <c r="M236" s="116"/>
      <c r="N236" s="116"/>
      <c r="AB236" s="332"/>
      <c r="AQ236" s="336"/>
      <c r="AR236" s="336"/>
      <c r="AS236" s="336"/>
      <c r="BD236" s="332"/>
    </row>
    <row r="237" spans="1:56" ht="13">
      <c r="I237" s="116"/>
      <c r="J237" s="116"/>
      <c r="K237" s="116"/>
      <c r="L237" s="116"/>
      <c r="M237" s="116"/>
      <c r="N237" s="116"/>
      <c r="AB237" s="332"/>
      <c r="AQ237" s="336"/>
      <c r="AR237" s="336"/>
      <c r="AS237" s="336"/>
      <c r="BD237" s="332"/>
    </row>
    <row r="238" spans="1:56" ht="13">
      <c r="I238" s="116"/>
      <c r="J238" s="116"/>
      <c r="K238" s="116"/>
      <c r="L238" s="116"/>
      <c r="M238" s="116"/>
      <c r="N238" s="116"/>
      <c r="AB238" s="332"/>
      <c r="AQ238" s="336"/>
      <c r="AR238" s="336"/>
      <c r="AS238" s="336"/>
      <c r="BD238" s="332"/>
    </row>
    <row r="239" spans="1:56" ht="13">
      <c r="I239" s="116"/>
      <c r="J239" s="116"/>
      <c r="K239" s="116"/>
      <c r="L239" s="116"/>
      <c r="M239" s="116"/>
      <c r="N239" s="116"/>
      <c r="AB239" s="332"/>
      <c r="AQ239" s="336"/>
      <c r="AR239" s="336"/>
      <c r="AS239" s="336"/>
      <c r="BD239" s="332"/>
    </row>
    <row r="240" spans="1:56" ht="13">
      <c r="I240" s="116"/>
      <c r="J240" s="116"/>
      <c r="K240" s="116"/>
      <c r="L240" s="116"/>
      <c r="M240" s="116"/>
      <c r="N240" s="116"/>
      <c r="AB240" s="332"/>
      <c r="AQ240" s="336"/>
      <c r="AR240" s="336"/>
      <c r="AS240" s="336"/>
      <c r="BD240" s="332"/>
    </row>
    <row r="241" spans="9:56" ht="13">
      <c r="I241" s="116"/>
      <c r="J241" s="116"/>
      <c r="K241" s="116"/>
      <c r="L241" s="116"/>
      <c r="M241" s="116"/>
      <c r="N241" s="116"/>
      <c r="AB241" s="332"/>
      <c r="AQ241" s="336"/>
      <c r="AR241" s="336"/>
      <c r="AS241" s="336"/>
      <c r="BD241" s="332"/>
    </row>
    <row r="242" spans="9:56" ht="13">
      <c r="I242" s="116"/>
      <c r="J242" s="116"/>
      <c r="K242" s="116"/>
      <c r="L242" s="116"/>
      <c r="M242" s="116"/>
      <c r="N242" s="116"/>
      <c r="AB242" s="332"/>
      <c r="AQ242" s="336"/>
      <c r="AR242" s="336"/>
      <c r="AS242" s="336"/>
      <c r="BD242" s="332"/>
    </row>
    <row r="243" spans="9:56" ht="13">
      <c r="I243" s="116"/>
      <c r="J243" s="116"/>
      <c r="K243" s="116"/>
      <c r="L243" s="116"/>
      <c r="M243" s="116"/>
      <c r="N243" s="116"/>
      <c r="AB243" s="332"/>
      <c r="AQ243" s="336"/>
      <c r="AR243" s="336"/>
      <c r="AS243" s="336"/>
      <c r="BD243" s="332"/>
    </row>
    <row r="244" spans="9:56" ht="13">
      <c r="I244" s="116"/>
      <c r="J244" s="116"/>
      <c r="K244" s="116"/>
      <c r="L244" s="116"/>
      <c r="M244" s="116"/>
      <c r="N244" s="116"/>
      <c r="AB244" s="332"/>
      <c r="AQ244" s="336"/>
      <c r="AR244" s="336"/>
      <c r="AS244" s="336"/>
      <c r="BD244" s="332"/>
    </row>
    <row r="245" spans="9:56" ht="13">
      <c r="I245" s="116"/>
      <c r="J245" s="116"/>
      <c r="K245" s="116"/>
      <c r="L245" s="116"/>
      <c r="M245" s="116"/>
      <c r="N245" s="116"/>
      <c r="AB245" s="332"/>
      <c r="AQ245" s="336"/>
      <c r="AR245" s="336"/>
      <c r="AS245" s="336"/>
      <c r="BD245" s="332"/>
    </row>
    <row r="246" spans="9:56" ht="13">
      <c r="I246" s="116"/>
      <c r="J246" s="116"/>
      <c r="K246" s="116"/>
      <c r="L246" s="116"/>
      <c r="M246" s="116"/>
      <c r="N246" s="116"/>
      <c r="AB246" s="332"/>
      <c r="AQ246" s="336"/>
      <c r="AR246" s="336"/>
      <c r="AS246" s="336"/>
      <c r="BD246" s="332"/>
    </row>
    <row r="247" spans="9:56" ht="13">
      <c r="I247" s="116"/>
      <c r="J247" s="116"/>
      <c r="K247" s="116"/>
      <c r="L247" s="116"/>
      <c r="M247" s="116"/>
      <c r="N247" s="116"/>
      <c r="AB247" s="332"/>
      <c r="AQ247" s="336"/>
      <c r="AR247" s="336"/>
      <c r="AS247" s="336"/>
      <c r="BD247" s="332"/>
    </row>
    <row r="248" spans="9:56" ht="13">
      <c r="I248" s="116"/>
      <c r="J248" s="116"/>
      <c r="K248" s="116"/>
      <c r="L248" s="116"/>
      <c r="M248" s="116"/>
      <c r="N248" s="116"/>
      <c r="AB248" s="332"/>
      <c r="AQ248" s="336"/>
      <c r="AR248" s="336"/>
      <c r="AS248" s="336"/>
      <c r="BD248" s="332"/>
    </row>
    <row r="249" spans="9:56" ht="13">
      <c r="I249" s="116"/>
      <c r="J249" s="116"/>
      <c r="K249" s="116"/>
      <c r="L249" s="116"/>
      <c r="M249" s="116"/>
      <c r="N249" s="116"/>
      <c r="AB249" s="332"/>
      <c r="AQ249" s="336"/>
      <c r="AR249" s="336"/>
      <c r="AS249" s="336"/>
      <c r="BD249" s="332"/>
    </row>
    <row r="250" spans="9:56" ht="13">
      <c r="I250" s="116"/>
      <c r="J250" s="116"/>
      <c r="K250" s="116"/>
      <c r="L250" s="116"/>
      <c r="M250" s="116"/>
      <c r="N250" s="116"/>
      <c r="AB250" s="332"/>
      <c r="AQ250" s="336"/>
      <c r="AR250" s="336"/>
      <c r="AS250" s="336"/>
      <c r="BD250" s="332"/>
    </row>
    <row r="251" spans="9:56" ht="13">
      <c r="I251" s="116"/>
      <c r="J251" s="116"/>
      <c r="K251" s="116"/>
      <c r="L251" s="116"/>
      <c r="M251" s="116"/>
      <c r="N251" s="116"/>
      <c r="AB251" s="332"/>
      <c r="AQ251" s="336"/>
      <c r="AR251" s="336"/>
      <c r="AS251" s="336"/>
      <c r="BD251" s="332"/>
    </row>
    <row r="252" spans="9:56" ht="13">
      <c r="I252" s="116"/>
      <c r="J252" s="116"/>
      <c r="K252" s="116"/>
      <c r="L252" s="116"/>
      <c r="M252" s="116"/>
      <c r="N252" s="116"/>
      <c r="AB252" s="332"/>
      <c r="AQ252" s="336"/>
      <c r="AR252" s="336"/>
      <c r="AS252" s="336"/>
      <c r="BD252" s="332"/>
    </row>
    <row r="253" spans="9:56" ht="13">
      <c r="I253" s="116"/>
      <c r="J253" s="116"/>
      <c r="K253" s="116"/>
      <c r="L253" s="116"/>
      <c r="M253" s="116"/>
      <c r="N253" s="116"/>
      <c r="AB253" s="332"/>
      <c r="AQ253" s="336"/>
      <c r="AR253" s="336"/>
      <c r="AS253" s="336"/>
      <c r="BD253" s="332"/>
    </row>
    <row r="254" spans="9:56" ht="13">
      <c r="I254" s="116"/>
      <c r="J254" s="116"/>
      <c r="K254" s="116"/>
      <c r="L254" s="116"/>
      <c r="M254" s="116"/>
      <c r="N254" s="116"/>
      <c r="AB254" s="332"/>
      <c r="AQ254" s="336"/>
      <c r="AR254" s="336"/>
      <c r="AS254" s="336"/>
      <c r="BD254" s="332"/>
    </row>
    <row r="255" spans="9:56" ht="13">
      <c r="I255" s="116"/>
      <c r="J255" s="116"/>
      <c r="K255" s="116"/>
      <c r="L255" s="116"/>
      <c r="M255" s="116"/>
      <c r="N255" s="116"/>
      <c r="AB255" s="332"/>
      <c r="AQ255" s="336"/>
      <c r="AR255" s="336"/>
      <c r="AS255" s="336"/>
      <c r="BD255" s="332"/>
    </row>
    <row r="256" spans="9:56" ht="13">
      <c r="I256" s="116"/>
      <c r="J256" s="116"/>
      <c r="K256" s="116"/>
      <c r="L256" s="116"/>
      <c r="M256" s="116"/>
      <c r="N256" s="116"/>
      <c r="AB256" s="332"/>
      <c r="AQ256" s="336"/>
      <c r="AR256" s="336"/>
      <c r="AS256" s="336"/>
      <c r="BD256" s="332"/>
    </row>
    <row r="257" spans="9:56" ht="13">
      <c r="I257" s="116"/>
      <c r="J257" s="116"/>
      <c r="K257" s="116"/>
      <c r="L257" s="116"/>
      <c r="M257" s="116"/>
      <c r="N257" s="116"/>
      <c r="AB257" s="332"/>
      <c r="AQ257" s="336"/>
      <c r="AR257" s="336"/>
      <c r="AS257" s="336"/>
      <c r="BD257" s="332"/>
    </row>
    <row r="258" spans="9:56" ht="13">
      <c r="I258" s="116"/>
      <c r="J258" s="116"/>
      <c r="K258" s="116"/>
      <c r="L258" s="116"/>
      <c r="M258" s="116"/>
      <c r="N258" s="116"/>
      <c r="AB258" s="332"/>
      <c r="AQ258" s="336"/>
      <c r="AR258" s="336"/>
      <c r="AS258" s="336"/>
      <c r="BD258" s="332"/>
    </row>
    <row r="259" spans="9:56" ht="13">
      <c r="I259" s="116"/>
      <c r="J259" s="116"/>
      <c r="K259" s="116"/>
      <c r="L259" s="116"/>
      <c r="M259" s="116"/>
      <c r="N259" s="116"/>
      <c r="AB259" s="332"/>
      <c r="AQ259" s="336"/>
      <c r="AR259" s="336"/>
      <c r="AS259" s="336"/>
      <c r="BD259" s="332"/>
    </row>
    <row r="260" spans="9:56" ht="13">
      <c r="I260" s="116"/>
      <c r="J260" s="116"/>
      <c r="K260" s="116"/>
      <c r="L260" s="116"/>
      <c r="M260" s="116"/>
      <c r="N260" s="116"/>
      <c r="AB260" s="332"/>
      <c r="AQ260" s="336"/>
      <c r="AR260" s="336"/>
      <c r="AS260" s="336"/>
      <c r="BD260" s="332"/>
    </row>
    <row r="261" spans="9:56" ht="13">
      <c r="I261" s="116"/>
      <c r="J261" s="116"/>
      <c r="K261" s="116"/>
      <c r="L261" s="116"/>
      <c r="M261" s="116"/>
      <c r="N261" s="116"/>
      <c r="AB261" s="332"/>
      <c r="AQ261" s="336"/>
      <c r="AR261" s="336"/>
      <c r="AS261" s="336"/>
      <c r="BD261" s="332"/>
    </row>
    <row r="262" spans="9:56" ht="13">
      <c r="I262" s="116"/>
      <c r="J262" s="116"/>
      <c r="K262" s="116"/>
      <c r="L262" s="116"/>
      <c r="M262" s="116"/>
      <c r="N262" s="116"/>
      <c r="AB262" s="332"/>
      <c r="AQ262" s="336"/>
      <c r="AR262" s="336"/>
      <c r="AS262" s="336"/>
      <c r="BD262" s="332"/>
    </row>
    <row r="263" spans="9:56" ht="13">
      <c r="I263" s="116"/>
      <c r="J263" s="116"/>
      <c r="K263" s="116"/>
      <c r="L263" s="116"/>
      <c r="M263" s="116"/>
      <c r="N263" s="116"/>
      <c r="AB263" s="332"/>
      <c r="AQ263" s="336"/>
      <c r="AR263" s="336"/>
      <c r="AS263" s="336"/>
      <c r="BD263" s="332"/>
    </row>
    <row r="264" spans="9:56" ht="13">
      <c r="I264" s="116"/>
      <c r="J264" s="116"/>
      <c r="K264" s="116"/>
      <c r="L264" s="116"/>
      <c r="M264" s="116"/>
      <c r="N264" s="116"/>
      <c r="AB264" s="332"/>
      <c r="AQ264" s="336"/>
      <c r="AR264" s="336"/>
      <c r="AS264" s="336"/>
      <c r="BD264" s="332"/>
    </row>
    <row r="265" spans="9:56" ht="13">
      <c r="I265" s="116"/>
      <c r="J265" s="116"/>
      <c r="K265" s="116"/>
      <c r="L265" s="116"/>
      <c r="M265" s="116"/>
      <c r="N265" s="116"/>
      <c r="AB265" s="332"/>
      <c r="AQ265" s="336"/>
      <c r="AR265" s="336"/>
      <c r="AS265" s="336"/>
      <c r="BD265" s="332"/>
    </row>
    <row r="266" spans="9:56" ht="13">
      <c r="I266" s="116"/>
      <c r="J266" s="116"/>
      <c r="K266" s="116"/>
      <c r="L266" s="116"/>
      <c r="M266" s="116"/>
      <c r="N266" s="116"/>
      <c r="AB266" s="332"/>
      <c r="AQ266" s="336"/>
      <c r="AR266" s="336"/>
      <c r="AS266" s="336"/>
      <c r="BD266" s="332"/>
    </row>
    <row r="267" spans="9:56" ht="13">
      <c r="I267" s="116"/>
      <c r="J267" s="116"/>
      <c r="K267" s="116"/>
      <c r="L267" s="116"/>
      <c r="M267" s="116"/>
      <c r="N267" s="116"/>
      <c r="AB267" s="332"/>
      <c r="AQ267" s="336"/>
      <c r="AR267" s="336"/>
      <c r="AS267" s="336"/>
      <c r="BD267" s="332"/>
    </row>
    <row r="268" spans="9:56" ht="13">
      <c r="I268" s="116"/>
      <c r="J268" s="116"/>
      <c r="K268" s="116"/>
      <c r="L268" s="116"/>
      <c r="M268" s="116"/>
      <c r="N268" s="116"/>
      <c r="AB268" s="332"/>
      <c r="AQ268" s="336"/>
      <c r="AR268" s="336"/>
      <c r="AS268" s="336"/>
      <c r="BD268" s="332"/>
    </row>
    <row r="269" spans="9:56" ht="13">
      <c r="I269" s="116"/>
      <c r="J269" s="116"/>
      <c r="K269" s="116"/>
      <c r="L269" s="116"/>
      <c r="M269" s="116"/>
      <c r="N269" s="116"/>
      <c r="AB269" s="332"/>
      <c r="AQ269" s="336"/>
      <c r="AR269" s="336"/>
      <c r="AS269" s="336"/>
      <c r="BD269" s="332"/>
    </row>
    <row r="270" spans="9:56" ht="13">
      <c r="I270" s="116"/>
      <c r="J270" s="116"/>
      <c r="K270" s="116"/>
      <c r="L270" s="116"/>
      <c r="M270" s="116"/>
      <c r="N270" s="116"/>
      <c r="AB270" s="332"/>
      <c r="AQ270" s="336"/>
      <c r="AR270" s="336"/>
      <c r="AS270" s="336"/>
      <c r="BD270" s="332"/>
    </row>
    <row r="271" spans="9:56" ht="13">
      <c r="I271" s="116"/>
      <c r="J271" s="116"/>
      <c r="K271" s="116"/>
      <c r="L271" s="116"/>
      <c r="M271" s="116"/>
      <c r="N271" s="116"/>
      <c r="AB271" s="332"/>
      <c r="AQ271" s="336"/>
      <c r="AR271" s="336"/>
      <c r="AS271" s="336"/>
      <c r="BD271" s="332"/>
    </row>
    <row r="272" spans="9:56" ht="13">
      <c r="I272" s="116"/>
      <c r="J272" s="116"/>
      <c r="K272" s="116"/>
      <c r="L272" s="116"/>
      <c r="M272" s="116"/>
      <c r="N272" s="116"/>
      <c r="AB272" s="332"/>
      <c r="AQ272" s="336"/>
      <c r="AR272" s="336"/>
      <c r="AS272" s="336"/>
      <c r="BD272" s="332"/>
    </row>
    <row r="273" spans="9:56" ht="13">
      <c r="I273" s="116"/>
      <c r="J273" s="116"/>
      <c r="K273" s="116"/>
      <c r="L273" s="116"/>
      <c r="M273" s="116"/>
      <c r="N273" s="116"/>
      <c r="AB273" s="332"/>
      <c r="AQ273" s="336"/>
      <c r="AR273" s="336"/>
      <c r="AS273" s="336"/>
      <c r="BD273" s="332"/>
    </row>
    <row r="274" spans="9:56" ht="13">
      <c r="I274" s="116"/>
      <c r="J274" s="116"/>
      <c r="K274" s="116"/>
      <c r="L274" s="116"/>
      <c r="M274" s="116"/>
      <c r="N274" s="116"/>
      <c r="AB274" s="332"/>
      <c r="AQ274" s="336"/>
      <c r="AR274" s="336"/>
      <c r="AS274" s="336"/>
      <c r="BD274" s="332"/>
    </row>
    <row r="275" spans="9:56" ht="13">
      <c r="I275" s="116"/>
      <c r="J275" s="116"/>
      <c r="K275" s="116"/>
      <c r="L275" s="116"/>
      <c r="M275" s="116"/>
      <c r="N275" s="116"/>
      <c r="AB275" s="332"/>
      <c r="AQ275" s="336"/>
      <c r="AR275" s="336"/>
      <c r="AS275" s="336"/>
      <c r="BD275" s="332"/>
    </row>
    <row r="276" spans="9:56" ht="13">
      <c r="I276" s="116"/>
      <c r="J276" s="116"/>
      <c r="K276" s="116"/>
      <c r="L276" s="116"/>
      <c r="M276" s="116"/>
      <c r="N276" s="116"/>
      <c r="AB276" s="332"/>
      <c r="AQ276" s="336"/>
      <c r="AR276" s="336"/>
      <c r="AS276" s="336"/>
      <c r="BD276" s="332"/>
    </row>
    <row r="277" spans="9:56" ht="13">
      <c r="I277" s="116"/>
      <c r="J277" s="116"/>
      <c r="K277" s="116"/>
      <c r="L277" s="116"/>
      <c r="M277" s="116"/>
      <c r="N277" s="116"/>
      <c r="AB277" s="332"/>
      <c r="AQ277" s="336"/>
      <c r="AR277" s="336"/>
      <c r="AS277" s="336"/>
      <c r="BD277" s="332"/>
    </row>
    <row r="278" spans="9:56" ht="13">
      <c r="I278" s="116"/>
      <c r="J278" s="116"/>
      <c r="K278" s="116"/>
      <c r="L278" s="116"/>
      <c r="M278" s="116"/>
      <c r="N278" s="116"/>
      <c r="AB278" s="332"/>
      <c r="AQ278" s="336"/>
      <c r="AR278" s="336"/>
      <c r="AS278" s="336"/>
      <c r="BD278" s="332"/>
    </row>
    <row r="279" spans="9:56" ht="13">
      <c r="I279" s="116"/>
      <c r="J279" s="116"/>
      <c r="K279" s="116"/>
      <c r="L279" s="116"/>
      <c r="M279" s="116"/>
      <c r="N279" s="116"/>
      <c r="AB279" s="332"/>
      <c r="AQ279" s="336"/>
      <c r="AR279" s="336"/>
      <c r="AS279" s="336"/>
      <c r="BD279" s="332"/>
    </row>
    <row r="280" spans="9:56" ht="13">
      <c r="I280" s="116"/>
      <c r="J280" s="116"/>
      <c r="K280" s="116"/>
      <c r="L280" s="116"/>
      <c r="M280" s="116"/>
      <c r="N280" s="116"/>
      <c r="AB280" s="332"/>
      <c r="AQ280" s="336"/>
      <c r="AR280" s="336"/>
      <c r="AS280" s="336"/>
      <c r="BD280" s="332"/>
    </row>
    <row r="281" spans="9:56" ht="13">
      <c r="I281" s="116"/>
      <c r="J281" s="116"/>
      <c r="K281" s="116"/>
      <c r="L281" s="116"/>
      <c r="M281" s="116"/>
      <c r="N281" s="116"/>
      <c r="AB281" s="332"/>
      <c r="AQ281" s="336"/>
      <c r="AR281" s="336"/>
      <c r="AS281" s="336"/>
      <c r="BD281" s="332"/>
    </row>
    <row r="282" spans="9:56" ht="13">
      <c r="I282" s="116"/>
      <c r="J282" s="116"/>
      <c r="K282" s="116"/>
      <c r="L282" s="116"/>
      <c r="M282" s="116"/>
      <c r="N282" s="116"/>
      <c r="AB282" s="332"/>
      <c r="AQ282" s="336"/>
      <c r="AR282" s="336"/>
      <c r="AS282" s="336"/>
      <c r="BD282" s="332"/>
    </row>
    <row r="283" spans="9:56" ht="13">
      <c r="I283" s="116"/>
      <c r="J283" s="116"/>
      <c r="K283" s="116"/>
      <c r="L283" s="116"/>
      <c r="M283" s="116"/>
      <c r="N283" s="116"/>
      <c r="AB283" s="332"/>
      <c r="AQ283" s="336"/>
      <c r="AR283" s="336"/>
      <c r="AS283" s="336"/>
      <c r="BD283" s="332"/>
    </row>
    <row r="284" spans="9:56" ht="13">
      <c r="I284" s="116"/>
      <c r="J284" s="116"/>
      <c r="K284" s="116"/>
      <c r="L284" s="116"/>
      <c r="M284" s="116"/>
      <c r="N284" s="116"/>
      <c r="AB284" s="332"/>
      <c r="AQ284" s="336"/>
      <c r="AR284" s="336"/>
      <c r="AS284" s="336"/>
      <c r="BD284" s="332"/>
    </row>
    <row r="285" spans="9:56" ht="13">
      <c r="I285" s="116"/>
      <c r="J285" s="116"/>
      <c r="K285" s="116"/>
      <c r="L285" s="116"/>
      <c r="M285" s="116"/>
      <c r="N285" s="116"/>
      <c r="AB285" s="332"/>
      <c r="AQ285" s="336"/>
      <c r="AR285" s="336"/>
      <c r="AS285" s="336"/>
      <c r="BD285" s="332"/>
    </row>
    <row r="286" spans="9:56" ht="13">
      <c r="I286" s="116"/>
      <c r="J286" s="116"/>
      <c r="K286" s="116"/>
      <c r="L286" s="116"/>
      <c r="M286" s="116"/>
      <c r="N286" s="116"/>
      <c r="AB286" s="332"/>
      <c r="AQ286" s="336"/>
      <c r="AR286" s="336"/>
      <c r="AS286" s="336"/>
      <c r="BD286" s="332"/>
    </row>
    <row r="287" spans="9:56" ht="13">
      <c r="I287" s="116"/>
      <c r="J287" s="116"/>
      <c r="K287" s="116"/>
      <c r="L287" s="116"/>
      <c r="M287" s="116"/>
      <c r="N287" s="116"/>
      <c r="AB287" s="332"/>
      <c r="AQ287" s="336"/>
      <c r="AR287" s="336"/>
      <c r="AS287" s="336"/>
      <c r="BD287" s="332"/>
    </row>
    <row r="288" spans="9:56" ht="13">
      <c r="I288" s="116"/>
      <c r="J288" s="116"/>
      <c r="K288" s="116"/>
      <c r="L288" s="116"/>
      <c r="M288" s="116"/>
      <c r="N288" s="116"/>
      <c r="AB288" s="332"/>
      <c r="AQ288" s="336"/>
      <c r="AR288" s="336"/>
      <c r="AS288" s="336"/>
      <c r="BD288" s="332"/>
    </row>
    <row r="289" spans="9:56" ht="13">
      <c r="I289" s="116"/>
      <c r="J289" s="116"/>
      <c r="K289" s="116"/>
      <c r="L289" s="116"/>
      <c r="M289" s="116"/>
      <c r="N289" s="116"/>
      <c r="AB289" s="332"/>
      <c r="AQ289" s="336"/>
      <c r="AR289" s="336"/>
      <c r="AS289" s="336"/>
      <c r="BD289" s="332"/>
    </row>
    <row r="290" spans="9:56" ht="13">
      <c r="I290" s="116"/>
      <c r="J290" s="116"/>
      <c r="K290" s="116"/>
      <c r="L290" s="116"/>
      <c r="M290" s="116"/>
      <c r="N290" s="116"/>
      <c r="AB290" s="332"/>
      <c r="AQ290" s="336"/>
      <c r="AR290" s="336"/>
      <c r="AS290" s="336"/>
      <c r="BD290" s="332"/>
    </row>
    <row r="291" spans="9:56" ht="13">
      <c r="I291" s="116"/>
      <c r="J291" s="116"/>
      <c r="K291" s="116"/>
      <c r="L291" s="116"/>
      <c r="M291" s="116"/>
      <c r="N291" s="116"/>
      <c r="AB291" s="332"/>
      <c r="AQ291" s="336"/>
      <c r="AR291" s="336"/>
      <c r="AS291" s="336"/>
      <c r="BD291" s="332"/>
    </row>
    <row r="292" spans="9:56" ht="13">
      <c r="I292" s="116"/>
      <c r="J292" s="116"/>
      <c r="K292" s="116"/>
      <c r="L292" s="116"/>
      <c r="M292" s="116"/>
      <c r="N292" s="116"/>
      <c r="AB292" s="332"/>
      <c r="AQ292" s="336"/>
      <c r="AR292" s="336"/>
      <c r="AS292" s="336"/>
      <c r="BD292" s="332"/>
    </row>
    <row r="293" spans="9:56" ht="13">
      <c r="I293" s="116"/>
      <c r="J293" s="116"/>
      <c r="K293" s="116"/>
      <c r="L293" s="116"/>
      <c r="M293" s="116"/>
      <c r="N293" s="116"/>
      <c r="AB293" s="332"/>
      <c r="AQ293" s="336"/>
      <c r="AR293" s="336"/>
      <c r="AS293" s="336"/>
      <c r="BD293" s="332"/>
    </row>
    <row r="294" spans="9:56" ht="13">
      <c r="I294" s="116"/>
      <c r="J294" s="116"/>
      <c r="K294" s="116"/>
      <c r="L294" s="116"/>
      <c r="M294" s="116"/>
      <c r="N294" s="116"/>
      <c r="AB294" s="332"/>
      <c r="AQ294" s="336"/>
      <c r="AR294" s="336"/>
      <c r="AS294" s="336"/>
      <c r="BD294" s="332"/>
    </row>
    <row r="295" spans="9:56" ht="13">
      <c r="I295" s="116"/>
      <c r="J295" s="116"/>
      <c r="K295" s="116"/>
      <c r="L295" s="116"/>
      <c r="M295" s="116"/>
      <c r="N295" s="116"/>
      <c r="AB295" s="332"/>
      <c r="AQ295" s="336"/>
      <c r="AR295" s="336"/>
      <c r="AS295" s="336"/>
      <c r="BD295" s="332"/>
    </row>
    <row r="296" spans="9:56" ht="13">
      <c r="I296" s="116"/>
      <c r="J296" s="116"/>
      <c r="K296" s="116"/>
      <c r="L296" s="116"/>
      <c r="M296" s="116"/>
      <c r="N296" s="116"/>
      <c r="AB296" s="332"/>
      <c r="AQ296" s="336"/>
      <c r="AR296" s="336"/>
      <c r="AS296" s="336"/>
      <c r="BD296" s="332"/>
    </row>
    <row r="297" spans="9:56" ht="13">
      <c r="I297" s="116"/>
      <c r="J297" s="116"/>
      <c r="K297" s="116"/>
      <c r="L297" s="116"/>
      <c r="M297" s="116"/>
      <c r="N297" s="116"/>
      <c r="AB297" s="332"/>
      <c r="AQ297" s="336"/>
      <c r="AR297" s="336"/>
      <c r="AS297" s="336"/>
      <c r="BD297" s="332"/>
    </row>
    <row r="298" spans="9:56" ht="13">
      <c r="I298" s="116"/>
      <c r="J298" s="116"/>
      <c r="K298" s="116"/>
      <c r="L298" s="116"/>
      <c r="M298" s="116"/>
      <c r="N298" s="116"/>
      <c r="AB298" s="332"/>
      <c r="AQ298" s="336"/>
      <c r="AR298" s="336"/>
      <c r="AS298" s="336"/>
      <c r="BD298" s="332"/>
    </row>
    <row r="299" spans="9:56" ht="13">
      <c r="I299" s="116"/>
      <c r="J299" s="116"/>
      <c r="K299" s="116"/>
      <c r="L299" s="116"/>
      <c r="M299" s="116"/>
      <c r="N299" s="116"/>
      <c r="AB299" s="332"/>
      <c r="AQ299" s="336"/>
      <c r="AR299" s="336"/>
      <c r="AS299" s="336"/>
      <c r="BD299" s="332"/>
    </row>
    <row r="300" spans="9:56" ht="13">
      <c r="I300" s="116"/>
      <c r="J300" s="116"/>
      <c r="K300" s="116"/>
      <c r="L300" s="116"/>
      <c r="M300" s="116"/>
      <c r="N300" s="116"/>
      <c r="AB300" s="332"/>
      <c r="AQ300" s="336"/>
      <c r="AR300" s="336"/>
      <c r="AS300" s="336"/>
      <c r="BD300" s="332"/>
    </row>
    <row r="301" spans="9:56" ht="13">
      <c r="I301" s="116"/>
      <c r="J301" s="116"/>
      <c r="K301" s="116"/>
      <c r="L301" s="116"/>
      <c r="M301" s="116"/>
      <c r="N301" s="116"/>
      <c r="AB301" s="332"/>
      <c r="AQ301" s="336"/>
      <c r="AR301" s="336"/>
      <c r="AS301" s="336"/>
      <c r="BD301" s="332"/>
    </row>
    <row r="302" spans="9:56" ht="13">
      <c r="I302" s="116"/>
      <c r="J302" s="116"/>
      <c r="K302" s="116"/>
      <c r="L302" s="116"/>
      <c r="M302" s="116"/>
      <c r="N302" s="116"/>
      <c r="AB302" s="332"/>
      <c r="AQ302" s="336"/>
      <c r="AR302" s="336"/>
      <c r="AS302" s="336"/>
      <c r="BD302" s="332"/>
    </row>
    <row r="303" spans="9:56" ht="13">
      <c r="I303" s="116"/>
      <c r="J303" s="116"/>
      <c r="K303" s="116"/>
      <c r="L303" s="116"/>
      <c r="M303" s="116"/>
      <c r="N303" s="116"/>
      <c r="AB303" s="332"/>
      <c r="AQ303" s="336"/>
      <c r="AR303" s="336"/>
      <c r="AS303" s="336"/>
      <c r="BD303" s="332"/>
    </row>
    <row r="304" spans="9:56" ht="13">
      <c r="I304" s="116"/>
      <c r="J304" s="116"/>
      <c r="K304" s="116"/>
      <c r="L304" s="116"/>
      <c r="M304" s="116"/>
      <c r="N304" s="116"/>
      <c r="AB304" s="332"/>
      <c r="AQ304" s="336"/>
      <c r="AR304" s="336"/>
      <c r="AS304" s="336"/>
      <c r="BD304" s="332"/>
    </row>
    <row r="305" spans="9:56" ht="13">
      <c r="I305" s="116"/>
      <c r="J305" s="116"/>
      <c r="K305" s="116"/>
      <c r="L305" s="116"/>
      <c r="M305" s="116"/>
      <c r="N305" s="116"/>
      <c r="AB305" s="332"/>
      <c r="AQ305" s="336"/>
      <c r="AR305" s="336"/>
      <c r="AS305" s="336"/>
      <c r="BD305" s="332"/>
    </row>
    <row r="306" spans="9:56" ht="13">
      <c r="I306" s="116"/>
      <c r="J306" s="116"/>
      <c r="K306" s="116"/>
      <c r="L306" s="116"/>
      <c r="M306" s="116"/>
      <c r="N306" s="116"/>
      <c r="AB306" s="332"/>
      <c r="AQ306" s="336"/>
      <c r="AR306" s="336"/>
      <c r="AS306" s="336"/>
      <c r="BD306" s="332"/>
    </row>
    <row r="307" spans="9:56" ht="13">
      <c r="I307" s="116"/>
      <c r="J307" s="116"/>
      <c r="K307" s="116"/>
      <c r="L307" s="116"/>
      <c r="M307" s="116"/>
      <c r="N307" s="116"/>
      <c r="AB307" s="332"/>
      <c r="AQ307" s="336"/>
      <c r="AR307" s="336"/>
      <c r="AS307" s="336"/>
      <c r="BD307" s="332"/>
    </row>
    <row r="308" spans="9:56" ht="13">
      <c r="I308" s="116"/>
      <c r="J308" s="116"/>
      <c r="K308" s="116"/>
      <c r="L308" s="116"/>
      <c r="M308" s="116"/>
      <c r="N308" s="116"/>
      <c r="AB308" s="332"/>
      <c r="AQ308" s="336"/>
      <c r="AR308" s="336"/>
      <c r="AS308" s="336"/>
      <c r="BD308" s="332"/>
    </row>
    <row r="309" spans="9:56" ht="13">
      <c r="I309" s="116"/>
      <c r="J309" s="116"/>
      <c r="K309" s="116"/>
      <c r="L309" s="116"/>
      <c r="M309" s="116"/>
      <c r="N309" s="116"/>
      <c r="AB309" s="332"/>
      <c r="AQ309" s="336"/>
      <c r="AR309" s="336"/>
      <c r="AS309" s="336"/>
      <c r="BD309" s="332"/>
    </row>
    <row r="310" spans="9:56" ht="13">
      <c r="I310" s="116"/>
      <c r="J310" s="116"/>
      <c r="K310" s="116"/>
      <c r="L310" s="116"/>
      <c r="M310" s="116"/>
      <c r="N310" s="116"/>
      <c r="AB310" s="332"/>
      <c r="AQ310" s="336"/>
      <c r="AR310" s="336"/>
      <c r="AS310" s="336"/>
      <c r="BD310" s="332"/>
    </row>
    <row r="311" spans="9:56" ht="13">
      <c r="I311" s="116"/>
      <c r="J311" s="116"/>
      <c r="K311" s="116"/>
      <c r="L311" s="116"/>
      <c r="M311" s="116"/>
      <c r="N311" s="116"/>
      <c r="AB311" s="332"/>
      <c r="AQ311" s="336"/>
      <c r="AR311" s="336"/>
      <c r="AS311" s="336"/>
      <c r="BD311" s="332"/>
    </row>
    <row r="312" spans="9:56" ht="13">
      <c r="I312" s="116"/>
      <c r="J312" s="116"/>
      <c r="K312" s="116"/>
      <c r="L312" s="116"/>
      <c r="M312" s="116"/>
      <c r="N312" s="116"/>
      <c r="AB312" s="332"/>
      <c r="AQ312" s="336"/>
      <c r="AR312" s="336"/>
      <c r="AS312" s="336"/>
      <c r="BD312" s="332"/>
    </row>
    <row r="313" spans="9:56" ht="13">
      <c r="I313" s="116"/>
      <c r="J313" s="116"/>
      <c r="K313" s="116"/>
      <c r="L313" s="116"/>
      <c r="M313" s="116"/>
      <c r="N313" s="116"/>
      <c r="AB313" s="332"/>
      <c r="AQ313" s="336"/>
      <c r="AR313" s="336"/>
      <c r="AS313" s="336"/>
      <c r="BD313" s="332"/>
    </row>
    <row r="314" spans="9:56" ht="13">
      <c r="I314" s="116"/>
      <c r="J314" s="116"/>
      <c r="K314" s="116"/>
      <c r="L314" s="116"/>
      <c r="M314" s="116"/>
      <c r="N314" s="116"/>
      <c r="AB314" s="332"/>
      <c r="AQ314" s="336"/>
      <c r="AR314" s="336"/>
      <c r="AS314" s="336"/>
      <c r="BD314" s="332"/>
    </row>
    <row r="315" spans="9:56" ht="13">
      <c r="I315" s="116"/>
      <c r="J315" s="116"/>
      <c r="K315" s="116"/>
      <c r="L315" s="116"/>
      <c r="M315" s="116"/>
      <c r="N315" s="116"/>
      <c r="AB315" s="332"/>
      <c r="AQ315" s="336"/>
      <c r="AR315" s="336"/>
      <c r="AS315" s="336"/>
      <c r="BD315" s="332"/>
    </row>
    <row r="316" spans="9:56" ht="13">
      <c r="I316" s="116"/>
      <c r="J316" s="116"/>
      <c r="K316" s="116"/>
      <c r="L316" s="116"/>
      <c r="M316" s="116"/>
      <c r="N316" s="116"/>
      <c r="AB316" s="332"/>
      <c r="AQ316" s="336"/>
      <c r="AR316" s="336"/>
      <c r="AS316" s="336"/>
      <c r="BD316" s="332"/>
    </row>
    <row r="317" spans="9:56" ht="13">
      <c r="I317" s="116"/>
      <c r="J317" s="116"/>
      <c r="K317" s="116"/>
      <c r="L317" s="116"/>
      <c r="M317" s="116"/>
      <c r="N317" s="116"/>
      <c r="AB317" s="332"/>
      <c r="AQ317" s="336"/>
      <c r="AR317" s="336"/>
      <c r="AS317" s="336"/>
      <c r="BD317" s="332"/>
    </row>
    <row r="318" spans="9:56" ht="13">
      <c r="I318" s="116"/>
      <c r="J318" s="116"/>
      <c r="K318" s="116"/>
      <c r="L318" s="116"/>
      <c r="M318" s="116"/>
      <c r="N318" s="116"/>
      <c r="AB318" s="332"/>
      <c r="AQ318" s="336"/>
      <c r="AR318" s="336"/>
      <c r="AS318" s="336"/>
      <c r="BD318" s="332"/>
    </row>
    <row r="319" spans="9:56" ht="13">
      <c r="I319" s="116"/>
      <c r="J319" s="116"/>
      <c r="K319" s="116"/>
      <c r="L319" s="116"/>
      <c r="M319" s="116"/>
      <c r="N319" s="116"/>
      <c r="AB319" s="332"/>
      <c r="AQ319" s="336"/>
      <c r="AR319" s="336"/>
      <c r="AS319" s="336"/>
      <c r="BD319" s="332"/>
    </row>
    <row r="320" spans="9:56" ht="13">
      <c r="I320" s="116"/>
      <c r="J320" s="116"/>
      <c r="K320" s="116"/>
      <c r="L320" s="116"/>
      <c r="M320" s="116"/>
      <c r="N320" s="116"/>
      <c r="AB320" s="332"/>
      <c r="AQ320" s="336"/>
      <c r="AR320" s="336"/>
      <c r="AS320" s="336"/>
      <c r="BD320" s="332"/>
    </row>
    <row r="321" spans="9:56" ht="13">
      <c r="I321" s="116"/>
      <c r="J321" s="116"/>
      <c r="K321" s="116"/>
      <c r="L321" s="116"/>
      <c r="M321" s="116"/>
      <c r="N321" s="116"/>
      <c r="AB321" s="332"/>
      <c r="AQ321" s="336"/>
      <c r="AR321" s="336"/>
      <c r="AS321" s="336"/>
      <c r="BD321" s="332"/>
    </row>
    <row r="322" spans="9:56" ht="13">
      <c r="I322" s="116"/>
      <c r="J322" s="116"/>
      <c r="K322" s="116"/>
      <c r="L322" s="116"/>
      <c r="M322" s="116"/>
      <c r="N322" s="116"/>
      <c r="AB322" s="332"/>
      <c r="AQ322" s="336"/>
      <c r="AR322" s="336"/>
      <c r="AS322" s="336"/>
      <c r="BD322" s="332"/>
    </row>
    <row r="323" spans="9:56" ht="13">
      <c r="I323" s="116"/>
      <c r="J323" s="116"/>
      <c r="K323" s="116"/>
      <c r="L323" s="116"/>
      <c r="M323" s="116"/>
      <c r="N323" s="116"/>
      <c r="AB323" s="332"/>
      <c r="AQ323" s="336"/>
      <c r="AR323" s="336"/>
      <c r="AS323" s="336"/>
      <c r="BD323" s="332"/>
    </row>
    <row r="324" spans="9:56" ht="13">
      <c r="I324" s="116"/>
      <c r="J324" s="116"/>
      <c r="K324" s="116"/>
      <c r="L324" s="116"/>
      <c r="M324" s="116"/>
      <c r="N324" s="116"/>
      <c r="AB324" s="332"/>
      <c r="AQ324" s="336"/>
      <c r="AR324" s="336"/>
      <c r="AS324" s="336"/>
      <c r="BD324" s="332"/>
    </row>
    <row r="325" spans="9:56" ht="13">
      <c r="I325" s="116"/>
      <c r="J325" s="116"/>
      <c r="K325" s="116"/>
      <c r="L325" s="116"/>
      <c r="M325" s="116"/>
      <c r="N325" s="116"/>
      <c r="AB325" s="332"/>
      <c r="AQ325" s="336"/>
      <c r="AR325" s="336"/>
      <c r="AS325" s="336"/>
      <c r="BD325" s="332"/>
    </row>
    <row r="326" spans="9:56" ht="13">
      <c r="I326" s="116"/>
      <c r="J326" s="116"/>
      <c r="K326" s="116"/>
      <c r="L326" s="116"/>
      <c r="M326" s="116"/>
      <c r="N326" s="116"/>
      <c r="AB326" s="332"/>
      <c r="AQ326" s="336"/>
      <c r="AR326" s="336"/>
      <c r="AS326" s="336"/>
      <c r="BD326" s="332"/>
    </row>
    <row r="327" spans="9:56" ht="13">
      <c r="I327" s="116"/>
      <c r="J327" s="116"/>
      <c r="K327" s="116"/>
      <c r="L327" s="116"/>
      <c r="M327" s="116"/>
      <c r="N327" s="116"/>
      <c r="AB327" s="332"/>
      <c r="AQ327" s="336"/>
      <c r="AR327" s="336"/>
      <c r="AS327" s="336"/>
      <c r="BD327" s="332"/>
    </row>
    <row r="328" spans="9:56" ht="13">
      <c r="I328" s="116"/>
      <c r="J328" s="116"/>
      <c r="K328" s="116"/>
      <c r="L328" s="116"/>
      <c r="M328" s="116"/>
      <c r="N328" s="116"/>
      <c r="AB328" s="332"/>
      <c r="AQ328" s="336"/>
      <c r="AR328" s="336"/>
      <c r="AS328" s="336"/>
      <c r="BD328" s="332"/>
    </row>
    <row r="329" spans="9:56" ht="13">
      <c r="I329" s="116"/>
      <c r="J329" s="116"/>
      <c r="K329" s="116"/>
      <c r="L329" s="116"/>
      <c r="M329" s="116"/>
      <c r="N329" s="116"/>
      <c r="AB329" s="332"/>
      <c r="AQ329" s="336"/>
      <c r="AR329" s="336"/>
      <c r="AS329" s="336"/>
      <c r="BD329" s="332"/>
    </row>
    <row r="330" spans="9:56" ht="13">
      <c r="I330" s="116"/>
      <c r="J330" s="116"/>
      <c r="K330" s="116"/>
      <c r="L330" s="116"/>
      <c r="M330" s="116"/>
      <c r="N330" s="116"/>
      <c r="AB330" s="332"/>
      <c r="AQ330" s="336"/>
      <c r="AR330" s="336"/>
      <c r="AS330" s="336"/>
      <c r="BD330" s="332"/>
    </row>
    <row r="331" spans="9:56" ht="13">
      <c r="I331" s="116"/>
      <c r="J331" s="116"/>
      <c r="K331" s="116"/>
      <c r="L331" s="116"/>
      <c r="M331" s="116"/>
      <c r="N331" s="116"/>
      <c r="AB331" s="332"/>
      <c r="AQ331" s="336"/>
      <c r="AR331" s="336"/>
      <c r="AS331" s="336"/>
      <c r="BD331" s="332"/>
    </row>
    <row r="332" spans="9:56" ht="13">
      <c r="I332" s="116"/>
      <c r="J332" s="116"/>
      <c r="K332" s="116"/>
      <c r="L332" s="116"/>
      <c r="M332" s="116"/>
      <c r="N332" s="116"/>
      <c r="AB332" s="332"/>
      <c r="AQ332" s="336"/>
      <c r="AR332" s="336"/>
      <c r="AS332" s="336"/>
      <c r="BD332" s="332"/>
    </row>
    <row r="333" spans="9:56" ht="13">
      <c r="I333" s="116"/>
      <c r="J333" s="116"/>
      <c r="K333" s="116"/>
      <c r="L333" s="116"/>
      <c r="M333" s="116"/>
      <c r="N333" s="116"/>
      <c r="AB333" s="332"/>
      <c r="AQ333" s="336"/>
      <c r="AR333" s="336"/>
      <c r="AS333" s="336"/>
      <c r="BD333" s="332"/>
    </row>
    <row r="334" spans="9:56" ht="13">
      <c r="I334" s="116"/>
      <c r="J334" s="116"/>
      <c r="K334" s="116"/>
      <c r="L334" s="116"/>
      <c r="M334" s="116"/>
      <c r="N334" s="116"/>
      <c r="AB334" s="332"/>
      <c r="AQ334" s="336"/>
      <c r="AR334" s="336"/>
      <c r="AS334" s="336"/>
      <c r="BD334" s="332"/>
    </row>
    <row r="335" spans="9:56" ht="13">
      <c r="I335" s="116"/>
      <c r="J335" s="116"/>
      <c r="K335" s="116"/>
      <c r="L335" s="116"/>
      <c r="M335" s="116"/>
      <c r="N335" s="116"/>
      <c r="AB335" s="332"/>
      <c r="AQ335" s="336"/>
      <c r="AR335" s="336"/>
      <c r="AS335" s="336"/>
      <c r="BD335" s="332"/>
    </row>
    <row r="336" spans="9:56" ht="13">
      <c r="I336" s="116"/>
      <c r="J336" s="116"/>
      <c r="K336" s="116"/>
      <c r="L336" s="116"/>
      <c r="M336" s="116"/>
      <c r="N336" s="116"/>
      <c r="AB336" s="332"/>
      <c r="AQ336" s="336"/>
      <c r="AR336" s="336"/>
      <c r="AS336" s="336"/>
      <c r="BD336" s="332"/>
    </row>
    <row r="337" spans="9:56" ht="13">
      <c r="I337" s="116"/>
      <c r="J337" s="116"/>
      <c r="K337" s="116"/>
      <c r="L337" s="116"/>
      <c r="M337" s="116"/>
      <c r="N337" s="116"/>
      <c r="AB337" s="332"/>
      <c r="AQ337" s="336"/>
      <c r="AR337" s="336"/>
      <c r="AS337" s="336"/>
      <c r="BD337" s="332"/>
    </row>
    <row r="338" spans="9:56" ht="13">
      <c r="I338" s="116"/>
      <c r="J338" s="116"/>
      <c r="K338" s="116"/>
      <c r="L338" s="116"/>
      <c r="M338" s="116"/>
      <c r="N338" s="116"/>
      <c r="AB338" s="332"/>
      <c r="AQ338" s="336"/>
      <c r="AR338" s="336"/>
      <c r="AS338" s="336"/>
      <c r="BD338" s="332"/>
    </row>
    <row r="339" spans="9:56" ht="13">
      <c r="I339" s="116"/>
      <c r="J339" s="116"/>
      <c r="K339" s="116"/>
      <c r="L339" s="116"/>
      <c r="M339" s="116"/>
      <c r="N339" s="116"/>
      <c r="AB339" s="332"/>
      <c r="AQ339" s="336"/>
      <c r="AR339" s="336"/>
      <c r="AS339" s="336"/>
      <c r="BD339" s="332"/>
    </row>
    <row r="340" spans="9:56" ht="13">
      <c r="I340" s="116"/>
      <c r="J340" s="116"/>
      <c r="K340" s="116"/>
      <c r="L340" s="116"/>
      <c r="M340" s="116"/>
      <c r="N340" s="116"/>
      <c r="AB340" s="332"/>
      <c r="AQ340" s="336"/>
      <c r="AR340" s="336"/>
      <c r="AS340" s="336"/>
      <c r="BD340" s="332"/>
    </row>
    <row r="341" spans="9:56" ht="13">
      <c r="I341" s="116"/>
      <c r="J341" s="116"/>
      <c r="K341" s="116"/>
      <c r="L341" s="116"/>
      <c r="M341" s="116"/>
      <c r="N341" s="116"/>
      <c r="AB341" s="332"/>
      <c r="AQ341" s="336"/>
      <c r="AR341" s="336"/>
      <c r="AS341" s="336"/>
      <c r="BD341" s="332"/>
    </row>
    <row r="342" spans="9:56" ht="13">
      <c r="I342" s="116"/>
      <c r="J342" s="116"/>
      <c r="K342" s="116"/>
      <c r="L342" s="116"/>
      <c r="M342" s="116"/>
      <c r="N342" s="116"/>
      <c r="AB342" s="332"/>
      <c r="AQ342" s="336"/>
      <c r="AR342" s="336"/>
      <c r="AS342" s="336"/>
      <c r="BD342" s="332"/>
    </row>
    <row r="343" spans="9:56" ht="13">
      <c r="I343" s="116"/>
      <c r="J343" s="116"/>
      <c r="K343" s="116"/>
      <c r="L343" s="116"/>
      <c r="M343" s="116"/>
      <c r="N343" s="116"/>
      <c r="AB343" s="332"/>
      <c r="AQ343" s="336"/>
      <c r="AR343" s="336"/>
      <c r="AS343" s="336"/>
      <c r="BD343" s="332"/>
    </row>
    <row r="344" spans="9:56" ht="13">
      <c r="I344" s="116"/>
      <c r="J344" s="116"/>
      <c r="K344" s="116"/>
      <c r="L344" s="116"/>
      <c r="M344" s="116"/>
      <c r="N344" s="116"/>
      <c r="AB344" s="332"/>
      <c r="AQ344" s="336"/>
      <c r="AR344" s="336"/>
      <c r="AS344" s="336"/>
      <c r="BD344" s="332"/>
    </row>
    <row r="345" spans="9:56" ht="13">
      <c r="I345" s="116"/>
      <c r="J345" s="116"/>
      <c r="K345" s="116"/>
      <c r="L345" s="116"/>
      <c r="M345" s="116"/>
      <c r="N345" s="116"/>
      <c r="AB345" s="332"/>
      <c r="AQ345" s="336"/>
      <c r="AR345" s="336"/>
      <c r="AS345" s="336"/>
      <c r="BD345" s="332"/>
    </row>
    <row r="346" spans="9:56" ht="13">
      <c r="I346" s="116"/>
      <c r="J346" s="116"/>
      <c r="K346" s="116"/>
      <c r="L346" s="116"/>
      <c r="M346" s="116"/>
      <c r="N346" s="116"/>
      <c r="AB346" s="332"/>
      <c r="AQ346" s="336"/>
      <c r="AR346" s="336"/>
      <c r="AS346" s="336"/>
      <c r="BD346" s="332"/>
    </row>
    <row r="347" spans="9:56" ht="13">
      <c r="I347" s="116"/>
      <c r="J347" s="116"/>
      <c r="K347" s="116"/>
      <c r="L347" s="116"/>
      <c r="M347" s="116"/>
      <c r="N347" s="116"/>
      <c r="AB347" s="332"/>
      <c r="AQ347" s="336"/>
      <c r="AR347" s="336"/>
      <c r="AS347" s="336"/>
      <c r="BD347" s="332"/>
    </row>
    <row r="348" spans="9:56" ht="13">
      <c r="I348" s="116"/>
      <c r="J348" s="116"/>
      <c r="K348" s="116"/>
      <c r="L348" s="116"/>
      <c r="M348" s="116"/>
      <c r="N348" s="116"/>
      <c r="AB348" s="332"/>
      <c r="AQ348" s="336"/>
      <c r="AR348" s="336"/>
      <c r="AS348" s="336"/>
      <c r="BD348" s="332"/>
    </row>
    <row r="349" spans="9:56" ht="13">
      <c r="I349" s="116"/>
      <c r="J349" s="116"/>
      <c r="K349" s="116"/>
      <c r="L349" s="116"/>
      <c r="M349" s="116"/>
      <c r="N349" s="116"/>
      <c r="AB349" s="332"/>
      <c r="AQ349" s="336"/>
      <c r="AR349" s="336"/>
      <c r="AS349" s="336"/>
      <c r="BD349" s="332"/>
    </row>
    <row r="350" spans="9:56" ht="13">
      <c r="I350" s="116"/>
      <c r="J350" s="116"/>
      <c r="K350" s="116"/>
      <c r="L350" s="116"/>
      <c r="M350" s="116"/>
      <c r="N350" s="116"/>
      <c r="AB350" s="332"/>
      <c r="AQ350" s="336"/>
      <c r="AR350" s="336"/>
      <c r="AS350" s="336"/>
      <c r="BD350" s="332"/>
    </row>
    <row r="351" spans="9:56" ht="13">
      <c r="I351" s="116"/>
      <c r="J351" s="116"/>
      <c r="K351" s="116"/>
      <c r="L351" s="116"/>
      <c r="M351" s="116"/>
      <c r="N351" s="116"/>
      <c r="AB351" s="332"/>
      <c r="AQ351" s="336"/>
      <c r="AR351" s="336"/>
      <c r="AS351" s="336"/>
      <c r="BD351" s="332"/>
    </row>
    <row r="352" spans="9:56" ht="13">
      <c r="I352" s="116"/>
      <c r="J352" s="116"/>
      <c r="K352" s="116"/>
      <c r="L352" s="116"/>
      <c r="M352" s="116"/>
      <c r="N352" s="116"/>
      <c r="AB352" s="332"/>
      <c r="AQ352" s="336"/>
      <c r="AR352" s="336"/>
      <c r="AS352" s="336"/>
      <c r="BD352" s="332"/>
    </row>
    <row r="353" spans="9:56" ht="13">
      <c r="I353" s="116"/>
      <c r="J353" s="116"/>
      <c r="K353" s="116"/>
      <c r="L353" s="116"/>
      <c r="M353" s="116"/>
      <c r="N353" s="116"/>
      <c r="AB353" s="332"/>
      <c r="AQ353" s="336"/>
      <c r="AR353" s="336"/>
      <c r="AS353" s="336"/>
      <c r="BD353" s="332"/>
    </row>
    <row r="354" spans="9:56" ht="13">
      <c r="I354" s="116"/>
      <c r="J354" s="116"/>
      <c r="K354" s="116"/>
      <c r="L354" s="116"/>
      <c r="M354" s="116"/>
      <c r="N354" s="116"/>
      <c r="AB354" s="332"/>
      <c r="AQ354" s="336"/>
      <c r="AR354" s="336"/>
      <c r="AS354" s="336"/>
      <c r="BD354" s="332"/>
    </row>
    <row r="355" spans="9:56" ht="13">
      <c r="I355" s="116"/>
      <c r="J355" s="116"/>
      <c r="K355" s="116"/>
      <c r="L355" s="116"/>
      <c r="M355" s="116"/>
      <c r="N355" s="116"/>
      <c r="AB355" s="332"/>
      <c r="AQ355" s="336"/>
      <c r="AR355" s="336"/>
      <c r="AS355" s="336"/>
      <c r="BD355" s="332"/>
    </row>
    <row r="356" spans="9:56" ht="13">
      <c r="I356" s="116"/>
      <c r="J356" s="116"/>
      <c r="K356" s="116"/>
      <c r="L356" s="116"/>
      <c r="M356" s="116"/>
      <c r="N356" s="116"/>
      <c r="AB356" s="332"/>
      <c r="AQ356" s="336"/>
      <c r="AR356" s="336"/>
      <c r="AS356" s="336"/>
      <c r="BD356" s="332"/>
    </row>
    <row r="357" spans="9:56" ht="13">
      <c r="I357" s="116"/>
      <c r="J357" s="116"/>
      <c r="K357" s="116"/>
      <c r="L357" s="116"/>
      <c r="M357" s="116"/>
      <c r="N357" s="116"/>
      <c r="AB357" s="332"/>
      <c r="AQ357" s="336"/>
      <c r="AR357" s="336"/>
      <c r="AS357" s="336"/>
      <c r="BD357" s="332"/>
    </row>
    <row r="358" spans="9:56" ht="13">
      <c r="I358" s="116"/>
      <c r="J358" s="116"/>
      <c r="K358" s="116"/>
      <c r="L358" s="116"/>
      <c r="M358" s="116"/>
      <c r="N358" s="116"/>
      <c r="AB358" s="332"/>
      <c r="AQ358" s="336"/>
      <c r="AR358" s="336"/>
      <c r="AS358" s="336"/>
      <c r="BD358" s="332"/>
    </row>
    <row r="359" spans="9:56" ht="13">
      <c r="I359" s="116"/>
      <c r="J359" s="116"/>
      <c r="K359" s="116"/>
      <c r="L359" s="116"/>
      <c r="M359" s="116"/>
      <c r="N359" s="116"/>
      <c r="AB359" s="332"/>
      <c r="AQ359" s="336"/>
      <c r="AR359" s="336"/>
      <c r="AS359" s="336"/>
      <c r="BD359" s="332"/>
    </row>
    <row r="360" spans="9:56" ht="13">
      <c r="I360" s="116"/>
      <c r="J360" s="116"/>
      <c r="K360" s="116"/>
      <c r="L360" s="116"/>
      <c r="M360" s="116"/>
      <c r="N360" s="116"/>
      <c r="AB360" s="332"/>
      <c r="AQ360" s="336"/>
      <c r="AR360" s="336"/>
      <c r="AS360" s="336"/>
      <c r="BD360" s="332"/>
    </row>
    <row r="361" spans="9:56" ht="13">
      <c r="I361" s="116"/>
      <c r="J361" s="116"/>
      <c r="K361" s="116"/>
      <c r="L361" s="116"/>
      <c r="M361" s="116"/>
      <c r="N361" s="116"/>
      <c r="AB361" s="332"/>
      <c r="AQ361" s="336"/>
      <c r="AR361" s="336"/>
      <c r="AS361" s="336"/>
      <c r="BD361" s="332"/>
    </row>
    <row r="362" spans="9:56" ht="13">
      <c r="I362" s="116"/>
      <c r="J362" s="116"/>
      <c r="K362" s="116"/>
      <c r="L362" s="116"/>
      <c r="M362" s="116"/>
      <c r="N362" s="116"/>
      <c r="AB362" s="332"/>
      <c r="AQ362" s="336"/>
      <c r="AR362" s="336"/>
      <c r="AS362" s="336"/>
      <c r="BD362" s="332"/>
    </row>
    <row r="363" spans="9:56" ht="13">
      <c r="I363" s="116"/>
      <c r="J363" s="116"/>
      <c r="K363" s="116"/>
      <c r="L363" s="116"/>
      <c r="M363" s="116"/>
      <c r="N363" s="116"/>
      <c r="AB363" s="332"/>
      <c r="AQ363" s="336"/>
      <c r="AR363" s="336"/>
      <c r="AS363" s="336"/>
      <c r="BD363" s="332"/>
    </row>
    <row r="364" spans="9:56" ht="13">
      <c r="I364" s="116"/>
      <c r="J364" s="116"/>
      <c r="K364" s="116"/>
      <c r="L364" s="116"/>
      <c r="M364" s="116"/>
      <c r="N364" s="116"/>
      <c r="AB364" s="332"/>
      <c r="AQ364" s="336"/>
      <c r="AR364" s="336"/>
      <c r="AS364" s="336"/>
      <c r="BD364" s="332"/>
    </row>
    <row r="365" spans="9:56" ht="13">
      <c r="I365" s="116"/>
      <c r="J365" s="116"/>
      <c r="K365" s="116"/>
      <c r="L365" s="116"/>
      <c r="M365" s="116"/>
      <c r="N365" s="116"/>
      <c r="AB365" s="332"/>
      <c r="AQ365" s="336"/>
      <c r="AR365" s="336"/>
      <c r="AS365" s="336"/>
      <c r="BD365" s="332"/>
    </row>
    <row r="366" spans="9:56" ht="13">
      <c r="I366" s="116"/>
      <c r="J366" s="116"/>
      <c r="K366" s="116"/>
      <c r="L366" s="116"/>
      <c r="M366" s="116"/>
      <c r="N366" s="116"/>
      <c r="AB366" s="332"/>
      <c r="AQ366" s="336"/>
      <c r="AR366" s="336"/>
      <c r="AS366" s="336"/>
      <c r="BD366" s="332"/>
    </row>
    <row r="367" spans="9:56" ht="13">
      <c r="I367" s="116"/>
      <c r="J367" s="116"/>
      <c r="K367" s="116"/>
      <c r="L367" s="116"/>
      <c r="M367" s="116"/>
      <c r="N367" s="116"/>
      <c r="AB367" s="332"/>
      <c r="AQ367" s="336"/>
      <c r="AR367" s="336"/>
      <c r="AS367" s="336"/>
      <c r="BD367" s="332"/>
    </row>
    <row r="368" spans="9:56" ht="13">
      <c r="I368" s="116"/>
      <c r="J368" s="116"/>
      <c r="K368" s="116"/>
      <c r="L368" s="116"/>
      <c r="M368" s="116"/>
      <c r="N368" s="116"/>
      <c r="AB368" s="332"/>
      <c r="AQ368" s="336"/>
      <c r="AR368" s="336"/>
      <c r="AS368" s="336"/>
      <c r="BD368" s="332"/>
    </row>
    <row r="369" spans="9:56" ht="13">
      <c r="I369" s="116"/>
      <c r="J369" s="116"/>
      <c r="K369" s="116"/>
      <c r="L369" s="116"/>
      <c r="M369" s="116"/>
      <c r="N369" s="116"/>
      <c r="AB369" s="332"/>
      <c r="AQ369" s="336"/>
      <c r="AR369" s="336"/>
      <c r="AS369" s="336"/>
      <c r="BD369" s="332"/>
    </row>
    <row r="370" spans="9:56" ht="13">
      <c r="I370" s="116"/>
      <c r="J370" s="116"/>
      <c r="K370" s="116"/>
      <c r="L370" s="116"/>
      <c r="M370" s="116"/>
      <c r="N370" s="116"/>
      <c r="AB370" s="332"/>
      <c r="AQ370" s="336"/>
      <c r="AR370" s="336"/>
      <c r="AS370" s="336"/>
      <c r="BD370" s="332"/>
    </row>
    <row r="371" spans="9:56" ht="13">
      <c r="I371" s="116"/>
      <c r="J371" s="116"/>
      <c r="K371" s="116"/>
      <c r="L371" s="116"/>
      <c r="M371" s="116"/>
      <c r="N371" s="116"/>
      <c r="AB371" s="332"/>
      <c r="AQ371" s="336"/>
      <c r="AR371" s="336"/>
      <c r="AS371" s="336"/>
      <c r="BD371" s="332"/>
    </row>
    <row r="372" spans="9:56" ht="13">
      <c r="I372" s="116"/>
      <c r="J372" s="116"/>
      <c r="K372" s="116"/>
      <c r="L372" s="116"/>
      <c r="M372" s="116"/>
      <c r="N372" s="116"/>
      <c r="AB372" s="332"/>
      <c r="AQ372" s="336"/>
      <c r="AR372" s="336"/>
      <c r="AS372" s="336"/>
      <c r="BD372" s="332"/>
    </row>
    <row r="373" spans="9:56" ht="13">
      <c r="I373" s="116"/>
      <c r="J373" s="116"/>
      <c r="K373" s="116"/>
      <c r="L373" s="116"/>
      <c r="M373" s="116"/>
      <c r="N373" s="116"/>
      <c r="AB373" s="332"/>
      <c r="AQ373" s="336"/>
      <c r="AR373" s="336"/>
      <c r="AS373" s="336"/>
      <c r="BD373" s="332"/>
    </row>
    <row r="374" spans="9:56" ht="13">
      <c r="I374" s="116"/>
      <c r="J374" s="116"/>
      <c r="K374" s="116"/>
      <c r="L374" s="116"/>
      <c r="M374" s="116"/>
      <c r="N374" s="116"/>
      <c r="AB374" s="332"/>
      <c r="AQ374" s="336"/>
      <c r="AR374" s="336"/>
      <c r="AS374" s="336"/>
      <c r="BD374" s="332"/>
    </row>
    <row r="375" spans="9:56" ht="13">
      <c r="I375" s="116"/>
      <c r="J375" s="116"/>
      <c r="K375" s="116"/>
      <c r="L375" s="116"/>
      <c r="M375" s="116"/>
      <c r="N375" s="116"/>
      <c r="AB375" s="332"/>
      <c r="AQ375" s="336"/>
      <c r="AR375" s="336"/>
      <c r="AS375" s="336"/>
      <c r="BD375" s="332"/>
    </row>
    <row r="376" spans="9:56" ht="13">
      <c r="I376" s="116"/>
      <c r="J376" s="116"/>
      <c r="K376" s="116"/>
      <c r="L376" s="116"/>
      <c r="M376" s="116"/>
      <c r="N376" s="116"/>
      <c r="AB376" s="332"/>
      <c r="AQ376" s="336"/>
      <c r="AR376" s="336"/>
      <c r="AS376" s="336"/>
      <c r="BD376" s="332"/>
    </row>
    <row r="377" spans="9:56" ht="13">
      <c r="I377" s="116"/>
      <c r="J377" s="116"/>
      <c r="K377" s="116"/>
      <c r="L377" s="116"/>
      <c r="M377" s="116"/>
      <c r="N377" s="116"/>
      <c r="AB377" s="332"/>
      <c r="AQ377" s="336"/>
      <c r="AR377" s="336"/>
      <c r="AS377" s="336"/>
      <c r="BD377" s="332"/>
    </row>
    <row r="378" spans="9:56" ht="13">
      <c r="I378" s="116"/>
      <c r="J378" s="116"/>
      <c r="K378" s="116"/>
      <c r="L378" s="116"/>
      <c r="M378" s="116"/>
      <c r="N378" s="116"/>
      <c r="AB378" s="332"/>
      <c r="AQ378" s="336"/>
      <c r="AR378" s="336"/>
      <c r="AS378" s="336"/>
      <c r="BD378" s="332"/>
    </row>
    <row r="379" spans="9:56" ht="13">
      <c r="I379" s="116"/>
      <c r="J379" s="116"/>
      <c r="K379" s="116"/>
      <c r="L379" s="116"/>
      <c r="M379" s="116"/>
      <c r="N379" s="116"/>
      <c r="AB379" s="332"/>
      <c r="AQ379" s="336"/>
      <c r="AR379" s="336"/>
      <c r="AS379" s="336"/>
      <c r="BD379" s="332"/>
    </row>
    <row r="380" spans="9:56" ht="13">
      <c r="I380" s="116"/>
      <c r="J380" s="116"/>
      <c r="K380" s="116"/>
      <c r="L380" s="116"/>
      <c r="M380" s="116"/>
      <c r="N380" s="116"/>
      <c r="AB380" s="332"/>
      <c r="AQ380" s="336"/>
      <c r="AR380" s="336"/>
      <c r="AS380" s="336"/>
      <c r="BD380" s="332"/>
    </row>
    <row r="381" spans="9:56" ht="13">
      <c r="I381" s="116"/>
      <c r="J381" s="116"/>
      <c r="K381" s="116"/>
      <c r="L381" s="116"/>
      <c r="M381" s="116"/>
      <c r="N381" s="116"/>
      <c r="AB381" s="332"/>
      <c r="AQ381" s="336"/>
      <c r="AR381" s="336"/>
      <c r="AS381" s="336"/>
      <c r="BD381" s="332"/>
    </row>
    <row r="382" spans="9:56" ht="13">
      <c r="I382" s="116"/>
      <c r="J382" s="116"/>
      <c r="K382" s="116"/>
      <c r="L382" s="116"/>
      <c r="M382" s="116"/>
      <c r="N382" s="116"/>
      <c r="AB382" s="332"/>
      <c r="AQ382" s="336"/>
      <c r="AR382" s="336"/>
      <c r="AS382" s="336"/>
      <c r="BD382" s="332"/>
    </row>
    <row r="383" spans="9:56" ht="13">
      <c r="I383" s="116"/>
      <c r="J383" s="116"/>
      <c r="K383" s="116"/>
      <c r="L383" s="116"/>
      <c r="M383" s="116"/>
      <c r="N383" s="116"/>
      <c r="AB383" s="332"/>
      <c r="AQ383" s="336"/>
      <c r="AR383" s="336"/>
      <c r="AS383" s="336"/>
      <c r="BD383" s="332"/>
    </row>
    <row r="384" spans="9:56" ht="13">
      <c r="I384" s="116"/>
      <c r="J384" s="116"/>
      <c r="K384" s="116"/>
      <c r="L384" s="116"/>
      <c r="M384" s="116"/>
      <c r="N384" s="116"/>
      <c r="AB384" s="332"/>
      <c r="AQ384" s="336"/>
      <c r="AR384" s="336"/>
      <c r="AS384" s="336"/>
      <c r="BD384" s="332"/>
    </row>
    <row r="385" spans="9:56" ht="13">
      <c r="I385" s="116"/>
      <c r="J385" s="116"/>
      <c r="K385" s="116"/>
      <c r="L385" s="116"/>
      <c r="M385" s="116"/>
      <c r="N385" s="116"/>
      <c r="AB385" s="332"/>
      <c r="AQ385" s="336"/>
      <c r="AR385" s="336"/>
      <c r="AS385" s="336"/>
      <c r="BD385" s="332"/>
    </row>
    <row r="386" spans="9:56" ht="13">
      <c r="I386" s="116"/>
      <c r="J386" s="116"/>
      <c r="K386" s="116"/>
      <c r="L386" s="116"/>
      <c r="M386" s="116"/>
      <c r="N386" s="116"/>
      <c r="AB386" s="332"/>
      <c r="AQ386" s="336"/>
      <c r="AR386" s="336"/>
      <c r="AS386" s="336"/>
      <c r="BD386" s="332"/>
    </row>
    <row r="387" spans="9:56" ht="13">
      <c r="I387" s="116"/>
      <c r="J387" s="116"/>
      <c r="K387" s="116"/>
      <c r="L387" s="116"/>
      <c r="M387" s="116"/>
      <c r="N387" s="116"/>
      <c r="AB387" s="332"/>
      <c r="AQ387" s="336"/>
      <c r="AR387" s="336"/>
      <c r="AS387" s="336"/>
      <c r="BD387" s="332"/>
    </row>
    <row r="388" spans="9:56" ht="13">
      <c r="I388" s="116"/>
      <c r="J388" s="116"/>
      <c r="K388" s="116"/>
      <c r="L388" s="116"/>
      <c r="M388" s="116"/>
      <c r="N388" s="116"/>
      <c r="AB388" s="332"/>
      <c r="AQ388" s="336"/>
      <c r="AR388" s="336"/>
      <c r="AS388" s="336"/>
      <c r="BD388" s="332"/>
    </row>
    <row r="389" spans="9:56" ht="13">
      <c r="I389" s="116"/>
      <c r="J389" s="116"/>
      <c r="K389" s="116"/>
      <c r="L389" s="116"/>
      <c r="M389" s="116"/>
      <c r="N389" s="116"/>
      <c r="AB389" s="332"/>
      <c r="AQ389" s="336"/>
      <c r="AR389" s="336"/>
      <c r="AS389" s="336"/>
      <c r="BD389" s="332"/>
    </row>
    <row r="390" spans="9:56" ht="13">
      <c r="I390" s="116"/>
      <c r="J390" s="116"/>
      <c r="K390" s="116"/>
      <c r="L390" s="116"/>
      <c r="M390" s="116"/>
      <c r="N390" s="116"/>
      <c r="AB390" s="332"/>
      <c r="AQ390" s="336"/>
      <c r="AR390" s="336"/>
      <c r="AS390" s="336"/>
      <c r="BD390" s="332"/>
    </row>
    <row r="391" spans="9:56" ht="13">
      <c r="I391" s="116"/>
      <c r="J391" s="116"/>
      <c r="K391" s="116"/>
      <c r="L391" s="116"/>
      <c r="M391" s="116"/>
      <c r="N391" s="116"/>
      <c r="AB391" s="332"/>
      <c r="AQ391" s="336"/>
      <c r="AR391" s="336"/>
      <c r="AS391" s="336"/>
      <c r="BD391" s="332"/>
    </row>
    <row r="392" spans="9:56" ht="13">
      <c r="I392" s="116"/>
      <c r="J392" s="116"/>
      <c r="K392" s="116"/>
      <c r="L392" s="116"/>
      <c r="M392" s="116"/>
      <c r="N392" s="116"/>
      <c r="AB392" s="332"/>
      <c r="AQ392" s="336"/>
      <c r="AR392" s="336"/>
      <c r="AS392" s="336"/>
      <c r="BD392" s="332"/>
    </row>
    <row r="393" spans="9:56" ht="13">
      <c r="I393" s="116"/>
      <c r="J393" s="116"/>
      <c r="K393" s="116"/>
      <c r="L393" s="116"/>
      <c r="M393" s="116"/>
      <c r="N393" s="116"/>
      <c r="AB393" s="332"/>
      <c r="AQ393" s="336"/>
      <c r="AR393" s="336"/>
      <c r="AS393" s="336"/>
      <c r="BD393" s="332"/>
    </row>
    <row r="394" spans="9:56" ht="13">
      <c r="I394" s="116"/>
      <c r="J394" s="116"/>
      <c r="K394" s="116"/>
      <c r="L394" s="116"/>
      <c r="M394" s="116"/>
      <c r="N394" s="116"/>
      <c r="AB394" s="332"/>
      <c r="AQ394" s="336"/>
      <c r="AR394" s="336"/>
      <c r="AS394" s="336"/>
      <c r="BD394" s="332"/>
    </row>
    <row r="395" spans="9:56" ht="13">
      <c r="I395" s="116"/>
      <c r="J395" s="116"/>
      <c r="K395" s="116"/>
      <c r="L395" s="116"/>
      <c r="M395" s="116"/>
      <c r="N395" s="116"/>
      <c r="AB395" s="332"/>
      <c r="AQ395" s="336"/>
      <c r="AR395" s="336"/>
      <c r="AS395" s="336"/>
      <c r="BD395" s="332"/>
    </row>
    <row r="396" spans="9:56" ht="13">
      <c r="I396" s="116"/>
      <c r="J396" s="116"/>
      <c r="K396" s="116"/>
      <c r="L396" s="116"/>
      <c r="M396" s="116"/>
      <c r="N396" s="116"/>
      <c r="AB396" s="332"/>
      <c r="AQ396" s="336"/>
      <c r="AR396" s="336"/>
      <c r="AS396" s="336"/>
      <c r="BD396" s="332"/>
    </row>
    <row r="397" spans="9:56" ht="13">
      <c r="I397" s="116"/>
      <c r="J397" s="116"/>
      <c r="K397" s="116"/>
      <c r="L397" s="116"/>
      <c r="M397" s="116"/>
      <c r="N397" s="116"/>
      <c r="AB397" s="332"/>
      <c r="AQ397" s="336"/>
      <c r="AR397" s="336"/>
      <c r="AS397" s="336"/>
      <c r="BD397" s="332"/>
    </row>
    <row r="398" spans="9:56" ht="13">
      <c r="I398" s="116"/>
      <c r="J398" s="116"/>
      <c r="K398" s="116"/>
      <c r="L398" s="116"/>
      <c r="M398" s="116"/>
      <c r="N398" s="116"/>
      <c r="AB398" s="332"/>
      <c r="AQ398" s="336"/>
      <c r="AR398" s="336"/>
      <c r="AS398" s="336"/>
      <c r="BD398" s="332"/>
    </row>
    <row r="399" spans="9:56" ht="13">
      <c r="I399" s="116"/>
      <c r="J399" s="116"/>
      <c r="K399" s="116"/>
      <c r="L399" s="116"/>
      <c r="M399" s="116"/>
      <c r="N399" s="116"/>
      <c r="AB399" s="332"/>
      <c r="AQ399" s="336"/>
      <c r="AR399" s="336"/>
      <c r="AS399" s="336"/>
      <c r="BD399" s="332"/>
    </row>
    <row r="400" spans="9:56" ht="13">
      <c r="I400" s="116"/>
      <c r="J400" s="116"/>
      <c r="K400" s="116"/>
      <c r="L400" s="116"/>
      <c r="M400" s="116"/>
      <c r="N400" s="116"/>
      <c r="AB400" s="332"/>
      <c r="AQ400" s="336"/>
      <c r="AR400" s="336"/>
      <c r="AS400" s="336"/>
      <c r="BD400" s="332"/>
    </row>
    <row r="401" spans="9:56" ht="13">
      <c r="I401" s="116"/>
      <c r="J401" s="116"/>
      <c r="K401" s="116"/>
      <c r="L401" s="116"/>
      <c r="M401" s="116"/>
      <c r="N401" s="116"/>
      <c r="AB401" s="332"/>
      <c r="AQ401" s="336"/>
      <c r="AR401" s="336"/>
      <c r="AS401" s="336"/>
      <c r="BD401" s="332"/>
    </row>
    <row r="402" spans="9:56" ht="13">
      <c r="I402" s="116"/>
      <c r="J402" s="116"/>
      <c r="K402" s="116"/>
      <c r="L402" s="116"/>
      <c r="M402" s="116"/>
      <c r="N402" s="116"/>
      <c r="AB402" s="332"/>
      <c r="AQ402" s="336"/>
      <c r="AR402" s="336"/>
      <c r="AS402" s="336"/>
      <c r="BD402" s="332"/>
    </row>
    <row r="403" spans="9:56" ht="13">
      <c r="I403" s="116"/>
      <c r="J403" s="116"/>
      <c r="K403" s="116"/>
      <c r="L403" s="116"/>
      <c r="M403" s="116"/>
      <c r="N403" s="116"/>
      <c r="AB403" s="332"/>
      <c r="AQ403" s="336"/>
      <c r="AR403" s="336"/>
      <c r="AS403" s="336"/>
      <c r="BD403" s="332"/>
    </row>
    <row r="404" spans="9:56" ht="13">
      <c r="I404" s="116"/>
      <c r="J404" s="116"/>
      <c r="K404" s="116"/>
      <c r="L404" s="116"/>
      <c r="M404" s="116"/>
      <c r="N404" s="116"/>
      <c r="AB404" s="332"/>
      <c r="AQ404" s="336"/>
      <c r="AR404" s="336"/>
      <c r="AS404" s="336"/>
      <c r="BD404" s="332"/>
    </row>
    <row r="405" spans="9:56" ht="13">
      <c r="I405" s="116"/>
      <c r="J405" s="116"/>
      <c r="K405" s="116"/>
      <c r="L405" s="116"/>
      <c r="M405" s="116"/>
      <c r="N405" s="116"/>
      <c r="AB405" s="332"/>
      <c r="AQ405" s="336"/>
      <c r="AR405" s="336"/>
      <c r="AS405" s="336"/>
      <c r="BD405" s="332"/>
    </row>
    <row r="406" spans="9:56" ht="13">
      <c r="I406" s="116"/>
      <c r="J406" s="116"/>
      <c r="K406" s="116"/>
      <c r="L406" s="116"/>
      <c r="M406" s="116"/>
      <c r="N406" s="116"/>
      <c r="AB406" s="332"/>
      <c r="AQ406" s="336"/>
      <c r="AR406" s="336"/>
      <c r="AS406" s="336"/>
      <c r="BD406" s="332"/>
    </row>
    <row r="407" spans="9:56" ht="13">
      <c r="I407" s="116"/>
      <c r="J407" s="116"/>
      <c r="K407" s="116"/>
      <c r="L407" s="116"/>
      <c r="M407" s="116"/>
      <c r="N407" s="116"/>
      <c r="AB407" s="332"/>
      <c r="AQ407" s="336"/>
      <c r="AR407" s="336"/>
      <c r="AS407" s="336"/>
      <c r="BD407" s="332"/>
    </row>
    <row r="408" spans="9:56" ht="13">
      <c r="I408" s="116"/>
      <c r="J408" s="116"/>
      <c r="K408" s="116"/>
      <c r="L408" s="116"/>
      <c r="M408" s="116"/>
      <c r="N408" s="116"/>
      <c r="AB408" s="332"/>
      <c r="AQ408" s="336"/>
      <c r="AR408" s="336"/>
      <c r="AS408" s="336"/>
      <c r="BD408" s="332"/>
    </row>
    <row r="409" spans="9:56" ht="13">
      <c r="I409" s="116"/>
      <c r="J409" s="116"/>
      <c r="K409" s="116"/>
      <c r="L409" s="116"/>
      <c r="M409" s="116"/>
      <c r="N409" s="116"/>
      <c r="AB409" s="332"/>
      <c r="AQ409" s="336"/>
      <c r="AR409" s="336"/>
      <c r="AS409" s="336"/>
      <c r="BD409" s="332"/>
    </row>
    <row r="410" spans="9:56" ht="13">
      <c r="I410" s="116"/>
      <c r="J410" s="116"/>
      <c r="K410" s="116"/>
      <c r="L410" s="116"/>
      <c r="M410" s="116"/>
      <c r="N410" s="116"/>
      <c r="AB410" s="332"/>
      <c r="AQ410" s="336"/>
      <c r="AR410" s="336"/>
      <c r="AS410" s="336"/>
      <c r="BD410" s="332"/>
    </row>
    <row r="411" spans="9:56" ht="13">
      <c r="I411" s="116"/>
      <c r="J411" s="116"/>
      <c r="K411" s="116"/>
      <c r="L411" s="116"/>
      <c r="M411" s="116"/>
      <c r="N411" s="116"/>
      <c r="AB411" s="332"/>
      <c r="AQ411" s="336"/>
      <c r="AR411" s="336"/>
      <c r="AS411" s="336"/>
      <c r="BD411" s="332"/>
    </row>
    <row r="412" spans="9:56" ht="13">
      <c r="I412" s="116"/>
      <c r="J412" s="116"/>
      <c r="K412" s="116"/>
      <c r="L412" s="116"/>
      <c r="M412" s="116"/>
      <c r="N412" s="116"/>
      <c r="AB412" s="332"/>
      <c r="AQ412" s="336"/>
      <c r="AR412" s="336"/>
      <c r="AS412" s="336"/>
      <c r="BD412" s="332"/>
    </row>
    <row r="413" spans="9:56" ht="13">
      <c r="I413" s="116"/>
      <c r="J413" s="116"/>
      <c r="K413" s="116"/>
      <c r="L413" s="116"/>
      <c r="M413" s="116"/>
      <c r="N413" s="116"/>
      <c r="AB413" s="332"/>
      <c r="AQ413" s="336"/>
      <c r="AR413" s="336"/>
      <c r="AS413" s="336"/>
      <c r="BD413" s="332"/>
    </row>
    <row r="414" spans="9:56" ht="13">
      <c r="I414" s="116"/>
      <c r="J414" s="116"/>
      <c r="K414" s="116"/>
      <c r="L414" s="116"/>
      <c r="M414" s="116"/>
      <c r="N414" s="116"/>
      <c r="AB414" s="332"/>
      <c r="AQ414" s="336"/>
      <c r="AR414" s="336"/>
      <c r="AS414" s="336"/>
      <c r="BD414" s="332"/>
    </row>
    <row r="415" spans="9:56" ht="13">
      <c r="I415" s="116"/>
      <c r="J415" s="116"/>
      <c r="K415" s="116"/>
      <c r="L415" s="116"/>
      <c r="M415" s="116"/>
      <c r="N415" s="116"/>
      <c r="AB415" s="332"/>
      <c r="AQ415" s="336"/>
      <c r="AR415" s="336"/>
      <c r="AS415" s="336"/>
      <c r="BD415" s="332"/>
    </row>
    <row r="416" spans="9:56" ht="13">
      <c r="I416" s="116"/>
      <c r="J416" s="116"/>
      <c r="K416" s="116"/>
      <c r="L416" s="116"/>
      <c r="M416" s="116"/>
      <c r="N416" s="116"/>
      <c r="AB416" s="332"/>
      <c r="AQ416" s="336"/>
      <c r="AR416" s="336"/>
      <c r="AS416" s="336"/>
      <c r="BD416" s="332"/>
    </row>
    <row r="417" spans="9:56" ht="13">
      <c r="I417" s="116"/>
      <c r="J417" s="116"/>
      <c r="K417" s="116"/>
      <c r="L417" s="116"/>
      <c r="M417" s="116"/>
      <c r="N417" s="116"/>
      <c r="AB417" s="332"/>
      <c r="AQ417" s="336"/>
      <c r="AR417" s="336"/>
      <c r="AS417" s="336"/>
      <c r="BD417" s="332"/>
    </row>
    <row r="418" spans="9:56" ht="13">
      <c r="I418" s="116"/>
      <c r="J418" s="116"/>
      <c r="K418" s="116"/>
      <c r="L418" s="116"/>
      <c r="M418" s="116"/>
      <c r="N418" s="116"/>
      <c r="AB418" s="332"/>
      <c r="AQ418" s="336"/>
      <c r="AR418" s="336"/>
      <c r="AS418" s="336"/>
      <c r="BD418" s="332"/>
    </row>
    <row r="419" spans="9:56" ht="13">
      <c r="I419" s="116"/>
      <c r="J419" s="116"/>
      <c r="K419" s="116"/>
      <c r="L419" s="116"/>
      <c r="M419" s="116"/>
      <c r="N419" s="116"/>
      <c r="AB419" s="332"/>
      <c r="AQ419" s="336"/>
      <c r="AR419" s="336"/>
      <c r="AS419" s="336"/>
      <c r="BD419" s="332"/>
    </row>
    <row r="420" spans="9:56" ht="13">
      <c r="I420" s="116"/>
      <c r="J420" s="116"/>
      <c r="K420" s="116"/>
      <c r="L420" s="116"/>
      <c r="M420" s="116"/>
      <c r="N420" s="116"/>
      <c r="AB420" s="332"/>
      <c r="AQ420" s="336"/>
      <c r="AR420" s="336"/>
      <c r="AS420" s="336"/>
      <c r="BD420" s="332"/>
    </row>
    <row r="421" spans="9:56" ht="13">
      <c r="I421" s="116"/>
      <c r="J421" s="116"/>
      <c r="K421" s="116"/>
      <c r="L421" s="116"/>
      <c r="M421" s="116"/>
      <c r="N421" s="116"/>
      <c r="AB421" s="332"/>
      <c r="AQ421" s="336"/>
      <c r="AR421" s="336"/>
      <c r="AS421" s="336"/>
      <c r="BD421" s="332"/>
    </row>
    <row r="422" spans="9:56" ht="13">
      <c r="I422" s="116"/>
      <c r="J422" s="116"/>
      <c r="K422" s="116"/>
      <c r="L422" s="116"/>
      <c r="M422" s="116"/>
      <c r="N422" s="116"/>
      <c r="AB422" s="332"/>
      <c r="AQ422" s="336"/>
      <c r="AR422" s="336"/>
      <c r="AS422" s="336"/>
      <c r="BD422" s="332"/>
    </row>
    <row r="423" spans="9:56" ht="13">
      <c r="I423" s="116"/>
      <c r="J423" s="116"/>
      <c r="K423" s="116"/>
      <c r="L423" s="116"/>
      <c r="M423" s="116"/>
      <c r="N423" s="116"/>
      <c r="AB423" s="332"/>
      <c r="AQ423" s="336"/>
      <c r="AR423" s="336"/>
      <c r="AS423" s="336"/>
      <c r="BD423" s="332"/>
    </row>
    <row r="424" spans="9:56" ht="13">
      <c r="I424" s="116"/>
      <c r="J424" s="116"/>
      <c r="K424" s="116"/>
      <c r="L424" s="116"/>
      <c r="M424" s="116"/>
      <c r="N424" s="116"/>
      <c r="AB424" s="332"/>
      <c r="AQ424" s="336"/>
      <c r="AR424" s="336"/>
      <c r="AS424" s="336"/>
      <c r="BD424" s="332"/>
    </row>
    <row r="425" spans="9:56" ht="13">
      <c r="I425" s="116"/>
      <c r="J425" s="116"/>
      <c r="K425" s="116"/>
      <c r="L425" s="116"/>
      <c r="M425" s="116"/>
      <c r="N425" s="116"/>
      <c r="AB425" s="332"/>
      <c r="AQ425" s="336"/>
      <c r="AR425" s="336"/>
      <c r="AS425" s="336"/>
      <c r="BD425" s="332"/>
    </row>
    <row r="426" spans="9:56" ht="13">
      <c r="I426" s="116"/>
      <c r="J426" s="116"/>
      <c r="K426" s="116"/>
      <c r="L426" s="116"/>
      <c r="M426" s="116"/>
      <c r="N426" s="116"/>
      <c r="AB426" s="332"/>
      <c r="AQ426" s="336"/>
      <c r="AR426" s="336"/>
      <c r="AS426" s="336"/>
      <c r="BD426" s="332"/>
    </row>
    <row r="427" spans="9:56" ht="13">
      <c r="I427" s="116"/>
      <c r="J427" s="116"/>
      <c r="K427" s="116"/>
      <c r="L427" s="116"/>
      <c r="M427" s="116"/>
      <c r="N427" s="116"/>
      <c r="AB427" s="332"/>
      <c r="AQ427" s="336"/>
      <c r="AR427" s="336"/>
      <c r="AS427" s="336"/>
      <c r="BD427" s="332"/>
    </row>
    <row r="428" spans="9:56" ht="13">
      <c r="I428" s="116"/>
      <c r="J428" s="116"/>
      <c r="K428" s="116"/>
      <c r="L428" s="116"/>
      <c r="M428" s="116"/>
      <c r="N428" s="116"/>
      <c r="AB428" s="332"/>
      <c r="AQ428" s="336"/>
      <c r="AR428" s="336"/>
      <c r="AS428" s="336"/>
      <c r="BD428" s="332"/>
    </row>
    <row r="429" spans="9:56" ht="13">
      <c r="I429" s="116"/>
      <c r="J429" s="116"/>
      <c r="K429" s="116"/>
      <c r="L429" s="116"/>
      <c r="M429" s="116"/>
      <c r="N429" s="116"/>
      <c r="AB429" s="332"/>
      <c r="AQ429" s="336"/>
      <c r="AR429" s="336"/>
      <c r="AS429" s="336"/>
      <c r="BD429" s="332"/>
    </row>
    <row r="430" spans="9:56" ht="13">
      <c r="I430" s="116"/>
      <c r="J430" s="116"/>
      <c r="K430" s="116"/>
      <c r="L430" s="116"/>
      <c r="M430" s="116"/>
      <c r="N430" s="116"/>
      <c r="AB430" s="332"/>
      <c r="AQ430" s="336"/>
      <c r="AR430" s="336"/>
      <c r="AS430" s="336"/>
      <c r="BD430" s="332"/>
    </row>
    <row r="431" spans="9:56" ht="13">
      <c r="I431" s="116"/>
      <c r="J431" s="116"/>
      <c r="K431" s="116"/>
      <c r="L431" s="116"/>
      <c r="M431" s="116"/>
      <c r="N431" s="116"/>
      <c r="AB431" s="332"/>
      <c r="AQ431" s="336"/>
      <c r="AR431" s="336"/>
      <c r="AS431" s="336"/>
      <c r="BD431" s="332"/>
    </row>
    <row r="432" spans="9:56" ht="13">
      <c r="I432" s="116"/>
      <c r="J432" s="116"/>
      <c r="K432" s="116"/>
      <c r="L432" s="116"/>
      <c r="M432" s="116"/>
      <c r="N432" s="116"/>
      <c r="AB432" s="332"/>
      <c r="AQ432" s="336"/>
      <c r="AR432" s="336"/>
      <c r="AS432" s="336"/>
      <c r="BD432" s="332"/>
    </row>
    <row r="433" spans="9:56" ht="13">
      <c r="I433" s="116"/>
      <c r="J433" s="116"/>
      <c r="K433" s="116"/>
      <c r="L433" s="116"/>
      <c r="M433" s="116"/>
      <c r="N433" s="116"/>
      <c r="AB433" s="332"/>
      <c r="AQ433" s="336"/>
      <c r="AR433" s="336"/>
      <c r="AS433" s="336"/>
      <c r="BD433" s="332"/>
    </row>
    <row r="434" spans="9:56" ht="13">
      <c r="I434" s="116"/>
      <c r="J434" s="116"/>
      <c r="K434" s="116"/>
      <c r="L434" s="116"/>
      <c r="M434" s="116"/>
      <c r="N434" s="116"/>
      <c r="AB434" s="332"/>
      <c r="AQ434" s="336"/>
      <c r="AR434" s="336"/>
      <c r="AS434" s="336"/>
      <c r="BD434" s="332"/>
    </row>
    <row r="435" spans="9:56" ht="13">
      <c r="I435" s="116"/>
      <c r="J435" s="116"/>
      <c r="K435" s="116"/>
      <c r="L435" s="116"/>
      <c r="M435" s="116"/>
      <c r="N435" s="116"/>
      <c r="AB435" s="332"/>
      <c r="AQ435" s="336"/>
      <c r="AR435" s="336"/>
      <c r="AS435" s="336"/>
      <c r="BD435" s="332"/>
    </row>
    <row r="436" spans="9:56" ht="13">
      <c r="I436" s="116"/>
      <c r="J436" s="116"/>
      <c r="K436" s="116"/>
      <c r="L436" s="116"/>
      <c r="M436" s="116"/>
      <c r="N436" s="116"/>
      <c r="AB436" s="332"/>
      <c r="AQ436" s="336"/>
      <c r="AR436" s="336"/>
      <c r="AS436" s="336"/>
      <c r="BD436" s="332"/>
    </row>
    <row r="437" spans="9:56" ht="13">
      <c r="I437" s="116"/>
      <c r="J437" s="116"/>
      <c r="K437" s="116"/>
      <c r="L437" s="116"/>
      <c r="M437" s="116"/>
      <c r="N437" s="116"/>
      <c r="AB437" s="332"/>
      <c r="AQ437" s="336"/>
      <c r="AR437" s="336"/>
      <c r="AS437" s="336"/>
      <c r="BD437" s="332"/>
    </row>
    <row r="438" spans="9:56" ht="13">
      <c r="I438" s="116"/>
      <c r="J438" s="116"/>
      <c r="K438" s="116"/>
      <c r="L438" s="116"/>
      <c r="M438" s="116"/>
      <c r="N438" s="116"/>
      <c r="AB438" s="332"/>
      <c r="AQ438" s="336"/>
      <c r="AR438" s="336"/>
      <c r="AS438" s="336"/>
      <c r="BD438" s="332"/>
    </row>
    <row r="439" spans="9:56" ht="13">
      <c r="I439" s="116"/>
      <c r="J439" s="116"/>
      <c r="K439" s="116"/>
      <c r="L439" s="116"/>
      <c r="M439" s="116"/>
      <c r="N439" s="116"/>
      <c r="AB439" s="332"/>
      <c r="AQ439" s="336"/>
      <c r="AR439" s="336"/>
      <c r="AS439" s="336"/>
      <c r="BD439" s="332"/>
    </row>
    <row r="440" spans="9:56" ht="13">
      <c r="I440" s="116"/>
      <c r="J440" s="116"/>
      <c r="K440" s="116"/>
      <c r="L440" s="116"/>
      <c r="M440" s="116"/>
      <c r="N440" s="116"/>
      <c r="AB440" s="332"/>
      <c r="AQ440" s="336"/>
      <c r="AR440" s="336"/>
      <c r="AS440" s="336"/>
      <c r="BD440" s="332"/>
    </row>
    <row r="441" spans="9:56" ht="13">
      <c r="I441" s="116"/>
      <c r="J441" s="116"/>
      <c r="K441" s="116"/>
      <c r="L441" s="116"/>
      <c r="M441" s="116"/>
      <c r="N441" s="116"/>
      <c r="AB441" s="332"/>
      <c r="AQ441" s="336"/>
      <c r="AR441" s="336"/>
      <c r="AS441" s="336"/>
      <c r="BD441" s="332"/>
    </row>
    <row r="442" spans="9:56" ht="13">
      <c r="I442" s="116"/>
      <c r="J442" s="116"/>
      <c r="K442" s="116"/>
      <c r="L442" s="116"/>
      <c r="M442" s="116"/>
      <c r="N442" s="116"/>
      <c r="AB442" s="332"/>
      <c r="AQ442" s="336"/>
      <c r="AR442" s="336"/>
      <c r="AS442" s="336"/>
      <c r="BD442" s="332"/>
    </row>
    <row r="443" spans="9:56" ht="13">
      <c r="I443" s="116"/>
      <c r="J443" s="116"/>
      <c r="K443" s="116"/>
      <c r="L443" s="116"/>
      <c r="M443" s="116"/>
      <c r="N443" s="116"/>
      <c r="AB443" s="332"/>
      <c r="AQ443" s="336"/>
      <c r="AR443" s="336"/>
      <c r="AS443" s="336"/>
      <c r="BD443" s="332"/>
    </row>
    <row r="444" spans="9:56" ht="13">
      <c r="I444" s="116"/>
      <c r="J444" s="116"/>
      <c r="K444" s="116"/>
      <c r="L444" s="116"/>
      <c r="M444" s="116"/>
      <c r="N444" s="116"/>
      <c r="AB444" s="332"/>
      <c r="AQ444" s="336"/>
      <c r="AR444" s="336"/>
      <c r="AS444" s="336"/>
      <c r="BD444" s="332"/>
    </row>
    <row r="445" spans="9:56" ht="13">
      <c r="I445" s="116"/>
      <c r="J445" s="116"/>
      <c r="K445" s="116"/>
      <c r="L445" s="116"/>
      <c r="M445" s="116"/>
      <c r="N445" s="116"/>
      <c r="AB445" s="332"/>
      <c r="AQ445" s="336"/>
      <c r="AR445" s="336"/>
      <c r="AS445" s="336"/>
      <c r="BD445" s="332"/>
    </row>
    <row r="446" spans="9:56" ht="13">
      <c r="I446" s="116"/>
      <c r="J446" s="116"/>
      <c r="K446" s="116"/>
      <c r="L446" s="116"/>
      <c r="M446" s="116"/>
      <c r="N446" s="116"/>
      <c r="AB446" s="332"/>
      <c r="AQ446" s="336"/>
      <c r="AR446" s="336"/>
      <c r="AS446" s="336"/>
      <c r="BD446" s="332"/>
    </row>
    <row r="447" spans="9:56" ht="13">
      <c r="I447" s="116"/>
      <c r="J447" s="116"/>
      <c r="K447" s="116"/>
      <c r="L447" s="116"/>
      <c r="M447" s="116"/>
      <c r="N447" s="116"/>
      <c r="AB447" s="332"/>
      <c r="AQ447" s="336"/>
      <c r="AR447" s="336"/>
      <c r="AS447" s="336"/>
      <c r="BD447" s="332"/>
    </row>
    <row r="448" spans="9:56" ht="13">
      <c r="I448" s="116"/>
      <c r="J448" s="116"/>
      <c r="K448" s="116"/>
      <c r="L448" s="116"/>
      <c r="M448" s="116"/>
      <c r="N448" s="116"/>
      <c r="AB448" s="332"/>
      <c r="AQ448" s="336"/>
      <c r="AR448" s="336"/>
      <c r="AS448" s="336"/>
      <c r="BD448" s="332"/>
    </row>
    <row r="449" spans="9:56" ht="13">
      <c r="I449" s="116"/>
      <c r="J449" s="116"/>
      <c r="K449" s="116"/>
      <c r="L449" s="116"/>
      <c r="M449" s="116"/>
      <c r="N449" s="116"/>
      <c r="AB449" s="332"/>
      <c r="AQ449" s="336"/>
      <c r="AR449" s="336"/>
      <c r="AS449" s="336"/>
      <c r="BD449" s="332"/>
    </row>
    <row r="450" spans="9:56" ht="13">
      <c r="I450" s="116"/>
      <c r="J450" s="116"/>
      <c r="K450" s="116"/>
      <c r="L450" s="116"/>
      <c r="M450" s="116"/>
      <c r="N450" s="116"/>
      <c r="AB450" s="332"/>
      <c r="AQ450" s="336"/>
      <c r="AR450" s="336"/>
      <c r="AS450" s="336"/>
      <c r="BD450" s="332"/>
    </row>
    <row r="451" spans="9:56" ht="13">
      <c r="I451" s="116"/>
      <c r="J451" s="116"/>
      <c r="K451" s="116"/>
      <c r="L451" s="116"/>
      <c r="M451" s="116"/>
      <c r="N451" s="116"/>
      <c r="AB451" s="332"/>
      <c r="AQ451" s="336"/>
      <c r="AR451" s="336"/>
      <c r="AS451" s="336"/>
      <c r="BD451" s="332"/>
    </row>
    <row r="452" spans="9:56" ht="13">
      <c r="I452" s="116"/>
      <c r="J452" s="116"/>
      <c r="K452" s="116"/>
      <c r="L452" s="116"/>
      <c r="M452" s="116"/>
      <c r="N452" s="116"/>
      <c r="AB452" s="332"/>
      <c r="AQ452" s="336"/>
      <c r="AR452" s="336"/>
      <c r="AS452" s="336"/>
      <c r="BD452" s="332"/>
    </row>
    <row r="453" spans="9:56" ht="13">
      <c r="I453" s="116"/>
      <c r="J453" s="116"/>
      <c r="K453" s="116"/>
      <c r="L453" s="116"/>
      <c r="M453" s="116"/>
      <c r="N453" s="116"/>
      <c r="AB453" s="332"/>
      <c r="AQ453" s="336"/>
      <c r="AR453" s="336"/>
      <c r="AS453" s="336"/>
      <c r="BD453" s="332"/>
    </row>
    <row r="454" spans="9:56" ht="13">
      <c r="I454" s="116"/>
      <c r="J454" s="116"/>
      <c r="K454" s="116"/>
      <c r="L454" s="116"/>
      <c r="M454" s="116"/>
      <c r="N454" s="116"/>
      <c r="AB454" s="332"/>
      <c r="AQ454" s="336"/>
      <c r="AR454" s="336"/>
      <c r="AS454" s="336"/>
      <c r="BD454" s="332"/>
    </row>
    <row r="455" spans="9:56" ht="13">
      <c r="I455" s="116"/>
      <c r="J455" s="116"/>
      <c r="K455" s="116"/>
      <c r="L455" s="116"/>
      <c r="M455" s="116"/>
      <c r="N455" s="116"/>
      <c r="AB455" s="332"/>
      <c r="AQ455" s="336"/>
      <c r="AR455" s="336"/>
      <c r="AS455" s="336"/>
      <c r="BD455" s="332"/>
    </row>
    <row r="456" spans="9:56" ht="13">
      <c r="I456" s="116"/>
      <c r="J456" s="116"/>
      <c r="K456" s="116"/>
      <c r="L456" s="116"/>
      <c r="M456" s="116"/>
      <c r="N456" s="116"/>
      <c r="AB456" s="332"/>
      <c r="AQ456" s="336"/>
      <c r="AR456" s="336"/>
      <c r="AS456" s="336"/>
      <c r="BD456" s="332"/>
    </row>
    <row r="457" spans="9:56" ht="13">
      <c r="I457" s="116"/>
      <c r="J457" s="116"/>
      <c r="K457" s="116"/>
      <c r="L457" s="116"/>
      <c r="M457" s="116"/>
      <c r="N457" s="116"/>
      <c r="AB457" s="332"/>
      <c r="AQ457" s="336"/>
      <c r="AR457" s="336"/>
      <c r="AS457" s="336"/>
      <c r="BD457" s="332"/>
    </row>
    <row r="458" spans="9:56" ht="13">
      <c r="I458" s="116"/>
      <c r="J458" s="116"/>
      <c r="K458" s="116"/>
      <c r="L458" s="116"/>
      <c r="M458" s="116"/>
      <c r="N458" s="116"/>
      <c r="AB458" s="332"/>
      <c r="AQ458" s="336"/>
      <c r="AR458" s="336"/>
      <c r="AS458" s="336"/>
      <c r="BD458" s="332"/>
    </row>
    <row r="459" spans="9:56" ht="13">
      <c r="I459" s="116"/>
      <c r="J459" s="116"/>
      <c r="K459" s="116"/>
      <c r="L459" s="116"/>
      <c r="M459" s="116"/>
      <c r="N459" s="116"/>
      <c r="AB459" s="332"/>
      <c r="AQ459" s="336"/>
      <c r="AR459" s="336"/>
      <c r="AS459" s="336"/>
      <c r="BD459" s="332"/>
    </row>
    <row r="460" spans="9:56" ht="13">
      <c r="I460" s="116"/>
      <c r="J460" s="116"/>
      <c r="K460" s="116"/>
      <c r="L460" s="116"/>
      <c r="M460" s="116"/>
      <c r="N460" s="116"/>
      <c r="AB460" s="332"/>
      <c r="AQ460" s="336"/>
      <c r="AR460" s="336"/>
      <c r="AS460" s="336"/>
      <c r="BD460" s="332"/>
    </row>
    <row r="461" spans="9:56" ht="13">
      <c r="I461" s="116"/>
      <c r="J461" s="116"/>
      <c r="K461" s="116"/>
      <c r="L461" s="116"/>
      <c r="M461" s="116"/>
      <c r="N461" s="116"/>
      <c r="AB461" s="332"/>
      <c r="AQ461" s="336"/>
      <c r="AR461" s="336"/>
      <c r="AS461" s="336"/>
      <c r="BD461" s="332"/>
    </row>
    <row r="462" spans="9:56" ht="13">
      <c r="I462" s="116"/>
      <c r="J462" s="116"/>
      <c r="K462" s="116"/>
      <c r="L462" s="116"/>
      <c r="M462" s="116"/>
      <c r="N462" s="116"/>
      <c r="AB462" s="332"/>
      <c r="AQ462" s="336"/>
      <c r="AR462" s="336"/>
      <c r="AS462" s="336"/>
      <c r="BD462" s="332"/>
    </row>
    <row r="463" spans="9:56" ht="13">
      <c r="I463" s="116"/>
      <c r="J463" s="116"/>
      <c r="K463" s="116"/>
      <c r="L463" s="116"/>
      <c r="M463" s="116"/>
      <c r="N463" s="116"/>
      <c r="AB463" s="332"/>
      <c r="AQ463" s="336"/>
      <c r="AR463" s="336"/>
      <c r="AS463" s="336"/>
      <c r="BD463" s="332"/>
    </row>
    <row r="464" spans="9:56" ht="13">
      <c r="I464" s="116"/>
      <c r="J464" s="116"/>
      <c r="K464" s="116"/>
      <c r="L464" s="116"/>
      <c r="M464" s="116"/>
      <c r="N464" s="116"/>
      <c r="AB464" s="332"/>
      <c r="AQ464" s="336"/>
      <c r="AR464" s="336"/>
      <c r="AS464" s="336"/>
      <c r="BD464" s="332"/>
    </row>
    <row r="465" spans="9:56" ht="13">
      <c r="I465" s="116"/>
      <c r="J465" s="116"/>
      <c r="K465" s="116"/>
      <c r="L465" s="116"/>
      <c r="M465" s="116"/>
      <c r="N465" s="116"/>
      <c r="AB465" s="332"/>
      <c r="AQ465" s="336"/>
      <c r="AR465" s="336"/>
      <c r="AS465" s="336"/>
      <c r="BD465" s="332"/>
    </row>
    <row r="466" spans="9:56" ht="13">
      <c r="I466" s="116"/>
      <c r="J466" s="116"/>
      <c r="K466" s="116"/>
      <c r="L466" s="116"/>
      <c r="M466" s="116"/>
      <c r="N466" s="116"/>
      <c r="AB466" s="332"/>
      <c r="AQ466" s="336"/>
      <c r="AR466" s="336"/>
      <c r="AS466" s="336"/>
      <c r="BD466" s="332"/>
    </row>
    <row r="467" spans="9:56" ht="13">
      <c r="I467" s="116"/>
      <c r="J467" s="116"/>
      <c r="K467" s="116"/>
      <c r="L467" s="116"/>
      <c r="M467" s="116"/>
      <c r="N467" s="116"/>
      <c r="AB467" s="332"/>
      <c r="AQ467" s="336"/>
      <c r="AR467" s="336"/>
      <c r="AS467" s="336"/>
      <c r="BD467" s="332"/>
    </row>
    <row r="468" spans="9:56" ht="13">
      <c r="I468" s="116"/>
      <c r="J468" s="116"/>
      <c r="K468" s="116"/>
      <c r="L468" s="116"/>
      <c r="M468" s="116"/>
      <c r="N468" s="116"/>
      <c r="AB468" s="332"/>
      <c r="AQ468" s="336"/>
      <c r="AR468" s="336"/>
      <c r="AS468" s="336"/>
      <c r="BD468" s="332"/>
    </row>
    <row r="469" spans="9:56" ht="13">
      <c r="I469" s="116"/>
      <c r="J469" s="116"/>
      <c r="K469" s="116"/>
      <c r="L469" s="116"/>
      <c r="M469" s="116"/>
      <c r="N469" s="116"/>
      <c r="AB469" s="332"/>
      <c r="AQ469" s="336"/>
      <c r="AR469" s="336"/>
      <c r="AS469" s="336"/>
      <c r="BD469" s="332"/>
    </row>
    <row r="470" spans="9:56" ht="13">
      <c r="I470" s="116"/>
      <c r="J470" s="116"/>
      <c r="K470" s="116"/>
      <c r="L470" s="116"/>
      <c r="M470" s="116"/>
      <c r="N470" s="116"/>
      <c r="AB470" s="332"/>
      <c r="AQ470" s="336"/>
      <c r="AR470" s="336"/>
      <c r="AS470" s="336"/>
      <c r="BD470" s="332"/>
    </row>
    <row r="471" spans="9:56" ht="13">
      <c r="I471" s="116"/>
      <c r="J471" s="116"/>
      <c r="K471" s="116"/>
      <c r="L471" s="116"/>
      <c r="M471" s="116"/>
      <c r="N471" s="116"/>
      <c r="AB471" s="332"/>
      <c r="AQ471" s="336"/>
      <c r="AR471" s="336"/>
      <c r="AS471" s="336"/>
      <c r="BD471" s="332"/>
    </row>
    <row r="472" spans="9:56" ht="13">
      <c r="I472" s="116"/>
      <c r="J472" s="116"/>
      <c r="K472" s="116"/>
      <c r="L472" s="116"/>
      <c r="M472" s="116"/>
      <c r="N472" s="116"/>
      <c r="AB472" s="332"/>
      <c r="AQ472" s="336"/>
      <c r="AR472" s="336"/>
      <c r="AS472" s="336"/>
      <c r="BD472" s="332"/>
    </row>
    <row r="473" spans="9:56" ht="13">
      <c r="I473" s="116"/>
      <c r="J473" s="116"/>
      <c r="K473" s="116"/>
      <c r="L473" s="116"/>
      <c r="M473" s="116"/>
      <c r="N473" s="116"/>
      <c r="AB473" s="332"/>
      <c r="AQ473" s="336"/>
      <c r="AR473" s="336"/>
      <c r="AS473" s="336"/>
      <c r="BD473" s="332"/>
    </row>
    <row r="474" spans="9:56" ht="13">
      <c r="I474" s="116"/>
      <c r="J474" s="116"/>
      <c r="K474" s="116"/>
      <c r="L474" s="116"/>
      <c r="M474" s="116"/>
      <c r="N474" s="116"/>
      <c r="AB474" s="332"/>
      <c r="AQ474" s="336"/>
      <c r="AR474" s="336"/>
      <c r="AS474" s="336"/>
      <c r="BD474" s="332"/>
    </row>
    <row r="475" spans="9:56" ht="13">
      <c r="I475" s="116"/>
      <c r="J475" s="116"/>
      <c r="K475" s="116"/>
      <c r="L475" s="116"/>
      <c r="M475" s="116"/>
      <c r="N475" s="116"/>
      <c r="AB475" s="332"/>
      <c r="AQ475" s="336"/>
      <c r="AR475" s="336"/>
      <c r="AS475" s="336"/>
      <c r="BD475" s="332"/>
    </row>
    <row r="476" spans="9:56" ht="13">
      <c r="I476" s="116"/>
      <c r="J476" s="116"/>
      <c r="K476" s="116"/>
      <c r="L476" s="116"/>
      <c r="M476" s="116"/>
      <c r="N476" s="116"/>
      <c r="AB476" s="332"/>
      <c r="AQ476" s="336"/>
      <c r="AR476" s="336"/>
      <c r="AS476" s="336"/>
      <c r="BD476" s="332"/>
    </row>
    <row r="477" spans="9:56" ht="13">
      <c r="I477" s="116"/>
      <c r="J477" s="116"/>
      <c r="K477" s="116"/>
      <c r="L477" s="116"/>
      <c r="M477" s="116"/>
      <c r="N477" s="116"/>
      <c r="AB477" s="332"/>
      <c r="AQ477" s="336"/>
      <c r="AR477" s="336"/>
      <c r="AS477" s="336"/>
      <c r="BD477" s="332"/>
    </row>
    <row r="478" spans="9:56" ht="13">
      <c r="I478" s="116"/>
      <c r="J478" s="116"/>
      <c r="K478" s="116"/>
      <c r="L478" s="116"/>
      <c r="M478" s="116"/>
      <c r="N478" s="116"/>
      <c r="AB478" s="332"/>
      <c r="AQ478" s="336"/>
      <c r="AR478" s="336"/>
      <c r="AS478" s="336"/>
      <c r="BD478" s="332"/>
    </row>
    <row r="479" spans="9:56" ht="13">
      <c r="I479" s="116"/>
      <c r="J479" s="116"/>
      <c r="K479" s="116"/>
      <c r="L479" s="116"/>
      <c r="M479" s="116"/>
      <c r="N479" s="116"/>
      <c r="AB479" s="332"/>
      <c r="AQ479" s="336"/>
      <c r="AR479" s="336"/>
      <c r="AS479" s="336"/>
      <c r="BD479" s="332"/>
    </row>
    <row r="480" spans="9:56" ht="13">
      <c r="I480" s="116"/>
      <c r="J480" s="116"/>
      <c r="K480" s="116"/>
      <c r="L480" s="116"/>
      <c r="M480" s="116"/>
      <c r="N480" s="116"/>
      <c r="AB480" s="332"/>
      <c r="AQ480" s="336"/>
      <c r="AR480" s="336"/>
      <c r="AS480" s="336"/>
      <c r="BD480" s="332"/>
    </row>
    <row r="481" spans="9:56" ht="13">
      <c r="I481" s="116"/>
      <c r="J481" s="116"/>
      <c r="K481" s="116"/>
      <c r="L481" s="116"/>
      <c r="M481" s="116"/>
      <c r="N481" s="116"/>
      <c r="AB481" s="332"/>
      <c r="AQ481" s="336"/>
      <c r="AR481" s="336"/>
      <c r="AS481" s="336"/>
      <c r="BD481" s="332"/>
    </row>
    <row r="482" spans="9:56" ht="13">
      <c r="I482" s="116"/>
      <c r="J482" s="116"/>
      <c r="K482" s="116"/>
      <c r="L482" s="116"/>
      <c r="M482" s="116"/>
      <c r="N482" s="116"/>
      <c r="AB482" s="332"/>
      <c r="AQ482" s="336"/>
      <c r="AR482" s="336"/>
      <c r="AS482" s="336"/>
      <c r="BD482" s="332"/>
    </row>
    <row r="483" spans="9:56" ht="13">
      <c r="I483" s="116"/>
      <c r="J483" s="116"/>
      <c r="K483" s="116"/>
      <c r="L483" s="116"/>
      <c r="M483" s="116"/>
      <c r="N483" s="116"/>
      <c r="AB483" s="332"/>
      <c r="AQ483" s="336"/>
      <c r="AR483" s="336"/>
      <c r="AS483" s="336"/>
      <c r="BD483" s="332"/>
    </row>
    <row r="484" spans="9:56" ht="13">
      <c r="I484" s="116"/>
      <c r="J484" s="116"/>
      <c r="K484" s="116"/>
      <c r="L484" s="116"/>
      <c r="M484" s="116"/>
      <c r="N484" s="116"/>
      <c r="AB484" s="332"/>
      <c r="AQ484" s="336"/>
      <c r="AR484" s="336"/>
      <c r="AS484" s="336"/>
      <c r="BD484" s="332"/>
    </row>
    <row r="485" spans="9:56" ht="13">
      <c r="I485" s="116"/>
      <c r="J485" s="116"/>
      <c r="K485" s="116"/>
      <c r="L485" s="116"/>
      <c r="M485" s="116"/>
      <c r="N485" s="116"/>
      <c r="AB485" s="332"/>
      <c r="AQ485" s="336"/>
      <c r="AR485" s="336"/>
      <c r="AS485" s="336"/>
      <c r="BD485" s="332"/>
    </row>
    <row r="486" spans="9:56" ht="13">
      <c r="I486" s="116"/>
      <c r="J486" s="116"/>
      <c r="K486" s="116"/>
      <c r="L486" s="116"/>
      <c r="M486" s="116"/>
      <c r="N486" s="116"/>
      <c r="AB486" s="332"/>
      <c r="AQ486" s="336"/>
      <c r="AR486" s="336"/>
      <c r="AS486" s="336"/>
      <c r="BD486" s="332"/>
    </row>
    <row r="487" spans="9:56" ht="13">
      <c r="I487" s="116"/>
      <c r="J487" s="116"/>
      <c r="K487" s="116"/>
      <c r="L487" s="116"/>
      <c r="M487" s="116"/>
      <c r="N487" s="116"/>
      <c r="AB487" s="332"/>
      <c r="AQ487" s="336"/>
      <c r="AR487" s="336"/>
      <c r="AS487" s="336"/>
      <c r="BD487" s="332"/>
    </row>
    <row r="488" spans="9:56" ht="13">
      <c r="I488" s="116"/>
      <c r="J488" s="116"/>
      <c r="K488" s="116"/>
      <c r="L488" s="116"/>
      <c r="M488" s="116"/>
      <c r="N488" s="116"/>
      <c r="AB488" s="332"/>
      <c r="AQ488" s="336"/>
      <c r="AR488" s="336"/>
      <c r="AS488" s="336"/>
      <c r="BD488" s="332"/>
    </row>
    <row r="489" spans="9:56" ht="13">
      <c r="I489" s="116"/>
      <c r="J489" s="116"/>
      <c r="K489" s="116"/>
      <c r="L489" s="116"/>
      <c r="M489" s="116"/>
      <c r="N489" s="116"/>
      <c r="AB489" s="332"/>
      <c r="AQ489" s="336"/>
      <c r="AR489" s="336"/>
      <c r="AS489" s="336"/>
      <c r="BD489" s="332"/>
    </row>
    <row r="490" spans="9:56" ht="13">
      <c r="I490" s="116"/>
      <c r="J490" s="116"/>
      <c r="K490" s="116"/>
      <c r="L490" s="116"/>
      <c r="M490" s="116"/>
      <c r="N490" s="116"/>
      <c r="AB490" s="332"/>
      <c r="AQ490" s="336"/>
      <c r="AR490" s="336"/>
      <c r="AS490" s="336"/>
      <c r="BD490" s="332"/>
    </row>
    <row r="491" spans="9:56" ht="13">
      <c r="I491" s="116"/>
      <c r="J491" s="116"/>
      <c r="K491" s="116"/>
      <c r="L491" s="116"/>
      <c r="M491" s="116"/>
      <c r="N491" s="116"/>
      <c r="AB491" s="332"/>
      <c r="AQ491" s="336"/>
      <c r="AR491" s="336"/>
      <c r="AS491" s="336"/>
      <c r="BD491" s="332"/>
    </row>
    <row r="492" spans="9:56" ht="13">
      <c r="I492" s="116"/>
      <c r="J492" s="116"/>
      <c r="K492" s="116"/>
      <c r="L492" s="116"/>
      <c r="M492" s="116"/>
      <c r="N492" s="116"/>
      <c r="AB492" s="332"/>
      <c r="AQ492" s="336"/>
      <c r="AR492" s="336"/>
      <c r="AS492" s="336"/>
      <c r="BD492" s="332"/>
    </row>
    <row r="493" spans="9:56" ht="13">
      <c r="I493" s="116"/>
      <c r="J493" s="116"/>
      <c r="K493" s="116"/>
      <c r="L493" s="116"/>
      <c r="M493" s="116"/>
      <c r="N493" s="116"/>
      <c r="AB493" s="332"/>
      <c r="AQ493" s="336"/>
      <c r="AR493" s="336"/>
      <c r="AS493" s="336"/>
      <c r="BD493" s="332"/>
    </row>
    <row r="494" spans="9:56" ht="13">
      <c r="I494" s="116"/>
      <c r="J494" s="116"/>
      <c r="K494" s="116"/>
      <c r="L494" s="116"/>
      <c r="M494" s="116"/>
      <c r="N494" s="116"/>
      <c r="AB494" s="332"/>
      <c r="AQ494" s="336"/>
      <c r="AR494" s="336"/>
      <c r="AS494" s="336"/>
      <c r="BD494" s="332"/>
    </row>
    <row r="495" spans="9:56" ht="13">
      <c r="I495" s="116"/>
      <c r="J495" s="116"/>
      <c r="K495" s="116"/>
      <c r="L495" s="116"/>
      <c r="M495" s="116"/>
      <c r="N495" s="116"/>
      <c r="AB495" s="332"/>
      <c r="AQ495" s="336"/>
      <c r="AR495" s="336"/>
      <c r="AS495" s="336"/>
      <c r="BD495" s="332"/>
    </row>
    <row r="496" spans="9:56" ht="13">
      <c r="I496" s="116"/>
      <c r="J496" s="116"/>
      <c r="K496" s="116"/>
      <c r="L496" s="116"/>
      <c r="M496" s="116"/>
      <c r="N496" s="116"/>
      <c r="AB496" s="332"/>
      <c r="AQ496" s="336"/>
      <c r="AR496" s="336"/>
      <c r="AS496" s="336"/>
      <c r="BD496" s="332"/>
    </row>
    <row r="497" spans="9:56" ht="13">
      <c r="I497" s="116"/>
      <c r="J497" s="116"/>
      <c r="K497" s="116"/>
      <c r="L497" s="116"/>
      <c r="M497" s="116"/>
      <c r="N497" s="116"/>
      <c r="AB497" s="332"/>
      <c r="AQ497" s="336"/>
      <c r="AR497" s="336"/>
      <c r="AS497" s="336"/>
      <c r="BD497" s="332"/>
    </row>
    <row r="498" spans="9:56" ht="13">
      <c r="I498" s="116"/>
      <c r="J498" s="116"/>
      <c r="K498" s="116"/>
      <c r="L498" s="116"/>
      <c r="M498" s="116"/>
      <c r="N498" s="116"/>
      <c r="AB498" s="332"/>
      <c r="AQ498" s="336"/>
      <c r="AR498" s="336"/>
      <c r="AS498" s="336"/>
      <c r="BD498" s="332"/>
    </row>
    <row r="499" spans="9:56" ht="13">
      <c r="I499" s="116"/>
      <c r="J499" s="116"/>
      <c r="K499" s="116"/>
      <c r="L499" s="116"/>
      <c r="M499" s="116"/>
      <c r="N499" s="116"/>
      <c r="AB499" s="332"/>
      <c r="AQ499" s="336"/>
      <c r="AR499" s="336"/>
      <c r="AS499" s="336"/>
      <c r="BD499" s="332"/>
    </row>
    <row r="500" spans="9:56" ht="13">
      <c r="I500" s="116"/>
      <c r="J500" s="116"/>
      <c r="K500" s="116"/>
      <c r="L500" s="116"/>
      <c r="M500" s="116"/>
      <c r="N500" s="116"/>
      <c r="AB500" s="332"/>
      <c r="AQ500" s="336"/>
      <c r="AR500" s="336"/>
      <c r="AS500" s="336"/>
      <c r="BD500" s="332"/>
    </row>
    <row r="501" spans="9:56" ht="13">
      <c r="I501" s="116"/>
      <c r="J501" s="116"/>
      <c r="K501" s="116"/>
      <c r="L501" s="116"/>
      <c r="M501" s="116"/>
      <c r="N501" s="116"/>
      <c r="AB501" s="332"/>
      <c r="AQ501" s="336"/>
      <c r="AR501" s="336"/>
      <c r="AS501" s="336"/>
      <c r="BD501" s="332"/>
    </row>
    <row r="502" spans="9:56" ht="13">
      <c r="I502" s="116"/>
      <c r="J502" s="116"/>
      <c r="K502" s="116"/>
      <c r="L502" s="116"/>
      <c r="M502" s="116"/>
      <c r="N502" s="116"/>
      <c r="AB502" s="332"/>
      <c r="AQ502" s="336"/>
      <c r="AR502" s="336"/>
      <c r="AS502" s="336"/>
      <c r="BD502" s="332"/>
    </row>
    <row r="503" spans="9:56" ht="13">
      <c r="I503" s="116"/>
      <c r="J503" s="116"/>
      <c r="K503" s="116"/>
      <c r="L503" s="116"/>
      <c r="M503" s="116"/>
      <c r="N503" s="116"/>
      <c r="AB503" s="332"/>
      <c r="AQ503" s="336"/>
      <c r="AR503" s="336"/>
      <c r="AS503" s="336"/>
      <c r="BD503" s="332"/>
    </row>
    <row r="504" spans="9:56" ht="13">
      <c r="I504" s="116"/>
      <c r="J504" s="116"/>
      <c r="K504" s="116"/>
      <c r="L504" s="116"/>
      <c r="M504" s="116"/>
      <c r="N504" s="116"/>
      <c r="AB504" s="332"/>
      <c r="AQ504" s="336"/>
      <c r="AR504" s="336"/>
      <c r="AS504" s="336"/>
      <c r="BD504" s="332"/>
    </row>
    <row r="505" spans="9:56" ht="13">
      <c r="I505" s="116"/>
      <c r="J505" s="116"/>
      <c r="K505" s="116"/>
      <c r="L505" s="116"/>
      <c r="M505" s="116"/>
      <c r="N505" s="116"/>
      <c r="AB505" s="332"/>
      <c r="AQ505" s="336"/>
      <c r="AR505" s="336"/>
      <c r="AS505" s="336"/>
      <c r="BD505" s="332"/>
    </row>
    <row r="506" spans="9:56" ht="13">
      <c r="I506" s="116"/>
      <c r="J506" s="116"/>
      <c r="K506" s="116"/>
      <c r="L506" s="116"/>
      <c r="M506" s="116"/>
      <c r="N506" s="116"/>
      <c r="AB506" s="332"/>
      <c r="AQ506" s="336"/>
      <c r="AR506" s="336"/>
      <c r="AS506" s="336"/>
      <c r="BD506" s="332"/>
    </row>
    <row r="507" spans="9:56" ht="13">
      <c r="I507" s="116"/>
      <c r="J507" s="116"/>
      <c r="K507" s="116"/>
      <c r="L507" s="116"/>
      <c r="M507" s="116"/>
      <c r="N507" s="116"/>
      <c r="AB507" s="332"/>
      <c r="AQ507" s="336"/>
      <c r="AR507" s="336"/>
      <c r="AS507" s="336"/>
      <c r="BD507" s="332"/>
    </row>
    <row r="508" spans="9:56" ht="13">
      <c r="I508" s="116"/>
      <c r="J508" s="116"/>
      <c r="K508" s="116"/>
      <c r="L508" s="116"/>
      <c r="M508" s="116"/>
      <c r="N508" s="116"/>
      <c r="AB508" s="332"/>
      <c r="AQ508" s="336"/>
      <c r="AR508" s="336"/>
      <c r="AS508" s="336"/>
      <c r="BD508" s="332"/>
    </row>
    <row r="509" spans="9:56" ht="13">
      <c r="I509" s="116"/>
      <c r="J509" s="116"/>
      <c r="K509" s="116"/>
      <c r="L509" s="116"/>
      <c r="M509" s="116"/>
      <c r="N509" s="116"/>
      <c r="AB509" s="332"/>
      <c r="AQ509" s="336"/>
      <c r="AR509" s="336"/>
      <c r="AS509" s="336"/>
      <c r="BD509" s="332"/>
    </row>
    <row r="510" spans="9:56" ht="13">
      <c r="I510" s="116"/>
      <c r="J510" s="116"/>
      <c r="K510" s="116"/>
      <c r="L510" s="116"/>
      <c r="M510" s="116"/>
      <c r="N510" s="116"/>
      <c r="AB510" s="332"/>
      <c r="AQ510" s="336"/>
      <c r="AR510" s="336"/>
      <c r="AS510" s="336"/>
      <c r="BD510" s="332"/>
    </row>
    <row r="511" spans="9:56" ht="13">
      <c r="I511" s="116"/>
      <c r="J511" s="116"/>
      <c r="K511" s="116"/>
      <c r="L511" s="116"/>
      <c r="M511" s="116"/>
      <c r="N511" s="116"/>
      <c r="AB511" s="332"/>
      <c r="AQ511" s="336"/>
      <c r="AR511" s="336"/>
      <c r="AS511" s="336"/>
      <c r="BD511" s="332"/>
    </row>
    <row r="512" spans="9:56" ht="13">
      <c r="I512" s="116"/>
      <c r="J512" s="116"/>
      <c r="K512" s="116"/>
      <c r="L512" s="116"/>
      <c r="M512" s="116"/>
      <c r="N512" s="116"/>
      <c r="AB512" s="332"/>
      <c r="AQ512" s="336"/>
      <c r="AR512" s="336"/>
      <c r="AS512" s="336"/>
      <c r="BD512" s="332"/>
    </row>
    <row r="513" spans="9:56" ht="13">
      <c r="I513" s="116"/>
      <c r="J513" s="116"/>
      <c r="K513" s="116"/>
      <c r="L513" s="116"/>
      <c r="M513" s="116"/>
      <c r="N513" s="116"/>
      <c r="AB513" s="332"/>
      <c r="AQ513" s="336"/>
      <c r="AR513" s="336"/>
      <c r="AS513" s="336"/>
      <c r="BD513" s="332"/>
    </row>
    <row r="514" spans="9:56" ht="13">
      <c r="I514" s="116"/>
      <c r="J514" s="116"/>
      <c r="K514" s="116"/>
      <c r="L514" s="116"/>
      <c r="M514" s="116"/>
      <c r="N514" s="116"/>
      <c r="AB514" s="332"/>
      <c r="AQ514" s="336"/>
      <c r="AR514" s="336"/>
      <c r="AS514" s="336"/>
      <c r="BD514" s="332"/>
    </row>
    <row r="515" spans="9:56" ht="13">
      <c r="I515" s="116"/>
      <c r="J515" s="116"/>
      <c r="K515" s="116"/>
      <c r="L515" s="116"/>
      <c r="M515" s="116"/>
      <c r="N515" s="116"/>
      <c r="AB515" s="332"/>
      <c r="AQ515" s="336"/>
      <c r="AR515" s="336"/>
      <c r="AS515" s="336"/>
      <c r="BD515" s="332"/>
    </row>
    <row r="516" spans="9:56" ht="13">
      <c r="I516" s="116"/>
      <c r="J516" s="116"/>
      <c r="K516" s="116"/>
      <c r="L516" s="116"/>
      <c r="M516" s="116"/>
      <c r="N516" s="116"/>
      <c r="AB516" s="332"/>
      <c r="AQ516" s="336"/>
      <c r="AR516" s="336"/>
      <c r="AS516" s="336"/>
      <c r="BD516" s="332"/>
    </row>
    <row r="517" spans="9:56" ht="13">
      <c r="I517" s="116"/>
      <c r="J517" s="116"/>
      <c r="K517" s="116"/>
      <c r="L517" s="116"/>
      <c r="M517" s="116"/>
      <c r="N517" s="116"/>
      <c r="AB517" s="332"/>
      <c r="AQ517" s="336"/>
      <c r="AR517" s="336"/>
      <c r="AS517" s="336"/>
      <c r="BD517" s="332"/>
    </row>
    <row r="518" spans="9:56" ht="13">
      <c r="I518" s="116"/>
      <c r="J518" s="116"/>
      <c r="K518" s="116"/>
      <c r="L518" s="116"/>
      <c r="M518" s="116"/>
      <c r="N518" s="116"/>
      <c r="AB518" s="332"/>
      <c r="AQ518" s="336"/>
      <c r="AR518" s="336"/>
      <c r="AS518" s="336"/>
      <c r="BD518" s="332"/>
    </row>
    <row r="519" spans="9:56" ht="13">
      <c r="I519" s="116"/>
      <c r="J519" s="116"/>
      <c r="K519" s="116"/>
      <c r="L519" s="116"/>
      <c r="M519" s="116"/>
      <c r="N519" s="116"/>
      <c r="AB519" s="332"/>
      <c r="AQ519" s="336"/>
      <c r="AR519" s="336"/>
      <c r="AS519" s="336"/>
      <c r="BD519" s="332"/>
    </row>
    <row r="520" spans="9:56" ht="13">
      <c r="I520" s="116"/>
      <c r="J520" s="116"/>
      <c r="K520" s="116"/>
      <c r="L520" s="116"/>
      <c r="M520" s="116"/>
      <c r="N520" s="116"/>
      <c r="AB520" s="332"/>
      <c r="AQ520" s="336"/>
      <c r="AR520" s="336"/>
      <c r="AS520" s="336"/>
      <c r="BD520" s="332"/>
    </row>
    <row r="521" spans="9:56" ht="13">
      <c r="I521" s="116"/>
      <c r="J521" s="116"/>
      <c r="K521" s="116"/>
      <c r="L521" s="116"/>
      <c r="M521" s="116"/>
      <c r="N521" s="116"/>
      <c r="AB521" s="332"/>
      <c r="AQ521" s="336"/>
      <c r="AR521" s="336"/>
      <c r="AS521" s="336"/>
      <c r="BD521" s="332"/>
    </row>
    <row r="522" spans="9:56" ht="13">
      <c r="I522" s="116"/>
      <c r="J522" s="116"/>
      <c r="K522" s="116"/>
      <c r="L522" s="116"/>
      <c r="M522" s="116"/>
      <c r="N522" s="116"/>
      <c r="AB522" s="332"/>
      <c r="AQ522" s="336"/>
      <c r="AR522" s="336"/>
      <c r="AS522" s="336"/>
      <c r="BD522" s="332"/>
    </row>
    <row r="523" spans="9:56" ht="13">
      <c r="I523" s="116"/>
      <c r="J523" s="116"/>
      <c r="K523" s="116"/>
      <c r="L523" s="116"/>
      <c r="M523" s="116"/>
      <c r="N523" s="116"/>
      <c r="AB523" s="332"/>
      <c r="AQ523" s="336"/>
      <c r="AR523" s="336"/>
      <c r="AS523" s="336"/>
      <c r="BD523" s="332"/>
    </row>
    <row r="524" spans="9:56" ht="13">
      <c r="I524" s="116"/>
      <c r="J524" s="116"/>
      <c r="K524" s="116"/>
      <c r="L524" s="116"/>
      <c r="M524" s="116"/>
      <c r="N524" s="116"/>
      <c r="AB524" s="332"/>
      <c r="AQ524" s="336"/>
      <c r="AR524" s="336"/>
      <c r="AS524" s="336"/>
      <c r="BD524" s="332"/>
    </row>
    <row r="525" spans="9:56" ht="13">
      <c r="I525" s="116"/>
      <c r="J525" s="116"/>
      <c r="K525" s="116"/>
      <c r="L525" s="116"/>
      <c r="M525" s="116"/>
      <c r="N525" s="116"/>
      <c r="AB525" s="332"/>
      <c r="AQ525" s="336"/>
      <c r="AR525" s="336"/>
      <c r="AS525" s="336"/>
      <c r="BD525" s="332"/>
    </row>
    <row r="526" spans="9:56" ht="13">
      <c r="I526" s="116"/>
      <c r="J526" s="116"/>
      <c r="K526" s="116"/>
      <c r="L526" s="116"/>
      <c r="M526" s="116"/>
      <c r="N526" s="116"/>
      <c r="AB526" s="332"/>
      <c r="AQ526" s="336"/>
      <c r="AR526" s="336"/>
      <c r="AS526" s="336"/>
      <c r="BD526" s="332"/>
    </row>
    <row r="527" spans="9:56" ht="13">
      <c r="I527" s="116"/>
      <c r="J527" s="116"/>
      <c r="K527" s="116"/>
      <c r="L527" s="116"/>
      <c r="M527" s="116"/>
      <c r="N527" s="116"/>
      <c r="AB527" s="332"/>
      <c r="AQ527" s="336"/>
      <c r="AR527" s="336"/>
      <c r="AS527" s="336"/>
      <c r="BD527" s="332"/>
    </row>
    <row r="528" spans="9:56" ht="13">
      <c r="I528" s="116"/>
      <c r="J528" s="116"/>
      <c r="K528" s="116"/>
      <c r="L528" s="116"/>
      <c r="M528" s="116"/>
      <c r="N528" s="116"/>
      <c r="AB528" s="332"/>
      <c r="AQ528" s="336"/>
      <c r="AR528" s="336"/>
      <c r="AS528" s="336"/>
      <c r="BD528" s="332"/>
    </row>
    <row r="529" spans="9:56" ht="13">
      <c r="I529" s="116"/>
      <c r="J529" s="116"/>
      <c r="K529" s="116"/>
      <c r="L529" s="116"/>
      <c r="M529" s="116"/>
      <c r="N529" s="116"/>
      <c r="AB529" s="332"/>
      <c r="AQ529" s="336"/>
      <c r="AR529" s="336"/>
      <c r="AS529" s="336"/>
      <c r="BD529" s="332"/>
    </row>
    <row r="530" spans="9:56" ht="13">
      <c r="I530" s="116"/>
      <c r="J530" s="116"/>
      <c r="K530" s="116"/>
      <c r="L530" s="116"/>
      <c r="M530" s="116"/>
      <c r="N530" s="116"/>
      <c r="AB530" s="332"/>
      <c r="AQ530" s="336"/>
      <c r="AR530" s="336"/>
      <c r="AS530" s="336"/>
      <c r="BD530" s="332"/>
    </row>
    <row r="531" spans="9:56" ht="13">
      <c r="I531" s="116"/>
      <c r="J531" s="116"/>
      <c r="K531" s="116"/>
      <c r="L531" s="116"/>
      <c r="M531" s="116"/>
      <c r="N531" s="116"/>
      <c r="AB531" s="332"/>
      <c r="AQ531" s="336"/>
      <c r="AR531" s="336"/>
      <c r="AS531" s="336"/>
      <c r="BD531" s="332"/>
    </row>
    <row r="532" spans="9:56" ht="13">
      <c r="I532" s="116"/>
      <c r="J532" s="116"/>
      <c r="K532" s="116"/>
      <c r="L532" s="116"/>
      <c r="M532" s="116"/>
      <c r="N532" s="116"/>
      <c r="AB532" s="332"/>
      <c r="AQ532" s="336"/>
      <c r="AR532" s="336"/>
      <c r="AS532" s="336"/>
      <c r="BD532" s="332"/>
    </row>
    <row r="533" spans="9:56" ht="13">
      <c r="I533" s="116"/>
      <c r="J533" s="116"/>
      <c r="K533" s="116"/>
      <c r="L533" s="116"/>
      <c r="M533" s="116"/>
      <c r="N533" s="116"/>
      <c r="AB533" s="332"/>
      <c r="AQ533" s="336"/>
      <c r="AR533" s="336"/>
      <c r="AS533" s="336"/>
      <c r="BD533" s="332"/>
    </row>
    <row r="534" spans="9:56" ht="13">
      <c r="I534" s="116"/>
      <c r="J534" s="116"/>
      <c r="K534" s="116"/>
      <c r="L534" s="116"/>
      <c r="M534" s="116"/>
      <c r="N534" s="116"/>
      <c r="AB534" s="332"/>
      <c r="AQ534" s="336"/>
      <c r="AR534" s="336"/>
      <c r="AS534" s="336"/>
      <c r="BD534" s="332"/>
    </row>
    <row r="535" spans="9:56" ht="13">
      <c r="I535" s="116"/>
      <c r="J535" s="116"/>
      <c r="K535" s="116"/>
      <c r="L535" s="116"/>
      <c r="M535" s="116"/>
      <c r="N535" s="116"/>
      <c r="AB535" s="332"/>
      <c r="AQ535" s="336"/>
      <c r="AR535" s="336"/>
      <c r="AS535" s="336"/>
      <c r="BD535" s="332"/>
    </row>
    <row r="536" spans="9:56" ht="13">
      <c r="I536" s="116"/>
      <c r="J536" s="116"/>
      <c r="K536" s="116"/>
      <c r="L536" s="116"/>
      <c r="M536" s="116"/>
      <c r="N536" s="116"/>
      <c r="AB536" s="332"/>
      <c r="AQ536" s="336"/>
      <c r="AR536" s="336"/>
      <c r="AS536" s="336"/>
      <c r="BD536" s="332"/>
    </row>
    <row r="537" spans="9:56" ht="13">
      <c r="I537" s="116"/>
      <c r="J537" s="116"/>
      <c r="K537" s="116"/>
      <c r="L537" s="116"/>
      <c r="M537" s="116"/>
      <c r="N537" s="116"/>
      <c r="AB537" s="332"/>
      <c r="AQ537" s="336"/>
      <c r="AR537" s="336"/>
      <c r="AS537" s="336"/>
      <c r="BD537" s="332"/>
    </row>
    <row r="538" spans="9:56" ht="13">
      <c r="I538" s="116"/>
      <c r="J538" s="116"/>
      <c r="K538" s="116"/>
      <c r="L538" s="116"/>
      <c r="M538" s="116"/>
      <c r="N538" s="116"/>
      <c r="AB538" s="332"/>
      <c r="AQ538" s="336"/>
      <c r="AR538" s="336"/>
      <c r="AS538" s="336"/>
      <c r="BD538" s="332"/>
    </row>
    <row r="539" spans="9:56" ht="13">
      <c r="I539" s="116"/>
      <c r="J539" s="116"/>
      <c r="K539" s="116"/>
      <c r="L539" s="116"/>
      <c r="M539" s="116"/>
      <c r="N539" s="116"/>
      <c r="AB539" s="332"/>
      <c r="AQ539" s="336"/>
      <c r="AR539" s="336"/>
      <c r="AS539" s="336"/>
      <c r="BD539" s="332"/>
    </row>
    <row r="540" spans="9:56" ht="13">
      <c r="I540" s="116"/>
      <c r="J540" s="116"/>
      <c r="K540" s="116"/>
      <c r="L540" s="116"/>
      <c r="M540" s="116"/>
      <c r="N540" s="116"/>
      <c r="AB540" s="332"/>
      <c r="AQ540" s="336"/>
      <c r="AR540" s="336"/>
      <c r="AS540" s="336"/>
      <c r="BD540" s="332"/>
    </row>
    <row r="541" spans="9:56" ht="13">
      <c r="I541" s="116"/>
      <c r="J541" s="116"/>
      <c r="K541" s="116"/>
      <c r="L541" s="116"/>
      <c r="M541" s="116"/>
      <c r="N541" s="116"/>
      <c r="AB541" s="332"/>
      <c r="AQ541" s="336"/>
      <c r="AR541" s="336"/>
      <c r="AS541" s="336"/>
      <c r="BD541" s="332"/>
    </row>
    <row r="542" spans="9:56" ht="13">
      <c r="I542" s="116"/>
      <c r="J542" s="116"/>
      <c r="K542" s="116"/>
      <c r="L542" s="116"/>
      <c r="M542" s="116"/>
      <c r="N542" s="116"/>
      <c r="AB542" s="332"/>
      <c r="AQ542" s="336"/>
      <c r="AR542" s="336"/>
      <c r="AS542" s="336"/>
      <c r="BD542" s="332"/>
    </row>
    <row r="543" spans="9:56" ht="13">
      <c r="I543" s="116"/>
      <c r="J543" s="116"/>
      <c r="K543" s="116"/>
      <c r="L543" s="116"/>
      <c r="M543" s="116"/>
      <c r="N543" s="116"/>
      <c r="AB543" s="332"/>
      <c r="AQ543" s="336"/>
      <c r="AR543" s="336"/>
      <c r="AS543" s="336"/>
      <c r="BD543" s="332"/>
    </row>
    <row r="544" spans="9:56" ht="13">
      <c r="I544" s="116"/>
      <c r="J544" s="116"/>
      <c r="K544" s="116"/>
      <c r="L544" s="116"/>
      <c r="M544" s="116"/>
      <c r="N544" s="116"/>
      <c r="AB544" s="332"/>
      <c r="AQ544" s="336"/>
      <c r="AR544" s="336"/>
      <c r="AS544" s="336"/>
      <c r="BD544" s="332"/>
    </row>
    <row r="545" spans="9:56" ht="13">
      <c r="I545" s="116"/>
      <c r="J545" s="116"/>
      <c r="K545" s="116"/>
      <c r="L545" s="116"/>
      <c r="M545" s="116"/>
      <c r="N545" s="116"/>
      <c r="AB545" s="332"/>
      <c r="AQ545" s="336"/>
      <c r="AR545" s="336"/>
      <c r="AS545" s="336"/>
      <c r="BD545" s="332"/>
    </row>
    <row r="546" spans="9:56" ht="13">
      <c r="I546" s="116"/>
      <c r="J546" s="116"/>
      <c r="K546" s="116"/>
      <c r="L546" s="116"/>
      <c r="M546" s="116"/>
      <c r="N546" s="116"/>
      <c r="AB546" s="332"/>
      <c r="AQ546" s="336"/>
      <c r="AR546" s="336"/>
      <c r="AS546" s="336"/>
      <c r="BD546" s="332"/>
    </row>
    <row r="547" spans="9:56" ht="13">
      <c r="I547" s="116"/>
      <c r="J547" s="116"/>
      <c r="K547" s="116"/>
      <c r="L547" s="116"/>
      <c r="M547" s="116"/>
      <c r="N547" s="116"/>
      <c r="AB547" s="332"/>
      <c r="AQ547" s="336"/>
      <c r="AR547" s="336"/>
      <c r="AS547" s="336"/>
      <c r="BD547" s="332"/>
    </row>
    <row r="548" spans="9:56" ht="13">
      <c r="I548" s="116"/>
      <c r="J548" s="116"/>
      <c r="K548" s="116"/>
      <c r="L548" s="116"/>
      <c r="M548" s="116"/>
      <c r="N548" s="116"/>
      <c r="AB548" s="332"/>
      <c r="AQ548" s="336"/>
      <c r="AR548" s="336"/>
      <c r="AS548" s="336"/>
      <c r="BD548" s="332"/>
    </row>
    <row r="549" spans="9:56" ht="13">
      <c r="I549" s="116"/>
      <c r="J549" s="116"/>
      <c r="K549" s="116"/>
      <c r="L549" s="116"/>
      <c r="M549" s="116"/>
      <c r="N549" s="116"/>
      <c r="AB549" s="332"/>
      <c r="AQ549" s="336"/>
      <c r="AR549" s="336"/>
      <c r="AS549" s="336"/>
      <c r="BD549" s="332"/>
    </row>
    <row r="550" spans="9:56" ht="13">
      <c r="I550" s="116"/>
      <c r="J550" s="116"/>
      <c r="K550" s="116"/>
      <c r="L550" s="116"/>
      <c r="M550" s="116"/>
      <c r="N550" s="116"/>
      <c r="AB550" s="332"/>
      <c r="AQ550" s="336"/>
      <c r="AR550" s="336"/>
      <c r="AS550" s="336"/>
      <c r="BD550" s="332"/>
    </row>
    <row r="551" spans="9:56" ht="13">
      <c r="I551" s="116"/>
      <c r="J551" s="116"/>
      <c r="K551" s="116"/>
      <c r="L551" s="116"/>
      <c r="M551" s="116"/>
      <c r="N551" s="116"/>
      <c r="AB551" s="332"/>
      <c r="AQ551" s="336"/>
      <c r="AR551" s="336"/>
      <c r="AS551" s="336"/>
      <c r="BD551" s="332"/>
    </row>
    <row r="552" spans="9:56" ht="13">
      <c r="I552" s="116"/>
      <c r="J552" s="116"/>
      <c r="K552" s="116"/>
      <c r="L552" s="116"/>
      <c r="M552" s="116"/>
      <c r="N552" s="116"/>
      <c r="AB552" s="332"/>
      <c r="AQ552" s="336"/>
      <c r="AR552" s="336"/>
      <c r="AS552" s="336"/>
      <c r="BD552" s="332"/>
    </row>
    <row r="553" spans="9:56" ht="13">
      <c r="I553" s="116"/>
      <c r="J553" s="116"/>
      <c r="K553" s="116"/>
      <c r="L553" s="116"/>
      <c r="M553" s="116"/>
      <c r="N553" s="116"/>
      <c r="AB553" s="332"/>
      <c r="AQ553" s="336"/>
      <c r="AR553" s="336"/>
      <c r="AS553" s="336"/>
      <c r="BD553" s="332"/>
    </row>
    <row r="554" spans="9:56" ht="13">
      <c r="I554" s="116"/>
      <c r="J554" s="116"/>
      <c r="K554" s="116"/>
      <c r="L554" s="116"/>
      <c r="M554" s="116"/>
      <c r="N554" s="116"/>
      <c r="AB554" s="332"/>
      <c r="AQ554" s="336"/>
      <c r="AR554" s="336"/>
      <c r="AS554" s="336"/>
      <c r="BD554" s="332"/>
    </row>
    <row r="555" spans="9:56" ht="13">
      <c r="I555" s="116"/>
      <c r="J555" s="116"/>
      <c r="K555" s="116"/>
      <c r="L555" s="116"/>
      <c r="M555" s="116"/>
      <c r="N555" s="116"/>
      <c r="AB555" s="332"/>
      <c r="AQ555" s="336"/>
      <c r="AR555" s="336"/>
      <c r="AS555" s="336"/>
      <c r="BD555" s="332"/>
    </row>
    <row r="556" spans="9:56" ht="13">
      <c r="I556" s="116"/>
      <c r="J556" s="116"/>
      <c r="K556" s="116"/>
      <c r="L556" s="116"/>
      <c r="M556" s="116"/>
      <c r="N556" s="116"/>
      <c r="AB556" s="332"/>
      <c r="AQ556" s="336"/>
      <c r="AR556" s="336"/>
      <c r="AS556" s="336"/>
      <c r="BD556" s="332"/>
    </row>
    <row r="557" spans="9:56" ht="13">
      <c r="I557" s="116"/>
      <c r="J557" s="116"/>
      <c r="K557" s="116"/>
      <c r="L557" s="116"/>
      <c r="M557" s="116"/>
      <c r="N557" s="116"/>
      <c r="AB557" s="332"/>
      <c r="AQ557" s="336"/>
      <c r="AR557" s="336"/>
      <c r="AS557" s="336"/>
      <c r="BD557" s="332"/>
    </row>
    <row r="558" spans="9:56" ht="13">
      <c r="I558" s="116"/>
      <c r="J558" s="116"/>
      <c r="K558" s="116"/>
      <c r="L558" s="116"/>
      <c r="M558" s="116"/>
      <c r="N558" s="116"/>
      <c r="AB558" s="332"/>
      <c r="AQ558" s="336"/>
      <c r="AR558" s="336"/>
      <c r="AS558" s="336"/>
      <c r="BD558" s="332"/>
    </row>
    <row r="559" spans="9:56" ht="13">
      <c r="I559" s="116"/>
      <c r="J559" s="116"/>
      <c r="K559" s="116"/>
      <c r="L559" s="116"/>
      <c r="M559" s="116"/>
      <c r="N559" s="116"/>
      <c r="AB559" s="332"/>
      <c r="AQ559" s="336"/>
      <c r="AR559" s="336"/>
      <c r="AS559" s="336"/>
      <c r="BD559" s="332"/>
    </row>
    <row r="560" spans="9:56" ht="13">
      <c r="I560" s="116"/>
      <c r="J560" s="116"/>
      <c r="K560" s="116"/>
      <c r="L560" s="116"/>
      <c r="M560" s="116"/>
      <c r="N560" s="116"/>
      <c r="AB560" s="332"/>
      <c r="AQ560" s="336"/>
      <c r="AR560" s="336"/>
      <c r="AS560" s="336"/>
      <c r="BD560" s="332"/>
    </row>
    <row r="561" spans="9:56" ht="13">
      <c r="I561" s="116"/>
      <c r="J561" s="116"/>
      <c r="K561" s="116"/>
      <c r="L561" s="116"/>
      <c r="M561" s="116"/>
      <c r="N561" s="116"/>
      <c r="AB561" s="332"/>
      <c r="AQ561" s="336"/>
      <c r="AR561" s="336"/>
      <c r="AS561" s="336"/>
      <c r="BD561" s="332"/>
    </row>
    <row r="562" spans="9:56" ht="13">
      <c r="I562" s="116"/>
      <c r="J562" s="116"/>
      <c r="K562" s="116"/>
      <c r="L562" s="116"/>
      <c r="M562" s="116"/>
      <c r="N562" s="116"/>
      <c r="AB562" s="332"/>
      <c r="AQ562" s="336"/>
      <c r="AR562" s="336"/>
      <c r="AS562" s="336"/>
      <c r="BD562" s="332"/>
    </row>
    <row r="563" spans="9:56" ht="13">
      <c r="I563" s="116"/>
      <c r="J563" s="116"/>
      <c r="K563" s="116"/>
      <c r="L563" s="116"/>
      <c r="M563" s="116"/>
      <c r="N563" s="116"/>
      <c r="AB563" s="332"/>
      <c r="AQ563" s="336"/>
      <c r="AR563" s="336"/>
      <c r="AS563" s="336"/>
      <c r="BD563" s="332"/>
    </row>
    <row r="564" spans="9:56" ht="13">
      <c r="I564" s="116"/>
      <c r="J564" s="116"/>
      <c r="K564" s="116"/>
      <c r="L564" s="116"/>
      <c r="M564" s="116"/>
      <c r="N564" s="116"/>
      <c r="AB564" s="332"/>
      <c r="AQ564" s="336"/>
      <c r="AR564" s="336"/>
      <c r="AS564" s="336"/>
      <c r="BD564" s="332"/>
    </row>
    <row r="565" spans="9:56" ht="13">
      <c r="I565" s="116"/>
      <c r="J565" s="116"/>
      <c r="K565" s="116"/>
      <c r="L565" s="116"/>
      <c r="M565" s="116"/>
      <c r="N565" s="116"/>
      <c r="AB565" s="332"/>
      <c r="AQ565" s="336"/>
      <c r="AR565" s="336"/>
      <c r="AS565" s="336"/>
      <c r="BD565" s="332"/>
    </row>
    <row r="566" spans="9:56" ht="13">
      <c r="I566" s="116"/>
      <c r="J566" s="116"/>
      <c r="K566" s="116"/>
      <c r="L566" s="116"/>
      <c r="M566" s="116"/>
      <c r="N566" s="116"/>
      <c r="AB566" s="332"/>
      <c r="AQ566" s="336"/>
      <c r="AR566" s="336"/>
      <c r="AS566" s="336"/>
      <c r="BD566" s="332"/>
    </row>
    <row r="567" spans="9:56" ht="13">
      <c r="I567" s="116"/>
      <c r="J567" s="116"/>
      <c r="K567" s="116"/>
      <c r="L567" s="116"/>
      <c r="M567" s="116"/>
      <c r="N567" s="116"/>
      <c r="AB567" s="332"/>
      <c r="AQ567" s="336"/>
      <c r="AR567" s="336"/>
      <c r="AS567" s="336"/>
      <c r="BD567" s="332"/>
    </row>
    <row r="568" spans="9:56" ht="13">
      <c r="I568" s="116"/>
      <c r="J568" s="116"/>
      <c r="K568" s="116"/>
      <c r="L568" s="116"/>
      <c r="M568" s="116"/>
      <c r="N568" s="116"/>
      <c r="AB568" s="332"/>
      <c r="AQ568" s="336"/>
      <c r="AR568" s="336"/>
      <c r="AS568" s="336"/>
      <c r="BD568" s="332"/>
    </row>
    <row r="569" spans="9:56" ht="13">
      <c r="I569" s="116"/>
      <c r="J569" s="116"/>
      <c r="K569" s="116"/>
      <c r="L569" s="116"/>
      <c r="M569" s="116"/>
      <c r="N569" s="116"/>
      <c r="AB569" s="332"/>
      <c r="AQ569" s="336"/>
      <c r="AR569" s="336"/>
      <c r="AS569" s="336"/>
      <c r="BD569" s="332"/>
    </row>
    <row r="570" spans="9:56" ht="13">
      <c r="I570" s="116"/>
      <c r="J570" s="116"/>
      <c r="K570" s="116"/>
      <c r="L570" s="116"/>
      <c r="M570" s="116"/>
      <c r="N570" s="116"/>
      <c r="AB570" s="332"/>
      <c r="AQ570" s="336"/>
      <c r="AR570" s="336"/>
      <c r="AS570" s="336"/>
      <c r="BD570" s="332"/>
    </row>
    <row r="571" spans="9:56" ht="13">
      <c r="I571" s="116"/>
      <c r="J571" s="116"/>
      <c r="K571" s="116"/>
      <c r="L571" s="116"/>
      <c r="M571" s="116"/>
      <c r="N571" s="116"/>
      <c r="AB571" s="332"/>
      <c r="AQ571" s="336"/>
      <c r="AR571" s="336"/>
      <c r="AS571" s="336"/>
      <c r="BD571" s="332"/>
    </row>
    <row r="572" spans="9:56" ht="13">
      <c r="I572" s="116"/>
      <c r="J572" s="116"/>
      <c r="K572" s="116"/>
      <c r="L572" s="116"/>
      <c r="M572" s="116"/>
      <c r="N572" s="116"/>
      <c r="AB572" s="332"/>
      <c r="AQ572" s="336"/>
      <c r="AR572" s="336"/>
      <c r="AS572" s="336"/>
      <c r="BD572" s="332"/>
    </row>
    <row r="573" spans="9:56" ht="13">
      <c r="I573" s="116"/>
      <c r="J573" s="116"/>
      <c r="K573" s="116"/>
      <c r="L573" s="116"/>
      <c r="M573" s="116"/>
      <c r="N573" s="116"/>
      <c r="AB573" s="332"/>
      <c r="AQ573" s="336"/>
      <c r="AR573" s="336"/>
      <c r="AS573" s="336"/>
      <c r="BD573" s="332"/>
    </row>
    <row r="574" spans="9:56" ht="13">
      <c r="I574" s="116"/>
      <c r="J574" s="116"/>
      <c r="K574" s="116"/>
      <c r="L574" s="116"/>
      <c r="M574" s="116"/>
      <c r="N574" s="116"/>
      <c r="AB574" s="332"/>
      <c r="AQ574" s="336"/>
      <c r="AR574" s="336"/>
      <c r="AS574" s="336"/>
      <c r="BD574" s="332"/>
    </row>
    <row r="575" spans="9:56" ht="13">
      <c r="I575" s="116"/>
      <c r="J575" s="116"/>
      <c r="K575" s="116"/>
      <c r="L575" s="116"/>
      <c r="M575" s="116"/>
      <c r="N575" s="116"/>
      <c r="AB575" s="332"/>
      <c r="AQ575" s="336"/>
      <c r="AR575" s="336"/>
      <c r="AS575" s="336"/>
      <c r="BD575" s="332"/>
    </row>
    <row r="576" spans="9:56" ht="13">
      <c r="I576" s="116"/>
      <c r="J576" s="116"/>
      <c r="K576" s="116"/>
      <c r="L576" s="116"/>
      <c r="M576" s="116"/>
      <c r="N576" s="116"/>
      <c r="AB576" s="332"/>
      <c r="AQ576" s="336"/>
      <c r="AR576" s="336"/>
      <c r="AS576" s="336"/>
      <c r="BD576" s="332"/>
    </row>
    <row r="577" spans="9:56" ht="13">
      <c r="I577" s="116"/>
      <c r="J577" s="116"/>
      <c r="K577" s="116"/>
      <c r="L577" s="116"/>
      <c r="M577" s="116"/>
      <c r="N577" s="116"/>
      <c r="AB577" s="332"/>
      <c r="AQ577" s="336"/>
      <c r="AR577" s="336"/>
      <c r="AS577" s="336"/>
      <c r="BD577" s="332"/>
    </row>
    <row r="578" spans="9:56" ht="13">
      <c r="I578" s="116"/>
      <c r="J578" s="116"/>
      <c r="K578" s="116"/>
      <c r="L578" s="116"/>
      <c r="M578" s="116"/>
      <c r="N578" s="116"/>
      <c r="AB578" s="332"/>
      <c r="AQ578" s="336"/>
      <c r="AR578" s="336"/>
      <c r="AS578" s="336"/>
      <c r="BD578" s="332"/>
    </row>
    <row r="579" spans="9:56" ht="13">
      <c r="I579" s="116"/>
      <c r="J579" s="116"/>
      <c r="K579" s="116"/>
      <c r="L579" s="116"/>
      <c r="M579" s="116"/>
      <c r="N579" s="116"/>
      <c r="AB579" s="332"/>
      <c r="AQ579" s="336"/>
      <c r="AR579" s="336"/>
      <c r="AS579" s="336"/>
      <c r="BD579" s="332"/>
    </row>
    <row r="580" spans="9:56" ht="13">
      <c r="I580" s="116"/>
      <c r="J580" s="116"/>
      <c r="K580" s="116"/>
      <c r="L580" s="116"/>
      <c r="M580" s="116"/>
      <c r="N580" s="116"/>
      <c r="AB580" s="332"/>
      <c r="AQ580" s="336"/>
      <c r="AR580" s="336"/>
      <c r="AS580" s="336"/>
      <c r="BD580" s="332"/>
    </row>
    <row r="581" spans="9:56" ht="13">
      <c r="I581" s="116"/>
      <c r="J581" s="116"/>
      <c r="K581" s="116"/>
      <c r="L581" s="116"/>
      <c r="M581" s="116"/>
      <c r="N581" s="116"/>
      <c r="AB581" s="332"/>
      <c r="AQ581" s="336"/>
      <c r="AR581" s="336"/>
      <c r="AS581" s="336"/>
      <c r="BD581" s="332"/>
    </row>
    <row r="582" spans="9:56" ht="13">
      <c r="I582" s="116"/>
      <c r="J582" s="116"/>
      <c r="K582" s="116"/>
      <c r="L582" s="116"/>
      <c r="M582" s="116"/>
      <c r="N582" s="116"/>
      <c r="AB582" s="332"/>
      <c r="AQ582" s="336"/>
      <c r="AR582" s="336"/>
      <c r="AS582" s="336"/>
      <c r="BD582" s="332"/>
    </row>
    <row r="583" spans="9:56" ht="13">
      <c r="I583" s="116"/>
      <c r="J583" s="116"/>
      <c r="K583" s="116"/>
      <c r="L583" s="116"/>
      <c r="M583" s="116"/>
      <c r="N583" s="116"/>
      <c r="AB583" s="332"/>
      <c r="AQ583" s="336"/>
      <c r="AR583" s="336"/>
      <c r="AS583" s="336"/>
      <c r="BD583" s="332"/>
    </row>
    <row r="584" spans="9:56" ht="13">
      <c r="I584" s="116"/>
      <c r="J584" s="116"/>
      <c r="K584" s="116"/>
      <c r="L584" s="116"/>
      <c r="M584" s="116"/>
      <c r="N584" s="116"/>
      <c r="AB584" s="332"/>
      <c r="AQ584" s="336"/>
      <c r="AR584" s="336"/>
      <c r="AS584" s="336"/>
      <c r="BD584" s="332"/>
    </row>
    <row r="585" spans="9:56" ht="13">
      <c r="I585" s="116"/>
      <c r="J585" s="116"/>
      <c r="K585" s="116"/>
      <c r="L585" s="116"/>
      <c r="M585" s="116"/>
      <c r="N585" s="116"/>
      <c r="AB585" s="332"/>
      <c r="AQ585" s="336"/>
      <c r="AR585" s="336"/>
      <c r="AS585" s="336"/>
      <c r="BD585" s="332"/>
    </row>
    <row r="586" spans="9:56" ht="13">
      <c r="I586" s="116"/>
      <c r="J586" s="116"/>
      <c r="K586" s="116"/>
      <c r="L586" s="116"/>
      <c r="M586" s="116"/>
      <c r="N586" s="116"/>
      <c r="AB586" s="332"/>
      <c r="AQ586" s="336"/>
      <c r="AR586" s="336"/>
      <c r="AS586" s="336"/>
      <c r="BD586" s="332"/>
    </row>
    <row r="587" spans="9:56" ht="13">
      <c r="I587" s="116"/>
      <c r="J587" s="116"/>
      <c r="K587" s="116"/>
      <c r="L587" s="116"/>
      <c r="M587" s="116"/>
      <c r="N587" s="116"/>
      <c r="AB587" s="332"/>
      <c r="AQ587" s="336"/>
      <c r="AR587" s="336"/>
      <c r="AS587" s="336"/>
      <c r="BD587" s="332"/>
    </row>
    <row r="588" spans="9:56" ht="13">
      <c r="I588" s="116"/>
      <c r="J588" s="116"/>
      <c r="K588" s="116"/>
      <c r="L588" s="116"/>
      <c r="M588" s="116"/>
      <c r="N588" s="116"/>
      <c r="AB588" s="332"/>
      <c r="AQ588" s="336"/>
      <c r="AR588" s="336"/>
      <c r="AS588" s="336"/>
      <c r="BD588" s="332"/>
    </row>
    <row r="589" spans="9:56" ht="13">
      <c r="I589" s="116"/>
      <c r="J589" s="116"/>
      <c r="K589" s="116"/>
      <c r="L589" s="116"/>
      <c r="M589" s="116"/>
      <c r="N589" s="116"/>
      <c r="AB589" s="332"/>
      <c r="AQ589" s="336"/>
      <c r="AR589" s="336"/>
      <c r="AS589" s="336"/>
      <c r="BD589" s="332"/>
    </row>
    <row r="590" spans="9:56" ht="13">
      <c r="I590" s="116"/>
      <c r="J590" s="116"/>
      <c r="K590" s="116"/>
      <c r="L590" s="116"/>
      <c r="M590" s="116"/>
      <c r="N590" s="116"/>
      <c r="AB590" s="332"/>
      <c r="AQ590" s="336"/>
      <c r="AR590" s="336"/>
      <c r="AS590" s="336"/>
      <c r="BD590" s="332"/>
    </row>
    <row r="591" spans="9:56" ht="13">
      <c r="I591" s="116"/>
      <c r="J591" s="116"/>
      <c r="K591" s="116"/>
      <c r="L591" s="116"/>
      <c r="M591" s="116"/>
      <c r="N591" s="116"/>
      <c r="AB591" s="332"/>
      <c r="AQ591" s="336"/>
      <c r="AR591" s="336"/>
      <c r="AS591" s="336"/>
      <c r="BD591" s="332"/>
    </row>
    <row r="592" spans="9:56" ht="13">
      <c r="I592" s="116"/>
      <c r="J592" s="116"/>
      <c r="K592" s="116"/>
      <c r="L592" s="116"/>
      <c r="M592" s="116"/>
      <c r="N592" s="116"/>
      <c r="AB592" s="332"/>
      <c r="AQ592" s="336"/>
      <c r="AR592" s="336"/>
      <c r="AS592" s="336"/>
      <c r="BD592" s="332"/>
    </row>
    <row r="593" spans="9:56" ht="13">
      <c r="I593" s="116"/>
      <c r="J593" s="116"/>
      <c r="K593" s="116"/>
      <c r="L593" s="116"/>
      <c r="M593" s="116"/>
      <c r="N593" s="116"/>
      <c r="AB593" s="332"/>
      <c r="AQ593" s="336"/>
      <c r="AR593" s="336"/>
      <c r="AS593" s="336"/>
      <c r="BD593" s="332"/>
    </row>
    <row r="594" spans="9:56" ht="13">
      <c r="I594" s="116"/>
      <c r="J594" s="116"/>
      <c r="K594" s="116"/>
      <c r="L594" s="116"/>
      <c r="M594" s="116"/>
      <c r="N594" s="116"/>
      <c r="AB594" s="332"/>
      <c r="AQ594" s="336"/>
      <c r="AR594" s="336"/>
      <c r="AS594" s="336"/>
      <c r="BD594" s="332"/>
    </row>
    <row r="595" spans="9:56" ht="13">
      <c r="I595" s="116"/>
      <c r="J595" s="116"/>
      <c r="K595" s="116"/>
      <c r="L595" s="116"/>
      <c r="M595" s="116"/>
      <c r="N595" s="116"/>
      <c r="AB595" s="332"/>
      <c r="AQ595" s="336"/>
      <c r="AR595" s="336"/>
      <c r="AS595" s="336"/>
      <c r="BD595" s="332"/>
    </row>
    <row r="596" spans="9:56" ht="13">
      <c r="I596" s="116"/>
      <c r="J596" s="116"/>
      <c r="K596" s="116"/>
      <c r="L596" s="116"/>
      <c r="M596" s="116"/>
      <c r="N596" s="116"/>
      <c r="AB596" s="332"/>
      <c r="AQ596" s="336"/>
      <c r="AR596" s="336"/>
      <c r="AS596" s="336"/>
      <c r="BD596" s="332"/>
    </row>
    <row r="597" spans="9:56" ht="13">
      <c r="I597" s="116"/>
      <c r="J597" s="116"/>
      <c r="K597" s="116"/>
      <c r="L597" s="116"/>
      <c r="M597" s="116"/>
      <c r="N597" s="116"/>
      <c r="AB597" s="332"/>
      <c r="AQ597" s="336"/>
      <c r="AR597" s="336"/>
      <c r="AS597" s="336"/>
      <c r="BD597" s="332"/>
    </row>
    <row r="598" spans="9:56" ht="13">
      <c r="I598" s="116"/>
      <c r="J598" s="116"/>
      <c r="K598" s="116"/>
      <c r="L598" s="116"/>
      <c r="M598" s="116"/>
      <c r="N598" s="116"/>
      <c r="AB598" s="332"/>
      <c r="AQ598" s="336"/>
      <c r="AR598" s="336"/>
      <c r="AS598" s="336"/>
      <c r="BD598" s="332"/>
    </row>
    <row r="599" spans="9:56" ht="13">
      <c r="I599" s="116"/>
      <c r="J599" s="116"/>
      <c r="K599" s="116"/>
      <c r="L599" s="116"/>
      <c r="M599" s="116"/>
      <c r="N599" s="116"/>
      <c r="AB599" s="332"/>
      <c r="AQ599" s="336"/>
      <c r="AR599" s="336"/>
      <c r="AS599" s="336"/>
      <c r="BD599" s="332"/>
    </row>
    <row r="600" spans="9:56" ht="13">
      <c r="I600" s="116"/>
      <c r="J600" s="116"/>
      <c r="K600" s="116"/>
      <c r="L600" s="116"/>
      <c r="M600" s="116"/>
      <c r="N600" s="116"/>
      <c r="AB600" s="332"/>
      <c r="AQ600" s="336"/>
      <c r="AR600" s="336"/>
      <c r="AS600" s="336"/>
      <c r="BD600" s="332"/>
    </row>
    <row r="601" spans="9:56" ht="13">
      <c r="I601" s="116"/>
      <c r="J601" s="116"/>
      <c r="K601" s="116"/>
      <c r="L601" s="116"/>
      <c r="M601" s="116"/>
      <c r="N601" s="116"/>
      <c r="AB601" s="332"/>
      <c r="AQ601" s="336"/>
      <c r="AR601" s="336"/>
      <c r="AS601" s="336"/>
      <c r="BD601" s="332"/>
    </row>
    <row r="602" spans="9:56" ht="13">
      <c r="I602" s="116"/>
      <c r="J602" s="116"/>
      <c r="K602" s="116"/>
      <c r="L602" s="116"/>
      <c r="M602" s="116"/>
      <c r="N602" s="116"/>
      <c r="AB602" s="332"/>
      <c r="AQ602" s="336"/>
      <c r="AR602" s="336"/>
      <c r="AS602" s="336"/>
      <c r="BD602" s="332"/>
    </row>
    <row r="603" spans="9:56" ht="13">
      <c r="I603" s="116"/>
      <c r="J603" s="116"/>
      <c r="K603" s="116"/>
      <c r="L603" s="116"/>
      <c r="M603" s="116"/>
      <c r="N603" s="116"/>
      <c r="AB603" s="332"/>
      <c r="AQ603" s="336"/>
      <c r="AR603" s="336"/>
      <c r="AS603" s="336"/>
      <c r="BD603" s="332"/>
    </row>
    <row r="604" spans="9:56" ht="13">
      <c r="I604" s="116"/>
      <c r="J604" s="116"/>
      <c r="K604" s="116"/>
      <c r="L604" s="116"/>
      <c r="M604" s="116"/>
      <c r="N604" s="116"/>
      <c r="AB604" s="332"/>
      <c r="AQ604" s="336"/>
      <c r="AR604" s="336"/>
      <c r="AS604" s="336"/>
      <c r="BD604" s="332"/>
    </row>
    <row r="605" spans="9:56" ht="13">
      <c r="I605" s="116"/>
      <c r="J605" s="116"/>
      <c r="K605" s="116"/>
      <c r="L605" s="116"/>
      <c r="M605" s="116"/>
      <c r="N605" s="116"/>
      <c r="AB605" s="332"/>
      <c r="AQ605" s="336"/>
      <c r="AR605" s="336"/>
      <c r="AS605" s="336"/>
      <c r="BD605" s="332"/>
    </row>
    <row r="606" spans="9:56" ht="13">
      <c r="I606" s="116"/>
      <c r="J606" s="116"/>
      <c r="K606" s="116"/>
      <c r="L606" s="116"/>
      <c r="M606" s="116"/>
      <c r="N606" s="116"/>
      <c r="AB606" s="332"/>
      <c r="AQ606" s="336"/>
      <c r="AR606" s="336"/>
      <c r="AS606" s="336"/>
      <c r="BD606" s="332"/>
    </row>
    <row r="607" spans="9:56" ht="13">
      <c r="I607" s="116"/>
      <c r="J607" s="116"/>
      <c r="K607" s="116"/>
      <c r="L607" s="116"/>
      <c r="M607" s="116"/>
      <c r="N607" s="116"/>
      <c r="AB607" s="332"/>
      <c r="AQ607" s="336"/>
      <c r="AR607" s="336"/>
      <c r="AS607" s="336"/>
      <c r="BD607" s="332"/>
    </row>
    <row r="608" spans="9:56" ht="13">
      <c r="I608" s="116"/>
      <c r="J608" s="116"/>
      <c r="K608" s="116"/>
      <c r="L608" s="116"/>
      <c r="M608" s="116"/>
      <c r="N608" s="116"/>
      <c r="AB608" s="332"/>
      <c r="AQ608" s="336"/>
      <c r="AR608" s="336"/>
      <c r="AS608" s="336"/>
      <c r="BD608" s="332"/>
    </row>
    <row r="609" spans="9:56" ht="13">
      <c r="I609" s="116"/>
      <c r="J609" s="116"/>
      <c r="K609" s="116"/>
      <c r="L609" s="116"/>
      <c r="M609" s="116"/>
      <c r="N609" s="116"/>
      <c r="AB609" s="332"/>
      <c r="AQ609" s="336"/>
      <c r="AR609" s="336"/>
      <c r="AS609" s="336"/>
      <c r="BD609" s="332"/>
    </row>
    <row r="610" spans="9:56" ht="13">
      <c r="I610" s="116"/>
      <c r="J610" s="116"/>
      <c r="K610" s="116"/>
      <c r="L610" s="116"/>
      <c r="M610" s="116"/>
      <c r="N610" s="116"/>
      <c r="AB610" s="332"/>
      <c r="AQ610" s="336"/>
      <c r="AR610" s="336"/>
      <c r="AS610" s="336"/>
      <c r="BD610" s="332"/>
    </row>
    <row r="611" spans="9:56" ht="13">
      <c r="I611" s="116"/>
      <c r="J611" s="116"/>
      <c r="K611" s="116"/>
      <c r="L611" s="116"/>
      <c r="M611" s="116"/>
      <c r="N611" s="116"/>
      <c r="AB611" s="332"/>
      <c r="AQ611" s="336"/>
      <c r="AR611" s="336"/>
      <c r="AS611" s="336"/>
      <c r="BD611" s="332"/>
    </row>
    <row r="612" spans="9:56" ht="13">
      <c r="I612" s="116"/>
      <c r="J612" s="116"/>
      <c r="K612" s="116"/>
      <c r="L612" s="116"/>
      <c r="M612" s="116"/>
      <c r="N612" s="116"/>
      <c r="AB612" s="332"/>
      <c r="AQ612" s="336"/>
      <c r="AR612" s="336"/>
      <c r="AS612" s="336"/>
      <c r="BD612" s="332"/>
    </row>
    <row r="613" spans="9:56" ht="13">
      <c r="I613" s="116"/>
      <c r="J613" s="116"/>
      <c r="K613" s="116"/>
      <c r="L613" s="116"/>
      <c r="M613" s="116"/>
      <c r="N613" s="116"/>
      <c r="AB613" s="332"/>
      <c r="AQ613" s="336"/>
      <c r="AR613" s="336"/>
      <c r="AS613" s="336"/>
      <c r="BD613" s="332"/>
    </row>
    <row r="614" spans="9:56" ht="13">
      <c r="I614" s="116"/>
      <c r="J614" s="116"/>
      <c r="K614" s="116"/>
      <c r="L614" s="116"/>
      <c r="M614" s="116"/>
      <c r="N614" s="116"/>
      <c r="AB614" s="332"/>
      <c r="AQ614" s="336"/>
      <c r="AR614" s="336"/>
      <c r="AS614" s="336"/>
      <c r="BD614" s="332"/>
    </row>
    <row r="615" spans="9:56" ht="13">
      <c r="I615" s="116"/>
      <c r="J615" s="116"/>
      <c r="K615" s="116"/>
      <c r="L615" s="116"/>
      <c r="M615" s="116"/>
      <c r="N615" s="116"/>
      <c r="AB615" s="332"/>
      <c r="AQ615" s="336"/>
      <c r="AR615" s="336"/>
      <c r="AS615" s="336"/>
      <c r="BD615" s="332"/>
    </row>
    <row r="616" spans="9:56" ht="13">
      <c r="I616" s="116"/>
      <c r="J616" s="116"/>
      <c r="K616" s="116"/>
      <c r="L616" s="116"/>
      <c r="M616" s="116"/>
      <c r="N616" s="116"/>
      <c r="AB616" s="332"/>
      <c r="AQ616" s="336"/>
      <c r="AR616" s="336"/>
      <c r="AS616" s="336"/>
      <c r="BD616" s="332"/>
    </row>
    <row r="617" spans="9:56" ht="13">
      <c r="I617" s="116"/>
      <c r="J617" s="116"/>
      <c r="K617" s="116"/>
      <c r="L617" s="116"/>
      <c r="M617" s="116"/>
      <c r="N617" s="116"/>
      <c r="AB617" s="332"/>
      <c r="AQ617" s="336"/>
      <c r="AR617" s="336"/>
      <c r="AS617" s="336"/>
      <c r="BD617" s="332"/>
    </row>
    <row r="618" spans="9:56" ht="13">
      <c r="I618" s="116"/>
      <c r="J618" s="116"/>
      <c r="K618" s="116"/>
      <c r="L618" s="116"/>
      <c r="M618" s="116"/>
      <c r="N618" s="116"/>
      <c r="AB618" s="332"/>
      <c r="AQ618" s="336"/>
      <c r="AR618" s="336"/>
      <c r="AS618" s="336"/>
      <c r="BD618" s="332"/>
    </row>
    <row r="619" spans="9:56" ht="13">
      <c r="I619" s="116"/>
      <c r="J619" s="116"/>
      <c r="K619" s="116"/>
      <c r="L619" s="116"/>
      <c r="M619" s="116"/>
      <c r="N619" s="116"/>
      <c r="AB619" s="332"/>
      <c r="AQ619" s="336"/>
      <c r="AR619" s="336"/>
      <c r="AS619" s="336"/>
      <c r="BD619" s="332"/>
    </row>
    <row r="620" spans="9:56" ht="13">
      <c r="I620" s="116"/>
      <c r="J620" s="116"/>
      <c r="K620" s="116"/>
      <c r="L620" s="116"/>
      <c r="M620" s="116"/>
      <c r="N620" s="116"/>
      <c r="AB620" s="332"/>
      <c r="AQ620" s="336"/>
      <c r="AR620" s="336"/>
      <c r="AS620" s="336"/>
      <c r="BD620" s="332"/>
    </row>
    <row r="621" spans="9:56" ht="13">
      <c r="I621" s="116"/>
      <c r="J621" s="116"/>
      <c r="K621" s="116"/>
      <c r="L621" s="116"/>
      <c r="M621" s="116"/>
      <c r="N621" s="116"/>
      <c r="AB621" s="332"/>
      <c r="AQ621" s="336"/>
      <c r="AR621" s="336"/>
      <c r="AS621" s="336"/>
      <c r="BD621" s="332"/>
    </row>
    <row r="622" spans="9:56" ht="13">
      <c r="I622" s="116"/>
      <c r="J622" s="116"/>
      <c r="K622" s="116"/>
      <c r="L622" s="116"/>
      <c r="M622" s="116"/>
      <c r="N622" s="116"/>
      <c r="AB622" s="332"/>
      <c r="AQ622" s="336"/>
      <c r="AR622" s="336"/>
      <c r="AS622" s="336"/>
      <c r="BD622" s="332"/>
    </row>
    <row r="623" spans="9:56" ht="13">
      <c r="I623" s="116"/>
      <c r="J623" s="116"/>
      <c r="K623" s="116"/>
      <c r="L623" s="116"/>
      <c r="M623" s="116"/>
      <c r="N623" s="116"/>
      <c r="AB623" s="332"/>
      <c r="AQ623" s="336"/>
      <c r="AR623" s="336"/>
      <c r="AS623" s="336"/>
      <c r="BD623" s="332"/>
    </row>
    <row r="624" spans="9:56" ht="13">
      <c r="I624" s="116"/>
      <c r="J624" s="116"/>
      <c r="K624" s="116"/>
      <c r="L624" s="116"/>
      <c r="M624" s="116"/>
      <c r="N624" s="116"/>
      <c r="AB624" s="332"/>
      <c r="AQ624" s="336"/>
      <c r="AR624" s="336"/>
      <c r="AS624" s="336"/>
      <c r="BD624" s="332"/>
    </row>
    <row r="625" spans="9:56" ht="13">
      <c r="I625" s="116"/>
      <c r="J625" s="116"/>
      <c r="K625" s="116"/>
      <c r="L625" s="116"/>
      <c r="M625" s="116"/>
      <c r="N625" s="116"/>
      <c r="AB625" s="332"/>
      <c r="AQ625" s="336"/>
      <c r="AR625" s="336"/>
      <c r="AS625" s="336"/>
      <c r="BD625" s="332"/>
    </row>
    <row r="626" spans="9:56" ht="13">
      <c r="I626" s="116"/>
      <c r="J626" s="116"/>
      <c r="K626" s="116"/>
      <c r="L626" s="116"/>
      <c r="M626" s="116"/>
      <c r="N626" s="116"/>
      <c r="AB626" s="332"/>
      <c r="AQ626" s="336"/>
      <c r="AR626" s="336"/>
      <c r="AS626" s="336"/>
      <c r="BD626" s="332"/>
    </row>
    <row r="627" spans="9:56" ht="13">
      <c r="I627" s="116"/>
      <c r="J627" s="116"/>
      <c r="K627" s="116"/>
      <c r="L627" s="116"/>
      <c r="M627" s="116"/>
      <c r="N627" s="116"/>
      <c r="AB627" s="332"/>
      <c r="AQ627" s="336"/>
      <c r="AR627" s="336"/>
      <c r="AS627" s="336"/>
      <c r="BD627" s="332"/>
    </row>
    <row r="628" spans="9:56" ht="13">
      <c r="I628" s="116"/>
      <c r="J628" s="116"/>
      <c r="K628" s="116"/>
      <c r="L628" s="116"/>
      <c r="M628" s="116"/>
      <c r="N628" s="116"/>
      <c r="AB628" s="332"/>
      <c r="AQ628" s="336"/>
      <c r="AR628" s="336"/>
      <c r="AS628" s="336"/>
      <c r="BD628" s="332"/>
    </row>
    <row r="629" spans="9:56" ht="13">
      <c r="I629" s="116"/>
      <c r="J629" s="116"/>
      <c r="K629" s="116"/>
      <c r="L629" s="116"/>
      <c r="M629" s="116"/>
      <c r="N629" s="116"/>
      <c r="AB629" s="332"/>
      <c r="AQ629" s="336"/>
      <c r="AR629" s="336"/>
      <c r="AS629" s="336"/>
      <c r="BD629" s="332"/>
    </row>
    <row r="630" spans="9:56" ht="13">
      <c r="I630" s="116"/>
      <c r="J630" s="116"/>
      <c r="K630" s="116"/>
      <c r="L630" s="116"/>
      <c r="M630" s="116"/>
      <c r="N630" s="116"/>
      <c r="AB630" s="332"/>
      <c r="AQ630" s="336"/>
      <c r="AR630" s="336"/>
      <c r="AS630" s="336"/>
      <c r="BD630" s="332"/>
    </row>
    <row r="631" spans="9:56" ht="13">
      <c r="I631" s="116"/>
      <c r="J631" s="116"/>
      <c r="K631" s="116"/>
      <c r="L631" s="116"/>
      <c r="M631" s="116"/>
      <c r="N631" s="116"/>
      <c r="AB631" s="332"/>
      <c r="AQ631" s="336"/>
      <c r="AR631" s="336"/>
      <c r="AS631" s="336"/>
      <c r="BD631" s="332"/>
    </row>
    <row r="632" spans="9:56" ht="13">
      <c r="I632" s="116"/>
      <c r="J632" s="116"/>
      <c r="K632" s="116"/>
      <c r="L632" s="116"/>
      <c r="M632" s="116"/>
      <c r="N632" s="116"/>
      <c r="AB632" s="332"/>
      <c r="AQ632" s="336"/>
      <c r="AR632" s="336"/>
      <c r="AS632" s="336"/>
      <c r="BD632" s="332"/>
    </row>
    <row r="633" spans="9:56" ht="13">
      <c r="I633" s="116"/>
      <c r="J633" s="116"/>
      <c r="K633" s="116"/>
      <c r="L633" s="116"/>
      <c r="M633" s="116"/>
      <c r="N633" s="116"/>
      <c r="AB633" s="332"/>
      <c r="AQ633" s="336"/>
      <c r="AR633" s="336"/>
      <c r="AS633" s="336"/>
      <c r="BD633" s="332"/>
    </row>
    <row r="634" spans="9:56" ht="13">
      <c r="I634" s="116"/>
      <c r="J634" s="116"/>
      <c r="K634" s="116"/>
      <c r="L634" s="116"/>
      <c r="M634" s="116"/>
      <c r="N634" s="116"/>
      <c r="AB634" s="332"/>
      <c r="AQ634" s="336"/>
      <c r="AR634" s="336"/>
      <c r="AS634" s="336"/>
      <c r="BD634" s="332"/>
    </row>
    <row r="635" spans="9:56" ht="13">
      <c r="I635" s="116"/>
      <c r="J635" s="116"/>
      <c r="K635" s="116"/>
      <c r="L635" s="116"/>
      <c r="M635" s="116"/>
      <c r="N635" s="116"/>
      <c r="AB635" s="332"/>
      <c r="AQ635" s="336"/>
      <c r="AR635" s="336"/>
      <c r="AS635" s="336"/>
      <c r="BD635" s="332"/>
    </row>
    <row r="636" spans="9:56" ht="13">
      <c r="I636" s="116"/>
      <c r="J636" s="116"/>
      <c r="K636" s="116"/>
      <c r="L636" s="116"/>
      <c r="M636" s="116"/>
      <c r="N636" s="116"/>
      <c r="AB636" s="332"/>
      <c r="AQ636" s="336"/>
      <c r="AR636" s="336"/>
      <c r="AS636" s="336"/>
      <c r="BD636" s="332"/>
    </row>
    <row r="637" spans="9:56" ht="13">
      <c r="I637" s="116"/>
      <c r="J637" s="116"/>
      <c r="K637" s="116"/>
      <c r="L637" s="116"/>
      <c r="M637" s="116"/>
      <c r="N637" s="116"/>
      <c r="AB637" s="332"/>
      <c r="AQ637" s="336"/>
      <c r="AR637" s="336"/>
      <c r="AS637" s="336"/>
      <c r="BD637" s="332"/>
    </row>
    <row r="638" spans="9:56" ht="13">
      <c r="I638" s="116"/>
      <c r="J638" s="116"/>
      <c r="K638" s="116"/>
      <c r="L638" s="116"/>
      <c r="M638" s="116"/>
      <c r="N638" s="116"/>
      <c r="AB638" s="332"/>
      <c r="AQ638" s="336"/>
      <c r="AR638" s="336"/>
      <c r="AS638" s="336"/>
      <c r="BD638" s="332"/>
    </row>
    <row r="639" spans="9:56" ht="13">
      <c r="I639" s="116"/>
      <c r="J639" s="116"/>
      <c r="K639" s="116"/>
      <c r="L639" s="116"/>
      <c r="M639" s="116"/>
      <c r="N639" s="116"/>
      <c r="AB639" s="332"/>
      <c r="AQ639" s="336"/>
      <c r="AR639" s="336"/>
      <c r="AS639" s="336"/>
      <c r="BD639" s="332"/>
    </row>
    <row r="640" spans="9:56" ht="13">
      <c r="I640" s="116"/>
      <c r="J640" s="116"/>
      <c r="K640" s="116"/>
      <c r="L640" s="116"/>
      <c r="M640" s="116"/>
      <c r="N640" s="116"/>
      <c r="AB640" s="332"/>
      <c r="AQ640" s="336"/>
      <c r="AR640" s="336"/>
      <c r="AS640" s="336"/>
      <c r="BD640" s="332"/>
    </row>
    <row r="641" spans="9:56" ht="13">
      <c r="I641" s="116"/>
      <c r="J641" s="116"/>
      <c r="K641" s="116"/>
      <c r="L641" s="116"/>
      <c r="M641" s="116"/>
      <c r="N641" s="116"/>
      <c r="AB641" s="332"/>
      <c r="AQ641" s="336"/>
      <c r="AR641" s="336"/>
      <c r="AS641" s="336"/>
      <c r="BD641" s="332"/>
    </row>
    <row r="642" spans="9:56" ht="13">
      <c r="I642" s="116"/>
      <c r="J642" s="116"/>
      <c r="K642" s="116"/>
      <c r="L642" s="116"/>
      <c r="M642" s="116"/>
      <c r="N642" s="116"/>
      <c r="AB642" s="332"/>
      <c r="AQ642" s="336"/>
      <c r="AR642" s="336"/>
      <c r="AS642" s="336"/>
      <c r="BD642" s="332"/>
    </row>
    <row r="643" spans="9:56" ht="13">
      <c r="I643" s="116"/>
      <c r="J643" s="116"/>
      <c r="K643" s="116"/>
      <c r="L643" s="116"/>
      <c r="M643" s="116"/>
      <c r="N643" s="116"/>
      <c r="AB643" s="332"/>
      <c r="AQ643" s="336"/>
      <c r="AR643" s="336"/>
      <c r="AS643" s="336"/>
      <c r="BD643" s="332"/>
    </row>
    <row r="644" spans="9:56" ht="13">
      <c r="I644" s="116"/>
      <c r="J644" s="116"/>
      <c r="K644" s="116"/>
      <c r="L644" s="116"/>
      <c r="M644" s="116"/>
      <c r="N644" s="116"/>
      <c r="AB644" s="332"/>
      <c r="AQ644" s="336"/>
      <c r="AR644" s="336"/>
      <c r="AS644" s="336"/>
      <c r="BD644" s="332"/>
    </row>
    <row r="645" spans="9:56" ht="13">
      <c r="I645" s="116"/>
      <c r="J645" s="116"/>
      <c r="K645" s="116"/>
      <c r="L645" s="116"/>
      <c r="M645" s="116"/>
      <c r="N645" s="116"/>
      <c r="AB645" s="332"/>
      <c r="AQ645" s="336"/>
      <c r="AR645" s="336"/>
      <c r="AS645" s="336"/>
      <c r="BD645" s="332"/>
    </row>
    <row r="646" spans="9:56" ht="13">
      <c r="I646" s="116"/>
      <c r="J646" s="116"/>
      <c r="K646" s="116"/>
      <c r="L646" s="116"/>
      <c r="M646" s="116"/>
      <c r="N646" s="116"/>
      <c r="AB646" s="332"/>
      <c r="AQ646" s="336"/>
      <c r="AR646" s="336"/>
      <c r="AS646" s="336"/>
      <c r="BD646" s="332"/>
    </row>
    <row r="647" spans="9:56" ht="13">
      <c r="I647" s="116"/>
      <c r="J647" s="116"/>
      <c r="K647" s="116"/>
      <c r="L647" s="116"/>
      <c r="M647" s="116"/>
      <c r="N647" s="116"/>
      <c r="AB647" s="332"/>
      <c r="AQ647" s="336"/>
      <c r="AR647" s="336"/>
      <c r="AS647" s="336"/>
      <c r="BD647" s="332"/>
    </row>
    <row r="648" spans="9:56" ht="13">
      <c r="I648" s="116"/>
      <c r="J648" s="116"/>
      <c r="K648" s="116"/>
      <c r="L648" s="116"/>
      <c r="M648" s="116"/>
      <c r="N648" s="116"/>
      <c r="AB648" s="332"/>
      <c r="AQ648" s="336"/>
      <c r="AR648" s="336"/>
      <c r="AS648" s="336"/>
      <c r="BD648" s="332"/>
    </row>
    <row r="649" spans="9:56" ht="13">
      <c r="I649" s="116"/>
      <c r="J649" s="116"/>
      <c r="K649" s="116"/>
      <c r="L649" s="116"/>
      <c r="M649" s="116"/>
      <c r="N649" s="116"/>
      <c r="AB649" s="332"/>
      <c r="AQ649" s="336"/>
      <c r="AR649" s="336"/>
      <c r="AS649" s="336"/>
      <c r="BD649" s="332"/>
    </row>
    <row r="650" spans="9:56" ht="13">
      <c r="I650" s="116"/>
      <c r="J650" s="116"/>
      <c r="K650" s="116"/>
      <c r="L650" s="116"/>
      <c r="M650" s="116"/>
      <c r="N650" s="116"/>
      <c r="AB650" s="332"/>
      <c r="AQ650" s="336"/>
      <c r="AR650" s="336"/>
      <c r="AS650" s="336"/>
      <c r="BD650" s="332"/>
    </row>
    <row r="651" spans="9:56" ht="13">
      <c r="I651" s="116"/>
      <c r="J651" s="116"/>
      <c r="K651" s="116"/>
      <c r="L651" s="116"/>
      <c r="M651" s="116"/>
      <c r="N651" s="116"/>
      <c r="AB651" s="332"/>
      <c r="AQ651" s="336"/>
      <c r="AR651" s="336"/>
      <c r="AS651" s="336"/>
      <c r="BD651" s="332"/>
    </row>
    <row r="652" spans="9:56" ht="13">
      <c r="I652" s="116"/>
      <c r="J652" s="116"/>
      <c r="K652" s="116"/>
      <c r="L652" s="116"/>
      <c r="M652" s="116"/>
      <c r="N652" s="116"/>
      <c r="AB652" s="332"/>
      <c r="AQ652" s="336"/>
      <c r="AR652" s="336"/>
      <c r="AS652" s="336"/>
      <c r="BD652" s="332"/>
    </row>
    <row r="653" spans="9:56" ht="13">
      <c r="I653" s="116"/>
      <c r="J653" s="116"/>
      <c r="K653" s="116"/>
      <c r="L653" s="116"/>
      <c r="M653" s="116"/>
      <c r="N653" s="116"/>
      <c r="AB653" s="332"/>
      <c r="AQ653" s="336"/>
      <c r="AR653" s="336"/>
      <c r="AS653" s="336"/>
      <c r="BD653" s="332"/>
    </row>
    <row r="654" spans="9:56" ht="13">
      <c r="I654" s="116"/>
      <c r="J654" s="116"/>
      <c r="K654" s="116"/>
      <c r="L654" s="116"/>
      <c r="M654" s="116"/>
      <c r="N654" s="116"/>
      <c r="AB654" s="332"/>
      <c r="AQ654" s="336"/>
      <c r="AR654" s="336"/>
      <c r="AS654" s="336"/>
      <c r="BD654" s="332"/>
    </row>
    <row r="655" spans="9:56" ht="13">
      <c r="I655" s="116"/>
      <c r="J655" s="116"/>
      <c r="K655" s="116"/>
      <c r="L655" s="116"/>
      <c r="M655" s="116"/>
      <c r="N655" s="116"/>
      <c r="AB655" s="332"/>
      <c r="AQ655" s="336"/>
      <c r="AR655" s="336"/>
      <c r="AS655" s="336"/>
      <c r="BD655" s="332"/>
    </row>
    <row r="656" spans="9:56" ht="13">
      <c r="I656" s="116"/>
      <c r="J656" s="116"/>
      <c r="K656" s="116"/>
      <c r="L656" s="116"/>
      <c r="M656" s="116"/>
      <c r="N656" s="116"/>
      <c r="AB656" s="332"/>
      <c r="AQ656" s="336"/>
      <c r="AR656" s="336"/>
      <c r="AS656" s="336"/>
      <c r="BD656" s="332"/>
    </row>
    <row r="657" spans="9:56" ht="13">
      <c r="I657" s="116"/>
      <c r="J657" s="116"/>
      <c r="K657" s="116"/>
      <c r="L657" s="116"/>
      <c r="M657" s="116"/>
      <c r="N657" s="116"/>
      <c r="AB657" s="332"/>
      <c r="AQ657" s="336"/>
      <c r="AR657" s="336"/>
      <c r="AS657" s="336"/>
      <c r="BD657" s="332"/>
    </row>
    <row r="658" spans="9:56" ht="13">
      <c r="I658" s="116"/>
      <c r="J658" s="116"/>
      <c r="K658" s="116"/>
      <c r="L658" s="116"/>
      <c r="M658" s="116"/>
      <c r="N658" s="116"/>
      <c r="AB658" s="332"/>
      <c r="AQ658" s="336"/>
      <c r="AR658" s="336"/>
      <c r="AS658" s="336"/>
      <c r="BD658" s="332"/>
    </row>
    <row r="659" spans="9:56" ht="13">
      <c r="I659" s="116"/>
      <c r="J659" s="116"/>
      <c r="K659" s="116"/>
      <c r="L659" s="116"/>
      <c r="M659" s="116"/>
      <c r="N659" s="116"/>
      <c r="AB659" s="332"/>
      <c r="AQ659" s="336"/>
      <c r="AR659" s="336"/>
      <c r="AS659" s="336"/>
      <c r="BD659" s="332"/>
    </row>
    <row r="660" spans="9:56" ht="13">
      <c r="I660" s="116"/>
      <c r="J660" s="116"/>
      <c r="K660" s="116"/>
      <c r="L660" s="116"/>
      <c r="M660" s="116"/>
      <c r="N660" s="116"/>
      <c r="AB660" s="332"/>
      <c r="AQ660" s="336"/>
      <c r="AR660" s="336"/>
      <c r="AS660" s="336"/>
      <c r="BD660" s="332"/>
    </row>
    <row r="661" spans="9:56" ht="13">
      <c r="I661" s="116"/>
      <c r="J661" s="116"/>
      <c r="K661" s="116"/>
      <c r="L661" s="116"/>
      <c r="M661" s="116"/>
      <c r="N661" s="116"/>
      <c r="AB661" s="332"/>
      <c r="AQ661" s="336"/>
      <c r="AR661" s="336"/>
      <c r="AS661" s="336"/>
      <c r="BD661" s="332"/>
    </row>
    <row r="662" spans="9:56" ht="13">
      <c r="I662" s="116"/>
      <c r="J662" s="116"/>
      <c r="K662" s="116"/>
      <c r="L662" s="116"/>
      <c r="M662" s="116"/>
      <c r="N662" s="116"/>
      <c r="AB662" s="332"/>
      <c r="AQ662" s="336"/>
      <c r="AR662" s="336"/>
      <c r="AS662" s="336"/>
      <c r="BD662" s="332"/>
    </row>
    <row r="663" spans="9:56" ht="13">
      <c r="I663" s="116"/>
      <c r="J663" s="116"/>
      <c r="K663" s="116"/>
      <c r="L663" s="116"/>
      <c r="M663" s="116"/>
      <c r="N663" s="116"/>
      <c r="AB663" s="332"/>
      <c r="AQ663" s="336"/>
      <c r="AR663" s="336"/>
      <c r="AS663" s="336"/>
      <c r="BD663" s="332"/>
    </row>
    <row r="664" spans="9:56" ht="13">
      <c r="I664" s="116"/>
      <c r="J664" s="116"/>
      <c r="K664" s="116"/>
      <c r="L664" s="116"/>
      <c r="M664" s="116"/>
      <c r="N664" s="116"/>
      <c r="AB664" s="332"/>
      <c r="AQ664" s="336"/>
      <c r="AR664" s="336"/>
      <c r="AS664" s="336"/>
      <c r="BD664" s="332"/>
    </row>
    <row r="665" spans="9:56" ht="13">
      <c r="I665" s="116"/>
      <c r="J665" s="116"/>
      <c r="K665" s="116"/>
      <c r="L665" s="116"/>
      <c r="M665" s="116"/>
      <c r="N665" s="116"/>
      <c r="AB665" s="332"/>
      <c r="AQ665" s="336"/>
      <c r="AR665" s="336"/>
      <c r="AS665" s="336"/>
      <c r="BD665" s="332"/>
    </row>
    <row r="666" spans="9:56" ht="13">
      <c r="I666" s="116"/>
      <c r="J666" s="116"/>
      <c r="K666" s="116"/>
      <c r="L666" s="116"/>
      <c r="M666" s="116"/>
      <c r="N666" s="116"/>
      <c r="AB666" s="332"/>
      <c r="AQ666" s="336"/>
      <c r="AR666" s="336"/>
      <c r="AS666" s="336"/>
      <c r="BD666" s="332"/>
    </row>
    <row r="667" spans="9:56" ht="13">
      <c r="I667" s="116"/>
      <c r="J667" s="116"/>
      <c r="K667" s="116"/>
      <c r="L667" s="116"/>
      <c r="M667" s="116"/>
      <c r="N667" s="116"/>
      <c r="AB667" s="332"/>
      <c r="AQ667" s="336"/>
      <c r="AR667" s="336"/>
      <c r="AS667" s="336"/>
      <c r="BD667" s="332"/>
    </row>
    <row r="668" spans="9:56" ht="13">
      <c r="I668" s="116"/>
      <c r="J668" s="116"/>
      <c r="K668" s="116"/>
      <c r="L668" s="116"/>
      <c r="M668" s="116"/>
      <c r="N668" s="116"/>
      <c r="AB668" s="332"/>
      <c r="AQ668" s="336"/>
      <c r="AR668" s="336"/>
      <c r="AS668" s="336"/>
      <c r="BD668" s="332"/>
    </row>
    <row r="669" spans="9:56" ht="13">
      <c r="I669" s="116"/>
      <c r="J669" s="116"/>
      <c r="K669" s="116"/>
      <c r="L669" s="116"/>
      <c r="M669" s="116"/>
      <c r="N669" s="116"/>
      <c r="AB669" s="332"/>
      <c r="AQ669" s="336"/>
      <c r="AR669" s="336"/>
      <c r="AS669" s="336"/>
      <c r="BD669" s="332"/>
    </row>
    <row r="670" spans="9:56" ht="13">
      <c r="I670" s="116"/>
      <c r="J670" s="116"/>
      <c r="K670" s="116"/>
      <c r="L670" s="116"/>
      <c r="M670" s="116"/>
      <c r="N670" s="116"/>
      <c r="AB670" s="332"/>
      <c r="AQ670" s="336"/>
      <c r="AR670" s="336"/>
      <c r="AS670" s="336"/>
      <c r="BD670" s="332"/>
    </row>
    <row r="671" spans="9:56" ht="13">
      <c r="I671" s="116"/>
      <c r="J671" s="116"/>
      <c r="K671" s="116"/>
      <c r="L671" s="116"/>
      <c r="M671" s="116"/>
      <c r="N671" s="116"/>
      <c r="AB671" s="332"/>
      <c r="AQ671" s="336"/>
      <c r="AR671" s="336"/>
      <c r="AS671" s="336"/>
      <c r="BD671" s="332"/>
    </row>
    <row r="672" spans="9:56" ht="13">
      <c r="I672" s="116"/>
      <c r="J672" s="116"/>
      <c r="K672" s="116"/>
      <c r="L672" s="116"/>
      <c r="M672" s="116"/>
      <c r="N672" s="116"/>
      <c r="AB672" s="332"/>
      <c r="AQ672" s="336"/>
      <c r="AR672" s="336"/>
      <c r="AS672" s="336"/>
      <c r="BD672" s="332"/>
    </row>
    <row r="673" spans="9:56" ht="13">
      <c r="I673" s="116"/>
      <c r="J673" s="116"/>
      <c r="K673" s="116"/>
      <c r="L673" s="116"/>
      <c r="M673" s="116"/>
      <c r="N673" s="116"/>
      <c r="AB673" s="332"/>
      <c r="AQ673" s="336"/>
      <c r="AR673" s="336"/>
      <c r="AS673" s="336"/>
      <c r="BD673" s="332"/>
    </row>
    <row r="674" spans="9:56" ht="13">
      <c r="I674" s="116"/>
      <c r="J674" s="116"/>
      <c r="K674" s="116"/>
      <c r="L674" s="116"/>
      <c r="M674" s="116"/>
      <c r="N674" s="116"/>
      <c r="AB674" s="332"/>
      <c r="AQ674" s="336"/>
      <c r="AR674" s="336"/>
      <c r="AS674" s="336"/>
      <c r="BD674" s="332"/>
    </row>
    <row r="675" spans="9:56" ht="13">
      <c r="I675" s="116"/>
      <c r="J675" s="116"/>
      <c r="K675" s="116"/>
      <c r="L675" s="116"/>
      <c r="M675" s="116"/>
      <c r="N675" s="116"/>
      <c r="AB675" s="332"/>
      <c r="AQ675" s="336"/>
      <c r="AR675" s="336"/>
      <c r="AS675" s="336"/>
      <c r="BD675" s="332"/>
    </row>
    <row r="676" spans="9:56" ht="13">
      <c r="I676" s="116"/>
      <c r="J676" s="116"/>
      <c r="K676" s="116"/>
      <c r="L676" s="116"/>
      <c r="M676" s="116"/>
      <c r="N676" s="116"/>
      <c r="AB676" s="332"/>
      <c r="AQ676" s="336"/>
      <c r="AR676" s="336"/>
      <c r="AS676" s="336"/>
      <c r="BD676" s="332"/>
    </row>
    <row r="677" spans="9:56" ht="13">
      <c r="I677" s="116"/>
      <c r="J677" s="116"/>
      <c r="K677" s="116"/>
      <c r="L677" s="116"/>
      <c r="M677" s="116"/>
      <c r="N677" s="116"/>
      <c r="AB677" s="332"/>
      <c r="AQ677" s="336"/>
      <c r="AR677" s="336"/>
      <c r="AS677" s="336"/>
      <c r="BD677" s="332"/>
    </row>
    <row r="678" spans="9:56" ht="13">
      <c r="I678" s="116"/>
      <c r="J678" s="116"/>
      <c r="K678" s="116"/>
      <c r="L678" s="116"/>
      <c r="M678" s="116"/>
      <c r="N678" s="116"/>
      <c r="AB678" s="332"/>
      <c r="AQ678" s="336"/>
      <c r="AR678" s="336"/>
      <c r="AS678" s="336"/>
      <c r="BD678" s="332"/>
    </row>
    <row r="679" spans="9:56" ht="13">
      <c r="I679" s="116"/>
      <c r="J679" s="116"/>
      <c r="K679" s="116"/>
      <c r="L679" s="116"/>
      <c r="M679" s="116"/>
      <c r="N679" s="116"/>
      <c r="AB679" s="332"/>
      <c r="AQ679" s="336"/>
      <c r="AR679" s="336"/>
      <c r="AS679" s="336"/>
      <c r="BD679" s="332"/>
    </row>
    <row r="680" spans="9:56" ht="13">
      <c r="I680" s="116"/>
      <c r="J680" s="116"/>
      <c r="K680" s="116"/>
      <c r="L680" s="116"/>
      <c r="M680" s="116"/>
      <c r="N680" s="116"/>
      <c r="AB680" s="332"/>
      <c r="AQ680" s="336"/>
      <c r="AR680" s="336"/>
      <c r="AS680" s="336"/>
      <c r="BD680" s="332"/>
    </row>
    <row r="681" spans="9:56" ht="13">
      <c r="I681" s="116"/>
      <c r="J681" s="116"/>
      <c r="K681" s="116"/>
      <c r="L681" s="116"/>
      <c r="M681" s="116"/>
      <c r="N681" s="116"/>
      <c r="AB681" s="332"/>
      <c r="AQ681" s="336"/>
      <c r="AR681" s="336"/>
      <c r="AS681" s="336"/>
      <c r="BD681" s="332"/>
    </row>
    <row r="682" spans="9:56" ht="13">
      <c r="I682" s="116"/>
      <c r="J682" s="116"/>
      <c r="K682" s="116"/>
      <c r="L682" s="116"/>
      <c r="M682" s="116"/>
      <c r="N682" s="116"/>
      <c r="AB682" s="332"/>
      <c r="AQ682" s="336"/>
      <c r="AR682" s="336"/>
      <c r="AS682" s="336"/>
      <c r="BD682" s="332"/>
    </row>
    <row r="683" spans="9:56" ht="13">
      <c r="I683" s="116"/>
      <c r="J683" s="116"/>
      <c r="K683" s="116"/>
      <c r="L683" s="116"/>
      <c r="M683" s="116"/>
      <c r="N683" s="116"/>
      <c r="AB683" s="332"/>
      <c r="AQ683" s="336"/>
      <c r="AR683" s="336"/>
      <c r="AS683" s="336"/>
      <c r="BD683" s="332"/>
    </row>
    <row r="684" spans="9:56" ht="13">
      <c r="I684" s="116"/>
      <c r="J684" s="116"/>
      <c r="K684" s="116"/>
      <c r="L684" s="116"/>
      <c r="M684" s="116"/>
      <c r="N684" s="116"/>
      <c r="AB684" s="332"/>
      <c r="AQ684" s="336"/>
      <c r="AR684" s="336"/>
      <c r="AS684" s="336"/>
      <c r="BD684" s="332"/>
    </row>
    <row r="685" spans="9:56" ht="13">
      <c r="I685" s="116"/>
      <c r="J685" s="116"/>
      <c r="K685" s="116"/>
      <c r="L685" s="116"/>
      <c r="M685" s="116"/>
      <c r="N685" s="116"/>
      <c r="AB685" s="332"/>
      <c r="AQ685" s="336"/>
      <c r="AR685" s="336"/>
      <c r="AS685" s="336"/>
      <c r="BD685" s="332"/>
    </row>
    <row r="686" spans="9:56" ht="13">
      <c r="I686" s="116"/>
      <c r="J686" s="116"/>
      <c r="K686" s="116"/>
      <c r="L686" s="116"/>
      <c r="M686" s="116"/>
      <c r="N686" s="116"/>
      <c r="AB686" s="332"/>
      <c r="AQ686" s="336"/>
      <c r="AR686" s="336"/>
      <c r="AS686" s="336"/>
      <c r="BD686" s="332"/>
    </row>
    <row r="687" spans="9:56" ht="13">
      <c r="I687" s="116"/>
      <c r="J687" s="116"/>
      <c r="K687" s="116"/>
      <c r="L687" s="116"/>
      <c r="M687" s="116"/>
      <c r="N687" s="116"/>
      <c r="AB687" s="332"/>
      <c r="AQ687" s="336"/>
      <c r="AR687" s="336"/>
      <c r="AS687" s="336"/>
      <c r="BD687" s="332"/>
    </row>
    <row r="688" spans="9:56" ht="13">
      <c r="I688" s="116"/>
      <c r="J688" s="116"/>
      <c r="K688" s="116"/>
      <c r="L688" s="116"/>
      <c r="M688" s="116"/>
      <c r="N688" s="116"/>
      <c r="AB688" s="332"/>
      <c r="AQ688" s="336"/>
      <c r="AR688" s="336"/>
      <c r="AS688" s="336"/>
      <c r="BD688" s="332"/>
    </row>
    <row r="689" spans="9:56" ht="13">
      <c r="I689" s="116"/>
      <c r="J689" s="116"/>
      <c r="K689" s="116"/>
      <c r="L689" s="116"/>
      <c r="M689" s="116"/>
      <c r="N689" s="116"/>
      <c r="AB689" s="332"/>
      <c r="AQ689" s="336"/>
      <c r="AR689" s="336"/>
      <c r="AS689" s="336"/>
      <c r="BD689" s="332"/>
    </row>
    <row r="690" spans="9:56" ht="13">
      <c r="I690" s="116"/>
      <c r="J690" s="116"/>
      <c r="K690" s="116"/>
      <c r="L690" s="116"/>
      <c r="M690" s="116"/>
      <c r="N690" s="116"/>
      <c r="AB690" s="332"/>
      <c r="AQ690" s="336"/>
      <c r="AR690" s="336"/>
      <c r="AS690" s="336"/>
      <c r="BD690" s="332"/>
    </row>
    <row r="691" spans="9:56" ht="13">
      <c r="I691" s="116"/>
      <c r="J691" s="116"/>
      <c r="K691" s="116"/>
      <c r="L691" s="116"/>
      <c r="M691" s="116"/>
      <c r="N691" s="116"/>
      <c r="AB691" s="332"/>
      <c r="AQ691" s="336"/>
      <c r="AR691" s="336"/>
      <c r="AS691" s="336"/>
      <c r="BD691" s="332"/>
    </row>
    <row r="692" spans="9:56" ht="13">
      <c r="I692" s="116"/>
      <c r="J692" s="116"/>
      <c r="K692" s="116"/>
      <c r="L692" s="116"/>
      <c r="M692" s="116"/>
      <c r="N692" s="116"/>
      <c r="AB692" s="332"/>
      <c r="AQ692" s="336"/>
      <c r="AR692" s="336"/>
      <c r="AS692" s="336"/>
      <c r="BD692" s="332"/>
    </row>
    <row r="693" spans="9:56" ht="13">
      <c r="I693" s="116"/>
      <c r="J693" s="116"/>
      <c r="K693" s="116"/>
      <c r="L693" s="116"/>
      <c r="M693" s="116"/>
      <c r="N693" s="116"/>
      <c r="AB693" s="332"/>
      <c r="AQ693" s="336"/>
      <c r="AR693" s="336"/>
      <c r="AS693" s="336"/>
      <c r="BD693" s="332"/>
    </row>
    <row r="694" spans="9:56" ht="13">
      <c r="I694" s="116"/>
      <c r="J694" s="116"/>
      <c r="K694" s="116"/>
      <c r="L694" s="116"/>
      <c r="M694" s="116"/>
      <c r="N694" s="116"/>
      <c r="AB694" s="332"/>
      <c r="AQ694" s="336"/>
      <c r="AR694" s="336"/>
      <c r="AS694" s="336"/>
      <c r="BD694" s="332"/>
    </row>
    <row r="695" spans="9:56" ht="13">
      <c r="I695" s="116"/>
      <c r="J695" s="116"/>
      <c r="K695" s="116"/>
      <c r="L695" s="116"/>
      <c r="M695" s="116"/>
      <c r="N695" s="116"/>
      <c r="AB695" s="332"/>
      <c r="AQ695" s="336"/>
      <c r="AR695" s="336"/>
      <c r="AS695" s="336"/>
      <c r="BD695" s="332"/>
    </row>
    <row r="696" spans="9:56" ht="13">
      <c r="I696" s="116"/>
      <c r="J696" s="116"/>
      <c r="K696" s="116"/>
      <c r="L696" s="116"/>
      <c r="M696" s="116"/>
      <c r="N696" s="116"/>
      <c r="AB696" s="332"/>
      <c r="AQ696" s="336"/>
      <c r="AR696" s="336"/>
      <c r="AS696" s="336"/>
      <c r="BD696" s="332"/>
    </row>
    <row r="697" spans="9:56" ht="13">
      <c r="I697" s="116"/>
      <c r="J697" s="116"/>
      <c r="K697" s="116"/>
      <c r="L697" s="116"/>
      <c r="M697" s="116"/>
      <c r="N697" s="116"/>
      <c r="AB697" s="332"/>
      <c r="AQ697" s="336"/>
      <c r="AR697" s="336"/>
      <c r="AS697" s="336"/>
      <c r="BD697" s="332"/>
    </row>
    <row r="698" spans="9:56" ht="13">
      <c r="I698" s="116"/>
      <c r="J698" s="116"/>
      <c r="K698" s="116"/>
      <c r="L698" s="116"/>
      <c r="M698" s="116"/>
      <c r="N698" s="116"/>
      <c r="AB698" s="332"/>
      <c r="AQ698" s="336"/>
      <c r="AR698" s="336"/>
      <c r="AS698" s="336"/>
      <c r="BD698" s="332"/>
    </row>
    <row r="699" spans="9:56" ht="13">
      <c r="I699" s="116"/>
      <c r="J699" s="116"/>
      <c r="K699" s="116"/>
      <c r="L699" s="116"/>
      <c r="M699" s="116"/>
      <c r="N699" s="116"/>
      <c r="AB699" s="332"/>
      <c r="AQ699" s="336"/>
      <c r="AR699" s="336"/>
      <c r="AS699" s="336"/>
      <c r="BD699" s="332"/>
    </row>
    <row r="700" spans="9:56" ht="13">
      <c r="I700" s="116"/>
      <c r="J700" s="116"/>
      <c r="K700" s="116"/>
      <c r="L700" s="116"/>
      <c r="M700" s="116"/>
      <c r="N700" s="116"/>
      <c r="AB700" s="332"/>
      <c r="AQ700" s="336"/>
      <c r="AR700" s="336"/>
      <c r="AS700" s="336"/>
      <c r="BD700" s="332"/>
    </row>
    <row r="701" spans="9:56" ht="13">
      <c r="I701" s="116"/>
      <c r="J701" s="116"/>
      <c r="K701" s="116"/>
      <c r="L701" s="116"/>
      <c r="M701" s="116"/>
      <c r="N701" s="116"/>
      <c r="AB701" s="332"/>
      <c r="AQ701" s="336"/>
      <c r="AR701" s="336"/>
      <c r="AS701" s="336"/>
      <c r="BD701" s="332"/>
    </row>
    <row r="702" spans="9:56" ht="13">
      <c r="I702" s="116"/>
      <c r="J702" s="116"/>
      <c r="K702" s="116"/>
      <c r="L702" s="116"/>
      <c r="M702" s="116"/>
      <c r="N702" s="116"/>
      <c r="AB702" s="332"/>
      <c r="AQ702" s="336"/>
      <c r="AR702" s="336"/>
      <c r="AS702" s="336"/>
      <c r="BD702" s="332"/>
    </row>
    <row r="703" spans="9:56" ht="13">
      <c r="I703" s="116"/>
      <c r="J703" s="116"/>
      <c r="K703" s="116"/>
      <c r="L703" s="116"/>
      <c r="M703" s="116"/>
      <c r="N703" s="116"/>
      <c r="AB703" s="332"/>
      <c r="AQ703" s="336"/>
      <c r="AR703" s="336"/>
      <c r="AS703" s="336"/>
      <c r="BD703" s="332"/>
    </row>
    <row r="704" spans="9:56" ht="13">
      <c r="I704" s="116"/>
      <c r="J704" s="116"/>
      <c r="K704" s="116"/>
      <c r="L704" s="116"/>
      <c r="M704" s="116"/>
      <c r="N704" s="116"/>
      <c r="AB704" s="332"/>
      <c r="AQ704" s="336"/>
      <c r="AR704" s="336"/>
      <c r="AS704" s="336"/>
      <c r="BD704" s="332"/>
    </row>
    <row r="705" spans="9:56" ht="13">
      <c r="I705" s="116"/>
      <c r="J705" s="116"/>
      <c r="K705" s="116"/>
      <c r="L705" s="116"/>
      <c r="M705" s="116"/>
      <c r="N705" s="116"/>
      <c r="AB705" s="332"/>
      <c r="AQ705" s="336"/>
      <c r="AR705" s="336"/>
      <c r="AS705" s="336"/>
      <c r="BD705" s="332"/>
    </row>
    <row r="706" spans="9:56" ht="13">
      <c r="I706" s="116"/>
      <c r="J706" s="116"/>
      <c r="K706" s="116"/>
      <c r="L706" s="116"/>
      <c r="M706" s="116"/>
      <c r="N706" s="116"/>
      <c r="AB706" s="332"/>
      <c r="AQ706" s="336"/>
      <c r="AR706" s="336"/>
      <c r="AS706" s="336"/>
      <c r="BD706" s="332"/>
    </row>
    <row r="707" spans="9:56" ht="13">
      <c r="I707" s="116"/>
      <c r="J707" s="116"/>
      <c r="K707" s="116"/>
      <c r="L707" s="116"/>
      <c r="M707" s="116"/>
      <c r="N707" s="116"/>
      <c r="AB707" s="332"/>
      <c r="AQ707" s="336"/>
      <c r="AR707" s="336"/>
      <c r="AS707" s="336"/>
      <c r="BD707" s="332"/>
    </row>
    <row r="708" spans="9:56" ht="13">
      <c r="I708" s="116"/>
      <c r="J708" s="116"/>
      <c r="K708" s="116"/>
      <c r="L708" s="116"/>
      <c r="M708" s="116"/>
      <c r="N708" s="116"/>
      <c r="AB708" s="332"/>
      <c r="AQ708" s="336"/>
      <c r="AR708" s="336"/>
      <c r="AS708" s="336"/>
      <c r="BD708" s="332"/>
    </row>
    <row r="709" spans="9:56" ht="13">
      <c r="I709" s="116"/>
      <c r="J709" s="116"/>
      <c r="K709" s="116"/>
      <c r="L709" s="116"/>
      <c r="M709" s="116"/>
      <c r="N709" s="116"/>
      <c r="AB709" s="332"/>
      <c r="AQ709" s="336"/>
      <c r="AR709" s="336"/>
      <c r="AS709" s="336"/>
      <c r="BD709" s="332"/>
    </row>
    <row r="710" spans="9:56" ht="13">
      <c r="I710" s="116"/>
      <c r="J710" s="116"/>
      <c r="K710" s="116"/>
      <c r="L710" s="116"/>
      <c r="M710" s="116"/>
      <c r="N710" s="116"/>
      <c r="AB710" s="332"/>
      <c r="AQ710" s="336"/>
      <c r="AR710" s="336"/>
      <c r="AS710" s="336"/>
      <c r="BD710" s="332"/>
    </row>
    <row r="711" spans="9:56" ht="13">
      <c r="I711" s="116"/>
      <c r="J711" s="116"/>
      <c r="K711" s="116"/>
      <c r="L711" s="116"/>
      <c r="M711" s="116"/>
      <c r="N711" s="116"/>
      <c r="AB711" s="332"/>
      <c r="AQ711" s="336"/>
      <c r="AR711" s="336"/>
      <c r="AS711" s="336"/>
      <c r="BD711" s="332"/>
    </row>
    <row r="712" spans="9:56" ht="13">
      <c r="I712" s="116"/>
      <c r="J712" s="116"/>
      <c r="K712" s="116"/>
      <c r="L712" s="116"/>
      <c r="M712" s="116"/>
      <c r="N712" s="116"/>
      <c r="AB712" s="332"/>
      <c r="AQ712" s="336"/>
      <c r="AR712" s="336"/>
      <c r="AS712" s="336"/>
      <c r="BD712" s="332"/>
    </row>
    <row r="713" spans="9:56" ht="13">
      <c r="I713" s="116"/>
      <c r="J713" s="116"/>
      <c r="K713" s="116"/>
      <c r="L713" s="116"/>
      <c r="M713" s="116"/>
      <c r="N713" s="116"/>
      <c r="AB713" s="332"/>
      <c r="AQ713" s="336"/>
      <c r="AR713" s="336"/>
      <c r="AS713" s="336"/>
      <c r="BD713" s="332"/>
    </row>
    <row r="714" spans="9:56" ht="13">
      <c r="I714" s="116"/>
      <c r="J714" s="116"/>
      <c r="K714" s="116"/>
      <c r="L714" s="116"/>
      <c r="M714" s="116"/>
      <c r="N714" s="116"/>
      <c r="AB714" s="332"/>
      <c r="AQ714" s="336"/>
      <c r="AR714" s="336"/>
      <c r="AS714" s="336"/>
      <c r="BD714" s="332"/>
    </row>
    <row r="715" spans="9:56" ht="13">
      <c r="I715" s="116"/>
      <c r="J715" s="116"/>
      <c r="K715" s="116"/>
      <c r="L715" s="116"/>
      <c r="M715" s="116"/>
      <c r="N715" s="116"/>
      <c r="AB715" s="332"/>
      <c r="AQ715" s="336"/>
      <c r="AR715" s="336"/>
      <c r="AS715" s="336"/>
      <c r="BD715" s="332"/>
    </row>
    <row r="716" spans="9:56" ht="13">
      <c r="I716" s="116"/>
      <c r="J716" s="116"/>
      <c r="K716" s="116"/>
      <c r="L716" s="116"/>
      <c r="M716" s="116"/>
      <c r="N716" s="116"/>
      <c r="AB716" s="332"/>
      <c r="AQ716" s="336"/>
      <c r="AR716" s="336"/>
      <c r="AS716" s="336"/>
      <c r="BD716" s="332"/>
    </row>
    <row r="717" spans="9:56" ht="13">
      <c r="I717" s="116"/>
      <c r="J717" s="116"/>
      <c r="K717" s="116"/>
      <c r="L717" s="116"/>
      <c r="M717" s="116"/>
      <c r="N717" s="116"/>
      <c r="AB717" s="332"/>
      <c r="AQ717" s="336"/>
      <c r="AR717" s="336"/>
      <c r="AS717" s="336"/>
      <c r="BD717" s="332"/>
    </row>
    <row r="718" spans="9:56" ht="13">
      <c r="I718" s="116"/>
      <c r="J718" s="116"/>
      <c r="K718" s="116"/>
      <c r="L718" s="116"/>
      <c r="M718" s="116"/>
      <c r="N718" s="116"/>
      <c r="AB718" s="332"/>
      <c r="AQ718" s="336"/>
      <c r="AR718" s="336"/>
      <c r="AS718" s="336"/>
      <c r="BD718" s="332"/>
    </row>
    <row r="719" spans="9:56" ht="13">
      <c r="I719" s="116"/>
      <c r="J719" s="116"/>
      <c r="K719" s="116"/>
      <c r="L719" s="116"/>
      <c r="M719" s="116"/>
      <c r="N719" s="116"/>
      <c r="AB719" s="332"/>
      <c r="AQ719" s="336"/>
      <c r="AR719" s="336"/>
      <c r="AS719" s="336"/>
      <c r="BD719" s="332"/>
    </row>
    <row r="720" spans="9:56" ht="13">
      <c r="I720" s="116"/>
      <c r="J720" s="116"/>
      <c r="K720" s="116"/>
      <c r="L720" s="116"/>
      <c r="M720" s="116"/>
      <c r="N720" s="116"/>
      <c r="AB720" s="332"/>
      <c r="AQ720" s="336"/>
      <c r="AR720" s="336"/>
      <c r="AS720" s="336"/>
      <c r="BD720" s="332"/>
    </row>
    <row r="721" spans="9:56" ht="13">
      <c r="I721" s="116"/>
      <c r="J721" s="116"/>
      <c r="K721" s="116"/>
      <c r="L721" s="116"/>
      <c r="M721" s="116"/>
      <c r="N721" s="116"/>
      <c r="AB721" s="332"/>
      <c r="AQ721" s="336"/>
      <c r="AR721" s="336"/>
      <c r="AS721" s="336"/>
      <c r="BD721" s="332"/>
    </row>
    <row r="722" spans="9:56" ht="13">
      <c r="I722" s="116"/>
      <c r="J722" s="116"/>
      <c r="K722" s="116"/>
      <c r="L722" s="116"/>
      <c r="M722" s="116"/>
      <c r="N722" s="116"/>
      <c r="AB722" s="332"/>
      <c r="AQ722" s="336"/>
      <c r="AR722" s="336"/>
      <c r="AS722" s="336"/>
      <c r="BD722" s="332"/>
    </row>
    <row r="723" spans="9:56" ht="13">
      <c r="I723" s="116"/>
      <c r="J723" s="116"/>
      <c r="K723" s="116"/>
      <c r="L723" s="116"/>
      <c r="M723" s="116"/>
      <c r="N723" s="116"/>
      <c r="AB723" s="332"/>
      <c r="AQ723" s="336"/>
      <c r="AR723" s="336"/>
      <c r="AS723" s="336"/>
      <c r="BD723" s="332"/>
    </row>
    <row r="724" spans="9:56" ht="13">
      <c r="I724" s="116"/>
      <c r="J724" s="116"/>
      <c r="K724" s="116"/>
      <c r="L724" s="116"/>
      <c r="M724" s="116"/>
      <c r="N724" s="116"/>
      <c r="AB724" s="332"/>
      <c r="AQ724" s="336"/>
      <c r="AR724" s="336"/>
      <c r="AS724" s="336"/>
      <c r="BD724" s="332"/>
    </row>
    <row r="725" spans="9:56" ht="13">
      <c r="I725" s="116"/>
      <c r="J725" s="116"/>
      <c r="K725" s="116"/>
      <c r="L725" s="116"/>
      <c r="M725" s="116"/>
      <c r="N725" s="116"/>
      <c r="AB725" s="332"/>
      <c r="AQ725" s="336"/>
      <c r="AR725" s="336"/>
      <c r="AS725" s="336"/>
      <c r="BD725" s="332"/>
    </row>
    <row r="726" spans="9:56" ht="13">
      <c r="I726" s="116"/>
      <c r="J726" s="116"/>
      <c r="K726" s="116"/>
      <c r="L726" s="116"/>
      <c r="M726" s="116"/>
      <c r="N726" s="116"/>
      <c r="AB726" s="332"/>
      <c r="AQ726" s="336"/>
      <c r="AR726" s="336"/>
      <c r="AS726" s="336"/>
      <c r="BD726" s="332"/>
    </row>
    <row r="727" spans="9:56" ht="13">
      <c r="I727" s="116"/>
      <c r="J727" s="116"/>
      <c r="K727" s="116"/>
      <c r="L727" s="116"/>
      <c r="M727" s="116"/>
      <c r="N727" s="116"/>
      <c r="AB727" s="332"/>
      <c r="AQ727" s="336"/>
      <c r="AR727" s="336"/>
      <c r="AS727" s="336"/>
      <c r="BD727" s="332"/>
    </row>
    <row r="728" spans="9:56" ht="13">
      <c r="I728" s="116"/>
      <c r="J728" s="116"/>
      <c r="K728" s="116"/>
      <c r="L728" s="116"/>
      <c r="M728" s="116"/>
      <c r="N728" s="116"/>
      <c r="AB728" s="332"/>
      <c r="AQ728" s="336"/>
      <c r="AR728" s="336"/>
      <c r="AS728" s="336"/>
      <c r="BD728" s="332"/>
    </row>
    <row r="729" spans="9:56" ht="13">
      <c r="I729" s="116"/>
      <c r="J729" s="116"/>
      <c r="K729" s="116"/>
      <c r="L729" s="116"/>
      <c r="M729" s="116"/>
      <c r="N729" s="116"/>
      <c r="AB729" s="332"/>
      <c r="AQ729" s="336"/>
      <c r="AR729" s="336"/>
      <c r="AS729" s="336"/>
      <c r="BD729" s="332"/>
    </row>
    <row r="730" spans="9:56" ht="13">
      <c r="I730" s="116"/>
      <c r="J730" s="116"/>
      <c r="K730" s="116"/>
      <c r="L730" s="116"/>
      <c r="M730" s="116"/>
      <c r="N730" s="116"/>
      <c r="AB730" s="332"/>
      <c r="AQ730" s="336"/>
      <c r="AR730" s="336"/>
      <c r="AS730" s="336"/>
      <c r="BD730" s="332"/>
    </row>
    <row r="731" spans="9:56" ht="13">
      <c r="I731" s="116"/>
      <c r="J731" s="116"/>
      <c r="K731" s="116"/>
      <c r="L731" s="116"/>
      <c r="M731" s="116"/>
      <c r="N731" s="116"/>
      <c r="AB731" s="332"/>
      <c r="AQ731" s="336"/>
      <c r="AR731" s="336"/>
      <c r="AS731" s="336"/>
      <c r="BD731" s="332"/>
    </row>
    <row r="732" spans="9:56" ht="13">
      <c r="I732" s="116"/>
      <c r="J732" s="116"/>
      <c r="K732" s="116"/>
      <c r="L732" s="116"/>
      <c r="M732" s="116"/>
      <c r="N732" s="116"/>
      <c r="AB732" s="332"/>
      <c r="AQ732" s="336"/>
      <c r="AR732" s="336"/>
      <c r="AS732" s="336"/>
      <c r="BD732" s="332"/>
    </row>
    <row r="733" spans="9:56" ht="13">
      <c r="I733" s="116"/>
      <c r="J733" s="116"/>
      <c r="K733" s="116"/>
      <c r="L733" s="116"/>
      <c r="M733" s="116"/>
      <c r="N733" s="116"/>
      <c r="AB733" s="332"/>
      <c r="AQ733" s="336"/>
      <c r="AR733" s="336"/>
      <c r="AS733" s="336"/>
      <c r="BD733" s="332"/>
    </row>
    <row r="734" spans="9:56" ht="13">
      <c r="I734" s="116"/>
      <c r="J734" s="116"/>
      <c r="K734" s="116"/>
      <c r="L734" s="116"/>
      <c r="M734" s="116"/>
      <c r="N734" s="116"/>
      <c r="AB734" s="332"/>
      <c r="AQ734" s="336"/>
      <c r="AR734" s="336"/>
      <c r="AS734" s="336"/>
      <c r="BD734" s="332"/>
    </row>
    <row r="735" spans="9:56" ht="13">
      <c r="I735" s="116"/>
      <c r="J735" s="116"/>
      <c r="K735" s="116"/>
      <c r="L735" s="116"/>
      <c r="M735" s="116"/>
      <c r="N735" s="116"/>
      <c r="AB735" s="332"/>
      <c r="AQ735" s="336"/>
      <c r="AR735" s="336"/>
      <c r="AS735" s="336"/>
      <c r="BD735" s="332"/>
    </row>
    <row r="736" spans="9:56" ht="13">
      <c r="I736" s="116"/>
      <c r="J736" s="116"/>
      <c r="K736" s="116"/>
      <c r="L736" s="116"/>
      <c r="M736" s="116"/>
      <c r="N736" s="116"/>
      <c r="AB736" s="332"/>
      <c r="AQ736" s="336"/>
      <c r="AR736" s="336"/>
      <c r="AS736" s="336"/>
      <c r="BD736" s="332"/>
    </row>
    <row r="737" spans="9:56" ht="13">
      <c r="I737" s="116"/>
      <c r="J737" s="116"/>
      <c r="K737" s="116"/>
      <c r="L737" s="116"/>
      <c r="M737" s="116"/>
      <c r="N737" s="116"/>
      <c r="AB737" s="332"/>
      <c r="AQ737" s="336"/>
      <c r="AR737" s="336"/>
      <c r="AS737" s="336"/>
      <c r="BD737" s="332"/>
    </row>
    <row r="738" spans="9:56" ht="13">
      <c r="I738" s="116"/>
      <c r="J738" s="116"/>
      <c r="K738" s="116"/>
      <c r="L738" s="116"/>
      <c r="M738" s="116"/>
      <c r="N738" s="116"/>
      <c r="AB738" s="332"/>
      <c r="AQ738" s="336"/>
      <c r="AR738" s="336"/>
      <c r="AS738" s="336"/>
      <c r="BD738" s="332"/>
    </row>
    <row r="739" spans="9:56" ht="13">
      <c r="I739" s="116"/>
      <c r="J739" s="116"/>
      <c r="K739" s="116"/>
      <c r="L739" s="116"/>
      <c r="M739" s="116"/>
      <c r="N739" s="116"/>
      <c r="AB739" s="332"/>
      <c r="AQ739" s="336"/>
      <c r="AR739" s="336"/>
      <c r="AS739" s="336"/>
      <c r="BD739" s="332"/>
    </row>
    <row r="740" spans="9:56" ht="13">
      <c r="I740" s="116"/>
      <c r="J740" s="116"/>
      <c r="K740" s="116"/>
      <c r="L740" s="116"/>
      <c r="M740" s="116"/>
      <c r="N740" s="116"/>
      <c r="AB740" s="332"/>
      <c r="AQ740" s="336"/>
      <c r="AR740" s="336"/>
      <c r="AS740" s="336"/>
      <c r="BD740" s="332"/>
    </row>
    <row r="741" spans="9:56" ht="13">
      <c r="I741" s="116"/>
      <c r="J741" s="116"/>
      <c r="K741" s="116"/>
      <c r="L741" s="116"/>
      <c r="M741" s="116"/>
      <c r="N741" s="116"/>
      <c r="AB741" s="332"/>
      <c r="AQ741" s="336"/>
      <c r="AR741" s="336"/>
      <c r="AS741" s="336"/>
      <c r="BD741" s="332"/>
    </row>
    <row r="742" spans="9:56" ht="13">
      <c r="I742" s="116"/>
      <c r="J742" s="116"/>
      <c r="K742" s="116"/>
      <c r="L742" s="116"/>
      <c r="M742" s="116"/>
      <c r="N742" s="116"/>
      <c r="AB742" s="332"/>
      <c r="AQ742" s="336"/>
      <c r="AR742" s="336"/>
      <c r="AS742" s="336"/>
      <c r="BD742" s="332"/>
    </row>
    <row r="743" spans="9:56" ht="13">
      <c r="I743" s="116"/>
      <c r="J743" s="116"/>
      <c r="K743" s="116"/>
      <c r="L743" s="116"/>
      <c r="M743" s="116"/>
      <c r="N743" s="116"/>
      <c r="AB743" s="332"/>
      <c r="AQ743" s="336"/>
      <c r="AR743" s="336"/>
      <c r="AS743" s="336"/>
      <c r="BD743" s="332"/>
    </row>
    <row r="744" spans="9:56" ht="13">
      <c r="I744" s="116"/>
      <c r="J744" s="116"/>
      <c r="K744" s="116"/>
      <c r="L744" s="116"/>
      <c r="M744" s="116"/>
      <c r="N744" s="116"/>
      <c r="AB744" s="332"/>
      <c r="AQ744" s="336"/>
      <c r="AR744" s="336"/>
      <c r="AS744" s="336"/>
      <c r="BD744" s="332"/>
    </row>
    <row r="745" spans="9:56" ht="13">
      <c r="I745" s="116"/>
      <c r="J745" s="116"/>
      <c r="K745" s="116"/>
      <c r="L745" s="116"/>
      <c r="M745" s="116"/>
      <c r="N745" s="116"/>
      <c r="AB745" s="332"/>
      <c r="AQ745" s="336"/>
      <c r="AR745" s="336"/>
      <c r="AS745" s="336"/>
      <c r="BD745" s="332"/>
    </row>
    <row r="746" spans="9:56" ht="13">
      <c r="I746" s="116"/>
      <c r="J746" s="116"/>
      <c r="K746" s="116"/>
      <c r="L746" s="116"/>
      <c r="M746" s="116"/>
      <c r="N746" s="116"/>
      <c r="AB746" s="332"/>
      <c r="AQ746" s="336"/>
      <c r="AR746" s="336"/>
      <c r="AS746" s="336"/>
      <c r="BD746" s="332"/>
    </row>
    <row r="747" spans="9:56" ht="13">
      <c r="I747" s="116"/>
      <c r="J747" s="116"/>
      <c r="K747" s="116"/>
      <c r="L747" s="116"/>
      <c r="M747" s="116"/>
      <c r="N747" s="116"/>
      <c r="AB747" s="332"/>
      <c r="AQ747" s="336"/>
      <c r="AR747" s="336"/>
      <c r="AS747" s="336"/>
      <c r="BD747" s="332"/>
    </row>
    <row r="748" spans="9:56" ht="13">
      <c r="I748" s="116"/>
      <c r="J748" s="116"/>
      <c r="K748" s="116"/>
      <c r="L748" s="116"/>
      <c r="M748" s="116"/>
      <c r="N748" s="116"/>
      <c r="AB748" s="332"/>
      <c r="AQ748" s="336"/>
      <c r="AR748" s="336"/>
      <c r="AS748" s="336"/>
      <c r="BD748" s="332"/>
    </row>
    <row r="749" spans="9:56" ht="13">
      <c r="I749" s="116"/>
      <c r="J749" s="116"/>
      <c r="K749" s="116"/>
      <c r="L749" s="116"/>
      <c r="M749" s="116"/>
      <c r="N749" s="116"/>
      <c r="AB749" s="332"/>
      <c r="AQ749" s="336"/>
      <c r="AR749" s="336"/>
      <c r="AS749" s="336"/>
      <c r="BD749" s="332"/>
    </row>
    <row r="750" spans="9:56" ht="13">
      <c r="I750" s="116"/>
      <c r="J750" s="116"/>
      <c r="K750" s="116"/>
      <c r="L750" s="116"/>
      <c r="M750" s="116"/>
      <c r="N750" s="116"/>
      <c r="AB750" s="332"/>
      <c r="AQ750" s="336"/>
      <c r="AR750" s="336"/>
      <c r="AS750" s="336"/>
      <c r="BD750" s="332"/>
    </row>
    <row r="751" spans="9:56" ht="13">
      <c r="I751" s="116"/>
      <c r="J751" s="116"/>
      <c r="K751" s="116"/>
      <c r="L751" s="116"/>
      <c r="M751" s="116"/>
      <c r="N751" s="116"/>
      <c r="AB751" s="332"/>
      <c r="AQ751" s="336"/>
      <c r="AR751" s="336"/>
      <c r="AS751" s="336"/>
      <c r="BD751" s="332"/>
    </row>
    <row r="752" spans="9:56" ht="13">
      <c r="I752" s="116"/>
      <c r="J752" s="116"/>
      <c r="K752" s="116"/>
      <c r="L752" s="116"/>
      <c r="M752" s="116"/>
      <c r="N752" s="116"/>
      <c r="AB752" s="332"/>
      <c r="AQ752" s="336"/>
      <c r="AR752" s="336"/>
      <c r="AS752" s="336"/>
      <c r="BD752" s="332"/>
    </row>
    <row r="753" spans="9:56" ht="13">
      <c r="I753" s="116"/>
      <c r="J753" s="116"/>
      <c r="K753" s="116"/>
      <c r="L753" s="116"/>
      <c r="M753" s="116"/>
      <c r="N753" s="116"/>
      <c r="AB753" s="332"/>
      <c r="AQ753" s="336"/>
      <c r="AR753" s="336"/>
      <c r="AS753" s="336"/>
      <c r="BD753" s="332"/>
    </row>
    <row r="754" spans="9:56" ht="13">
      <c r="I754" s="116"/>
      <c r="J754" s="116"/>
      <c r="K754" s="116"/>
      <c r="L754" s="116"/>
      <c r="M754" s="116"/>
      <c r="N754" s="116"/>
      <c r="AB754" s="332"/>
      <c r="AQ754" s="336"/>
      <c r="AR754" s="336"/>
      <c r="AS754" s="336"/>
      <c r="BD754" s="332"/>
    </row>
    <row r="755" spans="9:56" ht="13">
      <c r="I755" s="116"/>
      <c r="J755" s="116"/>
      <c r="K755" s="116"/>
      <c r="L755" s="116"/>
      <c r="M755" s="116"/>
      <c r="N755" s="116"/>
      <c r="AB755" s="332"/>
      <c r="AQ755" s="336"/>
      <c r="AR755" s="336"/>
      <c r="AS755" s="336"/>
      <c r="BD755" s="332"/>
    </row>
    <row r="756" spans="9:56" ht="13">
      <c r="I756" s="116"/>
      <c r="J756" s="116"/>
      <c r="K756" s="116"/>
      <c r="L756" s="116"/>
      <c r="M756" s="116"/>
      <c r="N756" s="116"/>
      <c r="AB756" s="332"/>
      <c r="AQ756" s="336"/>
      <c r="AR756" s="336"/>
      <c r="AS756" s="336"/>
      <c r="BD756" s="332"/>
    </row>
    <row r="757" spans="9:56" ht="13">
      <c r="I757" s="116"/>
      <c r="J757" s="116"/>
      <c r="K757" s="116"/>
      <c r="L757" s="116"/>
      <c r="M757" s="116"/>
      <c r="N757" s="116"/>
      <c r="AB757" s="332"/>
      <c r="AQ757" s="336"/>
      <c r="AR757" s="336"/>
      <c r="AS757" s="336"/>
      <c r="BD757" s="332"/>
    </row>
    <row r="758" spans="9:56" ht="13">
      <c r="I758" s="116"/>
      <c r="J758" s="116"/>
      <c r="K758" s="116"/>
      <c r="L758" s="116"/>
      <c r="M758" s="116"/>
      <c r="N758" s="116"/>
      <c r="AB758" s="332"/>
      <c r="AQ758" s="336"/>
      <c r="AR758" s="336"/>
      <c r="AS758" s="336"/>
      <c r="BD758" s="332"/>
    </row>
    <row r="759" spans="9:56" ht="13">
      <c r="I759" s="116"/>
      <c r="J759" s="116"/>
      <c r="K759" s="116"/>
      <c r="L759" s="116"/>
      <c r="M759" s="116"/>
      <c r="N759" s="116"/>
      <c r="AB759" s="332"/>
      <c r="AQ759" s="336"/>
      <c r="AR759" s="336"/>
      <c r="AS759" s="336"/>
      <c r="BD759" s="332"/>
    </row>
    <row r="760" spans="9:56" ht="13">
      <c r="I760" s="116"/>
      <c r="J760" s="116"/>
      <c r="K760" s="116"/>
      <c r="L760" s="116"/>
      <c r="M760" s="116"/>
      <c r="N760" s="116"/>
      <c r="AB760" s="332"/>
      <c r="AQ760" s="336"/>
      <c r="AR760" s="336"/>
      <c r="AS760" s="336"/>
      <c r="BD760" s="332"/>
    </row>
    <row r="761" spans="9:56" ht="13">
      <c r="I761" s="116"/>
      <c r="J761" s="116"/>
      <c r="K761" s="116"/>
      <c r="L761" s="116"/>
      <c r="M761" s="116"/>
      <c r="N761" s="116"/>
      <c r="AB761" s="332"/>
      <c r="AQ761" s="336"/>
      <c r="AR761" s="336"/>
      <c r="AS761" s="336"/>
      <c r="BD761" s="332"/>
    </row>
    <row r="762" spans="9:56" ht="13">
      <c r="I762" s="116"/>
      <c r="J762" s="116"/>
      <c r="K762" s="116"/>
      <c r="L762" s="116"/>
      <c r="M762" s="116"/>
      <c r="N762" s="116"/>
      <c r="AB762" s="332"/>
      <c r="AQ762" s="336"/>
      <c r="AR762" s="336"/>
      <c r="AS762" s="336"/>
      <c r="BD762" s="332"/>
    </row>
    <row r="763" spans="9:56" ht="13">
      <c r="I763" s="116"/>
      <c r="J763" s="116"/>
      <c r="K763" s="116"/>
      <c r="L763" s="116"/>
      <c r="M763" s="116"/>
      <c r="N763" s="116"/>
      <c r="AB763" s="332"/>
      <c r="AQ763" s="336"/>
      <c r="AR763" s="336"/>
      <c r="AS763" s="336"/>
      <c r="BD763" s="332"/>
    </row>
    <row r="764" spans="9:56" ht="13">
      <c r="I764" s="116"/>
      <c r="J764" s="116"/>
      <c r="K764" s="116"/>
      <c r="L764" s="116"/>
      <c r="M764" s="116"/>
      <c r="N764" s="116"/>
      <c r="AB764" s="332"/>
      <c r="AQ764" s="336"/>
      <c r="AR764" s="336"/>
      <c r="AS764" s="336"/>
      <c r="BD764" s="332"/>
    </row>
    <row r="765" spans="9:56" ht="13">
      <c r="I765" s="116"/>
      <c r="J765" s="116"/>
      <c r="K765" s="116"/>
      <c r="L765" s="116"/>
      <c r="M765" s="116"/>
      <c r="N765" s="116"/>
      <c r="AB765" s="332"/>
      <c r="AQ765" s="336"/>
      <c r="AR765" s="336"/>
      <c r="AS765" s="336"/>
      <c r="BD765" s="332"/>
    </row>
    <row r="766" spans="9:56" ht="13">
      <c r="I766" s="116"/>
      <c r="J766" s="116"/>
      <c r="K766" s="116"/>
      <c r="L766" s="116"/>
      <c r="M766" s="116"/>
      <c r="N766" s="116"/>
      <c r="AB766" s="332"/>
      <c r="AQ766" s="336"/>
      <c r="AR766" s="336"/>
      <c r="AS766" s="336"/>
      <c r="BD766" s="332"/>
    </row>
    <row r="767" spans="9:56" ht="13">
      <c r="I767" s="116"/>
      <c r="J767" s="116"/>
      <c r="K767" s="116"/>
      <c r="L767" s="116"/>
      <c r="M767" s="116"/>
      <c r="N767" s="116"/>
      <c r="AB767" s="332"/>
      <c r="AQ767" s="336"/>
      <c r="AR767" s="336"/>
      <c r="AS767" s="336"/>
      <c r="BD767" s="332"/>
    </row>
    <row r="768" spans="9:56" ht="13">
      <c r="I768" s="116"/>
      <c r="J768" s="116"/>
      <c r="K768" s="116"/>
      <c r="L768" s="116"/>
      <c r="M768" s="116"/>
      <c r="N768" s="116"/>
      <c r="AB768" s="332"/>
      <c r="AQ768" s="336"/>
      <c r="AR768" s="336"/>
      <c r="AS768" s="336"/>
      <c r="BD768" s="332"/>
    </row>
    <row r="769" spans="9:56" ht="13">
      <c r="I769" s="116"/>
      <c r="J769" s="116"/>
      <c r="K769" s="116"/>
      <c r="L769" s="116"/>
      <c r="M769" s="116"/>
      <c r="N769" s="116"/>
      <c r="AB769" s="332"/>
      <c r="AQ769" s="336"/>
      <c r="AR769" s="336"/>
      <c r="AS769" s="336"/>
      <c r="BD769" s="332"/>
    </row>
    <row r="770" spans="9:56" ht="13">
      <c r="I770" s="116"/>
      <c r="J770" s="116"/>
      <c r="K770" s="116"/>
      <c r="L770" s="116"/>
      <c r="M770" s="116"/>
      <c r="N770" s="116"/>
      <c r="AB770" s="332"/>
      <c r="AQ770" s="336"/>
      <c r="AR770" s="336"/>
      <c r="AS770" s="336"/>
      <c r="BD770" s="332"/>
    </row>
    <row r="771" spans="9:56" ht="13">
      <c r="I771" s="116"/>
      <c r="J771" s="116"/>
      <c r="K771" s="116"/>
      <c r="L771" s="116"/>
      <c r="M771" s="116"/>
      <c r="N771" s="116"/>
      <c r="AB771" s="332"/>
      <c r="AQ771" s="336"/>
      <c r="AR771" s="336"/>
      <c r="AS771" s="336"/>
      <c r="BD771" s="332"/>
    </row>
    <row r="772" spans="9:56" ht="13">
      <c r="I772" s="116"/>
      <c r="J772" s="116"/>
      <c r="K772" s="116"/>
      <c r="L772" s="116"/>
      <c r="M772" s="116"/>
      <c r="N772" s="116"/>
      <c r="AB772" s="332"/>
      <c r="AQ772" s="336"/>
      <c r="AR772" s="336"/>
      <c r="AS772" s="336"/>
      <c r="BD772" s="332"/>
    </row>
    <row r="773" spans="9:56" ht="13">
      <c r="I773" s="116"/>
      <c r="J773" s="116"/>
      <c r="K773" s="116"/>
      <c r="L773" s="116"/>
      <c r="M773" s="116"/>
      <c r="N773" s="116"/>
      <c r="AB773" s="332"/>
      <c r="AQ773" s="336"/>
      <c r="AR773" s="336"/>
      <c r="AS773" s="336"/>
      <c r="BD773" s="332"/>
    </row>
    <row r="774" spans="9:56" ht="13">
      <c r="I774" s="116"/>
      <c r="J774" s="116"/>
      <c r="K774" s="116"/>
      <c r="L774" s="116"/>
      <c r="M774" s="116"/>
      <c r="N774" s="116"/>
      <c r="AB774" s="332"/>
      <c r="AQ774" s="336"/>
      <c r="AR774" s="336"/>
      <c r="AS774" s="336"/>
      <c r="BD774" s="332"/>
    </row>
    <row r="775" spans="9:56" ht="13">
      <c r="I775" s="116"/>
      <c r="J775" s="116"/>
      <c r="K775" s="116"/>
      <c r="L775" s="116"/>
      <c r="M775" s="116"/>
      <c r="N775" s="116"/>
      <c r="AB775" s="332"/>
      <c r="AQ775" s="336"/>
      <c r="AR775" s="336"/>
      <c r="AS775" s="336"/>
      <c r="BD775" s="332"/>
    </row>
    <row r="776" spans="9:56" ht="13">
      <c r="I776" s="116"/>
      <c r="J776" s="116"/>
      <c r="K776" s="116"/>
      <c r="L776" s="116"/>
      <c r="M776" s="116"/>
      <c r="N776" s="116"/>
      <c r="AB776" s="332"/>
      <c r="AQ776" s="336"/>
      <c r="AR776" s="336"/>
      <c r="AS776" s="336"/>
      <c r="BD776" s="332"/>
    </row>
    <row r="777" spans="9:56" ht="13">
      <c r="I777" s="116"/>
      <c r="J777" s="116"/>
      <c r="K777" s="116"/>
      <c r="L777" s="116"/>
      <c r="M777" s="116"/>
      <c r="N777" s="116"/>
      <c r="AB777" s="332"/>
      <c r="AQ777" s="336"/>
      <c r="AR777" s="336"/>
      <c r="AS777" s="336"/>
      <c r="BD777" s="332"/>
    </row>
    <row r="778" spans="9:56" ht="13">
      <c r="I778" s="116"/>
      <c r="J778" s="116"/>
      <c r="K778" s="116"/>
      <c r="L778" s="116"/>
      <c r="M778" s="116"/>
      <c r="N778" s="116"/>
      <c r="AB778" s="332"/>
      <c r="AQ778" s="336"/>
      <c r="AR778" s="336"/>
      <c r="AS778" s="336"/>
      <c r="BD778" s="332"/>
    </row>
    <row r="779" spans="9:56" ht="13">
      <c r="I779" s="116"/>
      <c r="J779" s="116"/>
      <c r="K779" s="116"/>
      <c r="L779" s="116"/>
      <c r="M779" s="116"/>
      <c r="N779" s="116"/>
      <c r="AB779" s="332"/>
      <c r="AQ779" s="336"/>
      <c r="AR779" s="336"/>
      <c r="AS779" s="336"/>
      <c r="BD779" s="332"/>
    </row>
    <row r="780" spans="9:56" ht="13">
      <c r="I780" s="116"/>
      <c r="J780" s="116"/>
      <c r="K780" s="116"/>
      <c r="L780" s="116"/>
      <c r="M780" s="116"/>
      <c r="N780" s="116"/>
      <c r="AB780" s="332"/>
      <c r="AQ780" s="336"/>
      <c r="AR780" s="336"/>
      <c r="AS780" s="336"/>
      <c r="BD780" s="332"/>
    </row>
    <row r="781" spans="9:56" ht="13">
      <c r="I781" s="116"/>
      <c r="J781" s="116"/>
      <c r="K781" s="116"/>
      <c r="L781" s="116"/>
      <c r="M781" s="116"/>
      <c r="N781" s="116"/>
      <c r="AB781" s="332"/>
      <c r="AQ781" s="336"/>
      <c r="AR781" s="336"/>
      <c r="AS781" s="336"/>
      <c r="BD781" s="332"/>
    </row>
    <row r="782" spans="9:56" ht="13">
      <c r="I782" s="116"/>
      <c r="J782" s="116"/>
      <c r="K782" s="116"/>
      <c r="L782" s="116"/>
      <c r="M782" s="116"/>
      <c r="N782" s="116"/>
      <c r="AB782" s="332"/>
      <c r="AQ782" s="336"/>
      <c r="AR782" s="336"/>
      <c r="AS782" s="336"/>
      <c r="BD782" s="332"/>
    </row>
    <row r="783" spans="9:56" ht="13">
      <c r="I783" s="116"/>
      <c r="J783" s="116"/>
      <c r="K783" s="116"/>
      <c r="L783" s="116"/>
      <c r="M783" s="116"/>
      <c r="N783" s="116"/>
      <c r="AB783" s="332"/>
      <c r="AQ783" s="336"/>
      <c r="AR783" s="336"/>
      <c r="AS783" s="336"/>
      <c r="BD783" s="332"/>
    </row>
    <row r="784" spans="9:56" ht="13">
      <c r="I784" s="116"/>
      <c r="J784" s="116"/>
      <c r="K784" s="116"/>
      <c r="L784" s="116"/>
      <c r="M784" s="116"/>
      <c r="N784" s="116"/>
      <c r="AB784" s="332"/>
      <c r="AQ784" s="336"/>
      <c r="AR784" s="336"/>
      <c r="AS784" s="336"/>
      <c r="BD784" s="332"/>
    </row>
    <row r="785" spans="9:56" ht="13">
      <c r="I785" s="116"/>
      <c r="J785" s="116"/>
      <c r="K785" s="116"/>
      <c r="L785" s="116"/>
      <c r="M785" s="116"/>
      <c r="N785" s="116"/>
      <c r="AB785" s="332"/>
      <c r="AQ785" s="336"/>
      <c r="AR785" s="336"/>
      <c r="AS785" s="336"/>
      <c r="BD785" s="332"/>
    </row>
    <row r="786" spans="9:56" ht="13">
      <c r="I786" s="116"/>
      <c r="J786" s="116"/>
      <c r="K786" s="116"/>
      <c r="L786" s="116"/>
      <c r="M786" s="116"/>
      <c r="N786" s="116"/>
      <c r="AB786" s="332"/>
      <c r="AQ786" s="336"/>
      <c r="AR786" s="336"/>
      <c r="AS786" s="336"/>
      <c r="BD786" s="332"/>
    </row>
    <row r="787" spans="9:56" ht="13">
      <c r="I787" s="116"/>
      <c r="J787" s="116"/>
      <c r="K787" s="116"/>
      <c r="L787" s="116"/>
      <c r="M787" s="116"/>
      <c r="N787" s="116"/>
      <c r="AB787" s="332"/>
      <c r="AQ787" s="336"/>
      <c r="AR787" s="336"/>
      <c r="AS787" s="336"/>
      <c r="BD787" s="332"/>
    </row>
    <row r="788" spans="9:56" ht="13">
      <c r="I788" s="116"/>
      <c r="J788" s="116"/>
      <c r="K788" s="116"/>
      <c r="L788" s="116"/>
      <c r="M788" s="116"/>
      <c r="N788" s="116"/>
      <c r="AB788" s="332"/>
      <c r="AQ788" s="336"/>
      <c r="AR788" s="336"/>
      <c r="AS788" s="336"/>
      <c r="BD788" s="332"/>
    </row>
    <row r="789" spans="9:56" ht="13">
      <c r="I789" s="116"/>
      <c r="J789" s="116"/>
      <c r="K789" s="116"/>
      <c r="L789" s="116"/>
      <c r="M789" s="116"/>
      <c r="N789" s="116"/>
      <c r="AB789" s="332"/>
      <c r="AQ789" s="336"/>
      <c r="AR789" s="336"/>
      <c r="AS789" s="336"/>
      <c r="BD789" s="332"/>
    </row>
    <row r="790" spans="9:56" ht="13">
      <c r="I790" s="116"/>
      <c r="J790" s="116"/>
      <c r="K790" s="116"/>
      <c r="L790" s="116"/>
      <c r="M790" s="116"/>
      <c r="N790" s="116"/>
      <c r="AB790" s="332"/>
      <c r="AQ790" s="336"/>
      <c r="AR790" s="336"/>
      <c r="AS790" s="336"/>
      <c r="BD790" s="332"/>
    </row>
    <row r="791" spans="9:56" ht="13">
      <c r="I791" s="116"/>
      <c r="J791" s="116"/>
      <c r="K791" s="116"/>
      <c r="L791" s="116"/>
      <c r="M791" s="116"/>
      <c r="N791" s="116"/>
      <c r="AB791" s="332"/>
      <c r="AQ791" s="336"/>
      <c r="AR791" s="336"/>
      <c r="AS791" s="336"/>
      <c r="BD791" s="332"/>
    </row>
    <row r="792" spans="9:56" ht="13">
      <c r="I792" s="116"/>
      <c r="J792" s="116"/>
      <c r="K792" s="116"/>
      <c r="L792" s="116"/>
      <c r="M792" s="116"/>
      <c r="N792" s="116"/>
      <c r="AB792" s="332"/>
      <c r="AQ792" s="336"/>
      <c r="AR792" s="336"/>
      <c r="AS792" s="336"/>
      <c r="BD792" s="332"/>
    </row>
    <row r="793" spans="9:56" ht="13">
      <c r="I793" s="116"/>
      <c r="J793" s="116"/>
      <c r="K793" s="116"/>
      <c r="L793" s="116"/>
      <c r="M793" s="116"/>
      <c r="N793" s="116"/>
      <c r="AB793" s="332"/>
      <c r="AQ793" s="336"/>
      <c r="AR793" s="336"/>
      <c r="AS793" s="336"/>
      <c r="BD793" s="332"/>
    </row>
    <row r="794" spans="9:56" ht="13">
      <c r="I794" s="116"/>
      <c r="J794" s="116"/>
      <c r="K794" s="116"/>
      <c r="L794" s="116"/>
      <c r="M794" s="116"/>
      <c r="N794" s="116"/>
      <c r="AB794" s="332"/>
      <c r="AQ794" s="336"/>
      <c r="AR794" s="336"/>
      <c r="AS794" s="336"/>
      <c r="BD794" s="332"/>
    </row>
    <row r="795" spans="9:56" ht="13">
      <c r="I795" s="116"/>
      <c r="J795" s="116"/>
      <c r="K795" s="116"/>
      <c r="L795" s="116"/>
      <c r="M795" s="116"/>
      <c r="N795" s="116"/>
      <c r="AB795" s="332"/>
      <c r="AQ795" s="336"/>
      <c r="AR795" s="336"/>
      <c r="AS795" s="336"/>
      <c r="BD795" s="332"/>
    </row>
    <row r="796" spans="9:56" ht="13">
      <c r="I796" s="116"/>
      <c r="J796" s="116"/>
      <c r="K796" s="116"/>
      <c r="L796" s="116"/>
      <c r="M796" s="116"/>
      <c r="N796" s="116"/>
      <c r="AB796" s="332"/>
      <c r="AQ796" s="336"/>
      <c r="AR796" s="336"/>
      <c r="AS796" s="336"/>
      <c r="BD796" s="332"/>
    </row>
    <row r="797" spans="9:56" ht="13">
      <c r="I797" s="116"/>
      <c r="J797" s="116"/>
      <c r="K797" s="116"/>
      <c r="L797" s="116"/>
      <c r="M797" s="116"/>
      <c r="N797" s="116"/>
      <c r="AB797" s="332"/>
      <c r="AQ797" s="336"/>
      <c r="AR797" s="336"/>
      <c r="AS797" s="336"/>
      <c r="BD797" s="332"/>
    </row>
    <row r="798" spans="9:56" ht="13">
      <c r="I798" s="116"/>
      <c r="J798" s="116"/>
      <c r="K798" s="116"/>
      <c r="L798" s="116"/>
      <c r="M798" s="116"/>
      <c r="N798" s="116"/>
      <c r="AB798" s="332"/>
      <c r="AQ798" s="336"/>
      <c r="AR798" s="336"/>
      <c r="AS798" s="336"/>
      <c r="BD798" s="332"/>
    </row>
    <row r="799" spans="9:56" ht="13">
      <c r="I799" s="116"/>
      <c r="J799" s="116"/>
      <c r="K799" s="116"/>
      <c r="L799" s="116"/>
      <c r="M799" s="116"/>
      <c r="N799" s="116"/>
      <c r="AB799" s="332"/>
      <c r="AQ799" s="336"/>
      <c r="AR799" s="336"/>
      <c r="AS799" s="336"/>
      <c r="BD799" s="332"/>
    </row>
    <row r="800" spans="9:56" ht="13">
      <c r="I800" s="116"/>
      <c r="J800" s="116"/>
      <c r="K800" s="116"/>
      <c r="L800" s="116"/>
      <c r="M800" s="116"/>
      <c r="N800" s="116"/>
      <c r="AB800" s="332"/>
      <c r="AQ800" s="336"/>
      <c r="AR800" s="336"/>
      <c r="AS800" s="336"/>
      <c r="BD800" s="332"/>
    </row>
    <row r="801" spans="9:56" ht="13">
      <c r="I801" s="116"/>
      <c r="J801" s="116"/>
      <c r="K801" s="116"/>
      <c r="L801" s="116"/>
      <c r="M801" s="116"/>
      <c r="N801" s="116"/>
      <c r="AB801" s="332"/>
      <c r="AQ801" s="336"/>
      <c r="AR801" s="336"/>
      <c r="AS801" s="336"/>
      <c r="BD801" s="332"/>
    </row>
    <row r="802" spans="9:56" ht="13">
      <c r="I802" s="116"/>
      <c r="J802" s="116"/>
      <c r="K802" s="116"/>
      <c r="L802" s="116"/>
      <c r="M802" s="116"/>
      <c r="N802" s="116"/>
      <c r="AB802" s="332"/>
      <c r="AQ802" s="336"/>
      <c r="AR802" s="336"/>
      <c r="AS802" s="336"/>
      <c r="BD802" s="332"/>
    </row>
    <row r="803" spans="9:56" ht="13">
      <c r="I803" s="116"/>
      <c r="J803" s="116"/>
      <c r="K803" s="116"/>
      <c r="L803" s="116"/>
      <c r="M803" s="116"/>
      <c r="N803" s="116"/>
      <c r="AB803" s="332"/>
      <c r="AQ803" s="336"/>
      <c r="AR803" s="336"/>
      <c r="AS803" s="336"/>
      <c r="BD803" s="332"/>
    </row>
    <row r="804" spans="9:56" ht="13">
      <c r="I804" s="116"/>
      <c r="J804" s="116"/>
      <c r="K804" s="116"/>
      <c r="L804" s="116"/>
      <c r="M804" s="116"/>
      <c r="N804" s="116"/>
      <c r="AB804" s="332"/>
      <c r="AQ804" s="336"/>
      <c r="AR804" s="336"/>
      <c r="AS804" s="336"/>
      <c r="BD804" s="332"/>
    </row>
    <row r="805" spans="9:56" ht="13">
      <c r="I805" s="116"/>
      <c r="J805" s="116"/>
      <c r="K805" s="116"/>
      <c r="L805" s="116"/>
      <c r="M805" s="116"/>
      <c r="N805" s="116"/>
      <c r="AB805" s="332"/>
      <c r="AQ805" s="336"/>
      <c r="AR805" s="336"/>
      <c r="AS805" s="336"/>
      <c r="BD805" s="332"/>
    </row>
    <row r="806" spans="9:56" ht="13">
      <c r="I806" s="116"/>
      <c r="J806" s="116"/>
      <c r="K806" s="116"/>
      <c r="L806" s="116"/>
      <c r="M806" s="116"/>
      <c r="N806" s="116"/>
      <c r="AB806" s="332"/>
      <c r="AQ806" s="336"/>
      <c r="AR806" s="336"/>
      <c r="AS806" s="336"/>
      <c r="BD806" s="332"/>
    </row>
    <row r="807" spans="9:56" ht="13">
      <c r="I807" s="116"/>
      <c r="J807" s="116"/>
      <c r="K807" s="116"/>
      <c r="L807" s="116"/>
      <c r="M807" s="116"/>
      <c r="N807" s="116"/>
      <c r="AB807" s="332"/>
      <c r="AQ807" s="336"/>
      <c r="AR807" s="336"/>
      <c r="AS807" s="336"/>
      <c r="BD807" s="332"/>
    </row>
    <row r="808" spans="9:56" ht="13">
      <c r="I808" s="116"/>
      <c r="J808" s="116"/>
      <c r="K808" s="116"/>
      <c r="L808" s="116"/>
      <c r="M808" s="116"/>
      <c r="N808" s="116"/>
      <c r="AB808" s="332"/>
      <c r="AQ808" s="336"/>
      <c r="AR808" s="336"/>
      <c r="AS808" s="336"/>
      <c r="BD808" s="332"/>
    </row>
    <row r="809" spans="9:56" ht="13">
      <c r="I809" s="116"/>
      <c r="J809" s="116"/>
      <c r="K809" s="116"/>
      <c r="L809" s="116"/>
      <c r="M809" s="116"/>
      <c r="N809" s="116"/>
      <c r="AB809" s="332"/>
      <c r="AQ809" s="336"/>
      <c r="AR809" s="336"/>
      <c r="AS809" s="336"/>
      <c r="BD809" s="332"/>
    </row>
    <row r="810" spans="9:56" ht="13">
      <c r="I810" s="116"/>
      <c r="J810" s="116"/>
      <c r="K810" s="116"/>
      <c r="L810" s="116"/>
      <c r="M810" s="116"/>
      <c r="N810" s="116"/>
      <c r="AB810" s="332"/>
      <c r="AQ810" s="336"/>
      <c r="AR810" s="336"/>
      <c r="AS810" s="336"/>
      <c r="BD810" s="332"/>
    </row>
    <row r="811" spans="9:56" ht="13">
      <c r="I811" s="116"/>
      <c r="J811" s="116"/>
      <c r="K811" s="116"/>
      <c r="L811" s="116"/>
      <c r="M811" s="116"/>
      <c r="N811" s="116"/>
      <c r="AB811" s="332"/>
      <c r="AQ811" s="336"/>
      <c r="AR811" s="336"/>
      <c r="AS811" s="336"/>
      <c r="BD811" s="332"/>
    </row>
    <row r="812" spans="9:56" ht="13">
      <c r="I812" s="116"/>
      <c r="J812" s="116"/>
      <c r="K812" s="116"/>
      <c r="L812" s="116"/>
      <c r="M812" s="116"/>
      <c r="N812" s="116"/>
      <c r="AB812" s="332"/>
      <c r="AQ812" s="336"/>
      <c r="AR812" s="336"/>
      <c r="AS812" s="336"/>
      <c r="BD812" s="332"/>
    </row>
    <row r="813" spans="9:56" ht="13">
      <c r="I813" s="116"/>
      <c r="J813" s="116"/>
      <c r="K813" s="116"/>
      <c r="L813" s="116"/>
      <c r="M813" s="116"/>
      <c r="N813" s="116"/>
      <c r="AB813" s="332"/>
      <c r="AQ813" s="336"/>
      <c r="AR813" s="336"/>
      <c r="AS813" s="336"/>
      <c r="BD813" s="332"/>
    </row>
    <row r="814" spans="9:56" ht="13">
      <c r="I814" s="116"/>
      <c r="J814" s="116"/>
      <c r="K814" s="116"/>
      <c r="L814" s="116"/>
      <c r="M814" s="116"/>
      <c r="N814" s="116"/>
      <c r="AB814" s="332"/>
      <c r="AQ814" s="336"/>
      <c r="AR814" s="336"/>
      <c r="AS814" s="336"/>
      <c r="BD814" s="332"/>
    </row>
    <row r="815" spans="9:56" ht="13">
      <c r="I815" s="116"/>
      <c r="J815" s="116"/>
      <c r="K815" s="116"/>
      <c r="L815" s="116"/>
      <c r="M815" s="116"/>
      <c r="N815" s="116"/>
      <c r="AB815" s="332"/>
      <c r="AQ815" s="336"/>
      <c r="AR815" s="336"/>
      <c r="AS815" s="336"/>
      <c r="BD815" s="332"/>
    </row>
    <row r="816" spans="9:56" ht="13">
      <c r="I816" s="116"/>
      <c r="J816" s="116"/>
      <c r="K816" s="116"/>
      <c r="L816" s="116"/>
      <c r="M816" s="116"/>
      <c r="N816" s="116"/>
      <c r="AB816" s="332"/>
      <c r="AQ816" s="336"/>
      <c r="AR816" s="336"/>
      <c r="AS816" s="336"/>
      <c r="BD816" s="332"/>
    </row>
    <row r="817" spans="9:56" ht="13">
      <c r="I817" s="116"/>
      <c r="J817" s="116"/>
      <c r="K817" s="116"/>
      <c r="L817" s="116"/>
      <c r="M817" s="116"/>
      <c r="N817" s="116"/>
      <c r="AB817" s="332"/>
      <c r="AQ817" s="336"/>
      <c r="AR817" s="336"/>
      <c r="AS817" s="336"/>
      <c r="BD817" s="332"/>
    </row>
    <row r="818" spans="9:56" ht="13">
      <c r="I818" s="116"/>
      <c r="J818" s="116"/>
      <c r="K818" s="116"/>
      <c r="L818" s="116"/>
      <c r="M818" s="116"/>
      <c r="N818" s="116"/>
      <c r="AB818" s="332"/>
      <c r="AQ818" s="336"/>
      <c r="AR818" s="336"/>
      <c r="AS818" s="336"/>
      <c r="BD818" s="332"/>
    </row>
    <row r="819" spans="9:56" ht="13">
      <c r="I819" s="116"/>
      <c r="J819" s="116"/>
      <c r="K819" s="116"/>
      <c r="L819" s="116"/>
      <c r="M819" s="116"/>
      <c r="N819" s="116"/>
      <c r="AB819" s="332"/>
      <c r="AQ819" s="336"/>
      <c r="AR819" s="336"/>
      <c r="AS819" s="336"/>
      <c r="BD819" s="332"/>
    </row>
    <row r="820" spans="9:56" ht="13">
      <c r="I820" s="116"/>
      <c r="J820" s="116"/>
      <c r="K820" s="116"/>
      <c r="L820" s="116"/>
      <c r="M820" s="116"/>
      <c r="N820" s="116"/>
      <c r="AB820" s="332"/>
      <c r="AQ820" s="336"/>
      <c r="AR820" s="336"/>
      <c r="AS820" s="336"/>
      <c r="BD820" s="332"/>
    </row>
    <row r="821" spans="9:56" ht="13">
      <c r="I821" s="116"/>
      <c r="J821" s="116"/>
      <c r="K821" s="116"/>
      <c r="L821" s="116"/>
      <c r="M821" s="116"/>
      <c r="N821" s="116"/>
      <c r="AB821" s="332"/>
      <c r="AQ821" s="336"/>
      <c r="AR821" s="336"/>
      <c r="AS821" s="336"/>
      <c r="BD821" s="332"/>
    </row>
    <row r="822" spans="9:56" ht="13">
      <c r="I822" s="116"/>
      <c r="J822" s="116"/>
      <c r="K822" s="116"/>
      <c r="L822" s="116"/>
      <c r="M822" s="116"/>
      <c r="N822" s="116"/>
      <c r="AB822" s="332"/>
      <c r="AQ822" s="336"/>
      <c r="AR822" s="336"/>
      <c r="AS822" s="336"/>
      <c r="BD822" s="332"/>
    </row>
    <row r="823" spans="9:56" ht="13">
      <c r="I823" s="116"/>
      <c r="J823" s="116"/>
      <c r="K823" s="116"/>
      <c r="L823" s="116"/>
      <c r="M823" s="116"/>
      <c r="N823" s="116"/>
      <c r="AB823" s="332"/>
      <c r="AQ823" s="336"/>
      <c r="AR823" s="336"/>
      <c r="AS823" s="336"/>
      <c r="BD823" s="332"/>
    </row>
    <row r="824" spans="9:56" ht="13">
      <c r="I824" s="116"/>
      <c r="J824" s="116"/>
      <c r="K824" s="116"/>
      <c r="L824" s="116"/>
      <c r="M824" s="116"/>
      <c r="N824" s="116"/>
      <c r="AB824" s="332"/>
      <c r="AQ824" s="336"/>
      <c r="AR824" s="336"/>
      <c r="AS824" s="336"/>
      <c r="BD824" s="332"/>
    </row>
    <row r="825" spans="9:56" ht="13">
      <c r="I825" s="116"/>
      <c r="J825" s="116"/>
      <c r="K825" s="116"/>
      <c r="L825" s="116"/>
      <c r="M825" s="116"/>
      <c r="N825" s="116"/>
      <c r="AB825" s="332"/>
      <c r="AQ825" s="336"/>
      <c r="AR825" s="336"/>
      <c r="AS825" s="336"/>
      <c r="BD825" s="332"/>
    </row>
    <row r="826" spans="9:56" ht="13">
      <c r="I826" s="116"/>
      <c r="J826" s="116"/>
      <c r="K826" s="116"/>
      <c r="L826" s="116"/>
      <c r="M826" s="116"/>
      <c r="N826" s="116"/>
      <c r="AB826" s="332"/>
      <c r="AQ826" s="336"/>
      <c r="AR826" s="336"/>
      <c r="AS826" s="336"/>
      <c r="BD826" s="332"/>
    </row>
    <row r="827" spans="9:56" ht="13">
      <c r="I827" s="116"/>
      <c r="J827" s="116"/>
      <c r="K827" s="116"/>
      <c r="L827" s="116"/>
      <c r="M827" s="116"/>
      <c r="N827" s="116"/>
      <c r="AB827" s="332"/>
      <c r="AQ827" s="336"/>
      <c r="AR827" s="336"/>
      <c r="AS827" s="336"/>
      <c r="BD827" s="332"/>
    </row>
    <row r="828" spans="9:56" ht="13">
      <c r="I828" s="116"/>
      <c r="J828" s="116"/>
      <c r="K828" s="116"/>
      <c r="L828" s="116"/>
      <c r="M828" s="116"/>
      <c r="N828" s="116"/>
      <c r="AB828" s="332"/>
      <c r="AQ828" s="336"/>
      <c r="AR828" s="336"/>
      <c r="AS828" s="336"/>
      <c r="BD828" s="332"/>
    </row>
    <row r="829" spans="9:56" ht="13">
      <c r="I829" s="116"/>
      <c r="J829" s="116"/>
      <c r="K829" s="116"/>
      <c r="L829" s="116"/>
      <c r="M829" s="116"/>
      <c r="N829" s="116"/>
      <c r="AB829" s="332"/>
      <c r="AQ829" s="336"/>
      <c r="AR829" s="336"/>
      <c r="AS829" s="336"/>
      <c r="BD829" s="332"/>
    </row>
    <row r="830" spans="9:56" ht="13">
      <c r="I830" s="116"/>
      <c r="J830" s="116"/>
      <c r="K830" s="116"/>
      <c r="L830" s="116"/>
      <c r="M830" s="116"/>
      <c r="N830" s="116"/>
      <c r="AB830" s="332"/>
      <c r="AQ830" s="336"/>
      <c r="AR830" s="336"/>
      <c r="AS830" s="336"/>
      <c r="BD830" s="332"/>
    </row>
    <row r="831" spans="9:56" ht="13">
      <c r="I831" s="116"/>
      <c r="J831" s="116"/>
      <c r="K831" s="116"/>
      <c r="L831" s="116"/>
      <c r="M831" s="116"/>
      <c r="N831" s="116"/>
      <c r="AB831" s="332"/>
      <c r="AQ831" s="336"/>
      <c r="AR831" s="336"/>
      <c r="AS831" s="336"/>
      <c r="BD831" s="332"/>
    </row>
    <row r="832" spans="9:56" ht="13">
      <c r="I832" s="116"/>
      <c r="J832" s="116"/>
      <c r="K832" s="116"/>
      <c r="L832" s="116"/>
      <c r="M832" s="116"/>
      <c r="N832" s="116"/>
      <c r="AB832" s="332"/>
      <c r="AQ832" s="336"/>
      <c r="AR832" s="336"/>
      <c r="AS832" s="336"/>
      <c r="BD832" s="332"/>
    </row>
    <row r="833" spans="9:56" ht="13">
      <c r="I833" s="116"/>
      <c r="J833" s="116"/>
      <c r="K833" s="116"/>
      <c r="L833" s="116"/>
      <c r="M833" s="116"/>
      <c r="N833" s="116"/>
      <c r="AB833" s="332"/>
      <c r="AQ833" s="336"/>
      <c r="AR833" s="336"/>
      <c r="AS833" s="336"/>
      <c r="BD833" s="332"/>
    </row>
    <row r="834" spans="9:56" ht="13">
      <c r="I834" s="116"/>
      <c r="J834" s="116"/>
      <c r="K834" s="116"/>
      <c r="L834" s="116"/>
      <c r="M834" s="116"/>
      <c r="N834" s="116"/>
      <c r="AB834" s="332"/>
      <c r="AQ834" s="336"/>
      <c r="AR834" s="336"/>
      <c r="AS834" s="336"/>
      <c r="BD834" s="332"/>
    </row>
    <row r="835" spans="9:56" ht="13">
      <c r="I835" s="116"/>
      <c r="J835" s="116"/>
      <c r="K835" s="116"/>
      <c r="L835" s="116"/>
      <c r="M835" s="116"/>
      <c r="N835" s="116"/>
      <c r="AB835" s="332"/>
      <c r="AQ835" s="336"/>
      <c r="AR835" s="336"/>
      <c r="AS835" s="336"/>
      <c r="BD835" s="332"/>
    </row>
    <row r="836" spans="9:56" ht="13">
      <c r="I836" s="116"/>
      <c r="J836" s="116"/>
      <c r="K836" s="116"/>
      <c r="L836" s="116"/>
      <c r="M836" s="116"/>
      <c r="N836" s="116"/>
      <c r="AB836" s="332"/>
      <c r="AQ836" s="336"/>
      <c r="AR836" s="336"/>
      <c r="AS836" s="336"/>
      <c r="BD836" s="332"/>
    </row>
    <row r="837" spans="9:56" ht="13">
      <c r="I837" s="116"/>
      <c r="J837" s="116"/>
      <c r="K837" s="116"/>
      <c r="L837" s="116"/>
      <c r="M837" s="116"/>
      <c r="N837" s="116"/>
      <c r="AB837" s="332"/>
      <c r="AQ837" s="336"/>
      <c r="AR837" s="336"/>
      <c r="AS837" s="336"/>
      <c r="BD837" s="332"/>
    </row>
    <row r="838" spans="9:56" ht="13">
      <c r="I838" s="116"/>
      <c r="J838" s="116"/>
      <c r="K838" s="116"/>
      <c r="L838" s="116"/>
      <c r="M838" s="116"/>
      <c r="N838" s="116"/>
      <c r="AB838" s="332"/>
      <c r="AQ838" s="336"/>
      <c r="AR838" s="336"/>
      <c r="AS838" s="336"/>
      <c r="BD838" s="332"/>
    </row>
    <row r="839" spans="9:56" ht="13">
      <c r="I839" s="116"/>
      <c r="J839" s="116"/>
      <c r="K839" s="116"/>
      <c r="L839" s="116"/>
      <c r="M839" s="116"/>
      <c r="N839" s="116"/>
      <c r="AB839" s="332"/>
      <c r="AQ839" s="336"/>
      <c r="AR839" s="336"/>
      <c r="AS839" s="336"/>
      <c r="BD839" s="332"/>
    </row>
    <row r="840" spans="9:56" ht="13">
      <c r="I840" s="116"/>
      <c r="J840" s="116"/>
      <c r="K840" s="116"/>
      <c r="L840" s="116"/>
      <c r="M840" s="116"/>
      <c r="N840" s="116"/>
      <c r="AB840" s="332"/>
      <c r="AQ840" s="336"/>
      <c r="AR840" s="336"/>
      <c r="AS840" s="336"/>
      <c r="BD840" s="332"/>
    </row>
    <row r="841" spans="9:56" ht="13">
      <c r="I841" s="116"/>
      <c r="J841" s="116"/>
      <c r="K841" s="116"/>
      <c r="L841" s="116"/>
      <c r="M841" s="116"/>
      <c r="N841" s="116"/>
      <c r="AB841" s="332"/>
      <c r="AQ841" s="336"/>
      <c r="AR841" s="336"/>
      <c r="AS841" s="336"/>
      <c r="BD841" s="332"/>
    </row>
    <row r="842" spans="9:56" ht="13">
      <c r="I842" s="116"/>
      <c r="J842" s="116"/>
      <c r="K842" s="116"/>
      <c r="L842" s="116"/>
      <c r="M842" s="116"/>
      <c r="N842" s="116"/>
      <c r="AB842" s="332"/>
      <c r="AQ842" s="336"/>
      <c r="AR842" s="336"/>
      <c r="AS842" s="336"/>
      <c r="BD842" s="332"/>
    </row>
    <row r="843" spans="9:56" ht="13">
      <c r="I843" s="116"/>
      <c r="J843" s="116"/>
      <c r="K843" s="116"/>
      <c r="L843" s="116"/>
      <c r="M843" s="116"/>
      <c r="N843" s="116"/>
      <c r="AB843" s="332"/>
      <c r="AQ843" s="336"/>
      <c r="AR843" s="336"/>
      <c r="AS843" s="336"/>
      <c r="BD843" s="332"/>
    </row>
    <row r="844" spans="9:56" ht="13">
      <c r="I844" s="116"/>
      <c r="J844" s="116"/>
      <c r="K844" s="116"/>
      <c r="L844" s="116"/>
      <c r="M844" s="116"/>
      <c r="N844" s="116"/>
      <c r="AB844" s="332"/>
      <c r="AQ844" s="336"/>
      <c r="AR844" s="336"/>
      <c r="AS844" s="336"/>
      <c r="BD844" s="332"/>
    </row>
    <row r="845" spans="9:56" ht="13">
      <c r="I845" s="116"/>
      <c r="J845" s="116"/>
      <c r="K845" s="116"/>
      <c r="L845" s="116"/>
      <c r="M845" s="116"/>
      <c r="N845" s="116"/>
      <c r="AB845" s="332"/>
      <c r="AQ845" s="336"/>
      <c r="AR845" s="336"/>
      <c r="AS845" s="336"/>
      <c r="BD845" s="332"/>
    </row>
    <row r="846" spans="9:56" ht="13">
      <c r="I846" s="116"/>
      <c r="J846" s="116"/>
      <c r="K846" s="116"/>
      <c r="L846" s="116"/>
      <c r="M846" s="116"/>
      <c r="N846" s="116"/>
      <c r="AB846" s="332"/>
      <c r="AQ846" s="336"/>
      <c r="AR846" s="336"/>
      <c r="AS846" s="336"/>
      <c r="BD846" s="332"/>
    </row>
    <row r="847" spans="9:56" ht="13">
      <c r="I847" s="116"/>
      <c r="J847" s="116"/>
      <c r="K847" s="116"/>
      <c r="L847" s="116"/>
      <c r="M847" s="116"/>
      <c r="N847" s="116"/>
      <c r="AB847" s="332"/>
      <c r="AQ847" s="336"/>
      <c r="AR847" s="336"/>
      <c r="AS847" s="336"/>
      <c r="BD847" s="332"/>
    </row>
    <row r="848" spans="9:56" ht="13">
      <c r="I848" s="116"/>
      <c r="J848" s="116"/>
      <c r="K848" s="116"/>
      <c r="L848" s="116"/>
      <c r="M848" s="116"/>
      <c r="N848" s="116"/>
      <c r="AB848" s="332"/>
      <c r="AQ848" s="336"/>
      <c r="AR848" s="336"/>
      <c r="AS848" s="336"/>
      <c r="BD848" s="332"/>
    </row>
    <row r="849" spans="9:56" ht="13">
      <c r="I849" s="116"/>
      <c r="J849" s="116"/>
      <c r="K849" s="116"/>
      <c r="L849" s="116"/>
      <c r="M849" s="116"/>
      <c r="N849" s="116"/>
      <c r="AB849" s="332"/>
      <c r="AQ849" s="336"/>
      <c r="AR849" s="336"/>
      <c r="AS849" s="336"/>
      <c r="BD849" s="332"/>
    </row>
    <row r="850" spans="9:56" ht="13">
      <c r="I850" s="116"/>
      <c r="J850" s="116"/>
      <c r="K850" s="116"/>
      <c r="L850" s="116"/>
      <c r="M850" s="116"/>
      <c r="N850" s="116"/>
      <c r="AB850" s="332"/>
      <c r="AQ850" s="336"/>
      <c r="AR850" s="336"/>
      <c r="AS850" s="336"/>
      <c r="BD850" s="332"/>
    </row>
    <row r="851" spans="9:56" ht="13">
      <c r="I851" s="116"/>
      <c r="J851" s="116"/>
      <c r="K851" s="116"/>
      <c r="L851" s="116"/>
      <c r="M851" s="116"/>
      <c r="N851" s="116"/>
      <c r="AB851" s="332"/>
      <c r="AQ851" s="336"/>
      <c r="AR851" s="336"/>
      <c r="AS851" s="336"/>
      <c r="BD851" s="332"/>
    </row>
    <row r="852" spans="9:56" ht="13">
      <c r="I852" s="116"/>
      <c r="J852" s="116"/>
      <c r="K852" s="116"/>
      <c r="L852" s="116"/>
      <c r="M852" s="116"/>
      <c r="N852" s="116"/>
      <c r="AB852" s="332"/>
      <c r="AQ852" s="336"/>
      <c r="AR852" s="336"/>
      <c r="AS852" s="336"/>
      <c r="BD852" s="332"/>
    </row>
    <row r="853" spans="9:56" ht="13">
      <c r="I853" s="116"/>
      <c r="J853" s="116"/>
      <c r="K853" s="116"/>
      <c r="L853" s="116"/>
      <c r="M853" s="116"/>
      <c r="N853" s="116"/>
      <c r="AB853" s="332"/>
      <c r="AQ853" s="336"/>
      <c r="AR853" s="336"/>
      <c r="AS853" s="336"/>
      <c r="BD853" s="332"/>
    </row>
    <row r="854" spans="9:56" ht="13">
      <c r="I854" s="116"/>
      <c r="J854" s="116"/>
      <c r="K854" s="116"/>
      <c r="L854" s="116"/>
      <c r="M854" s="116"/>
      <c r="N854" s="116"/>
      <c r="AB854" s="332"/>
      <c r="AQ854" s="336"/>
      <c r="AR854" s="336"/>
      <c r="AS854" s="336"/>
      <c r="BD854" s="332"/>
    </row>
    <row r="855" spans="9:56" ht="13">
      <c r="I855" s="116"/>
      <c r="J855" s="116"/>
      <c r="K855" s="116"/>
      <c r="L855" s="116"/>
      <c r="M855" s="116"/>
      <c r="N855" s="116"/>
      <c r="AB855" s="332"/>
      <c r="AQ855" s="336"/>
      <c r="AR855" s="336"/>
      <c r="AS855" s="336"/>
      <c r="BD855" s="332"/>
    </row>
    <row r="856" spans="9:56" ht="13">
      <c r="I856" s="116"/>
      <c r="J856" s="116"/>
      <c r="K856" s="116"/>
      <c r="L856" s="116"/>
      <c r="M856" s="116"/>
      <c r="N856" s="116"/>
      <c r="AB856" s="332"/>
      <c r="AQ856" s="336"/>
      <c r="AR856" s="336"/>
      <c r="AS856" s="336"/>
      <c r="BD856" s="332"/>
    </row>
    <row r="857" spans="9:56" ht="13">
      <c r="I857" s="116"/>
      <c r="J857" s="116"/>
      <c r="K857" s="116"/>
      <c r="L857" s="116"/>
      <c r="M857" s="116"/>
      <c r="N857" s="116"/>
      <c r="AB857" s="332"/>
      <c r="AQ857" s="336"/>
      <c r="AR857" s="336"/>
      <c r="AS857" s="336"/>
      <c r="BD857" s="332"/>
    </row>
    <row r="858" spans="9:56" ht="13">
      <c r="I858" s="116"/>
      <c r="J858" s="116"/>
      <c r="K858" s="116"/>
      <c r="L858" s="116"/>
      <c r="M858" s="116"/>
      <c r="N858" s="116"/>
      <c r="AB858" s="332"/>
      <c r="AQ858" s="336"/>
      <c r="AR858" s="336"/>
      <c r="AS858" s="336"/>
      <c r="BD858" s="332"/>
    </row>
    <row r="859" spans="9:56" ht="13">
      <c r="I859" s="116"/>
      <c r="J859" s="116"/>
      <c r="K859" s="116"/>
      <c r="L859" s="116"/>
      <c r="M859" s="116"/>
      <c r="N859" s="116"/>
      <c r="AB859" s="332"/>
      <c r="AQ859" s="336"/>
      <c r="AR859" s="336"/>
      <c r="AS859" s="336"/>
      <c r="BD859" s="332"/>
    </row>
    <row r="860" spans="9:56" ht="13">
      <c r="I860" s="116"/>
      <c r="J860" s="116"/>
      <c r="K860" s="116"/>
      <c r="L860" s="116"/>
      <c r="M860" s="116"/>
      <c r="N860" s="116"/>
      <c r="AB860" s="332"/>
      <c r="AQ860" s="336"/>
      <c r="AR860" s="336"/>
      <c r="AS860" s="336"/>
      <c r="BD860" s="332"/>
    </row>
    <row r="861" spans="9:56" ht="13">
      <c r="I861" s="116"/>
      <c r="J861" s="116"/>
      <c r="K861" s="116"/>
      <c r="L861" s="116"/>
      <c r="M861" s="116"/>
      <c r="N861" s="116"/>
      <c r="AB861" s="332"/>
      <c r="AQ861" s="336"/>
      <c r="AR861" s="336"/>
      <c r="AS861" s="336"/>
      <c r="BD861" s="332"/>
    </row>
    <row r="862" spans="9:56" ht="13">
      <c r="I862" s="116"/>
      <c r="J862" s="116"/>
      <c r="K862" s="116"/>
      <c r="L862" s="116"/>
      <c r="M862" s="116"/>
      <c r="N862" s="116"/>
      <c r="AB862" s="332"/>
      <c r="AQ862" s="336"/>
      <c r="AR862" s="336"/>
      <c r="AS862" s="336"/>
      <c r="BD862" s="332"/>
    </row>
    <row r="863" spans="9:56" ht="13">
      <c r="I863" s="116"/>
      <c r="J863" s="116"/>
      <c r="K863" s="116"/>
      <c r="L863" s="116"/>
      <c r="M863" s="116"/>
      <c r="N863" s="116"/>
      <c r="AB863" s="332"/>
      <c r="AQ863" s="336"/>
      <c r="AR863" s="336"/>
      <c r="AS863" s="336"/>
      <c r="BD863" s="332"/>
    </row>
    <row r="864" spans="9:56" ht="13">
      <c r="I864" s="116"/>
      <c r="J864" s="116"/>
      <c r="K864" s="116"/>
      <c r="L864" s="116"/>
      <c r="M864" s="116"/>
      <c r="N864" s="116"/>
      <c r="AB864" s="332"/>
      <c r="AQ864" s="336"/>
      <c r="AR864" s="336"/>
      <c r="AS864" s="336"/>
      <c r="BD864" s="332"/>
    </row>
    <row r="865" spans="9:56" ht="13">
      <c r="I865" s="116"/>
      <c r="J865" s="116"/>
      <c r="K865" s="116"/>
      <c r="L865" s="116"/>
      <c r="M865" s="116"/>
      <c r="N865" s="116"/>
      <c r="AB865" s="332"/>
      <c r="AQ865" s="336"/>
      <c r="AR865" s="336"/>
      <c r="AS865" s="336"/>
      <c r="BD865" s="332"/>
    </row>
    <row r="866" spans="9:56" ht="13">
      <c r="I866" s="116"/>
      <c r="J866" s="116"/>
      <c r="K866" s="116"/>
      <c r="L866" s="116"/>
      <c r="M866" s="116"/>
      <c r="N866" s="116"/>
      <c r="AB866" s="332"/>
      <c r="AQ866" s="336"/>
      <c r="AR866" s="336"/>
      <c r="AS866" s="336"/>
      <c r="BD866" s="332"/>
    </row>
    <row r="867" spans="9:56" ht="13">
      <c r="I867" s="116"/>
      <c r="J867" s="116"/>
      <c r="K867" s="116"/>
      <c r="L867" s="116"/>
      <c r="M867" s="116"/>
      <c r="N867" s="116"/>
      <c r="AB867" s="332"/>
      <c r="AQ867" s="336"/>
      <c r="AR867" s="336"/>
      <c r="AS867" s="336"/>
      <c r="BD867" s="332"/>
    </row>
    <row r="868" spans="9:56" ht="13">
      <c r="I868" s="116"/>
      <c r="J868" s="116"/>
      <c r="K868" s="116"/>
      <c r="L868" s="116"/>
      <c r="M868" s="116"/>
      <c r="N868" s="116"/>
      <c r="AB868" s="332"/>
      <c r="AQ868" s="336"/>
      <c r="AR868" s="336"/>
      <c r="AS868" s="336"/>
      <c r="BD868" s="332"/>
    </row>
    <row r="869" spans="9:56" ht="13">
      <c r="I869" s="116"/>
      <c r="J869" s="116"/>
      <c r="K869" s="116"/>
      <c r="L869" s="116"/>
      <c r="M869" s="116"/>
      <c r="N869" s="116"/>
      <c r="AB869" s="332"/>
      <c r="AQ869" s="336"/>
      <c r="AR869" s="336"/>
      <c r="AS869" s="336"/>
      <c r="BD869" s="332"/>
    </row>
    <row r="870" spans="9:56" ht="13">
      <c r="I870" s="116"/>
      <c r="J870" s="116"/>
      <c r="K870" s="116"/>
      <c r="L870" s="116"/>
      <c r="M870" s="116"/>
      <c r="N870" s="116"/>
      <c r="AB870" s="332"/>
      <c r="AQ870" s="336"/>
      <c r="AR870" s="336"/>
      <c r="AS870" s="336"/>
      <c r="BD870" s="332"/>
    </row>
    <row r="871" spans="9:56" ht="13">
      <c r="I871" s="116"/>
      <c r="J871" s="116"/>
      <c r="K871" s="116"/>
      <c r="L871" s="116"/>
      <c r="M871" s="116"/>
      <c r="N871" s="116"/>
      <c r="AB871" s="332"/>
      <c r="AQ871" s="336"/>
      <c r="AR871" s="336"/>
      <c r="AS871" s="336"/>
      <c r="BD871" s="332"/>
    </row>
    <row r="872" spans="9:56" ht="13">
      <c r="I872" s="116"/>
      <c r="J872" s="116"/>
      <c r="K872" s="116"/>
      <c r="L872" s="116"/>
      <c r="M872" s="116"/>
      <c r="N872" s="116"/>
      <c r="AB872" s="332"/>
      <c r="AQ872" s="336"/>
      <c r="AR872" s="336"/>
      <c r="AS872" s="336"/>
      <c r="BD872" s="332"/>
    </row>
    <row r="873" spans="9:56" ht="13">
      <c r="I873" s="116"/>
      <c r="J873" s="116"/>
      <c r="K873" s="116"/>
      <c r="L873" s="116"/>
      <c r="M873" s="116"/>
      <c r="N873" s="116"/>
      <c r="AB873" s="332"/>
      <c r="AQ873" s="336"/>
      <c r="AR873" s="336"/>
      <c r="AS873" s="336"/>
      <c r="BD873" s="332"/>
    </row>
    <row r="874" spans="9:56" ht="13">
      <c r="I874" s="116"/>
      <c r="J874" s="116"/>
      <c r="K874" s="116"/>
      <c r="L874" s="116"/>
      <c r="M874" s="116"/>
      <c r="N874" s="116"/>
      <c r="AB874" s="332"/>
      <c r="AQ874" s="336"/>
      <c r="AR874" s="336"/>
      <c r="AS874" s="336"/>
      <c r="BD874" s="332"/>
    </row>
    <row r="875" spans="9:56" ht="13">
      <c r="I875" s="116"/>
      <c r="J875" s="116"/>
      <c r="K875" s="116"/>
      <c r="L875" s="116"/>
      <c r="M875" s="116"/>
      <c r="N875" s="116"/>
      <c r="AB875" s="332"/>
      <c r="AQ875" s="336"/>
      <c r="AR875" s="336"/>
      <c r="AS875" s="336"/>
      <c r="BD875" s="332"/>
    </row>
    <row r="876" spans="9:56" ht="13">
      <c r="I876" s="116"/>
      <c r="J876" s="116"/>
      <c r="K876" s="116"/>
      <c r="L876" s="116"/>
      <c r="M876" s="116"/>
      <c r="N876" s="116"/>
      <c r="AB876" s="332"/>
      <c r="AQ876" s="336"/>
      <c r="AR876" s="336"/>
      <c r="AS876" s="336"/>
      <c r="BD876" s="332"/>
    </row>
    <row r="877" spans="9:56" ht="13">
      <c r="I877" s="116"/>
      <c r="J877" s="116"/>
      <c r="K877" s="116"/>
      <c r="L877" s="116"/>
      <c r="M877" s="116"/>
      <c r="N877" s="116"/>
      <c r="AB877" s="332"/>
      <c r="AQ877" s="336"/>
      <c r="AR877" s="336"/>
      <c r="AS877" s="336"/>
      <c r="BD877" s="332"/>
    </row>
    <row r="878" spans="9:56" ht="13">
      <c r="I878" s="116"/>
      <c r="J878" s="116"/>
      <c r="K878" s="116"/>
      <c r="L878" s="116"/>
      <c r="M878" s="116"/>
      <c r="N878" s="116"/>
      <c r="AB878" s="332"/>
      <c r="AQ878" s="336"/>
      <c r="AR878" s="336"/>
      <c r="AS878" s="336"/>
      <c r="BD878" s="332"/>
    </row>
    <row r="879" spans="9:56" ht="13">
      <c r="I879" s="116"/>
      <c r="J879" s="116"/>
      <c r="K879" s="116"/>
      <c r="L879" s="116"/>
      <c r="M879" s="116"/>
      <c r="N879" s="116"/>
      <c r="AB879" s="332"/>
      <c r="AQ879" s="336"/>
      <c r="AR879" s="336"/>
      <c r="AS879" s="336"/>
      <c r="BD879" s="332"/>
    </row>
    <row r="880" spans="9:56" ht="13">
      <c r="I880" s="116"/>
      <c r="J880" s="116"/>
      <c r="K880" s="116"/>
      <c r="L880" s="116"/>
      <c r="M880" s="116"/>
      <c r="N880" s="116"/>
      <c r="AB880" s="332"/>
      <c r="AQ880" s="336"/>
      <c r="AR880" s="336"/>
      <c r="AS880" s="336"/>
      <c r="BD880" s="332"/>
    </row>
    <row r="881" spans="9:56" ht="13">
      <c r="I881" s="116"/>
      <c r="J881" s="116"/>
      <c r="K881" s="116"/>
      <c r="L881" s="116"/>
      <c r="M881" s="116"/>
      <c r="N881" s="116"/>
      <c r="AB881" s="332"/>
      <c r="AQ881" s="336"/>
      <c r="AR881" s="336"/>
      <c r="AS881" s="336"/>
      <c r="BD881" s="332"/>
    </row>
    <row r="882" spans="9:56" ht="13">
      <c r="I882" s="116"/>
      <c r="J882" s="116"/>
      <c r="K882" s="116"/>
      <c r="L882" s="116"/>
      <c r="M882" s="116"/>
      <c r="N882" s="116"/>
      <c r="AB882" s="332"/>
      <c r="AQ882" s="336"/>
      <c r="AR882" s="336"/>
      <c r="AS882" s="336"/>
      <c r="BD882" s="332"/>
    </row>
    <row r="883" spans="9:56" ht="13">
      <c r="I883" s="116"/>
      <c r="J883" s="116"/>
      <c r="K883" s="116"/>
      <c r="L883" s="116"/>
      <c r="M883" s="116"/>
      <c r="N883" s="116"/>
      <c r="AB883" s="332"/>
      <c r="AQ883" s="336"/>
      <c r="AR883" s="336"/>
      <c r="AS883" s="336"/>
      <c r="BD883" s="332"/>
    </row>
    <row r="884" spans="9:56" ht="13">
      <c r="I884" s="116"/>
      <c r="J884" s="116"/>
      <c r="K884" s="116"/>
      <c r="L884" s="116"/>
      <c r="M884" s="116"/>
      <c r="N884" s="116"/>
      <c r="AB884" s="332"/>
      <c r="AQ884" s="336"/>
      <c r="AR884" s="336"/>
      <c r="AS884" s="336"/>
      <c r="BD884" s="332"/>
    </row>
    <row r="885" spans="9:56" ht="13">
      <c r="I885" s="116"/>
      <c r="J885" s="116"/>
      <c r="K885" s="116"/>
      <c r="L885" s="116"/>
      <c r="M885" s="116"/>
      <c r="N885" s="116"/>
      <c r="AB885" s="332"/>
      <c r="AQ885" s="336"/>
      <c r="AR885" s="336"/>
      <c r="AS885" s="336"/>
      <c r="BD885" s="332"/>
    </row>
    <row r="886" spans="9:56" ht="13">
      <c r="I886" s="116"/>
      <c r="J886" s="116"/>
      <c r="K886" s="116"/>
      <c r="L886" s="116"/>
      <c r="M886" s="116"/>
      <c r="N886" s="116"/>
      <c r="AB886" s="332"/>
      <c r="AQ886" s="336"/>
      <c r="AR886" s="336"/>
      <c r="AS886" s="336"/>
      <c r="BD886" s="332"/>
    </row>
    <row r="887" spans="9:56" ht="13">
      <c r="I887" s="116"/>
      <c r="J887" s="116"/>
      <c r="K887" s="116"/>
      <c r="L887" s="116"/>
      <c r="M887" s="116"/>
      <c r="N887" s="116"/>
      <c r="AB887" s="332"/>
      <c r="AQ887" s="336"/>
      <c r="AR887" s="336"/>
      <c r="AS887" s="336"/>
      <c r="BD887" s="332"/>
    </row>
    <row r="888" spans="9:56" ht="13">
      <c r="I888" s="116"/>
      <c r="J888" s="116"/>
      <c r="K888" s="116"/>
      <c r="L888" s="116"/>
      <c r="M888" s="116"/>
      <c r="N888" s="116"/>
      <c r="AB888" s="332"/>
      <c r="AQ888" s="336"/>
      <c r="AR888" s="336"/>
      <c r="AS888" s="336"/>
      <c r="BD888" s="332"/>
    </row>
    <row r="889" spans="9:56" ht="13">
      <c r="I889" s="116"/>
      <c r="J889" s="116"/>
      <c r="K889" s="116"/>
      <c r="L889" s="116"/>
      <c r="M889" s="116"/>
      <c r="N889" s="116"/>
      <c r="AB889" s="332"/>
      <c r="AQ889" s="336"/>
      <c r="AR889" s="336"/>
      <c r="AS889" s="336"/>
      <c r="BD889" s="332"/>
    </row>
    <row r="890" spans="9:56" ht="13">
      <c r="I890" s="116"/>
      <c r="J890" s="116"/>
      <c r="K890" s="116"/>
      <c r="L890" s="116"/>
      <c r="M890" s="116"/>
      <c r="N890" s="116"/>
      <c r="AB890" s="332"/>
      <c r="AQ890" s="336"/>
      <c r="AR890" s="336"/>
      <c r="AS890" s="336"/>
      <c r="BD890" s="332"/>
    </row>
    <row r="891" spans="9:56" ht="13">
      <c r="I891" s="116"/>
      <c r="J891" s="116"/>
      <c r="K891" s="116"/>
      <c r="L891" s="116"/>
      <c r="M891" s="116"/>
      <c r="N891" s="116"/>
      <c r="AB891" s="332"/>
      <c r="AQ891" s="336"/>
      <c r="AR891" s="336"/>
      <c r="AS891" s="336"/>
      <c r="BD891" s="332"/>
    </row>
    <row r="892" spans="9:56" ht="13">
      <c r="I892" s="116"/>
      <c r="J892" s="116"/>
      <c r="K892" s="116"/>
      <c r="L892" s="116"/>
      <c r="M892" s="116"/>
      <c r="N892" s="116"/>
      <c r="AB892" s="332"/>
      <c r="AQ892" s="336"/>
      <c r="AR892" s="336"/>
      <c r="AS892" s="336"/>
      <c r="BD892" s="332"/>
    </row>
    <row r="893" spans="9:56" ht="13">
      <c r="I893" s="116"/>
      <c r="J893" s="116"/>
      <c r="K893" s="116"/>
      <c r="L893" s="116"/>
      <c r="M893" s="116"/>
      <c r="N893" s="116"/>
      <c r="AB893" s="332"/>
      <c r="AQ893" s="336"/>
      <c r="AR893" s="336"/>
      <c r="AS893" s="336"/>
      <c r="BD893" s="332"/>
    </row>
    <row r="894" spans="9:56" ht="13">
      <c r="I894" s="116"/>
      <c r="J894" s="116"/>
      <c r="K894" s="116"/>
      <c r="L894" s="116"/>
      <c r="M894" s="116"/>
      <c r="N894" s="116"/>
      <c r="AB894" s="332"/>
      <c r="AQ894" s="336"/>
      <c r="AR894" s="336"/>
      <c r="AS894" s="336"/>
      <c r="BD894" s="332"/>
    </row>
    <row r="895" spans="9:56" ht="13">
      <c r="I895" s="116"/>
      <c r="J895" s="116"/>
      <c r="K895" s="116"/>
      <c r="L895" s="116"/>
      <c r="M895" s="116"/>
      <c r="N895" s="116"/>
      <c r="AB895" s="332"/>
      <c r="AQ895" s="336"/>
      <c r="AR895" s="336"/>
      <c r="AS895" s="336"/>
      <c r="BD895" s="332"/>
    </row>
    <row r="896" spans="9:56" ht="13">
      <c r="I896" s="116"/>
      <c r="J896" s="116"/>
      <c r="K896" s="116"/>
      <c r="L896" s="116"/>
      <c r="M896" s="116"/>
      <c r="N896" s="116"/>
      <c r="AB896" s="332"/>
      <c r="AQ896" s="336"/>
      <c r="AR896" s="336"/>
      <c r="AS896" s="336"/>
      <c r="BD896" s="332"/>
    </row>
    <row r="897" spans="9:56" ht="13">
      <c r="I897" s="116"/>
      <c r="J897" s="116"/>
      <c r="K897" s="116"/>
      <c r="L897" s="116"/>
      <c r="M897" s="116"/>
      <c r="N897" s="116"/>
      <c r="AB897" s="332"/>
      <c r="AQ897" s="336"/>
      <c r="AR897" s="336"/>
      <c r="AS897" s="336"/>
      <c r="BD897" s="332"/>
    </row>
    <row r="898" spans="9:56" ht="13">
      <c r="I898" s="116"/>
      <c r="J898" s="116"/>
      <c r="K898" s="116"/>
      <c r="L898" s="116"/>
      <c r="M898" s="116"/>
      <c r="N898" s="116"/>
      <c r="AB898" s="332"/>
      <c r="AQ898" s="336"/>
      <c r="AR898" s="336"/>
      <c r="AS898" s="336"/>
      <c r="BD898" s="332"/>
    </row>
    <row r="899" spans="9:56" ht="13">
      <c r="I899" s="116"/>
      <c r="J899" s="116"/>
      <c r="K899" s="116"/>
      <c r="L899" s="116"/>
      <c r="M899" s="116"/>
      <c r="N899" s="116"/>
      <c r="AB899" s="332"/>
      <c r="AQ899" s="336"/>
      <c r="AR899" s="336"/>
      <c r="AS899" s="336"/>
      <c r="BD899" s="332"/>
    </row>
    <row r="900" spans="9:56" ht="13">
      <c r="I900" s="116"/>
      <c r="J900" s="116"/>
      <c r="K900" s="116"/>
      <c r="L900" s="116"/>
      <c r="M900" s="116"/>
      <c r="N900" s="116"/>
      <c r="AB900" s="332"/>
      <c r="AQ900" s="336"/>
      <c r="AR900" s="336"/>
      <c r="AS900" s="336"/>
      <c r="BD900" s="332"/>
    </row>
    <row r="901" spans="9:56" ht="13">
      <c r="I901" s="116"/>
      <c r="J901" s="116"/>
      <c r="K901" s="116"/>
      <c r="L901" s="116"/>
      <c r="M901" s="116"/>
      <c r="N901" s="116"/>
      <c r="AB901" s="332"/>
      <c r="AQ901" s="336"/>
      <c r="AR901" s="336"/>
      <c r="AS901" s="336"/>
      <c r="BD901" s="332"/>
    </row>
    <row r="902" spans="9:56" ht="13">
      <c r="I902" s="116"/>
      <c r="J902" s="116"/>
      <c r="K902" s="116"/>
      <c r="L902" s="116"/>
      <c r="M902" s="116"/>
      <c r="N902" s="116"/>
      <c r="AB902" s="332"/>
      <c r="AQ902" s="336"/>
      <c r="AR902" s="336"/>
      <c r="AS902" s="336"/>
      <c r="BD902" s="332"/>
    </row>
    <row r="903" spans="9:56" ht="13">
      <c r="I903" s="116"/>
      <c r="J903" s="116"/>
      <c r="K903" s="116"/>
      <c r="L903" s="116"/>
      <c r="M903" s="116"/>
      <c r="N903" s="116"/>
      <c r="AB903" s="332"/>
      <c r="AQ903" s="336"/>
      <c r="AR903" s="336"/>
      <c r="AS903" s="336"/>
      <c r="BD903" s="332"/>
    </row>
    <row r="904" spans="9:56" ht="13">
      <c r="I904" s="116"/>
      <c r="J904" s="116"/>
      <c r="K904" s="116"/>
      <c r="L904" s="116"/>
      <c r="M904" s="116"/>
      <c r="N904" s="116"/>
      <c r="AB904" s="332"/>
      <c r="AQ904" s="336"/>
      <c r="AR904" s="336"/>
      <c r="AS904" s="336"/>
      <c r="BD904" s="332"/>
    </row>
    <row r="905" spans="9:56" ht="13">
      <c r="I905" s="116"/>
      <c r="J905" s="116"/>
      <c r="K905" s="116"/>
      <c r="L905" s="116"/>
      <c r="M905" s="116"/>
      <c r="N905" s="116"/>
      <c r="AB905" s="332"/>
      <c r="AQ905" s="336"/>
      <c r="AR905" s="336"/>
      <c r="AS905" s="336"/>
      <c r="BD905" s="332"/>
    </row>
    <row r="906" spans="9:56" ht="13">
      <c r="I906" s="116"/>
      <c r="J906" s="116"/>
      <c r="K906" s="116"/>
      <c r="L906" s="116"/>
      <c r="M906" s="116"/>
      <c r="N906" s="116"/>
      <c r="AB906" s="332"/>
      <c r="AQ906" s="336"/>
      <c r="AR906" s="336"/>
      <c r="AS906" s="336"/>
      <c r="BD906" s="332"/>
    </row>
    <row r="907" spans="9:56" ht="13">
      <c r="I907" s="116"/>
      <c r="J907" s="116"/>
      <c r="K907" s="116"/>
      <c r="L907" s="116"/>
      <c r="M907" s="116"/>
      <c r="N907" s="116"/>
      <c r="AB907" s="332"/>
      <c r="AQ907" s="336"/>
      <c r="AR907" s="336"/>
      <c r="AS907" s="336"/>
      <c r="BD907" s="332"/>
    </row>
    <row r="908" spans="9:56" ht="13">
      <c r="I908" s="116"/>
      <c r="J908" s="116"/>
      <c r="K908" s="116"/>
      <c r="L908" s="116"/>
      <c r="M908" s="116"/>
      <c r="N908" s="116"/>
      <c r="AB908" s="332"/>
      <c r="AQ908" s="336"/>
      <c r="AR908" s="336"/>
      <c r="AS908" s="336"/>
      <c r="BD908" s="332"/>
    </row>
    <row r="909" spans="9:56" ht="13">
      <c r="I909" s="116"/>
      <c r="J909" s="116"/>
      <c r="K909" s="116"/>
      <c r="L909" s="116"/>
      <c r="M909" s="116"/>
      <c r="N909" s="116"/>
      <c r="AB909" s="332"/>
      <c r="AQ909" s="336"/>
      <c r="AR909" s="336"/>
      <c r="AS909" s="336"/>
      <c r="BD909" s="332"/>
    </row>
    <row r="910" spans="9:56" ht="13">
      <c r="I910" s="116"/>
      <c r="J910" s="116"/>
      <c r="K910" s="116"/>
      <c r="L910" s="116"/>
      <c r="M910" s="116"/>
      <c r="N910" s="116"/>
      <c r="AB910" s="332"/>
      <c r="AQ910" s="336"/>
      <c r="AR910" s="336"/>
      <c r="AS910" s="336"/>
      <c r="BD910" s="332"/>
    </row>
    <row r="911" spans="9:56" ht="13">
      <c r="I911" s="116"/>
      <c r="J911" s="116"/>
      <c r="K911" s="116"/>
      <c r="L911" s="116"/>
      <c r="M911" s="116"/>
      <c r="N911" s="116"/>
      <c r="AB911" s="332"/>
      <c r="AQ911" s="336"/>
      <c r="AR911" s="336"/>
      <c r="AS911" s="336"/>
      <c r="BD911" s="332"/>
    </row>
    <row r="912" spans="9:56" ht="13">
      <c r="I912" s="116"/>
      <c r="J912" s="116"/>
      <c r="K912" s="116"/>
      <c r="L912" s="116"/>
      <c r="M912" s="116"/>
      <c r="N912" s="116"/>
      <c r="AB912" s="332"/>
      <c r="AQ912" s="336"/>
      <c r="AR912" s="336"/>
      <c r="AS912" s="336"/>
      <c r="BD912" s="332"/>
    </row>
    <row r="913" spans="9:56" ht="13">
      <c r="I913" s="116"/>
      <c r="J913" s="116"/>
      <c r="K913" s="116"/>
      <c r="L913" s="116"/>
      <c r="M913" s="116"/>
      <c r="N913" s="116"/>
      <c r="AB913" s="332"/>
      <c r="AQ913" s="336"/>
      <c r="AR913" s="336"/>
      <c r="AS913" s="336"/>
      <c r="BD913" s="332"/>
    </row>
    <row r="914" spans="9:56" ht="13">
      <c r="I914" s="116"/>
      <c r="J914" s="116"/>
      <c r="K914" s="116"/>
      <c r="L914" s="116"/>
      <c r="M914" s="116"/>
      <c r="N914" s="116"/>
      <c r="AB914" s="332"/>
      <c r="AQ914" s="336"/>
      <c r="AR914" s="336"/>
      <c r="AS914" s="336"/>
      <c r="BD914" s="332"/>
    </row>
    <row r="915" spans="9:56" ht="13">
      <c r="I915" s="116"/>
      <c r="J915" s="116"/>
      <c r="K915" s="116"/>
      <c r="L915" s="116"/>
      <c r="M915" s="116"/>
      <c r="N915" s="116"/>
      <c r="AB915" s="332"/>
      <c r="AQ915" s="336"/>
      <c r="AR915" s="336"/>
      <c r="AS915" s="336"/>
      <c r="BD915" s="332"/>
    </row>
    <row r="916" spans="9:56" ht="13">
      <c r="I916" s="116"/>
      <c r="J916" s="116"/>
      <c r="K916" s="116"/>
      <c r="L916" s="116"/>
      <c r="M916" s="116"/>
      <c r="N916" s="116"/>
      <c r="AB916" s="332"/>
      <c r="AQ916" s="336"/>
      <c r="AR916" s="336"/>
      <c r="AS916" s="336"/>
      <c r="BD916" s="332"/>
    </row>
    <row r="917" spans="9:56" ht="13">
      <c r="I917" s="116"/>
      <c r="J917" s="116"/>
      <c r="K917" s="116"/>
      <c r="L917" s="116"/>
      <c r="M917" s="116"/>
      <c r="N917" s="116"/>
      <c r="AB917" s="332"/>
      <c r="AQ917" s="336"/>
      <c r="AR917" s="336"/>
      <c r="AS917" s="336"/>
      <c r="BD917" s="332"/>
    </row>
    <row r="918" spans="9:56" ht="13">
      <c r="I918" s="116"/>
      <c r="J918" s="116"/>
      <c r="K918" s="116"/>
      <c r="L918" s="116"/>
      <c r="M918" s="116"/>
      <c r="N918" s="116"/>
      <c r="AB918" s="332"/>
      <c r="AQ918" s="336"/>
      <c r="AR918" s="336"/>
      <c r="AS918" s="336"/>
      <c r="BD918" s="332"/>
    </row>
    <row r="919" spans="9:56" ht="13">
      <c r="I919" s="116"/>
      <c r="J919" s="116"/>
      <c r="K919" s="116"/>
      <c r="L919" s="116"/>
      <c r="M919" s="116"/>
      <c r="N919" s="116"/>
      <c r="AB919" s="332"/>
      <c r="AQ919" s="336"/>
      <c r="AR919" s="336"/>
      <c r="AS919" s="336"/>
      <c r="BD919" s="332"/>
    </row>
    <row r="920" spans="9:56" ht="13">
      <c r="I920" s="116"/>
      <c r="J920" s="116"/>
      <c r="K920" s="116"/>
      <c r="L920" s="116"/>
      <c r="M920" s="116"/>
      <c r="N920" s="116"/>
      <c r="AB920" s="332"/>
      <c r="AQ920" s="336"/>
      <c r="AR920" s="336"/>
      <c r="AS920" s="336"/>
      <c r="BD920" s="332"/>
    </row>
    <row r="921" spans="9:56" ht="13">
      <c r="I921" s="116"/>
      <c r="J921" s="116"/>
      <c r="K921" s="116"/>
      <c r="L921" s="116"/>
      <c r="M921" s="116"/>
      <c r="N921" s="116"/>
      <c r="AB921" s="332"/>
      <c r="AQ921" s="336"/>
      <c r="AR921" s="336"/>
      <c r="AS921" s="336"/>
      <c r="BD921" s="332"/>
    </row>
    <row r="922" spans="9:56" ht="13">
      <c r="I922" s="116"/>
      <c r="J922" s="116"/>
      <c r="K922" s="116"/>
      <c r="L922" s="116"/>
      <c r="M922" s="116"/>
      <c r="N922" s="116"/>
      <c r="AB922" s="332"/>
      <c r="AQ922" s="336"/>
      <c r="AR922" s="336"/>
      <c r="AS922" s="336"/>
      <c r="BD922" s="332"/>
    </row>
    <row r="923" spans="9:56" ht="13">
      <c r="I923" s="116"/>
      <c r="J923" s="116"/>
      <c r="K923" s="116"/>
      <c r="L923" s="116"/>
      <c r="M923" s="116"/>
      <c r="N923" s="116"/>
      <c r="AB923" s="332"/>
      <c r="AQ923" s="336"/>
      <c r="AR923" s="336"/>
      <c r="AS923" s="336"/>
      <c r="BD923" s="332"/>
    </row>
    <row r="924" spans="9:56" ht="13">
      <c r="I924" s="116"/>
      <c r="J924" s="116"/>
      <c r="K924" s="116"/>
      <c r="L924" s="116"/>
      <c r="M924" s="116"/>
      <c r="N924" s="116"/>
      <c r="AB924" s="332"/>
      <c r="AQ924" s="336"/>
      <c r="AR924" s="336"/>
      <c r="AS924" s="336"/>
      <c r="BD924" s="332"/>
    </row>
    <row r="925" spans="9:56" ht="13">
      <c r="I925" s="116"/>
      <c r="J925" s="116"/>
      <c r="K925" s="116"/>
      <c r="L925" s="116"/>
      <c r="M925" s="116"/>
      <c r="N925" s="116"/>
      <c r="AB925" s="332"/>
      <c r="AQ925" s="336"/>
      <c r="AR925" s="336"/>
      <c r="AS925" s="336"/>
      <c r="BD925" s="332"/>
    </row>
    <row r="926" spans="9:56" ht="13">
      <c r="I926" s="116"/>
      <c r="J926" s="116"/>
      <c r="K926" s="116"/>
      <c r="L926" s="116"/>
      <c r="M926" s="116"/>
      <c r="N926" s="116"/>
      <c r="AB926" s="332"/>
      <c r="AQ926" s="336"/>
      <c r="AR926" s="336"/>
      <c r="AS926" s="336"/>
      <c r="BD926" s="332"/>
    </row>
    <row r="927" spans="9:56" ht="13">
      <c r="I927" s="116"/>
      <c r="J927" s="116"/>
      <c r="K927" s="116"/>
      <c r="L927" s="116"/>
      <c r="M927" s="116"/>
      <c r="N927" s="116"/>
      <c r="AB927" s="332"/>
      <c r="AQ927" s="336"/>
      <c r="AR927" s="336"/>
      <c r="AS927" s="336"/>
      <c r="BD927" s="332"/>
    </row>
    <row r="928" spans="9:56" ht="13">
      <c r="I928" s="116"/>
      <c r="J928" s="116"/>
      <c r="K928" s="116"/>
      <c r="L928" s="116"/>
      <c r="M928" s="116"/>
      <c r="N928" s="116"/>
      <c r="AB928" s="332"/>
      <c r="AQ928" s="336"/>
      <c r="AR928" s="336"/>
      <c r="AS928" s="336"/>
      <c r="BD928" s="332"/>
    </row>
    <row r="929" spans="9:56" ht="13">
      <c r="I929" s="116"/>
      <c r="J929" s="116"/>
      <c r="K929" s="116"/>
      <c r="L929" s="116"/>
      <c r="M929" s="116"/>
      <c r="N929" s="116"/>
      <c r="AB929" s="332"/>
      <c r="AQ929" s="336"/>
      <c r="AR929" s="336"/>
      <c r="AS929" s="336"/>
      <c r="BD929" s="332"/>
    </row>
    <row r="930" spans="9:56" ht="13">
      <c r="I930" s="116"/>
      <c r="J930" s="116"/>
      <c r="K930" s="116"/>
      <c r="L930" s="116"/>
      <c r="M930" s="116"/>
      <c r="N930" s="116"/>
      <c r="AB930" s="332"/>
      <c r="AQ930" s="336"/>
      <c r="AR930" s="336"/>
      <c r="AS930" s="336"/>
      <c r="BD930" s="332"/>
    </row>
    <row r="931" spans="9:56" ht="13">
      <c r="I931" s="116"/>
      <c r="J931" s="116"/>
      <c r="K931" s="116"/>
      <c r="L931" s="116"/>
      <c r="M931" s="116"/>
      <c r="N931" s="116"/>
      <c r="AB931" s="332"/>
      <c r="AQ931" s="336"/>
      <c r="AR931" s="336"/>
      <c r="AS931" s="336"/>
      <c r="BD931" s="332"/>
    </row>
    <row r="932" spans="9:56" ht="13">
      <c r="I932" s="116"/>
      <c r="J932" s="116"/>
      <c r="K932" s="116"/>
      <c r="L932" s="116"/>
      <c r="M932" s="116"/>
      <c r="N932" s="116"/>
      <c r="AB932" s="332"/>
      <c r="AQ932" s="336"/>
      <c r="AR932" s="336"/>
      <c r="AS932" s="336"/>
      <c r="BD932" s="332"/>
    </row>
    <row r="933" spans="9:56" ht="13">
      <c r="I933" s="116"/>
      <c r="J933" s="116"/>
      <c r="K933" s="116"/>
      <c r="L933" s="116"/>
      <c r="M933" s="116"/>
      <c r="N933" s="116"/>
      <c r="AB933" s="332"/>
      <c r="AQ933" s="336"/>
      <c r="AR933" s="336"/>
      <c r="AS933" s="336"/>
      <c r="BD933" s="332"/>
    </row>
    <row r="934" spans="9:56" ht="13">
      <c r="I934" s="116"/>
      <c r="J934" s="116"/>
      <c r="K934" s="116"/>
      <c r="L934" s="116"/>
      <c r="M934" s="116"/>
      <c r="N934" s="116"/>
      <c r="AB934" s="332"/>
      <c r="AQ934" s="336"/>
      <c r="AR934" s="336"/>
      <c r="AS934" s="336"/>
      <c r="BD934" s="332"/>
    </row>
    <row r="935" spans="9:56" ht="13">
      <c r="I935" s="116"/>
      <c r="J935" s="116"/>
      <c r="K935" s="116"/>
      <c r="L935" s="116"/>
      <c r="M935" s="116"/>
      <c r="N935" s="116"/>
      <c r="AB935" s="332"/>
      <c r="AQ935" s="336"/>
      <c r="AR935" s="336"/>
      <c r="AS935" s="336"/>
      <c r="BD935" s="332"/>
    </row>
    <row r="936" spans="9:56" ht="13">
      <c r="I936" s="116"/>
      <c r="J936" s="116"/>
      <c r="K936" s="116"/>
      <c r="L936" s="116"/>
      <c r="M936" s="116"/>
      <c r="N936" s="116"/>
      <c r="AB936" s="332"/>
      <c r="AQ936" s="336"/>
      <c r="AR936" s="336"/>
      <c r="AS936" s="336"/>
      <c r="BD936" s="332"/>
    </row>
    <row r="937" spans="9:56" ht="13">
      <c r="I937" s="116"/>
      <c r="J937" s="116"/>
      <c r="K937" s="116"/>
      <c r="L937" s="116"/>
      <c r="M937" s="116"/>
      <c r="N937" s="116"/>
      <c r="AB937" s="332"/>
      <c r="AQ937" s="336"/>
      <c r="AR937" s="336"/>
      <c r="AS937" s="336"/>
      <c r="BD937" s="332"/>
    </row>
    <row r="938" spans="9:56" ht="13">
      <c r="I938" s="116"/>
      <c r="J938" s="116"/>
      <c r="K938" s="116"/>
      <c r="L938" s="116"/>
      <c r="M938" s="116"/>
      <c r="N938" s="116"/>
      <c r="AB938" s="332"/>
      <c r="AQ938" s="336"/>
      <c r="AR938" s="336"/>
      <c r="AS938" s="336"/>
      <c r="BD938" s="332"/>
    </row>
    <row r="939" spans="9:56" ht="13">
      <c r="I939" s="116"/>
      <c r="J939" s="116"/>
      <c r="K939" s="116"/>
      <c r="L939" s="116"/>
      <c r="M939" s="116"/>
      <c r="N939" s="116"/>
      <c r="AB939" s="332"/>
      <c r="AQ939" s="336"/>
      <c r="AR939" s="336"/>
      <c r="AS939" s="336"/>
      <c r="BD939" s="332"/>
    </row>
    <row r="940" spans="9:56" ht="13">
      <c r="I940" s="116"/>
      <c r="J940" s="116"/>
      <c r="K940" s="116"/>
      <c r="L940" s="116"/>
      <c r="M940" s="116"/>
      <c r="N940" s="116"/>
      <c r="AB940" s="332"/>
      <c r="AQ940" s="336"/>
      <c r="AR940" s="336"/>
      <c r="AS940" s="336"/>
      <c r="BD940" s="332"/>
    </row>
    <row r="941" spans="9:56" ht="13">
      <c r="I941" s="116"/>
      <c r="J941" s="116"/>
      <c r="K941" s="116"/>
      <c r="L941" s="116"/>
      <c r="M941" s="116"/>
      <c r="N941" s="116"/>
      <c r="AB941" s="332"/>
      <c r="AQ941" s="336"/>
      <c r="AR941" s="336"/>
      <c r="AS941" s="336"/>
      <c r="BD941" s="332"/>
    </row>
    <row r="942" spans="9:56" ht="13">
      <c r="I942" s="116"/>
      <c r="J942" s="116"/>
      <c r="K942" s="116"/>
      <c r="L942" s="116"/>
      <c r="M942" s="116"/>
      <c r="N942" s="116"/>
      <c r="AB942" s="332"/>
      <c r="AQ942" s="336"/>
      <c r="AR942" s="336"/>
      <c r="AS942" s="336"/>
      <c r="BD942" s="332"/>
    </row>
    <row r="943" spans="9:56" ht="13">
      <c r="I943" s="116"/>
      <c r="J943" s="116"/>
      <c r="K943" s="116"/>
      <c r="L943" s="116"/>
      <c r="M943" s="116"/>
      <c r="N943" s="116"/>
      <c r="AB943" s="332"/>
      <c r="AQ943" s="336"/>
      <c r="AR943" s="336"/>
      <c r="AS943" s="336"/>
      <c r="BD943" s="332"/>
    </row>
    <row r="944" spans="9:56" ht="13">
      <c r="I944" s="116"/>
      <c r="J944" s="116"/>
      <c r="K944" s="116"/>
      <c r="L944" s="116"/>
      <c r="M944" s="116"/>
      <c r="N944" s="116"/>
      <c r="AB944" s="332"/>
      <c r="AQ944" s="336"/>
      <c r="AR944" s="336"/>
      <c r="AS944" s="336"/>
      <c r="BD944" s="332"/>
    </row>
    <row r="945" spans="9:56" ht="13">
      <c r="I945" s="116"/>
      <c r="J945" s="116"/>
      <c r="K945" s="116"/>
      <c r="L945" s="116"/>
      <c r="M945" s="116"/>
      <c r="N945" s="116"/>
      <c r="AB945" s="332"/>
      <c r="AQ945" s="336"/>
      <c r="AR945" s="336"/>
      <c r="AS945" s="336"/>
      <c r="BD945" s="332"/>
    </row>
    <row r="946" spans="9:56" ht="13">
      <c r="I946" s="116"/>
      <c r="J946" s="116"/>
      <c r="K946" s="116"/>
      <c r="L946" s="116"/>
      <c r="M946" s="116"/>
      <c r="N946" s="116"/>
      <c r="AB946" s="332"/>
      <c r="AQ946" s="336"/>
      <c r="AR946" s="336"/>
      <c r="AS946" s="336"/>
      <c r="BD946" s="332"/>
    </row>
    <row r="947" spans="9:56" ht="13">
      <c r="I947" s="116"/>
      <c r="J947" s="116"/>
      <c r="K947" s="116"/>
      <c r="L947" s="116"/>
      <c r="M947" s="116"/>
      <c r="N947" s="116"/>
      <c r="AB947" s="332"/>
      <c r="AQ947" s="336"/>
      <c r="AR947" s="336"/>
      <c r="AS947" s="336"/>
      <c r="BD947" s="332"/>
    </row>
    <row r="948" spans="9:56" ht="13">
      <c r="I948" s="116"/>
      <c r="J948" s="116"/>
      <c r="K948" s="116"/>
      <c r="L948" s="116"/>
      <c r="M948" s="116"/>
      <c r="N948" s="116"/>
      <c r="AB948" s="332"/>
      <c r="AQ948" s="336"/>
      <c r="AR948" s="336"/>
      <c r="AS948" s="336"/>
      <c r="BD948" s="332"/>
    </row>
    <row r="949" spans="9:56" ht="13">
      <c r="I949" s="116"/>
      <c r="J949" s="116"/>
      <c r="K949" s="116"/>
      <c r="L949" s="116"/>
      <c r="M949" s="116"/>
      <c r="N949" s="116"/>
      <c r="AB949" s="332"/>
      <c r="AQ949" s="336"/>
      <c r="AR949" s="336"/>
      <c r="AS949" s="336"/>
      <c r="BD949" s="332"/>
    </row>
    <row r="950" spans="9:56" ht="13">
      <c r="I950" s="116"/>
      <c r="J950" s="116"/>
      <c r="K950" s="116"/>
      <c r="L950" s="116"/>
      <c r="M950" s="116"/>
      <c r="N950" s="116"/>
      <c r="AB950" s="332"/>
      <c r="AQ950" s="336"/>
      <c r="AR950" s="336"/>
      <c r="AS950" s="336"/>
      <c r="BD950" s="332"/>
    </row>
    <row r="951" spans="9:56" ht="13">
      <c r="I951" s="116"/>
      <c r="J951" s="116"/>
      <c r="K951" s="116"/>
      <c r="L951" s="116"/>
      <c r="M951" s="116"/>
      <c r="N951" s="116"/>
      <c r="AB951" s="332"/>
      <c r="AQ951" s="336"/>
      <c r="AR951" s="336"/>
      <c r="AS951" s="336"/>
      <c r="BD951" s="332"/>
    </row>
    <row r="952" spans="9:56" ht="13">
      <c r="I952" s="116"/>
      <c r="J952" s="116"/>
      <c r="K952" s="116"/>
      <c r="L952" s="116"/>
      <c r="M952" s="116"/>
      <c r="N952" s="116"/>
      <c r="AB952" s="332"/>
      <c r="AQ952" s="336"/>
      <c r="AR952" s="336"/>
      <c r="AS952" s="336"/>
      <c r="BD952" s="332"/>
    </row>
    <row r="953" spans="9:56" ht="13">
      <c r="I953" s="116"/>
      <c r="J953" s="116"/>
      <c r="K953" s="116"/>
      <c r="L953" s="116"/>
      <c r="M953" s="116"/>
      <c r="N953" s="116"/>
      <c r="AB953" s="332"/>
      <c r="AQ953" s="336"/>
      <c r="AR953" s="336"/>
      <c r="AS953" s="336"/>
      <c r="BD953" s="332"/>
    </row>
    <row r="954" spans="9:56" ht="13">
      <c r="I954" s="116"/>
      <c r="J954" s="116"/>
      <c r="K954" s="116"/>
      <c r="L954" s="116"/>
      <c r="M954" s="116"/>
      <c r="N954" s="116"/>
      <c r="AB954" s="332"/>
      <c r="AQ954" s="336"/>
      <c r="AR954" s="336"/>
      <c r="AS954" s="336"/>
      <c r="BD954" s="332"/>
    </row>
    <row r="955" spans="9:56" ht="13">
      <c r="I955" s="116"/>
      <c r="J955" s="116"/>
      <c r="K955" s="116"/>
      <c r="L955" s="116"/>
      <c r="M955" s="116"/>
      <c r="N955" s="116"/>
      <c r="AB955" s="332"/>
      <c r="AQ955" s="336"/>
      <c r="AR955" s="336"/>
      <c r="AS955" s="336"/>
      <c r="BD955" s="332"/>
    </row>
    <row r="956" spans="9:56" ht="13">
      <c r="I956" s="116"/>
      <c r="J956" s="116"/>
      <c r="K956" s="116"/>
      <c r="L956" s="116"/>
      <c r="M956" s="116"/>
      <c r="N956" s="116"/>
      <c r="AB956" s="332"/>
      <c r="AQ956" s="336"/>
      <c r="AR956" s="336"/>
      <c r="AS956" s="336"/>
      <c r="BD956" s="332"/>
    </row>
    <row r="957" spans="9:56" ht="13">
      <c r="I957" s="116"/>
      <c r="J957" s="116"/>
      <c r="K957" s="116"/>
      <c r="L957" s="116"/>
      <c r="M957" s="116"/>
      <c r="N957" s="116"/>
      <c r="AB957" s="332"/>
      <c r="AQ957" s="336"/>
      <c r="AR957" s="336"/>
      <c r="AS957" s="336"/>
      <c r="BD957" s="332"/>
    </row>
    <row r="958" spans="9:56" ht="13">
      <c r="I958" s="116"/>
      <c r="J958" s="116"/>
      <c r="K958" s="116"/>
      <c r="L958" s="116"/>
      <c r="M958" s="116"/>
      <c r="N958" s="116"/>
      <c r="AB958" s="332"/>
      <c r="AQ958" s="336"/>
      <c r="AR958" s="336"/>
      <c r="AS958" s="336"/>
      <c r="BD958" s="332"/>
    </row>
    <row r="959" spans="9:56" ht="13">
      <c r="I959" s="116"/>
      <c r="J959" s="116"/>
      <c r="K959" s="116"/>
      <c r="L959" s="116"/>
      <c r="M959" s="116"/>
      <c r="N959" s="116"/>
      <c r="AB959" s="332"/>
      <c r="AQ959" s="336"/>
      <c r="AR959" s="336"/>
      <c r="AS959" s="336"/>
      <c r="BD959" s="332"/>
    </row>
    <row r="960" spans="9:56" ht="13">
      <c r="I960" s="116"/>
      <c r="J960" s="116"/>
      <c r="K960" s="116"/>
      <c r="L960" s="116"/>
      <c r="M960" s="116"/>
      <c r="N960" s="116"/>
      <c r="AB960" s="332"/>
      <c r="AQ960" s="336"/>
      <c r="AR960" s="336"/>
      <c r="AS960" s="336"/>
      <c r="BD960" s="332"/>
    </row>
    <row r="961" spans="9:56" ht="13">
      <c r="I961" s="116"/>
      <c r="J961" s="116"/>
      <c r="K961" s="116"/>
      <c r="L961" s="116"/>
      <c r="M961" s="116"/>
      <c r="N961" s="116"/>
      <c r="AB961" s="332"/>
      <c r="AQ961" s="336"/>
      <c r="AR961" s="336"/>
      <c r="AS961" s="336"/>
      <c r="BD961" s="332"/>
    </row>
    <row r="962" spans="9:56" ht="13">
      <c r="I962" s="116"/>
      <c r="J962" s="116"/>
      <c r="K962" s="116"/>
      <c r="L962" s="116"/>
      <c r="M962" s="116"/>
      <c r="N962" s="116"/>
      <c r="AB962" s="332"/>
      <c r="AQ962" s="336"/>
      <c r="AR962" s="336"/>
      <c r="AS962" s="336"/>
      <c r="BD962" s="332"/>
    </row>
    <row r="963" spans="9:56" ht="13">
      <c r="I963" s="116"/>
      <c r="J963" s="116"/>
      <c r="K963" s="116"/>
      <c r="L963" s="116"/>
      <c r="M963" s="116"/>
      <c r="N963" s="116"/>
      <c r="AB963" s="332"/>
      <c r="AQ963" s="336"/>
      <c r="AR963" s="336"/>
      <c r="AS963" s="336"/>
      <c r="BD963" s="332"/>
    </row>
    <row r="964" spans="9:56" ht="13">
      <c r="I964" s="116"/>
      <c r="J964" s="116"/>
      <c r="K964" s="116"/>
      <c r="L964" s="116"/>
      <c r="M964" s="116"/>
      <c r="N964" s="116"/>
      <c r="AB964" s="332"/>
      <c r="AQ964" s="336"/>
      <c r="AR964" s="336"/>
      <c r="AS964" s="336"/>
      <c r="BD964" s="332"/>
    </row>
    <row r="965" spans="9:56" ht="13">
      <c r="I965" s="116"/>
      <c r="J965" s="116"/>
      <c r="K965" s="116"/>
      <c r="L965" s="116"/>
      <c r="M965" s="116"/>
      <c r="N965" s="116"/>
      <c r="AB965" s="332"/>
      <c r="AQ965" s="336"/>
      <c r="AR965" s="336"/>
      <c r="AS965" s="336"/>
      <c r="BD965" s="332"/>
    </row>
    <row r="966" spans="9:56" ht="13">
      <c r="I966" s="116"/>
      <c r="J966" s="116"/>
      <c r="K966" s="116"/>
      <c r="L966" s="116"/>
      <c r="M966" s="116"/>
      <c r="N966" s="116"/>
      <c r="AB966" s="332"/>
      <c r="AQ966" s="336"/>
      <c r="AR966" s="336"/>
      <c r="AS966" s="336"/>
      <c r="BD966" s="332"/>
    </row>
    <row r="967" spans="9:56" ht="13">
      <c r="I967" s="116"/>
      <c r="J967" s="116"/>
      <c r="K967" s="116"/>
      <c r="L967" s="116"/>
      <c r="M967" s="116"/>
      <c r="N967" s="116"/>
      <c r="AB967" s="332"/>
      <c r="AQ967" s="336"/>
      <c r="AR967" s="336"/>
      <c r="AS967" s="336"/>
      <c r="BD967" s="332"/>
    </row>
    <row r="968" spans="9:56" ht="13">
      <c r="I968" s="116"/>
      <c r="J968" s="116"/>
      <c r="K968" s="116"/>
      <c r="L968" s="116"/>
      <c r="M968" s="116"/>
      <c r="N968" s="116"/>
      <c r="AB968" s="332"/>
      <c r="AQ968" s="336"/>
      <c r="AR968" s="336"/>
      <c r="AS968" s="336"/>
      <c r="BD968" s="332"/>
    </row>
    <row r="969" spans="9:56" ht="13">
      <c r="I969" s="116"/>
      <c r="J969" s="116"/>
      <c r="K969" s="116"/>
      <c r="L969" s="116"/>
      <c r="M969" s="116"/>
      <c r="N969" s="116"/>
      <c r="AB969" s="332"/>
      <c r="AQ969" s="336"/>
      <c r="AR969" s="336"/>
      <c r="AS969" s="336"/>
      <c r="BD969" s="332"/>
    </row>
    <row r="970" spans="9:56" ht="13">
      <c r="I970" s="116"/>
      <c r="J970" s="116"/>
      <c r="K970" s="116"/>
      <c r="L970" s="116"/>
      <c r="M970" s="116"/>
      <c r="N970" s="116"/>
      <c r="AB970" s="332"/>
      <c r="AQ970" s="336"/>
      <c r="AR970" s="336"/>
      <c r="AS970" s="336"/>
      <c r="BD970" s="332"/>
    </row>
    <row r="971" spans="9:56" ht="13">
      <c r="I971" s="116"/>
      <c r="J971" s="116"/>
      <c r="K971" s="116"/>
      <c r="L971" s="116"/>
      <c r="M971" s="116"/>
      <c r="N971" s="116"/>
      <c r="AB971" s="332"/>
      <c r="AQ971" s="336"/>
      <c r="AR971" s="336"/>
      <c r="AS971" s="336"/>
      <c r="BD971" s="332"/>
    </row>
    <row r="972" spans="9:56" ht="13">
      <c r="I972" s="116"/>
      <c r="J972" s="116"/>
      <c r="K972" s="116"/>
      <c r="L972" s="116"/>
      <c r="M972" s="116"/>
      <c r="N972" s="116"/>
      <c r="AB972" s="332"/>
      <c r="AQ972" s="336"/>
      <c r="AR972" s="336"/>
      <c r="AS972" s="336"/>
      <c r="BD972" s="332"/>
    </row>
    <row r="973" spans="9:56" ht="13">
      <c r="I973" s="116"/>
      <c r="J973" s="116"/>
      <c r="K973" s="116"/>
      <c r="L973" s="116"/>
      <c r="M973" s="116"/>
      <c r="N973" s="116"/>
      <c r="AB973" s="332"/>
      <c r="AQ973" s="336"/>
      <c r="AR973" s="336"/>
      <c r="AS973" s="336"/>
      <c r="BD973" s="332"/>
    </row>
    <row r="974" spans="9:56" ht="13">
      <c r="I974" s="116"/>
      <c r="J974" s="116"/>
      <c r="K974" s="116"/>
      <c r="L974" s="116"/>
      <c r="M974" s="116"/>
      <c r="N974" s="116"/>
      <c r="AB974" s="332"/>
      <c r="AQ974" s="336"/>
      <c r="AR974" s="336"/>
      <c r="AS974" s="336"/>
      <c r="BD974" s="332"/>
    </row>
    <row r="975" spans="9:56" ht="13">
      <c r="I975" s="116"/>
      <c r="J975" s="116"/>
      <c r="K975" s="116"/>
      <c r="L975" s="116"/>
      <c r="M975" s="116"/>
      <c r="N975" s="116"/>
      <c r="AB975" s="332"/>
      <c r="AQ975" s="336"/>
      <c r="AR975" s="336"/>
      <c r="AS975" s="336"/>
      <c r="BD975" s="332"/>
    </row>
    <row r="976" spans="9:56" ht="13">
      <c r="I976" s="116"/>
      <c r="J976" s="116"/>
      <c r="K976" s="116"/>
      <c r="L976" s="116"/>
      <c r="M976" s="116"/>
      <c r="N976" s="116"/>
      <c r="AB976" s="332"/>
      <c r="AQ976" s="336"/>
      <c r="AR976" s="336"/>
      <c r="AS976" s="336"/>
      <c r="BD976" s="332"/>
    </row>
    <row r="977" spans="9:56" ht="13">
      <c r="I977" s="116"/>
      <c r="J977" s="116"/>
      <c r="K977" s="116"/>
      <c r="L977" s="116"/>
      <c r="M977" s="116"/>
      <c r="N977" s="116"/>
      <c r="AB977" s="332"/>
      <c r="AQ977" s="336"/>
      <c r="AR977" s="336"/>
      <c r="AS977" s="336"/>
      <c r="BD977" s="332"/>
    </row>
    <row r="978" spans="9:56" ht="13">
      <c r="I978" s="116"/>
      <c r="J978" s="116"/>
      <c r="K978" s="116"/>
      <c r="L978" s="116"/>
      <c r="M978" s="116"/>
      <c r="N978" s="116"/>
      <c r="AB978" s="332"/>
      <c r="AQ978" s="336"/>
      <c r="AR978" s="336"/>
      <c r="AS978" s="336"/>
      <c r="BD978" s="332"/>
    </row>
    <row r="979" spans="9:56" ht="13">
      <c r="I979" s="116"/>
      <c r="J979" s="116"/>
      <c r="K979" s="116"/>
      <c r="L979" s="116"/>
      <c r="M979" s="116"/>
      <c r="N979" s="116"/>
      <c r="AB979" s="332"/>
      <c r="AQ979" s="336"/>
      <c r="AR979" s="336"/>
      <c r="AS979" s="336"/>
      <c r="BD979" s="332"/>
    </row>
    <row r="980" spans="9:56" ht="13">
      <c r="I980" s="116"/>
      <c r="J980" s="116"/>
      <c r="K980" s="116"/>
      <c r="L980" s="116"/>
      <c r="M980" s="116"/>
      <c r="N980" s="116"/>
      <c r="AB980" s="332"/>
      <c r="AQ980" s="336"/>
      <c r="AR980" s="336"/>
      <c r="AS980" s="336"/>
      <c r="BD980" s="332"/>
    </row>
    <row r="981" spans="9:56" ht="13">
      <c r="I981" s="116"/>
      <c r="J981" s="116"/>
      <c r="K981" s="116"/>
      <c r="L981" s="116"/>
      <c r="M981" s="116"/>
      <c r="N981" s="116"/>
      <c r="AB981" s="332"/>
      <c r="AQ981" s="336"/>
      <c r="AR981" s="336"/>
      <c r="AS981" s="336"/>
      <c r="BD981" s="332"/>
    </row>
    <row r="982" spans="9:56" ht="13">
      <c r="I982" s="116"/>
      <c r="J982" s="116"/>
      <c r="K982" s="116"/>
      <c r="L982" s="116"/>
      <c r="M982" s="116"/>
      <c r="N982" s="116"/>
      <c r="AB982" s="332"/>
      <c r="AQ982" s="336"/>
      <c r="AR982" s="336"/>
      <c r="AS982" s="336"/>
      <c r="BD982" s="332"/>
    </row>
    <row r="983" spans="9:56" ht="13">
      <c r="I983" s="116"/>
      <c r="J983" s="116"/>
      <c r="K983" s="116"/>
      <c r="L983" s="116"/>
      <c r="M983" s="116"/>
      <c r="N983" s="116"/>
      <c r="AB983" s="332"/>
      <c r="AQ983" s="336"/>
      <c r="AR983" s="336"/>
      <c r="AS983" s="336"/>
      <c r="BD983" s="332"/>
    </row>
    <row r="984" spans="9:56" ht="13">
      <c r="I984" s="116"/>
      <c r="J984" s="116"/>
      <c r="K984" s="116"/>
      <c r="L984" s="116"/>
      <c r="M984" s="116"/>
      <c r="N984" s="116"/>
      <c r="AB984" s="332"/>
      <c r="AQ984" s="336"/>
      <c r="AR984" s="336"/>
      <c r="AS984" s="336"/>
      <c r="BD984" s="332"/>
    </row>
    <row r="985" spans="9:56" ht="13">
      <c r="I985" s="116"/>
      <c r="J985" s="116"/>
      <c r="K985" s="116"/>
      <c r="L985" s="116"/>
      <c r="M985" s="116"/>
      <c r="N985" s="116"/>
      <c r="AB985" s="332"/>
      <c r="AQ985" s="336"/>
      <c r="AR985" s="336"/>
      <c r="AS985" s="336"/>
      <c r="BD985" s="332"/>
    </row>
    <row r="986" spans="9:56" ht="13">
      <c r="I986" s="116"/>
      <c r="J986" s="116"/>
      <c r="K986" s="116"/>
      <c r="L986" s="116"/>
      <c r="M986" s="116"/>
      <c r="N986" s="116"/>
      <c r="AB986" s="332"/>
      <c r="AQ986" s="336"/>
      <c r="AR986" s="336"/>
      <c r="AS986" s="336"/>
      <c r="BD986" s="332"/>
    </row>
    <row r="987" spans="9:56" ht="13">
      <c r="I987" s="116"/>
      <c r="J987" s="116"/>
      <c r="K987" s="116"/>
      <c r="L987" s="116"/>
      <c r="M987" s="116"/>
      <c r="N987" s="116"/>
      <c r="AB987" s="332"/>
      <c r="AQ987" s="336"/>
      <c r="AR987" s="336"/>
      <c r="AS987" s="336"/>
      <c r="BD987" s="332"/>
    </row>
    <row r="988" spans="9:56" ht="13">
      <c r="I988" s="116"/>
      <c r="J988" s="116"/>
      <c r="K988" s="116"/>
      <c r="L988" s="116"/>
      <c r="M988" s="116"/>
      <c r="N988" s="116"/>
      <c r="AB988" s="332"/>
      <c r="AQ988" s="336"/>
      <c r="AR988" s="336"/>
      <c r="AS988" s="336"/>
      <c r="BD988" s="332"/>
    </row>
    <row r="989" spans="9:56" ht="13">
      <c r="I989" s="116"/>
      <c r="J989" s="116"/>
      <c r="K989" s="116"/>
      <c r="L989" s="116"/>
      <c r="M989" s="116"/>
      <c r="N989" s="116"/>
      <c r="AB989" s="332"/>
      <c r="AQ989" s="336"/>
      <c r="AR989" s="336"/>
      <c r="AS989" s="336"/>
      <c r="BD989" s="332"/>
    </row>
    <row r="990" spans="9:56" ht="13">
      <c r="I990" s="116"/>
      <c r="J990" s="116"/>
      <c r="K990" s="116"/>
      <c r="L990" s="116"/>
      <c r="M990" s="116"/>
      <c r="N990" s="116"/>
      <c r="AB990" s="332"/>
      <c r="AQ990" s="336"/>
      <c r="AR990" s="336"/>
      <c r="AS990" s="336"/>
      <c r="BD990" s="332"/>
    </row>
    <row r="991" spans="9:56" ht="13">
      <c r="I991" s="116"/>
      <c r="J991" s="116"/>
      <c r="K991" s="116"/>
      <c r="L991" s="116"/>
      <c r="M991" s="116"/>
      <c r="N991" s="116"/>
      <c r="AB991" s="332"/>
      <c r="AQ991" s="336"/>
      <c r="AR991" s="336"/>
      <c r="AS991" s="336"/>
      <c r="BD991" s="332"/>
    </row>
    <row r="992" spans="9:56" ht="13">
      <c r="I992" s="116"/>
      <c r="J992" s="116"/>
      <c r="K992" s="116"/>
      <c r="L992" s="116"/>
      <c r="M992" s="116"/>
      <c r="N992" s="116"/>
      <c r="AB992" s="332"/>
      <c r="AQ992" s="336"/>
      <c r="AR992" s="336"/>
      <c r="AS992" s="336"/>
      <c r="BD992" s="332"/>
    </row>
    <row r="993" spans="9:56" ht="13">
      <c r="I993" s="116"/>
      <c r="J993" s="116"/>
      <c r="K993" s="116"/>
      <c r="L993" s="116"/>
      <c r="M993" s="116"/>
      <c r="N993" s="116"/>
      <c r="AB993" s="332"/>
      <c r="AQ993" s="336"/>
      <c r="AR993" s="336"/>
      <c r="AS993" s="336"/>
      <c r="BD993" s="332"/>
    </row>
    <row r="994" spans="9:56" ht="13">
      <c r="I994" s="116"/>
      <c r="J994" s="116"/>
      <c r="K994" s="116"/>
      <c r="L994" s="116"/>
      <c r="M994" s="116"/>
      <c r="N994" s="116"/>
      <c r="AB994" s="332"/>
      <c r="AQ994" s="336"/>
      <c r="AR994" s="336"/>
      <c r="AS994" s="336"/>
      <c r="BD994" s="332"/>
    </row>
    <row r="995" spans="9:56" ht="13">
      <c r="I995" s="116"/>
      <c r="J995" s="116"/>
      <c r="K995" s="116"/>
      <c r="L995" s="116"/>
      <c r="M995" s="116"/>
      <c r="N995" s="116"/>
      <c r="AB995" s="332"/>
      <c r="AQ995" s="336"/>
      <c r="AR995" s="336"/>
      <c r="AS995" s="336"/>
      <c r="BD995" s="332"/>
    </row>
    <row r="996" spans="9:56" ht="13">
      <c r="I996" s="116"/>
      <c r="J996" s="116"/>
      <c r="K996" s="116"/>
      <c r="L996" s="116"/>
      <c r="M996" s="116"/>
      <c r="N996" s="116"/>
      <c r="AB996" s="332"/>
      <c r="AQ996" s="336"/>
      <c r="AR996" s="336"/>
      <c r="AS996" s="336"/>
      <c r="BD996" s="332"/>
    </row>
    <row r="997" spans="9:56" ht="13">
      <c r="I997" s="116"/>
      <c r="J997" s="116"/>
      <c r="K997" s="116"/>
      <c r="L997" s="116"/>
      <c r="M997" s="116"/>
      <c r="N997" s="116"/>
      <c r="AB997" s="332"/>
      <c r="AQ997" s="336"/>
      <c r="AR997" s="336"/>
      <c r="AS997" s="336"/>
      <c r="BD997" s="332"/>
    </row>
    <row r="998" spans="9:56" ht="13">
      <c r="I998" s="116"/>
      <c r="J998" s="116"/>
      <c r="K998" s="116"/>
      <c r="L998" s="116"/>
      <c r="M998" s="116"/>
      <c r="N998" s="116"/>
      <c r="AB998" s="332"/>
      <c r="AQ998" s="336"/>
      <c r="AR998" s="336"/>
      <c r="AS998" s="336"/>
      <c r="BD998" s="332"/>
    </row>
    <row r="999" spans="9:56" ht="13">
      <c r="I999" s="116"/>
      <c r="J999" s="116"/>
      <c r="K999" s="116"/>
      <c r="L999" s="116"/>
      <c r="M999" s="116"/>
      <c r="N999" s="116"/>
      <c r="AB999" s="332"/>
      <c r="AQ999" s="336"/>
      <c r="AR999" s="336"/>
      <c r="AS999" s="336"/>
      <c r="BD999" s="332"/>
    </row>
    <row r="1000" spans="9:56" ht="13">
      <c r="I1000" s="116"/>
      <c r="J1000" s="116"/>
      <c r="K1000" s="116"/>
      <c r="L1000" s="116"/>
      <c r="M1000" s="116"/>
      <c r="N1000" s="116"/>
      <c r="AB1000" s="332"/>
      <c r="AQ1000" s="336"/>
      <c r="AR1000" s="336"/>
      <c r="AS1000" s="336"/>
      <c r="BD1000" s="332"/>
    </row>
    <row r="1001" spans="9:56" ht="13">
      <c r="I1001" s="116"/>
      <c r="J1001" s="116"/>
      <c r="K1001" s="116"/>
      <c r="L1001" s="116"/>
      <c r="M1001" s="116"/>
      <c r="N1001" s="116"/>
      <c r="AB1001" s="332"/>
      <c r="AQ1001" s="336"/>
      <c r="AR1001" s="336"/>
      <c r="AS1001" s="336"/>
      <c r="BD1001" s="332"/>
    </row>
    <row r="1002" spans="9:56" ht="13">
      <c r="I1002" s="116"/>
      <c r="J1002" s="116"/>
      <c r="K1002" s="116"/>
      <c r="L1002" s="116"/>
      <c r="M1002" s="116"/>
      <c r="N1002" s="116"/>
      <c r="AB1002" s="332"/>
      <c r="AQ1002" s="336"/>
      <c r="AR1002" s="336"/>
      <c r="AS1002" s="336"/>
      <c r="BD1002" s="332"/>
    </row>
    <row r="1003" spans="9:56" ht="13">
      <c r="I1003" s="116"/>
      <c r="J1003" s="116"/>
      <c r="K1003" s="116"/>
      <c r="L1003" s="116"/>
      <c r="M1003" s="116"/>
      <c r="N1003" s="116"/>
      <c r="AB1003" s="332"/>
      <c r="AQ1003" s="336"/>
      <c r="AR1003" s="336"/>
      <c r="AS1003" s="336"/>
      <c r="BD1003" s="332"/>
    </row>
    <row r="1004" spans="9:56" ht="13">
      <c r="I1004" s="116"/>
      <c r="J1004" s="116"/>
      <c r="K1004" s="116"/>
      <c r="L1004" s="116"/>
      <c r="M1004" s="116"/>
      <c r="N1004" s="116"/>
      <c r="AB1004" s="332"/>
      <c r="AQ1004" s="336"/>
      <c r="AR1004" s="336"/>
      <c r="AS1004" s="336"/>
      <c r="BD1004" s="332"/>
    </row>
  </sheetData>
  <hyperlinks>
    <hyperlink ref="AY1" r:id="rId1" xr:uid="{00000000-0004-0000-0900-000000000000}"/>
    <hyperlink ref="E8" r:id="rId2" xr:uid="{00000000-0004-0000-0900-000001000000}"/>
    <hyperlink ref="E9" r:id="rId3" xr:uid="{00000000-0004-0000-0900-000002000000}"/>
    <hyperlink ref="E10" r:id="rId4" xr:uid="{00000000-0004-0000-0900-000003000000}"/>
    <hyperlink ref="E11" r:id="rId5" xr:uid="{00000000-0004-0000-0900-000004000000}"/>
    <hyperlink ref="E12" r:id="rId6" xr:uid="{00000000-0004-0000-0900-000005000000}"/>
    <hyperlink ref="E14" r:id="rId7" xr:uid="{00000000-0004-0000-0900-000006000000}"/>
    <hyperlink ref="E15" r:id="rId8" xr:uid="{00000000-0004-0000-0900-000007000000}"/>
    <hyperlink ref="E16" r:id="rId9" xr:uid="{00000000-0004-0000-0900-000008000000}"/>
    <hyperlink ref="E17" r:id="rId10" xr:uid="{00000000-0004-0000-0900-000009000000}"/>
    <hyperlink ref="E22" r:id="rId11" xr:uid="{00000000-0004-0000-0900-00000A000000}"/>
    <hyperlink ref="E24" r:id="rId12" xr:uid="{00000000-0004-0000-0900-00000B000000}"/>
    <hyperlink ref="E27" r:id="rId13" xr:uid="{00000000-0004-0000-0900-00000C000000}"/>
  </hyperlinks>
  <printOptions horizontalCentered="1" gridLines="1"/>
  <pageMargins left="0.7" right="0.7" top="0.75" bottom="0.75" header="0" footer="0"/>
  <pageSetup fitToHeight="0" pageOrder="overThenDown" orientation="landscape" cellComments="atEnd"/>
  <drawing r:id="rId1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BF1515"/>
  <sheetViews>
    <sheetView workbookViewId="0">
      <pane xSplit="7" ySplit="9" topLeftCell="H10" activePane="bottomRight" state="frozen"/>
      <selection pane="topRight" activeCell="H1" sqref="H1"/>
      <selection pane="bottomLeft" activeCell="A10" sqref="A10"/>
      <selection pane="bottomRight" activeCell="H10" sqref="H10"/>
    </sheetView>
  </sheetViews>
  <sheetFormatPr baseColWidth="10" defaultColWidth="14.5" defaultRowHeight="15.75" customHeight="1" outlineLevelRow="1"/>
  <cols>
    <col min="1" max="1" width="10.5" customWidth="1"/>
    <col min="2" max="2" width="8.5" customWidth="1"/>
    <col min="3" max="3" width="13.5" customWidth="1"/>
    <col min="4" max="4" width="8.33203125" customWidth="1"/>
    <col min="5" max="5" width="11.33203125" customWidth="1"/>
    <col min="6" max="6" width="11.1640625" customWidth="1"/>
    <col min="7" max="8" width="10" customWidth="1"/>
    <col min="9" max="10" width="8.83203125" customWidth="1"/>
    <col min="11" max="11" width="11.5" customWidth="1"/>
    <col min="12" max="15" width="9" customWidth="1"/>
    <col min="16" max="16" width="11.6640625" customWidth="1"/>
    <col min="17" max="17" width="10.83203125" customWidth="1"/>
    <col min="18" max="18" width="9.33203125" customWidth="1"/>
    <col min="19" max="19" width="8.5" customWidth="1"/>
    <col min="20" max="20" width="10.1640625" customWidth="1"/>
    <col min="21" max="21" width="9.33203125" customWidth="1"/>
    <col min="22" max="32" width="11.5" customWidth="1"/>
    <col min="33" max="35" width="5.83203125" customWidth="1"/>
    <col min="36" max="36" width="9" customWidth="1"/>
    <col min="37" max="37" width="12.33203125" customWidth="1"/>
    <col min="38" max="42" width="10.33203125" customWidth="1"/>
    <col min="43" max="43" width="9.1640625" customWidth="1"/>
    <col min="44" max="47" width="10.33203125" customWidth="1"/>
    <col min="48" max="48" width="10" customWidth="1"/>
    <col min="49" max="52" width="11.1640625" customWidth="1"/>
    <col min="53" max="53" width="13.33203125" customWidth="1"/>
  </cols>
  <sheetData>
    <row r="1" spans="1:58" ht="20">
      <c r="A1" s="59" t="s">
        <v>367</v>
      </c>
      <c r="BB1" s="31"/>
      <c r="BC1" s="31"/>
      <c r="BD1" s="31"/>
      <c r="BE1" s="31"/>
    </row>
    <row r="2" spans="1:58" ht="20" outlineLevel="1">
      <c r="A2" s="59" t="s">
        <v>318</v>
      </c>
      <c r="F2" s="153"/>
      <c r="G2" s="116"/>
      <c r="H2" s="116"/>
      <c r="I2" s="116"/>
      <c r="J2" s="116"/>
      <c r="K2" s="219"/>
      <c r="L2" s="116"/>
      <c r="M2" s="31"/>
      <c r="N2" s="336"/>
      <c r="O2" s="336"/>
      <c r="P2" s="219"/>
      <c r="Q2" s="332"/>
      <c r="R2" s="219"/>
      <c r="S2" s="332"/>
      <c r="T2" s="219"/>
      <c r="U2" s="332"/>
      <c r="V2" s="332"/>
      <c r="W2" s="370"/>
      <c r="X2" s="370"/>
      <c r="Y2" s="370"/>
      <c r="Z2" s="370"/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L2" s="219"/>
      <c r="AM2" s="219"/>
      <c r="AN2" s="219"/>
      <c r="AO2" s="116"/>
      <c r="AP2" s="116"/>
      <c r="AU2" s="332"/>
      <c r="AV2" s="332"/>
      <c r="AW2" s="332"/>
      <c r="AX2" s="332"/>
      <c r="AY2" s="332"/>
      <c r="AZ2" s="332"/>
      <c r="BA2" s="332"/>
      <c r="BB2" s="31"/>
      <c r="BC2" s="31"/>
      <c r="BD2" s="31"/>
      <c r="BE2" s="31"/>
    </row>
    <row r="3" spans="1:58" ht="13" outlineLevel="1">
      <c r="A3" s="153"/>
      <c r="F3" s="153"/>
      <c r="G3" s="116"/>
      <c r="H3" s="116"/>
      <c r="I3" s="116"/>
      <c r="J3" s="116"/>
      <c r="K3" s="219"/>
      <c r="L3" s="116"/>
      <c r="M3" s="31"/>
      <c r="N3" s="336"/>
      <c r="O3" s="336"/>
      <c r="P3" s="219"/>
      <c r="Q3" s="332"/>
      <c r="R3" s="219"/>
      <c r="S3" s="332"/>
      <c r="T3" s="219"/>
      <c r="U3" s="332"/>
      <c r="V3" s="332"/>
      <c r="W3" s="370"/>
      <c r="X3" s="370"/>
      <c r="Y3" s="370"/>
      <c r="Z3" s="370"/>
      <c r="AA3" s="370"/>
      <c r="AB3" s="370"/>
      <c r="AC3" s="370"/>
      <c r="AD3" s="370"/>
      <c r="AE3" s="370"/>
      <c r="AF3" s="370"/>
      <c r="AG3" s="370"/>
      <c r="AH3" s="370"/>
      <c r="AI3" s="370"/>
      <c r="AJ3" s="370"/>
      <c r="AL3" s="219"/>
      <c r="AM3" s="219"/>
      <c r="AN3" s="219"/>
      <c r="AO3" s="116"/>
      <c r="AP3" s="116"/>
      <c r="AU3" s="332"/>
      <c r="AV3" s="332"/>
      <c r="AW3" s="332"/>
      <c r="AX3" s="332"/>
      <c r="AY3" s="332"/>
      <c r="AZ3" s="332"/>
      <c r="BA3" s="332"/>
      <c r="BB3" s="31"/>
      <c r="BC3" s="31"/>
      <c r="BD3" s="31"/>
      <c r="BE3" s="31"/>
    </row>
    <row r="4" spans="1:58" ht="13" outlineLevel="1">
      <c r="A4" s="153"/>
      <c r="F4" s="153"/>
      <c r="G4" s="116"/>
      <c r="H4" s="116"/>
      <c r="I4" s="116"/>
      <c r="J4" s="116"/>
      <c r="K4" s="219"/>
      <c r="L4" s="116"/>
      <c r="M4" s="31"/>
      <c r="N4" s="336"/>
      <c r="O4" s="336"/>
      <c r="P4" s="219"/>
      <c r="Q4" s="332"/>
      <c r="R4" s="219"/>
      <c r="S4" s="332"/>
      <c r="T4" s="219"/>
      <c r="U4" s="332"/>
      <c r="V4" s="332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L4" s="219"/>
      <c r="AM4" s="219"/>
      <c r="AN4" s="219"/>
      <c r="AO4" s="116"/>
      <c r="AP4" s="116"/>
      <c r="AU4" s="332"/>
      <c r="AV4" s="332"/>
      <c r="AW4" s="332"/>
      <c r="AX4" s="332"/>
      <c r="AY4" s="332"/>
      <c r="AZ4" s="332"/>
      <c r="BA4" s="332"/>
      <c r="BB4" s="31"/>
      <c r="BC4" s="31"/>
      <c r="BD4" s="31"/>
      <c r="BE4" s="31"/>
    </row>
    <row r="5" spans="1:58" ht="13" outlineLevel="1">
      <c r="A5" s="153"/>
      <c r="F5" s="153"/>
      <c r="G5" s="116"/>
      <c r="H5" s="116"/>
      <c r="I5" s="116"/>
      <c r="J5" s="116"/>
      <c r="K5" s="219"/>
      <c r="L5" s="116"/>
      <c r="M5" s="31"/>
      <c r="N5" s="336"/>
      <c r="O5" s="336"/>
      <c r="P5" s="219"/>
      <c r="Q5" s="332"/>
      <c r="R5" s="219"/>
      <c r="S5" s="332"/>
      <c r="T5" s="219"/>
      <c r="U5" s="332"/>
      <c r="V5" s="332"/>
      <c r="W5" s="370"/>
      <c r="X5" s="370"/>
      <c r="Y5" s="370"/>
      <c r="Z5" s="370"/>
      <c r="AA5" s="370"/>
      <c r="AB5" s="370"/>
      <c r="AC5" s="370"/>
      <c r="AD5" s="370"/>
      <c r="AE5" s="370"/>
      <c r="AF5" s="370"/>
      <c r="AG5" s="370"/>
      <c r="AH5" s="370"/>
      <c r="AI5" s="370"/>
      <c r="AJ5" s="370"/>
      <c r="AL5" s="219"/>
      <c r="AM5" s="219"/>
      <c r="AN5" s="219"/>
      <c r="AO5" s="116"/>
      <c r="AP5" s="116"/>
      <c r="AU5" s="332"/>
      <c r="AV5" s="332"/>
      <c r="AW5" s="332"/>
      <c r="AX5" s="332"/>
      <c r="AY5" s="332"/>
      <c r="AZ5" s="332"/>
      <c r="BA5" s="332"/>
      <c r="BB5" s="31"/>
      <c r="BC5" s="31"/>
      <c r="BD5" s="31"/>
      <c r="BE5" s="31"/>
    </row>
    <row r="6" spans="1:58" ht="13" outlineLevel="1">
      <c r="A6" s="153"/>
      <c r="F6" s="153"/>
      <c r="G6" s="116"/>
      <c r="H6" s="116"/>
      <c r="I6" s="116"/>
      <c r="J6" s="116"/>
      <c r="K6" s="219"/>
      <c r="L6" s="116"/>
      <c r="M6" s="31"/>
      <c r="N6" s="336"/>
      <c r="O6" s="336"/>
      <c r="P6" s="219"/>
      <c r="Q6" s="332"/>
      <c r="R6" s="219"/>
      <c r="S6" s="332"/>
      <c r="T6" s="219"/>
      <c r="U6" s="332"/>
      <c r="V6" s="245"/>
      <c r="W6" s="374"/>
      <c r="X6" s="374"/>
      <c r="Y6" s="374"/>
      <c r="Z6" s="374"/>
      <c r="AA6" s="374"/>
      <c r="AB6" s="374"/>
      <c r="AC6" s="374"/>
      <c r="AD6" s="374"/>
      <c r="AE6" s="374"/>
      <c r="AF6" s="374"/>
      <c r="AG6" s="374"/>
      <c r="AH6" s="374"/>
      <c r="AI6" s="374"/>
      <c r="AJ6" s="374"/>
      <c r="AL6" s="219"/>
      <c r="AM6" s="219"/>
      <c r="AN6" s="219"/>
      <c r="AO6" s="116"/>
      <c r="AP6" s="116"/>
      <c r="AU6" s="332"/>
      <c r="AV6" s="332"/>
      <c r="AW6" s="332"/>
      <c r="AX6" s="332"/>
      <c r="AY6" s="332"/>
      <c r="AZ6" s="332"/>
      <c r="BA6" s="332"/>
      <c r="BB6" s="31"/>
      <c r="BC6" s="31"/>
      <c r="BD6" s="31"/>
      <c r="BE6" s="31"/>
    </row>
    <row r="7" spans="1:58" ht="13" outlineLevel="1">
      <c r="A7" s="153"/>
      <c r="F7" s="153"/>
      <c r="G7" s="116"/>
      <c r="H7" s="116"/>
      <c r="I7" s="116"/>
      <c r="J7" s="116"/>
      <c r="K7" s="219"/>
      <c r="L7" s="116"/>
      <c r="M7" s="31"/>
      <c r="N7" s="336"/>
      <c r="O7" s="336"/>
      <c r="P7" s="219"/>
      <c r="Q7" s="332"/>
      <c r="R7" s="219"/>
      <c r="S7" s="332"/>
      <c r="T7" s="219"/>
      <c r="U7" s="332"/>
      <c r="V7" s="332"/>
      <c r="W7" s="370"/>
      <c r="X7" s="370"/>
      <c r="Y7" s="370"/>
      <c r="Z7" s="370"/>
      <c r="AA7" s="370"/>
      <c r="AB7" s="370"/>
      <c r="AC7" s="370"/>
      <c r="AD7" s="370"/>
      <c r="AE7" s="370"/>
      <c r="AF7" s="370"/>
      <c r="AG7" s="370"/>
      <c r="AH7" s="370"/>
      <c r="AI7" s="370"/>
      <c r="AJ7" s="219"/>
      <c r="AK7" s="219"/>
      <c r="AL7" s="219"/>
      <c r="AM7" s="219"/>
      <c r="AN7" s="219"/>
      <c r="AO7" s="116"/>
      <c r="AP7" s="116"/>
      <c r="AQ7" s="116"/>
      <c r="AR7" s="116"/>
      <c r="AS7" s="116"/>
      <c r="AT7" s="116"/>
      <c r="AU7" s="332"/>
      <c r="AV7" s="332"/>
      <c r="AW7" s="332"/>
      <c r="AX7" s="332"/>
      <c r="AY7" s="332"/>
      <c r="AZ7" s="332"/>
      <c r="BA7" s="332"/>
      <c r="BB7" s="31"/>
      <c r="BC7" s="31"/>
      <c r="BD7" s="31"/>
      <c r="BE7" s="31"/>
    </row>
    <row r="8" spans="1:58" ht="18" customHeight="1" outlineLevel="1">
      <c r="A8" s="153"/>
      <c r="F8" s="153"/>
      <c r="G8" s="116"/>
      <c r="H8" s="116"/>
      <c r="I8" s="116"/>
      <c r="J8" s="116"/>
      <c r="K8" s="219"/>
      <c r="L8" s="116"/>
      <c r="M8" s="31"/>
      <c r="N8" s="336"/>
      <c r="O8" s="336"/>
      <c r="P8" s="219"/>
      <c r="Q8" s="332"/>
      <c r="R8" s="219"/>
      <c r="S8" s="332"/>
      <c r="T8" s="219"/>
      <c r="U8" s="332"/>
      <c r="V8" s="332"/>
      <c r="W8" s="370"/>
      <c r="X8" s="370"/>
      <c r="Y8" s="370"/>
      <c r="Z8" s="370"/>
      <c r="AA8" s="370"/>
      <c r="AB8" s="370"/>
      <c r="AC8" s="370"/>
      <c r="AD8" s="370"/>
      <c r="AE8" s="370"/>
      <c r="AF8" s="370"/>
      <c r="AG8" s="370"/>
      <c r="AH8" s="370"/>
      <c r="AI8" s="370"/>
      <c r="AJ8" s="375" t="s">
        <v>226</v>
      </c>
      <c r="AK8" s="376" t="s">
        <v>368</v>
      </c>
      <c r="AL8" s="377"/>
      <c r="AM8" s="378"/>
      <c r="AN8" s="378"/>
      <c r="AO8" s="379"/>
      <c r="AP8" s="379"/>
      <c r="AQ8" s="376"/>
      <c r="AR8" s="376"/>
      <c r="AS8" s="376"/>
      <c r="AT8" s="376"/>
      <c r="AU8" s="380"/>
      <c r="AV8" s="332"/>
      <c r="AW8" s="332"/>
      <c r="AX8" s="332"/>
      <c r="AY8" s="332"/>
      <c r="AZ8" s="332"/>
      <c r="BA8" s="332"/>
      <c r="BB8" s="31"/>
      <c r="BC8" s="31"/>
      <c r="BD8" s="31"/>
      <c r="BE8" s="31"/>
    </row>
    <row r="9" spans="1:58" ht="84">
      <c r="A9" s="369" t="s">
        <v>346</v>
      </c>
      <c r="B9" s="119" t="s">
        <v>103</v>
      </c>
      <c r="C9" s="119" t="s">
        <v>105</v>
      </c>
      <c r="D9" s="119" t="s">
        <v>110</v>
      </c>
      <c r="E9" s="119" t="s">
        <v>109</v>
      </c>
      <c r="F9" s="344" t="s">
        <v>106</v>
      </c>
      <c r="G9" s="344" t="s">
        <v>119</v>
      </c>
      <c r="H9" s="345" t="s">
        <v>303</v>
      </c>
      <c r="I9" s="345" t="s">
        <v>304</v>
      </c>
      <c r="J9" s="345" t="s">
        <v>305</v>
      </c>
      <c r="K9" s="345" t="s">
        <v>306</v>
      </c>
      <c r="L9" s="345" t="s">
        <v>307</v>
      </c>
      <c r="M9" s="346" t="s">
        <v>295</v>
      </c>
      <c r="N9" s="347" t="s">
        <v>296</v>
      </c>
      <c r="O9" s="348" t="s">
        <v>273</v>
      </c>
      <c r="P9" s="349" t="s">
        <v>274</v>
      </c>
      <c r="Q9" s="350" t="s">
        <v>369</v>
      </c>
      <c r="R9" s="350" t="s">
        <v>265</v>
      </c>
      <c r="S9" s="351" t="s">
        <v>370</v>
      </c>
      <c r="T9" s="351" t="s">
        <v>234</v>
      </c>
      <c r="U9" s="352" t="s">
        <v>371</v>
      </c>
      <c r="V9" s="352" t="s">
        <v>240</v>
      </c>
      <c r="W9" s="353" t="s">
        <v>244</v>
      </c>
      <c r="X9" s="354" t="s">
        <v>253</v>
      </c>
      <c r="Y9" s="355" t="s">
        <v>254</v>
      </c>
      <c r="Z9" s="356" t="s">
        <v>255</v>
      </c>
      <c r="AA9" s="357" t="s">
        <v>256</v>
      </c>
      <c r="AB9" s="381" t="s">
        <v>257</v>
      </c>
      <c r="AC9" s="359" t="s">
        <v>258</v>
      </c>
      <c r="AD9" s="360" t="s">
        <v>263</v>
      </c>
      <c r="AE9" s="361" t="s">
        <v>264</v>
      </c>
      <c r="AF9" s="362" t="s">
        <v>289</v>
      </c>
      <c r="AG9" s="363" t="s">
        <v>323</v>
      </c>
      <c r="AH9" s="363" t="s">
        <v>324</v>
      </c>
      <c r="AI9" s="363" t="s">
        <v>325</v>
      </c>
      <c r="AJ9" s="363" t="s">
        <v>226</v>
      </c>
      <c r="AK9" s="364" t="s">
        <v>326</v>
      </c>
      <c r="AL9" s="365" t="s">
        <v>327</v>
      </c>
      <c r="AM9" s="365" t="s">
        <v>328</v>
      </c>
      <c r="AN9" s="365" t="s">
        <v>329</v>
      </c>
      <c r="AO9" s="366" t="s">
        <v>330</v>
      </c>
      <c r="AP9" s="366" t="s">
        <v>61</v>
      </c>
      <c r="AQ9" s="367" t="s">
        <v>331</v>
      </c>
      <c r="AR9" s="367" t="s">
        <v>332</v>
      </c>
      <c r="AS9" s="367" t="s">
        <v>333</v>
      </c>
      <c r="AT9" s="73" t="s">
        <v>334</v>
      </c>
      <c r="AU9" s="73" t="s">
        <v>335</v>
      </c>
      <c r="AV9" s="368" t="s">
        <v>336</v>
      </c>
      <c r="AW9" s="368" t="s">
        <v>337</v>
      </c>
      <c r="AX9" s="368" t="s">
        <v>338</v>
      </c>
      <c r="AY9" s="368" t="s">
        <v>339</v>
      </c>
      <c r="AZ9" s="368" t="s">
        <v>340</v>
      </c>
      <c r="BA9" s="368" t="s">
        <v>341</v>
      </c>
      <c r="BB9" s="269" t="s">
        <v>342</v>
      </c>
      <c r="BC9" s="269" t="s">
        <v>343</v>
      </c>
      <c r="BD9" s="269" t="s">
        <v>344</v>
      </c>
      <c r="BE9" s="269" t="s">
        <v>345</v>
      </c>
      <c r="BF9" s="368"/>
    </row>
    <row r="10" spans="1:58" ht="13">
      <c r="A10" s="153"/>
      <c r="F10" s="153"/>
      <c r="G10" s="127"/>
      <c r="H10" s="127"/>
      <c r="I10" s="127"/>
      <c r="J10" s="127"/>
      <c r="K10" s="382"/>
      <c r="L10" s="127"/>
      <c r="M10" s="383"/>
      <c r="N10" s="384"/>
      <c r="O10" s="384"/>
      <c r="P10" s="382"/>
      <c r="Q10" s="385"/>
      <c r="R10" s="219"/>
      <c r="S10" s="332"/>
      <c r="T10" s="219"/>
      <c r="U10" s="332"/>
      <c r="V10" s="332"/>
      <c r="W10" s="370"/>
      <c r="X10" s="370"/>
      <c r="Y10" s="370"/>
      <c r="Z10" s="370"/>
      <c r="AA10" s="370"/>
      <c r="AB10" s="370"/>
      <c r="AC10" s="370"/>
      <c r="AD10" s="370"/>
      <c r="AE10" s="370"/>
      <c r="AF10" s="370"/>
      <c r="AG10" s="31"/>
      <c r="AH10" s="31"/>
      <c r="AI10" s="31"/>
      <c r="AJ10" s="370"/>
      <c r="AK10" s="219"/>
      <c r="AL10" s="219"/>
      <c r="AM10" s="219"/>
      <c r="AN10" s="219"/>
      <c r="AO10" s="116"/>
      <c r="AP10" s="116"/>
      <c r="AQ10" s="116"/>
      <c r="AR10" s="116"/>
      <c r="AS10" s="116"/>
      <c r="AT10" s="116"/>
      <c r="AU10" s="385"/>
      <c r="AV10" s="332"/>
      <c r="AW10" s="332"/>
      <c r="AX10" s="332"/>
      <c r="AY10" s="332"/>
      <c r="AZ10" s="332"/>
      <c r="BA10" s="332"/>
      <c r="BB10" s="31"/>
      <c r="BC10" s="31"/>
      <c r="BD10" s="31"/>
      <c r="BE10" s="31"/>
    </row>
    <row r="11" spans="1:58" ht="13">
      <c r="A11" s="153">
        <v>44561</v>
      </c>
      <c r="B11" s="10" t="s">
        <v>183</v>
      </c>
      <c r="C11" s="10">
        <v>44561000005</v>
      </c>
      <c r="D11" s="10" t="s">
        <v>64</v>
      </c>
      <c r="E11" s="10" t="s">
        <v>64</v>
      </c>
      <c r="F11" s="153">
        <v>44561</v>
      </c>
      <c r="G11" s="116" t="s">
        <v>39</v>
      </c>
      <c r="H11" s="116">
        <v>500000</v>
      </c>
      <c r="I11" s="116">
        <v>0</v>
      </c>
      <c r="J11" s="116">
        <v>500000</v>
      </c>
      <c r="K11" s="219">
        <v>0</v>
      </c>
      <c r="L11" s="116">
        <v>0</v>
      </c>
      <c r="M11" s="31">
        <v>500000</v>
      </c>
      <c r="N11" s="336">
        <v>500000</v>
      </c>
      <c r="O11" s="336">
        <v>0</v>
      </c>
      <c r="P11" s="219">
        <v>0</v>
      </c>
      <c r="Q11" s="332">
        <v>0</v>
      </c>
      <c r="R11" s="219">
        <v>0</v>
      </c>
      <c r="S11" s="332">
        <v>0</v>
      </c>
      <c r="T11" s="219">
        <v>0</v>
      </c>
      <c r="U11" s="332">
        <v>0</v>
      </c>
      <c r="V11" s="332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1">
        <v>0</v>
      </c>
      <c r="AH11" s="31">
        <v>1</v>
      </c>
      <c r="AI11" s="31">
        <v>1</v>
      </c>
      <c r="AJ11" s="370">
        <v>1</v>
      </c>
      <c r="AK11" s="219">
        <v>0</v>
      </c>
      <c r="AL11" s="219">
        <v>0</v>
      </c>
      <c r="AM11" s="219">
        <v>0</v>
      </c>
      <c r="AN11" s="219">
        <v>0</v>
      </c>
      <c r="AO11" s="116">
        <v>0</v>
      </c>
      <c r="AP11" s="116">
        <v>0</v>
      </c>
      <c r="AQ11" s="116">
        <v>1</v>
      </c>
      <c r="AR11" s="116">
        <v>0</v>
      </c>
      <c r="AS11" s="116">
        <v>0</v>
      </c>
      <c r="AT11" s="116">
        <v>1</v>
      </c>
      <c r="AU11" s="385">
        <v>0</v>
      </c>
      <c r="AV11" s="332">
        <v>0</v>
      </c>
      <c r="AW11" s="332">
        <v>0</v>
      </c>
      <c r="AX11" s="332">
        <v>500000</v>
      </c>
      <c r="AY11" s="332">
        <v>0</v>
      </c>
      <c r="AZ11" s="332">
        <v>0</v>
      </c>
      <c r="BA11" s="332">
        <v>0</v>
      </c>
      <c r="BB11" s="31">
        <v>500000</v>
      </c>
      <c r="BC11" s="31">
        <v>500000</v>
      </c>
      <c r="BD11" s="29">
        <v>0</v>
      </c>
      <c r="BE11" s="29">
        <v>500000</v>
      </c>
    </row>
    <row r="12" spans="1:58" ht="13">
      <c r="A12" s="153">
        <v>44561</v>
      </c>
      <c r="B12" s="10" t="s">
        <v>184</v>
      </c>
      <c r="C12" s="10">
        <v>44561000006</v>
      </c>
      <c r="D12" s="10" t="s">
        <v>64</v>
      </c>
      <c r="E12" s="10" t="s">
        <v>64</v>
      </c>
      <c r="F12" s="153">
        <v>44561</v>
      </c>
      <c r="G12" s="116" t="s">
        <v>39</v>
      </c>
      <c r="H12" s="116">
        <v>500000</v>
      </c>
      <c r="I12" s="116">
        <v>0</v>
      </c>
      <c r="J12" s="116">
        <v>500000</v>
      </c>
      <c r="K12" s="219">
        <v>0</v>
      </c>
      <c r="L12" s="116">
        <v>0</v>
      </c>
      <c r="M12" s="31">
        <v>500000</v>
      </c>
      <c r="N12" s="336">
        <v>500000</v>
      </c>
      <c r="O12" s="336">
        <v>0</v>
      </c>
      <c r="P12" s="219">
        <v>0</v>
      </c>
      <c r="Q12" s="332">
        <v>0</v>
      </c>
      <c r="R12" s="219">
        <v>0</v>
      </c>
      <c r="S12" s="332">
        <v>0</v>
      </c>
      <c r="T12" s="219">
        <v>0</v>
      </c>
      <c r="U12" s="332">
        <v>0</v>
      </c>
      <c r="V12" s="332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1">
        <v>0</v>
      </c>
      <c r="AH12" s="31">
        <v>1</v>
      </c>
      <c r="AI12" s="31">
        <v>1</v>
      </c>
      <c r="AJ12" s="370">
        <v>1</v>
      </c>
      <c r="AK12" s="219">
        <v>0</v>
      </c>
      <c r="AL12" s="219">
        <v>0</v>
      </c>
      <c r="AM12" s="219">
        <v>0</v>
      </c>
      <c r="AN12" s="219">
        <v>0</v>
      </c>
      <c r="AO12" s="116">
        <v>0</v>
      </c>
      <c r="AP12" s="116">
        <v>0</v>
      </c>
      <c r="AQ12" s="116">
        <v>1</v>
      </c>
      <c r="AR12" s="116">
        <v>0</v>
      </c>
      <c r="AS12" s="116">
        <v>0</v>
      </c>
      <c r="AT12" s="116">
        <v>1</v>
      </c>
      <c r="AU12" s="385">
        <v>0</v>
      </c>
      <c r="AV12" s="332">
        <v>0</v>
      </c>
      <c r="AW12" s="332">
        <v>0</v>
      </c>
      <c r="AX12" s="332">
        <v>500000</v>
      </c>
      <c r="AY12" s="332">
        <v>0</v>
      </c>
      <c r="AZ12" s="332">
        <v>0</v>
      </c>
      <c r="BA12" s="332">
        <v>0</v>
      </c>
      <c r="BB12" s="31">
        <v>500000</v>
      </c>
      <c r="BC12" s="31">
        <v>500000</v>
      </c>
      <c r="BD12" s="29">
        <v>0</v>
      </c>
      <c r="BE12" s="29">
        <v>500000</v>
      </c>
    </row>
    <row r="13" spans="1:58" ht="13">
      <c r="A13" s="153">
        <v>44561</v>
      </c>
      <c r="B13" s="10" t="s">
        <v>185</v>
      </c>
      <c r="C13" s="10">
        <v>44561000007</v>
      </c>
      <c r="D13" s="10" t="s">
        <v>64</v>
      </c>
      <c r="E13" s="10" t="s">
        <v>64</v>
      </c>
      <c r="F13" s="153">
        <v>44561</v>
      </c>
      <c r="G13" s="116" t="s">
        <v>39</v>
      </c>
      <c r="H13" s="116">
        <v>500000</v>
      </c>
      <c r="I13" s="116">
        <v>0</v>
      </c>
      <c r="J13" s="116">
        <v>500000</v>
      </c>
      <c r="K13" s="219">
        <v>0</v>
      </c>
      <c r="L13" s="116">
        <v>0</v>
      </c>
      <c r="M13" s="31">
        <v>500000</v>
      </c>
      <c r="N13" s="336">
        <v>500000</v>
      </c>
      <c r="O13" s="336">
        <v>0</v>
      </c>
      <c r="P13" s="219">
        <v>0</v>
      </c>
      <c r="Q13" s="332">
        <v>0</v>
      </c>
      <c r="R13" s="219">
        <v>0</v>
      </c>
      <c r="S13" s="332">
        <v>0</v>
      </c>
      <c r="T13" s="219">
        <v>0</v>
      </c>
      <c r="U13" s="332">
        <v>0</v>
      </c>
      <c r="V13" s="332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1">
        <v>0</v>
      </c>
      <c r="AH13" s="31">
        <v>1</v>
      </c>
      <c r="AI13" s="31">
        <v>1</v>
      </c>
      <c r="AJ13" s="370">
        <v>1</v>
      </c>
      <c r="AK13" s="219">
        <v>0</v>
      </c>
      <c r="AL13" s="219">
        <v>0</v>
      </c>
      <c r="AM13" s="219">
        <v>0</v>
      </c>
      <c r="AN13" s="219">
        <v>0</v>
      </c>
      <c r="AO13" s="116">
        <v>0</v>
      </c>
      <c r="AP13" s="116">
        <v>0</v>
      </c>
      <c r="AQ13" s="116">
        <v>1</v>
      </c>
      <c r="AR13" s="116">
        <v>0</v>
      </c>
      <c r="AS13" s="116">
        <v>0</v>
      </c>
      <c r="AT13" s="116">
        <v>1</v>
      </c>
      <c r="AU13" s="385">
        <v>0</v>
      </c>
      <c r="AV13" s="332">
        <v>0</v>
      </c>
      <c r="AW13" s="332">
        <v>0</v>
      </c>
      <c r="AX13" s="332">
        <v>500000</v>
      </c>
      <c r="AY13" s="332">
        <v>0</v>
      </c>
      <c r="AZ13" s="332">
        <v>0</v>
      </c>
      <c r="BA13" s="332">
        <v>0</v>
      </c>
      <c r="BB13" s="31">
        <v>500000</v>
      </c>
      <c r="BC13" s="31">
        <v>500000</v>
      </c>
      <c r="BD13" s="29">
        <v>0</v>
      </c>
      <c r="BE13" s="31">
        <v>500000</v>
      </c>
    </row>
    <row r="14" spans="1:58" ht="13">
      <c r="A14" s="153">
        <v>44561</v>
      </c>
      <c r="B14" s="10" t="s">
        <v>186</v>
      </c>
      <c r="C14" s="10">
        <v>44561000008</v>
      </c>
      <c r="D14" s="10" t="s">
        <v>64</v>
      </c>
      <c r="E14" s="10" t="s">
        <v>64</v>
      </c>
      <c r="F14" s="153">
        <v>44561</v>
      </c>
      <c r="G14" s="116" t="s">
        <v>39</v>
      </c>
      <c r="H14" s="116">
        <v>500000</v>
      </c>
      <c r="I14" s="116">
        <v>0</v>
      </c>
      <c r="J14" s="116">
        <v>500000</v>
      </c>
      <c r="K14" s="219">
        <v>0</v>
      </c>
      <c r="L14" s="116">
        <v>0</v>
      </c>
      <c r="M14" s="31">
        <v>500000</v>
      </c>
      <c r="N14" s="336">
        <v>500000</v>
      </c>
      <c r="O14" s="336">
        <v>0</v>
      </c>
      <c r="P14" s="219">
        <v>0</v>
      </c>
      <c r="Q14" s="332">
        <v>0</v>
      </c>
      <c r="R14" s="219">
        <v>0</v>
      </c>
      <c r="S14" s="332">
        <v>0</v>
      </c>
      <c r="T14" s="219">
        <v>0</v>
      </c>
      <c r="U14" s="332">
        <v>0</v>
      </c>
      <c r="V14" s="332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1">
        <v>0</v>
      </c>
      <c r="AH14" s="31">
        <v>1</v>
      </c>
      <c r="AI14" s="31">
        <v>1</v>
      </c>
      <c r="AJ14" s="370">
        <v>1</v>
      </c>
      <c r="AK14" s="219">
        <v>0</v>
      </c>
      <c r="AL14" s="219">
        <v>0</v>
      </c>
      <c r="AM14" s="219">
        <v>0</v>
      </c>
      <c r="AN14" s="219">
        <v>0</v>
      </c>
      <c r="AO14" s="116">
        <v>0</v>
      </c>
      <c r="AP14" s="116">
        <v>0</v>
      </c>
      <c r="AQ14" s="116">
        <v>1</v>
      </c>
      <c r="AR14" s="116">
        <v>0</v>
      </c>
      <c r="AS14" s="116">
        <v>0</v>
      </c>
      <c r="AT14" s="116">
        <v>1</v>
      </c>
      <c r="AU14" s="385">
        <v>0</v>
      </c>
      <c r="AV14" s="332">
        <v>0</v>
      </c>
      <c r="AW14" s="332">
        <v>0</v>
      </c>
      <c r="AX14" s="332">
        <v>500000</v>
      </c>
      <c r="AY14" s="332">
        <v>0</v>
      </c>
      <c r="AZ14" s="332">
        <v>0</v>
      </c>
      <c r="BA14" s="332">
        <v>0</v>
      </c>
      <c r="BB14" s="31">
        <v>500000</v>
      </c>
      <c r="BC14" s="31">
        <v>500000</v>
      </c>
      <c r="BD14" s="29">
        <v>0</v>
      </c>
      <c r="BE14" s="31">
        <v>500000</v>
      </c>
    </row>
    <row r="15" spans="1:58" ht="13">
      <c r="A15" s="153">
        <v>44561</v>
      </c>
      <c r="B15" s="10" t="s">
        <v>187</v>
      </c>
      <c r="C15" s="10">
        <v>44561000009</v>
      </c>
      <c r="D15" s="10" t="s">
        <v>64</v>
      </c>
      <c r="E15" s="10" t="s">
        <v>64</v>
      </c>
      <c r="F15" s="153">
        <v>44561</v>
      </c>
      <c r="G15" s="116" t="s">
        <v>39</v>
      </c>
      <c r="H15" s="116">
        <v>500000</v>
      </c>
      <c r="I15" s="116">
        <v>0</v>
      </c>
      <c r="J15" s="116">
        <v>500000</v>
      </c>
      <c r="K15" s="219">
        <v>0</v>
      </c>
      <c r="L15" s="116">
        <v>0</v>
      </c>
      <c r="M15" s="31">
        <v>500000</v>
      </c>
      <c r="N15" s="336">
        <v>500000</v>
      </c>
      <c r="O15" s="336">
        <v>0</v>
      </c>
      <c r="P15" s="219">
        <v>0</v>
      </c>
      <c r="Q15" s="332">
        <v>0</v>
      </c>
      <c r="R15" s="219">
        <v>0</v>
      </c>
      <c r="S15" s="332">
        <v>0</v>
      </c>
      <c r="T15" s="219">
        <v>0</v>
      </c>
      <c r="U15" s="332">
        <v>0</v>
      </c>
      <c r="V15" s="332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1">
        <v>0</v>
      </c>
      <c r="AH15" s="31">
        <v>1</v>
      </c>
      <c r="AI15" s="31">
        <v>1</v>
      </c>
      <c r="AJ15" s="370">
        <v>1</v>
      </c>
      <c r="AK15" s="219">
        <v>0</v>
      </c>
      <c r="AL15" s="219">
        <v>0</v>
      </c>
      <c r="AM15" s="219">
        <v>0</v>
      </c>
      <c r="AN15" s="219">
        <v>0</v>
      </c>
      <c r="AO15" s="116">
        <v>0</v>
      </c>
      <c r="AP15" s="116">
        <v>0</v>
      </c>
      <c r="AQ15" s="116">
        <v>1</v>
      </c>
      <c r="AR15" s="116">
        <v>0</v>
      </c>
      <c r="AS15" s="116">
        <v>0</v>
      </c>
      <c r="AT15" s="116">
        <v>1</v>
      </c>
      <c r="AU15" s="385">
        <v>0</v>
      </c>
      <c r="AV15" s="332">
        <v>0</v>
      </c>
      <c r="AW15" s="332">
        <v>0</v>
      </c>
      <c r="AX15" s="332">
        <v>500000</v>
      </c>
      <c r="AY15" s="332">
        <v>0</v>
      </c>
      <c r="AZ15" s="332">
        <v>0</v>
      </c>
      <c r="BA15" s="332">
        <v>0</v>
      </c>
      <c r="BB15" s="31">
        <v>500000</v>
      </c>
      <c r="BC15" s="31">
        <v>500000</v>
      </c>
      <c r="BD15" s="29">
        <v>0</v>
      </c>
      <c r="BE15" s="31">
        <v>500000</v>
      </c>
    </row>
    <row r="16" spans="1:58" ht="13">
      <c r="A16" s="153">
        <v>44561</v>
      </c>
      <c r="B16" s="10" t="s">
        <v>188</v>
      </c>
      <c r="C16" s="10">
        <v>44561000010</v>
      </c>
      <c r="D16" s="10" t="s">
        <v>64</v>
      </c>
      <c r="E16" s="10" t="s">
        <v>64</v>
      </c>
      <c r="F16" s="153">
        <v>44561</v>
      </c>
      <c r="G16" s="116" t="s">
        <v>39</v>
      </c>
      <c r="H16" s="116">
        <v>500000</v>
      </c>
      <c r="I16" s="116">
        <v>0</v>
      </c>
      <c r="J16" s="116">
        <v>500000</v>
      </c>
      <c r="K16" s="219">
        <v>0</v>
      </c>
      <c r="L16" s="116">
        <v>0</v>
      </c>
      <c r="M16" s="31">
        <v>500000</v>
      </c>
      <c r="N16" s="336">
        <v>500000</v>
      </c>
      <c r="O16" s="336">
        <v>0</v>
      </c>
      <c r="P16" s="219">
        <v>0</v>
      </c>
      <c r="Q16" s="332">
        <v>0</v>
      </c>
      <c r="R16" s="219">
        <v>0</v>
      </c>
      <c r="S16" s="332">
        <v>0</v>
      </c>
      <c r="T16" s="219">
        <v>0</v>
      </c>
      <c r="U16" s="332">
        <v>0</v>
      </c>
      <c r="V16" s="332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1">
        <v>0</v>
      </c>
      <c r="AH16" s="31">
        <v>1</v>
      </c>
      <c r="AI16" s="31">
        <v>1</v>
      </c>
      <c r="AJ16" s="370">
        <v>1</v>
      </c>
      <c r="AK16" s="219">
        <v>0</v>
      </c>
      <c r="AL16" s="219">
        <v>0</v>
      </c>
      <c r="AM16" s="219">
        <v>0</v>
      </c>
      <c r="AN16" s="219">
        <v>0</v>
      </c>
      <c r="AO16" s="116">
        <v>0</v>
      </c>
      <c r="AP16" s="116">
        <v>0</v>
      </c>
      <c r="AQ16" s="116">
        <v>1</v>
      </c>
      <c r="AR16" s="116">
        <v>0</v>
      </c>
      <c r="AS16" s="116">
        <v>0</v>
      </c>
      <c r="AT16" s="116">
        <v>1</v>
      </c>
      <c r="AU16" s="385">
        <v>0</v>
      </c>
      <c r="AV16" s="332">
        <v>0</v>
      </c>
      <c r="AW16" s="332">
        <v>0</v>
      </c>
      <c r="AX16" s="332">
        <v>500000</v>
      </c>
      <c r="AY16" s="332">
        <v>0</v>
      </c>
      <c r="AZ16" s="332">
        <v>0</v>
      </c>
      <c r="BA16" s="332">
        <v>0</v>
      </c>
      <c r="BB16" s="31">
        <v>500000</v>
      </c>
      <c r="BC16" s="31">
        <v>500000</v>
      </c>
      <c r="BD16" s="29">
        <v>0</v>
      </c>
      <c r="BE16" s="31">
        <v>500000</v>
      </c>
    </row>
    <row r="17" spans="1:57" ht="13">
      <c r="A17" s="153">
        <v>44562</v>
      </c>
      <c r="B17" s="10" t="s">
        <v>183</v>
      </c>
      <c r="C17" s="10">
        <v>44561000005</v>
      </c>
      <c r="D17" s="10" t="s">
        <v>64</v>
      </c>
      <c r="E17" s="10" t="s">
        <v>64</v>
      </c>
      <c r="F17" s="153">
        <v>44561</v>
      </c>
      <c r="G17" s="116" t="s">
        <v>39</v>
      </c>
      <c r="H17" s="116">
        <v>500000</v>
      </c>
      <c r="I17" s="116">
        <v>0</v>
      </c>
      <c r="J17" s="116">
        <v>500000</v>
      </c>
      <c r="K17" s="219">
        <v>0</v>
      </c>
      <c r="L17" s="116">
        <v>0</v>
      </c>
      <c r="M17" s="31">
        <v>500000</v>
      </c>
      <c r="N17" s="336">
        <v>500000</v>
      </c>
      <c r="O17" s="336">
        <v>0</v>
      </c>
      <c r="P17" s="219">
        <v>0</v>
      </c>
      <c r="Q17" s="332">
        <v>0</v>
      </c>
      <c r="R17" s="219">
        <v>0</v>
      </c>
      <c r="S17" s="332">
        <v>0</v>
      </c>
      <c r="T17" s="219">
        <v>0</v>
      </c>
      <c r="U17" s="332">
        <v>0</v>
      </c>
      <c r="V17" s="332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1">
        <v>0</v>
      </c>
      <c r="AH17" s="31">
        <v>1</v>
      </c>
      <c r="AI17" s="31">
        <v>0</v>
      </c>
      <c r="AJ17" s="370">
        <v>1</v>
      </c>
      <c r="AK17" s="219">
        <v>0</v>
      </c>
      <c r="AL17" s="219">
        <v>0</v>
      </c>
      <c r="AM17" s="219">
        <v>0</v>
      </c>
      <c r="AN17" s="219">
        <v>0</v>
      </c>
      <c r="AO17" s="116">
        <v>0</v>
      </c>
      <c r="AP17" s="116">
        <v>0</v>
      </c>
      <c r="AQ17" s="116">
        <v>1</v>
      </c>
      <c r="AR17" s="116">
        <v>0</v>
      </c>
      <c r="AS17" s="116">
        <v>0</v>
      </c>
      <c r="AT17" s="116">
        <v>1</v>
      </c>
      <c r="AU17" s="385">
        <v>0</v>
      </c>
      <c r="AV17" s="332">
        <v>0</v>
      </c>
      <c r="AW17" s="332">
        <v>0</v>
      </c>
      <c r="AX17" s="332">
        <v>500000</v>
      </c>
      <c r="AY17" s="332">
        <v>0</v>
      </c>
      <c r="AZ17" s="332">
        <v>0</v>
      </c>
      <c r="BA17" s="332">
        <v>0</v>
      </c>
      <c r="BB17" s="31">
        <v>500000</v>
      </c>
      <c r="BC17" s="31">
        <v>0</v>
      </c>
      <c r="BD17" s="29">
        <v>0</v>
      </c>
      <c r="BE17" s="29">
        <v>0</v>
      </c>
    </row>
    <row r="18" spans="1:57" ht="13">
      <c r="A18" s="153">
        <v>44562</v>
      </c>
      <c r="B18" s="10" t="s">
        <v>183</v>
      </c>
      <c r="C18" s="10">
        <v>44562000011</v>
      </c>
      <c r="D18" s="10" t="s">
        <v>16</v>
      </c>
      <c r="E18" s="10" t="s">
        <v>42</v>
      </c>
      <c r="F18" s="153">
        <v>44562</v>
      </c>
      <c r="G18" s="116" t="s">
        <v>41</v>
      </c>
      <c r="H18" s="116">
        <v>447610.20799999998</v>
      </c>
      <c r="I18" s="116">
        <v>52389.792000000001</v>
      </c>
      <c r="J18" s="116">
        <v>500000</v>
      </c>
      <c r="K18" s="219">
        <v>447610.20799999998</v>
      </c>
      <c r="L18" s="116">
        <v>0</v>
      </c>
      <c r="M18" s="31">
        <v>-52389.792000000001</v>
      </c>
      <c r="N18" s="336">
        <v>-52389.792000000001</v>
      </c>
      <c r="O18" s="336">
        <v>52389.792000000001</v>
      </c>
      <c r="P18" s="219">
        <v>0</v>
      </c>
      <c r="Q18" s="332">
        <v>26194.896000000001</v>
      </c>
      <c r="R18" s="219">
        <v>2</v>
      </c>
      <c r="S18" s="332">
        <v>0</v>
      </c>
      <c r="T18" s="219">
        <v>0</v>
      </c>
      <c r="U18" s="332">
        <v>0</v>
      </c>
      <c r="V18" s="332">
        <v>0</v>
      </c>
      <c r="W18" s="370">
        <v>0</v>
      </c>
      <c r="X18" s="370">
        <v>0</v>
      </c>
      <c r="Y18" s="370">
        <v>0</v>
      </c>
      <c r="Z18" s="370">
        <v>0</v>
      </c>
      <c r="AA18" s="370">
        <v>0</v>
      </c>
      <c r="AB18" s="370">
        <v>2</v>
      </c>
      <c r="AC18" s="370">
        <v>0</v>
      </c>
      <c r="AD18" s="370">
        <v>0</v>
      </c>
      <c r="AE18" s="370">
        <v>0</v>
      </c>
      <c r="AF18" s="370">
        <v>-2</v>
      </c>
      <c r="AG18" s="31">
        <v>2</v>
      </c>
      <c r="AH18" s="31">
        <v>3334.3456000000001</v>
      </c>
      <c r="AI18" s="31">
        <v>1</v>
      </c>
      <c r="AJ18" s="370">
        <v>7.7961</v>
      </c>
      <c r="AK18" s="219">
        <v>3334.3456000000001</v>
      </c>
      <c r="AL18" s="219">
        <v>0</v>
      </c>
      <c r="AM18" s="219">
        <v>0</v>
      </c>
      <c r="AN18" s="219">
        <v>0</v>
      </c>
      <c r="AO18" s="116">
        <v>0</v>
      </c>
      <c r="AP18" s="116">
        <v>0</v>
      </c>
      <c r="AQ18" s="116">
        <v>2</v>
      </c>
      <c r="AR18" s="116">
        <v>51989.783464320004</v>
      </c>
      <c r="AS18" s="116">
        <v>51989.783464320004</v>
      </c>
      <c r="AT18" s="116">
        <v>1</v>
      </c>
      <c r="AU18" s="385">
        <v>51989.783464320004</v>
      </c>
      <c r="AV18" s="332">
        <v>0</v>
      </c>
      <c r="AW18" s="332">
        <v>51989.783464320004</v>
      </c>
      <c r="AX18" s="332">
        <v>-51989.783464320004</v>
      </c>
      <c r="AY18" s="332">
        <v>0</v>
      </c>
      <c r="AZ18" s="332">
        <v>0</v>
      </c>
      <c r="BA18" s="332">
        <v>0</v>
      </c>
      <c r="BB18" s="31">
        <v>447610.20799999998</v>
      </c>
      <c r="BC18" s="31">
        <v>447610.20799999998</v>
      </c>
      <c r="BD18" s="29">
        <v>0</v>
      </c>
      <c r="BE18" s="29">
        <v>499599.99146431999</v>
      </c>
    </row>
    <row r="19" spans="1:57" ht="13">
      <c r="A19" s="153">
        <v>44562</v>
      </c>
      <c r="B19" s="10" t="s">
        <v>184</v>
      </c>
      <c r="C19" s="10">
        <v>44561000006</v>
      </c>
      <c r="D19" s="10" t="s">
        <v>64</v>
      </c>
      <c r="E19" s="10" t="s">
        <v>64</v>
      </c>
      <c r="F19" s="153">
        <v>44561</v>
      </c>
      <c r="G19" s="116" t="s">
        <v>39</v>
      </c>
      <c r="H19" s="116">
        <v>500000</v>
      </c>
      <c r="I19" s="116">
        <v>0</v>
      </c>
      <c r="J19" s="116">
        <v>500000</v>
      </c>
      <c r="K19" s="219">
        <v>0</v>
      </c>
      <c r="L19" s="116">
        <v>0</v>
      </c>
      <c r="M19" s="31">
        <v>500000</v>
      </c>
      <c r="N19" s="336">
        <v>500000</v>
      </c>
      <c r="O19" s="336">
        <v>0</v>
      </c>
      <c r="P19" s="219">
        <v>0</v>
      </c>
      <c r="Q19" s="332">
        <v>0</v>
      </c>
      <c r="R19" s="219">
        <v>0</v>
      </c>
      <c r="S19" s="332">
        <v>0</v>
      </c>
      <c r="T19" s="219">
        <v>0</v>
      </c>
      <c r="U19" s="332">
        <v>0</v>
      </c>
      <c r="V19" s="332">
        <v>0</v>
      </c>
      <c r="W19" s="370">
        <v>0</v>
      </c>
      <c r="X19" s="370">
        <v>0</v>
      </c>
      <c r="Y19" s="370">
        <v>0</v>
      </c>
      <c r="Z19" s="370">
        <v>0</v>
      </c>
      <c r="AA19" s="370">
        <v>0</v>
      </c>
      <c r="AB19" s="370">
        <v>0</v>
      </c>
      <c r="AC19" s="370">
        <v>0</v>
      </c>
      <c r="AD19" s="370">
        <v>0</v>
      </c>
      <c r="AE19" s="370">
        <v>0</v>
      </c>
      <c r="AF19" s="370">
        <v>0</v>
      </c>
      <c r="AG19" s="31">
        <v>0</v>
      </c>
      <c r="AH19" s="31">
        <v>1</v>
      </c>
      <c r="AI19" s="31">
        <v>1</v>
      </c>
      <c r="AJ19" s="370">
        <v>1</v>
      </c>
      <c r="AK19" s="219">
        <v>0</v>
      </c>
      <c r="AL19" s="219">
        <v>0</v>
      </c>
      <c r="AM19" s="219">
        <v>0</v>
      </c>
      <c r="AN19" s="219">
        <v>0</v>
      </c>
      <c r="AO19" s="116">
        <v>0</v>
      </c>
      <c r="AP19" s="116">
        <v>0</v>
      </c>
      <c r="AQ19" s="116">
        <v>1</v>
      </c>
      <c r="AR19" s="116">
        <v>0</v>
      </c>
      <c r="AS19" s="116">
        <v>0</v>
      </c>
      <c r="AT19" s="116">
        <v>1</v>
      </c>
      <c r="AU19" s="385">
        <v>0</v>
      </c>
      <c r="AV19" s="332">
        <v>0</v>
      </c>
      <c r="AW19" s="332">
        <v>0</v>
      </c>
      <c r="AX19" s="332">
        <v>500000</v>
      </c>
      <c r="AY19" s="332">
        <v>0</v>
      </c>
      <c r="AZ19" s="332">
        <v>0</v>
      </c>
      <c r="BA19" s="332">
        <v>0</v>
      </c>
      <c r="BB19" s="31">
        <v>500000</v>
      </c>
      <c r="BC19" s="31">
        <v>500000</v>
      </c>
      <c r="BD19" s="29">
        <v>0</v>
      </c>
      <c r="BE19" s="31">
        <v>500000</v>
      </c>
    </row>
    <row r="20" spans="1:57" ht="13">
      <c r="A20" s="153">
        <v>44562</v>
      </c>
      <c r="B20" s="10" t="s">
        <v>185</v>
      </c>
      <c r="C20" s="10">
        <v>44561000007</v>
      </c>
      <c r="D20" s="10" t="s">
        <v>64</v>
      </c>
      <c r="E20" s="10" t="s">
        <v>64</v>
      </c>
      <c r="F20" s="153">
        <v>44561</v>
      </c>
      <c r="G20" s="116" t="s">
        <v>39</v>
      </c>
      <c r="H20" s="116">
        <v>500000</v>
      </c>
      <c r="I20" s="116">
        <v>0</v>
      </c>
      <c r="J20" s="116">
        <v>500000</v>
      </c>
      <c r="K20" s="219">
        <v>0</v>
      </c>
      <c r="L20" s="116">
        <v>0</v>
      </c>
      <c r="M20" s="31">
        <v>500000</v>
      </c>
      <c r="N20" s="336">
        <v>500000</v>
      </c>
      <c r="O20" s="336">
        <v>0</v>
      </c>
      <c r="P20" s="219">
        <v>0</v>
      </c>
      <c r="Q20" s="332">
        <v>0</v>
      </c>
      <c r="R20" s="219">
        <v>0</v>
      </c>
      <c r="S20" s="332">
        <v>0</v>
      </c>
      <c r="T20" s="219">
        <v>0</v>
      </c>
      <c r="U20" s="332">
        <v>0</v>
      </c>
      <c r="V20" s="332">
        <v>0</v>
      </c>
      <c r="W20" s="370">
        <v>0</v>
      </c>
      <c r="X20" s="370">
        <v>0</v>
      </c>
      <c r="Y20" s="370">
        <v>0</v>
      </c>
      <c r="Z20" s="370">
        <v>0</v>
      </c>
      <c r="AA20" s="370">
        <v>0</v>
      </c>
      <c r="AB20" s="370">
        <v>0</v>
      </c>
      <c r="AC20" s="370">
        <v>0</v>
      </c>
      <c r="AD20" s="370">
        <v>0</v>
      </c>
      <c r="AE20" s="370">
        <v>0</v>
      </c>
      <c r="AF20" s="370">
        <v>0</v>
      </c>
      <c r="AG20" s="31">
        <v>0</v>
      </c>
      <c r="AH20" s="31">
        <v>1</v>
      </c>
      <c r="AI20" s="31">
        <v>0</v>
      </c>
      <c r="AJ20" s="370">
        <v>1</v>
      </c>
      <c r="AK20" s="219">
        <v>0</v>
      </c>
      <c r="AL20" s="219">
        <v>0</v>
      </c>
      <c r="AM20" s="219">
        <v>0</v>
      </c>
      <c r="AN20" s="219">
        <v>0</v>
      </c>
      <c r="AO20" s="116">
        <v>0</v>
      </c>
      <c r="AP20" s="116">
        <v>0</v>
      </c>
      <c r="AQ20" s="116">
        <v>1</v>
      </c>
      <c r="AR20" s="116">
        <v>0</v>
      </c>
      <c r="AS20" s="116">
        <v>0</v>
      </c>
      <c r="AT20" s="116">
        <v>1</v>
      </c>
      <c r="AU20" s="385">
        <v>0</v>
      </c>
      <c r="AV20" s="332">
        <v>0</v>
      </c>
      <c r="AW20" s="332">
        <v>0</v>
      </c>
      <c r="AX20" s="332">
        <v>500000</v>
      </c>
      <c r="AY20" s="332">
        <v>0</v>
      </c>
      <c r="AZ20" s="332">
        <v>0</v>
      </c>
      <c r="BA20" s="332">
        <v>0</v>
      </c>
      <c r="BB20" s="31">
        <v>500000.16450657271</v>
      </c>
      <c r="BC20" s="31">
        <v>0</v>
      </c>
      <c r="BD20" s="29">
        <v>0</v>
      </c>
      <c r="BE20" s="31">
        <v>0</v>
      </c>
    </row>
    <row r="21" spans="1:57" ht="13">
      <c r="A21" s="153">
        <v>44562</v>
      </c>
      <c r="B21" s="10" t="s">
        <v>185</v>
      </c>
      <c r="C21" s="10">
        <v>44562000029</v>
      </c>
      <c r="D21" s="199" t="s">
        <v>61</v>
      </c>
      <c r="E21" s="10" t="s">
        <v>63</v>
      </c>
      <c r="F21" s="153">
        <v>44562</v>
      </c>
      <c r="G21" s="116" t="s">
        <v>39</v>
      </c>
      <c r="H21" s="116">
        <v>490000</v>
      </c>
      <c r="I21" s="116">
        <v>10000</v>
      </c>
      <c r="J21" s="116">
        <v>500000</v>
      </c>
      <c r="K21" s="219">
        <v>490000</v>
      </c>
      <c r="L21" s="116">
        <v>0</v>
      </c>
      <c r="M21" s="31">
        <v>-10000</v>
      </c>
      <c r="N21" s="336">
        <v>-10000</v>
      </c>
      <c r="O21" s="336">
        <v>0</v>
      </c>
      <c r="P21" s="219">
        <v>0</v>
      </c>
      <c r="Q21" s="332">
        <v>0</v>
      </c>
      <c r="R21" s="219">
        <v>0</v>
      </c>
      <c r="S21" s="332">
        <v>0</v>
      </c>
      <c r="T21" s="219">
        <v>0</v>
      </c>
      <c r="U21" s="332">
        <v>0</v>
      </c>
      <c r="V21" s="332">
        <v>0</v>
      </c>
      <c r="W21" s="370">
        <v>10000</v>
      </c>
      <c r="X21" s="370">
        <v>0</v>
      </c>
      <c r="Y21" s="370">
        <v>0</v>
      </c>
      <c r="Z21" s="370">
        <v>0</v>
      </c>
      <c r="AA21" s="370">
        <v>0</v>
      </c>
      <c r="AB21" s="370">
        <v>0</v>
      </c>
      <c r="AC21" s="370">
        <v>0</v>
      </c>
      <c r="AD21" s="370">
        <v>0</v>
      </c>
      <c r="AE21" s="370">
        <v>10000</v>
      </c>
      <c r="AF21" s="370">
        <v>-10000</v>
      </c>
      <c r="AG21" s="31">
        <v>10000</v>
      </c>
      <c r="AH21" s="31">
        <v>1</v>
      </c>
      <c r="AI21" s="31">
        <v>0</v>
      </c>
      <c r="AJ21" s="370">
        <v>1</v>
      </c>
      <c r="AK21" s="219">
        <v>0</v>
      </c>
      <c r="AL21" s="219">
        <v>0</v>
      </c>
      <c r="AM21" s="219">
        <v>0</v>
      </c>
      <c r="AN21" s="219">
        <v>0</v>
      </c>
      <c r="AO21" s="116">
        <v>0</v>
      </c>
      <c r="AP21" s="116">
        <v>1</v>
      </c>
      <c r="AQ21" s="116">
        <v>2</v>
      </c>
      <c r="AR21" s="116">
        <v>10000</v>
      </c>
      <c r="AS21" s="116">
        <v>30000</v>
      </c>
      <c r="AT21" s="116">
        <v>1</v>
      </c>
      <c r="AU21" s="385">
        <v>0</v>
      </c>
      <c r="AV21" s="332">
        <v>0</v>
      </c>
      <c r="AW21" s="332">
        <v>0</v>
      </c>
      <c r="AX21" s="332">
        <v>-10000</v>
      </c>
      <c r="AY21" s="332">
        <v>0</v>
      </c>
      <c r="AZ21" s="332">
        <v>0</v>
      </c>
      <c r="BA21" s="332">
        <v>4.1126643175088691E-2</v>
      </c>
      <c r="BB21" s="31">
        <v>490000.16450657271</v>
      </c>
      <c r="BC21" s="31">
        <v>0</v>
      </c>
      <c r="BD21" s="29">
        <v>0</v>
      </c>
      <c r="BE21" s="31">
        <v>0</v>
      </c>
    </row>
    <row r="22" spans="1:57" ht="13">
      <c r="A22" s="153">
        <v>44562</v>
      </c>
      <c r="B22" s="10" t="s">
        <v>185</v>
      </c>
      <c r="C22" s="10">
        <v>44562000030</v>
      </c>
      <c r="D22" s="199" t="s">
        <v>18</v>
      </c>
      <c r="E22" s="10" t="s">
        <v>7</v>
      </c>
      <c r="F22" s="153">
        <v>44562</v>
      </c>
      <c r="G22" s="116" t="s">
        <v>41</v>
      </c>
      <c r="H22" s="116">
        <v>448805.40759999998</v>
      </c>
      <c r="I22" s="116">
        <v>51194.592400000009</v>
      </c>
      <c r="J22" s="116">
        <v>500000</v>
      </c>
      <c r="K22" s="219">
        <v>458805.40759999998</v>
      </c>
      <c r="L22" s="116">
        <v>0</v>
      </c>
      <c r="M22" s="31">
        <v>-41194.592400000009</v>
      </c>
      <c r="N22" s="336">
        <v>-41194.592400000001</v>
      </c>
      <c r="O22" s="336">
        <v>0</v>
      </c>
      <c r="P22" s="219">
        <v>0</v>
      </c>
      <c r="Q22" s="332">
        <v>0</v>
      </c>
      <c r="R22" s="219">
        <v>0</v>
      </c>
      <c r="S22" s="332">
        <v>13.21</v>
      </c>
      <c r="T22" s="219">
        <v>40</v>
      </c>
      <c r="U22" s="332">
        <v>0</v>
      </c>
      <c r="V22" s="332">
        <v>0</v>
      </c>
      <c r="W22" s="370">
        <v>0</v>
      </c>
      <c r="X22" s="370">
        <v>0</v>
      </c>
      <c r="Y22" s="370">
        <v>0</v>
      </c>
      <c r="Z22" s="370">
        <v>0</v>
      </c>
      <c r="AA22" s="370">
        <v>0</v>
      </c>
      <c r="AB22" s="370">
        <v>0</v>
      </c>
      <c r="AC22" s="370">
        <v>40</v>
      </c>
      <c r="AD22" s="370">
        <v>0</v>
      </c>
      <c r="AE22" s="370">
        <v>0</v>
      </c>
      <c r="AF22" s="370">
        <v>-40</v>
      </c>
      <c r="AG22" s="31">
        <v>40</v>
      </c>
      <c r="AH22" s="31">
        <v>24.29</v>
      </c>
      <c r="AI22" s="31">
        <v>0</v>
      </c>
      <c r="AJ22" s="370">
        <v>7.7961</v>
      </c>
      <c r="AK22" s="219">
        <v>0</v>
      </c>
      <c r="AL22" s="219">
        <v>24.29</v>
      </c>
      <c r="AM22" s="219">
        <v>26.71</v>
      </c>
      <c r="AN22" s="219">
        <v>0</v>
      </c>
      <c r="AO22" s="116">
        <v>0</v>
      </c>
      <c r="AP22" s="116">
        <v>0</v>
      </c>
      <c r="AQ22" s="116">
        <v>3</v>
      </c>
      <c r="AR22" s="116">
        <v>75746.907600000006</v>
      </c>
      <c r="AS22" s="116">
        <v>75746.907600000006</v>
      </c>
      <c r="AT22" s="116">
        <v>1</v>
      </c>
      <c r="AU22" s="385">
        <v>0</v>
      </c>
      <c r="AV22" s="332">
        <v>0</v>
      </c>
      <c r="AW22" s="332">
        <v>0</v>
      </c>
      <c r="AX22" s="332">
        <v>-79520.22</v>
      </c>
      <c r="AY22" s="332">
        <v>0</v>
      </c>
      <c r="AZ22" s="332">
        <v>0</v>
      </c>
      <c r="BA22" s="332">
        <v>0</v>
      </c>
      <c r="BB22" s="31">
        <v>448805.57210657268</v>
      </c>
      <c r="BC22" s="31">
        <v>0</v>
      </c>
      <c r="BD22" s="29">
        <v>0</v>
      </c>
      <c r="BE22" s="31">
        <v>0</v>
      </c>
    </row>
    <row r="23" spans="1:57" ht="13">
      <c r="A23" s="153">
        <v>44562</v>
      </c>
      <c r="B23" s="10" t="s">
        <v>185</v>
      </c>
      <c r="C23" s="10">
        <v>44562000031</v>
      </c>
      <c r="D23" s="199" t="s">
        <v>61</v>
      </c>
      <c r="E23" s="10" t="s">
        <v>63</v>
      </c>
      <c r="F23" s="153">
        <v>44562</v>
      </c>
      <c r="G23" s="116" t="s">
        <v>39</v>
      </c>
      <c r="H23" s="116">
        <v>428805.40759999998</v>
      </c>
      <c r="I23" s="116">
        <v>71194.592400000009</v>
      </c>
      <c r="J23" s="116">
        <v>500000</v>
      </c>
      <c r="K23" s="219">
        <v>438805.40759999998</v>
      </c>
      <c r="L23" s="116">
        <v>0</v>
      </c>
      <c r="M23" s="31">
        <v>-20000</v>
      </c>
      <c r="N23" s="336">
        <v>-20000</v>
      </c>
      <c r="O23" s="336">
        <v>0</v>
      </c>
      <c r="P23" s="219">
        <v>0</v>
      </c>
      <c r="Q23" s="332">
        <v>0</v>
      </c>
      <c r="R23" s="219">
        <v>0</v>
      </c>
      <c r="S23" s="332">
        <v>0</v>
      </c>
      <c r="T23" s="219">
        <v>0</v>
      </c>
      <c r="U23" s="332">
        <v>0</v>
      </c>
      <c r="V23" s="332">
        <v>0</v>
      </c>
      <c r="W23" s="370">
        <v>20000</v>
      </c>
      <c r="X23" s="370">
        <v>0</v>
      </c>
      <c r="Y23" s="370">
        <v>0</v>
      </c>
      <c r="Z23" s="370">
        <v>0</v>
      </c>
      <c r="AA23" s="370">
        <v>10000</v>
      </c>
      <c r="AB23" s="370">
        <v>0</v>
      </c>
      <c r="AC23" s="370">
        <v>0</v>
      </c>
      <c r="AD23" s="370">
        <v>0</v>
      </c>
      <c r="AE23" s="370">
        <v>30000</v>
      </c>
      <c r="AF23" s="370">
        <v>-20000</v>
      </c>
      <c r="AG23" s="31">
        <v>20000</v>
      </c>
      <c r="AH23" s="31">
        <v>1</v>
      </c>
      <c r="AI23" s="31">
        <v>0</v>
      </c>
      <c r="AJ23" s="370">
        <v>1</v>
      </c>
      <c r="AK23" s="219">
        <v>0</v>
      </c>
      <c r="AL23" s="219">
        <v>0</v>
      </c>
      <c r="AM23" s="219">
        <v>0</v>
      </c>
      <c r="AN23" s="219">
        <v>0</v>
      </c>
      <c r="AO23" s="116">
        <v>0</v>
      </c>
      <c r="AP23" s="116">
        <v>1</v>
      </c>
      <c r="AQ23" s="116">
        <v>3</v>
      </c>
      <c r="AR23" s="116">
        <v>20000</v>
      </c>
      <c r="AS23" s="116">
        <v>30000</v>
      </c>
      <c r="AT23" s="116">
        <v>0</v>
      </c>
      <c r="AU23" s="385">
        <v>0</v>
      </c>
      <c r="AV23" s="332">
        <v>0</v>
      </c>
      <c r="AW23" s="332">
        <v>0</v>
      </c>
      <c r="AX23" s="332">
        <v>-20000</v>
      </c>
      <c r="AY23" s="332">
        <v>0</v>
      </c>
      <c r="AZ23" s="332">
        <v>0</v>
      </c>
      <c r="BA23" s="332">
        <v>0.12337992952526605</v>
      </c>
      <c r="BB23" s="31">
        <v>428805.57210657268</v>
      </c>
      <c r="BC23" s="31">
        <v>0</v>
      </c>
      <c r="BD23" s="29">
        <v>0</v>
      </c>
      <c r="BE23" s="31">
        <v>0</v>
      </c>
    </row>
    <row r="24" spans="1:57" ht="13">
      <c r="A24" s="153">
        <v>44562</v>
      </c>
      <c r="B24" s="10" t="s">
        <v>185</v>
      </c>
      <c r="C24" s="10">
        <v>44562000035</v>
      </c>
      <c r="D24" s="199" t="s">
        <v>16</v>
      </c>
      <c r="E24" s="10" t="s">
        <v>38</v>
      </c>
      <c r="F24" s="153">
        <v>44562</v>
      </c>
      <c r="G24" s="116" t="s">
        <v>39</v>
      </c>
      <c r="H24" s="116">
        <v>424205.40759999998</v>
      </c>
      <c r="I24" s="116">
        <v>75794.592400000009</v>
      </c>
      <c r="J24" s="116">
        <v>500000</v>
      </c>
      <c r="K24" s="219">
        <v>444205.40759999998</v>
      </c>
      <c r="L24" s="116">
        <v>0</v>
      </c>
      <c r="M24" s="31">
        <v>-4600</v>
      </c>
      <c r="N24" s="336">
        <v>-4600</v>
      </c>
      <c r="O24" s="336">
        <v>4600</v>
      </c>
      <c r="P24" s="219">
        <v>0</v>
      </c>
      <c r="Q24" s="332">
        <v>460</v>
      </c>
      <c r="R24" s="219">
        <v>10</v>
      </c>
      <c r="S24" s="332">
        <v>0</v>
      </c>
      <c r="T24" s="219">
        <v>0</v>
      </c>
      <c r="U24" s="332">
        <v>0</v>
      </c>
      <c r="V24" s="332">
        <v>0</v>
      </c>
      <c r="W24" s="370">
        <v>0</v>
      </c>
      <c r="X24" s="370">
        <v>0</v>
      </c>
      <c r="Y24" s="370">
        <v>0</v>
      </c>
      <c r="Z24" s="370">
        <v>0</v>
      </c>
      <c r="AA24" s="370">
        <v>0</v>
      </c>
      <c r="AB24" s="370">
        <v>10</v>
      </c>
      <c r="AC24" s="370">
        <v>0</v>
      </c>
      <c r="AD24" s="370">
        <v>0</v>
      </c>
      <c r="AE24" s="370">
        <v>0</v>
      </c>
      <c r="AF24" s="370">
        <v>-10</v>
      </c>
      <c r="AG24" s="31">
        <v>10</v>
      </c>
      <c r="AH24" s="31">
        <v>456.8</v>
      </c>
      <c r="AI24" s="31">
        <v>1</v>
      </c>
      <c r="AJ24" s="370">
        <v>1</v>
      </c>
      <c r="AK24" s="219">
        <v>456.8</v>
      </c>
      <c r="AL24" s="219">
        <v>0</v>
      </c>
      <c r="AM24" s="219">
        <v>0</v>
      </c>
      <c r="AN24" s="219">
        <v>0</v>
      </c>
      <c r="AO24" s="116">
        <v>0</v>
      </c>
      <c r="AP24" s="116">
        <v>0</v>
      </c>
      <c r="AQ24" s="116">
        <v>4</v>
      </c>
      <c r="AR24" s="116">
        <v>4568</v>
      </c>
      <c r="AS24" s="116">
        <v>4568</v>
      </c>
      <c r="AT24" s="116">
        <v>1</v>
      </c>
      <c r="AU24" s="385">
        <v>110314.90760000001</v>
      </c>
      <c r="AV24" s="332">
        <v>0</v>
      </c>
      <c r="AW24" s="332">
        <v>110314.90760000001</v>
      </c>
      <c r="AX24" s="332">
        <v>-4568</v>
      </c>
      <c r="AY24" s="332">
        <v>0</v>
      </c>
      <c r="AZ24" s="332">
        <v>0</v>
      </c>
      <c r="BA24" s="332">
        <v>0</v>
      </c>
      <c r="BB24" s="31">
        <v>424205.57210657268</v>
      </c>
      <c r="BC24" s="31">
        <v>424205.57210657268</v>
      </c>
      <c r="BD24" s="29">
        <v>0</v>
      </c>
      <c r="BE24" s="31">
        <v>534520.31519999995</v>
      </c>
    </row>
    <row r="25" spans="1:57" ht="13">
      <c r="A25" s="153">
        <v>44562</v>
      </c>
      <c r="B25" s="10" t="s">
        <v>186</v>
      </c>
      <c r="C25" s="10">
        <v>44561000008</v>
      </c>
      <c r="D25" s="199" t="s">
        <v>64</v>
      </c>
      <c r="E25" s="10" t="s">
        <v>64</v>
      </c>
      <c r="F25" s="153">
        <v>44561</v>
      </c>
      <c r="G25" s="116" t="s">
        <v>39</v>
      </c>
      <c r="H25" s="116">
        <v>500000</v>
      </c>
      <c r="I25" s="116">
        <v>0</v>
      </c>
      <c r="J25" s="116">
        <v>500000</v>
      </c>
      <c r="K25" s="219">
        <v>0</v>
      </c>
      <c r="L25" s="116">
        <v>0</v>
      </c>
      <c r="M25" s="31">
        <v>500000</v>
      </c>
      <c r="N25" s="336">
        <v>500000</v>
      </c>
      <c r="O25" s="336">
        <v>0</v>
      </c>
      <c r="P25" s="219">
        <v>0</v>
      </c>
      <c r="Q25" s="332">
        <v>0</v>
      </c>
      <c r="R25" s="219">
        <v>0</v>
      </c>
      <c r="S25" s="332">
        <v>0</v>
      </c>
      <c r="T25" s="219">
        <v>0</v>
      </c>
      <c r="U25" s="332">
        <v>0</v>
      </c>
      <c r="V25" s="332">
        <v>0</v>
      </c>
      <c r="W25" s="370">
        <v>0</v>
      </c>
      <c r="X25" s="370">
        <v>0</v>
      </c>
      <c r="Y25" s="370">
        <v>0</v>
      </c>
      <c r="Z25" s="370">
        <v>0</v>
      </c>
      <c r="AA25" s="370">
        <v>0</v>
      </c>
      <c r="AB25" s="370">
        <v>0</v>
      </c>
      <c r="AC25" s="370">
        <v>0</v>
      </c>
      <c r="AD25" s="370">
        <v>0</v>
      </c>
      <c r="AE25" s="370">
        <v>0</v>
      </c>
      <c r="AF25" s="370">
        <v>0</v>
      </c>
      <c r="AG25" s="31">
        <v>0</v>
      </c>
      <c r="AH25" s="31">
        <v>1</v>
      </c>
      <c r="AI25" s="31">
        <v>1</v>
      </c>
      <c r="AJ25" s="370">
        <v>1</v>
      </c>
      <c r="AK25" s="219">
        <v>0</v>
      </c>
      <c r="AL25" s="219">
        <v>0</v>
      </c>
      <c r="AM25" s="219">
        <v>0</v>
      </c>
      <c r="AN25" s="219">
        <v>0</v>
      </c>
      <c r="AO25" s="116">
        <v>0</v>
      </c>
      <c r="AP25" s="116">
        <v>0</v>
      </c>
      <c r="AQ25" s="116">
        <v>1</v>
      </c>
      <c r="AR25" s="116">
        <v>0</v>
      </c>
      <c r="AS25" s="116">
        <v>0</v>
      </c>
      <c r="AT25" s="116">
        <v>1</v>
      </c>
      <c r="AU25" s="385">
        <v>0</v>
      </c>
      <c r="AV25" s="332">
        <v>0</v>
      </c>
      <c r="AW25" s="332">
        <v>0</v>
      </c>
      <c r="AX25" s="332">
        <v>500000</v>
      </c>
      <c r="AY25" s="332">
        <v>0</v>
      </c>
      <c r="AZ25" s="332">
        <v>0</v>
      </c>
      <c r="BA25" s="332">
        <v>0</v>
      </c>
      <c r="BB25" s="31">
        <v>500000</v>
      </c>
      <c r="BC25" s="31">
        <v>500000</v>
      </c>
      <c r="BD25" s="29">
        <v>0</v>
      </c>
      <c r="BE25" s="31">
        <v>500000</v>
      </c>
    </row>
    <row r="26" spans="1:57" ht="13">
      <c r="A26" s="153">
        <v>44562</v>
      </c>
      <c r="B26" s="10" t="s">
        <v>187</v>
      </c>
      <c r="C26" s="10">
        <v>44561000009</v>
      </c>
      <c r="D26" s="199" t="s">
        <v>64</v>
      </c>
      <c r="E26" s="10" t="s">
        <v>64</v>
      </c>
      <c r="F26" s="153">
        <v>44561</v>
      </c>
      <c r="G26" s="116" t="s">
        <v>39</v>
      </c>
      <c r="H26" s="116">
        <v>500000</v>
      </c>
      <c r="I26" s="116">
        <v>0</v>
      </c>
      <c r="J26" s="116">
        <v>500000</v>
      </c>
      <c r="K26" s="219">
        <v>0</v>
      </c>
      <c r="L26" s="116">
        <v>0</v>
      </c>
      <c r="M26" s="31">
        <v>500000</v>
      </c>
      <c r="N26" s="336">
        <v>500000</v>
      </c>
      <c r="O26" s="336">
        <v>0</v>
      </c>
      <c r="P26" s="219">
        <v>0</v>
      </c>
      <c r="Q26" s="332">
        <v>0</v>
      </c>
      <c r="R26" s="219">
        <v>0</v>
      </c>
      <c r="S26" s="332">
        <v>0</v>
      </c>
      <c r="T26" s="219">
        <v>0</v>
      </c>
      <c r="U26" s="332">
        <v>0</v>
      </c>
      <c r="V26" s="332">
        <v>0</v>
      </c>
      <c r="W26" s="370">
        <v>0</v>
      </c>
      <c r="X26" s="370">
        <v>0</v>
      </c>
      <c r="Y26" s="370">
        <v>0</v>
      </c>
      <c r="Z26" s="370">
        <v>0</v>
      </c>
      <c r="AA26" s="370">
        <v>0</v>
      </c>
      <c r="AB26" s="370">
        <v>0</v>
      </c>
      <c r="AC26" s="370">
        <v>0</v>
      </c>
      <c r="AD26" s="370">
        <v>0</v>
      </c>
      <c r="AE26" s="370">
        <v>0</v>
      </c>
      <c r="AF26" s="370">
        <v>0</v>
      </c>
      <c r="AG26" s="31">
        <v>0</v>
      </c>
      <c r="AH26" s="31">
        <v>1</v>
      </c>
      <c r="AI26" s="31">
        <v>1</v>
      </c>
      <c r="AJ26" s="370">
        <v>1</v>
      </c>
      <c r="AK26" s="219">
        <v>0</v>
      </c>
      <c r="AL26" s="219">
        <v>0</v>
      </c>
      <c r="AM26" s="219">
        <v>0</v>
      </c>
      <c r="AN26" s="219">
        <v>0</v>
      </c>
      <c r="AO26" s="116">
        <v>0</v>
      </c>
      <c r="AP26" s="116">
        <v>0</v>
      </c>
      <c r="AQ26" s="116">
        <v>1</v>
      </c>
      <c r="AR26" s="116">
        <v>0</v>
      </c>
      <c r="AS26" s="116">
        <v>0</v>
      </c>
      <c r="AT26" s="116">
        <v>1</v>
      </c>
      <c r="AU26" s="385">
        <v>0</v>
      </c>
      <c r="AV26" s="332">
        <v>0</v>
      </c>
      <c r="AW26" s="332">
        <v>0</v>
      </c>
      <c r="AX26" s="332">
        <v>500000</v>
      </c>
      <c r="AY26" s="332">
        <v>0</v>
      </c>
      <c r="AZ26" s="332">
        <v>0</v>
      </c>
      <c r="BA26" s="332">
        <v>0</v>
      </c>
      <c r="BB26" s="31">
        <v>500000</v>
      </c>
      <c r="BC26" s="31">
        <v>500000</v>
      </c>
      <c r="BD26" s="29">
        <v>0</v>
      </c>
      <c r="BE26" s="31">
        <v>500000</v>
      </c>
    </row>
    <row r="27" spans="1:57" ht="13">
      <c r="A27" s="153">
        <v>44562</v>
      </c>
      <c r="B27" s="10" t="s">
        <v>188</v>
      </c>
      <c r="C27" s="10">
        <v>44561000010</v>
      </c>
      <c r="D27" s="199" t="s">
        <v>64</v>
      </c>
      <c r="E27" s="10" t="s">
        <v>64</v>
      </c>
      <c r="F27" s="153">
        <v>44561</v>
      </c>
      <c r="G27" s="116" t="s">
        <v>39</v>
      </c>
      <c r="H27" s="116">
        <v>500000</v>
      </c>
      <c r="I27" s="116">
        <v>0</v>
      </c>
      <c r="J27" s="116">
        <v>500000</v>
      </c>
      <c r="K27" s="219">
        <v>0</v>
      </c>
      <c r="L27" s="116">
        <v>0</v>
      </c>
      <c r="M27" s="31">
        <v>500000</v>
      </c>
      <c r="N27" s="336">
        <v>500000</v>
      </c>
      <c r="O27" s="336">
        <v>0</v>
      </c>
      <c r="P27" s="219">
        <v>0</v>
      </c>
      <c r="Q27" s="332">
        <v>0</v>
      </c>
      <c r="R27" s="219">
        <v>0</v>
      </c>
      <c r="S27" s="332">
        <v>0</v>
      </c>
      <c r="T27" s="219">
        <v>0</v>
      </c>
      <c r="U27" s="332">
        <v>0</v>
      </c>
      <c r="V27" s="332">
        <v>0</v>
      </c>
      <c r="W27" s="370">
        <v>0</v>
      </c>
      <c r="X27" s="370">
        <v>0</v>
      </c>
      <c r="Y27" s="370">
        <v>0</v>
      </c>
      <c r="Z27" s="370">
        <v>0</v>
      </c>
      <c r="AA27" s="370">
        <v>0</v>
      </c>
      <c r="AB27" s="370">
        <v>0</v>
      </c>
      <c r="AC27" s="370">
        <v>0</v>
      </c>
      <c r="AD27" s="370">
        <v>0</v>
      </c>
      <c r="AE27" s="370">
        <v>0</v>
      </c>
      <c r="AF27" s="370">
        <v>0</v>
      </c>
      <c r="AG27" s="31">
        <v>0</v>
      </c>
      <c r="AH27" s="31">
        <v>1</v>
      </c>
      <c r="AI27" s="31">
        <v>1</v>
      </c>
      <c r="AJ27" s="370">
        <v>1</v>
      </c>
      <c r="AK27" s="219">
        <v>0</v>
      </c>
      <c r="AL27" s="219">
        <v>0</v>
      </c>
      <c r="AM27" s="219">
        <v>0</v>
      </c>
      <c r="AN27" s="219">
        <v>0</v>
      </c>
      <c r="AO27" s="116">
        <v>0</v>
      </c>
      <c r="AP27" s="116">
        <v>0</v>
      </c>
      <c r="AQ27" s="116">
        <v>1</v>
      </c>
      <c r="AR27" s="116">
        <v>0</v>
      </c>
      <c r="AS27" s="116">
        <v>0</v>
      </c>
      <c r="AT27" s="116">
        <v>1</v>
      </c>
      <c r="AU27" s="385">
        <v>0</v>
      </c>
      <c r="AV27" s="332">
        <v>0</v>
      </c>
      <c r="AW27" s="332">
        <v>0</v>
      </c>
      <c r="AX27" s="332">
        <v>500000</v>
      </c>
      <c r="AY27" s="332">
        <v>0</v>
      </c>
      <c r="AZ27" s="332">
        <v>0</v>
      </c>
      <c r="BA27" s="332">
        <v>0</v>
      </c>
      <c r="BB27" s="31">
        <v>500000</v>
      </c>
      <c r="BC27" s="31">
        <v>500000</v>
      </c>
      <c r="BD27" s="29">
        <v>0</v>
      </c>
      <c r="BE27" s="31">
        <v>500000</v>
      </c>
    </row>
    <row r="28" spans="1:57" ht="13">
      <c r="A28" s="153">
        <v>44563</v>
      </c>
      <c r="B28" s="10" t="s">
        <v>183</v>
      </c>
      <c r="C28" s="10">
        <v>44561000005</v>
      </c>
      <c r="D28" s="199" t="s">
        <v>64</v>
      </c>
      <c r="E28" s="10" t="s">
        <v>64</v>
      </c>
      <c r="F28" s="153">
        <v>44561</v>
      </c>
      <c r="G28" s="116" t="s">
        <v>39</v>
      </c>
      <c r="H28" s="116">
        <v>500000</v>
      </c>
      <c r="I28" s="116">
        <v>0</v>
      </c>
      <c r="J28" s="116">
        <v>500000</v>
      </c>
      <c r="K28" s="219">
        <v>0</v>
      </c>
      <c r="L28" s="116">
        <v>0</v>
      </c>
      <c r="M28" s="31">
        <v>500000</v>
      </c>
      <c r="N28" s="336">
        <v>500000</v>
      </c>
      <c r="O28" s="336">
        <v>0</v>
      </c>
      <c r="P28" s="219">
        <v>0</v>
      </c>
      <c r="Q28" s="332">
        <v>0</v>
      </c>
      <c r="R28" s="219">
        <v>0</v>
      </c>
      <c r="S28" s="332">
        <v>0</v>
      </c>
      <c r="T28" s="219">
        <v>0</v>
      </c>
      <c r="U28" s="332">
        <v>0</v>
      </c>
      <c r="V28" s="332">
        <v>0</v>
      </c>
      <c r="W28" s="370">
        <v>0</v>
      </c>
      <c r="X28" s="370">
        <v>0</v>
      </c>
      <c r="Y28" s="370">
        <v>0</v>
      </c>
      <c r="Z28" s="370">
        <v>0</v>
      </c>
      <c r="AA28" s="370">
        <v>0</v>
      </c>
      <c r="AB28" s="370">
        <v>0</v>
      </c>
      <c r="AC28" s="370">
        <v>0</v>
      </c>
      <c r="AD28" s="370">
        <v>0</v>
      </c>
      <c r="AE28" s="370">
        <v>0</v>
      </c>
      <c r="AF28" s="370">
        <v>0</v>
      </c>
      <c r="AG28" s="31">
        <v>0</v>
      </c>
      <c r="AH28" s="31">
        <v>1</v>
      </c>
      <c r="AI28" s="31">
        <v>0</v>
      </c>
      <c r="AJ28" s="370">
        <v>1</v>
      </c>
      <c r="AK28" s="219">
        <v>0</v>
      </c>
      <c r="AL28" s="219">
        <v>0</v>
      </c>
      <c r="AM28" s="219">
        <v>0</v>
      </c>
      <c r="AN28" s="219">
        <v>0</v>
      </c>
      <c r="AO28" s="116">
        <v>0</v>
      </c>
      <c r="AP28" s="116">
        <v>0</v>
      </c>
      <c r="AQ28" s="116">
        <v>1</v>
      </c>
      <c r="AR28" s="116">
        <v>0</v>
      </c>
      <c r="AS28" s="116">
        <v>0</v>
      </c>
      <c r="AT28" s="116">
        <v>1</v>
      </c>
      <c r="AU28" s="385">
        <v>0</v>
      </c>
      <c r="AV28" s="332">
        <v>0</v>
      </c>
      <c r="AW28" s="332">
        <v>0</v>
      </c>
      <c r="AX28" s="332">
        <v>500000</v>
      </c>
      <c r="AY28" s="332">
        <v>0</v>
      </c>
      <c r="AZ28" s="332">
        <v>0</v>
      </c>
      <c r="BA28" s="332">
        <v>0</v>
      </c>
      <c r="BB28" s="31">
        <v>499993.60923968739</v>
      </c>
      <c r="BC28" s="31">
        <v>0</v>
      </c>
      <c r="BD28" s="29">
        <v>0</v>
      </c>
      <c r="BE28" s="29">
        <v>0</v>
      </c>
    </row>
    <row r="29" spans="1:57" ht="13">
      <c r="A29" s="153">
        <v>44563</v>
      </c>
      <c r="B29" s="10" t="s">
        <v>183</v>
      </c>
      <c r="C29" s="10">
        <v>44562000011</v>
      </c>
      <c r="D29" s="199" t="s">
        <v>16</v>
      </c>
      <c r="E29" s="10" t="s">
        <v>42</v>
      </c>
      <c r="F29" s="153">
        <v>44562</v>
      </c>
      <c r="G29" s="116" t="s">
        <v>41</v>
      </c>
      <c r="H29" s="116">
        <v>447610.20799999998</v>
      </c>
      <c r="I29" s="116">
        <v>52389.792000000001</v>
      </c>
      <c r="J29" s="116">
        <v>500000</v>
      </c>
      <c r="K29" s="219">
        <v>447610.20799999998</v>
      </c>
      <c r="L29" s="116">
        <v>0</v>
      </c>
      <c r="M29" s="31">
        <v>-52389.792000000001</v>
      </c>
      <c r="N29" s="336">
        <v>-52389.792000000001</v>
      </c>
      <c r="O29" s="336">
        <v>52389.792000000001</v>
      </c>
      <c r="P29" s="219">
        <v>0</v>
      </c>
      <c r="Q29" s="332">
        <v>26194.896000000001</v>
      </c>
      <c r="R29" s="219">
        <v>2</v>
      </c>
      <c r="S29" s="332">
        <v>0</v>
      </c>
      <c r="T29" s="219">
        <v>0</v>
      </c>
      <c r="U29" s="332">
        <v>0</v>
      </c>
      <c r="V29" s="332">
        <v>0</v>
      </c>
      <c r="W29" s="370">
        <v>0</v>
      </c>
      <c r="X29" s="370">
        <v>0</v>
      </c>
      <c r="Y29" s="370">
        <v>0</v>
      </c>
      <c r="Z29" s="370">
        <v>0</v>
      </c>
      <c r="AA29" s="370">
        <v>0</v>
      </c>
      <c r="AB29" s="370">
        <v>2</v>
      </c>
      <c r="AC29" s="370">
        <v>0</v>
      </c>
      <c r="AD29" s="370">
        <v>0</v>
      </c>
      <c r="AE29" s="370">
        <v>0</v>
      </c>
      <c r="AF29" s="370">
        <v>-2</v>
      </c>
      <c r="AG29" s="31">
        <v>2</v>
      </c>
      <c r="AH29" s="31">
        <v>3334.34</v>
      </c>
      <c r="AI29" s="31">
        <v>0</v>
      </c>
      <c r="AJ29" s="370">
        <v>7.7961499999999999</v>
      </c>
      <c r="AK29" s="219">
        <v>3334.34</v>
      </c>
      <c r="AL29" s="219">
        <v>0</v>
      </c>
      <c r="AM29" s="219">
        <v>0</v>
      </c>
      <c r="AN29" s="219">
        <v>0</v>
      </c>
      <c r="AO29" s="116">
        <v>0</v>
      </c>
      <c r="AP29" s="116">
        <v>0</v>
      </c>
      <c r="AQ29" s="116">
        <v>2</v>
      </c>
      <c r="AR29" s="116">
        <v>51990.029582000003</v>
      </c>
      <c r="AS29" s="116">
        <v>51990.029582000003</v>
      </c>
      <c r="AT29" s="116">
        <v>1</v>
      </c>
      <c r="AU29" s="385">
        <v>0</v>
      </c>
      <c r="AV29" s="332">
        <v>0</v>
      </c>
      <c r="AW29" s="332">
        <v>0</v>
      </c>
      <c r="AX29" s="332">
        <v>-51990.029582000003</v>
      </c>
      <c r="AY29" s="332">
        <v>0</v>
      </c>
      <c r="AZ29" s="332">
        <v>0</v>
      </c>
      <c r="BA29" s="332">
        <v>0</v>
      </c>
      <c r="BB29" s="31">
        <v>447603.81723968737</v>
      </c>
      <c r="BC29" s="31">
        <v>0</v>
      </c>
      <c r="BD29" s="29">
        <v>0</v>
      </c>
      <c r="BE29" s="29">
        <v>0</v>
      </c>
    </row>
    <row r="30" spans="1:57" ht="13">
      <c r="A30" s="153">
        <v>44563</v>
      </c>
      <c r="B30" s="10" t="s">
        <v>183</v>
      </c>
      <c r="C30" s="10">
        <v>44563000012</v>
      </c>
      <c r="D30" s="199" t="s">
        <v>16</v>
      </c>
      <c r="E30" s="10" t="s">
        <v>38</v>
      </c>
      <c r="F30" s="153">
        <v>44563</v>
      </c>
      <c r="G30" s="116" t="s">
        <v>39</v>
      </c>
      <c r="H30" s="116">
        <v>443010.20799999998</v>
      </c>
      <c r="I30" s="116">
        <v>56989.792000000001</v>
      </c>
      <c r="J30" s="116">
        <v>500000</v>
      </c>
      <c r="K30" s="219">
        <v>443010.20799999998</v>
      </c>
      <c r="L30" s="116">
        <v>0</v>
      </c>
      <c r="M30" s="31">
        <v>-4600</v>
      </c>
      <c r="N30" s="336">
        <v>-4600</v>
      </c>
      <c r="O30" s="336">
        <v>4600</v>
      </c>
      <c r="P30" s="219">
        <v>0</v>
      </c>
      <c r="Q30" s="332">
        <v>460</v>
      </c>
      <c r="R30" s="219">
        <v>10</v>
      </c>
      <c r="S30" s="332">
        <v>0</v>
      </c>
      <c r="T30" s="219">
        <v>0</v>
      </c>
      <c r="U30" s="332">
        <v>0</v>
      </c>
      <c r="V30" s="332">
        <v>0</v>
      </c>
      <c r="W30" s="370">
        <v>0</v>
      </c>
      <c r="X30" s="370">
        <v>0</v>
      </c>
      <c r="Y30" s="370">
        <v>0</v>
      </c>
      <c r="Z30" s="370">
        <v>0</v>
      </c>
      <c r="AA30" s="370">
        <v>0</v>
      </c>
      <c r="AB30" s="370">
        <v>10</v>
      </c>
      <c r="AC30" s="370">
        <v>0</v>
      </c>
      <c r="AD30" s="370">
        <v>0</v>
      </c>
      <c r="AE30" s="370">
        <v>0</v>
      </c>
      <c r="AF30" s="370">
        <v>-10</v>
      </c>
      <c r="AG30" s="31">
        <v>10</v>
      </c>
      <c r="AH30" s="31">
        <v>456.8</v>
      </c>
      <c r="AI30" s="31">
        <v>0</v>
      </c>
      <c r="AJ30" s="370">
        <v>1</v>
      </c>
      <c r="AK30" s="219">
        <v>456.8</v>
      </c>
      <c r="AL30" s="219">
        <v>0</v>
      </c>
      <c r="AM30" s="219">
        <v>0</v>
      </c>
      <c r="AN30" s="219">
        <v>0</v>
      </c>
      <c r="AO30" s="116">
        <v>0</v>
      </c>
      <c r="AP30" s="116">
        <v>0</v>
      </c>
      <c r="AQ30" s="116">
        <v>3</v>
      </c>
      <c r="AR30" s="116">
        <v>4568</v>
      </c>
      <c r="AS30" s="116">
        <v>4568</v>
      </c>
      <c r="AT30" s="116">
        <v>1</v>
      </c>
      <c r="AU30" s="385">
        <v>0</v>
      </c>
      <c r="AV30" s="332">
        <v>0</v>
      </c>
      <c r="AW30" s="332">
        <v>0</v>
      </c>
      <c r="AX30" s="332">
        <v>-4568</v>
      </c>
      <c r="AY30" s="332">
        <v>0</v>
      </c>
      <c r="AZ30" s="332">
        <v>0</v>
      </c>
      <c r="BA30" s="332">
        <v>0</v>
      </c>
      <c r="BB30" s="31">
        <v>443003.81723968737</v>
      </c>
      <c r="BC30" s="31">
        <v>0</v>
      </c>
      <c r="BD30" s="29">
        <v>0</v>
      </c>
      <c r="BE30" s="31">
        <v>0</v>
      </c>
    </row>
    <row r="31" spans="1:57" ht="13">
      <c r="A31" s="153">
        <v>44563</v>
      </c>
      <c r="B31" s="10" t="s">
        <v>183</v>
      </c>
      <c r="C31" s="10">
        <v>44563000013</v>
      </c>
      <c r="D31" s="199" t="s">
        <v>16</v>
      </c>
      <c r="E31" s="10" t="s">
        <v>40</v>
      </c>
      <c r="F31" s="153">
        <v>44563</v>
      </c>
      <c r="G31" s="116" t="s">
        <v>29</v>
      </c>
      <c r="H31" s="116">
        <v>480735.87624999997</v>
      </c>
      <c r="I31" s="116">
        <v>19264.123750000006</v>
      </c>
      <c r="J31" s="116">
        <v>500000</v>
      </c>
      <c r="K31" s="219">
        <v>409884.53975</v>
      </c>
      <c r="L31" s="116">
        <v>0</v>
      </c>
      <c r="M31" s="31">
        <v>37725.668249999995</v>
      </c>
      <c r="N31" s="336">
        <v>-37725.668249999995</v>
      </c>
      <c r="O31" s="336">
        <v>0</v>
      </c>
      <c r="P31" s="219">
        <v>-37725.668249999995</v>
      </c>
      <c r="Q31" s="332">
        <v>2515.0445499999996</v>
      </c>
      <c r="R31" s="219">
        <v>-15</v>
      </c>
      <c r="S31" s="332">
        <v>0</v>
      </c>
      <c r="T31" s="219">
        <v>0</v>
      </c>
      <c r="U31" s="332">
        <v>0</v>
      </c>
      <c r="V31" s="332">
        <v>0</v>
      </c>
      <c r="W31" s="370">
        <v>0</v>
      </c>
      <c r="X31" s="370">
        <v>0</v>
      </c>
      <c r="Y31" s="370">
        <v>0</v>
      </c>
      <c r="Z31" s="370">
        <v>0</v>
      </c>
      <c r="AA31" s="370">
        <v>0</v>
      </c>
      <c r="AB31" s="370">
        <v>-15</v>
      </c>
      <c r="AC31" s="370">
        <v>0</v>
      </c>
      <c r="AD31" s="370">
        <v>0</v>
      </c>
      <c r="AE31" s="370">
        <v>0</v>
      </c>
      <c r="AF31" s="370">
        <v>-15</v>
      </c>
      <c r="AG31" s="31">
        <v>-15</v>
      </c>
      <c r="AH31" s="31">
        <v>2050</v>
      </c>
      <c r="AI31" s="31">
        <v>0</v>
      </c>
      <c r="AJ31" s="370">
        <v>1.2268509999999999</v>
      </c>
      <c r="AK31" s="219">
        <v>2050</v>
      </c>
      <c r="AL31" s="219">
        <v>0</v>
      </c>
      <c r="AM31" s="219">
        <v>0</v>
      </c>
      <c r="AN31" s="219">
        <v>0</v>
      </c>
      <c r="AO31" s="116">
        <v>0</v>
      </c>
      <c r="AP31" s="116">
        <v>0</v>
      </c>
      <c r="AQ31" s="116">
        <v>4</v>
      </c>
      <c r="AR31" s="116">
        <v>-37725.668249999995</v>
      </c>
      <c r="AS31" s="116">
        <v>-37725.668249999995</v>
      </c>
      <c r="AT31" s="116">
        <v>1</v>
      </c>
      <c r="AU31" s="385">
        <v>0</v>
      </c>
      <c r="AV31" s="332">
        <v>0</v>
      </c>
      <c r="AW31" s="332">
        <v>0</v>
      </c>
      <c r="AX31" s="332">
        <v>-37725.668249999995</v>
      </c>
      <c r="AY31" s="332">
        <v>0</v>
      </c>
      <c r="AZ31" s="332">
        <v>-6.3907603125899906</v>
      </c>
      <c r="BA31" s="332">
        <v>0</v>
      </c>
      <c r="BB31" s="31">
        <v>480729.48548968736</v>
      </c>
      <c r="BC31" s="31">
        <v>0</v>
      </c>
      <c r="BD31" s="29">
        <v>0</v>
      </c>
      <c r="BE31" s="31">
        <v>0</v>
      </c>
    </row>
    <row r="32" spans="1:57" ht="13">
      <c r="A32" s="153">
        <v>44563</v>
      </c>
      <c r="B32" s="10" t="s">
        <v>183</v>
      </c>
      <c r="C32" s="10">
        <v>44563000014</v>
      </c>
      <c r="D32" s="10" t="s">
        <v>16</v>
      </c>
      <c r="E32" s="10" t="s">
        <v>36</v>
      </c>
      <c r="F32" s="153">
        <v>44563</v>
      </c>
      <c r="G32" s="116" t="s">
        <v>37</v>
      </c>
      <c r="H32" s="116">
        <v>416011.66724999994</v>
      </c>
      <c r="I32" s="116">
        <v>83988.332750000001</v>
      </c>
      <c r="J32" s="116">
        <v>499999.99999999994</v>
      </c>
      <c r="K32" s="219">
        <v>345160.33075000002</v>
      </c>
      <c r="L32" s="116">
        <v>0</v>
      </c>
      <c r="M32" s="31">
        <v>-64724.209000000003</v>
      </c>
      <c r="N32" s="336">
        <v>-64724.208999999995</v>
      </c>
      <c r="O32" s="336">
        <v>64724.209000000003</v>
      </c>
      <c r="P32" s="219">
        <v>0</v>
      </c>
      <c r="Q32" s="332">
        <v>6472.4209000000001</v>
      </c>
      <c r="R32" s="219">
        <v>10</v>
      </c>
      <c r="S32" s="332">
        <v>0</v>
      </c>
      <c r="T32" s="219">
        <v>0</v>
      </c>
      <c r="U32" s="332">
        <v>0</v>
      </c>
      <c r="V32" s="332">
        <v>0</v>
      </c>
      <c r="W32" s="370">
        <v>0</v>
      </c>
      <c r="X32" s="370">
        <v>0</v>
      </c>
      <c r="Y32" s="370">
        <v>0</v>
      </c>
      <c r="Z32" s="370">
        <v>0</v>
      </c>
      <c r="AA32" s="370">
        <v>0</v>
      </c>
      <c r="AB32" s="370">
        <v>10</v>
      </c>
      <c r="AC32" s="370">
        <v>0</v>
      </c>
      <c r="AD32" s="370">
        <v>0</v>
      </c>
      <c r="AE32" s="370">
        <v>0</v>
      </c>
      <c r="AF32" s="370">
        <v>-10</v>
      </c>
      <c r="AG32" s="31">
        <v>10</v>
      </c>
      <c r="AH32" s="31">
        <v>727</v>
      </c>
      <c r="AI32" s="31">
        <v>1</v>
      </c>
      <c r="AJ32" s="370">
        <v>8.8663299999999996</v>
      </c>
      <c r="AK32" s="219">
        <v>727</v>
      </c>
      <c r="AL32" s="219">
        <v>0</v>
      </c>
      <c r="AM32" s="219">
        <v>0</v>
      </c>
      <c r="AN32" s="219">
        <v>0</v>
      </c>
      <c r="AO32" s="116">
        <v>0</v>
      </c>
      <c r="AP32" s="116">
        <v>0</v>
      </c>
      <c r="AQ32" s="116">
        <v>5</v>
      </c>
      <c r="AR32" s="116">
        <v>64458.219099999995</v>
      </c>
      <c r="AS32" s="116">
        <v>64458.219099999995</v>
      </c>
      <c r="AT32" s="116">
        <v>1</v>
      </c>
      <c r="AU32" s="385">
        <v>121016.248682</v>
      </c>
      <c r="AV32" s="332">
        <v>-37725.668249999995</v>
      </c>
      <c r="AW32" s="332">
        <v>83290.580432000017</v>
      </c>
      <c r="AX32" s="332">
        <v>-64458.219099999995</v>
      </c>
      <c r="AY32" s="332">
        <v>0</v>
      </c>
      <c r="AZ32" s="332">
        <v>0</v>
      </c>
      <c r="BA32" s="332">
        <v>0</v>
      </c>
      <c r="BB32" s="31">
        <v>416005.27648968733</v>
      </c>
      <c r="BC32" s="31">
        <v>416005.27648968733</v>
      </c>
      <c r="BD32" s="29">
        <v>0</v>
      </c>
      <c r="BE32" s="31">
        <v>499302.24768199993</v>
      </c>
    </row>
    <row r="33" spans="1:57" ht="13">
      <c r="A33" s="153">
        <v>44563</v>
      </c>
      <c r="B33" s="10" t="s">
        <v>184</v>
      </c>
      <c r="C33" s="10">
        <v>44561000006</v>
      </c>
      <c r="D33" s="10" t="s">
        <v>64</v>
      </c>
      <c r="E33" s="10" t="s">
        <v>64</v>
      </c>
      <c r="F33" s="153">
        <v>44561</v>
      </c>
      <c r="G33" s="116" t="s">
        <v>39</v>
      </c>
      <c r="H33" s="116">
        <v>500000</v>
      </c>
      <c r="I33" s="116">
        <v>0</v>
      </c>
      <c r="J33" s="116">
        <v>500000</v>
      </c>
      <c r="K33" s="219">
        <v>0</v>
      </c>
      <c r="L33" s="116">
        <v>0</v>
      </c>
      <c r="M33" s="31">
        <v>500000</v>
      </c>
      <c r="N33" s="336">
        <v>500000</v>
      </c>
      <c r="O33" s="336">
        <v>0</v>
      </c>
      <c r="P33" s="219">
        <v>0</v>
      </c>
      <c r="Q33" s="332">
        <v>0</v>
      </c>
      <c r="R33" s="219">
        <v>0</v>
      </c>
      <c r="S33" s="332">
        <v>0</v>
      </c>
      <c r="T33" s="219">
        <v>0</v>
      </c>
      <c r="U33" s="332">
        <v>0</v>
      </c>
      <c r="V33" s="332">
        <v>0</v>
      </c>
      <c r="W33" s="370">
        <v>0</v>
      </c>
      <c r="X33" s="370">
        <v>0</v>
      </c>
      <c r="Y33" s="370">
        <v>0</v>
      </c>
      <c r="Z33" s="370">
        <v>0</v>
      </c>
      <c r="AA33" s="370">
        <v>0</v>
      </c>
      <c r="AB33" s="370">
        <v>0</v>
      </c>
      <c r="AC33" s="370">
        <v>0</v>
      </c>
      <c r="AD33" s="370">
        <v>0</v>
      </c>
      <c r="AE33" s="370">
        <v>0</v>
      </c>
      <c r="AF33" s="370">
        <v>0</v>
      </c>
      <c r="AG33" s="31">
        <v>0</v>
      </c>
      <c r="AH33" s="31">
        <v>1</v>
      </c>
      <c r="AI33" s="31">
        <v>0</v>
      </c>
      <c r="AJ33" s="370">
        <v>1</v>
      </c>
      <c r="AK33" s="219">
        <v>0</v>
      </c>
      <c r="AL33" s="219">
        <v>0</v>
      </c>
      <c r="AM33" s="219">
        <v>0</v>
      </c>
      <c r="AN33" s="219">
        <v>0</v>
      </c>
      <c r="AO33" s="116">
        <v>0</v>
      </c>
      <c r="AP33" s="116">
        <v>0</v>
      </c>
      <c r="AQ33" s="116">
        <v>1</v>
      </c>
      <c r="AR33" s="116">
        <v>0</v>
      </c>
      <c r="AS33" s="116">
        <v>0</v>
      </c>
      <c r="AT33" s="116">
        <v>1</v>
      </c>
      <c r="AU33" s="385">
        <v>0</v>
      </c>
      <c r="AV33" s="332">
        <v>0</v>
      </c>
      <c r="AW33" s="332">
        <v>0</v>
      </c>
      <c r="AX33" s="332">
        <v>500000</v>
      </c>
      <c r="AY33" s="332">
        <v>0</v>
      </c>
      <c r="AZ33" s="332">
        <v>0</v>
      </c>
      <c r="BA33" s="332">
        <v>0</v>
      </c>
      <c r="BB33" s="31">
        <v>499999.61308845592</v>
      </c>
      <c r="BC33" s="31">
        <v>0</v>
      </c>
      <c r="BD33" s="29">
        <v>0</v>
      </c>
      <c r="BE33" s="31">
        <v>0</v>
      </c>
    </row>
    <row r="34" spans="1:57" ht="13">
      <c r="A34" s="153">
        <v>44563</v>
      </c>
      <c r="B34" s="10" t="s">
        <v>184</v>
      </c>
      <c r="C34" s="10">
        <v>44563000025</v>
      </c>
      <c r="D34" s="10" t="s">
        <v>16</v>
      </c>
      <c r="E34" s="10" t="s">
        <v>40</v>
      </c>
      <c r="F34" s="153">
        <v>44563</v>
      </c>
      <c r="G34" s="116" t="s">
        <v>29</v>
      </c>
      <c r="H34" s="116">
        <v>450189.84940000001</v>
      </c>
      <c r="I34" s="116">
        <v>49810.150599999994</v>
      </c>
      <c r="J34" s="116">
        <v>500000</v>
      </c>
      <c r="K34" s="219">
        <v>450189.84940000001</v>
      </c>
      <c r="L34" s="116">
        <v>0</v>
      </c>
      <c r="M34" s="31">
        <v>-49810.150599999994</v>
      </c>
      <c r="N34" s="336">
        <v>-49810.150599999994</v>
      </c>
      <c r="O34" s="336">
        <v>49810.150599999994</v>
      </c>
      <c r="P34" s="219">
        <v>0</v>
      </c>
      <c r="Q34" s="332">
        <v>2490.5075299999999</v>
      </c>
      <c r="R34" s="219">
        <v>20</v>
      </c>
      <c r="S34" s="332">
        <v>0</v>
      </c>
      <c r="T34" s="219">
        <v>0</v>
      </c>
      <c r="U34" s="332">
        <v>0</v>
      </c>
      <c r="V34" s="332">
        <v>0</v>
      </c>
      <c r="W34" s="370">
        <v>0</v>
      </c>
      <c r="X34" s="370">
        <v>0</v>
      </c>
      <c r="Y34" s="370">
        <v>0</v>
      </c>
      <c r="Z34" s="370">
        <v>0</v>
      </c>
      <c r="AA34" s="370">
        <v>0</v>
      </c>
      <c r="AB34" s="370">
        <v>20</v>
      </c>
      <c r="AC34" s="370">
        <v>0</v>
      </c>
      <c r="AD34" s="370">
        <v>0</v>
      </c>
      <c r="AE34" s="370">
        <v>0</v>
      </c>
      <c r="AF34" s="370">
        <v>-20</v>
      </c>
      <c r="AG34" s="31">
        <v>20</v>
      </c>
      <c r="AH34" s="31">
        <v>2050</v>
      </c>
      <c r="AI34" s="31">
        <v>0</v>
      </c>
      <c r="AJ34" s="370">
        <v>1.2268509999999999</v>
      </c>
      <c r="AK34" s="219">
        <v>2050</v>
      </c>
      <c r="AL34" s="219">
        <v>0</v>
      </c>
      <c r="AM34" s="219">
        <v>0</v>
      </c>
      <c r="AN34" s="219">
        <v>0</v>
      </c>
      <c r="AO34" s="116">
        <v>0</v>
      </c>
      <c r="AP34" s="116">
        <v>0</v>
      </c>
      <c r="AQ34" s="116">
        <v>2</v>
      </c>
      <c r="AR34" s="116">
        <v>50300.890999999996</v>
      </c>
      <c r="AS34" s="116">
        <v>50300.890999999996</v>
      </c>
      <c r="AT34" s="116">
        <v>1</v>
      </c>
      <c r="AU34" s="385">
        <v>0</v>
      </c>
      <c r="AV34" s="332">
        <v>0</v>
      </c>
      <c r="AW34" s="332">
        <v>0</v>
      </c>
      <c r="AX34" s="332">
        <v>-50300.890999999996</v>
      </c>
      <c r="AY34" s="332">
        <v>0</v>
      </c>
      <c r="AZ34" s="332">
        <v>0</v>
      </c>
      <c r="BA34" s="332">
        <v>0</v>
      </c>
      <c r="BB34" s="31">
        <v>450189.46248845593</v>
      </c>
      <c r="BC34" s="31">
        <v>0</v>
      </c>
      <c r="BD34" s="29">
        <v>0</v>
      </c>
      <c r="BE34" s="31">
        <v>0</v>
      </c>
    </row>
    <row r="35" spans="1:57" ht="13">
      <c r="A35" s="153">
        <v>44563</v>
      </c>
      <c r="B35" s="10" t="s">
        <v>184</v>
      </c>
      <c r="C35" s="10">
        <v>44563000026</v>
      </c>
      <c r="D35" s="10" t="s">
        <v>16</v>
      </c>
      <c r="E35" s="10" t="s">
        <v>38</v>
      </c>
      <c r="F35" s="153">
        <v>44563</v>
      </c>
      <c r="G35" s="116" t="s">
        <v>39</v>
      </c>
      <c r="H35" s="116">
        <v>452489.84940000001</v>
      </c>
      <c r="I35" s="116">
        <v>47510.150599999994</v>
      </c>
      <c r="J35" s="116">
        <v>500000</v>
      </c>
      <c r="K35" s="219">
        <v>447889.84940000001</v>
      </c>
      <c r="L35" s="116">
        <v>0</v>
      </c>
      <c r="M35" s="31">
        <v>2300</v>
      </c>
      <c r="N35" s="336">
        <v>-2300</v>
      </c>
      <c r="O35" s="336">
        <v>0</v>
      </c>
      <c r="P35" s="219">
        <v>-2300</v>
      </c>
      <c r="Q35" s="332">
        <v>460</v>
      </c>
      <c r="R35" s="219">
        <v>-5</v>
      </c>
      <c r="S35" s="332">
        <v>0</v>
      </c>
      <c r="T35" s="219">
        <v>0</v>
      </c>
      <c r="U35" s="332">
        <v>0</v>
      </c>
      <c r="V35" s="332">
        <v>0</v>
      </c>
      <c r="W35" s="370">
        <v>0</v>
      </c>
      <c r="X35" s="370">
        <v>0</v>
      </c>
      <c r="Y35" s="370">
        <v>0</v>
      </c>
      <c r="Z35" s="370">
        <v>0</v>
      </c>
      <c r="AA35" s="370">
        <v>0</v>
      </c>
      <c r="AB35" s="370">
        <v>-5</v>
      </c>
      <c r="AC35" s="370">
        <v>0</v>
      </c>
      <c r="AD35" s="370">
        <v>0</v>
      </c>
      <c r="AE35" s="370">
        <v>0</v>
      </c>
      <c r="AF35" s="370">
        <v>-5</v>
      </c>
      <c r="AG35" s="31">
        <v>-5</v>
      </c>
      <c r="AH35" s="31">
        <v>456.8</v>
      </c>
      <c r="AI35" s="31">
        <v>1</v>
      </c>
      <c r="AJ35" s="370">
        <v>1</v>
      </c>
      <c r="AK35" s="219">
        <v>456.8</v>
      </c>
      <c r="AL35" s="219">
        <v>0</v>
      </c>
      <c r="AM35" s="219">
        <v>0</v>
      </c>
      <c r="AN35" s="219">
        <v>0</v>
      </c>
      <c r="AO35" s="116">
        <v>0</v>
      </c>
      <c r="AP35" s="116">
        <v>0</v>
      </c>
      <c r="AQ35" s="116">
        <v>3</v>
      </c>
      <c r="AR35" s="116">
        <v>-2284</v>
      </c>
      <c r="AS35" s="116">
        <v>-2284</v>
      </c>
      <c r="AT35" s="116">
        <v>1</v>
      </c>
      <c r="AU35" s="385">
        <v>50300.890999999996</v>
      </c>
      <c r="AV35" s="332">
        <v>-2284</v>
      </c>
      <c r="AW35" s="332">
        <v>48016.890999999996</v>
      </c>
      <c r="AX35" s="332">
        <v>-2284</v>
      </c>
      <c r="AY35" s="332">
        <v>0</v>
      </c>
      <c r="AZ35" s="332">
        <v>-0.38691154407730183</v>
      </c>
      <c r="BA35" s="332">
        <v>0</v>
      </c>
      <c r="BB35" s="31">
        <v>452489.46248845593</v>
      </c>
      <c r="BC35" s="31">
        <v>452489.46248845593</v>
      </c>
      <c r="BD35" s="29">
        <v>0</v>
      </c>
      <c r="BE35" s="31">
        <v>500506.74040000001</v>
      </c>
    </row>
    <row r="36" spans="1:57" ht="13">
      <c r="A36" s="153">
        <v>44563</v>
      </c>
      <c r="B36" s="10" t="s">
        <v>185</v>
      </c>
      <c r="C36" s="10">
        <v>44561000007</v>
      </c>
      <c r="D36" s="10" t="s">
        <v>64</v>
      </c>
      <c r="E36" s="10" t="s">
        <v>64</v>
      </c>
      <c r="F36" s="153">
        <v>44561</v>
      </c>
      <c r="G36" s="116" t="s">
        <v>39</v>
      </c>
      <c r="H36" s="116">
        <v>500000</v>
      </c>
      <c r="I36" s="116">
        <v>0</v>
      </c>
      <c r="J36" s="116">
        <v>500000</v>
      </c>
      <c r="K36" s="219">
        <v>0</v>
      </c>
      <c r="L36" s="116">
        <v>0</v>
      </c>
      <c r="M36" s="31">
        <v>500000</v>
      </c>
      <c r="N36" s="336">
        <v>500000</v>
      </c>
      <c r="O36" s="336">
        <v>0</v>
      </c>
      <c r="P36" s="219">
        <v>0</v>
      </c>
      <c r="Q36" s="332">
        <v>0</v>
      </c>
      <c r="R36" s="219">
        <v>0</v>
      </c>
      <c r="S36" s="332">
        <v>0</v>
      </c>
      <c r="T36" s="219">
        <v>0</v>
      </c>
      <c r="U36" s="332">
        <v>0</v>
      </c>
      <c r="V36" s="332">
        <v>0</v>
      </c>
      <c r="W36" s="370">
        <v>0</v>
      </c>
      <c r="X36" s="370">
        <v>0</v>
      </c>
      <c r="Y36" s="370">
        <v>0</v>
      </c>
      <c r="Z36" s="370">
        <v>0</v>
      </c>
      <c r="AA36" s="370">
        <v>0</v>
      </c>
      <c r="AB36" s="370">
        <v>0</v>
      </c>
      <c r="AC36" s="370">
        <v>0</v>
      </c>
      <c r="AD36" s="370">
        <v>0</v>
      </c>
      <c r="AE36" s="370">
        <v>0</v>
      </c>
      <c r="AF36" s="370">
        <v>0</v>
      </c>
      <c r="AG36" s="31">
        <v>0</v>
      </c>
      <c r="AH36" s="31">
        <v>1</v>
      </c>
      <c r="AI36" s="31">
        <v>0</v>
      </c>
      <c r="AJ36" s="370">
        <v>1</v>
      </c>
      <c r="AK36" s="219">
        <v>0</v>
      </c>
      <c r="AL36" s="219">
        <v>0</v>
      </c>
      <c r="AM36" s="219">
        <v>0</v>
      </c>
      <c r="AN36" s="219">
        <v>0</v>
      </c>
      <c r="AO36" s="116">
        <v>0</v>
      </c>
      <c r="AP36" s="116">
        <v>0</v>
      </c>
      <c r="AQ36" s="116">
        <v>1</v>
      </c>
      <c r="AR36" s="116">
        <v>0</v>
      </c>
      <c r="AS36" s="116">
        <v>0</v>
      </c>
      <c r="AT36" s="116">
        <v>1</v>
      </c>
      <c r="AU36" s="385">
        <v>0</v>
      </c>
      <c r="AV36" s="332">
        <v>0</v>
      </c>
      <c r="AW36" s="332">
        <v>0</v>
      </c>
      <c r="AX36" s="332">
        <v>500000</v>
      </c>
      <c r="AY36" s="332">
        <v>0</v>
      </c>
      <c r="AZ36" s="332">
        <v>0</v>
      </c>
      <c r="BA36" s="332">
        <v>0</v>
      </c>
      <c r="BB36" s="31">
        <v>499999.31750231684</v>
      </c>
      <c r="BC36" s="31">
        <v>0</v>
      </c>
      <c r="BD36" s="29">
        <v>0</v>
      </c>
      <c r="BE36" s="31">
        <v>0</v>
      </c>
    </row>
    <row r="37" spans="1:57" ht="13">
      <c r="A37" s="153">
        <v>44563</v>
      </c>
      <c r="B37" s="10" t="s">
        <v>185</v>
      </c>
      <c r="C37" s="10">
        <v>44562000029</v>
      </c>
      <c r="D37" s="10" t="s">
        <v>61</v>
      </c>
      <c r="E37" s="10" t="s">
        <v>63</v>
      </c>
      <c r="F37" s="153">
        <v>44562</v>
      </c>
      <c r="G37" s="116" t="s">
        <v>39</v>
      </c>
      <c r="H37" s="116">
        <v>490000</v>
      </c>
      <c r="I37" s="116">
        <v>10000</v>
      </c>
      <c r="J37" s="116">
        <v>500000</v>
      </c>
      <c r="K37" s="219">
        <v>490000</v>
      </c>
      <c r="L37" s="116">
        <v>0</v>
      </c>
      <c r="M37" s="31">
        <v>-10000</v>
      </c>
      <c r="N37" s="336">
        <v>-10000</v>
      </c>
      <c r="O37" s="336">
        <v>0</v>
      </c>
      <c r="P37" s="219">
        <v>0</v>
      </c>
      <c r="Q37" s="332">
        <v>0</v>
      </c>
      <c r="R37" s="219">
        <v>0</v>
      </c>
      <c r="S37" s="332">
        <v>0</v>
      </c>
      <c r="T37" s="219">
        <v>0</v>
      </c>
      <c r="U37" s="332">
        <v>0</v>
      </c>
      <c r="V37" s="332">
        <v>0</v>
      </c>
      <c r="W37" s="370">
        <v>10000</v>
      </c>
      <c r="X37" s="370">
        <v>0</v>
      </c>
      <c r="Y37" s="370">
        <v>0</v>
      </c>
      <c r="Z37" s="370">
        <v>0</v>
      </c>
      <c r="AA37" s="370">
        <v>0</v>
      </c>
      <c r="AB37" s="370">
        <v>0</v>
      </c>
      <c r="AC37" s="370">
        <v>0</v>
      </c>
      <c r="AD37" s="370">
        <v>0</v>
      </c>
      <c r="AE37" s="370">
        <v>10000</v>
      </c>
      <c r="AF37" s="370">
        <v>-10000</v>
      </c>
      <c r="AG37" s="31">
        <v>10000</v>
      </c>
      <c r="AH37" s="31">
        <v>1</v>
      </c>
      <c r="AI37" s="31">
        <v>0</v>
      </c>
      <c r="AJ37" s="370">
        <v>1</v>
      </c>
      <c r="AK37" s="219">
        <v>0</v>
      </c>
      <c r="AL37" s="219">
        <v>0</v>
      </c>
      <c r="AM37" s="219">
        <v>0</v>
      </c>
      <c r="AN37" s="219">
        <v>0</v>
      </c>
      <c r="AO37" s="116">
        <v>0</v>
      </c>
      <c r="AP37" s="116">
        <v>1</v>
      </c>
      <c r="AQ37" s="116">
        <v>2</v>
      </c>
      <c r="AR37" s="116">
        <v>10000</v>
      </c>
      <c r="AS37" s="116">
        <v>-5000</v>
      </c>
      <c r="AT37" s="116">
        <v>1</v>
      </c>
      <c r="AU37" s="385">
        <v>0</v>
      </c>
      <c r="AV37" s="332">
        <v>0</v>
      </c>
      <c r="AW37" s="332">
        <v>0</v>
      </c>
      <c r="AX37" s="332">
        <v>-10000</v>
      </c>
      <c r="AY37" s="332">
        <v>0</v>
      </c>
      <c r="AZ37" s="332">
        <v>0</v>
      </c>
      <c r="BA37" s="332">
        <v>4.1126643175088691E-2</v>
      </c>
      <c r="BB37" s="31">
        <v>489999.31750231684</v>
      </c>
      <c r="BC37" s="31">
        <v>0</v>
      </c>
      <c r="BD37" s="29">
        <v>0</v>
      </c>
      <c r="BE37" s="31">
        <v>0</v>
      </c>
    </row>
    <row r="38" spans="1:57" ht="13">
      <c r="A38" s="153">
        <v>44563</v>
      </c>
      <c r="B38" s="10" t="s">
        <v>185</v>
      </c>
      <c r="C38" s="10">
        <v>44562000030</v>
      </c>
      <c r="D38" s="10" t="s">
        <v>18</v>
      </c>
      <c r="E38" s="10" t="s">
        <v>7</v>
      </c>
      <c r="F38" s="153">
        <v>44562</v>
      </c>
      <c r="G38" s="116" t="s">
        <v>41</v>
      </c>
      <c r="H38" s="116">
        <v>448805.40759999998</v>
      </c>
      <c r="I38" s="116">
        <v>51194.592400000009</v>
      </c>
      <c r="J38" s="116">
        <v>500000</v>
      </c>
      <c r="K38" s="219">
        <v>458805.40759999998</v>
      </c>
      <c r="L38" s="116">
        <v>0</v>
      </c>
      <c r="M38" s="31">
        <v>-41194.592400000009</v>
      </c>
      <c r="N38" s="336">
        <v>-41194.592400000001</v>
      </c>
      <c r="O38" s="336">
        <v>0</v>
      </c>
      <c r="P38" s="219">
        <v>0</v>
      </c>
      <c r="Q38" s="332">
        <v>0</v>
      </c>
      <c r="R38" s="219">
        <v>0</v>
      </c>
      <c r="S38" s="332">
        <v>13.21</v>
      </c>
      <c r="T38" s="219">
        <v>40</v>
      </c>
      <c r="U38" s="332">
        <v>0</v>
      </c>
      <c r="V38" s="332">
        <v>0</v>
      </c>
      <c r="W38" s="370">
        <v>0</v>
      </c>
      <c r="X38" s="370">
        <v>0</v>
      </c>
      <c r="Y38" s="370">
        <v>0</v>
      </c>
      <c r="Z38" s="370">
        <v>0</v>
      </c>
      <c r="AA38" s="370">
        <v>0</v>
      </c>
      <c r="AB38" s="370">
        <v>0</v>
      </c>
      <c r="AC38" s="370">
        <v>40</v>
      </c>
      <c r="AD38" s="370">
        <v>0</v>
      </c>
      <c r="AE38" s="370">
        <v>0</v>
      </c>
      <c r="AF38" s="370">
        <v>-40</v>
      </c>
      <c r="AG38" s="31">
        <v>40</v>
      </c>
      <c r="AH38" s="31">
        <v>23.29</v>
      </c>
      <c r="AI38" s="31">
        <v>0</v>
      </c>
      <c r="AJ38" s="370">
        <v>7.7961499999999999</v>
      </c>
      <c r="AK38" s="219">
        <v>0</v>
      </c>
      <c r="AL38" s="219">
        <v>23.29</v>
      </c>
      <c r="AM38" s="219">
        <v>25.71</v>
      </c>
      <c r="AN38" s="219">
        <v>0</v>
      </c>
      <c r="AO38" s="116">
        <v>0</v>
      </c>
      <c r="AP38" s="116">
        <v>0</v>
      </c>
      <c r="AQ38" s="116">
        <v>3</v>
      </c>
      <c r="AR38" s="116">
        <v>72628.933399999994</v>
      </c>
      <c r="AS38" s="116">
        <v>72628.933399999994</v>
      </c>
      <c r="AT38" s="116">
        <v>1</v>
      </c>
      <c r="AU38" s="385">
        <v>0</v>
      </c>
      <c r="AV38" s="332">
        <v>0</v>
      </c>
      <c r="AW38" s="332">
        <v>0</v>
      </c>
      <c r="AX38" s="332">
        <v>-76402.27</v>
      </c>
      <c r="AY38" s="332">
        <v>0</v>
      </c>
      <c r="AZ38" s="332">
        <v>0</v>
      </c>
      <c r="BA38" s="332">
        <v>0</v>
      </c>
      <c r="BB38" s="31">
        <v>448804.72510231682</v>
      </c>
      <c r="BC38" s="31">
        <v>0</v>
      </c>
      <c r="BD38" s="29">
        <v>0</v>
      </c>
      <c r="BE38" s="31">
        <v>0</v>
      </c>
    </row>
    <row r="39" spans="1:57" ht="13">
      <c r="A39" s="153">
        <v>44563</v>
      </c>
      <c r="B39" s="10" t="s">
        <v>185</v>
      </c>
      <c r="C39" s="10">
        <v>44562000031</v>
      </c>
      <c r="D39" s="10" t="s">
        <v>61</v>
      </c>
      <c r="E39" s="10" t="s">
        <v>63</v>
      </c>
      <c r="F39" s="153">
        <v>44562</v>
      </c>
      <c r="G39" s="116" t="s">
        <v>39</v>
      </c>
      <c r="H39" s="116">
        <v>428805.40759999998</v>
      </c>
      <c r="I39" s="116">
        <v>71194.592400000009</v>
      </c>
      <c r="J39" s="116">
        <v>500000</v>
      </c>
      <c r="K39" s="219">
        <v>438805.40759999998</v>
      </c>
      <c r="L39" s="116">
        <v>0</v>
      </c>
      <c r="M39" s="31">
        <v>-20000</v>
      </c>
      <c r="N39" s="336">
        <v>-20000</v>
      </c>
      <c r="O39" s="336">
        <v>0</v>
      </c>
      <c r="P39" s="219">
        <v>0</v>
      </c>
      <c r="Q39" s="332">
        <v>0</v>
      </c>
      <c r="R39" s="219">
        <v>0</v>
      </c>
      <c r="S39" s="332">
        <v>0</v>
      </c>
      <c r="T39" s="219">
        <v>0</v>
      </c>
      <c r="U39" s="332">
        <v>0</v>
      </c>
      <c r="V39" s="332">
        <v>0</v>
      </c>
      <c r="W39" s="370">
        <v>20000</v>
      </c>
      <c r="X39" s="370">
        <v>0</v>
      </c>
      <c r="Y39" s="370">
        <v>0</v>
      </c>
      <c r="Z39" s="370">
        <v>0</v>
      </c>
      <c r="AA39" s="370">
        <v>10000</v>
      </c>
      <c r="AB39" s="370">
        <v>0</v>
      </c>
      <c r="AC39" s="370">
        <v>0</v>
      </c>
      <c r="AD39" s="370">
        <v>0</v>
      </c>
      <c r="AE39" s="370">
        <v>30000</v>
      </c>
      <c r="AF39" s="370">
        <v>-20000</v>
      </c>
      <c r="AG39" s="31">
        <v>20000</v>
      </c>
      <c r="AH39" s="31">
        <v>1</v>
      </c>
      <c r="AI39" s="31">
        <v>0</v>
      </c>
      <c r="AJ39" s="370">
        <v>1</v>
      </c>
      <c r="AK39" s="219">
        <v>0</v>
      </c>
      <c r="AL39" s="219">
        <v>0</v>
      </c>
      <c r="AM39" s="219">
        <v>0</v>
      </c>
      <c r="AN39" s="219">
        <v>0</v>
      </c>
      <c r="AO39" s="116">
        <v>0</v>
      </c>
      <c r="AP39" s="116">
        <v>1</v>
      </c>
      <c r="AQ39" s="116">
        <v>3</v>
      </c>
      <c r="AR39" s="116">
        <v>20000</v>
      </c>
      <c r="AS39" s="116">
        <v>-5000</v>
      </c>
      <c r="AT39" s="116">
        <v>0</v>
      </c>
      <c r="AU39" s="385">
        <v>0</v>
      </c>
      <c r="AV39" s="332">
        <v>0</v>
      </c>
      <c r="AW39" s="332">
        <v>0</v>
      </c>
      <c r="AX39" s="332">
        <v>-20000</v>
      </c>
      <c r="AY39" s="332">
        <v>0</v>
      </c>
      <c r="AZ39" s="332">
        <v>0</v>
      </c>
      <c r="BA39" s="332">
        <v>0.12337992952526605</v>
      </c>
      <c r="BB39" s="31">
        <v>428804.72510231682</v>
      </c>
      <c r="BC39" s="31">
        <v>0</v>
      </c>
      <c r="BD39" s="29">
        <v>0</v>
      </c>
      <c r="BE39" s="31">
        <v>0</v>
      </c>
    </row>
    <row r="40" spans="1:57" ht="13">
      <c r="A40" s="153">
        <v>44563</v>
      </c>
      <c r="B40" s="10" t="s">
        <v>185</v>
      </c>
      <c r="C40" s="10">
        <v>44562000035</v>
      </c>
      <c r="D40" s="10" t="s">
        <v>16</v>
      </c>
      <c r="E40" s="10" t="s">
        <v>38</v>
      </c>
      <c r="F40" s="153">
        <v>44562</v>
      </c>
      <c r="G40" s="116" t="s">
        <v>39</v>
      </c>
      <c r="H40" s="116">
        <v>424205.40759999998</v>
      </c>
      <c r="I40" s="116">
        <v>75794.592400000009</v>
      </c>
      <c r="J40" s="116">
        <v>500000</v>
      </c>
      <c r="K40" s="219">
        <v>444205.40759999998</v>
      </c>
      <c r="L40" s="116">
        <v>0</v>
      </c>
      <c r="M40" s="31">
        <v>-4600</v>
      </c>
      <c r="N40" s="336">
        <v>-4600</v>
      </c>
      <c r="O40" s="336">
        <v>4600</v>
      </c>
      <c r="P40" s="219">
        <v>0</v>
      </c>
      <c r="Q40" s="332">
        <v>460</v>
      </c>
      <c r="R40" s="219">
        <v>10</v>
      </c>
      <c r="S40" s="332">
        <v>0</v>
      </c>
      <c r="T40" s="219">
        <v>0</v>
      </c>
      <c r="U40" s="332">
        <v>0</v>
      </c>
      <c r="V40" s="332">
        <v>0</v>
      </c>
      <c r="W40" s="370">
        <v>0</v>
      </c>
      <c r="X40" s="370">
        <v>0</v>
      </c>
      <c r="Y40" s="370">
        <v>0</v>
      </c>
      <c r="Z40" s="370">
        <v>0</v>
      </c>
      <c r="AA40" s="370">
        <v>0</v>
      </c>
      <c r="AB40" s="370">
        <v>10</v>
      </c>
      <c r="AC40" s="370">
        <v>0</v>
      </c>
      <c r="AD40" s="370">
        <v>0</v>
      </c>
      <c r="AE40" s="370">
        <v>0</v>
      </c>
      <c r="AF40" s="370">
        <v>-10</v>
      </c>
      <c r="AG40" s="31">
        <v>10</v>
      </c>
      <c r="AH40" s="31">
        <v>456.8</v>
      </c>
      <c r="AI40" s="31">
        <v>0</v>
      </c>
      <c r="AJ40" s="370">
        <v>1</v>
      </c>
      <c r="AK40" s="219">
        <v>456.8</v>
      </c>
      <c r="AL40" s="219">
        <v>0</v>
      </c>
      <c r="AM40" s="219">
        <v>0</v>
      </c>
      <c r="AN40" s="219">
        <v>0</v>
      </c>
      <c r="AO40" s="116">
        <v>0</v>
      </c>
      <c r="AP40" s="116">
        <v>0</v>
      </c>
      <c r="AQ40" s="116">
        <v>4</v>
      </c>
      <c r="AR40" s="116">
        <v>4568</v>
      </c>
      <c r="AS40" s="116">
        <v>4568</v>
      </c>
      <c r="AT40" s="116">
        <v>1</v>
      </c>
      <c r="AU40" s="385">
        <v>0</v>
      </c>
      <c r="AV40" s="332">
        <v>0</v>
      </c>
      <c r="AW40" s="332">
        <v>0</v>
      </c>
      <c r="AX40" s="332">
        <v>-4568</v>
      </c>
      <c r="AY40" s="332">
        <v>0</v>
      </c>
      <c r="AZ40" s="332">
        <v>0</v>
      </c>
      <c r="BA40" s="332">
        <v>0</v>
      </c>
      <c r="BB40" s="31">
        <v>424204.72510231682</v>
      </c>
      <c r="BC40" s="31">
        <v>0</v>
      </c>
      <c r="BD40" s="29">
        <v>0</v>
      </c>
      <c r="BE40" s="31">
        <v>0</v>
      </c>
    </row>
    <row r="41" spans="1:57" ht="13">
      <c r="A41" s="153">
        <v>44563</v>
      </c>
      <c r="B41" s="10" t="s">
        <v>185</v>
      </c>
      <c r="C41" s="10">
        <v>44563000032</v>
      </c>
      <c r="D41" s="10" t="s">
        <v>61</v>
      </c>
      <c r="E41" s="10" t="s">
        <v>63</v>
      </c>
      <c r="F41" s="153">
        <v>44563</v>
      </c>
      <c r="G41" s="116" t="s">
        <v>39</v>
      </c>
      <c r="H41" s="116">
        <v>459205.40759999998</v>
      </c>
      <c r="I41" s="116">
        <v>40794.592400000009</v>
      </c>
      <c r="J41" s="116">
        <v>500000</v>
      </c>
      <c r="K41" s="219">
        <v>469205.40759999998</v>
      </c>
      <c r="L41" s="116">
        <v>0</v>
      </c>
      <c r="M41" s="31">
        <v>35000</v>
      </c>
      <c r="N41" s="336">
        <v>25000</v>
      </c>
      <c r="O41" s="336">
        <v>0</v>
      </c>
      <c r="P41" s="219">
        <v>0</v>
      </c>
      <c r="Q41" s="332">
        <v>0</v>
      </c>
      <c r="R41" s="219">
        <v>0</v>
      </c>
      <c r="S41" s="332">
        <v>0</v>
      </c>
      <c r="T41" s="219">
        <v>0</v>
      </c>
      <c r="U41" s="332">
        <v>0</v>
      </c>
      <c r="V41" s="332">
        <v>0</v>
      </c>
      <c r="W41" s="370">
        <v>-35000</v>
      </c>
      <c r="X41" s="370">
        <v>0</v>
      </c>
      <c r="Y41" s="370">
        <v>0</v>
      </c>
      <c r="Z41" s="370">
        <v>0</v>
      </c>
      <c r="AA41" s="370">
        <v>30000</v>
      </c>
      <c r="AB41" s="370">
        <v>0</v>
      </c>
      <c r="AC41" s="370">
        <v>0</v>
      </c>
      <c r="AD41" s="370">
        <v>0</v>
      </c>
      <c r="AE41" s="370">
        <v>-5000</v>
      </c>
      <c r="AF41" s="370">
        <v>25000</v>
      </c>
      <c r="AG41" s="31">
        <v>-35000</v>
      </c>
      <c r="AH41" s="31">
        <v>1</v>
      </c>
      <c r="AI41" s="31">
        <v>1</v>
      </c>
      <c r="AJ41" s="370">
        <v>1</v>
      </c>
      <c r="AK41" s="219">
        <v>0</v>
      </c>
      <c r="AL41" s="219">
        <v>0</v>
      </c>
      <c r="AM41" s="219">
        <v>0</v>
      </c>
      <c r="AN41" s="219">
        <v>0</v>
      </c>
      <c r="AO41" s="116">
        <v>0</v>
      </c>
      <c r="AP41" s="116">
        <v>1</v>
      </c>
      <c r="AQ41" s="116">
        <v>4</v>
      </c>
      <c r="AR41" s="116">
        <v>-35000</v>
      </c>
      <c r="AS41" s="116">
        <v>-5000</v>
      </c>
      <c r="AT41" s="116">
        <v>0</v>
      </c>
      <c r="AU41" s="385">
        <v>77196.933399999994</v>
      </c>
      <c r="AV41" s="332">
        <v>-5000</v>
      </c>
      <c r="AW41" s="332">
        <v>72196.933399999994</v>
      </c>
      <c r="AX41" s="332">
        <v>25000</v>
      </c>
      <c r="AY41" s="332">
        <v>0</v>
      </c>
      <c r="AZ41" s="332">
        <v>-0.84700425586099348</v>
      </c>
      <c r="BA41" s="332">
        <v>0</v>
      </c>
      <c r="BB41" s="31">
        <v>459204.72510231682</v>
      </c>
      <c r="BC41" s="31">
        <v>459204.72510231682</v>
      </c>
      <c r="BD41" s="29">
        <v>0</v>
      </c>
      <c r="BE41" s="31">
        <v>531402.34100000001</v>
      </c>
    </row>
    <row r="42" spans="1:57" ht="13">
      <c r="A42" s="153">
        <v>44563</v>
      </c>
      <c r="B42" s="10" t="s">
        <v>186</v>
      </c>
      <c r="C42" s="10">
        <v>44561000008</v>
      </c>
      <c r="D42" s="10" t="s">
        <v>64</v>
      </c>
      <c r="E42" s="10" t="s">
        <v>64</v>
      </c>
      <c r="F42" s="153">
        <v>44561</v>
      </c>
      <c r="G42" s="116" t="s">
        <v>39</v>
      </c>
      <c r="H42" s="116">
        <v>500000</v>
      </c>
      <c r="I42" s="116">
        <v>0</v>
      </c>
      <c r="J42" s="116">
        <v>500000</v>
      </c>
      <c r="K42" s="219">
        <v>0</v>
      </c>
      <c r="L42" s="116">
        <v>0</v>
      </c>
      <c r="M42" s="31">
        <v>500000</v>
      </c>
      <c r="N42" s="336">
        <v>500000</v>
      </c>
      <c r="O42" s="336">
        <v>0</v>
      </c>
      <c r="P42" s="219">
        <v>0</v>
      </c>
      <c r="Q42" s="332">
        <v>0</v>
      </c>
      <c r="R42" s="219">
        <v>0</v>
      </c>
      <c r="S42" s="332">
        <v>0</v>
      </c>
      <c r="T42" s="219">
        <v>0</v>
      </c>
      <c r="U42" s="332">
        <v>0</v>
      </c>
      <c r="V42" s="332">
        <v>0</v>
      </c>
      <c r="W42" s="370">
        <v>0</v>
      </c>
      <c r="X42" s="370">
        <v>0</v>
      </c>
      <c r="Y42" s="370">
        <v>0</v>
      </c>
      <c r="Z42" s="370">
        <v>0</v>
      </c>
      <c r="AA42" s="370">
        <v>0</v>
      </c>
      <c r="AB42" s="370">
        <v>0</v>
      </c>
      <c r="AC42" s="370">
        <v>0</v>
      </c>
      <c r="AD42" s="370">
        <v>0</v>
      </c>
      <c r="AE42" s="370">
        <v>0</v>
      </c>
      <c r="AF42" s="370">
        <v>0</v>
      </c>
      <c r="AG42" s="31">
        <v>0</v>
      </c>
      <c r="AH42" s="31">
        <v>1</v>
      </c>
      <c r="AI42" s="31">
        <v>0</v>
      </c>
      <c r="AJ42" s="370">
        <v>1</v>
      </c>
      <c r="AK42" s="219">
        <v>0</v>
      </c>
      <c r="AL42" s="219">
        <v>0</v>
      </c>
      <c r="AM42" s="219">
        <v>0</v>
      </c>
      <c r="AN42" s="219">
        <v>0</v>
      </c>
      <c r="AO42" s="116">
        <v>0</v>
      </c>
      <c r="AP42" s="116">
        <v>0</v>
      </c>
      <c r="AQ42" s="116">
        <v>1</v>
      </c>
      <c r="AR42" s="116">
        <v>0</v>
      </c>
      <c r="AS42" s="116">
        <v>0</v>
      </c>
      <c r="AT42" s="116">
        <v>1</v>
      </c>
      <c r="AU42" s="385">
        <v>0</v>
      </c>
      <c r="AV42" s="332">
        <v>0</v>
      </c>
      <c r="AW42" s="332">
        <v>0</v>
      </c>
      <c r="AX42" s="332">
        <v>500000</v>
      </c>
      <c r="AY42" s="332">
        <v>0</v>
      </c>
      <c r="AZ42" s="332">
        <v>0</v>
      </c>
      <c r="BA42" s="332">
        <v>0</v>
      </c>
      <c r="BB42" s="31">
        <v>500000</v>
      </c>
      <c r="BC42" s="31">
        <v>0</v>
      </c>
      <c r="BD42" s="29">
        <v>0</v>
      </c>
      <c r="BE42" s="31">
        <v>0</v>
      </c>
    </row>
    <row r="43" spans="1:57" ht="13">
      <c r="A43" s="153">
        <v>44563</v>
      </c>
      <c r="B43" s="10" t="s">
        <v>186</v>
      </c>
      <c r="C43" s="10">
        <v>44563000037</v>
      </c>
      <c r="D43" s="10" t="s">
        <v>16</v>
      </c>
      <c r="E43" s="10" t="s">
        <v>0</v>
      </c>
      <c r="F43" s="153">
        <v>44563</v>
      </c>
      <c r="G43" s="116" t="s">
        <v>41</v>
      </c>
      <c r="H43" s="116">
        <v>409954.46750000003</v>
      </c>
      <c r="I43" s="116">
        <v>90045.532500000001</v>
      </c>
      <c r="J43" s="116">
        <v>500000</v>
      </c>
      <c r="K43" s="219">
        <v>409954.46750000003</v>
      </c>
      <c r="L43" s="116">
        <v>0</v>
      </c>
      <c r="M43" s="31">
        <v>-90045.532500000001</v>
      </c>
      <c r="N43" s="336">
        <v>-90045.532500000001</v>
      </c>
      <c r="O43" s="336">
        <v>90045.532500000001</v>
      </c>
      <c r="P43" s="219">
        <v>0</v>
      </c>
      <c r="Q43" s="332">
        <v>3001.51775</v>
      </c>
      <c r="R43" s="219">
        <v>30</v>
      </c>
      <c r="S43" s="332">
        <v>0</v>
      </c>
      <c r="T43" s="219">
        <v>0</v>
      </c>
      <c r="U43" s="332">
        <v>0</v>
      </c>
      <c r="V43" s="332">
        <v>0</v>
      </c>
      <c r="W43" s="370">
        <v>0</v>
      </c>
      <c r="X43" s="370">
        <v>0</v>
      </c>
      <c r="Y43" s="370">
        <v>0</v>
      </c>
      <c r="Z43" s="370">
        <v>0</v>
      </c>
      <c r="AA43" s="370">
        <v>0</v>
      </c>
      <c r="AB43" s="370">
        <v>30</v>
      </c>
      <c r="AC43" s="370">
        <v>0</v>
      </c>
      <c r="AD43" s="370">
        <v>0</v>
      </c>
      <c r="AE43" s="370">
        <v>0</v>
      </c>
      <c r="AF43" s="370">
        <v>-30</v>
      </c>
      <c r="AG43" s="31">
        <v>30</v>
      </c>
      <c r="AH43" s="31">
        <v>382.55</v>
      </c>
      <c r="AI43" s="31">
        <v>0</v>
      </c>
      <c r="AJ43" s="370">
        <v>7.7961499999999999</v>
      </c>
      <c r="AK43" s="219">
        <v>382.55</v>
      </c>
      <c r="AL43" s="219">
        <v>0</v>
      </c>
      <c r="AM43" s="219">
        <v>0</v>
      </c>
      <c r="AN43" s="219">
        <v>0</v>
      </c>
      <c r="AO43" s="116">
        <v>0</v>
      </c>
      <c r="AP43" s="116">
        <v>0</v>
      </c>
      <c r="AQ43" s="116">
        <v>2</v>
      </c>
      <c r="AR43" s="116">
        <v>89472.515474999993</v>
      </c>
      <c r="AS43" s="116">
        <v>89472.515474999993</v>
      </c>
      <c r="AT43" s="116">
        <v>1</v>
      </c>
      <c r="AU43" s="385">
        <v>0</v>
      </c>
      <c r="AV43" s="332">
        <v>0</v>
      </c>
      <c r="AW43" s="332">
        <v>0</v>
      </c>
      <c r="AX43" s="332">
        <v>-89472.515475000007</v>
      </c>
      <c r="AY43" s="332">
        <v>0</v>
      </c>
      <c r="AZ43" s="332">
        <v>0</v>
      </c>
      <c r="BA43" s="332">
        <v>0</v>
      </c>
      <c r="BB43" s="31">
        <v>409954.46750000003</v>
      </c>
      <c r="BC43" s="31">
        <v>0</v>
      </c>
      <c r="BD43" s="29">
        <v>0</v>
      </c>
      <c r="BE43" s="31">
        <v>0</v>
      </c>
    </row>
    <row r="44" spans="1:57" ht="13">
      <c r="A44" s="153">
        <v>44563</v>
      </c>
      <c r="B44" s="10" t="s">
        <v>186</v>
      </c>
      <c r="C44" s="10">
        <v>44563000038</v>
      </c>
      <c r="D44" s="10" t="s">
        <v>16</v>
      </c>
      <c r="E44" s="10" t="s">
        <v>38</v>
      </c>
      <c r="F44" s="153">
        <v>44563</v>
      </c>
      <c r="G44" s="116" t="s">
        <v>39</v>
      </c>
      <c r="H44" s="116">
        <v>396154.46750000003</v>
      </c>
      <c r="I44" s="116">
        <v>103845.5325</v>
      </c>
      <c r="J44" s="116">
        <v>500000</v>
      </c>
      <c r="K44" s="219">
        <v>396154.46750000003</v>
      </c>
      <c r="L44" s="116">
        <v>0</v>
      </c>
      <c r="M44" s="31">
        <v>-13800</v>
      </c>
      <c r="N44" s="336">
        <v>-13800</v>
      </c>
      <c r="O44" s="336">
        <v>13800</v>
      </c>
      <c r="P44" s="219">
        <v>0</v>
      </c>
      <c r="Q44" s="332">
        <v>460</v>
      </c>
      <c r="R44" s="219">
        <v>30</v>
      </c>
      <c r="S44" s="332">
        <v>0</v>
      </c>
      <c r="T44" s="219">
        <v>0</v>
      </c>
      <c r="U44" s="332">
        <v>0</v>
      </c>
      <c r="V44" s="332">
        <v>0</v>
      </c>
      <c r="W44" s="370">
        <v>0</v>
      </c>
      <c r="X44" s="370">
        <v>0</v>
      </c>
      <c r="Y44" s="370">
        <v>0</v>
      </c>
      <c r="Z44" s="370">
        <v>0</v>
      </c>
      <c r="AA44" s="370">
        <v>0</v>
      </c>
      <c r="AB44" s="370">
        <v>30</v>
      </c>
      <c r="AC44" s="370">
        <v>0</v>
      </c>
      <c r="AD44" s="370">
        <v>0</v>
      </c>
      <c r="AE44" s="370">
        <v>0</v>
      </c>
      <c r="AF44" s="370">
        <v>-30</v>
      </c>
      <c r="AG44" s="31">
        <v>30</v>
      </c>
      <c r="AH44" s="31">
        <v>456.8</v>
      </c>
      <c r="AI44" s="31">
        <v>1</v>
      </c>
      <c r="AJ44" s="370">
        <v>1</v>
      </c>
      <c r="AK44" s="219">
        <v>456.8</v>
      </c>
      <c r="AL44" s="219">
        <v>0</v>
      </c>
      <c r="AM44" s="219">
        <v>0</v>
      </c>
      <c r="AN44" s="219">
        <v>0</v>
      </c>
      <c r="AO44" s="116">
        <v>0</v>
      </c>
      <c r="AP44" s="116">
        <v>0</v>
      </c>
      <c r="AQ44" s="116">
        <v>3</v>
      </c>
      <c r="AR44" s="116">
        <v>13704</v>
      </c>
      <c r="AS44" s="116">
        <v>13704</v>
      </c>
      <c r="AT44" s="116">
        <v>1</v>
      </c>
      <c r="AU44" s="385">
        <v>103176.51547499999</v>
      </c>
      <c r="AV44" s="332">
        <v>0</v>
      </c>
      <c r="AW44" s="332">
        <v>103176.51547499999</v>
      </c>
      <c r="AX44" s="332">
        <v>-13704</v>
      </c>
      <c r="AY44" s="332">
        <v>0</v>
      </c>
      <c r="AZ44" s="332">
        <v>0</v>
      </c>
      <c r="BA44" s="332">
        <v>0</v>
      </c>
      <c r="BB44" s="31">
        <v>396154.46750000003</v>
      </c>
      <c r="BC44" s="31">
        <v>396154.46750000003</v>
      </c>
      <c r="BD44" s="29">
        <v>0</v>
      </c>
      <c r="BE44" s="31">
        <v>499330.98297500005</v>
      </c>
    </row>
    <row r="45" spans="1:57" ht="13">
      <c r="A45" s="153">
        <v>44563</v>
      </c>
      <c r="B45" s="10" t="s">
        <v>187</v>
      </c>
      <c r="C45" s="10">
        <v>44561000009</v>
      </c>
      <c r="D45" s="10" t="s">
        <v>64</v>
      </c>
      <c r="E45" s="10" t="s">
        <v>64</v>
      </c>
      <c r="F45" s="153">
        <v>44561</v>
      </c>
      <c r="G45" s="116" t="s">
        <v>39</v>
      </c>
      <c r="H45" s="116">
        <v>500000</v>
      </c>
      <c r="I45" s="116">
        <v>0</v>
      </c>
      <c r="J45" s="116">
        <v>500000</v>
      </c>
      <c r="K45" s="219">
        <v>0</v>
      </c>
      <c r="L45" s="116">
        <v>0</v>
      </c>
      <c r="M45" s="31">
        <v>500000</v>
      </c>
      <c r="N45" s="336">
        <v>500000</v>
      </c>
      <c r="O45" s="336">
        <v>0</v>
      </c>
      <c r="P45" s="219">
        <v>0</v>
      </c>
      <c r="Q45" s="332">
        <v>0</v>
      </c>
      <c r="R45" s="219">
        <v>0</v>
      </c>
      <c r="S45" s="332">
        <v>0</v>
      </c>
      <c r="T45" s="219">
        <v>0</v>
      </c>
      <c r="U45" s="332">
        <v>0</v>
      </c>
      <c r="V45" s="332">
        <v>0</v>
      </c>
      <c r="W45" s="370">
        <v>0</v>
      </c>
      <c r="X45" s="370">
        <v>0</v>
      </c>
      <c r="Y45" s="370">
        <v>0</v>
      </c>
      <c r="Z45" s="370">
        <v>0</v>
      </c>
      <c r="AA45" s="370">
        <v>0</v>
      </c>
      <c r="AB45" s="370">
        <v>0</v>
      </c>
      <c r="AC45" s="370">
        <v>0</v>
      </c>
      <c r="AD45" s="370">
        <v>0</v>
      </c>
      <c r="AE45" s="370">
        <v>0</v>
      </c>
      <c r="AF45" s="370">
        <v>0</v>
      </c>
      <c r="AG45" s="31">
        <v>0</v>
      </c>
      <c r="AH45" s="31">
        <v>1</v>
      </c>
      <c r="AI45" s="31">
        <v>1</v>
      </c>
      <c r="AJ45" s="370">
        <v>1</v>
      </c>
      <c r="AK45" s="219">
        <v>0</v>
      </c>
      <c r="AL45" s="219">
        <v>0</v>
      </c>
      <c r="AM45" s="219">
        <v>0</v>
      </c>
      <c r="AN45" s="219">
        <v>0</v>
      </c>
      <c r="AO45" s="116">
        <v>0</v>
      </c>
      <c r="AP45" s="116">
        <v>0</v>
      </c>
      <c r="AQ45" s="116">
        <v>1</v>
      </c>
      <c r="AR45" s="116">
        <v>0</v>
      </c>
      <c r="AS45" s="116">
        <v>0</v>
      </c>
      <c r="AT45" s="116">
        <v>1</v>
      </c>
      <c r="AU45" s="385">
        <v>0</v>
      </c>
      <c r="AV45" s="332">
        <v>0</v>
      </c>
      <c r="AW45" s="332">
        <v>0</v>
      </c>
      <c r="AX45" s="332">
        <v>500000</v>
      </c>
      <c r="AY45" s="332">
        <v>0</v>
      </c>
      <c r="AZ45" s="332">
        <v>0</v>
      </c>
      <c r="BA45" s="332">
        <v>0</v>
      </c>
      <c r="BB45" s="31">
        <v>500000</v>
      </c>
      <c r="BC45" s="31">
        <v>500000</v>
      </c>
      <c r="BD45" s="29">
        <v>0</v>
      </c>
      <c r="BE45" s="31">
        <v>500000</v>
      </c>
    </row>
    <row r="46" spans="1:57" ht="13">
      <c r="A46" s="153">
        <v>44563</v>
      </c>
      <c r="B46" s="10" t="s">
        <v>188</v>
      </c>
      <c r="C46" s="10">
        <v>44561000010</v>
      </c>
      <c r="D46" s="10" t="s">
        <v>64</v>
      </c>
      <c r="E46" s="10" t="s">
        <v>64</v>
      </c>
      <c r="F46" s="153">
        <v>44561</v>
      </c>
      <c r="G46" s="116" t="s">
        <v>39</v>
      </c>
      <c r="H46" s="116">
        <v>500000</v>
      </c>
      <c r="I46" s="116">
        <v>0</v>
      </c>
      <c r="J46" s="116">
        <v>500000</v>
      </c>
      <c r="K46" s="219">
        <v>0</v>
      </c>
      <c r="L46" s="116">
        <v>0</v>
      </c>
      <c r="M46" s="31">
        <v>500000</v>
      </c>
      <c r="N46" s="336">
        <v>500000</v>
      </c>
      <c r="O46" s="336">
        <v>0</v>
      </c>
      <c r="P46" s="219">
        <v>0</v>
      </c>
      <c r="Q46" s="332">
        <v>0</v>
      </c>
      <c r="R46" s="219">
        <v>0</v>
      </c>
      <c r="S46" s="332">
        <v>0</v>
      </c>
      <c r="T46" s="219">
        <v>0</v>
      </c>
      <c r="U46" s="332">
        <v>0</v>
      </c>
      <c r="V46" s="332">
        <v>0</v>
      </c>
      <c r="W46" s="370">
        <v>0</v>
      </c>
      <c r="X46" s="370">
        <v>0</v>
      </c>
      <c r="Y46" s="370">
        <v>0</v>
      </c>
      <c r="Z46" s="370">
        <v>0</v>
      </c>
      <c r="AA46" s="370">
        <v>0</v>
      </c>
      <c r="AB46" s="370">
        <v>0</v>
      </c>
      <c r="AC46" s="370">
        <v>0</v>
      </c>
      <c r="AD46" s="370">
        <v>0</v>
      </c>
      <c r="AE46" s="370">
        <v>0</v>
      </c>
      <c r="AF46" s="370">
        <v>0</v>
      </c>
      <c r="AG46" s="31">
        <v>0</v>
      </c>
      <c r="AH46" s="31">
        <v>1</v>
      </c>
      <c r="AI46" s="31">
        <v>1</v>
      </c>
      <c r="AJ46" s="370">
        <v>1</v>
      </c>
      <c r="AK46" s="219">
        <v>0</v>
      </c>
      <c r="AL46" s="219">
        <v>0</v>
      </c>
      <c r="AM46" s="219">
        <v>0</v>
      </c>
      <c r="AN46" s="219">
        <v>0</v>
      </c>
      <c r="AO46" s="116">
        <v>0</v>
      </c>
      <c r="AP46" s="116">
        <v>0</v>
      </c>
      <c r="AQ46" s="116">
        <v>1</v>
      </c>
      <c r="AR46" s="116">
        <v>0</v>
      </c>
      <c r="AS46" s="116">
        <v>0</v>
      </c>
      <c r="AT46" s="116">
        <v>1</v>
      </c>
      <c r="AU46" s="385">
        <v>0</v>
      </c>
      <c r="AV46" s="332">
        <v>0</v>
      </c>
      <c r="AW46" s="332">
        <v>0</v>
      </c>
      <c r="AX46" s="332">
        <v>500000</v>
      </c>
      <c r="AY46" s="332">
        <v>0</v>
      </c>
      <c r="AZ46" s="332">
        <v>0</v>
      </c>
      <c r="BA46" s="332">
        <v>0</v>
      </c>
      <c r="BB46" s="31">
        <v>500000</v>
      </c>
      <c r="BC46" s="31">
        <v>500000</v>
      </c>
      <c r="BD46" s="29">
        <v>0</v>
      </c>
      <c r="BE46" s="31">
        <v>500000</v>
      </c>
    </row>
    <row r="47" spans="1:57" ht="13">
      <c r="A47" s="153">
        <v>44564</v>
      </c>
      <c r="B47" s="10" t="s">
        <v>183</v>
      </c>
      <c r="C47" s="10">
        <v>44561000005</v>
      </c>
      <c r="D47" s="10" t="s">
        <v>64</v>
      </c>
      <c r="E47" s="10" t="s">
        <v>64</v>
      </c>
      <c r="F47" s="153">
        <v>44561</v>
      </c>
      <c r="G47" s="116" t="s">
        <v>39</v>
      </c>
      <c r="H47" s="116">
        <v>500000</v>
      </c>
      <c r="I47" s="116">
        <v>0</v>
      </c>
      <c r="J47" s="116">
        <v>500000</v>
      </c>
      <c r="K47" s="219">
        <v>0</v>
      </c>
      <c r="L47" s="116">
        <v>0</v>
      </c>
      <c r="M47" s="31">
        <v>500000</v>
      </c>
      <c r="N47" s="336">
        <v>500000</v>
      </c>
      <c r="O47" s="336">
        <v>0</v>
      </c>
      <c r="P47" s="219">
        <v>0</v>
      </c>
      <c r="Q47" s="332">
        <v>0</v>
      </c>
      <c r="R47" s="219">
        <v>0</v>
      </c>
      <c r="S47" s="332">
        <v>0</v>
      </c>
      <c r="T47" s="219">
        <v>0</v>
      </c>
      <c r="U47" s="332">
        <v>0</v>
      </c>
      <c r="V47" s="332">
        <v>0</v>
      </c>
      <c r="W47" s="370">
        <v>0</v>
      </c>
      <c r="X47" s="370">
        <v>0</v>
      </c>
      <c r="Y47" s="370">
        <v>0</v>
      </c>
      <c r="Z47" s="370">
        <v>0</v>
      </c>
      <c r="AA47" s="370">
        <v>0</v>
      </c>
      <c r="AB47" s="370">
        <v>0</v>
      </c>
      <c r="AC47" s="370">
        <v>0</v>
      </c>
      <c r="AD47" s="370">
        <v>0</v>
      </c>
      <c r="AE47" s="370">
        <v>0</v>
      </c>
      <c r="AF47" s="370">
        <v>0</v>
      </c>
      <c r="AG47" s="31">
        <v>0</v>
      </c>
      <c r="AH47" s="31">
        <v>1</v>
      </c>
      <c r="AI47" s="31">
        <v>0</v>
      </c>
      <c r="AJ47" s="370">
        <v>1</v>
      </c>
      <c r="AK47" s="219">
        <v>0</v>
      </c>
      <c r="AL47" s="219">
        <v>0</v>
      </c>
      <c r="AM47" s="219">
        <v>0</v>
      </c>
      <c r="AN47" s="219">
        <v>0</v>
      </c>
      <c r="AO47" s="116">
        <v>0</v>
      </c>
      <c r="AP47" s="116">
        <v>0</v>
      </c>
      <c r="AQ47" s="116">
        <v>1</v>
      </c>
      <c r="AR47" s="116">
        <v>0</v>
      </c>
      <c r="AS47" s="116">
        <v>0</v>
      </c>
      <c r="AT47" s="116">
        <v>1</v>
      </c>
      <c r="AU47" s="385">
        <v>0</v>
      </c>
      <c r="AV47" s="332">
        <v>0</v>
      </c>
      <c r="AW47" s="332">
        <v>0</v>
      </c>
      <c r="AX47" s="332">
        <v>500000</v>
      </c>
      <c r="AY47" s="332">
        <v>0</v>
      </c>
      <c r="AZ47" s="332">
        <v>0</v>
      </c>
      <c r="BA47" s="332">
        <v>0</v>
      </c>
      <c r="BB47" s="31">
        <v>499993.60851562582</v>
      </c>
      <c r="BC47" s="31">
        <v>0</v>
      </c>
      <c r="BD47" s="29">
        <v>0</v>
      </c>
      <c r="BE47" s="29">
        <v>0</v>
      </c>
    </row>
    <row r="48" spans="1:57" ht="13">
      <c r="A48" s="153">
        <v>44564</v>
      </c>
      <c r="B48" s="10" t="s">
        <v>183</v>
      </c>
      <c r="C48" s="10">
        <v>44562000011</v>
      </c>
      <c r="D48" s="10" t="s">
        <v>16</v>
      </c>
      <c r="E48" s="10" t="s">
        <v>42</v>
      </c>
      <c r="F48" s="153">
        <v>44562</v>
      </c>
      <c r="G48" s="116" t="s">
        <v>41</v>
      </c>
      <c r="H48" s="116">
        <v>447610.20799999998</v>
      </c>
      <c r="I48" s="116">
        <v>52389.792000000001</v>
      </c>
      <c r="J48" s="116">
        <v>500000</v>
      </c>
      <c r="K48" s="219">
        <v>447610.20799999998</v>
      </c>
      <c r="L48" s="116">
        <v>0</v>
      </c>
      <c r="M48" s="31">
        <v>-52389.792000000001</v>
      </c>
      <c r="N48" s="336">
        <v>-52389.792000000001</v>
      </c>
      <c r="O48" s="336">
        <v>52389.792000000001</v>
      </c>
      <c r="P48" s="219">
        <v>0</v>
      </c>
      <c r="Q48" s="332">
        <v>26194.896000000001</v>
      </c>
      <c r="R48" s="219">
        <v>2</v>
      </c>
      <c r="S48" s="332">
        <v>0</v>
      </c>
      <c r="T48" s="219">
        <v>0</v>
      </c>
      <c r="U48" s="332">
        <v>0</v>
      </c>
      <c r="V48" s="332">
        <v>0</v>
      </c>
      <c r="W48" s="370">
        <v>0</v>
      </c>
      <c r="X48" s="370">
        <v>0</v>
      </c>
      <c r="Y48" s="370">
        <v>0</v>
      </c>
      <c r="Z48" s="370">
        <v>0</v>
      </c>
      <c r="AA48" s="370">
        <v>0</v>
      </c>
      <c r="AB48" s="370">
        <v>2</v>
      </c>
      <c r="AC48" s="370">
        <v>0</v>
      </c>
      <c r="AD48" s="370">
        <v>0</v>
      </c>
      <c r="AE48" s="370">
        <v>0</v>
      </c>
      <c r="AF48" s="370">
        <v>-2</v>
      </c>
      <c r="AG48" s="31">
        <v>2</v>
      </c>
      <c r="AH48" s="31">
        <v>3334.34</v>
      </c>
      <c r="AI48" s="31">
        <v>0</v>
      </c>
      <c r="AJ48" s="370">
        <v>7.7978500000000004</v>
      </c>
      <c r="AK48" s="219">
        <v>3334.34</v>
      </c>
      <c r="AL48" s="219">
        <v>0</v>
      </c>
      <c r="AM48" s="219">
        <v>0</v>
      </c>
      <c r="AN48" s="219">
        <v>0</v>
      </c>
      <c r="AO48" s="116">
        <v>0</v>
      </c>
      <c r="AP48" s="116">
        <v>0</v>
      </c>
      <c r="AQ48" s="116">
        <v>2</v>
      </c>
      <c r="AR48" s="116">
        <v>52001.366338000007</v>
      </c>
      <c r="AS48" s="116">
        <v>52001.366338000007</v>
      </c>
      <c r="AT48" s="116">
        <v>1</v>
      </c>
      <c r="AU48" s="385">
        <v>0</v>
      </c>
      <c r="AV48" s="332">
        <v>0</v>
      </c>
      <c r="AW48" s="332">
        <v>0</v>
      </c>
      <c r="AX48" s="332">
        <v>-52001.366338000007</v>
      </c>
      <c r="AY48" s="332">
        <v>0</v>
      </c>
      <c r="AZ48" s="332">
        <v>0</v>
      </c>
      <c r="BA48" s="332">
        <v>0</v>
      </c>
      <c r="BB48" s="31">
        <v>447603.8165156258</v>
      </c>
      <c r="BC48" s="31">
        <v>0</v>
      </c>
      <c r="BD48" s="29">
        <v>0</v>
      </c>
      <c r="BE48" s="29">
        <v>0</v>
      </c>
    </row>
    <row r="49" spans="1:57" ht="13">
      <c r="A49" s="153">
        <v>44564</v>
      </c>
      <c r="B49" s="10" t="s">
        <v>183</v>
      </c>
      <c r="C49" s="10">
        <v>44563000012</v>
      </c>
      <c r="D49" s="10" t="s">
        <v>16</v>
      </c>
      <c r="E49" s="10" t="s">
        <v>38</v>
      </c>
      <c r="F49" s="153">
        <v>44563</v>
      </c>
      <c r="G49" s="116" t="s">
        <v>39</v>
      </c>
      <c r="H49" s="116">
        <v>443010.20799999998</v>
      </c>
      <c r="I49" s="116">
        <v>56989.792000000001</v>
      </c>
      <c r="J49" s="116">
        <v>500000</v>
      </c>
      <c r="K49" s="219">
        <v>443010.20799999998</v>
      </c>
      <c r="L49" s="116">
        <v>0</v>
      </c>
      <c r="M49" s="31">
        <v>-4600</v>
      </c>
      <c r="N49" s="336">
        <v>-4600</v>
      </c>
      <c r="O49" s="336">
        <v>4600</v>
      </c>
      <c r="P49" s="219">
        <v>0</v>
      </c>
      <c r="Q49" s="332">
        <v>460</v>
      </c>
      <c r="R49" s="219">
        <v>10</v>
      </c>
      <c r="S49" s="332">
        <v>0</v>
      </c>
      <c r="T49" s="219">
        <v>0</v>
      </c>
      <c r="U49" s="332">
        <v>0</v>
      </c>
      <c r="V49" s="332">
        <v>0</v>
      </c>
      <c r="W49" s="370">
        <v>0</v>
      </c>
      <c r="X49" s="370">
        <v>0</v>
      </c>
      <c r="Y49" s="370">
        <v>0</v>
      </c>
      <c r="Z49" s="370">
        <v>0</v>
      </c>
      <c r="AA49" s="370">
        <v>0</v>
      </c>
      <c r="AB49" s="370">
        <v>10</v>
      </c>
      <c r="AC49" s="370">
        <v>0</v>
      </c>
      <c r="AD49" s="370">
        <v>0</v>
      </c>
      <c r="AE49" s="370">
        <v>0</v>
      </c>
      <c r="AF49" s="370">
        <v>-10</v>
      </c>
      <c r="AG49" s="31">
        <v>10</v>
      </c>
      <c r="AH49" s="31">
        <v>453.8</v>
      </c>
      <c r="AI49" s="31">
        <v>0</v>
      </c>
      <c r="AJ49" s="370">
        <v>1</v>
      </c>
      <c r="AK49" s="219">
        <v>453.8</v>
      </c>
      <c r="AL49" s="219">
        <v>0</v>
      </c>
      <c r="AM49" s="219">
        <v>0</v>
      </c>
      <c r="AN49" s="219">
        <v>0</v>
      </c>
      <c r="AO49" s="116">
        <v>0</v>
      </c>
      <c r="AP49" s="116">
        <v>0</v>
      </c>
      <c r="AQ49" s="116">
        <v>3</v>
      </c>
      <c r="AR49" s="116">
        <v>4538</v>
      </c>
      <c r="AS49" s="116">
        <v>4538</v>
      </c>
      <c r="AT49" s="116">
        <v>1</v>
      </c>
      <c r="AU49" s="385">
        <v>0</v>
      </c>
      <c r="AV49" s="332">
        <v>0</v>
      </c>
      <c r="AW49" s="332">
        <v>0</v>
      </c>
      <c r="AX49" s="332">
        <v>-4538</v>
      </c>
      <c r="AY49" s="332">
        <v>0</v>
      </c>
      <c r="AZ49" s="332">
        <v>0</v>
      </c>
      <c r="BA49" s="332">
        <v>0</v>
      </c>
      <c r="BB49" s="31">
        <v>443003.8165156258</v>
      </c>
      <c r="BC49" s="31">
        <v>0</v>
      </c>
      <c r="BD49" s="29">
        <v>0</v>
      </c>
      <c r="BE49" s="31">
        <v>0</v>
      </c>
    </row>
    <row r="50" spans="1:57" ht="13">
      <c r="A50" s="153">
        <v>44564</v>
      </c>
      <c r="B50" s="10" t="s">
        <v>183</v>
      </c>
      <c r="C50" s="10">
        <v>44563000013</v>
      </c>
      <c r="D50" s="10" t="s">
        <v>16</v>
      </c>
      <c r="E50" s="10" t="s">
        <v>40</v>
      </c>
      <c r="F50" s="153">
        <v>44563</v>
      </c>
      <c r="G50" s="116" t="s">
        <v>29</v>
      </c>
      <c r="H50" s="116">
        <v>480735.87624999997</v>
      </c>
      <c r="I50" s="116">
        <v>19264.123750000006</v>
      </c>
      <c r="J50" s="116">
        <v>500000</v>
      </c>
      <c r="K50" s="219">
        <v>409884.53975</v>
      </c>
      <c r="L50" s="116">
        <v>0</v>
      </c>
      <c r="M50" s="31">
        <v>37725.668249999995</v>
      </c>
      <c r="N50" s="336">
        <v>-37725.668249999995</v>
      </c>
      <c r="O50" s="336">
        <v>0</v>
      </c>
      <c r="P50" s="219">
        <v>-37725.668249999995</v>
      </c>
      <c r="Q50" s="332">
        <v>2515.0445499999996</v>
      </c>
      <c r="R50" s="219">
        <v>-15</v>
      </c>
      <c r="S50" s="332">
        <v>0</v>
      </c>
      <c r="T50" s="219">
        <v>0</v>
      </c>
      <c r="U50" s="332">
        <v>0</v>
      </c>
      <c r="V50" s="332">
        <v>0</v>
      </c>
      <c r="W50" s="370">
        <v>0</v>
      </c>
      <c r="X50" s="370">
        <v>0</v>
      </c>
      <c r="Y50" s="370">
        <v>0</v>
      </c>
      <c r="Z50" s="370">
        <v>0</v>
      </c>
      <c r="AA50" s="370">
        <v>0</v>
      </c>
      <c r="AB50" s="370">
        <v>-15</v>
      </c>
      <c r="AC50" s="370">
        <v>0</v>
      </c>
      <c r="AD50" s="370">
        <v>0</v>
      </c>
      <c r="AE50" s="370">
        <v>0</v>
      </c>
      <c r="AF50" s="370">
        <v>-15</v>
      </c>
      <c r="AG50" s="31">
        <v>-15</v>
      </c>
      <c r="AH50" s="31">
        <v>2050</v>
      </c>
      <c r="AI50" s="31">
        <v>0</v>
      </c>
      <c r="AJ50" s="370">
        <v>1.22699</v>
      </c>
      <c r="AK50" s="219">
        <v>2050</v>
      </c>
      <c r="AL50" s="219">
        <v>0</v>
      </c>
      <c r="AM50" s="219">
        <v>0</v>
      </c>
      <c r="AN50" s="219">
        <v>0</v>
      </c>
      <c r="AO50" s="116">
        <v>0</v>
      </c>
      <c r="AP50" s="116">
        <v>0</v>
      </c>
      <c r="AQ50" s="116">
        <v>4</v>
      </c>
      <c r="AR50" s="116">
        <v>-37729.942499999997</v>
      </c>
      <c r="AS50" s="116">
        <v>-37729.942499999997</v>
      </c>
      <c r="AT50" s="116">
        <v>1</v>
      </c>
      <c r="AU50" s="385">
        <v>0</v>
      </c>
      <c r="AV50" s="332">
        <v>0</v>
      </c>
      <c r="AW50" s="332">
        <v>0</v>
      </c>
      <c r="AX50" s="332">
        <v>-37729.942499999997</v>
      </c>
      <c r="AY50" s="332">
        <v>0</v>
      </c>
      <c r="AZ50" s="332">
        <v>-6.3914843741781135</v>
      </c>
      <c r="BA50" s="332">
        <v>0</v>
      </c>
      <c r="BB50" s="31">
        <v>480729.48476562579</v>
      </c>
      <c r="BC50" s="31">
        <v>0</v>
      </c>
      <c r="BD50" s="29">
        <v>0</v>
      </c>
      <c r="BE50" s="31">
        <v>0</v>
      </c>
    </row>
    <row r="51" spans="1:57" ht="13">
      <c r="A51" s="153">
        <v>44564</v>
      </c>
      <c r="B51" s="10" t="s">
        <v>183</v>
      </c>
      <c r="C51" s="10">
        <v>44563000014</v>
      </c>
      <c r="D51" s="10" t="s">
        <v>16</v>
      </c>
      <c r="E51" s="10" t="s">
        <v>36</v>
      </c>
      <c r="F51" s="153">
        <v>44563</v>
      </c>
      <c r="G51" s="116" t="s">
        <v>37</v>
      </c>
      <c r="H51" s="116">
        <v>416011.66724999994</v>
      </c>
      <c r="I51" s="116">
        <v>83988.332750000001</v>
      </c>
      <c r="J51" s="116">
        <v>499999.99999999994</v>
      </c>
      <c r="K51" s="219">
        <v>345160.33075000002</v>
      </c>
      <c r="L51" s="116">
        <v>0</v>
      </c>
      <c r="M51" s="31">
        <v>-64724.209000000003</v>
      </c>
      <c r="N51" s="336">
        <v>-64724.208999999995</v>
      </c>
      <c r="O51" s="336">
        <v>64724.209000000003</v>
      </c>
      <c r="P51" s="219">
        <v>0</v>
      </c>
      <c r="Q51" s="332">
        <v>6472.4209000000001</v>
      </c>
      <c r="R51" s="219">
        <v>10</v>
      </c>
      <c r="S51" s="332">
        <v>0</v>
      </c>
      <c r="T51" s="219">
        <v>0</v>
      </c>
      <c r="U51" s="332">
        <v>0</v>
      </c>
      <c r="V51" s="332">
        <v>0</v>
      </c>
      <c r="W51" s="370">
        <v>0</v>
      </c>
      <c r="X51" s="370">
        <v>0</v>
      </c>
      <c r="Y51" s="370">
        <v>0</v>
      </c>
      <c r="Z51" s="370">
        <v>0</v>
      </c>
      <c r="AA51" s="370">
        <v>0</v>
      </c>
      <c r="AB51" s="370">
        <v>10</v>
      </c>
      <c r="AC51" s="370">
        <v>0</v>
      </c>
      <c r="AD51" s="370">
        <v>0</v>
      </c>
      <c r="AE51" s="370">
        <v>0</v>
      </c>
      <c r="AF51" s="370">
        <v>-10</v>
      </c>
      <c r="AG51" s="31">
        <v>10</v>
      </c>
      <c r="AH51" s="31">
        <v>727</v>
      </c>
      <c r="AI51" s="31">
        <v>1</v>
      </c>
      <c r="AJ51" s="370">
        <v>8.8110999999999997</v>
      </c>
      <c r="AK51" s="219">
        <v>727</v>
      </c>
      <c r="AL51" s="219">
        <v>0</v>
      </c>
      <c r="AM51" s="219">
        <v>0</v>
      </c>
      <c r="AN51" s="219">
        <v>0</v>
      </c>
      <c r="AO51" s="116">
        <v>0</v>
      </c>
      <c r="AP51" s="116">
        <v>0</v>
      </c>
      <c r="AQ51" s="116">
        <v>5</v>
      </c>
      <c r="AR51" s="116">
        <v>64056.697</v>
      </c>
      <c r="AS51" s="116">
        <v>64056.697</v>
      </c>
      <c r="AT51" s="116">
        <v>1</v>
      </c>
      <c r="AU51" s="385">
        <v>120596.06333800001</v>
      </c>
      <c r="AV51" s="332">
        <v>-37729.942499999997</v>
      </c>
      <c r="AW51" s="332">
        <v>82866.120838000003</v>
      </c>
      <c r="AX51" s="332">
        <v>-64056.696999999993</v>
      </c>
      <c r="AY51" s="332">
        <v>0</v>
      </c>
      <c r="AZ51" s="332">
        <v>0</v>
      </c>
      <c r="BA51" s="332">
        <v>0</v>
      </c>
      <c r="BB51" s="31">
        <v>416005.27576562576</v>
      </c>
      <c r="BC51" s="31">
        <v>416005.27576562576</v>
      </c>
      <c r="BD51" s="29">
        <v>0</v>
      </c>
      <c r="BE51" s="31">
        <v>498877.78808799991</v>
      </c>
    </row>
    <row r="52" spans="1:57" ht="13">
      <c r="A52" s="153">
        <v>44564</v>
      </c>
      <c r="B52" s="10" t="s">
        <v>184</v>
      </c>
      <c r="C52" s="10">
        <v>44561000006</v>
      </c>
      <c r="D52" s="10" t="s">
        <v>64</v>
      </c>
      <c r="E52" s="10" t="s">
        <v>64</v>
      </c>
      <c r="F52" s="153">
        <v>44561</v>
      </c>
      <c r="G52" s="116" t="s">
        <v>39</v>
      </c>
      <c r="H52" s="116">
        <v>500000</v>
      </c>
      <c r="I52" s="116">
        <v>0</v>
      </c>
      <c r="J52" s="116">
        <v>500000</v>
      </c>
      <c r="K52" s="219">
        <v>0</v>
      </c>
      <c r="L52" s="116">
        <v>0</v>
      </c>
      <c r="M52" s="31">
        <v>500000</v>
      </c>
      <c r="N52" s="336">
        <v>500000</v>
      </c>
      <c r="O52" s="336">
        <v>0</v>
      </c>
      <c r="P52" s="219">
        <v>0</v>
      </c>
      <c r="Q52" s="332">
        <v>0</v>
      </c>
      <c r="R52" s="219">
        <v>0</v>
      </c>
      <c r="S52" s="332">
        <v>0</v>
      </c>
      <c r="T52" s="219">
        <v>0</v>
      </c>
      <c r="U52" s="332">
        <v>0</v>
      </c>
      <c r="V52" s="332">
        <v>0</v>
      </c>
      <c r="W52" s="370">
        <v>0</v>
      </c>
      <c r="X52" s="370">
        <v>0</v>
      </c>
      <c r="Y52" s="370">
        <v>0</v>
      </c>
      <c r="Z52" s="370">
        <v>0</v>
      </c>
      <c r="AA52" s="370">
        <v>0</v>
      </c>
      <c r="AB52" s="370">
        <v>0</v>
      </c>
      <c r="AC52" s="370">
        <v>0</v>
      </c>
      <c r="AD52" s="370">
        <v>0</v>
      </c>
      <c r="AE52" s="370">
        <v>0</v>
      </c>
      <c r="AF52" s="370">
        <v>0</v>
      </c>
      <c r="AG52" s="31">
        <v>0</v>
      </c>
      <c r="AH52" s="31">
        <v>1</v>
      </c>
      <c r="AI52" s="31">
        <v>0</v>
      </c>
      <c r="AJ52" s="370">
        <v>1</v>
      </c>
      <c r="AK52" s="219">
        <v>0</v>
      </c>
      <c r="AL52" s="219">
        <v>0</v>
      </c>
      <c r="AM52" s="219">
        <v>0</v>
      </c>
      <c r="AN52" s="219">
        <v>0</v>
      </c>
      <c r="AO52" s="116">
        <v>0</v>
      </c>
      <c r="AP52" s="116">
        <v>0</v>
      </c>
      <c r="AQ52" s="116">
        <v>1</v>
      </c>
      <c r="AR52" s="116">
        <v>0</v>
      </c>
      <c r="AS52" s="116">
        <v>0</v>
      </c>
      <c r="AT52" s="116">
        <v>1</v>
      </c>
      <c r="AU52" s="385">
        <v>0</v>
      </c>
      <c r="AV52" s="332">
        <v>0</v>
      </c>
      <c r="AW52" s="332">
        <v>0</v>
      </c>
      <c r="AX52" s="332">
        <v>500000</v>
      </c>
      <c r="AY52" s="332">
        <v>0</v>
      </c>
      <c r="AZ52" s="332">
        <v>0</v>
      </c>
      <c r="BA52" s="332">
        <v>0</v>
      </c>
      <c r="BB52" s="31">
        <v>499999.6156294687</v>
      </c>
      <c r="BC52" s="31">
        <v>0</v>
      </c>
      <c r="BD52" s="29">
        <v>0</v>
      </c>
      <c r="BE52" s="31">
        <v>0</v>
      </c>
    </row>
    <row r="53" spans="1:57" ht="13">
      <c r="A53" s="153">
        <v>44564</v>
      </c>
      <c r="B53" s="10" t="s">
        <v>184</v>
      </c>
      <c r="C53" s="10">
        <v>44563000025</v>
      </c>
      <c r="D53" s="10" t="s">
        <v>16</v>
      </c>
      <c r="E53" s="10" t="s">
        <v>40</v>
      </c>
      <c r="F53" s="153">
        <v>44563</v>
      </c>
      <c r="G53" s="116" t="s">
        <v>29</v>
      </c>
      <c r="H53" s="116">
        <v>450189.84940000001</v>
      </c>
      <c r="I53" s="116">
        <v>49810.150599999994</v>
      </c>
      <c r="J53" s="116">
        <v>500000</v>
      </c>
      <c r="K53" s="219">
        <v>450189.84940000001</v>
      </c>
      <c r="L53" s="116">
        <v>0</v>
      </c>
      <c r="M53" s="31">
        <v>-49810.150599999994</v>
      </c>
      <c r="N53" s="336">
        <v>-49810.150599999994</v>
      </c>
      <c r="O53" s="336">
        <v>49810.150599999994</v>
      </c>
      <c r="P53" s="219">
        <v>0</v>
      </c>
      <c r="Q53" s="332">
        <v>2490.5075299999999</v>
      </c>
      <c r="R53" s="219">
        <v>20</v>
      </c>
      <c r="S53" s="332">
        <v>0</v>
      </c>
      <c r="T53" s="219">
        <v>0</v>
      </c>
      <c r="U53" s="332">
        <v>0</v>
      </c>
      <c r="V53" s="332">
        <v>0</v>
      </c>
      <c r="W53" s="370">
        <v>0</v>
      </c>
      <c r="X53" s="370">
        <v>0</v>
      </c>
      <c r="Y53" s="370">
        <v>0</v>
      </c>
      <c r="Z53" s="370">
        <v>0</v>
      </c>
      <c r="AA53" s="370">
        <v>0</v>
      </c>
      <c r="AB53" s="370">
        <v>20</v>
      </c>
      <c r="AC53" s="370">
        <v>0</v>
      </c>
      <c r="AD53" s="370">
        <v>0</v>
      </c>
      <c r="AE53" s="370">
        <v>0</v>
      </c>
      <c r="AF53" s="370">
        <v>-20</v>
      </c>
      <c r="AG53" s="31">
        <v>20</v>
      </c>
      <c r="AH53" s="31">
        <v>2050</v>
      </c>
      <c r="AI53" s="31">
        <v>0</v>
      </c>
      <c r="AJ53" s="370">
        <v>1.22699</v>
      </c>
      <c r="AK53" s="219">
        <v>2050</v>
      </c>
      <c r="AL53" s="219">
        <v>0</v>
      </c>
      <c r="AM53" s="219">
        <v>0</v>
      </c>
      <c r="AN53" s="219">
        <v>0</v>
      </c>
      <c r="AO53" s="116">
        <v>0</v>
      </c>
      <c r="AP53" s="116">
        <v>0</v>
      </c>
      <c r="AQ53" s="116">
        <v>2</v>
      </c>
      <c r="AR53" s="116">
        <v>50306.590000000004</v>
      </c>
      <c r="AS53" s="116">
        <v>25153.295000000002</v>
      </c>
      <c r="AT53" s="116">
        <v>1</v>
      </c>
      <c r="AU53" s="385">
        <v>0</v>
      </c>
      <c r="AV53" s="332">
        <v>0</v>
      </c>
      <c r="AW53" s="332">
        <v>0</v>
      </c>
      <c r="AX53" s="332">
        <v>-50306.59</v>
      </c>
      <c r="AY53" s="332">
        <v>0</v>
      </c>
      <c r="AZ53" s="332">
        <v>0</v>
      </c>
      <c r="BA53" s="332">
        <v>0</v>
      </c>
      <c r="BB53" s="31">
        <v>450189.4650294687</v>
      </c>
      <c r="BC53" s="31">
        <v>0</v>
      </c>
      <c r="BD53" s="29">
        <v>0</v>
      </c>
      <c r="BE53" s="31">
        <v>0</v>
      </c>
    </row>
    <row r="54" spans="1:57" ht="13">
      <c r="A54" s="153">
        <v>44564</v>
      </c>
      <c r="B54" s="10" t="s">
        <v>184</v>
      </c>
      <c r="C54" s="10">
        <v>44563000026</v>
      </c>
      <c r="D54" s="10" t="s">
        <v>16</v>
      </c>
      <c r="E54" s="10" t="s">
        <v>38</v>
      </c>
      <c r="F54" s="153">
        <v>44563</v>
      </c>
      <c r="G54" s="116" t="s">
        <v>39</v>
      </c>
      <c r="H54" s="116">
        <v>452489.84940000001</v>
      </c>
      <c r="I54" s="116">
        <v>47510.150599999994</v>
      </c>
      <c r="J54" s="116">
        <v>500000</v>
      </c>
      <c r="K54" s="219">
        <v>447889.84940000001</v>
      </c>
      <c r="L54" s="116">
        <v>0</v>
      </c>
      <c r="M54" s="31">
        <v>2300</v>
      </c>
      <c r="N54" s="336">
        <v>-2300</v>
      </c>
      <c r="O54" s="336">
        <v>0</v>
      </c>
      <c r="P54" s="219">
        <v>-2300</v>
      </c>
      <c r="Q54" s="332">
        <v>460</v>
      </c>
      <c r="R54" s="219">
        <v>-5</v>
      </c>
      <c r="S54" s="332">
        <v>0</v>
      </c>
      <c r="T54" s="219">
        <v>0</v>
      </c>
      <c r="U54" s="332">
        <v>0</v>
      </c>
      <c r="V54" s="332">
        <v>0</v>
      </c>
      <c r="W54" s="370">
        <v>0</v>
      </c>
      <c r="X54" s="370">
        <v>0</v>
      </c>
      <c r="Y54" s="370">
        <v>0</v>
      </c>
      <c r="Z54" s="370">
        <v>0</v>
      </c>
      <c r="AA54" s="370">
        <v>0</v>
      </c>
      <c r="AB54" s="370">
        <v>-5</v>
      </c>
      <c r="AC54" s="370">
        <v>0</v>
      </c>
      <c r="AD54" s="370">
        <v>0</v>
      </c>
      <c r="AE54" s="370">
        <v>0</v>
      </c>
      <c r="AF54" s="370">
        <v>-5</v>
      </c>
      <c r="AG54" s="31">
        <v>-5</v>
      </c>
      <c r="AH54" s="31">
        <v>453.8</v>
      </c>
      <c r="AI54" s="31">
        <v>0</v>
      </c>
      <c r="AJ54" s="370">
        <v>1</v>
      </c>
      <c r="AK54" s="219">
        <v>453.8</v>
      </c>
      <c r="AL54" s="219">
        <v>0</v>
      </c>
      <c r="AM54" s="219">
        <v>0</v>
      </c>
      <c r="AN54" s="219">
        <v>0</v>
      </c>
      <c r="AO54" s="116">
        <v>0</v>
      </c>
      <c r="AP54" s="116">
        <v>0</v>
      </c>
      <c r="AQ54" s="116">
        <v>3</v>
      </c>
      <c r="AR54" s="116">
        <v>-2269</v>
      </c>
      <c r="AS54" s="116">
        <v>4538</v>
      </c>
      <c r="AT54" s="116">
        <v>1</v>
      </c>
      <c r="AU54" s="385">
        <v>0</v>
      </c>
      <c r="AV54" s="332">
        <v>0</v>
      </c>
      <c r="AW54" s="332">
        <v>0</v>
      </c>
      <c r="AX54" s="332">
        <v>-2269</v>
      </c>
      <c r="AY54" s="332">
        <v>0</v>
      </c>
      <c r="AZ54" s="332">
        <v>-0.38437053130971882</v>
      </c>
      <c r="BA54" s="332">
        <v>0</v>
      </c>
      <c r="BB54" s="31">
        <v>452489.4650294687</v>
      </c>
      <c r="BC54" s="31">
        <v>0</v>
      </c>
      <c r="BD54" s="29">
        <v>0</v>
      </c>
      <c r="BE54" s="31">
        <v>0</v>
      </c>
    </row>
    <row r="55" spans="1:57" ht="13">
      <c r="A55" s="153">
        <v>44564</v>
      </c>
      <c r="B55" s="10" t="s">
        <v>184</v>
      </c>
      <c r="C55" s="10">
        <v>44564000027</v>
      </c>
      <c r="D55" s="10" t="s">
        <v>16</v>
      </c>
      <c r="E55" s="10" t="s">
        <v>40</v>
      </c>
      <c r="F55" s="153">
        <v>44564</v>
      </c>
      <c r="G55" s="116" t="s">
        <v>29</v>
      </c>
      <c r="H55" s="116">
        <v>477643.14439999999</v>
      </c>
      <c r="I55" s="116">
        <v>22356.855599999995</v>
      </c>
      <c r="J55" s="116">
        <v>500000</v>
      </c>
      <c r="K55" s="219">
        <v>473043.14439999999</v>
      </c>
      <c r="L55" s="116">
        <v>0</v>
      </c>
      <c r="M55" s="31">
        <v>25153.294999999998</v>
      </c>
      <c r="N55" s="336">
        <v>25153.295000000002</v>
      </c>
      <c r="O55" s="336">
        <v>0</v>
      </c>
      <c r="P55" s="219">
        <v>-25153.294999999998</v>
      </c>
      <c r="Q55" s="332">
        <v>2515.3294999999998</v>
      </c>
      <c r="R55" s="219">
        <v>-10</v>
      </c>
      <c r="S55" s="332">
        <v>0</v>
      </c>
      <c r="T55" s="219">
        <v>0</v>
      </c>
      <c r="U55" s="332">
        <v>0</v>
      </c>
      <c r="V55" s="332">
        <v>0</v>
      </c>
      <c r="W55" s="370">
        <v>0</v>
      </c>
      <c r="X55" s="370">
        <v>20</v>
      </c>
      <c r="Y55" s="370">
        <v>0</v>
      </c>
      <c r="Z55" s="370">
        <v>0</v>
      </c>
      <c r="AA55" s="370">
        <v>0</v>
      </c>
      <c r="AB55" s="370">
        <v>10</v>
      </c>
      <c r="AC55" s="370">
        <v>0</v>
      </c>
      <c r="AD55" s="370">
        <v>0</v>
      </c>
      <c r="AE55" s="370">
        <v>0</v>
      </c>
      <c r="AF55" s="370">
        <v>10</v>
      </c>
      <c r="AG55" s="31">
        <v>-10</v>
      </c>
      <c r="AH55" s="31">
        <v>2050</v>
      </c>
      <c r="AI55" s="31">
        <v>0</v>
      </c>
      <c r="AJ55" s="370">
        <v>1.22699</v>
      </c>
      <c r="AK55" s="219">
        <v>2050</v>
      </c>
      <c r="AL55" s="219">
        <v>0</v>
      </c>
      <c r="AM55" s="219">
        <v>0</v>
      </c>
      <c r="AN55" s="219">
        <v>0</v>
      </c>
      <c r="AO55" s="116">
        <v>0</v>
      </c>
      <c r="AP55" s="116">
        <v>0</v>
      </c>
      <c r="AQ55" s="116">
        <v>3</v>
      </c>
      <c r="AR55" s="116">
        <v>-25153.295000000002</v>
      </c>
      <c r="AS55" s="116">
        <v>25153.295000000002</v>
      </c>
      <c r="AT55" s="116">
        <v>0</v>
      </c>
      <c r="AU55" s="385">
        <v>0</v>
      </c>
      <c r="AV55" s="332">
        <v>0</v>
      </c>
      <c r="AW55" s="332">
        <v>0</v>
      </c>
      <c r="AX55" s="332">
        <v>25153.294999999998</v>
      </c>
      <c r="AY55" s="332">
        <v>0</v>
      </c>
      <c r="AZ55" s="332">
        <v>0</v>
      </c>
      <c r="BA55" s="332">
        <v>0</v>
      </c>
      <c r="BB55" s="31">
        <v>477642.76002946869</v>
      </c>
      <c r="BC55" s="31">
        <v>0</v>
      </c>
      <c r="BD55" s="29">
        <v>0</v>
      </c>
      <c r="BE55" s="31">
        <v>0</v>
      </c>
    </row>
    <row r="56" spans="1:57" ht="13">
      <c r="A56" s="153">
        <v>44564</v>
      </c>
      <c r="B56" s="10" t="s">
        <v>184</v>
      </c>
      <c r="C56" s="10">
        <v>44564000028</v>
      </c>
      <c r="D56" s="10" t="s">
        <v>16</v>
      </c>
      <c r="E56" s="10" t="s">
        <v>38</v>
      </c>
      <c r="F56" s="153">
        <v>44564</v>
      </c>
      <c r="G56" s="116" t="s">
        <v>39</v>
      </c>
      <c r="H56" s="116">
        <v>470743.14439999999</v>
      </c>
      <c r="I56" s="116">
        <v>29256.855599999995</v>
      </c>
      <c r="J56" s="116">
        <v>500000</v>
      </c>
      <c r="K56" s="219">
        <v>470743.14439999999</v>
      </c>
      <c r="L56" s="116">
        <v>0</v>
      </c>
      <c r="M56" s="31">
        <v>-6900</v>
      </c>
      <c r="N56" s="336">
        <v>-2300</v>
      </c>
      <c r="O56" s="336">
        <v>6900</v>
      </c>
      <c r="P56" s="219">
        <v>0</v>
      </c>
      <c r="Q56" s="332">
        <v>460</v>
      </c>
      <c r="R56" s="219">
        <v>15</v>
      </c>
      <c r="S56" s="332">
        <v>0</v>
      </c>
      <c r="T56" s="219">
        <v>0</v>
      </c>
      <c r="U56" s="332">
        <v>0</v>
      </c>
      <c r="V56" s="332">
        <v>0</v>
      </c>
      <c r="W56" s="370">
        <v>0</v>
      </c>
      <c r="X56" s="370">
        <v>-5</v>
      </c>
      <c r="Y56" s="370">
        <v>0</v>
      </c>
      <c r="Z56" s="370">
        <v>0</v>
      </c>
      <c r="AA56" s="370">
        <v>0</v>
      </c>
      <c r="AB56" s="370">
        <v>10</v>
      </c>
      <c r="AC56" s="370">
        <v>0</v>
      </c>
      <c r="AD56" s="370">
        <v>0</v>
      </c>
      <c r="AE56" s="370">
        <v>0</v>
      </c>
      <c r="AF56" s="370">
        <v>-5</v>
      </c>
      <c r="AG56" s="31">
        <v>15</v>
      </c>
      <c r="AH56" s="31">
        <v>453.8</v>
      </c>
      <c r="AI56" s="31">
        <v>1</v>
      </c>
      <c r="AJ56" s="370">
        <v>1</v>
      </c>
      <c r="AK56" s="219">
        <v>453.8</v>
      </c>
      <c r="AL56" s="219">
        <v>0</v>
      </c>
      <c r="AM56" s="219">
        <v>0</v>
      </c>
      <c r="AN56" s="219">
        <v>0</v>
      </c>
      <c r="AO56" s="116">
        <v>0</v>
      </c>
      <c r="AP56" s="116">
        <v>0</v>
      </c>
      <c r="AQ56" s="116">
        <v>3</v>
      </c>
      <c r="AR56" s="116">
        <v>6807</v>
      </c>
      <c r="AS56" s="116">
        <v>4538</v>
      </c>
      <c r="AT56" s="116">
        <v>0</v>
      </c>
      <c r="AU56" s="385">
        <v>29691.295000000002</v>
      </c>
      <c r="AV56" s="332">
        <v>0</v>
      </c>
      <c r="AW56" s="332">
        <v>29691.295000000002</v>
      </c>
      <c r="AX56" s="332">
        <v>-2269</v>
      </c>
      <c r="AY56" s="332">
        <v>0</v>
      </c>
      <c r="AZ56" s="332">
        <v>0</v>
      </c>
      <c r="BA56" s="332">
        <v>0</v>
      </c>
      <c r="BB56" s="31">
        <v>470742.76002946869</v>
      </c>
      <c r="BC56" s="31">
        <v>470742.76002946869</v>
      </c>
      <c r="BD56" s="29">
        <v>0</v>
      </c>
      <c r="BE56" s="31">
        <v>500434.43939999997</v>
      </c>
    </row>
    <row r="57" spans="1:57" ht="13">
      <c r="A57" s="153">
        <v>44564</v>
      </c>
      <c r="B57" s="10" t="s">
        <v>185</v>
      </c>
      <c r="C57" s="10">
        <v>44561000007</v>
      </c>
      <c r="D57" s="10" t="s">
        <v>64</v>
      </c>
      <c r="E57" s="10" t="s">
        <v>64</v>
      </c>
      <c r="F57" s="153">
        <v>44561</v>
      </c>
      <c r="G57" s="116" t="s">
        <v>39</v>
      </c>
      <c r="H57" s="116">
        <v>500000</v>
      </c>
      <c r="I57" s="116">
        <v>0</v>
      </c>
      <c r="J57" s="116">
        <v>500000</v>
      </c>
      <c r="K57" s="219">
        <v>0</v>
      </c>
      <c r="L57" s="116">
        <v>0</v>
      </c>
      <c r="M57" s="31">
        <v>500000</v>
      </c>
      <c r="N57" s="336">
        <v>500000</v>
      </c>
      <c r="O57" s="336">
        <v>0</v>
      </c>
      <c r="P57" s="219">
        <v>0</v>
      </c>
      <c r="Q57" s="332">
        <v>0</v>
      </c>
      <c r="R57" s="219">
        <v>0</v>
      </c>
      <c r="S57" s="332">
        <v>0</v>
      </c>
      <c r="T57" s="219">
        <v>0</v>
      </c>
      <c r="U57" s="332">
        <v>0</v>
      </c>
      <c r="V57" s="332">
        <v>0</v>
      </c>
      <c r="W57" s="370">
        <v>0</v>
      </c>
      <c r="X57" s="370">
        <v>0</v>
      </c>
      <c r="Y57" s="370">
        <v>0</v>
      </c>
      <c r="Z57" s="370">
        <v>0</v>
      </c>
      <c r="AA57" s="370">
        <v>0</v>
      </c>
      <c r="AB57" s="370">
        <v>0</v>
      </c>
      <c r="AC57" s="370">
        <v>0</v>
      </c>
      <c r="AD57" s="370">
        <v>0</v>
      </c>
      <c r="AE57" s="370">
        <v>0</v>
      </c>
      <c r="AF57" s="370">
        <v>0</v>
      </c>
      <c r="AG57" s="31">
        <v>0</v>
      </c>
      <c r="AH57" s="31">
        <v>1</v>
      </c>
      <c r="AI57" s="31">
        <v>0</v>
      </c>
      <c r="AJ57" s="370">
        <v>1</v>
      </c>
      <c r="AK57" s="219">
        <v>0</v>
      </c>
      <c r="AL57" s="219">
        <v>0</v>
      </c>
      <c r="AM57" s="219">
        <v>0</v>
      </c>
      <c r="AN57" s="219">
        <v>0</v>
      </c>
      <c r="AO57" s="116">
        <v>0</v>
      </c>
      <c r="AP57" s="116">
        <v>0</v>
      </c>
      <c r="AQ57" s="116">
        <v>1</v>
      </c>
      <c r="AR57" s="116">
        <v>0</v>
      </c>
      <c r="AS57" s="116">
        <v>0</v>
      </c>
      <c r="AT57" s="116">
        <v>1</v>
      </c>
      <c r="AU57" s="385">
        <v>0</v>
      </c>
      <c r="AV57" s="332">
        <v>0</v>
      </c>
      <c r="AW57" s="332">
        <v>0</v>
      </c>
      <c r="AX57" s="332">
        <v>500000</v>
      </c>
      <c r="AY57" s="332">
        <v>0</v>
      </c>
      <c r="AZ57" s="332">
        <v>0</v>
      </c>
      <c r="BA57" s="332">
        <v>0</v>
      </c>
      <c r="BB57" s="31">
        <v>499999.31750231684</v>
      </c>
      <c r="BC57" s="31">
        <v>0</v>
      </c>
      <c r="BD57" s="29">
        <v>0</v>
      </c>
      <c r="BE57" s="31">
        <v>0</v>
      </c>
    </row>
    <row r="58" spans="1:57" ht="13">
      <c r="A58" s="153">
        <v>44564</v>
      </c>
      <c r="B58" s="10" t="s">
        <v>185</v>
      </c>
      <c r="C58" s="10">
        <v>44562000029</v>
      </c>
      <c r="D58" s="10" t="s">
        <v>61</v>
      </c>
      <c r="E58" s="10" t="s">
        <v>63</v>
      </c>
      <c r="F58" s="153">
        <v>44562</v>
      </c>
      <c r="G58" s="116" t="s">
        <v>39</v>
      </c>
      <c r="H58" s="116">
        <v>490000</v>
      </c>
      <c r="I58" s="116">
        <v>10000</v>
      </c>
      <c r="J58" s="116">
        <v>500000</v>
      </c>
      <c r="K58" s="219">
        <v>490000</v>
      </c>
      <c r="L58" s="116">
        <v>0</v>
      </c>
      <c r="M58" s="31">
        <v>-10000</v>
      </c>
      <c r="N58" s="336">
        <v>-10000</v>
      </c>
      <c r="O58" s="336">
        <v>0</v>
      </c>
      <c r="P58" s="219">
        <v>0</v>
      </c>
      <c r="Q58" s="332">
        <v>0</v>
      </c>
      <c r="R58" s="219">
        <v>0</v>
      </c>
      <c r="S58" s="332">
        <v>0</v>
      </c>
      <c r="T58" s="219">
        <v>0</v>
      </c>
      <c r="U58" s="332">
        <v>0</v>
      </c>
      <c r="V58" s="332">
        <v>0</v>
      </c>
      <c r="W58" s="370">
        <v>10000</v>
      </c>
      <c r="X58" s="370">
        <v>0</v>
      </c>
      <c r="Y58" s="370">
        <v>0</v>
      </c>
      <c r="Z58" s="370">
        <v>0</v>
      </c>
      <c r="AA58" s="370">
        <v>0</v>
      </c>
      <c r="AB58" s="370">
        <v>0</v>
      </c>
      <c r="AC58" s="370">
        <v>0</v>
      </c>
      <c r="AD58" s="370">
        <v>0</v>
      </c>
      <c r="AE58" s="370">
        <v>10000</v>
      </c>
      <c r="AF58" s="370">
        <v>-10000</v>
      </c>
      <c r="AG58" s="31">
        <v>10000</v>
      </c>
      <c r="AH58" s="31">
        <v>1</v>
      </c>
      <c r="AI58" s="31">
        <v>0</v>
      </c>
      <c r="AJ58" s="370">
        <v>1</v>
      </c>
      <c r="AK58" s="219">
        <v>0</v>
      </c>
      <c r="AL58" s="219">
        <v>0</v>
      </c>
      <c r="AM58" s="219">
        <v>0</v>
      </c>
      <c r="AN58" s="219">
        <v>0</v>
      </c>
      <c r="AO58" s="116">
        <v>0</v>
      </c>
      <c r="AP58" s="116">
        <v>1</v>
      </c>
      <c r="AQ58" s="116">
        <v>2</v>
      </c>
      <c r="AR58" s="116">
        <v>10000</v>
      </c>
      <c r="AS58" s="116">
        <v>-5000</v>
      </c>
      <c r="AT58" s="116">
        <v>1</v>
      </c>
      <c r="AU58" s="385">
        <v>0</v>
      </c>
      <c r="AV58" s="332">
        <v>0</v>
      </c>
      <c r="AW58" s="332">
        <v>0</v>
      </c>
      <c r="AX58" s="332">
        <v>-10000</v>
      </c>
      <c r="AY58" s="332">
        <v>0</v>
      </c>
      <c r="AZ58" s="332">
        <v>0</v>
      </c>
      <c r="BA58" s="332">
        <v>4.1126643175088691E-2</v>
      </c>
      <c r="BB58" s="31">
        <v>489999.31750231684</v>
      </c>
      <c r="BC58" s="31">
        <v>0</v>
      </c>
      <c r="BD58" s="29">
        <v>0</v>
      </c>
      <c r="BE58" s="31">
        <v>0</v>
      </c>
    </row>
    <row r="59" spans="1:57" ht="13">
      <c r="A59" s="153">
        <v>44564</v>
      </c>
      <c r="B59" s="10" t="s">
        <v>185</v>
      </c>
      <c r="C59" s="10">
        <v>44562000030</v>
      </c>
      <c r="D59" s="10" t="s">
        <v>18</v>
      </c>
      <c r="E59" s="10" t="s">
        <v>7</v>
      </c>
      <c r="F59" s="153">
        <v>44562</v>
      </c>
      <c r="G59" s="116" t="s">
        <v>41</v>
      </c>
      <c r="H59" s="116">
        <v>448805.40759999998</v>
      </c>
      <c r="I59" s="116">
        <v>51194.592400000009</v>
      </c>
      <c r="J59" s="116">
        <v>500000</v>
      </c>
      <c r="K59" s="219">
        <v>458805.40759999998</v>
      </c>
      <c r="L59" s="116">
        <v>0</v>
      </c>
      <c r="M59" s="31">
        <v>-41194.592400000009</v>
      </c>
      <c r="N59" s="336">
        <v>-41194.592400000001</v>
      </c>
      <c r="O59" s="336">
        <v>0</v>
      </c>
      <c r="P59" s="219">
        <v>0</v>
      </c>
      <c r="Q59" s="332">
        <v>0</v>
      </c>
      <c r="R59" s="219">
        <v>0</v>
      </c>
      <c r="S59" s="332">
        <v>13.21</v>
      </c>
      <c r="T59" s="219">
        <v>40</v>
      </c>
      <c r="U59" s="332">
        <v>0</v>
      </c>
      <c r="V59" s="332">
        <v>0</v>
      </c>
      <c r="W59" s="370">
        <v>0</v>
      </c>
      <c r="X59" s="370">
        <v>0</v>
      </c>
      <c r="Y59" s="370">
        <v>0</v>
      </c>
      <c r="Z59" s="370">
        <v>0</v>
      </c>
      <c r="AA59" s="370">
        <v>0</v>
      </c>
      <c r="AB59" s="370">
        <v>0</v>
      </c>
      <c r="AC59" s="370">
        <v>40</v>
      </c>
      <c r="AD59" s="370">
        <v>0</v>
      </c>
      <c r="AE59" s="370">
        <v>0</v>
      </c>
      <c r="AF59" s="370">
        <v>-40</v>
      </c>
      <c r="AG59" s="31">
        <v>40</v>
      </c>
      <c r="AH59" s="31">
        <v>22.29</v>
      </c>
      <c r="AI59" s="31">
        <v>0</v>
      </c>
      <c r="AJ59" s="370">
        <v>7.7978500000000004</v>
      </c>
      <c r="AK59" s="219">
        <v>0</v>
      </c>
      <c r="AL59" s="219">
        <v>22.29</v>
      </c>
      <c r="AM59" s="219">
        <v>24.71</v>
      </c>
      <c r="AN59" s="219">
        <v>0</v>
      </c>
      <c r="AO59" s="116">
        <v>0</v>
      </c>
      <c r="AP59" s="116">
        <v>0</v>
      </c>
      <c r="AQ59" s="116">
        <v>3</v>
      </c>
      <c r="AR59" s="116">
        <v>69525.630600000004</v>
      </c>
      <c r="AS59" s="116">
        <v>69525.630600000004</v>
      </c>
      <c r="AT59" s="116">
        <v>1</v>
      </c>
      <c r="AU59" s="385">
        <v>0</v>
      </c>
      <c r="AV59" s="332">
        <v>0</v>
      </c>
      <c r="AW59" s="332">
        <v>0</v>
      </c>
      <c r="AX59" s="332">
        <v>-73299.789999999994</v>
      </c>
      <c r="AY59" s="332">
        <v>0</v>
      </c>
      <c r="AZ59" s="332">
        <v>0</v>
      </c>
      <c r="BA59" s="332">
        <v>0</v>
      </c>
      <c r="BB59" s="31">
        <v>448804.72510231682</v>
      </c>
      <c r="BC59" s="31">
        <v>0</v>
      </c>
      <c r="BD59" s="29">
        <v>0</v>
      </c>
      <c r="BE59" s="31">
        <v>0</v>
      </c>
    </row>
    <row r="60" spans="1:57" ht="13">
      <c r="A60" s="153">
        <v>44564</v>
      </c>
      <c r="B60" s="10" t="s">
        <v>185</v>
      </c>
      <c r="C60" s="10">
        <v>44562000031</v>
      </c>
      <c r="D60" s="10" t="s">
        <v>61</v>
      </c>
      <c r="E60" s="10" t="s">
        <v>63</v>
      </c>
      <c r="F60" s="153">
        <v>44562</v>
      </c>
      <c r="G60" s="116" t="s">
        <v>39</v>
      </c>
      <c r="H60" s="116">
        <v>428805.40759999998</v>
      </c>
      <c r="I60" s="116">
        <v>71194.592400000009</v>
      </c>
      <c r="J60" s="116">
        <v>500000</v>
      </c>
      <c r="K60" s="219">
        <v>438805.40759999998</v>
      </c>
      <c r="L60" s="116">
        <v>0</v>
      </c>
      <c r="M60" s="31">
        <v>-20000</v>
      </c>
      <c r="N60" s="336">
        <v>-20000</v>
      </c>
      <c r="O60" s="336">
        <v>0</v>
      </c>
      <c r="P60" s="219">
        <v>0</v>
      </c>
      <c r="Q60" s="332">
        <v>0</v>
      </c>
      <c r="R60" s="219">
        <v>0</v>
      </c>
      <c r="S60" s="332">
        <v>0</v>
      </c>
      <c r="T60" s="219">
        <v>0</v>
      </c>
      <c r="U60" s="332">
        <v>0</v>
      </c>
      <c r="V60" s="332">
        <v>0</v>
      </c>
      <c r="W60" s="370">
        <v>20000</v>
      </c>
      <c r="X60" s="370">
        <v>0</v>
      </c>
      <c r="Y60" s="370">
        <v>0</v>
      </c>
      <c r="Z60" s="370">
        <v>0</v>
      </c>
      <c r="AA60" s="370">
        <v>10000</v>
      </c>
      <c r="AB60" s="370">
        <v>0</v>
      </c>
      <c r="AC60" s="370">
        <v>0</v>
      </c>
      <c r="AD60" s="370">
        <v>0</v>
      </c>
      <c r="AE60" s="370">
        <v>30000</v>
      </c>
      <c r="AF60" s="370">
        <v>-20000</v>
      </c>
      <c r="AG60" s="31">
        <v>20000</v>
      </c>
      <c r="AH60" s="31">
        <v>1</v>
      </c>
      <c r="AI60" s="31">
        <v>0</v>
      </c>
      <c r="AJ60" s="370">
        <v>1</v>
      </c>
      <c r="AK60" s="219">
        <v>0</v>
      </c>
      <c r="AL60" s="219">
        <v>0</v>
      </c>
      <c r="AM60" s="219">
        <v>0</v>
      </c>
      <c r="AN60" s="219">
        <v>0</v>
      </c>
      <c r="AO60" s="116">
        <v>0</v>
      </c>
      <c r="AP60" s="116">
        <v>1</v>
      </c>
      <c r="AQ60" s="116">
        <v>3</v>
      </c>
      <c r="AR60" s="116">
        <v>20000</v>
      </c>
      <c r="AS60" s="116">
        <v>-5000</v>
      </c>
      <c r="AT60" s="116">
        <v>0</v>
      </c>
      <c r="AU60" s="385">
        <v>0</v>
      </c>
      <c r="AV60" s="332">
        <v>0</v>
      </c>
      <c r="AW60" s="332">
        <v>0</v>
      </c>
      <c r="AX60" s="332">
        <v>-20000</v>
      </c>
      <c r="AY60" s="332">
        <v>0</v>
      </c>
      <c r="AZ60" s="332">
        <v>0</v>
      </c>
      <c r="BA60" s="332">
        <v>0.12337992952526605</v>
      </c>
      <c r="BB60" s="31">
        <v>428804.72510231682</v>
      </c>
      <c r="BC60" s="31">
        <v>0</v>
      </c>
      <c r="BD60" s="29">
        <v>0</v>
      </c>
      <c r="BE60" s="31">
        <v>0</v>
      </c>
    </row>
    <row r="61" spans="1:57" ht="13">
      <c r="A61" s="153">
        <v>44564</v>
      </c>
      <c r="B61" s="10" t="s">
        <v>185</v>
      </c>
      <c r="C61" s="10">
        <v>44562000035</v>
      </c>
      <c r="D61" s="10" t="s">
        <v>16</v>
      </c>
      <c r="E61" s="10" t="s">
        <v>38</v>
      </c>
      <c r="F61" s="153">
        <v>44562</v>
      </c>
      <c r="G61" s="116" t="s">
        <v>39</v>
      </c>
      <c r="H61" s="116">
        <v>424205.40759999998</v>
      </c>
      <c r="I61" s="116">
        <v>75794.592400000009</v>
      </c>
      <c r="J61" s="116">
        <v>500000</v>
      </c>
      <c r="K61" s="219">
        <v>444205.40759999998</v>
      </c>
      <c r="L61" s="116">
        <v>0</v>
      </c>
      <c r="M61" s="31">
        <v>-4600</v>
      </c>
      <c r="N61" s="336">
        <v>-4600</v>
      </c>
      <c r="O61" s="336">
        <v>4600</v>
      </c>
      <c r="P61" s="219">
        <v>0</v>
      </c>
      <c r="Q61" s="332">
        <v>460</v>
      </c>
      <c r="R61" s="219">
        <v>10</v>
      </c>
      <c r="S61" s="332">
        <v>0</v>
      </c>
      <c r="T61" s="219">
        <v>0</v>
      </c>
      <c r="U61" s="332">
        <v>0</v>
      </c>
      <c r="V61" s="332">
        <v>0</v>
      </c>
      <c r="W61" s="370">
        <v>0</v>
      </c>
      <c r="X61" s="370">
        <v>0</v>
      </c>
      <c r="Y61" s="370">
        <v>0</v>
      </c>
      <c r="Z61" s="370">
        <v>0</v>
      </c>
      <c r="AA61" s="370">
        <v>0</v>
      </c>
      <c r="AB61" s="370">
        <v>10</v>
      </c>
      <c r="AC61" s="370">
        <v>0</v>
      </c>
      <c r="AD61" s="370">
        <v>0</v>
      </c>
      <c r="AE61" s="370">
        <v>0</v>
      </c>
      <c r="AF61" s="370">
        <v>-10</v>
      </c>
      <c r="AG61" s="31">
        <v>10</v>
      </c>
      <c r="AH61" s="31">
        <v>453.8</v>
      </c>
      <c r="AI61" s="31">
        <v>0</v>
      </c>
      <c r="AJ61" s="370">
        <v>1</v>
      </c>
      <c r="AK61" s="219">
        <v>453.8</v>
      </c>
      <c r="AL61" s="219">
        <v>0</v>
      </c>
      <c r="AM61" s="219">
        <v>0</v>
      </c>
      <c r="AN61" s="219">
        <v>0</v>
      </c>
      <c r="AO61" s="116">
        <v>0</v>
      </c>
      <c r="AP61" s="116">
        <v>0</v>
      </c>
      <c r="AQ61" s="116">
        <v>4</v>
      </c>
      <c r="AR61" s="116">
        <v>4538</v>
      </c>
      <c r="AS61" s="116">
        <v>4538</v>
      </c>
      <c r="AT61" s="116">
        <v>1</v>
      </c>
      <c r="AU61" s="385">
        <v>0</v>
      </c>
      <c r="AV61" s="332">
        <v>0</v>
      </c>
      <c r="AW61" s="332">
        <v>0</v>
      </c>
      <c r="AX61" s="332">
        <v>-4538</v>
      </c>
      <c r="AY61" s="332">
        <v>0</v>
      </c>
      <c r="AZ61" s="332">
        <v>0</v>
      </c>
      <c r="BA61" s="332">
        <v>0</v>
      </c>
      <c r="BB61" s="31">
        <v>424204.72510231682</v>
      </c>
      <c r="BC61" s="31">
        <v>0</v>
      </c>
      <c r="BD61" s="29">
        <v>0</v>
      </c>
      <c r="BE61" s="31">
        <v>0</v>
      </c>
    </row>
    <row r="62" spans="1:57" ht="13">
      <c r="A62" s="153">
        <v>44564</v>
      </c>
      <c r="B62" s="10" t="s">
        <v>185</v>
      </c>
      <c r="C62" s="10">
        <v>44563000032</v>
      </c>
      <c r="D62" s="10" t="s">
        <v>61</v>
      </c>
      <c r="E62" s="10" t="s">
        <v>63</v>
      </c>
      <c r="F62" s="153">
        <v>44563</v>
      </c>
      <c r="G62" s="116" t="s">
        <v>39</v>
      </c>
      <c r="H62" s="116">
        <v>459205.40759999998</v>
      </c>
      <c r="I62" s="116">
        <v>40794.592400000009</v>
      </c>
      <c r="J62" s="116">
        <v>500000</v>
      </c>
      <c r="K62" s="219">
        <v>469205.40759999998</v>
      </c>
      <c r="L62" s="116">
        <v>0</v>
      </c>
      <c r="M62" s="31">
        <v>35000</v>
      </c>
      <c r="N62" s="336">
        <v>25000</v>
      </c>
      <c r="O62" s="336">
        <v>0</v>
      </c>
      <c r="P62" s="219">
        <v>0</v>
      </c>
      <c r="Q62" s="332">
        <v>0</v>
      </c>
      <c r="R62" s="219">
        <v>0</v>
      </c>
      <c r="S62" s="332">
        <v>0</v>
      </c>
      <c r="T62" s="219">
        <v>0</v>
      </c>
      <c r="U62" s="332">
        <v>0</v>
      </c>
      <c r="V62" s="332">
        <v>0</v>
      </c>
      <c r="W62" s="370">
        <v>-35000</v>
      </c>
      <c r="X62" s="370">
        <v>0</v>
      </c>
      <c r="Y62" s="370">
        <v>0</v>
      </c>
      <c r="Z62" s="370">
        <v>0</v>
      </c>
      <c r="AA62" s="370">
        <v>30000</v>
      </c>
      <c r="AB62" s="370">
        <v>0</v>
      </c>
      <c r="AC62" s="370">
        <v>0</v>
      </c>
      <c r="AD62" s="370">
        <v>0</v>
      </c>
      <c r="AE62" s="370">
        <v>-5000</v>
      </c>
      <c r="AF62" s="370">
        <v>25000</v>
      </c>
      <c r="AG62" s="31">
        <v>-35000</v>
      </c>
      <c r="AH62" s="31">
        <v>1</v>
      </c>
      <c r="AI62" s="31">
        <v>1</v>
      </c>
      <c r="AJ62" s="370">
        <v>1</v>
      </c>
      <c r="AK62" s="219">
        <v>0</v>
      </c>
      <c r="AL62" s="219">
        <v>0</v>
      </c>
      <c r="AM62" s="219">
        <v>0</v>
      </c>
      <c r="AN62" s="219">
        <v>0</v>
      </c>
      <c r="AO62" s="116">
        <v>0</v>
      </c>
      <c r="AP62" s="116">
        <v>1</v>
      </c>
      <c r="AQ62" s="116">
        <v>4</v>
      </c>
      <c r="AR62" s="116">
        <v>-35000</v>
      </c>
      <c r="AS62" s="116">
        <v>-5000</v>
      </c>
      <c r="AT62" s="116">
        <v>0</v>
      </c>
      <c r="AU62" s="385">
        <v>74063.630600000004</v>
      </c>
      <c r="AV62" s="332">
        <v>-5000</v>
      </c>
      <c r="AW62" s="332">
        <v>69063.630600000004</v>
      </c>
      <c r="AX62" s="332">
        <v>25000</v>
      </c>
      <c r="AY62" s="332">
        <v>0</v>
      </c>
      <c r="AZ62" s="332">
        <v>-0.84700425586099348</v>
      </c>
      <c r="BA62" s="332">
        <v>0</v>
      </c>
      <c r="BB62" s="31">
        <v>459204.72510231682</v>
      </c>
      <c r="BC62" s="31">
        <v>459204.72510231682</v>
      </c>
      <c r="BD62" s="29">
        <v>0</v>
      </c>
      <c r="BE62" s="31">
        <v>528269.03819999995</v>
      </c>
    </row>
    <row r="63" spans="1:57" ht="13">
      <c r="A63" s="153">
        <v>44564</v>
      </c>
      <c r="B63" s="10" t="s">
        <v>186</v>
      </c>
      <c r="C63" s="10">
        <v>44561000008</v>
      </c>
      <c r="D63" s="10" t="s">
        <v>64</v>
      </c>
      <c r="E63" s="10" t="s">
        <v>64</v>
      </c>
      <c r="F63" s="153">
        <v>44561</v>
      </c>
      <c r="G63" s="116" t="s">
        <v>39</v>
      </c>
      <c r="H63" s="116">
        <v>500000</v>
      </c>
      <c r="I63" s="116">
        <v>0</v>
      </c>
      <c r="J63" s="116">
        <v>500000</v>
      </c>
      <c r="K63" s="219">
        <v>0</v>
      </c>
      <c r="L63" s="116">
        <v>0</v>
      </c>
      <c r="M63" s="31">
        <v>500000</v>
      </c>
      <c r="N63" s="336">
        <v>500000</v>
      </c>
      <c r="O63" s="336">
        <v>0</v>
      </c>
      <c r="P63" s="219">
        <v>0</v>
      </c>
      <c r="Q63" s="332">
        <v>0</v>
      </c>
      <c r="R63" s="219">
        <v>0</v>
      </c>
      <c r="S63" s="332">
        <v>0</v>
      </c>
      <c r="T63" s="219">
        <v>0</v>
      </c>
      <c r="U63" s="332">
        <v>0</v>
      </c>
      <c r="V63" s="332">
        <v>0</v>
      </c>
      <c r="W63" s="370">
        <v>0</v>
      </c>
      <c r="X63" s="370">
        <v>0</v>
      </c>
      <c r="Y63" s="370">
        <v>0</v>
      </c>
      <c r="Z63" s="370">
        <v>0</v>
      </c>
      <c r="AA63" s="370">
        <v>0</v>
      </c>
      <c r="AB63" s="370">
        <v>0</v>
      </c>
      <c r="AC63" s="370">
        <v>0</v>
      </c>
      <c r="AD63" s="370">
        <v>0</v>
      </c>
      <c r="AE63" s="370">
        <v>0</v>
      </c>
      <c r="AF63" s="370">
        <v>0</v>
      </c>
      <c r="AG63" s="31">
        <v>0</v>
      </c>
      <c r="AH63" s="31">
        <v>1</v>
      </c>
      <c r="AI63" s="31">
        <v>0</v>
      </c>
      <c r="AJ63" s="370">
        <v>1</v>
      </c>
      <c r="AK63" s="219">
        <v>0</v>
      </c>
      <c r="AL63" s="219">
        <v>0</v>
      </c>
      <c r="AM63" s="219">
        <v>0</v>
      </c>
      <c r="AN63" s="219">
        <v>0</v>
      </c>
      <c r="AO63" s="116">
        <v>0</v>
      </c>
      <c r="AP63" s="116">
        <v>0</v>
      </c>
      <c r="AQ63" s="116">
        <v>1</v>
      </c>
      <c r="AR63" s="116">
        <v>0</v>
      </c>
      <c r="AS63" s="116">
        <v>0</v>
      </c>
      <c r="AT63" s="116">
        <v>1</v>
      </c>
      <c r="AU63" s="385">
        <v>0</v>
      </c>
      <c r="AV63" s="332">
        <v>0</v>
      </c>
      <c r="AW63" s="332">
        <v>0</v>
      </c>
      <c r="AX63" s="332">
        <v>500000</v>
      </c>
      <c r="AY63" s="332">
        <v>0</v>
      </c>
      <c r="AZ63" s="332">
        <v>0</v>
      </c>
      <c r="BA63" s="332">
        <v>0</v>
      </c>
      <c r="BB63" s="31">
        <v>500000</v>
      </c>
      <c r="BC63" s="31">
        <v>0</v>
      </c>
      <c r="BD63" s="29">
        <v>0</v>
      </c>
      <c r="BE63" s="31">
        <v>0</v>
      </c>
    </row>
    <row r="64" spans="1:57" ht="13">
      <c r="A64" s="153">
        <v>44564</v>
      </c>
      <c r="B64" s="10" t="s">
        <v>186</v>
      </c>
      <c r="C64" s="10">
        <v>44563000037</v>
      </c>
      <c r="D64" s="10" t="s">
        <v>16</v>
      </c>
      <c r="E64" s="10" t="s">
        <v>0</v>
      </c>
      <c r="F64" s="153">
        <v>44563</v>
      </c>
      <c r="G64" s="116" t="s">
        <v>41</v>
      </c>
      <c r="H64" s="116">
        <v>409954.46750000003</v>
      </c>
      <c r="I64" s="116">
        <v>90045.532500000001</v>
      </c>
      <c r="J64" s="116">
        <v>500000</v>
      </c>
      <c r="K64" s="219">
        <v>409954.46750000003</v>
      </c>
      <c r="L64" s="116">
        <v>0</v>
      </c>
      <c r="M64" s="31">
        <v>-90045.532500000001</v>
      </c>
      <c r="N64" s="336">
        <v>-90045.532500000001</v>
      </c>
      <c r="O64" s="336">
        <v>90045.532500000001</v>
      </c>
      <c r="P64" s="219">
        <v>0</v>
      </c>
      <c r="Q64" s="332">
        <v>3001.51775</v>
      </c>
      <c r="R64" s="219">
        <v>30</v>
      </c>
      <c r="S64" s="332">
        <v>0</v>
      </c>
      <c r="T64" s="219">
        <v>0</v>
      </c>
      <c r="U64" s="332">
        <v>0</v>
      </c>
      <c r="V64" s="332">
        <v>0</v>
      </c>
      <c r="W64" s="370">
        <v>0</v>
      </c>
      <c r="X64" s="370">
        <v>0</v>
      </c>
      <c r="Y64" s="370">
        <v>0</v>
      </c>
      <c r="Z64" s="370">
        <v>0</v>
      </c>
      <c r="AA64" s="370">
        <v>0</v>
      </c>
      <c r="AB64" s="370">
        <v>30</v>
      </c>
      <c r="AC64" s="370">
        <v>0</v>
      </c>
      <c r="AD64" s="370">
        <v>0</v>
      </c>
      <c r="AE64" s="370">
        <v>0</v>
      </c>
      <c r="AF64" s="370">
        <v>-30</v>
      </c>
      <c r="AG64" s="31">
        <v>30</v>
      </c>
      <c r="AH64" s="31">
        <v>382.55</v>
      </c>
      <c r="AI64" s="31">
        <v>0</v>
      </c>
      <c r="AJ64" s="370">
        <v>7.7978500000000004</v>
      </c>
      <c r="AK64" s="219">
        <v>382.55</v>
      </c>
      <c r="AL64" s="219">
        <v>0</v>
      </c>
      <c r="AM64" s="219">
        <v>0</v>
      </c>
      <c r="AN64" s="219">
        <v>0</v>
      </c>
      <c r="AO64" s="116">
        <v>0</v>
      </c>
      <c r="AP64" s="116">
        <v>0</v>
      </c>
      <c r="AQ64" s="116">
        <v>2</v>
      </c>
      <c r="AR64" s="116">
        <v>89492.025525000005</v>
      </c>
      <c r="AS64" s="116">
        <v>89492.025525000005</v>
      </c>
      <c r="AT64" s="116">
        <v>1</v>
      </c>
      <c r="AU64" s="385">
        <v>0</v>
      </c>
      <c r="AV64" s="332">
        <v>0</v>
      </c>
      <c r="AW64" s="332">
        <v>0</v>
      </c>
      <c r="AX64" s="332">
        <v>-89492.025525000005</v>
      </c>
      <c r="AY64" s="332">
        <v>0</v>
      </c>
      <c r="AZ64" s="332">
        <v>0</v>
      </c>
      <c r="BA64" s="332">
        <v>0</v>
      </c>
      <c r="BB64" s="31">
        <v>409954.46750000003</v>
      </c>
      <c r="BC64" s="31">
        <v>0</v>
      </c>
      <c r="BD64" s="29">
        <v>0</v>
      </c>
      <c r="BE64" s="31">
        <v>0</v>
      </c>
    </row>
    <row r="65" spans="1:57" ht="13">
      <c r="A65" s="153">
        <v>44564</v>
      </c>
      <c r="B65" s="10" t="s">
        <v>186</v>
      </c>
      <c r="C65" s="10">
        <v>44563000038</v>
      </c>
      <c r="D65" s="10" t="s">
        <v>16</v>
      </c>
      <c r="E65" s="10" t="s">
        <v>38</v>
      </c>
      <c r="F65" s="153">
        <v>44563</v>
      </c>
      <c r="G65" s="116" t="s">
        <v>39</v>
      </c>
      <c r="H65" s="116">
        <v>396154.46750000003</v>
      </c>
      <c r="I65" s="116">
        <v>103845.5325</v>
      </c>
      <c r="J65" s="116">
        <v>500000</v>
      </c>
      <c r="K65" s="219">
        <v>396154.46750000003</v>
      </c>
      <c r="L65" s="116">
        <v>0</v>
      </c>
      <c r="M65" s="31">
        <v>-13800</v>
      </c>
      <c r="N65" s="336">
        <v>-13800</v>
      </c>
      <c r="O65" s="336">
        <v>13800</v>
      </c>
      <c r="P65" s="219">
        <v>0</v>
      </c>
      <c r="Q65" s="332">
        <v>460</v>
      </c>
      <c r="R65" s="219">
        <v>30</v>
      </c>
      <c r="S65" s="332">
        <v>0</v>
      </c>
      <c r="T65" s="219">
        <v>0</v>
      </c>
      <c r="U65" s="332">
        <v>0</v>
      </c>
      <c r="V65" s="332">
        <v>0</v>
      </c>
      <c r="W65" s="370">
        <v>0</v>
      </c>
      <c r="X65" s="370">
        <v>0</v>
      </c>
      <c r="Y65" s="370">
        <v>0</v>
      </c>
      <c r="Z65" s="370">
        <v>0</v>
      </c>
      <c r="AA65" s="370">
        <v>0</v>
      </c>
      <c r="AB65" s="370">
        <v>30</v>
      </c>
      <c r="AC65" s="370">
        <v>0</v>
      </c>
      <c r="AD65" s="370">
        <v>0</v>
      </c>
      <c r="AE65" s="370">
        <v>0</v>
      </c>
      <c r="AF65" s="370">
        <v>-30</v>
      </c>
      <c r="AG65" s="31">
        <v>30</v>
      </c>
      <c r="AH65" s="31">
        <v>453.8</v>
      </c>
      <c r="AI65" s="31">
        <v>0</v>
      </c>
      <c r="AJ65" s="370">
        <v>1</v>
      </c>
      <c r="AK65" s="219">
        <v>453.8</v>
      </c>
      <c r="AL65" s="219">
        <v>0</v>
      </c>
      <c r="AM65" s="219">
        <v>0</v>
      </c>
      <c r="AN65" s="219">
        <v>0</v>
      </c>
      <c r="AO65" s="116">
        <v>0</v>
      </c>
      <c r="AP65" s="116">
        <v>0</v>
      </c>
      <c r="AQ65" s="116">
        <v>3</v>
      </c>
      <c r="AR65" s="116">
        <v>13614</v>
      </c>
      <c r="AS65" s="116">
        <v>13614</v>
      </c>
      <c r="AT65" s="116">
        <v>1</v>
      </c>
      <c r="AU65" s="385">
        <v>0</v>
      </c>
      <c r="AV65" s="332">
        <v>0</v>
      </c>
      <c r="AW65" s="332">
        <v>0</v>
      </c>
      <c r="AX65" s="332">
        <v>-13614</v>
      </c>
      <c r="AY65" s="332">
        <v>0</v>
      </c>
      <c r="AZ65" s="332">
        <v>0</v>
      </c>
      <c r="BA65" s="332">
        <v>0</v>
      </c>
      <c r="BB65" s="31">
        <v>396154.46750000003</v>
      </c>
      <c r="BC65" s="31">
        <v>0</v>
      </c>
      <c r="BD65" s="29">
        <v>0</v>
      </c>
      <c r="BE65" s="31">
        <v>0</v>
      </c>
    </row>
    <row r="66" spans="1:57" ht="13">
      <c r="A66" s="153">
        <v>44564</v>
      </c>
      <c r="B66" s="10" t="s">
        <v>186</v>
      </c>
      <c r="C66" s="10">
        <v>44564000045</v>
      </c>
      <c r="D66" s="10" t="s">
        <v>18</v>
      </c>
      <c r="E66" s="10" t="s">
        <v>7</v>
      </c>
      <c r="F66" s="153">
        <v>44564</v>
      </c>
      <c r="G66" s="116" t="s">
        <v>41</v>
      </c>
      <c r="H66" s="116">
        <v>365251.58795000002</v>
      </c>
      <c r="I66" s="116">
        <v>134748.41205000001</v>
      </c>
      <c r="J66" s="116">
        <v>500000</v>
      </c>
      <c r="K66" s="219">
        <v>365251.58795000002</v>
      </c>
      <c r="L66" s="116">
        <v>0</v>
      </c>
      <c r="M66" s="31">
        <v>-30902.879550000001</v>
      </c>
      <c r="N66" s="336">
        <v>-30902.879550000005</v>
      </c>
      <c r="O66" s="336">
        <v>0</v>
      </c>
      <c r="P66" s="219">
        <v>0</v>
      </c>
      <c r="Q66" s="332">
        <v>0</v>
      </c>
      <c r="R66" s="219">
        <v>0</v>
      </c>
      <c r="S66" s="332">
        <v>13.21</v>
      </c>
      <c r="T66" s="219">
        <v>30</v>
      </c>
      <c r="U66" s="332">
        <v>0</v>
      </c>
      <c r="V66" s="332">
        <v>0</v>
      </c>
      <c r="W66" s="370">
        <v>0</v>
      </c>
      <c r="X66" s="370">
        <v>0</v>
      </c>
      <c r="Y66" s="370">
        <v>0</v>
      </c>
      <c r="Z66" s="370">
        <v>0</v>
      </c>
      <c r="AA66" s="370">
        <v>0</v>
      </c>
      <c r="AB66" s="370">
        <v>0</v>
      </c>
      <c r="AC66" s="370">
        <v>30</v>
      </c>
      <c r="AD66" s="370">
        <v>0</v>
      </c>
      <c r="AE66" s="370">
        <v>0</v>
      </c>
      <c r="AF66" s="370">
        <v>-30</v>
      </c>
      <c r="AG66" s="31">
        <v>30</v>
      </c>
      <c r="AH66" s="31">
        <v>22.29</v>
      </c>
      <c r="AI66" s="31">
        <v>1</v>
      </c>
      <c r="AJ66" s="370">
        <v>7.7978500000000004</v>
      </c>
      <c r="AK66" s="219">
        <v>0</v>
      </c>
      <c r="AL66" s="219">
        <v>22.29</v>
      </c>
      <c r="AM66" s="219">
        <v>24.71</v>
      </c>
      <c r="AN66" s="219">
        <v>0</v>
      </c>
      <c r="AO66" s="116">
        <v>0</v>
      </c>
      <c r="AP66" s="116">
        <v>0</v>
      </c>
      <c r="AQ66" s="116">
        <v>4</v>
      </c>
      <c r="AR66" s="116">
        <v>52144.222950000003</v>
      </c>
      <c r="AS66" s="116">
        <v>52144.222950000003</v>
      </c>
      <c r="AT66" s="116">
        <v>1</v>
      </c>
      <c r="AU66" s="385">
        <v>155250.248475</v>
      </c>
      <c r="AV66" s="332">
        <v>0</v>
      </c>
      <c r="AW66" s="332">
        <v>155250.248475</v>
      </c>
      <c r="AX66" s="332">
        <v>-54974.842500000006</v>
      </c>
      <c r="AY66" s="332">
        <v>0</v>
      </c>
      <c r="AZ66" s="332">
        <v>0</v>
      </c>
      <c r="BA66" s="332">
        <v>0</v>
      </c>
      <c r="BB66" s="31">
        <v>365251.58795000002</v>
      </c>
      <c r="BC66" s="31">
        <v>365251.58795000002</v>
      </c>
      <c r="BD66" s="29">
        <v>0</v>
      </c>
      <c r="BE66" s="31">
        <v>520501.83642499999</v>
      </c>
    </row>
    <row r="67" spans="1:57" ht="13">
      <c r="A67" s="153">
        <v>44564</v>
      </c>
      <c r="B67" s="10" t="s">
        <v>187</v>
      </c>
      <c r="C67" s="10">
        <v>44561000009</v>
      </c>
      <c r="D67" s="10" t="s">
        <v>64</v>
      </c>
      <c r="E67" s="10" t="s">
        <v>64</v>
      </c>
      <c r="F67" s="153">
        <v>44561</v>
      </c>
      <c r="G67" s="116" t="s">
        <v>39</v>
      </c>
      <c r="H67" s="116">
        <v>500000</v>
      </c>
      <c r="I67" s="116">
        <v>0</v>
      </c>
      <c r="J67" s="116">
        <v>500000</v>
      </c>
      <c r="K67" s="219">
        <v>0</v>
      </c>
      <c r="L67" s="116">
        <v>0</v>
      </c>
      <c r="M67" s="31">
        <v>500000</v>
      </c>
      <c r="N67" s="336">
        <v>500000</v>
      </c>
      <c r="O67" s="336">
        <v>0</v>
      </c>
      <c r="P67" s="219">
        <v>0</v>
      </c>
      <c r="Q67" s="332">
        <v>0</v>
      </c>
      <c r="R67" s="219">
        <v>0</v>
      </c>
      <c r="S67" s="332">
        <v>0</v>
      </c>
      <c r="T67" s="219">
        <v>0</v>
      </c>
      <c r="U67" s="332">
        <v>0</v>
      </c>
      <c r="V67" s="332">
        <v>0</v>
      </c>
      <c r="W67" s="370">
        <v>0</v>
      </c>
      <c r="X67" s="370">
        <v>0</v>
      </c>
      <c r="Y67" s="370">
        <v>0</v>
      </c>
      <c r="Z67" s="370">
        <v>0</v>
      </c>
      <c r="AA67" s="370">
        <v>0</v>
      </c>
      <c r="AB67" s="370">
        <v>0</v>
      </c>
      <c r="AC67" s="370">
        <v>0</v>
      </c>
      <c r="AD67" s="370">
        <v>0</v>
      </c>
      <c r="AE67" s="370">
        <v>0</v>
      </c>
      <c r="AF67" s="370">
        <v>0</v>
      </c>
      <c r="AG67" s="31">
        <v>0</v>
      </c>
      <c r="AH67" s="31">
        <v>1</v>
      </c>
      <c r="AI67" s="31">
        <v>1</v>
      </c>
      <c r="AJ67" s="370">
        <v>1</v>
      </c>
      <c r="AK67" s="219">
        <v>0</v>
      </c>
      <c r="AL67" s="219">
        <v>0</v>
      </c>
      <c r="AM67" s="219">
        <v>0</v>
      </c>
      <c r="AN67" s="219">
        <v>0</v>
      </c>
      <c r="AO67" s="116">
        <v>0</v>
      </c>
      <c r="AP67" s="116">
        <v>0</v>
      </c>
      <c r="AQ67" s="116">
        <v>1</v>
      </c>
      <c r="AR67" s="116">
        <v>0</v>
      </c>
      <c r="AS67" s="116">
        <v>0</v>
      </c>
      <c r="AT67" s="116">
        <v>1</v>
      </c>
      <c r="AU67" s="385">
        <v>0</v>
      </c>
      <c r="AV67" s="332">
        <v>0</v>
      </c>
      <c r="AW67" s="332">
        <v>0</v>
      </c>
      <c r="AX67" s="332">
        <v>500000</v>
      </c>
      <c r="AY67" s="332">
        <v>0</v>
      </c>
      <c r="AZ67" s="332">
        <v>0</v>
      </c>
      <c r="BA67" s="332">
        <v>0</v>
      </c>
      <c r="BB67" s="31">
        <v>500000</v>
      </c>
      <c r="BC67" s="31">
        <v>500000</v>
      </c>
      <c r="BD67" s="29">
        <v>0</v>
      </c>
      <c r="BE67" s="31">
        <v>500000</v>
      </c>
    </row>
    <row r="68" spans="1:57" ht="13">
      <c r="A68" s="153">
        <v>44564</v>
      </c>
      <c r="B68" s="10" t="s">
        <v>188</v>
      </c>
      <c r="C68" s="10">
        <v>44561000010</v>
      </c>
      <c r="D68" s="10" t="s">
        <v>64</v>
      </c>
      <c r="E68" s="10" t="s">
        <v>64</v>
      </c>
      <c r="F68" s="153">
        <v>44561</v>
      </c>
      <c r="G68" s="116" t="s">
        <v>39</v>
      </c>
      <c r="H68" s="116">
        <v>500000</v>
      </c>
      <c r="I68" s="116">
        <v>0</v>
      </c>
      <c r="J68" s="116">
        <v>500000</v>
      </c>
      <c r="K68" s="219">
        <v>0</v>
      </c>
      <c r="L68" s="116">
        <v>0</v>
      </c>
      <c r="M68" s="31">
        <v>500000</v>
      </c>
      <c r="N68" s="336">
        <v>500000</v>
      </c>
      <c r="O68" s="336">
        <v>0</v>
      </c>
      <c r="P68" s="219">
        <v>0</v>
      </c>
      <c r="Q68" s="332">
        <v>0</v>
      </c>
      <c r="R68" s="219">
        <v>0</v>
      </c>
      <c r="S68" s="332">
        <v>0</v>
      </c>
      <c r="T68" s="219">
        <v>0</v>
      </c>
      <c r="U68" s="332">
        <v>0</v>
      </c>
      <c r="V68" s="332">
        <v>0</v>
      </c>
      <c r="W68" s="370">
        <v>0</v>
      </c>
      <c r="X68" s="370">
        <v>0</v>
      </c>
      <c r="Y68" s="370">
        <v>0</v>
      </c>
      <c r="Z68" s="370">
        <v>0</v>
      </c>
      <c r="AA68" s="370">
        <v>0</v>
      </c>
      <c r="AB68" s="370">
        <v>0</v>
      </c>
      <c r="AC68" s="370">
        <v>0</v>
      </c>
      <c r="AD68" s="370">
        <v>0</v>
      </c>
      <c r="AE68" s="370">
        <v>0</v>
      </c>
      <c r="AF68" s="370">
        <v>0</v>
      </c>
      <c r="AG68" s="31">
        <v>0</v>
      </c>
      <c r="AH68" s="31">
        <v>1</v>
      </c>
      <c r="AI68" s="31">
        <v>1</v>
      </c>
      <c r="AJ68" s="370">
        <v>1</v>
      </c>
      <c r="AK68" s="219">
        <v>0</v>
      </c>
      <c r="AL68" s="219">
        <v>0</v>
      </c>
      <c r="AM68" s="219">
        <v>0</v>
      </c>
      <c r="AN68" s="219">
        <v>0</v>
      </c>
      <c r="AO68" s="116">
        <v>0</v>
      </c>
      <c r="AP68" s="116">
        <v>0</v>
      </c>
      <c r="AQ68" s="116">
        <v>1</v>
      </c>
      <c r="AR68" s="116">
        <v>0</v>
      </c>
      <c r="AS68" s="116">
        <v>0</v>
      </c>
      <c r="AT68" s="116">
        <v>1</v>
      </c>
      <c r="AU68" s="385">
        <v>0</v>
      </c>
      <c r="AV68" s="332">
        <v>0</v>
      </c>
      <c r="AW68" s="332">
        <v>0</v>
      </c>
      <c r="AX68" s="332">
        <v>500000</v>
      </c>
      <c r="AY68" s="332">
        <v>0</v>
      </c>
      <c r="AZ68" s="332">
        <v>0</v>
      </c>
      <c r="BA68" s="332">
        <v>0</v>
      </c>
      <c r="BB68" s="31">
        <v>500000</v>
      </c>
      <c r="BC68" s="31">
        <v>500000</v>
      </c>
      <c r="BD68" s="29">
        <v>0</v>
      </c>
      <c r="BE68" s="31">
        <v>500000</v>
      </c>
    </row>
    <row r="69" spans="1:57" ht="13">
      <c r="A69" s="153">
        <v>44565</v>
      </c>
      <c r="B69" s="10" t="s">
        <v>183</v>
      </c>
      <c r="C69" s="10">
        <v>44561000005</v>
      </c>
      <c r="D69" s="10" t="s">
        <v>64</v>
      </c>
      <c r="E69" s="10" t="s">
        <v>64</v>
      </c>
      <c r="F69" s="153">
        <v>44561</v>
      </c>
      <c r="G69" s="116" t="s">
        <v>39</v>
      </c>
      <c r="H69" s="116">
        <v>500000</v>
      </c>
      <c r="I69" s="116">
        <v>0</v>
      </c>
      <c r="J69" s="116">
        <v>500000</v>
      </c>
      <c r="K69" s="219">
        <v>0</v>
      </c>
      <c r="L69" s="116">
        <v>0</v>
      </c>
      <c r="M69" s="31">
        <v>500000</v>
      </c>
      <c r="N69" s="336">
        <v>500000</v>
      </c>
      <c r="O69" s="336">
        <v>0</v>
      </c>
      <c r="P69" s="219">
        <v>0</v>
      </c>
      <c r="Q69" s="332">
        <v>0</v>
      </c>
      <c r="R69" s="219">
        <v>0</v>
      </c>
      <c r="S69" s="332">
        <v>0</v>
      </c>
      <c r="T69" s="219">
        <v>0</v>
      </c>
      <c r="U69" s="332">
        <v>0</v>
      </c>
      <c r="V69" s="332">
        <v>0</v>
      </c>
      <c r="W69" s="370">
        <v>0</v>
      </c>
      <c r="X69" s="370">
        <v>0</v>
      </c>
      <c r="Y69" s="370">
        <v>0</v>
      </c>
      <c r="Z69" s="370">
        <v>0</v>
      </c>
      <c r="AA69" s="370">
        <v>0</v>
      </c>
      <c r="AB69" s="370">
        <v>0</v>
      </c>
      <c r="AC69" s="370">
        <v>0</v>
      </c>
      <c r="AD69" s="370">
        <v>0</v>
      </c>
      <c r="AE69" s="370">
        <v>0</v>
      </c>
      <c r="AF69" s="370">
        <v>0</v>
      </c>
      <c r="AG69" s="31">
        <v>0</v>
      </c>
      <c r="AH69" s="31">
        <v>1</v>
      </c>
      <c r="AI69" s="31">
        <v>0</v>
      </c>
      <c r="AJ69" s="370">
        <v>1</v>
      </c>
      <c r="AK69" s="219">
        <v>0</v>
      </c>
      <c r="AL69" s="219">
        <v>0</v>
      </c>
      <c r="AM69" s="219">
        <v>0</v>
      </c>
      <c r="AN69" s="219">
        <v>0</v>
      </c>
      <c r="AO69" s="116">
        <v>0</v>
      </c>
      <c r="AP69" s="116">
        <v>0</v>
      </c>
      <c r="AQ69" s="116">
        <v>1</v>
      </c>
      <c r="AR69" s="116">
        <v>0</v>
      </c>
      <c r="AS69" s="116">
        <v>0</v>
      </c>
      <c r="AT69" s="116">
        <v>1</v>
      </c>
      <c r="AU69" s="385">
        <v>0</v>
      </c>
      <c r="AV69" s="332">
        <v>0</v>
      </c>
      <c r="AW69" s="332">
        <v>0</v>
      </c>
      <c r="AX69" s="332">
        <v>500000</v>
      </c>
      <c r="AY69" s="332">
        <v>0</v>
      </c>
      <c r="AZ69" s="332">
        <v>0</v>
      </c>
      <c r="BA69" s="332">
        <v>0</v>
      </c>
      <c r="BB69" s="31">
        <v>499993.62573281751</v>
      </c>
      <c r="BC69" s="31">
        <v>0</v>
      </c>
      <c r="BD69" s="29">
        <v>0</v>
      </c>
      <c r="BE69" s="29">
        <v>0</v>
      </c>
    </row>
    <row r="70" spans="1:57" ht="13">
      <c r="A70" s="153">
        <v>44565</v>
      </c>
      <c r="B70" s="10" t="s">
        <v>183</v>
      </c>
      <c r="C70" s="10">
        <v>44562000011</v>
      </c>
      <c r="D70" s="10" t="s">
        <v>16</v>
      </c>
      <c r="E70" s="10" t="s">
        <v>42</v>
      </c>
      <c r="F70" s="153">
        <v>44562</v>
      </c>
      <c r="G70" s="116" t="s">
        <v>41</v>
      </c>
      <c r="H70" s="116">
        <v>447610.20799999998</v>
      </c>
      <c r="I70" s="116">
        <v>52389.792000000001</v>
      </c>
      <c r="J70" s="116">
        <v>500000</v>
      </c>
      <c r="K70" s="219">
        <v>447610.20799999998</v>
      </c>
      <c r="L70" s="116">
        <v>0</v>
      </c>
      <c r="M70" s="31">
        <v>-52389.792000000001</v>
      </c>
      <c r="N70" s="336">
        <v>-52389.792000000001</v>
      </c>
      <c r="O70" s="336">
        <v>52389.792000000001</v>
      </c>
      <c r="P70" s="219">
        <v>0</v>
      </c>
      <c r="Q70" s="332">
        <v>26194.896000000001</v>
      </c>
      <c r="R70" s="219">
        <v>2</v>
      </c>
      <c r="S70" s="332">
        <v>0</v>
      </c>
      <c r="T70" s="219">
        <v>0</v>
      </c>
      <c r="U70" s="332">
        <v>0</v>
      </c>
      <c r="V70" s="332">
        <v>0</v>
      </c>
      <c r="W70" s="370">
        <v>0</v>
      </c>
      <c r="X70" s="370">
        <v>0</v>
      </c>
      <c r="Y70" s="370">
        <v>0</v>
      </c>
      <c r="Z70" s="370">
        <v>0</v>
      </c>
      <c r="AA70" s="370">
        <v>0</v>
      </c>
      <c r="AB70" s="370">
        <v>2</v>
      </c>
      <c r="AC70" s="370">
        <v>0</v>
      </c>
      <c r="AD70" s="370">
        <v>0</v>
      </c>
      <c r="AE70" s="370">
        <v>0</v>
      </c>
      <c r="AF70" s="370">
        <v>-2</v>
      </c>
      <c r="AG70" s="31">
        <v>2</v>
      </c>
      <c r="AH70" s="31">
        <v>3350.44</v>
      </c>
      <c r="AI70" s="31">
        <v>0</v>
      </c>
      <c r="AJ70" s="370">
        <v>7.7937500000000002</v>
      </c>
      <c r="AK70" s="219">
        <v>3350.44</v>
      </c>
      <c r="AL70" s="219">
        <v>0</v>
      </c>
      <c r="AM70" s="219">
        <v>0</v>
      </c>
      <c r="AN70" s="219">
        <v>0</v>
      </c>
      <c r="AO70" s="116">
        <v>0</v>
      </c>
      <c r="AP70" s="116">
        <v>0</v>
      </c>
      <c r="AQ70" s="116">
        <v>2</v>
      </c>
      <c r="AR70" s="116">
        <v>52224.983500000002</v>
      </c>
      <c r="AS70" s="116">
        <v>52224.983500000002</v>
      </c>
      <c r="AT70" s="116">
        <v>1</v>
      </c>
      <c r="AU70" s="385">
        <v>0</v>
      </c>
      <c r="AV70" s="332">
        <v>0</v>
      </c>
      <c r="AW70" s="332">
        <v>0</v>
      </c>
      <c r="AX70" s="332">
        <v>-52224.983500000002</v>
      </c>
      <c r="AY70" s="332">
        <v>0</v>
      </c>
      <c r="AZ70" s="332">
        <v>0</v>
      </c>
      <c r="BA70" s="332">
        <v>0</v>
      </c>
      <c r="BB70" s="31">
        <v>447603.8337328175</v>
      </c>
      <c r="BC70" s="31">
        <v>0</v>
      </c>
      <c r="BD70" s="29">
        <v>0</v>
      </c>
      <c r="BE70" s="29">
        <v>0</v>
      </c>
    </row>
    <row r="71" spans="1:57" ht="13">
      <c r="A71" s="153">
        <v>44565</v>
      </c>
      <c r="B71" s="10" t="s">
        <v>183</v>
      </c>
      <c r="C71" s="10">
        <v>44563000012</v>
      </c>
      <c r="D71" s="10" t="s">
        <v>16</v>
      </c>
      <c r="E71" s="10" t="s">
        <v>38</v>
      </c>
      <c r="F71" s="153">
        <v>44563</v>
      </c>
      <c r="G71" s="116" t="s">
        <v>39</v>
      </c>
      <c r="H71" s="116">
        <v>443010.20799999998</v>
      </c>
      <c r="I71" s="116">
        <v>56989.792000000001</v>
      </c>
      <c r="J71" s="116">
        <v>500000</v>
      </c>
      <c r="K71" s="219">
        <v>443010.20799999998</v>
      </c>
      <c r="L71" s="116">
        <v>0</v>
      </c>
      <c r="M71" s="31">
        <v>-4600</v>
      </c>
      <c r="N71" s="336">
        <v>-4600</v>
      </c>
      <c r="O71" s="336">
        <v>4600</v>
      </c>
      <c r="P71" s="219">
        <v>0</v>
      </c>
      <c r="Q71" s="332">
        <v>460</v>
      </c>
      <c r="R71" s="219">
        <v>10</v>
      </c>
      <c r="S71" s="332">
        <v>0</v>
      </c>
      <c r="T71" s="219">
        <v>0</v>
      </c>
      <c r="U71" s="332">
        <v>0</v>
      </c>
      <c r="V71" s="332">
        <v>0</v>
      </c>
      <c r="W71" s="370">
        <v>0</v>
      </c>
      <c r="X71" s="370">
        <v>0</v>
      </c>
      <c r="Y71" s="370">
        <v>0</v>
      </c>
      <c r="Z71" s="370">
        <v>0</v>
      </c>
      <c r="AA71" s="370">
        <v>0</v>
      </c>
      <c r="AB71" s="370">
        <v>10</v>
      </c>
      <c r="AC71" s="370">
        <v>0</v>
      </c>
      <c r="AD71" s="370">
        <v>0</v>
      </c>
      <c r="AE71" s="370">
        <v>0</v>
      </c>
      <c r="AF71" s="370">
        <v>-10</v>
      </c>
      <c r="AG71" s="31">
        <v>10</v>
      </c>
      <c r="AH71" s="31">
        <v>450</v>
      </c>
      <c r="AI71" s="31">
        <v>0</v>
      </c>
      <c r="AJ71" s="370">
        <v>1</v>
      </c>
      <c r="AK71" s="219">
        <v>450</v>
      </c>
      <c r="AL71" s="219">
        <v>0</v>
      </c>
      <c r="AM71" s="219">
        <v>0</v>
      </c>
      <c r="AN71" s="219">
        <v>0</v>
      </c>
      <c r="AO71" s="116">
        <v>0</v>
      </c>
      <c r="AP71" s="116">
        <v>0</v>
      </c>
      <c r="AQ71" s="116">
        <v>3</v>
      </c>
      <c r="AR71" s="116">
        <v>4500</v>
      </c>
      <c r="AS71" s="116">
        <v>4500</v>
      </c>
      <c r="AT71" s="116">
        <v>1</v>
      </c>
      <c r="AU71" s="385">
        <v>0</v>
      </c>
      <c r="AV71" s="332">
        <v>0</v>
      </c>
      <c r="AW71" s="332">
        <v>0</v>
      </c>
      <c r="AX71" s="332">
        <v>-4500</v>
      </c>
      <c r="AY71" s="332">
        <v>0</v>
      </c>
      <c r="AZ71" s="332">
        <v>0</v>
      </c>
      <c r="BA71" s="332">
        <v>0</v>
      </c>
      <c r="BB71" s="31">
        <v>443003.8337328175</v>
      </c>
      <c r="BC71" s="31">
        <v>0</v>
      </c>
      <c r="BD71" s="29">
        <v>0</v>
      </c>
      <c r="BE71" s="31">
        <v>0</v>
      </c>
    </row>
    <row r="72" spans="1:57" ht="13">
      <c r="A72" s="153">
        <v>44565</v>
      </c>
      <c r="B72" s="10" t="s">
        <v>183</v>
      </c>
      <c r="C72" s="10">
        <v>44563000013</v>
      </c>
      <c r="D72" s="10" t="s">
        <v>16</v>
      </c>
      <c r="E72" s="10" t="s">
        <v>40</v>
      </c>
      <c r="F72" s="153">
        <v>44563</v>
      </c>
      <c r="G72" s="116" t="s">
        <v>29</v>
      </c>
      <c r="H72" s="116">
        <v>480735.87624999997</v>
      </c>
      <c r="I72" s="116">
        <v>19264.123750000006</v>
      </c>
      <c r="J72" s="116">
        <v>500000</v>
      </c>
      <c r="K72" s="219">
        <v>409884.53975</v>
      </c>
      <c r="L72" s="116">
        <v>0</v>
      </c>
      <c r="M72" s="31">
        <v>37725.668249999995</v>
      </c>
      <c r="N72" s="336">
        <v>-37725.668249999995</v>
      </c>
      <c r="O72" s="336">
        <v>0</v>
      </c>
      <c r="P72" s="219">
        <v>-37725.668249999995</v>
      </c>
      <c r="Q72" s="332">
        <v>2515.0445499999996</v>
      </c>
      <c r="R72" s="219">
        <v>-15</v>
      </c>
      <c r="S72" s="332">
        <v>0</v>
      </c>
      <c r="T72" s="219">
        <v>0</v>
      </c>
      <c r="U72" s="332">
        <v>0</v>
      </c>
      <c r="V72" s="332">
        <v>0</v>
      </c>
      <c r="W72" s="370">
        <v>0</v>
      </c>
      <c r="X72" s="370">
        <v>0</v>
      </c>
      <c r="Y72" s="370">
        <v>0</v>
      </c>
      <c r="Z72" s="370">
        <v>0</v>
      </c>
      <c r="AA72" s="370">
        <v>0</v>
      </c>
      <c r="AB72" s="370">
        <v>-15</v>
      </c>
      <c r="AC72" s="370">
        <v>0</v>
      </c>
      <c r="AD72" s="370">
        <v>0</v>
      </c>
      <c r="AE72" s="370">
        <v>0</v>
      </c>
      <c r="AF72" s="370">
        <v>-15</v>
      </c>
      <c r="AG72" s="31">
        <v>-15</v>
      </c>
      <c r="AH72" s="31">
        <v>2051.23</v>
      </c>
      <c r="AI72" s="31">
        <v>0</v>
      </c>
      <c r="AJ72" s="370">
        <v>1.2229509999999999</v>
      </c>
      <c r="AK72" s="219">
        <v>2051.23</v>
      </c>
      <c r="AL72" s="219">
        <v>0</v>
      </c>
      <c r="AM72" s="219">
        <v>0</v>
      </c>
      <c r="AN72" s="219">
        <v>0</v>
      </c>
      <c r="AO72" s="116">
        <v>0</v>
      </c>
      <c r="AP72" s="116">
        <v>0</v>
      </c>
      <c r="AQ72" s="116">
        <v>4</v>
      </c>
      <c r="AR72" s="116">
        <v>-37628.306695949999</v>
      </c>
      <c r="AS72" s="116">
        <v>-37628.306695949999</v>
      </c>
      <c r="AT72" s="116">
        <v>1</v>
      </c>
      <c r="AU72" s="385">
        <v>0</v>
      </c>
      <c r="AV72" s="332">
        <v>0</v>
      </c>
      <c r="AW72" s="332">
        <v>0</v>
      </c>
      <c r="AX72" s="332">
        <v>-37628.306695949999</v>
      </c>
      <c r="AY72" s="332">
        <v>0</v>
      </c>
      <c r="AZ72" s="332">
        <v>-6.3742671824624741</v>
      </c>
      <c r="BA72" s="332">
        <v>0</v>
      </c>
      <c r="BB72" s="31">
        <v>480729.50198281748</v>
      </c>
      <c r="BC72" s="31">
        <v>0</v>
      </c>
      <c r="BD72" s="29">
        <v>0</v>
      </c>
      <c r="BE72" s="31">
        <v>0</v>
      </c>
    </row>
    <row r="73" spans="1:57" ht="13">
      <c r="A73" s="153">
        <v>44565</v>
      </c>
      <c r="B73" s="10" t="s">
        <v>183</v>
      </c>
      <c r="C73" s="10">
        <v>44563000014</v>
      </c>
      <c r="D73" s="10" t="s">
        <v>16</v>
      </c>
      <c r="E73" s="10" t="s">
        <v>36</v>
      </c>
      <c r="F73" s="153">
        <v>44563</v>
      </c>
      <c r="G73" s="116" t="s">
        <v>37</v>
      </c>
      <c r="H73" s="116">
        <v>416011.66724999994</v>
      </c>
      <c r="I73" s="116">
        <v>83988.332750000001</v>
      </c>
      <c r="J73" s="116">
        <v>499999.99999999994</v>
      </c>
      <c r="K73" s="219">
        <v>345160.33075000002</v>
      </c>
      <c r="L73" s="116">
        <v>0</v>
      </c>
      <c r="M73" s="31">
        <v>-64724.209000000003</v>
      </c>
      <c r="N73" s="336">
        <v>-64724.208999999995</v>
      </c>
      <c r="O73" s="336">
        <v>64724.209000000003</v>
      </c>
      <c r="P73" s="219">
        <v>0</v>
      </c>
      <c r="Q73" s="332">
        <v>6472.4209000000001</v>
      </c>
      <c r="R73" s="219">
        <v>10</v>
      </c>
      <c r="S73" s="332">
        <v>0</v>
      </c>
      <c r="T73" s="219">
        <v>0</v>
      </c>
      <c r="U73" s="332">
        <v>0</v>
      </c>
      <c r="V73" s="332">
        <v>0</v>
      </c>
      <c r="W73" s="370">
        <v>0</v>
      </c>
      <c r="X73" s="370">
        <v>0</v>
      </c>
      <c r="Y73" s="370">
        <v>0</v>
      </c>
      <c r="Z73" s="370">
        <v>0</v>
      </c>
      <c r="AA73" s="370">
        <v>0</v>
      </c>
      <c r="AB73" s="370">
        <v>10</v>
      </c>
      <c r="AC73" s="370">
        <v>0</v>
      </c>
      <c r="AD73" s="370">
        <v>0</v>
      </c>
      <c r="AE73" s="370">
        <v>0</v>
      </c>
      <c r="AF73" s="370">
        <v>-10</v>
      </c>
      <c r="AG73" s="31">
        <v>10</v>
      </c>
      <c r="AH73" s="31">
        <v>744</v>
      </c>
      <c r="AI73" s="31">
        <v>0</v>
      </c>
      <c r="AJ73" s="370">
        <v>8.7949999999999999</v>
      </c>
      <c r="AK73" s="219">
        <v>744</v>
      </c>
      <c r="AL73" s="219">
        <v>0</v>
      </c>
      <c r="AM73" s="219">
        <v>0</v>
      </c>
      <c r="AN73" s="219">
        <v>0</v>
      </c>
      <c r="AO73" s="116">
        <v>0</v>
      </c>
      <c r="AP73" s="116">
        <v>0</v>
      </c>
      <c r="AQ73" s="116">
        <v>5</v>
      </c>
      <c r="AR73" s="116">
        <v>65434.8</v>
      </c>
      <c r="AS73" s="116">
        <v>32717.4</v>
      </c>
      <c r="AT73" s="116">
        <v>1</v>
      </c>
      <c r="AU73" s="385">
        <v>0</v>
      </c>
      <c r="AV73" s="332">
        <v>0</v>
      </c>
      <c r="AW73" s="332">
        <v>0</v>
      </c>
      <c r="AX73" s="332">
        <v>-65434.8</v>
      </c>
      <c r="AY73" s="332">
        <v>0</v>
      </c>
      <c r="AZ73" s="332">
        <v>0</v>
      </c>
      <c r="BA73" s="332">
        <v>0</v>
      </c>
      <c r="BB73" s="31">
        <v>416005.29298281745</v>
      </c>
      <c r="BC73" s="31">
        <v>0</v>
      </c>
      <c r="BD73" s="29">
        <v>0</v>
      </c>
      <c r="BE73" s="31">
        <v>0</v>
      </c>
    </row>
    <row r="74" spans="1:57" ht="13">
      <c r="A74" s="153">
        <v>44565</v>
      </c>
      <c r="B74" s="10" t="s">
        <v>183</v>
      </c>
      <c r="C74" s="10">
        <v>44565000016</v>
      </c>
      <c r="D74" s="10" t="s">
        <v>16</v>
      </c>
      <c r="E74" s="10" t="s">
        <v>36</v>
      </c>
      <c r="F74" s="153">
        <v>44565</v>
      </c>
      <c r="G74" s="116" t="s">
        <v>37</v>
      </c>
      <c r="H74" s="116">
        <v>448553.16724999994</v>
      </c>
      <c r="I74" s="116">
        <v>51446.832750000001</v>
      </c>
      <c r="J74" s="116">
        <v>499999.99999999994</v>
      </c>
      <c r="K74" s="219">
        <v>507150.24874999997</v>
      </c>
      <c r="L74" s="116">
        <v>0</v>
      </c>
      <c r="M74" s="31">
        <v>32541.5</v>
      </c>
      <c r="N74" s="336">
        <v>32541.5</v>
      </c>
      <c r="O74" s="336">
        <v>0</v>
      </c>
      <c r="P74" s="219">
        <v>-32541.5</v>
      </c>
      <c r="Q74" s="332">
        <v>6508.3</v>
      </c>
      <c r="R74" s="219">
        <v>-5</v>
      </c>
      <c r="S74" s="332">
        <v>0</v>
      </c>
      <c r="T74" s="219">
        <v>0</v>
      </c>
      <c r="U74" s="332">
        <v>0</v>
      </c>
      <c r="V74" s="332">
        <v>0</v>
      </c>
      <c r="W74" s="370">
        <v>0</v>
      </c>
      <c r="X74" s="370">
        <v>10</v>
      </c>
      <c r="Y74" s="370">
        <v>0</v>
      </c>
      <c r="Z74" s="370">
        <v>0</v>
      </c>
      <c r="AA74" s="370">
        <v>0</v>
      </c>
      <c r="AB74" s="370">
        <v>5</v>
      </c>
      <c r="AC74" s="370">
        <v>0</v>
      </c>
      <c r="AD74" s="370">
        <v>0</v>
      </c>
      <c r="AE74" s="370">
        <v>0</v>
      </c>
      <c r="AF74" s="370">
        <v>5</v>
      </c>
      <c r="AG74" s="31">
        <v>-5</v>
      </c>
      <c r="AH74" s="31">
        <v>744</v>
      </c>
      <c r="AI74" s="31">
        <v>1</v>
      </c>
      <c r="AJ74" s="370">
        <v>8.7949999999999999</v>
      </c>
      <c r="AK74" s="219">
        <v>744</v>
      </c>
      <c r="AL74" s="219">
        <v>0</v>
      </c>
      <c r="AM74" s="219">
        <v>0</v>
      </c>
      <c r="AN74" s="219">
        <v>0</v>
      </c>
      <c r="AO74" s="116">
        <v>0</v>
      </c>
      <c r="AP74" s="116">
        <v>0</v>
      </c>
      <c r="AQ74" s="116">
        <v>5</v>
      </c>
      <c r="AR74" s="116">
        <v>-32717.4</v>
      </c>
      <c r="AS74" s="116">
        <v>32717.4</v>
      </c>
      <c r="AT74" s="116">
        <v>0</v>
      </c>
      <c r="AU74" s="385">
        <v>89442.383499999996</v>
      </c>
      <c r="AV74" s="332">
        <v>-37628.306695949999</v>
      </c>
      <c r="AW74" s="332">
        <v>51814.076804049997</v>
      </c>
      <c r="AX74" s="332">
        <v>32717.4</v>
      </c>
      <c r="AY74" s="332">
        <v>0</v>
      </c>
      <c r="AZ74" s="332">
        <v>0</v>
      </c>
      <c r="BA74" s="332">
        <v>0</v>
      </c>
      <c r="BB74" s="31">
        <v>448546.79298281745</v>
      </c>
      <c r="BC74" s="31">
        <v>448546.79298281745</v>
      </c>
      <c r="BD74" s="29">
        <v>0</v>
      </c>
      <c r="BE74" s="31">
        <v>500367.24405404995</v>
      </c>
    </row>
    <row r="75" spans="1:57" ht="13">
      <c r="A75" s="153">
        <v>44565</v>
      </c>
      <c r="B75" s="10" t="s">
        <v>184</v>
      </c>
      <c r="C75" s="10">
        <v>44561000006</v>
      </c>
      <c r="D75" s="10" t="s">
        <v>64</v>
      </c>
      <c r="E75" s="10" t="s">
        <v>64</v>
      </c>
      <c r="F75" s="153">
        <v>44561</v>
      </c>
      <c r="G75" s="116" t="s">
        <v>39</v>
      </c>
      <c r="H75" s="116">
        <v>500000</v>
      </c>
      <c r="I75" s="116">
        <v>0</v>
      </c>
      <c r="J75" s="116">
        <v>500000</v>
      </c>
      <c r="K75" s="219">
        <v>0</v>
      </c>
      <c r="L75" s="116">
        <v>0</v>
      </c>
      <c r="M75" s="31">
        <v>500000</v>
      </c>
      <c r="N75" s="336">
        <v>500000</v>
      </c>
      <c r="O75" s="336">
        <v>0</v>
      </c>
      <c r="P75" s="219">
        <v>0</v>
      </c>
      <c r="Q75" s="332">
        <v>0</v>
      </c>
      <c r="R75" s="219">
        <v>0</v>
      </c>
      <c r="S75" s="332">
        <v>0</v>
      </c>
      <c r="T75" s="219">
        <v>0</v>
      </c>
      <c r="U75" s="332">
        <v>0</v>
      </c>
      <c r="V75" s="332">
        <v>0</v>
      </c>
      <c r="W75" s="370">
        <v>0</v>
      </c>
      <c r="X75" s="370">
        <v>0</v>
      </c>
      <c r="Y75" s="370">
        <v>0</v>
      </c>
      <c r="Z75" s="370">
        <v>0</v>
      </c>
      <c r="AA75" s="370">
        <v>0</v>
      </c>
      <c r="AB75" s="370">
        <v>0</v>
      </c>
      <c r="AC75" s="370">
        <v>0</v>
      </c>
      <c r="AD75" s="370">
        <v>0</v>
      </c>
      <c r="AE75" s="370">
        <v>0</v>
      </c>
      <c r="AF75" s="370">
        <v>0</v>
      </c>
      <c r="AG75" s="31">
        <v>0</v>
      </c>
      <c r="AH75" s="31">
        <v>1</v>
      </c>
      <c r="AI75" s="31">
        <v>0</v>
      </c>
      <c r="AJ75" s="370">
        <v>1</v>
      </c>
      <c r="AK75" s="219">
        <v>0</v>
      </c>
      <c r="AL75" s="219">
        <v>0</v>
      </c>
      <c r="AM75" s="219">
        <v>0</v>
      </c>
      <c r="AN75" s="219">
        <v>0</v>
      </c>
      <c r="AO75" s="116">
        <v>0</v>
      </c>
      <c r="AP75" s="116">
        <v>0</v>
      </c>
      <c r="AQ75" s="116">
        <v>1</v>
      </c>
      <c r="AR75" s="116">
        <v>0</v>
      </c>
      <c r="AS75" s="116">
        <v>0</v>
      </c>
      <c r="AT75" s="116">
        <v>1</v>
      </c>
      <c r="AU75" s="385">
        <v>0</v>
      </c>
      <c r="AV75" s="332">
        <v>0</v>
      </c>
      <c r="AW75" s="332">
        <v>0</v>
      </c>
      <c r="AX75" s="332">
        <v>500000</v>
      </c>
      <c r="AY75" s="332">
        <v>0</v>
      </c>
      <c r="AZ75" s="332">
        <v>0</v>
      </c>
      <c r="BA75" s="332">
        <v>0</v>
      </c>
      <c r="BB75" s="31">
        <v>499999.61884808488</v>
      </c>
      <c r="BC75" s="31">
        <v>0</v>
      </c>
      <c r="BD75" s="29">
        <v>0</v>
      </c>
      <c r="BE75" s="31">
        <v>0</v>
      </c>
    </row>
    <row r="76" spans="1:57" ht="13">
      <c r="A76" s="153">
        <v>44565</v>
      </c>
      <c r="B76" s="10" t="s">
        <v>184</v>
      </c>
      <c r="C76" s="10">
        <v>44563000025</v>
      </c>
      <c r="D76" s="10" t="s">
        <v>16</v>
      </c>
      <c r="E76" s="10" t="s">
        <v>40</v>
      </c>
      <c r="F76" s="153">
        <v>44563</v>
      </c>
      <c r="G76" s="116" t="s">
        <v>29</v>
      </c>
      <c r="H76" s="116">
        <v>450189.84940000001</v>
      </c>
      <c r="I76" s="116">
        <v>49810.150599999994</v>
      </c>
      <c r="J76" s="116">
        <v>500000</v>
      </c>
      <c r="K76" s="219">
        <v>450189.84940000001</v>
      </c>
      <c r="L76" s="116">
        <v>0</v>
      </c>
      <c r="M76" s="31">
        <v>-49810.150599999994</v>
      </c>
      <c r="N76" s="336">
        <v>-49810.150599999994</v>
      </c>
      <c r="O76" s="336">
        <v>49810.150599999994</v>
      </c>
      <c r="P76" s="219">
        <v>0</v>
      </c>
      <c r="Q76" s="332">
        <v>2490.5075299999999</v>
      </c>
      <c r="R76" s="219">
        <v>20</v>
      </c>
      <c r="S76" s="332">
        <v>0</v>
      </c>
      <c r="T76" s="219">
        <v>0</v>
      </c>
      <c r="U76" s="332">
        <v>0</v>
      </c>
      <c r="V76" s="332">
        <v>0</v>
      </c>
      <c r="W76" s="370">
        <v>0</v>
      </c>
      <c r="X76" s="370">
        <v>0</v>
      </c>
      <c r="Y76" s="370">
        <v>0</v>
      </c>
      <c r="Z76" s="370">
        <v>0</v>
      </c>
      <c r="AA76" s="370">
        <v>0</v>
      </c>
      <c r="AB76" s="370">
        <v>20</v>
      </c>
      <c r="AC76" s="370">
        <v>0</v>
      </c>
      <c r="AD76" s="370">
        <v>0</v>
      </c>
      <c r="AE76" s="370">
        <v>0</v>
      </c>
      <c r="AF76" s="370">
        <v>-20</v>
      </c>
      <c r="AG76" s="31">
        <v>20</v>
      </c>
      <c r="AH76" s="31">
        <v>2051.23</v>
      </c>
      <c r="AI76" s="31">
        <v>0</v>
      </c>
      <c r="AJ76" s="370">
        <v>1.2229509999999999</v>
      </c>
      <c r="AK76" s="219">
        <v>2051.23</v>
      </c>
      <c r="AL76" s="219">
        <v>0</v>
      </c>
      <c r="AM76" s="219">
        <v>0</v>
      </c>
      <c r="AN76" s="219">
        <v>0</v>
      </c>
      <c r="AO76" s="116">
        <v>0</v>
      </c>
      <c r="AP76" s="116">
        <v>0</v>
      </c>
      <c r="AQ76" s="116">
        <v>2</v>
      </c>
      <c r="AR76" s="116">
        <v>50171.075594599992</v>
      </c>
      <c r="AS76" s="116">
        <v>25085.537797299996</v>
      </c>
      <c r="AT76" s="116">
        <v>1</v>
      </c>
      <c r="AU76" s="385">
        <v>0</v>
      </c>
      <c r="AV76" s="332">
        <v>0</v>
      </c>
      <c r="AW76" s="332">
        <v>0</v>
      </c>
      <c r="AX76" s="332">
        <v>-50171.075594599999</v>
      </c>
      <c r="AY76" s="332">
        <v>0</v>
      </c>
      <c r="AZ76" s="332">
        <v>0</v>
      </c>
      <c r="BA76" s="332">
        <v>0</v>
      </c>
      <c r="BB76" s="31">
        <v>450189.46824808489</v>
      </c>
      <c r="BC76" s="31">
        <v>0</v>
      </c>
      <c r="BD76" s="29">
        <v>0</v>
      </c>
      <c r="BE76" s="31">
        <v>0</v>
      </c>
    </row>
    <row r="77" spans="1:57" ht="13">
      <c r="A77" s="153">
        <v>44565</v>
      </c>
      <c r="B77" s="10" t="s">
        <v>184</v>
      </c>
      <c r="C77" s="10">
        <v>44563000026</v>
      </c>
      <c r="D77" s="10" t="s">
        <v>16</v>
      </c>
      <c r="E77" s="10" t="s">
        <v>38</v>
      </c>
      <c r="F77" s="153">
        <v>44563</v>
      </c>
      <c r="G77" s="116" t="s">
        <v>39</v>
      </c>
      <c r="H77" s="116">
        <v>452489.84940000001</v>
      </c>
      <c r="I77" s="116">
        <v>47510.150599999994</v>
      </c>
      <c r="J77" s="116">
        <v>500000</v>
      </c>
      <c r="K77" s="219">
        <v>447889.84940000001</v>
      </c>
      <c r="L77" s="116">
        <v>0</v>
      </c>
      <c r="M77" s="31">
        <v>2300</v>
      </c>
      <c r="N77" s="336">
        <v>-2300</v>
      </c>
      <c r="O77" s="336">
        <v>0</v>
      </c>
      <c r="P77" s="219">
        <v>-2300</v>
      </c>
      <c r="Q77" s="332">
        <v>460</v>
      </c>
      <c r="R77" s="219">
        <v>-5</v>
      </c>
      <c r="S77" s="332">
        <v>0</v>
      </c>
      <c r="T77" s="219">
        <v>0</v>
      </c>
      <c r="U77" s="332">
        <v>0</v>
      </c>
      <c r="V77" s="332">
        <v>0</v>
      </c>
      <c r="W77" s="370">
        <v>0</v>
      </c>
      <c r="X77" s="370">
        <v>0</v>
      </c>
      <c r="Y77" s="370">
        <v>0</v>
      </c>
      <c r="Z77" s="370">
        <v>0</v>
      </c>
      <c r="AA77" s="370">
        <v>0</v>
      </c>
      <c r="AB77" s="370">
        <v>-5</v>
      </c>
      <c r="AC77" s="370">
        <v>0</v>
      </c>
      <c r="AD77" s="370">
        <v>0</v>
      </c>
      <c r="AE77" s="370">
        <v>0</v>
      </c>
      <c r="AF77" s="370">
        <v>-5</v>
      </c>
      <c r="AG77" s="31">
        <v>-5</v>
      </c>
      <c r="AH77" s="31">
        <v>450</v>
      </c>
      <c r="AI77" s="31">
        <v>0</v>
      </c>
      <c r="AJ77" s="370">
        <v>1</v>
      </c>
      <c r="AK77" s="219">
        <v>450</v>
      </c>
      <c r="AL77" s="219">
        <v>0</v>
      </c>
      <c r="AM77" s="219">
        <v>0</v>
      </c>
      <c r="AN77" s="219">
        <v>0</v>
      </c>
      <c r="AO77" s="116">
        <v>0</v>
      </c>
      <c r="AP77" s="116">
        <v>0</v>
      </c>
      <c r="AQ77" s="116">
        <v>3</v>
      </c>
      <c r="AR77" s="116">
        <v>-2250</v>
      </c>
      <c r="AS77" s="116">
        <v>4500</v>
      </c>
      <c r="AT77" s="116">
        <v>1</v>
      </c>
      <c r="AU77" s="385">
        <v>0</v>
      </c>
      <c r="AV77" s="332">
        <v>0</v>
      </c>
      <c r="AW77" s="332">
        <v>0</v>
      </c>
      <c r="AX77" s="332">
        <v>-2250</v>
      </c>
      <c r="AY77" s="332">
        <v>0</v>
      </c>
      <c r="AZ77" s="332">
        <v>-0.38115191513744706</v>
      </c>
      <c r="BA77" s="332">
        <v>0</v>
      </c>
      <c r="BB77" s="31">
        <v>452489.46824808489</v>
      </c>
      <c r="BC77" s="31">
        <v>0</v>
      </c>
      <c r="BD77" s="29">
        <v>0</v>
      </c>
      <c r="BE77" s="31">
        <v>0</v>
      </c>
    </row>
    <row r="78" spans="1:57" ht="13">
      <c r="A78" s="153">
        <v>44565</v>
      </c>
      <c r="B78" s="10" t="s">
        <v>184</v>
      </c>
      <c r="C78" s="10">
        <v>44564000027</v>
      </c>
      <c r="D78" s="10" t="s">
        <v>16</v>
      </c>
      <c r="E78" s="10" t="s">
        <v>40</v>
      </c>
      <c r="F78" s="153">
        <v>44564</v>
      </c>
      <c r="G78" s="116" t="s">
        <v>29</v>
      </c>
      <c r="H78" s="116">
        <v>477643.14439999999</v>
      </c>
      <c r="I78" s="116">
        <v>22356.855599999995</v>
      </c>
      <c r="J78" s="116">
        <v>500000</v>
      </c>
      <c r="K78" s="219">
        <v>473043.14439999999</v>
      </c>
      <c r="L78" s="116">
        <v>0</v>
      </c>
      <c r="M78" s="31">
        <v>25153.294999999998</v>
      </c>
      <c r="N78" s="336">
        <v>25153.295000000002</v>
      </c>
      <c r="O78" s="336">
        <v>0</v>
      </c>
      <c r="P78" s="219">
        <v>-25153.294999999998</v>
      </c>
      <c r="Q78" s="332">
        <v>2515.3294999999998</v>
      </c>
      <c r="R78" s="219">
        <v>-10</v>
      </c>
      <c r="S78" s="332">
        <v>0</v>
      </c>
      <c r="T78" s="219">
        <v>0</v>
      </c>
      <c r="U78" s="332">
        <v>0</v>
      </c>
      <c r="V78" s="332">
        <v>0</v>
      </c>
      <c r="W78" s="370">
        <v>0</v>
      </c>
      <c r="X78" s="370">
        <v>20</v>
      </c>
      <c r="Y78" s="370">
        <v>0</v>
      </c>
      <c r="Z78" s="370">
        <v>0</v>
      </c>
      <c r="AA78" s="370">
        <v>0</v>
      </c>
      <c r="AB78" s="370">
        <v>10</v>
      </c>
      <c r="AC78" s="370">
        <v>0</v>
      </c>
      <c r="AD78" s="370">
        <v>0</v>
      </c>
      <c r="AE78" s="370">
        <v>0</v>
      </c>
      <c r="AF78" s="370">
        <v>10</v>
      </c>
      <c r="AG78" s="31">
        <v>-10</v>
      </c>
      <c r="AH78" s="31">
        <v>2051.23</v>
      </c>
      <c r="AI78" s="31">
        <v>0</v>
      </c>
      <c r="AJ78" s="370">
        <v>1.2229509999999999</v>
      </c>
      <c r="AK78" s="219">
        <v>2051.23</v>
      </c>
      <c r="AL78" s="219">
        <v>0</v>
      </c>
      <c r="AM78" s="219">
        <v>0</v>
      </c>
      <c r="AN78" s="219">
        <v>0</v>
      </c>
      <c r="AO78" s="116">
        <v>0</v>
      </c>
      <c r="AP78" s="116">
        <v>0</v>
      </c>
      <c r="AQ78" s="116">
        <v>3</v>
      </c>
      <c r="AR78" s="116">
        <v>-25085.537797299996</v>
      </c>
      <c r="AS78" s="116">
        <v>25085.537797299996</v>
      </c>
      <c r="AT78" s="116">
        <v>0</v>
      </c>
      <c r="AU78" s="385">
        <v>0</v>
      </c>
      <c r="AV78" s="332">
        <v>0</v>
      </c>
      <c r="AW78" s="332">
        <v>0</v>
      </c>
      <c r="AX78" s="332">
        <v>25085.5377973</v>
      </c>
      <c r="AY78" s="332">
        <v>0</v>
      </c>
      <c r="AZ78" s="332">
        <v>0</v>
      </c>
      <c r="BA78" s="332">
        <v>0</v>
      </c>
      <c r="BB78" s="31">
        <v>477642.76324808487</v>
      </c>
      <c r="BC78" s="31">
        <v>0</v>
      </c>
      <c r="BD78" s="29">
        <v>0</v>
      </c>
      <c r="BE78" s="31">
        <v>0</v>
      </c>
    </row>
    <row r="79" spans="1:57" ht="13">
      <c r="A79" s="153">
        <v>44565</v>
      </c>
      <c r="B79" s="10" t="s">
        <v>184</v>
      </c>
      <c r="C79" s="10">
        <v>44564000028</v>
      </c>
      <c r="D79" s="10" t="s">
        <v>16</v>
      </c>
      <c r="E79" s="10" t="s">
        <v>38</v>
      </c>
      <c r="F79" s="153">
        <v>44564</v>
      </c>
      <c r="G79" s="116" t="s">
        <v>39</v>
      </c>
      <c r="H79" s="116">
        <v>470743.14439999999</v>
      </c>
      <c r="I79" s="116">
        <v>29256.855599999995</v>
      </c>
      <c r="J79" s="116">
        <v>500000</v>
      </c>
      <c r="K79" s="219">
        <v>470743.14439999999</v>
      </c>
      <c r="L79" s="116">
        <v>0</v>
      </c>
      <c r="M79" s="31">
        <v>-6900</v>
      </c>
      <c r="N79" s="336">
        <v>-2300</v>
      </c>
      <c r="O79" s="336">
        <v>6900</v>
      </c>
      <c r="P79" s="219">
        <v>0</v>
      </c>
      <c r="Q79" s="332">
        <v>460</v>
      </c>
      <c r="R79" s="219">
        <v>15</v>
      </c>
      <c r="S79" s="332">
        <v>0</v>
      </c>
      <c r="T79" s="219">
        <v>0</v>
      </c>
      <c r="U79" s="332">
        <v>0</v>
      </c>
      <c r="V79" s="332">
        <v>0</v>
      </c>
      <c r="W79" s="370">
        <v>0</v>
      </c>
      <c r="X79" s="370">
        <v>-5</v>
      </c>
      <c r="Y79" s="370">
        <v>0</v>
      </c>
      <c r="Z79" s="370">
        <v>0</v>
      </c>
      <c r="AA79" s="370">
        <v>0</v>
      </c>
      <c r="AB79" s="370">
        <v>10</v>
      </c>
      <c r="AC79" s="370">
        <v>0</v>
      </c>
      <c r="AD79" s="370">
        <v>0</v>
      </c>
      <c r="AE79" s="370">
        <v>0</v>
      </c>
      <c r="AF79" s="370">
        <v>-5</v>
      </c>
      <c r="AG79" s="31">
        <v>15</v>
      </c>
      <c r="AH79" s="31">
        <v>450</v>
      </c>
      <c r="AI79" s="31">
        <v>1</v>
      </c>
      <c r="AJ79" s="370">
        <v>1</v>
      </c>
      <c r="AK79" s="219">
        <v>450</v>
      </c>
      <c r="AL79" s="219">
        <v>0</v>
      </c>
      <c r="AM79" s="219">
        <v>0</v>
      </c>
      <c r="AN79" s="219">
        <v>0</v>
      </c>
      <c r="AO79" s="116">
        <v>0</v>
      </c>
      <c r="AP79" s="116">
        <v>0</v>
      </c>
      <c r="AQ79" s="116">
        <v>3</v>
      </c>
      <c r="AR79" s="116">
        <v>6750</v>
      </c>
      <c r="AS79" s="116">
        <v>4500</v>
      </c>
      <c r="AT79" s="116">
        <v>0</v>
      </c>
      <c r="AU79" s="385">
        <v>29585.537797299996</v>
      </c>
      <c r="AV79" s="332">
        <v>0</v>
      </c>
      <c r="AW79" s="332">
        <v>29585.537797299996</v>
      </c>
      <c r="AX79" s="332">
        <v>-2250</v>
      </c>
      <c r="AY79" s="332">
        <v>0</v>
      </c>
      <c r="AZ79" s="332">
        <v>0</v>
      </c>
      <c r="BA79" s="332">
        <v>0</v>
      </c>
      <c r="BB79" s="31">
        <v>470742.76324808487</v>
      </c>
      <c r="BC79" s="31">
        <v>470742.76324808487</v>
      </c>
      <c r="BD79" s="29">
        <v>0</v>
      </c>
      <c r="BE79" s="31">
        <v>500328.68219729996</v>
      </c>
    </row>
    <row r="80" spans="1:57" ht="13">
      <c r="A80" s="153">
        <v>44565</v>
      </c>
      <c r="B80" s="10" t="s">
        <v>185</v>
      </c>
      <c r="C80" s="10">
        <v>44561000007</v>
      </c>
      <c r="D80" s="10" t="s">
        <v>64</v>
      </c>
      <c r="E80" s="10" t="s">
        <v>64</v>
      </c>
      <c r="F80" s="153">
        <v>44561</v>
      </c>
      <c r="G80" s="116" t="s">
        <v>39</v>
      </c>
      <c r="H80" s="116">
        <v>500000</v>
      </c>
      <c r="I80" s="116">
        <v>0</v>
      </c>
      <c r="J80" s="116">
        <v>500000</v>
      </c>
      <c r="K80" s="219">
        <v>0</v>
      </c>
      <c r="L80" s="116">
        <v>0</v>
      </c>
      <c r="M80" s="31">
        <v>500000</v>
      </c>
      <c r="N80" s="336">
        <v>500000</v>
      </c>
      <c r="O80" s="336">
        <v>0</v>
      </c>
      <c r="P80" s="219">
        <v>0</v>
      </c>
      <c r="Q80" s="332">
        <v>0</v>
      </c>
      <c r="R80" s="219">
        <v>0</v>
      </c>
      <c r="S80" s="332">
        <v>0</v>
      </c>
      <c r="T80" s="219">
        <v>0</v>
      </c>
      <c r="U80" s="332">
        <v>0</v>
      </c>
      <c r="V80" s="332">
        <v>0</v>
      </c>
      <c r="W80" s="370">
        <v>0</v>
      </c>
      <c r="X80" s="370">
        <v>0</v>
      </c>
      <c r="Y80" s="370">
        <v>0</v>
      </c>
      <c r="Z80" s="370">
        <v>0</v>
      </c>
      <c r="AA80" s="370">
        <v>0</v>
      </c>
      <c r="AB80" s="370">
        <v>0</v>
      </c>
      <c r="AC80" s="370">
        <v>0</v>
      </c>
      <c r="AD80" s="370">
        <v>0</v>
      </c>
      <c r="AE80" s="370">
        <v>0</v>
      </c>
      <c r="AF80" s="370">
        <v>0</v>
      </c>
      <c r="AG80" s="31">
        <v>0</v>
      </c>
      <c r="AH80" s="31">
        <v>1</v>
      </c>
      <c r="AI80" s="31">
        <v>0</v>
      </c>
      <c r="AJ80" s="370">
        <v>1</v>
      </c>
      <c r="AK80" s="219">
        <v>0</v>
      </c>
      <c r="AL80" s="219">
        <v>0</v>
      </c>
      <c r="AM80" s="219">
        <v>0</v>
      </c>
      <c r="AN80" s="219">
        <v>0</v>
      </c>
      <c r="AO80" s="116">
        <v>0</v>
      </c>
      <c r="AP80" s="116">
        <v>0</v>
      </c>
      <c r="AQ80" s="116">
        <v>1</v>
      </c>
      <c r="AR80" s="116">
        <v>0</v>
      </c>
      <c r="AS80" s="116">
        <v>0</v>
      </c>
      <c r="AT80" s="116">
        <v>1</v>
      </c>
      <c r="AU80" s="385">
        <v>0</v>
      </c>
      <c r="AV80" s="332">
        <v>0</v>
      </c>
      <c r="AW80" s="332">
        <v>0</v>
      </c>
      <c r="AX80" s="332">
        <v>500000</v>
      </c>
      <c r="AY80" s="332">
        <v>0</v>
      </c>
      <c r="AZ80" s="332">
        <v>0</v>
      </c>
      <c r="BA80" s="332">
        <v>0</v>
      </c>
      <c r="BB80" s="31">
        <v>499999.31750231684</v>
      </c>
      <c r="BC80" s="31">
        <v>0</v>
      </c>
      <c r="BD80" s="29">
        <v>0</v>
      </c>
      <c r="BE80" s="31">
        <v>0</v>
      </c>
    </row>
    <row r="81" spans="1:57" ht="13">
      <c r="A81" s="153">
        <v>44565</v>
      </c>
      <c r="B81" s="10" t="s">
        <v>185</v>
      </c>
      <c r="C81" s="10">
        <v>44562000029</v>
      </c>
      <c r="D81" s="10" t="s">
        <v>61</v>
      </c>
      <c r="E81" s="10" t="s">
        <v>63</v>
      </c>
      <c r="F81" s="153">
        <v>44562</v>
      </c>
      <c r="G81" s="116" t="s">
        <v>39</v>
      </c>
      <c r="H81" s="116">
        <v>490000</v>
      </c>
      <c r="I81" s="116">
        <v>10000</v>
      </c>
      <c r="J81" s="116">
        <v>500000</v>
      </c>
      <c r="K81" s="219">
        <v>490000</v>
      </c>
      <c r="L81" s="116">
        <v>0</v>
      </c>
      <c r="M81" s="31">
        <v>-10000</v>
      </c>
      <c r="N81" s="336">
        <v>-10000</v>
      </c>
      <c r="O81" s="336">
        <v>0</v>
      </c>
      <c r="P81" s="219">
        <v>0</v>
      </c>
      <c r="Q81" s="332">
        <v>0</v>
      </c>
      <c r="R81" s="219">
        <v>0</v>
      </c>
      <c r="S81" s="332">
        <v>0</v>
      </c>
      <c r="T81" s="219">
        <v>0</v>
      </c>
      <c r="U81" s="332">
        <v>0</v>
      </c>
      <c r="V81" s="332">
        <v>0</v>
      </c>
      <c r="W81" s="370">
        <v>10000</v>
      </c>
      <c r="X81" s="370">
        <v>0</v>
      </c>
      <c r="Y81" s="370">
        <v>0</v>
      </c>
      <c r="Z81" s="370">
        <v>0</v>
      </c>
      <c r="AA81" s="370">
        <v>0</v>
      </c>
      <c r="AB81" s="370">
        <v>0</v>
      </c>
      <c r="AC81" s="370">
        <v>0</v>
      </c>
      <c r="AD81" s="370">
        <v>0</v>
      </c>
      <c r="AE81" s="370">
        <v>10000</v>
      </c>
      <c r="AF81" s="370">
        <v>-10000</v>
      </c>
      <c r="AG81" s="31">
        <v>10000</v>
      </c>
      <c r="AH81" s="31">
        <v>1</v>
      </c>
      <c r="AI81" s="31">
        <v>0</v>
      </c>
      <c r="AJ81" s="370">
        <v>1</v>
      </c>
      <c r="AK81" s="219">
        <v>0</v>
      </c>
      <c r="AL81" s="219">
        <v>0</v>
      </c>
      <c r="AM81" s="219">
        <v>0</v>
      </c>
      <c r="AN81" s="219">
        <v>0</v>
      </c>
      <c r="AO81" s="116">
        <v>0</v>
      </c>
      <c r="AP81" s="116">
        <v>1</v>
      </c>
      <c r="AQ81" s="116">
        <v>2</v>
      </c>
      <c r="AR81" s="116">
        <v>10000</v>
      </c>
      <c r="AS81" s="116">
        <v>-5000</v>
      </c>
      <c r="AT81" s="116">
        <v>1</v>
      </c>
      <c r="AU81" s="385">
        <v>0</v>
      </c>
      <c r="AV81" s="332">
        <v>0</v>
      </c>
      <c r="AW81" s="332">
        <v>0</v>
      </c>
      <c r="AX81" s="332">
        <v>-10000</v>
      </c>
      <c r="AY81" s="332">
        <v>0</v>
      </c>
      <c r="AZ81" s="332">
        <v>0</v>
      </c>
      <c r="BA81" s="332">
        <v>4.1126643175088691E-2</v>
      </c>
      <c r="BB81" s="31">
        <v>489999.31750231684</v>
      </c>
      <c r="BC81" s="31">
        <v>0</v>
      </c>
      <c r="BD81" s="29">
        <v>0</v>
      </c>
      <c r="BE81" s="31">
        <v>0</v>
      </c>
    </row>
    <row r="82" spans="1:57" ht="13">
      <c r="A82" s="153">
        <v>44565</v>
      </c>
      <c r="B82" s="10" t="s">
        <v>185</v>
      </c>
      <c r="C82" s="10">
        <v>44562000030</v>
      </c>
      <c r="D82" s="10" t="s">
        <v>18</v>
      </c>
      <c r="E82" s="10" t="s">
        <v>7</v>
      </c>
      <c r="F82" s="153">
        <v>44562</v>
      </c>
      <c r="G82" s="116" t="s">
        <v>41</v>
      </c>
      <c r="H82" s="116">
        <v>448805.40759999998</v>
      </c>
      <c r="I82" s="116">
        <v>51194.592400000009</v>
      </c>
      <c r="J82" s="116">
        <v>500000</v>
      </c>
      <c r="K82" s="219">
        <v>458805.40759999998</v>
      </c>
      <c r="L82" s="116">
        <v>0</v>
      </c>
      <c r="M82" s="31">
        <v>-41194.592400000009</v>
      </c>
      <c r="N82" s="336">
        <v>-41194.592400000001</v>
      </c>
      <c r="O82" s="336">
        <v>0</v>
      </c>
      <c r="P82" s="219">
        <v>0</v>
      </c>
      <c r="Q82" s="332">
        <v>0</v>
      </c>
      <c r="R82" s="219">
        <v>0</v>
      </c>
      <c r="S82" s="332">
        <v>13.21</v>
      </c>
      <c r="T82" s="219">
        <v>40</v>
      </c>
      <c r="U82" s="332">
        <v>0</v>
      </c>
      <c r="V82" s="332">
        <v>0</v>
      </c>
      <c r="W82" s="370">
        <v>0</v>
      </c>
      <c r="X82" s="370">
        <v>0</v>
      </c>
      <c r="Y82" s="370">
        <v>0</v>
      </c>
      <c r="Z82" s="370">
        <v>0</v>
      </c>
      <c r="AA82" s="370">
        <v>0</v>
      </c>
      <c r="AB82" s="370">
        <v>0</v>
      </c>
      <c r="AC82" s="370">
        <v>40</v>
      </c>
      <c r="AD82" s="370">
        <v>0</v>
      </c>
      <c r="AE82" s="370">
        <v>0</v>
      </c>
      <c r="AF82" s="370">
        <v>-40</v>
      </c>
      <c r="AG82" s="31">
        <v>40</v>
      </c>
      <c r="AH82" s="31">
        <v>21.29</v>
      </c>
      <c r="AI82" s="31">
        <v>0</v>
      </c>
      <c r="AJ82" s="370">
        <v>7.7937500000000002</v>
      </c>
      <c r="AK82" s="219">
        <v>0</v>
      </c>
      <c r="AL82" s="219">
        <v>21.29</v>
      </c>
      <c r="AM82" s="219">
        <v>23.71</v>
      </c>
      <c r="AN82" s="219">
        <v>0</v>
      </c>
      <c r="AO82" s="116">
        <v>0</v>
      </c>
      <c r="AP82" s="116">
        <v>0</v>
      </c>
      <c r="AQ82" s="116">
        <v>3</v>
      </c>
      <c r="AR82" s="116">
        <v>66371.574999999997</v>
      </c>
      <c r="AS82" s="116">
        <v>66371.574999999997</v>
      </c>
      <c r="AT82" s="116">
        <v>1</v>
      </c>
      <c r="AU82" s="385">
        <v>0</v>
      </c>
      <c r="AV82" s="332">
        <v>0</v>
      </c>
      <c r="AW82" s="332">
        <v>0</v>
      </c>
      <c r="AX82" s="332">
        <v>-70143.75</v>
      </c>
      <c r="AY82" s="332">
        <v>0</v>
      </c>
      <c r="AZ82" s="332">
        <v>0</v>
      </c>
      <c r="BA82" s="332">
        <v>0</v>
      </c>
      <c r="BB82" s="31">
        <v>448804.72510231682</v>
      </c>
      <c r="BC82" s="31">
        <v>0</v>
      </c>
      <c r="BD82" s="29">
        <v>0</v>
      </c>
      <c r="BE82" s="31">
        <v>0</v>
      </c>
    </row>
    <row r="83" spans="1:57" ht="13">
      <c r="A83" s="153">
        <v>44565</v>
      </c>
      <c r="B83" s="10" t="s">
        <v>185</v>
      </c>
      <c r="C83" s="10">
        <v>44562000031</v>
      </c>
      <c r="D83" s="10" t="s">
        <v>61</v>
      </c>
      <c r="E83" s="10" t="s">
        <v>63</v>
      </c>
      <c r="F83" s="153">
        <v>44562</v>
      </c>
      <c r="G83" s="116" t="s">
        <v>39</v>
      </c>
      <c r="H83" s="116">
        <v>428805.40759999998</v>
      </c>
      <c r="I83" s="116">
        <v>71194.592400000009</v>
      </c>
      <c r="J83" s="116">
        <v>500000</v>
      </c>
      <c r="K83" s="219">
        <v>438805.40759999998</v>
      </c>
      <c r="L83" s="116">
        <v>0</v>
      </c>
      <c r="M83" s="31">
        <v>-20000</v>
      </c>
      <c r="N83" s="336">
        <v>-20000</v>
      </c>
      <c r="O83" s="336">
        <v>0</v>
      </c>
      <c r="P83" s="219">
        <v>0</v>
      </c>
      <c r="Q83" s="332">
        <v>0</v>
      </c>
      <c r="R83" s="219">
        <v>0</v>
      </c>
      <c r="S83" s="332">
        <v>0</v>
      </c>
      <c r="T83" s="219">
        <v>0</v>
      </c>
      <c r="U83" s="332">
        <v>0</v>
      </c>
      <c r="V83" s="332">
        <v>0</v>
      </c>
      <c r="W83" s="370">
        <v>20000</v>
      </c>
      <c r="X83" s="370">
        <v>0</v>
      </c>
      <c r="Y83" s="370">
        <v>0</v>
      </c>
      <c r="Z83" s="370">
        <v>0</v>
      </c>
      <c r="AA83" s="370">
        <v>10000</v>
      </c>
      <c r="AB83" s="370">
        <v>0</v>
      </c>
      <c r="AC83" s="370">
        <v>0</v>
      </c>
      <c r="AD83" s="370">
        <v>0</v>
      </c>
      <c r="AE83" s="370">
        <v>30000</v>
      </c>
      <c r="AF83" s="370">
        <v>-20000</v>
      </c>
      <c r="AG83" s="31">
        <v>20000</v>
      </c>
      <c r="AH83" s="31">
        <v>1</v>
      </c>
      <c r="AI83" s="31">
        <v>0</v>
      </c>
      <c r="AJ83" s="370">
        <v>1</v>
      </c>
      <c r="AK83" s="219">
        <v>0</v>
      </c>
      <c r="AL83" s="219">
        <v>0</v>
      </c>
      <c r="AM83" s="219">
        <v>0</v>
      </c>
      <c r="AN83" s="219">
        <v>0</v>
      </c>
      <c r="AO83" s="116">
        <v>0</v>
      </c>
      <c r="AP83" s="116">
        <v>1</v>
      </c>
      <c r="AQ83" s="116">
        <v>3</v>
      </c>
      <c r="AR83" s="116">
        <v>20000</v>
      </c>
      <c r="AS83" s="116">
        <v>-5000</v>
      </c>
      <c r="AT83" s="116">
        <v>0</v>
      </c>
      <c r="AU83" s="385">
        <v>0</v>
      </c>
      <c r="AV83" s="332">
        <v>0</v>
      </c>
      <c r="AW83" s="332">
        <v>0</v>
      </c>
      <c r="AX83" s="332">
        <v>-20000</v>
      </c>
      <c r="AY83" s="332">
        <v>0</v>
      </c>
      <c r="AZ83" s="332">
        <v>0</v>
      </c>
      <c r="BA83" s="332">
        <v>0.12337992952526605</v>
      </c>
      <c r="BB83" s="31">
        <v>428804.72510231682</v>
      </c>
      <c r="BC83" s="31">
        <v>0</v>
      </c>
      <c r="BD83" s="29">
        <v>0</v>
      </c>
      <c r="BE83" s="31">
        <v>0</v>
      </c>
    </row>
    <row r="84" spans="1:57" ht="13">
      <c r="A84" s="153">
        <v>44565</v>
      </c>
      <c r="B84" s="10" t="s">
        <v>185</v>
      </c>
      <c r="C84" s="10">
        <v>44562000035</v>
      </c>
      <c r="D84" s="10" t="s">
        <v>16</v>
      </c>
      <c r="E84" s="10" t="s">
        <v>38</v>
      </c>
      <c r="F84" s="153">
        <v>44562</v>
      </c>
      <c r="G84" s="116" t="s">
        <v>39</v>
      </c>
      <c r="H84" s="116">
        <v>424205.40759999998</v>
      </c>
      <c r="I84" s="116">
        <v>75794.592400000009</v>
      </c>
      <c r="J84" s="116">
        <v>500000</v>
      </c>
      <c r="K84" s="219">
        <v>444205.40759999998</v>
      </c>
      <c r="L84" s="116">
        <v>0</v>
      </c>
      <c r="M84" s="31">
        <v>-4600</v>
      </c>
      <c r="N84" s="336">
        <v>-4600</v>
      </c>
      <c r="O84" s="336">
        <v>4600</v>
      </c>
      <c r="P84" s="219">
        <v>0</v>
      </c>
      <c r="Q84" s="332">
        <v>460</v>
      </c>
      <c r="R84" s="219">
        <v>10</v>
      </c>
      <c r="S84" s="332">
        <v>0</v>
      </c>
      <c r="T84" s="219">
        <v>0</v>
      </c>
      <c r="U84" s="332">
        <v>0</v>
      </c>
      <c r="V84" s="332">
        <v>0</v>
      </c>
      <c r="W84" s="370">
        <v>0</v>
      </c>
      <c r="X84" s="370">
        <v>0</v>
      </c>
      <c r="Y84" s="370">
        <v>0</v>
      </c>
      <c r="Z84" s="370">
        <v>0</v>
      </c>
      <c r="AA84" s="370">
        <v>0</v>
      </c>
      <c r="AB84" s="370">
        <v>10</v>
      </c>
      <c r="AC84" s="370">
        <v>0</v>
      </c>
      <c r="AD84" s="370">
        <v>0</v>
      </c>
      <c r="AE84" s="370">
        <v>0</v>
      </c>
      <c r="AF84" s="370">
        <v>-10</v>
      </c>
      <c r="AG84" s="31">
        <v>10</v>
      </c>
      <c r="AH84" s="31">
        <v>450</v>
      </c>
      <c r="AI84" s="31">
        <v>0</v>
      </c>
      <c r="AJ84" s="370">
        <v>1</v>
      </c>
      <c r="AK84" s="219">
        <v>450</v>
      </c>
      <c r="AL84" s="219">
        <v>0</v>
      </c>
      <c r="AM84" s="219">
        <v>0</v>
      </c>
      <c r="AN84" s="219">
        <v>0</v>
      </c>
      <c r="AO84" s="116">
        <v>0</v>
      </c>
      <c r="AP84" s="116">
        <v>0</v>
      </c>
      <c r="AQ84" s="116">
        <v>4</v>
      </c>
      <c r="AR84" s="116">
        <v>4500</v>
      </c>
      <c r="AS84" s="116">
        <v>175500</v>
      </c>
      <c r="AT84" s="116">
        <v>1</v>
      </c>
      <c r="AU84" s="385">
        <v>0</v>
      </c>
      <c r="AV84" s="332">
        <v>0</v>
      </c>
      <c r="AW84" s="332">
        <v>0</v>
      </c>
      <c r="AX84" s="332">
        <v>-4500</v>
      </c>
      <c r="AY84" s="332">
        <v>0</v>
      </c>
      <c r="AZ84" s="332">
        <v>0</v>
      </c>
      <c r="BA84" s="332">
        <v>0</v>
      </c>
      <c r="BB84" s="31">
        <v>424204.72510231682</v>
      </c>
      <c r="BC84" s="31">
        <v>0</v>
      </c>
      <c r="BD84" s="29">
        <v>0</v>
      </c>
      <c r="BE84" s="31">
        <v>0</v>
      </c>
    </row>
    <row r="85" spans="1:57" ht="13">
      <c r="A85" s="153">
        <v>44565</v>
      </c>
      <c r="B85" s="10" t="s">
        <v>185</v>
      </c>
      <c r="C85" s="10">
        <v>44563000032</v>
      </c>
      <c r="D85" s="10" t="s">
        <v>61</v>
      </c>
      <c r="E85" s="10" t="s">
        <v>63</v>
      </c>
      <c r="F85" s="153">
        <v>44563</v>
      </c>
      <c r="G85" s="116" t="s">
        <v>39</v>
      </c>
      <c r="H85" s="116">
        <v>459205.40759999998</v>
      </c>
      <c r="I85" s="116">
        <v>40794.592400000009</v>
      </c>
      <c r="J85" s="116">
        <v>500000</v>
      </c>
      <c r="K85" s="219">
        <v>469205.40759999998</v>
      </c>
      <c r="L85" s="116">
        <v>0</v>
      </c>
      <c r="M85" s="31">
        <v>35000</v>
      </c>
      <c r="N85" s="336">
        <v>25000</v>
      </c>
      <c r="O85" s="336">
        <v>0</v>
      </c>
      <c r="P85" s="219">
        <v>0</v>
      </c>
      <c r="Q85" s="332">
        <v>0</v>
      </c>
      <c r="R85" s="219">
        <v>0</v>
      </c>
      <c r="S85" s="332">
        <v>0</v>
      </c>
      <c r="T85" s="219">
        <v>0</v>
      </c>
      <c r="U85" s="332">
        <v>0</v>
      </c>
      <c r="V85" s="332">
        <v>0</v>
      </c>
      <c r="W85" s="370">
        <v>-35000</v>
      </c>
      <c r="X85" s="370">
        <v>0</v>
      </c>
      <c r="Y85" s="370">
        <v>0</v>
      </c>
      <c r="Z85" s="370">
        <v>0</v>
      </c>
      <c r="AA85" s="370">
        <v>30000</v>
      </c>
      <c r="AB85" s="370">
        <v>0</v>
      </c>
      <c r="AC85" s="370">
        <v>0</v>
      </c>
      <c r="AD85" s="370">
        <v>0</v>
      </c>
      <c r="AE85" s="370">
        <v>-5000</v>
      </c>
      <c r="AF85" s="370">
        <v>25000</v>
      </c>
      <c r="AG85" s="31">
        <v>-35000</v>
      </c>
      <c r="AH85" s="31">
        <v>1</v>
      </c>
      <c r="AI85" s="31">
        <v>0</v>
      </c>
      <c r="AJ85" s="370">
        <v>1</v>
      </c>
      <c r="AK85" s="219">
        <v>0</v>
      </c>
      <c r="AL85" s="219">
        <v>0</v>
      </c>
      <c r="AM85" s="219">
        <v>0</v>
      </c>
      <c r="AN85" s="219">
        <v>0</v>
      </c>
      <c r="AO85" s="116">
        <v>0</v>
      </c>
      <c r="AP85" s="116">
        <v>1</v>
      </c>
      <c r="AQ85" s="116">
        <v>4</v>
      </c>
      <c r="AR85" s="116">
        <v>-35000</v>
      </c>
      <c r="AS85" s="116">
        <v>-5000</v>
      </c>
      <c r="AT85" s="116">
        <v>0</v>
      </c>
      <c r="AU85" s="385">
        <v>0</v>
      </c>
      <c r="AV85" s="332">
        <v>0</v>
      </c>
      <c r="AW85" s="332">
        <v>0</v>
      </c>
      <c r="AX85" s="332">
        <v>25000</v>
      </c>
      <c r="AY85" s="332">
        <v>0</v>
      </c>
      <c r="AZ85" s="332">
        <v>-0.84700425586099348</v>
      </c>
      <c r="BA85" s="332">
        <v>0</v>
      </c>
      <c r="BB85" s="31">
        <v>459204.72510231682</v>
      </c>
      <c r="BC85" s="31">
        <v>0</v>
      </c>
      <c r="BD85" s="29">
        <v>0</v>
      </c>
      <c r="BE85" s="31">
        <v>0</v>
      </c>
    </row>
    <row r="86" spans="1:57" ht="13">
      <c r="A86" s="153">
        <v>44565</v>
      </c>
      <c r="B86" s="10" t="s">
        <v>185</v>
      </c>
      <c r="C86" s="10">
        <v>44565000036</v>
      </c>
      <c r="D86" s="10" t="s">
        <v>16</v>
      </c>
      <c r="E86" s="10" t="s">
        <v>38</v>
      </c>
      <c r="F86" s="153">
        <v>44565</v>
      </c>
      <c r="G86" s="116" t="s">
        <v>39</v>
      </c>
      <c r="H86" s="116">
        <v>288205.40759999998</v>
      </c>
      <c r="I86" s="116">
        <v>211794.59240000002</v>
      </c>
      <c r="J86" s="116">
        <v>500000</v>
      </c>
      <c r="K86" s="219">
        <v>238205.40759999998</v>
      </c>
      <c r="L86" s="116">
        <v>0</v>
      </c>
      <c r="M86" s="31">
        <v>-171000</v>
      </c>
      <c r="N86" s="336">
        <v>-171000</v>
      </c>
      <c r="O86" s="336">
        <v>171000</v>
      </c>
      <c r="P86" s="219">
        <v>0</v>
      </c>
      <c r="Q86" s="332">
        <v>450</v>
      </c>
      <c r="R86" s="219">
        <v>380</v>
      </c>
      <c r="S86" s="332">
        <v>0</v>
      </c>
      <c r="T86" s="219">
        <v>0</v>
      </c>
      <c r="U86" s="332">
        <v>0</v>
      </c>
      <c r="V86" s="332">
        <v>0</v>
      </c>
      <c r="W86" s="370">
        <v>0</v>
      </c>
      <c r="X86" s="370">
        <v>10</v>
      </c>
      <c r="Y86" s="370">
        <v>0</v>
      </c>
      <c r="Z86" s="370">
        <v>0</v>
      </c>
      <c r="AA86" s="370">
        <v>0</v>
      </c>
      <c r="AB86" s="370">
        <v>390</v>
      </c>
      <c r="AC86" s="370">
        <v>0</v>
      </c>
      <c r="AD86" s="370">
        <v>0</v>
      </c>
      <c r="AE86" s="370">
        <v>0</v>
      </c>
      <c r="AF86" s="370">
        <v>-380</v>
      </c>
      <c r="AG86" s="31">
        <v>380</v>
      </c>
      <c r="AH86" s="31">
        <v>450</v>
      </c>
      <c r="AI86" s="31">
        <v>1</v>
      </c>
      <c r="AJ86" s="370">
        <v>1</v>
      </c>
      <c r="AK86" s="219">
        <v>450</v>
      </c>
      <c r="AL86" s="219">
        <v>0</v>
      </c>
      <c r="AM86" s="219">
        <v>0</v>
      </c>
      <c r="AN86" s="219">
        <v>0</v>
      </c>
      <c r="AO86" s="116">
        <v>0</v>
      </c>
      <c r="AP86" s="116">
        <v>0</v>
      </c>
      <c r="AQ86" s="116">
        <v>4</v>
      </c>
      <c r="AR86" s="116">
        <v>171000</v>
      </c>
      <c r="AS86" s="116">
        <v>175500</v>
      </c>
      <c r="AT86" s="116">
        <v>0</v>
      </c>
      <c r="AU86" s="385">
        <v>241871.57500000001</v>
      </c>
      <c r="AV86" s="332">
        <v>-5000</v>
      </c>
      <c r="AW86" s="332">
        <v>236871.57500000001</v>
      </c>
      <c r="AX86" s="332">
        <v>-171000</v>
      </c>
      <c r="AY86" s="332">
        <v>0</v>
      </c>
      <c r="AZ86" s="332">
        <v>0</v>
      </c>
      <c r="BA86" s="332">
        <v>0</v>
      </c>
      <c r="BB86" s="31">
        <v>288204.72510231682</v>
      </c>
      <c r="BC86" s="31">
        <v>288204.72510231682</v>
      </c>
      <c r="BD86" s="29">
        <v>0</v>
      </c>
      <c r="BE86" s="31">
        <v>525076.98259999999</v>
      </c>
    </row>
    <row r="87" spans="1:57" ht="13">
      <c r="A87" s="153">
        <v>44565</v>
      </c>
      <c r="B87" s="10" t="s">
        <v>186</v>
      </c>
      <c r="C87" s="10">
        <v>44561000008</v>
      </c>
      <c r="D87" s="10" t="s">
        <v>64</v>
      </c>
      <c r="E87" s="10" t="s">
        <v>64</v>
      </c>
      <c r="F87" s="153">
        <v>44561</v>
      </c>
      <c r="G87" s="116" t="s">
        <v>39</v>
      </c>
      <c r="H87" s="116">
        <v>500000</v>
      </c>
      <c r="I87" s="116">
        <v>0</v>
      </c>
      <c r="J87" s="116">
        <v>500000</v>
      </c>
      <c r="K87" s="219">
        <v>0</v>
      </c>
      <c r="L87" s="116">
        <v>0</v>
      </c>
      <c r="M87" s="31">
        <v>500000</v>
      </c>
      <c r="N87" s="336">
        <v>500000</v>
      </c>
      <c r="O87" s="336">
        <v>0</v>
      </c>
      <c r="P87" s="219">
        <v>0</v>
      </c>
      <c r="Q87" s="332">
        <v>0</v>
      </c>
      <c r="R87" s="219">
        <v>0</v>
      </c>
      <c r="S87" s="332">
        <v>0</v>
      </c>
      <c r="T87" s="219">
        <v>0</v>
      </c>
      <c r="U87" s="332">
        <v>0</v>
      </c>
      <c r="V87" s="332">
        <v>0</v>
      </c>
      <c r="W87" s="370">
        <v>0</v>
      </c>
      <c r="X87" s="370">
        <v>0</v>
      </c>
      <c r="Y87" s="370">
        <v>0</v>
      </c>
      <c r="Z87" s="370">
        <v>0</v>
      </c>
      <c r="AA87" s="370">
        <v>0</v>
      </c>
      <c r="AB87" s="370">
        <v>0</v>
      </c>
      <c r="AC87" s="370">
        <v>0</v>
      </c>
      <c r="AD87" s="370">
        <v>0</v>
      </c>
      <c r="AE87" s="370">
        <v>0</v>
      </c>
      <c r="AF87" s="370">
        <v>0</v>
      </c>
      <c r="AG87" s="31">
        <v>0</v>
      </c>
      <c r="AH87" s="31">
        <v>1</v>
      </c>
      <c r="AI87" s="31">
        <v>0</v>
      </c>
      <c r="AJ87" s="370">
        <v>1</v>
      </c>
      <c r="AK87" s="219">
        <v>0</v>
      </c>
      <c r="AL87" s="219">
        <v>0</v>
      </c>
      <c r="AM87" s="219">
        <v>0</v>
      </c>
      <c r="AN87" s="219">
        <v>0</v>
      </c>
      <c r="AO87" s="116">
        <v>0</v>
      </c>
      <c r="AP87" s="116">
        <v>0</v>
      </c>
      <c r="AQ87" s="116">
        <v>1</v>
      </c>
      <c r="AR87" s="116">
        <v>0</v>
      </c>
      <c r="AS87" s="116">
        <v>0</v>
      </c>
      <c r="AT87" s="116">
        <v>1</v>
      </c>
      <c r="AU87" s="385">
        <v>0</v>
      </c>
      <c r="AV87" s="332">
        <v>0</v>
      </c>
      <c r="AW87" s="332">
        <v>0</v>
      </c>
      <c r="AX87" s="332">
        <v>500000</v>
      </c>
      <c r="AY87" s="332">
        <v>0</v>
      </c>
      <c r="AZ87" s="332">
        <v>0</v>
      </c>
      <c r="BA87" s="332">
        <v>0</v>
      </c>
      <c r="BB87" s="31">
        <v>500000</v>
      </c>
      <c r="BC87" s="31">
        <v>0</v>
      </c>
      <c r="BD87" s="29">
        <v>0</v>
      </c>
      <c r="BE87" s="31">
        <v>0</v>
      </c>
    </row>
    <row r="88" spans="1:57" ht="13">
      <c r="A88" s="153">
        <v>44565</v>
      </c>
      <c r="B88" s="10" t="s">
        <v>186</v>
      </c>
      <c r="C88" s="10">
        <v>44563000037</v>
      </c>
      <c r="D88" s="10" t="s">
        <v>16</v>
      </c>
      <c r="E88" s="10" t="s">
        <v>0</v>
      </c>
      <c r="F88" s="153">
        <v>44563</v>
      </c>
      <c r="G88" s="116" t="s">
        <v>41</v>
      </c>
      <c r="H88" s="116">
        <v>409954.46750000003</v>
      </c>
      <c r="I88" s="116">
        <v>90045.532500000001</v>
      </c>
      <c r="J88" s="116">
        <v>500000</v>
      </c>
      <c r="K88" s="219">
        <v>409954.46750000003</v>
      </c>
      <c r="L88" s="116">
        <v>0</v>
      </c>
      <c r="M88" s="31">
        <v>-90045.532500000001</v>
      </c>
      <c r="N88" s="336">
        <v>-90045.532500000001</v>
      </c>
      <c r="O88" s="336">
        <v>90045.532500000001</v>
      </c>
      <c r="P88" s="219">
        <v>0</v>
      </c>
      <c r="Q88" s="332">
        <v>3001.51775</v>
      </c>
      <c r="R88" s="219">
        <v>30</v>
      </c>
      <c r="S88" s="332">
        <v>0</v>
      </c>
      <c r="T88" s="219">
        <v>0</v>
      </c>
      <c r="U88" s="332">
        <v>0</v>
      </c>
      <c r="V88" s="332">
        <v>0</v>
      </c>
      <c r="W88" s="370">
        <v>0</v>
      </c>
      <c r="X88" s="370">
        <v>0</v>
      </c>
      <c r="Y88" s="370">
        <v>0</v>
      </c>
      <c r="Z88" s="370">
        <v>0</v>
      </c>
      <c r="AA88" s="370">
        <v>0</v>
      </c>
      <c r="AB88" s="370">
        <v>30</v>
      </c>
      <c r="AC88" s="370">
        <v>0</v>
      </c>
      <c r="AD88" s="370">
        <v>0</v>
      </c>
      <c r="AE88" s="370">
        <v>0</v>
      </c>
      <c r="AF88" s="370">
        <v>-30</v>
      </c>
      <c r="AG88" s="31">
        <v>30</v>
      </c>
      <c r="AH88" s="31">
        <v>407.48</v>
      </c>
      <c r="AI88" s="31">
        <v>0</v>
      </c>
      <c r="AJ88" s="370">
        <v>7.7937500000000002</v>
      </c>
      <c r="AK88" s="219">
        <v>407.48</v>
      </c>
      <c r="AL88" s="219">
        <v>0</v>
      </c>
      <c r="AM88" s="219">
        <v>0</v>
      </c>
      <c r="AN88" s="219">
        <v>0</v>
      </c>
      <c r="AO88" s="116">
        <v>0</v>
      </c>
      <c r="AP88" s="116">
        <v>0</v>
      </c>
      <c r="AQ88" s="116">
        <v>2</v>
      </c>
      <c r="AR88" s="116">
        <v>95273.91750000001</v>
      </c>
      <c r="AS88" s="116">
        <v>95273.91750000001</v>
      </c>
      <c r="AT88" s="116">
        <v>1</v>
      </c>
      <c r="AU88" s="385">
        <v>0</v>
      </c>
      <c r="AV88" s="332">
        <v>0</v>
      </c>
      <c r="AW88" s="332">
        <v>0</v>
      </c>
      <c r="AX88" s="332">
        <v>-95273.91750000001</v>
      </c>
      <c r="AY88" s="332">
        <v>0</v>
      </c>
      <c r="AZ88" s="332">
        <v>0</v>
      </c>
      <c r="BA88" s="332">
        <v>0</v>
      </c>
      <c r="BB88" s="31">
        <v>409954.46750000003</v>
      </c>
      <c r="BC88" s="31">
        <v>0</v>
      </c>
      <c r="BD88" s="29">
        <v>0</v>
      </c>
      <c r="BE88" s="31">
        <v>0</v>
      </c>
    </row>
    <row r="89" spans="1:57" ht="13">
      <c r="A89" s="153">
        <v>44565</v>
      </c>
      <c r="B89" s="10" t="s">
        <v>186</v>
      </c>
      <c r="C89" s="10">
        <v>44563000038</v>
      </c>
      <c r="D89" s="10" t="s">
        <v>16</v>
      </c>
      <c r="E89" s="10" t="s">
        <v>38</v>
      </c>
      <c r="F89" s="153">
        <v>44563</v>
      </c>
      <c r="G89" s="116" t="s">
        <v>39</v>
      </c>
      <c r="H89" s="116">
        <v>396154.46750000003</v>
      </c>
      <c r="I89" s="116">
        <v>103845.5325</v>
      </c>
      <c r="J89" s="116">
        <v>500000</v>
      </c>
      <c r="K89" s="219">
        <v>396154.46750000003</v>
      </c>
      <c r="L89" s="116">
        <v>0</v>
      </c>
      <c r="M89" s="31">
        <v>-13800</v>
      </c>
      <c r="N89" s="336">
        <v>-13800</v>
      </c>
      <c r="O89" s="336">
        <v>13800</v>
      </c>
      <c r="P89" s="219">
        <v>0</v>
      </c>
      <c r="Q89" s="332">
        <v>460</v>
      </c>
      <c r="R89" s="219">
        <v>30</v>
      </c>
      <c r="S89" s="332">
        <v>0</v>
      </c>
      <c r="T89" s="219">
        <v>0</v>
      </c>
      <c r="U89" s="332">
        <v>0</v>
      </c>
      <c r="V89" s="332">
        <v>0</v>
      </c>
      <c r="W89" s="370">
        <v>0</v>
      </c>
      <c r="X89" s="370">
        <v>0</v>
      </c>
      <c r="Y89" s="370">
        <v>0</v>
      </c>
      <c r="Z89" s="370">
        <v>0</v>
      </c>
      <c r="AA89" s="370">
        <v>0</v>
      </c>
      <c r="AB89" s="370">
        <v>30</v>
      </c>
      <c r="AC89" s="370">
        <v>0</v>
      </c>
      <c r="AD89" s="370">
        <v>0</v>
      </c>
      <c r="AE89" s="370">
        <v>0</v>
      </c>
      <c r="AF89" s="370">
        <v>-30</v>
      </c>
      <c r="AG89" s="31">
        <v>30</v>
      </c>
      <c r="AH89" s="31">
        <v>450</v>
      </c>
      <c r="AI89" s="31">
        <v>0</v>
      </c>
      <c r="AJ89" s="370">
        <v>1</v>
      </c>
      <c r="AK89" s="219">
        <v>450</v>
      </c>
      <c r="AL89" s="219">
        <v>0</v>
      </c>
      <c r="AM89" s="219">
        <v>0</v>
      </c>
      <c r="AN89" s="219">
        <v>0</v>
      </c>
      <c r="AO89" s="116">
        <v>0</v>
      </c>
      <c r="AP89" s="116">
        <v>0</v>
      </c>
      <c r="AQ89" s="116">
        <v>3</v>
      </c>
      <c r="AR89" s="116">
        <v>13500</v>
      </c>
      <c r="AS89" s="116">
        <v>13500</v>
      </c>
      <c r="AT89" s="116">
        <v>1</v>
      </c>
      <c r="AU89" s="385">
        <v>0</v>
      </c>
      <c r="AV89" s="332">
        <v>0</v>
      </c>
      <c r="AW89" s="332">
        <v>0</v>
      </c>
      <c r="AX89" s="332">
        <v>-13500</v>
      </c>
      <c r="AY89" s="332">
        <v>0</v>
      </c>
      <c r="AZ89" s="332">
        <v>0</v>
      </c>
      <c r="BA89" s="332">
        <v>0</v>
      </c>
      <c r="BB89" s="31">
        <v>396154.46750000003</v>
      </c>
      <c r="BC89" s="31">
        <v>0</v>
      </c>
      <c r="BD89" s="29">
        <v>0</v>
      </c>
      <c r="BE89" s="31">
        <v>0</v>
      </c>
    </row>
    <row r="90" spans="1:57" ht="13">
      <c r="A90" s="153">
        <v>44565</v>
      </c>
      <c r="B90" s="10" t="s">
        <v>186</v>
      </c>
      <c r="C90" s="10">
        <v>44564000045</v>
      </c>
      <c r="D90" s="10" t="s">
        <v>18</v>
      </c>
      <c r="E90" s="10" t="s">
        <v>7</v>
      </c>
      <c r="F90" s="153">
        <v>44564</v>
      </c>
      <c r="G90" s="116" t="s">
        <v>41</v>
      </c>
      <c r="H90" s="116">
        <v>365251.58795000002</v>
      </c>
      <c r="I90" s="116">
        <v>134748.41205000001</v>
      </c>
      <c r="J90" s="116">
        <v>500000</v>
      </c>
      <c r="K90" s="219">
        <v>365251.58795000002</v>
      </c>
      <c r="L90" s="116">
        <v>0</v>
      </c>
      <c r="M90" s="31">
        <v>-30902.879550000001</v>
      </c>
      <c r="N90" s="336">
        <v>-30902.879550000005</v>
      </c>
      <c r="O90" s="336">
        <v>0</v>
      </c>
      <c r="P90" s="219">
        <v>0</v>
      </c>
      <c r="Q90" s="332">
        <v>0</v>
      </c>
      <c r="R90" s="219">
        <v>0</v>
      </c>
      <c r="S90" s="332">
        <v>13.21</v>
      </c>
      <c r="T90" s="219">
        <v>30</v>
      </c>
      <c r="U90" s="332">
        <v>0</v>
      </c>
      <c r="V90" s="332">
        <v>0</v>
      </c>
      <c r="W90" s="370">
        <v>0</v>
      </c>
      <c r="X90" s="370">
        <v>0</v>
      </c>
      <c r="Y90" s="370">
        <v>0</v>
      </c>
      <c r="Z90" s="370">
        <v>0</v>
      </c>
      <c r="AA90" s="370">
        <v>0</v>
      </c>
      <c r="AB90" s="370">
        <v>0</v>
      </c>
      <c r="AC90" s="370">
        <v>30</v>
      </c>
      <c r="AD90" s="370">
        <v>0</v>
      </c>
      <c r="AE90" s="370">
        <v>0</v>
      </c>
      <c r="AF90" s="370">
        <v>-30</v>
      </c>
      <c r="AG90" s="31">
        <v>30</v>
      </c>
      <c r="AH90" s="31">
        <v>21.29</v>
      </c>
      <c r="AI90" s="31">
        <v>0</v>
      </c>
      <c r="AJ90" s="370">
        <v>7.7937500000000002</v>
      </c>
      <c r="AK90" s="219">
        <v>0</v>
      </c>
      <c r="AL90" s="219">
        <v>21.29</v>
      </c>
      <c r="AM90" s="219">
        <v>23.71</v>
      </c>
      <c r="AN90" s="219">
        <v>0</v>
      </c>
      <c r="AO90" s="116">
        <v>0</v>
      </c>
      <c r="AP90" s="116">
        <v>0</v>
      </c>
      <c r="AQ90" s="116">
        <v>4</v>
      </c>
      <c r="AR90" s="116">
        <v>49778.681250000001</v>
      </c>
      <c r="AS90" s="116">
        <v>49778.681250000001</v>
      </c>
      <c r="AT90" s="116">
        <v>1</v>
      </c>
      <c r="AU90" s="385">
        <v>0</v>
      </c>
      <c r="AV90" s="332">
        <v>0</v>
      </c>
      <c r="AW90" s="332">
        <v>0</v>
      </c>
      <c r="AX90" s="332">
        <v>-52607.8125</v>
      </c>
      <c r="AY90" s="332">
        <v>0</v>
      </c>
      <c r="AZ90" s="332">
        <v>0</v>
      </c>
      <c r="BA90" s="332">
        <v>0</v>
      </c>
      <c r="BB90" s="31">
        <v>365251.58795000002</v>
      </c>
      <c r="BC90" s="31">
        <v>0</v>
      </c>
      <c r="BD90" s="29">
        <v>0</v>
      </c>
      <c r="BE90" s="31">
        <v>0</v>
      </c>
    </row>
    <row r="91" spans="1:57" ht="13">
      <c r="A91" s="153">
        <v>44565</v>
      </c>
      <c r="B91" s="10" t="s">
        <v>186</v>
      </c>
      <c r="C91" s="10">
        <v>44565000046</v>
      </c>
      <c r="D91" s="10" t="s">
        <v>18</v>
      </c>
      <c r="E91" s="10" t="s">
        <v>7</v>
      </c>
      <c r="F91" s="153">
        <v>44565</v>
      </c>
      <c r="G91" s="116" t="s">
        <v>41</v>
      </c>
      <c r="H91" s="116">
        <v>382070.50044999999</v>
      </c>
      <c r="I91" s="116">
        <v>117929.49955000001</v>
      </c>
      <c r="J91" s="116">
        <v>500000</v>
      </c>
      <c r="K91" s="219">
        <v>382070.50044999999</v>
      </c>
      <c r="L91" s="116">
        <v>0</v>
      </c>
      <c r="M91" s="31">
        <v>16818.912500000002</v>
      </c>
      <c r="N91" s="336">
        <v>16818.912500000002</v>
      </c>
      <c r="O91" s="336">
        <v>0</v>
      </c>
      <c r="P91" s="219">
        <v>0</v>
      </c>
      <c r="Q91" s="332">
        <v>0</v>
      </c>
      <c r="R91" s="219">
        <v>0</v>
      </c>
      <c r="S91" s="332">
        <v>10.79</v>
      </c>
      <c r="T91" s="219">
        <v>-20</v>
      </c>
      <c r="U91" s="332">
        <v>0</v>
      </c>
      <c r="V91" s="332">
        <v>0</v>
      </c>
      <c r="W91" s="370">
        <v>0</v>
      </c>
      <c r="X91" s="370">
        <v>0</v>
      </c>
      <c r="Y91" s="370">
        <v>30</v>
      </c>
      <c r="Z91" s="370">
        <v>0</v>
      </c>
      <c r="AA91" s="370">
        <v>0</v>
      </c>
      <c r="AB91" s="370">
        <v>0</v>
      </c>
      <c r="AC91" s="370">
        <v>10</v>
      </c>
      <c r="AD91" s="370">
        <v>0</v>
      </c>
      <c r="AE91" s="370">
        <v>0</v>
      </c>
      <c r="AF91" s="370">
        <v>20</v>
      </c>
      <c r="AG91" s="31">
        <v>-20</v>
      </c>
      <c r="AH91" s="31"/>
      <c r="AI91" s="31">
        <v>1</v>
      </c>
      <c r="AJ91" s="370">
        <v>7.7937500000000002</v>
      </c>
      <c r="AK91" s="219">
        <v>0</v>
      </c>
      <c r="AL91" s="219">
        <v>21.29</v>
      </c>
      <c r="AM91" s="219">
        <v>23.71</v>
      </c>
      <c r="AN91" s="219">
        <v>0</v>
      </c>
      <c r="AO91" s="116">
        <v>0</v>
      </c>
      <c r="AP91" s="116">
        <v>0</v>
      </c>
      <c r="AQ91" s="116">
        <v>4</v>
      </c>
      <c r="AR91" s="116">
        <v>0</v>
      </c>
      <c r="AS91" s="116">
        <v>49778.681250000001</v>
      </c>
      <c r="AT91" s="116">
        <v>0</v>
      </c>
      <c r="AU91" s="385">
        <v>158552.59875</v>
      </c>
      <c r="AV91" s="332">
        <v>0</v>
      </c>
      <c r="AW91" s="332">
        <v>158552.59875</v>
      </c>
      <c r="AX91" s="332">
        <v>35071.875</v>
      </c>
      <c r="AY91" s="332">
        <v>0</v>
      </c>
      <c r="AZ91" s="332">
        <v>0</v>
      </c>
      <c r="BA91" s="332">
        <v>0</v>
      </c>
      <c r="BB91" s="31">
        <v>382070.50044999999</v>
      </c>
      <c r="BC91" s="31">
        <v>382070.50044999999</v>
      </c>
      <c r="BD91" s="29">
        <v>0</v>
      </c>
      <c r="BE91" s="31">
        <v>540623.09920000006</v>
      </c>
    </row>
    <row r="92" spans="1:57" ht="13">
      <c r="A92" s="153">
        <v>44565</v>
      </c>
      <c r="B92" s="10" t="s">
        <v>187</v>
      </c>
      <c r="C92" s="10">
        <v>44561000009</v>
      </c>
      <c r="D92" s="10" t="s">
        <v>64</v>
      </c>
      <c r="E92" s="10" t="s">
        <v>64</v>
      </c>
      <c r="F92" s="153">
        <v>44561</v>
      </c>
      <c r="G92" s="116" t="s">
        <v>39</v>
      </c>
      <c r="H92" s="116">
        <v>500000</v>
      </c>
      <c r="I92" s="116">
        <v>0</v>
      </c>
      <c r="J92" s="116">
        <v>500000</v>
      </c>
      <c r="K92" s="219">
        <v>0</v>
      </c>
      <c r="L92" s="116">
        <v>0</v>
      </c>
      <c r="M92" s="31">
        <v>500000</v>
      </c>
      <c r="N92" s="336">
        <v>500000</v>
      </c>
      <c r="O92" s="336">
        <v>0</v>
      </c>
      <c r="P92" s="219">
        <v>0</v>
      </c>
      <c r="Q92" s="332">
        <v>0</v>
      </c>
      <c r="R92" s="219">
        <v>0</v>
      </c>
      <c r="S92" s="332">
        <v>0</v>
      </c>
      <c r="T92" s="219">
        <v>0</v>
      </c>
      <c r="U92" s="332">
        <v>0</v>
      </c>
      <c r="V92" s="332">
        <v>0</v>
      </c>
      <c r="W92" s="370">
        <v>0</v>
      </c>
      <c r="X92" s="370">
        <v>0</v>
      </c>
      <c r="Y92" s="370">
        <v>0</v>
      </c>
      <c r="Z92" s="370">
        <v>0</v>
      </c>
      <c r="AA92" s="370">
        <v>0</v>
      </c>
      <c r="AB92" s="370">
        <v>0</v>
      </c>
      <c r="AC92" s="370">
        <v>0</v>
      </c>
      <c r="AD92" s="370">
        <v>0</v>
      </c>
      <c r="AE92" s="370">
        <v>0</v>
      </c>
      <c r="AF92" s="370">
        <v>0</v>
      </c>
      <c r="AG92" s="31">
        <v>0</v>
      </c>
      <c r="AH92" s="31">
        <v>1</v>
      </c>
      <c r="AI92" s="31">
        <v>1</v>
      </c>
      <c r="AJ92" s="370">
        <v>1</v>
      </c>
      <c r="AK92" s="219">
        <v>0</v>
      </c>
      <c r="AL92" s="219">
        <v>0</v>
      </c>
      <c r="AM92" s="219">
        <v>0</v>
      </c>
      <c r="AN92" s="219">
        <v>0</v>
      </c>
      <c r="AO92" s="116">
        <v>0</v>
      </c>
      <c r="AP92" s="116">
        <v>0</v>
      </c>
      <c r="AQ92" s="116">
        <v>1</v>
      </c>
      <c r="AR92" s="116">
        <v>0</v>
      </c>
      <c r="AS92" s="116">
        <v>0</v>
      </c>
      <c r="AT92" s="116">
        <v>1</v>
      </c>
      <c r="AU92" s="385">
        <v>0</v>
      </c>
      <c r="AV92" s="332">
        <v>0</v>
      </c>
      <c r="AW92" s="332">
        <v>0</v>
      </c>
      <c r="AX92" s="332">
        <v>500000</v>
      </c>
      <c r="AY92" s="332">
        <v>0</v>
      </c>
      <c r="AZ92" s="332">
        <v>0</v>
      </c>
      <c r="BA92" s="332">
        <v>0</v>
      </c>
      <c r="BB92" s="31">
        <v>500000</v>
      </c>
      <c r="BC92" s="31">
        <v>500000</v>
      </c>
      <c r="BD92" s="29">
        <v>0</v>
      </c>
      <c r="BE92" s="31">
        <v>500000</v>
      </c>
    </row>
    <row r="93" spans="1:57" ht="13">
      <c r="A93" s="153">
        <v>44565</v>
      </c>
      <c r="B93" s="10" t="s">
        <v>188</v>
      </c>
      <c r="C93" s="10">
        <v>44561000010</v>
      </c>
      <c r="D93" s="10" t="s">
        <v>64</v>
      </c>
      <c r="E93" s="10" t="s">
        <v>64</v>
      </c>
      <c r="F93" s="153">
        <v>44561</v>
      </c>
      <c r="G93" s="116" t="s">
        <v>39</v>
      </c>
      <c r="H93" s="116">
        <v>500000</v>
      </c>
      <c r="I93" s="116">
        <v>0</v>
      </c>
      <c r="J93" s="116">
        <v>500000</v>
      </c>
      <c r="K93" s="219">
        <v>0</v>
      </c>
      <c r="L93" s="116">
        <v>0</v>
      </c>
      <c r="M93" s="31">
        <v>500000</v>
      </c>
      <c r="N93" s="336">
        <v>500000</v>
      </c>
      <c r="O93" s="336">
        <v>0</v>
      </c>
      <c r="P93" s="219">
        <v>0</v>
      </c>
      <c r="Q93" s="332">
        <v>0</v>
      </c>
      <c r="R93" s="219">
        <v>0</v>
      </c>
      <c r="S93" s="332">
        <v>0</v>
      </c>
      <c r="T93" s="219">
        <v>0</v>
      </c>
      <c r="U93" s="332">
        <v>0</v>
      </c>
      <c r="V93" s="332">
        <v>0</v>
      </c>
      <c r="W93" s="370">
        <v>0</v>
      </c>
      <c r="X93" s="370">
        <v>0</v>
      </c>
      <c r="Y93" s="370">
        <v>0</v>
      </c>
      <c r="Z93" s="370">
        <v>0</v>
      </c>
      <c r="AA93" s="370">
        <v>0</v>
      </c>
      <c r="AB93" s="370">
        <v>0</v>
      </c>
      <c r="AC93" s="370">
        <v>0</v>
      </c>
      <c r="AD93" s="370">
        <v>0</v>
      </c>
      <c r="AE93" s="370">
        <v>0</v>
      </c>
      <c r="AF93" s="370">
        <v>0</v>
      </c>
      <c r="AG93" s="31">
        <v>0</v>
      </c>
      <c r="AH93" s="31">
        <v>1</v>
      </c>
      <c r="AI93" s="31">
        <v>1</v>
      </c>
      <c r="AJ93" s="370">
        <v>1</v>
      </c>
      <c r="AK93" s="219">
        <v>0</v>
      </c>
      <c r="AL93" s="219">
        <v>0</v>
      </c>
      <c r="AM93" s="219">
        <v>0</v>
      </c>
      <c r="AN93" s="219">
        <v>0</v>
      </c>
      <c r="AO93" s="116">
        <v>0</v>
      </c>
      <c r="AP93" s="116">
        <v>0</v>
      </c>
      <c r="AQ93" s="116">
        <v>1</v>
      </c>
      <c r="AR93" s="116">
        <v>0</v>
      </c>
      <c r="AS93" s="116">
        <v>0</v>
      </c>
      <c r="AT93" s="116">
        <v>1</v>
      </c>
      <c r="AU93" s="385">
        <v>0</v>
      </c>
      <c r="AV93" s="332">
        <v>0</v>
      </c>
      <c r="AW93" s="332">
        <v>0</v>
      </c>
      <c r="AX93" s="332">
        <v>500000</v>
      </c>
      <c r="AY93" s="332">
        <v>0</v>
      </c>
      <c r="AZ93" s="332">
        <v>0</v>
      </c>
      <c r="BA93" s="332">
        <v>0</v>
      </c>
      <c r="BB93" s="31">
        <v>500000</v>
      </c>
      <c r="BC93" s="31">
        <v>500000</v>
      </c>
      <c r="BD93" s="29">
        <v>0</v>
      </c>
      <c r="BE93" s="31">
        <v>500000</v>
      </c>
    </row>
    <row r="94" spans="1:57" ht="13">
      <c r="A94" s="153">
        <v>44566</v>
      </c>
      <c r="B94" s="10" t="s">
        <v>183</v>
      </c>
      <c r="C94" s="10">
        <v>44561000005</v>
      </c>
      <c r="D94" s="10" t="s">
        <v>64</v>
      </c>
      <c r="E94" s="10" t="s">
        <v>64</v>
      </c>
      <c r="F94" s="153">
        <v>44561</v>
      </c>
      <c r="G94" s="116" t="s">
        <v>39</v>
      </c>
      <c r="H94" s="116">
        <v>500000</v>
      </c>
      <c r="I94" s="116">
        <v>0</v>
      </c>
      <c r="J94" s="116">
        <v>500000</v>
      </c>
      <c r="K94" s="219">
        <v>0</v>
      </c>
      <c r="L94" s="116">
        <v>0</v>
      </c>
      <c r="M94" s="31">
        <v>500000</v>
      </c>
      <c r="N94" s="336">
        <v>500000</v>
      </c>
      <c r="O94" s="336">
        <v>0</v>
      </c>
      <c r="P94" s="219">
        <v>0</v>
      </c>
      <c r="Q94" s="332">
        <v>0</v>
      </c>
      <c r="R94" s="219">
        <v>0</v>
      </c>
      <c r="S94" s="332">
        <v>0</v>
      </c>
      <c r="T94" s="219">
        <v>0</v>
      </c>
      <c r="U94" s="332">
        <v>0</v>
      </c>
      <c r="V94" s="332">
        <v>0</v>
      </c>
      <c r="W94" s="370">
        <v>0</v>
      </c>
      <c r="X94" s="370">
        <v>0</v>
      </c>
      <c r="Y94" s="370">
        <v>0</v>
      </c>
      <c r="Z94" s="370">
        <v>0</v>
      </c>
      <c r="AA94" s="370">
        <v>0</v>
      </c>
      <c r="AB94" s="370">
        <v>0</v>
      </c>
      <c r="AC94" s="370">
        <v>0</v>
      </c>
      <c r="AD94" s="370">
        <v>0</v>
      </c>
      <c r="AE94" s="370">
        <v>0</v>
      </c>
      <c r="AF94" s="370">
        <v>0</v>
      </c>
      <c r="AG94" s="31">
        <v>0</v>
      </c>
      <c r="AH94" s="31">
        <v>1</v>
      </c>
      <c r="AI94" s="31">
        <v>0</v>
      </c>
      <c r="AJ94" s="370">
        <v>1</v>
      </c>
      <c r="AK94" s="219">
        <v>0</v>
      </c>
      <c r="AL94" s="219">
        <v>0</v>
      </c>
      <c r="AM94" s="219">
        <v>0</v>
      </c>
      <c r="AN94" s="219">
        <v>0</v>
      </c>
      <c r="AO94" s="116">
        <v>0</v>
      </c>
      <c r="AP94" s="116">
        <v>0</v>
      </c>
      <c r="AQ94" s="116">
        <v>1</v>
      </c>
      <c r="AR94" s="116">
        <v>0</v>
      </c>
      <c r="AS94" s="116">
        <v>0</v>
      </c>
      <c r="AT94" s="116">
        <v>1</v>
      </c>
      <c r="AU94" s="385">
        <v>0</v>
      </c>
      <c r="AV94" s="332">
        <v>0</v>
      </c>
      <c r="AW94" s="332">
        <v>0</v>
      </c>
      <c r="AX94" s="332">
        <v>500000</v>
      </c>
      <c r="AY94" s="332">
        <v>0</v>
      </c>
      <c r="AZ94" s="332">
        <v>0</v>
      </c>
      <c r="BA94" s="332">
        <v>0</v>
      </c>
      <c r="BB94" s="31">
        <v>499993.70101640833</v>
      </c>
      <c r="BC94" s="31">
        <v>0</v>
      </c>
      <c r="BD94" s="29">
        <v>0</v>
      </c>
      <c r="BE94" s="29">
        <v>0</v>
      </c>
    </row>
    <row r="95" spans="1:57" ht="13">
      <c r="A95" s="153">
        <v>44566</v>
      </c>
      <c r="B95" s="10" t="s">
        <v>183</v>
      </c>
      <c r="C95" s="10">
        <v>44562000011</v>
      </c>
      <c r="D95" s="10" t="s">
        <v>16</v>
      </c>
      <c r="E95" s="10" t="s">
        <v>42</v>
      </c>
      <c r="F95" s="153">
        <v>44562</v>
      </c>
      <c r="G95" s="116" t="s">
        <v>41</v>
      </c>
      <c r="H95" s="116">
        <v>447610.20799999998</v>
      </c>
      <c r="I95" s="116">
        <v>52389.792000000001</v>
      </c>
      <c r="J95" s="116">
        <v>500000</v>
      </c>
      <c r="K95" s="219">
        <v>447610.20799999998</v>
      </c>
      <c r="L95" s="116">
        <v>0</v>
      </c>
      <c r="M95" s="31">
        <v>-52389.792000000001</v>
      </c>
      <c r="N95" s="336">
        <v>-52389.792000000001</v>
      </c>
      <c r="O95" s="336">
        <v>52389.792000000001</v>
      </c>
      <c r="P95" s="219">
        <v>0</v>
      </c>
      <c r="Q95" s="332">
        <v>26194.896000000001</v>
      </c>
      <c r="R95" s="219">
        <v>2</v>
      </c>
      <c r="S95" s="332">
        <v>0</v>
      </c>
      <c r="T95" s="219">
        <v>0</v>
      </c>
      <c r="U95" s="332">
        <v>0</v>
      </c>
      <c r="V95" s="332">
        <v>0</v>
      </c>
      <c r="W95" s="370">
        <v>0</v>
      </c>
      <c r="X95" s="370">
        <v>0</v>
      </c>
      <c r="Y95" s="370">
        <v>0</v>
      </c>
      <c r="Z95" s="370">
        <v>0</v>
      </c>
      <c r="AA95" s="370">
        <v>0</v>
      </c>
      <c r="AB95" s="370">
        <v>2</v>
      </c>
      <c r="AC95" s="370">
        <v>0</v>
      </c>
      <c r="AD95" s="370">
        <v>0</v>
      </c>
      <c r="AE95" s="370">
        <v>0</v>
      </c>
      <c r="AF95" s="370">
        <v>-2</v>
      </c>
      <c r="AG95" s="31">
        <v>2</v>
      </c>
      <c r="AH95" s="31">
        <v>3287.14</v>
      </c>
      <c r="AI95" s="31">
        <v>0</v>
      </c>
      <c r="AJ95" s="370">
        <v>7.7952399999999997</v>
      </c>
      <c r="AK95" s="219">
        <v>3287.14</v>
      </c>
      <c r="AL95" s="219">
        <v>0</v>
      </c>
      <c r="AM95" s="219">
        <v>0</v>
      </c>
      <c r="AN95" s="219">
        <v>0</v>
      </c>
      <c r="AO95" s="116">
        <v>0</v>
      </c>
      <c r="AP95" s="116">
        <v>0</v>
      </c>
      <c r="AQ95" s="116">
        <v>2</v>
      </c>
      <c r="AR95" s="116">
        <v>51248.090427199997</v>
      </c>
      <c r="AS95" s="116">
        <v>51248.090427199997</v>
      </c>
      <c r="AT95" s="116">
        <v>1</v>
      </c>
      <c r="AU95" s="385">
        <v>0</v>
      </c>
      <c r="AV95" s="332">
        <v>0</v>
      </c>
      <c r="AW95" s="332">
        <v>0</v>
      </c>
      <c r="AX95" s="332">
        <v>-51248.090427199997</v>
      </c>
      <c r="AY95" s="332">
        <v>0</v>
      </c>
      <c r="AZ95" s="332">
        <v>0</v>
      </c>
      <c r="BA95" s="332">
        <v>0</v>
      </c>
      <c r="BB95" s="31">
        <v>447603.90901640832</v>
      </c>
      <c r="BC95" s="31">
        <v>0</v>
      </c>
      <c r="BD95" s="29">
        <v>0</v>
      </c>
      <c r="BE95" s="29">
        <v>0</v>
      </c>
    </row>
    <row r="96" spans="1:57" ht="13">
      <c r="A96" s="153">
        <v>44566</v>
      </c>
      <c r="B96" s="10" t="s">
        <v>183</v>
      </c>
      <c r="C96" s="10">
        <v>44563000012</v>
      </c>
      <c r="D96" s="10" t="s">
        <v>16</v>
      </c>
      <c r="E96" s="10" t="s">
        <v>38</v>
      </c>
      <c r="F96" s="153">
        <v>44563</v>
      </c>
      <c r="G96" s="116" t="s">
        <v>39</v>
      </c>
      <c r="H96" s="116">
        <v>443010.20799999998</v>
      </c>
      <c r="I96" s="116">
        <v>56989.792000000001</v>
      </c>
      <c r="J96" s="116">
        <v>500000</v>
      </c>
      <c r="K96" s="219">
        <v>443010.20799999998</v>
      </c>
      <c r="L96" s="116">
        <v>0</v>
      </c>
      <c r="M96" s="31">
        <v>-4600</v>
      </c>
      <c r="N96" s="336">
        <v>-4600</v>
      </c>
      <c r="O96" s="336">
        <v>4600</v>
      </c>
      <c r="P96" s="219">
        <v>0</v>
      </c>
      <c r="Q96" s="332">
        <v>460</v>
      </c>
      <c r="R96" s="219">
        <v>10</v>
      </c>
      <c r="S96" s="332">
        <v>0</v>
      </c>
      <c r="T96" s="219">
        <v>0</v>
      </c>
      <c r="U96" s="332">
        <v>0</v>
      </c>
      <c r="V96" s="332">
        <v>0</v>
      </c>
      <c r="W96" s="370">
        <v>0</v>
      </c>
      <c r="X96" s="370">
        <v>0</v>
      </c>
      <c r="Y96" s="370">
        <v>0</v>
      </c>
      <c r="Z96" s="370">
        <v>0</v>
      </c>
      <c r="AA96" s="370">
        <v>0</v>
      </c>
      <c r="AB96" s="370">
        <v>10</v>
      </c>
      <c r="AC96" s="370">
        <v>0</v>
      </c>
      <c r="AD96" s="370">
        <v>0</v>
      </c>
      <c r="AE96" s="370">
        <v>0</v>
      </c>
      <c r="AF96" s="370">
        <v>-10</v>
      </c>
      <c r="AG96" s="31">
        <v>10</v>
      </c>
      <c r="AH96" s="31">
        <v>430.6</v>
      </c>
      <c r="AI96" s="31">
        <v>0</v>
      </c>
      <c r="AJ96" s="370">
        <v>1</v>
      </c>
      <c r="AK96" s="219">
        <v>430.6</v>
      </c>
      <c r="AL96" s="219">
        <v>0</v>
      </c>
      <c r="AM96" s="219">
        <v>0</v>
      </c>
      <c r="AN96" s="219">
        <v>0</v>
      </c>
      <c r="AO96" s="116">
        <v>0</v>
      </c>
      <c r="AP96" s="116">
        <v>0</v>
      </c>
      <c r="AQ96" s="116">
        <v>3</v>
      </c>
      <c r="AR96" s="116">
        <v>4306</v>
      </c>
      <c r="AS96" s="116">
        <v>4306</v>
      </c>
      <c r="AT96" s="116">
        <v>1</v>
      </c>
      <c r="AU96" s="385">
        <v>0</v>
      </c>
      <c r="AV96" s="332">
        <v>0</v>
      </c>
      <c r="AW96" s="332">
        <v>0</v>
      </c>
      <c r="AX96" s="332">
        <v>-4306</v>
      </c>
      <c r="AY96" s="332">
        <v>0</v>
      </c>
      <c r="AZ96" s="332">
        <v>0</v>
      </c>
      <c r="BA96" s="332">
        <v>0</v>
      </c>
      <c r="BB96" s="31">
        <v>443003.90901640832</v>
      </c>
      <c r="BC96" s="31">
        <v>0</v>
      </c>
      <c r="BD96" s="29">
        <v>0</v>
      </c>
      <c r="BE96" s="31">
        <v>0</v>
      </c>
    </row>
    <row r="97" spans="1:57" ht="13">
      <c r="A97" s="153">
        <v>44566</v>
      </c>
      <c r="B97" s="10" t="s">
        <v>183</v>
      </c>
      <c r="C97" s="10">
        <v>44563000013</v>
      </c>
      <c r="D97" s="10" t="s">
        <v>16</v>
      </c>
      <c r="E97" s="10" t="s">
        <v>40</v>
      </c>
      <c r="F97" s="153">
        <v>44563</v>
      </c>
      <c r="G97" s="116" t="s">
        <v>29</v>
      </c>
      <c r="H97" s="116">
        <v>480735.87624999997</v>
      </c>
      <c r="I97" s="116">
        <v>19264.123750000006</v>
      </c>
      <c r="J97" s="116">
        <v>500000</v>
      </c>
      <c r="K97" s="219">
        <v>409884.53975</v>
      </c>
      <c r="L97" s="116">
        <v>0</v>
      </c>
      <c r="M97" s="31">
        <v>37725.668249999995</v>
      </c>
      <c r="N97" s="336">
        <v>-37725.668249999995</v>
      </c>
      <c r="O97" s="336">
        <v>0</v>
      </c>
      <c r="P97" s="219">
        <v>-37725.668249999995</v>
      </c>
      <c r="Q97" s="332">
        <v>2515.0445499999996</v>
      </c>
      <c r="R97" s="219">
        <v>-15</v>
      </c>
      <c r="S97" s="332">
        <v>0</v>
      </c>
      <c r="T97" s="219">
        <v>0</v>
      </c>
      <c r="U97" s="332">
        <v>0</v>
      </c>
      <c r="V97" s="332">
        <v>0</v>
      </c>
      <c r="W97" s="370">
        <v>0</v>
      </c>
      <c r="X97" s="370">
        <v>0</v>
      </c>
      <c r="Y97" s="370">
        <v>0</v>
      </c>
      <c r="Z97" s="370">
        <v>0</v>
      </c>
      <c r="AA97" s="370">
        <v>0</v>
      </c>
      <c r="AB97" s="370">
        <v>-15</v>
      </c>
      <c r="AC97" s="370">
        <v>0</v>
      </c>
      <c r="AD97" s="370">
        <v>0</v>
      </c>
      <c r="AE97" s="370">
        <v>0</v>
      </c>
      <c r="AF97" s="370">
        <v>-15</v>
      </c>
      <c r="AG97" s="31">
        <v>-15</v>
      </c>
      <c r="AH97" s="31">
        <v>2024</v>
      </c>
      <c r="AI97" s="31">
        <v>0</v>
      </c>
      <c r="AJ97" s="370">
        <v>1.224766</v>
      </c>
      <c r="AK97" s="219">
        <v>2024</v>
      </c>
      <c r="AL97" s="219">
        <v>0</v>
      </c>
      <c r="AM97" s="219">
        <v>0</v>
      </c>
      <c r="AN97" s="219">
        <v>0</v>
      </c>
      <c r="AO97" s="116">
        <v>0</v>
      </c>
      <c r="AP97" s="116">
        <v>0</v>
      </c>
      <c r="AQ97" s="116">
        <v>4</v>
      </c>
      <c r="AR97" s="116">
        <v>-37183.895759999999</v>
      </c>
      <c r="AS97" s="116">
        <v>-37183.895759999999</v>
      </c>
      <c r="AT97" s="116">
        <v>1</v>
      </c>
      <c r="AU97" s="385">
        <v>0</v>
      </c>
      <c r="AV97" s="332">
        <v>0</v>
      </c>
      <c r="AW97" s="332">
        <v>0</v>
      </c>
      <c r="AX97" s="332">
        <v>-37183.895759999999</v>
      </c>
      <c r="AY97" s="332">
        <v>0</v>
      </c>
      <c r="AZ97" s="332">
        <v>-6.29898359164231</v>
      </c>
      <c r="BA97" s="332">
        <v>0</v>
      </c>
      <c r="BB97" s="31">
        <v>480729.57726640831</v>
      </c>
      <c r="BC97" s="31">
        <v>0</v>
      </c>
      <c r="BD97" s="29">
        <v>0</v>
      </c>
      <c r="BE97" s="31">
        <v>0</v>
      </c>
    </row>
    <row r="98" spans="1:57" ht="13">
      <c r="A98" s="153">
        <v>44566</v>
      </c>
      <c r="B98" s="10" t="s">
        <v>183</v>
      </c>
      <c r="C98" s="10">
        <v>44563000014</v>
      </c>
      <c r="D98" s="10" t="s">
        <v>16</v>
      </c>
      <c r="E98" s="10" t="s">
        <v>36</v>
      </c>
      <c r="F98" s="153">
        <v>44563</v>
      </c>
      <c r="G98" s="116" t="s">
        <v>37</v>
      </c>
      <c r="H98" s="116">
        <v>416011.66724999994</v>
      </c>
      <c r="I98" s="116">
        <v>83988.332750000001</v>
      </c>
      <c r="J98" s="116">
        <v>499999.99999999994</v>
      </c>
      <c r="K98" s="219">
        <v>345160.33075000002</v>
      </c>
      <c r="L98" s="116">
        <v>0</v>
      </c>
      <c r="M98" s="31">
        <v>-64724.209000000003</v>
      </c>
      <c r="N98" s="336">
        <v>-64724.208999999995</v>
      </c>
      <c r="O98" s="336">
        <v>64724.209000000003</v>
      </c>
      <c r="P98" s="219">
        <v>0</v>
      </c>
      <c r="Q98" s="332">
        <v>6472.4209000000001</v>
      </c>
      <c r="R98" s="219">
        <v>10</v>
      </c>
      <c r="S98" s="332">
        <v>0</v>
      </c>
      <c r="T98" s="219">
        <v>0</v>
      </c>
      <c r="U98" s="332">
        <v>0</v>
      </c>
      <c r="V98" s="332">
        <v>0</v>
      </c>
      <c r="W98" s="370">
        <v>0</v>
      </c>
      <c r="X98" s="370">
        <v>0</v>
      </c>
      <c r="Y98" s="370">
        <v>0</v>
      </c>
      <c r="Z98" s="370">
        <v>0</v>
      </c>
      <c r="AA98" s="370">
        <v>0</v>
      </c>
      <c r="AB98" s="370">
        <v>10</v>
      </c>
      <c r="AC98" s="370">
        <v>0</v>
      </c>
      <c r="AD98" s="370">
        <v>0</v>
      </c>
      <c r="AE98" s="370">
        <v>0</v>
      </c>
      <c r="AF98" s="370">
        <v>-10</v>
      </c>
      <c r="AG98" s="31">
        <v>10</v>
      </c>
      <c r="AH98" s="31">
        <v>758</v>
      </c>
      <c r="AI98" s="31">
        <v>0</v>
      </c>
      <c r="AJ98" s="370">
        <v>8.8180150000000008</v>
      </c>
      <c r="AK98" s="219">
        <v>758</v>
      </c>
      <c r="AL98" s="219">
        <v>0</v>
      </c>
      <c r="AM98" s="219">
        <v>0</v>
      </c>
      <c r="AN98" s="219">
        <v>0</v>
      </c>
      <c r="AO98" s="116">
        <v>0</v>
      </c>
      <c r="AP98" s="116">
        <v>0</v>
      </c>
      <c r="AQ98" s="116">
        <v>5</v>
      </c>
      <c r="AR98" s="116">
        <v>66840.553700000004</v>
      </c>
      <c r="AS98" s="116">
        <v>60156.498330000002</v>
      </c>
      <c r="AT98" s="116">
        <v>1</v>
      </c>
      <c r="AU98" s="385">
        <v>0</v>
      </c>
      <c r="AV98" s="332">
        <v>0</v>
      </c>
      <c r="AW98" s="332">
        <v>0</v>
      </c>
      <c r="AX98" s="332">
        <v>-66840.553700000004</v>
      </c>
      <c r="AY98" s="332">
        <v>0</v>
      </c>
      <c r="AZ98" s="332">
        <v>0</v>
      </c>
      <c r="BA98" s="332">
        <v>0</v>
      </c>
      <c r="BB98" s="31">
        <v>416005.36826640827</v>
      </c>
      <c r="BC98" s="31">
        <v>0</v>
      </c>
      <c r="BD98" s="29">
        <v>0</v>
      </c>
      <c r="BE98" s="31">
        <v>0</v>
      </c>
    </row>
    <row r="99" spans="1:57" ht="13">
      <c r="A99" s="153">
        <v>44566</v>
      </c>
      <c r="B99" s="10" t="s">
        <v>183</v>
      </c>
      <c r="C99" s="10">
        <v>44565000016</v>
      </c>
      <c r="D99" s="10" t="s">
        <v>16</v>
      </c>
      <c r="E99" s="10" t="s">
        <v>36</v>
      </c>
      <c r="F99" s="153">
        <v>44565</v>
      </c>
      <c r="G99" s="116" t="s">
        <v>37</v>
      </c>
      <c r="H99" s="116">
        <v>448553.16724999994</v>
      </c>
      <c r="I99" s="116">
        <v>51446.832750000001</v>
      </c>
      <c r="J99" s="116">
        <v>499999.99999999994</v>
      </c>
      <c r="K99" s="219">
        <v>507150.24874999997</v>
      </c>
      <c r="L99" s="116">
        <v>0</v>
      </c>
      <c r="M99" s="31">
        <v>32541.5</v>
      </c>
      <c r="N99" s="336">
        <v>32541.5</v>
      </c>
      <c r="O99" s="336">
        <v>0</v>
      </c>
      <c r="P99" s="219">
        <v>-32541.5</v>
      </c>
      <c r="Q99" s="332">
        <v>6508.3</v>
      </c>
      <c r="R99" s="219">
        <v>-5</v>
      </c>
      <c r="S99" s="332">
        <v>0</v>
      </c>
      <c r="T99" s="219">
        <v>0</v>
      </c>
      <c r="U99" s="332">
        <v>0</v>
      </c>
      <c r="V99" s="332">
        <v>0</v>
      </c>
      <c r="W99" s="370">
        <v>0</v>
      </c>
      <c r="X99" s="370">
        <v>10</v>
      </c>
      <c r="Y99" s="370">
        <v>0</v>
      </c>
      <c r="Z99" s="370">
        <v>0</v>
      </c>
      <c r="AA99" s="370">
        <v>0</v>
      </c>
      <c r="AB99" s="370">
        <v>5</v>
      </c>
      <c r="AC99" s="370">
        <v>0</v>
      </c>
      <c r="AD99" s="370">
        <v>0</v>
      </c>
      <c r="AE99" s="370">
        <v>0</v>
      </c>
      <c r="AF99" s="370">
        <v>5</v>
      </c>
      <c r="AG99" s="31">
        <v>-5</v>
      </c>
      <c r="AH99" s="31">
        <v>758</v>
      </c>
      <c r="AI99" s="31">
        <v>0</v>
      </c>
      <c r="AJ99" s="370">
        <v>8.8180150000000008</v>
      </c>
      <c r="AK99" s="219">
        <v>758</v>
      </c>
      <c r="AL99" s="219">
        <v>0</v>
      </c>
      <c r="AM99" s="219">
        <v>0</v>
      </c>
      <c r="AN99" s="219">
        <v>0</v>
      </c>
      <c r="AO99" s="116">
        <v>0</v>
      </c>
      <c r="AP99" s="116">
        <v>0</v>
      </c>
      <c r="AQ99" s="116">
        <v>5</v>
      </c>
      <c r="AR99" s="116">
        <v>-33420.276850000002</v>
      </c>
      <c r="AS99" s="116">
        <v>60156.498330000002</v>
      </c>
      <c r="AT99" s="116">
        <v>0</v>
      </c>
      <c r="AU99" s="385">
        <v>0</v>
      </c>
      <c r="AV99" s="332">
        <v>0</v>
      </c>
      <c r="AW99" s="332">
        <v>0</v>
      </c>
      <c r="AX99" s="332">
        <v>33420.276850000002</v>
      </c>
      <c r="AY99" s="332">
        <v>0</v>
      </c>
      <c r="AZ99" s="332">
        <v>0</v>
      </c>
      <c r="BA99" s="332">
        <v>0</v>
      </c>
      <c r="BB99" s="31">
        <v>448546.86826640827</v>
      </c>
      <c r="BC99" s="31">
        <v>0</v>
      </c>
      <c r="BD99" s="29">
        <v>0</v>
      </c>
      <c r="BE99" s="31">
        <v>0</v>
      </c>
    </row>
    <row r="100" spans="1:57" ht="13">
      <c r="A100" s="153">
        <v>44566</v>
      </c>
      <c r="B100" s="10" t="s">
        <v>183</v>
      </c>
      <c r="C100" s="10">
        <v>44566000017</v>
      </c>
      <c r="D100" s="10" t="s">
        <v>16</v>
      </c>
      <c r="E100" s="10" t="s">
        <v>36</v>
      </c>
      <c r="F100" s="153">
        <v>44566</v>
      </c>
      <c r="G100" s="116" t="s">
        <v>37</v>
      </c>
      <c r="H100" s="116">
        <v>422451.84284999996</v>
      </c>
      <c r="I100" s="116">
        <v>77548.157149999999</v>
      </c>
      <c r="J100" s="116">
        <v>499999.99999999994</v>
      </c>
      <c r="K100" s="219">
        <v>415965.92434999999</v>
      </c>
      <c r="L100" s="116">
        <v>0</v>
      </c>
      <c r="M100" s="31">
        <v>-26101.324400000001</v>
      </c>
      <c r="N100" s="336">
        <v>-26101.324400000001</v>
      </c>
      <c r="O100" s="336">
        <v>26101.324400000001</v>
      </c>
      <c r="P100" s="219">
        <v>0</v>
      </c>
      <c r="Q100" s="332">
        <v>6525.3311000000003</v>
      </c>
      <c r="R100" s="219">
        <v>4</v>
      </c>
      <c r="S100" s="332">
        <v>0</v>
      </c>
      <c r="T100" s="219">
        <v>0</v>
      </c>
      <c r="U100" s="332">
        <v>0</v>
      </c>
      <c r="V100" s="332">
        <v>0</v>
      </c>
      <c r="W100" s="370">
        <v>0</v>
      </c>
      <c r="X100" s="370">
        <v>5</v>
      </c>
      <c r="Y100" s="370">
        <v>0</v>
      </c>
      <c r="Z100" s="370">
        <v>0</v>
      </c>
      <c r="AA100" s="370">
        <v>0</v>
      </c>
      <c r="AB100" s="370">
        <v>9</v>
      </c>
      <c r="AC100" s="370">
        <v>0</v>
      </c>
      <c r="AD100" s="370">
        <v>0</v>
      </c>
      <c r="AE100" s="370">
        <v>0</v>
      </c>
      <c r="AF100" s="370">
        <v>-4</v>
      </c>
      <c r="AG100" s="31">
        <v>4</v>
      </c>
      <c r="AH100" s="31">
        <v>758</v>
      </c>
      <c r="AI100" s="31">
        <v>1</v>
      </c>
      <c r="AJ100" s="370">
        <v>8.8180150000000008</v>
      </c>
      <c r="AK100" s="219">
        <v>758</v>
      </c>
      <c r="AL100" s="219">
        <v>0</v>
      </c>
      <c r="AM100" s="219">
        <v>0</v>
      </c>
      <c r="AN100" s="219">
        <v>0</v>
      </c>
      <c r="AO100" s="116">
        <v>0</v>
      </c>
      <c r="AP100" s="116">
        <v>0</v>
      </c>
      <c r="AQ100" s="116">
        <v>5</v>
      </c>
      <c r="AR100" s="116">
        <v>26736.221480000004</v>
      </c>
      <c r="AS100" s="116">
        <v>60156.498330000002</v>
      </c>
      <c r="AT100" s="116">
        <v>0</v>
      </c>
      <c r="AU100" s="385">
        <v>115710.58875719999</v>
      </c>
      <c r="AV100" s="332">
        <v>-37183.895759999999</v>
      </c>
      <c r="AW100" s="332">
        <v>78526.692997199993</v>
      </c>
      <c r="AX100" s="332">
        <v>-26736.221480000004</v>
      </c>
      <c r="AY100" s="332">
        <v>0</v>
      </c>
      <c r="AZ100" s="332">
        <v>0</v>
      </c>
      <c r="BA100" s="332">
        <v>0</v>
      </c>
      <c r="BB100" s="31">
        <v>422445.54386640829</v>
      </c>
      <c r="BC100" s="31">
        <v>422445.54386640829</v>
      </c>
      <c r="BD100" s="29">
        <v>0</v>
      </c>
      <c r="BE100" s="31">
        <v>500978.53584719996</v>
      </c>
    </row>
    <row r="101" spans="1:57" ht="13">
      <c r="A101" s="153">
        <v>44566</v>
      </c>
      <c r="B101" s="10" t="s">
        <v>184</v>
      </c>
      <c r="C101" s="10">
        <v>44561000006</v>
      </c>
      <c r="D101" s="10" t="s">
        <v>64</v>
      </c>
      <c r="E101" s="10" t="s">
        <v>64</v>
      </c>
      <c r="F101" s="153">
        <v>44561</v>
      </c>
      <c r="G101" s="116" t="s">
        <v>39</v>
      </c>
      <c r="H101" s="116">
        <v>500000</v>
      </c>
      <c r="I101" s="116">
        <v>0</v>
      </c>
      <c r="J101" s="116">
        <v>500000</v>
      </c>
      <c r="K101" s="219">
        <v>0</v>
      </c>
      <c r="L101" s="116">
        <v>0</v>
      </c>
      <c r="M101" s="31">
        <v>500000</v>
      </c>
      <c r="N101" s="336">
        <v>500000</v>
      </c>
      <c r="O101" s="336">
        <v>0</v>
      </c>
      <c r="P101" s="219">
        <v>0</v>
      </c>
      <c r="Q101" s="332">
        <v>0</v>
      </c>
      <c r="R101" s="219">
        <v>0</v>
      </c>
      <c r="S101" s="332">
        <v>0</v>
      </c>
      <c r="T101" s="219">
        <v>0</v>
      </c>
      <c r="U101" s="332">
        <v>0</v>
      </c>
      <c r="V101" s="332">
        <v>0</v>
      </c>
      <c r="W101" s="370">
        <v>0</v>
      </c>
      <c r="X101" s="370">
        <v>0</v>
      </c>
      <c r="Y101" s="370">
        <v>0</v>
      </c>
      <c r="Z101" s="370">
        <v>0</v>
      </c>
      <c r="AA101" s="370">
        <v>0</v>
      </c>
      <c r="AB101" s="370">
        <v>0</v>
      </c>
      <c r="AC101" s="370">
        <v>0</v>
      </c>
      <c r="AD101" s="370">
        <v>0</v>
      </c>
      <c r="AE101" s="370">
        <v>0</v>
      </c>
      <c r="AF101" s="370">
        <v>0</v>
      </c>
      <c r="AG101" s="31">
        <v>0</v>
      </c>
      <c r="AH101" s="31">
        <v>1</v>
      </c>
      <c r="AI101" s="31">
        <v>0</v>
      </c>
      <c r="AJ101" s="370">
        <v>1</v>
      </c>
      <c r="AK101" s="219">
        <v>0</v>
      </c>
      <c r="AL101" s="219">
        <v>0</v>
      </c>
      <c r="AM101" s="219">
        <v>0</v>
      </c>
      <c r="AN101" s="219">
        <v>0</v>
      </c>
      <c r="AO101" s="116">
        <v>0</v>
      </c>
      <c r="AP101" s="116">
        <v>0</v>
      </c>
      <c r="AQ101" s="116">
        <v>1</v>
      </c>
      <c r="AR101" s="116">
        <v>0</v>
      </c>
      <c r="AS101" s="116">
        <v>0</v>
      </c>
      <c r="AT101" s="116">
        <v>1</v>
      </c>
      <c r="AU101" s="385">
        <v>0</v>
      </c>
      <c r="AV101" s="332">
        <v>0</v>
      </c>
      <c r="AW101" s="332">
        <v>0</v>
      </c>
      <c r="AX101" s="332">
        <v>500000</v>
      </c>
      <c r="AY101" s="332">
        <v>0</v>
      </c>
      <c r="AZ101" s="332">
        <v>0</v>
      </c>
      <c r="BA101" s="332">
        <v>0</v>
      </c>
      <c r="BB101" s="31">
        <v>499999.63527996745</v>
      </c>
      <c r="BC101" s="31">
        <v>0</v>
      </c>
      <c r="BD101" s="29">
        <v>0</v>
      </c>
      <c r="BE101" s="31">
        <v>0</v>
      </c>
    </row>
    <row r="102" spans="1:57" ht="13">
      <c r="A102" s="153">
        <v>44566</v>
      </c>
      <c r="B102" s="10" t="s">
        <v>184</v>
      </c>
      <c r="C102" s="10">
        <v>44563000025</v>
      </c>
      <c r="D102" s="10" t="s">
        <v>16</v>
      </c>
      <c r="E102" s="10" t="s">
        <v>40</v>
      </c>
      <c r="F102" s="153">
        <v>44563</v>
      </c>
      <c r="G102" s="116" t="s">
        <v>29</v>
      </c>
      <c r="H102" s="116">
        <v>450189.84940000001</v>
      </c>
      <c r="I102" s="116">
        <v>49810.150599999994</v>
      </c>
      <c r="J102" s="116">
        <v>500000</v>
      </c>
      <c r="K102" s="219">
        <v>450189.84940000001</v>
      </c>
      <c r="L102" s="116">
        <v>0</v>
      </c>
      <c r="M102" s="31">
        <v>-49810.150599999994</v>
      </c>
      <c r="N102" s="336">
        <v>-49810.150599999994</v>
      </c>
      <c r="O102" s="336">
        <v>49810.150599999994</v>
      </c>
      <c r="P102" s="219">
        <v>0</v>
      </c>
      <c r="Q102" s="332">
        <v>2490.5075299999999</v>
      </c>
      <c r="R102" s="219">
        <v>20</v>
      </c>
      <c r="S102" s="332">
        <v>0</v>
      </c>
      <c r="T102" s="219">
        <v>0</v>
      </c>
      <c r="U102" s="332">
        <v>0</v>
      </c>
      <c r="V102" s="332">
        <v>0</v>
      </c>
      <c r="W102" s="370">
        <v>0</v>
      </c>
      <c r="X102" s="370">
        <v>0</v>
      </c>
      <c r="Y102" s="370">
        <v>0</v>
      </c>
      <c r="Z102" s="370">
        <v>0</v>
      </c>
      <c r="AA102" s="370">
        <v>0</v>
      </c>
      <c r="AB102" s="370">
        <v>20</v>
      </c>
      <c r="AC102" s="370">
        <v>0</v>
      </c>
      <c r="AD102" s="370">
        <v>0</v>
      </c>
      <c r="AE102" s="370">
        <v>0</v>
      </c>
      <c r="AF102" s="370">
        <v>-20</v>
      </c>
      <c r="AG102" s="31">
        <v>20</v>
      </c>
      <c r="AH102" s="31">
        <v>2024</v>
      </c>
      <c r="AI102" s="31">
        <v>0</v>
      </c>
      <c r="AJ102" s="370">
        <v>1.224766</v>
      </c>
      <c r="AK102" s="219">
        <v>2024</v>
      </c>
      <c r="AL102" s="219">
        <v>0</v>
      </c>
      <c r="AM102" s="219">
        <v>0</v>
      </c>
      <c r="AN102" s="219">
        <v>0</v>
      </c>
      <c r="AO102" s="116">
        <v>0</v>
      </c>
      <c r="AP102" s="116">
        <v>0</v>
      </c>
      <c r="AQ102" s="116">
        <v>2</v>
      </c>
      <c r="AR102" s="116">
        <v>49578.527679999999</v>
      </c>
      <c r="AS102" s="116">
        <v>24789.26384</v>
      </c>
      <c r="AT102" s="116">
        <v>1</v>
      </c>
      <c r="AU102" s="385">
        <v>0</v>
      </c>
      <c r="AV102" s="332">
        <v>0</v>
      </c>
      <c r="AW102" s="332">
        <v>0</v>
      </c>
      <c r="AX102" s="332">
        <v>-49578.527679999999</v>
      </c>
      <c r="AY102" s="332">
        <v>0</v>
      </c>
      <c r="AZ102" s="332">
        <v>0</v>
      </c>
      <c r="BA102" s="332">
        <v>0</v>
      </c>
      <c r="BB102" s="31">
        <v>450189.48467996746</v>
      </c>
      <c r="BC102" s="31">
        <v>0</v>
      </c>
      <c r="BD102" s="29">
        <v>0</v>
      </c>
      <c r="BE102" s="31">
        <v>0</v>
      </c>
    </row>
    <row r="103" spans="1:57" ht="13">
      <c r="A103" s="153">
        <v>44566</v>
      </c>
      <c r="B103" s="10" t="s">
        <v>184</v>
      </c>
      <c r="C103" s="10">
        <v>44563000026</v>
      </c>
      <c r="D103" s="10" t="s">
        <v>16</v>
      </c>
      <c r="E103" s="10" t="s">
        <v>38</v>
      </c>
      <c r="F103" s="153">
        <v>44563</v>
      </c>
      <c r="G103" s="116" t="s">
        <v>39</v>
      </c>
      <c r="H103" s="116">
        <v>452489.84940000001</v>
      </c>
      <c r="I103" s="116">
        <v>47510.150599999994</v>
      </c>
      <c r="J103" s="116">
        <v>500000</v>
      </c>
      <c r="K103" s="219">
        <v>447889.84940000001</v>
      </c>
      <c r="L103" s="116">
        <v>0</v>
      </c>
      <c r="M103" s="31">
        <v>2300</v>
      </c>
      <c r="N103" s="336">
        <v>-2300</v>
      </c>
      <c r="O103" s="336">
        <v>0</v>
      </c>
      <c r="P103" s="219">
        <v>-2300</v>
      </c>
      <c r="Q103" s="332">
        <v>460</v>
      </c>
      <c r="R103" s="219">
        <v>-5</v>
      </c>
      <c r="S103" s="332">
        <v>0</v>
      </c>
      <c r="T103" s="219">
        <v>0</v>
      </c>
      <c r="U103" s="332">
        <v>0</v>
      </c>
      <c r="V103" s="332">
        <v>0</v>
      </c>
      <c r="W103" s="370">
        <v>0</v>
      </c>
      <c r="X103" s="370">
        <v>0</v>
      </c>
      <c r="Y103" s="370">
        <v>0</v>
      </c>
      <c r="Z103" s="370">
        <v>0</v>
      </c>
      <c r="AA103" s="370">
        <v>0</v>
      </c>
      <c r="AB103" s="370">
        <v>-5</v>
      </c>
      <c r="AC103" s="370">
        <v>0</v>
      </c>
      <c r="AD103" s="370">
        <v>0</v>
      </c>
      <c r="AE103" s="370">
        <v>0</v>
      </c>
      <c r="AF103" s="370">
        <v>-5</v>
      </c>
      <c r="AG103" s="31">
        <v>-5</v>
      </c>
      <c r="AH103" s="31">
        <v>430.6</v>
      </c>
      <c r="AI103" s="31">
        <v>0</v>
      </c>
      <c r="AJ103" s="370">
        <v>1</v>
      </c>
      <c r="AK103" s="219">
        <v>430.6</v>
      </c>
      <c r="AL103" s="219">
        <v>0</v>
      </c>
      <c r="AM103" s="219">
        <v>0</v>
      </c>
      <c r="AN103" s="219">
        <v>0</v>
      </c>
      <c r="AO103" s="116">
        <v>0</v>
      </c>
      <c r="AP103" s="116">
        <v>0</v>
      </c>
      <c r="AQ103" s="116">
        <v>3</v>
      </c>
      <c r="AR103" s="116">
        <v>-2153</v>
      </c>
      <c r="AS103" s="116">
        <v>4306</v>
      </c>
      <c r="AT103" s="116">
        <v>1</v>
      </c>
      <c r="AU103" s="385">
        <v>0</v>
      </c>
      <c r="AV103" s="332">
        <v>0</v>
      </c>
      <c r="AW103" s="332">
        <v>0</v>
      </c>
      <c r="AX103" s="332">
        <v>-2153</v>
      </c>
      <c r="AY103" s="332">
        <v>0</v>
      </c>
      <c r="AZ103" s="332">
        <v>-0.3647200325737438</v>
      </c>
      <c r="BA103" s="332">
        <v>0</v>
      </c>
      <c r="BB103" s="31">
        <v>452489.48467996746</v>
      </c>
      <c r="BC103" s="31">
        <v>0</v>
      </c>
      <c r="BD103" s="29">
        <v>0</v>
      </c>
      <c r="BE103" s="31">
        <v>0</v>
      </c>
    </row>
    <row r="104" spans="1:57" ht="13">
      <c r="A104" s="153">
        <v>44566</v>
      </c>
      <c r="B104" s="10" t="s">
        <v>184</v>
      </c>
      <c r="C104" s="10">
        <v>44564000027</v>
      </c>
      <c r="D104" s="10" t="s">
        <v>16</v>
      </c>
      <c r="E104" s="10" t="s">
        <v>40</v>
      </c>
      <c r="F104" s="153">
        <v>44564</v>
      </c>
      <c r="G104" s="116" t="s">
        <v>29</v>
      </c>
      <c r="H104" s="116">
        <v>477643.14439999999</v>
      </c>
      <c r="I104" s="116">
        <v>22356.855599999995</v>
      </c>
      <c r="J104" s="116">
        <v>500000</v>
      </c>
      <c r="K104" s="219">
        <v>473043.14439999999</v>
      </c>
      <c r="L104" s="116">
        <v>0</v>
      </c>
      <c r="M104" s="31">
        <v>25153.294999999998</v>
      </c>
      <c r="N104" s="336">
        <v>25153.295000000002</v>
      </c>
      <c r="O104" s="336">
        <v>0</v>
      </c>
      <c r="P104" s="219">
        <v>-25153.294999999998</v>
      </c>
      <c r="Q104" s="332">
        <v>2515.3294999999998</v>
      </c>
      <c r="R104" s="219">
        <v>-10</v>
      </c>
      <c r="S104" s="332">
        <v>0</v>
      </c>
      <c r="T104" s="219">
        <v>0</v>
      </c>
      <c r="U104" s="332">
        <v>0</v>
      </c>
      <c r="V104" s="332">
        <v>0</v>
      </c>
      <c r="W104" s="370">
        <v>0</v>
      </c>
      <c r="X104" s="370">
        <v>20</v>
      </c>
      <c r="Y104" s="370">
        <v>0</v>
      </c>
      <c r="Z104" s="370">
        <v>0</v>
      </c>
      <c r="AA104" s="370">
        <v>0</v>
      </c>
      <c r="AB104" s="370">
        <v>10</v>
      </c>
      <c r="AC104" s="370">
        <v>0</v>
      </c>
      <c r="AD104" s="370">
        <v>0</v>
      </c>
      <c r="AE104" s="370">
        <v>0</v>
      </c>
      <c r="AF104" s="370">
        <v>10</v>
      </c>
      <c r="AG104" s="31">
        <v>-10</v>
      </c>
      <c r="AH104" s="31">
        <v>2024</v>
      </c>
      <c r="AI104" s="31">
        <v>0</v>
      </c>
      <c r="AJ104" s="370">
        <v>1.224766</v>
      </c>
      <c r="AK104" s="219">
        <v>2024</v>
      </c>
      <c r="AL104" s="219">
        <v>0</v>
      </c>
      <c r="AM104" s="219">
        <v>0</v>
      </c>
      <c r="AN104" s="219">
        <v>0</v>
      </c>
      <c r="AO104" s="116">
        <v>0</v>
      </c>
      <c r="AP104" s="116">
        <v>0</v>
      </c>
      <c r="AQ104" s="116">
        <v>3</v>
      </c>
      <c r="AR104" s="116">
        <v>-24789.26384</v>
      </c>
      <c r="AS104" s="116">
        <v>24789.26384</v>
      </c>
      <c r="AT104" s="116">
        <v>0</v>
      </c>
      <c r="AU104" s="385">
        <v>0</v>
      </c>
      <c r="AV104" s="332">
        <v>0</v>
      </c>
      <c r="AW104" s="332">
        <v>0</v>
      </c>
      <c r="AX104" s="332">
        <v>24789.26384</v>
      </c>
      <c r="AY104" s="332">
        <v>0</v>
      </c>
      <c r="AZ104" s="332">
        <v>0</v>
      </c>
      <c r="BA104" s="332">
        <v>0</v>
      </c>
      <c r="BB104" s="31">
        <v>477642.77967996744</v>
      </c>
      <c r="BC104" s="31">
        <v>0</v>
      </c>
      <c r="BD104" s="29">
        <v>0</v>
      </c>
      <c r="BE104" s="31">
        <v>0</v>
      </c>
    </row>
    <row r="105" spans="1:57" ht="13">
      <c r="A105" s="153">
        <v>44566</v>
      </c>
      <c r="B105" s="10" t="s">
        <v>184</v>
      </c>
      <c r="C105" s="10">
        <v>44564000028</v>
      </c>
      <c r="D105" s="10" t="s">
        <v>16</v>
      </c>
      <c r="E105" s="10" t="s">
        <v>38</v>
      </c>
      <c r="F105" s="153">
        <v>44564</v>
      </c>
      <c r="G105" s="116" t="s">
        <v>39</v>
      </c>
      <c r="H105" s="116">
        <v>470743.14439999999</v>
      </c>
      <c r="I105" s="116">
        <v>29256.855599999995</v>
      </c>
      <c r="J105" s="116">
        <v>500000</v>
      </c>
      <c r="K105" s="219">
        <v>470743.14439999999</v>
      </c>
      <c r="L105" s="116">
        <v>0</v>
      </c>
      <c r="M105" s="31">
        <v>-6900</v>
      </c>
      <c r="N105" s="336">
        <v>-2300</v>
      </c>
      <c r="O105" s="336">
        <v>6900</v>
      </c>
      <c r="P105" s="219">
        <v>0</v>
      </c>
      <c r="Q105" s="332">
        <v>460</v>
      </c>
      <c r="R105" s="219">
        <v>15</v>
      </c>
      <c r="S105" s="332">
        <v>0</v>
      </c>
      <c r="T105" s="219">
        <v>0</v>
      </c>
      <c r="U105" s="332">
        <v>0</v>
      </c>
      <c r="V105" s="332">
        <v>0</v>
      </c>
      <c r="W105" s="370">
        <v>0</v>
      </c>
      <c r="X105" s="370">
        <v>-5</v>
      </c>
      <c r="Y105" s="370">
        <v>0</v>
      </c>
      <c r="Z105" s="370">
        <v>0</v>
      </c>
      <c r="AA105" s="370">
        <v>0</v>
      </c>
      <c r="AB105" s="370">
        <v>10</v>
      </c>
      <c r="AC105" s="370">
        <v>0</v>
      </c>
      <c r="AD105" s="370">
        <v>0</v>
      </c>
      <c r="AE105" s="370">
        <v>0</v>
      </c>
      <c r="AF105" s="370">
        <v>-5</v>
      </c>
      <c r="AG105" s="31">
        <v>15</v>
      </c>
      <c r="AH105" s="31">
        <v>430.6</v>
      </c>
      <c r="AI105" s="31">
        <v>1</v>
      </c>
      <c r="AJ105" s="370">
        <v>1</v>
      </c>
      <c r="AK105" s="219">
        <v>430.6</v>
      </c>
      <c r="AL105" s="219">
        <v>0</v>
      </c>
      <c r="AM105" s="219">
        <v>0</v>
      </c>
      <c r="AN105" s="219">
        <v>0</v>
      </c>
      <c r="AO105" s="116">
        <v>0</v>
      </c>
      <c r="AP105" s="116">
        <v>0</v>
      </c>
      <c r="AQ105" s="116">
        <v>3</v>
      </c>
      <c r="AR105" s="116">
        <v>6459</v>
      </c>
      <c r="AS105" s="116">
        <v>4306</v>
      </c>
      <c r="AT105" s="116">
        <v>0</v>
      </c>
      <c r="AU105" s="385">
        <v>29095.26384</v>
      </c>
      <c r="AV105" s="332">
        <v>0</v>
      </c>
      <c r="AW105" s="332">
        <v>29095.26384</v>
      </c>
      <c r="AX105" s="332">
        <v>-2153</v>
      </c>
      <c r="AY105" s="332">
        <v>0</v>
      </c>
      <c r="AZ105" s="332">
        <v>0</v>
      </c>
      <c r="BA105" s="332">
        <v>0</v>
      </c>
      <c r="BB105" s="31">
        <v>470742.77967996744</v>
      </c>
      <c r="BC105" s="31">
        <v>470742.77967996744</v>
      </c>
      <c r="BD105" s="29">
        <v>0</v>
      </c>
      <c r="BE105" s="31">
        <v>499838.40824000002</v>
      </c>
    </row>
    <row r="106" spans="1:57" ht="13">
      <c r="A106" s="153">
        <v>44566</v>
      </c>
      <c r="B106" s="10" t="s">
        <v>185</v>
      </c>
      <c r="C106" s="10">
        <v>44561000007</v>
      </c>
      <c r="D106" s="10" t="s">
        <v>64</v>
      </c>
      <c r="E106" s="10" t="s">
        <v>64</v>
      </c>
      <c r="F106" s="153">
        <v>44561</v>
      </c>
      <c r="G106" s="116" t="s">
        <v>39</v>
      </c>
      <c r="H106" s="116">
        <v>500000</v>
      </c>
      <c r="I106" s="116">
        <v>0</v>
      </c>
      <c r="J106" s="116">
        <v>500000</v>
      </c>
      <c r="K106" s="219">
        <v>0</v>
      </c>
      <c r="L106" s="116">
        <v>0</v>
      </c>
      <c r="M106" s="31">
        <v>500000</v>
      </c>
      <c r="N106" s="336">
        <v>500000</v>
      </c>
      <c r="O106" s="336">
        <v>0</v>
      </c>
      <c r="P106" s="219">
        <v>0</v>
      </c>
      <c r="Q106" s="332">
        <v>0</v>
      </c>
      <c r="R106" s="219">
        <v>0</v>
      </c>
      <c r="S106" s="332">
        <v>0</v>
      </c>
      <c r="T106" s="219">
        <v>0</v>
      </c>
      <c r="U106" s="332">
        <v>0</v>
      </c>
      <c r="V106" s="332">
        <v>0</v>
      </c>
      <c r="W106" s="370">
        <v>0</v>
      </c>
      <c r="X106" s="370">
        <v>0</v>
      </c>
      <c r="Y106" s="370">
        <v>0</v>
      </c>
      <c r="Z106" s="370">
        <v>0</v>
      </c>
      <c r="AA106" s="370">
        <v>0</v>
      </c>
      <c r="AB106" s="370">
        <v>0</v>
      </c>
      <c r="AC106" s="370">
        <v>0</v>
      </c>
      <c r="AD106" s="370">
        <v>0</v>
      </c>
      <c r="AE106" s="370">
        <v>0</v>
      </c>
      <c r="AF106" s="370">
        <v>0</v>
      </c>
      <c r="AG106" s="31">
        <v>0</v>
      </c>
      <c r="AH106" s="31">
        <v>1</v>
      </c>
      <c r="AI106" s="31">
        <v>0</v>
      </c>
      <c r="AJ106" s="370">
        <v>1</v>
      </c>
      <c r="AK106" s="219">
        <v>0</v>
      </c>
      <c r="AL106" s="219">
        <v>0</v>
      </c>
      <c r="AM106" s="219">
        <v>0</v>
      </c>
      <c r="AN106" s="219">
        <v>0</v>
      </c>
      <c r="AO106" s="116">
        <v>0</v>
      </c>
      <c r="AP106" s="116">
        <v>0</v>
      </c>
      <c r="AQ106" s="116">
        <v>1</v>
      </c>
      <c r="AR106" s="116">
        <v>0</v>
      </c>
      <c r="AS106" s="116">
        <v>0</v>
      </c>
      <c r="AT106" s="116">
        <v>1</v>
      </c>
      <c r="AU106" s="385">
        <v>0</v>
      </c>
      <c r="AV106" s="332">
        <v>0</v>
      </c>
      <c r="AW106" s="332">
        <v>0</v>
      </c>
      <c r="AX106" s="332">
        <v>500000</v>
      </c>
      <c r="AY106" s="332">
        <v>0</v>
      </c>
      <c r="AZ106" s="332">
        <v>0</v>
      </c>
      <c r="BA106" s="332">
        <v>0</v>
      </c>
      <c r="BB106" s="31">
        <v>499999.31750231684</v>
      </c>
      <c r="BC106" s="31">
        <v>0</v>
      </c>
      <c r="BD106" s="29">
        <v>0</v>
      </c>
      <c r="BE106" s="31">
        <v>0</v>
      </c>
    </row>
    <row r="107" spans="1:57" ht="13">
      <c r="A107" s="153">
        <v>44566</v>
      </c>
      <c r="B107" s="10" t="s">
        <v>185</v>
      </c>
      <c r="C107" s="10">
        <v>44562000029</v>
      </c>
      <c r="D107" s="10" t="s">
        <v>61</v>
      </c>
      <c r="E107" s="10" t="s">
        <v>63</v>
      </c>
      <c r="F107" s="153">
        <v>44562</v>
      </c>
      <c r="G107" s="116" t="s">
        <v>39</v>
      </c>
      <c r="H107" s="116">
        <v>490000</v>
      </c>
      <c r="I107" s="116">
        <v>10000</v>
      </c>
      <c r="J107" s="116">
        <v>500000</v>
      </c>
      <c r="K107" s="219">
        <v>490000</v>
      </c>
      <c r="L107" s="116">
        <v>0</v>
      </c>
      <c r="M107" s="31">
        <v>-10000</v>
      </c>
      <c r="N107" s="336">
        <v>-10000</v>
      </c>
      <c r="O107" s="336">
        <v>0</v>
      </c>
      <c r="P107" s="219">
        <v>0</v>
      </c>
      <c r="Q107" s="332">
        <v>0</v>
      </c>
      <c r="R107" s="219">
        <v>0</v>
      </c>
      <c r="S107" s="332">
        <v>0</v>
      </c>
      <c r="T107" s="219">
        <v>0</v>
      </c>
      <c r="U107" s="332">
        <v>0</v>
      </c>
      <c r="V107" s="332">
        <v>0</v>
      </c>
      <c r="W107" s="370">
        <v>10000</v>
      </c>
      <c r="X107" s="370">
        <v>0</v>
      </c>
      <c r="Y107" s="370">
        <v>0</v>
      </c>
      <c r="Z107" s="370">
        <v>0</v>
      </c>
      <c r="AA107" s="370">
        <v>0</v>
      </c>
      <c r="AB107" s="370">
        <v>0</v>
      </c>
      <c r="AC107" s="370">
        <v>0</v>
      </c>
      <c r="AD107" s="370">
        <v>0</v>
      </c>
      <c r="AE107" s="370">
        <v>10000</v>
      </c>
      <c r="AF107" s="370">
        <v>-10000</v>
      </c>
      <c r="AG107" s="31">
        <v>10000</v>
      </c>
      <c r="AH107" s="31">
        <v>1</v>
      </c>
      <c r="AI107" s="31">
        <v>0</v>
      </c>
      <c r="AJ107" s="370">
        <v>1</v>
      </c>
      <c r="AK107" s="219">
        <v>0</v>
      </c>
      <c r="AL107" s="219">
        <v>0</v>
      </c>
      <c r="AM107" s="219">
        <v>0</v>
      </c>
      <c r="AN107" s="219">
        <v>0</v>
      </c>
      <c r="AO107" s="116">
        <v>0</v>
      </c>
      <c r="AP107" s="116">
        <v>1</v>
      </c>
      <c r="AQ107" s="116">
        <v>2</v>
      </c>
      <c r="AR107" s="116">
        <v>10000</v>
      </c>
      <c r="AS107" s="116">
        <v>-5000</v>
      </c>
      <c r="AT107" s="116">
        <v>1</v>
      </c>
      <c r="AU107" s="385">
        <v>0</v>
      </c>
      <c r="AV107" s="332">
        <v>0</v>
      </c>
      <c r="AW107" s="332">
        <v>0</v>
      </c>
      <c r="AX107" s="332">
        <v>-10000</v>
      </c>
      <c r="AY107" s="332">
        <v>0</v>
      </c>
      <c r="AZ107" s="332">
        <v>0</v>
      </c>
      <c r="BA107" s="332">
        <v>4.1126643175088691E-2</v>
      </c>
      <c r="BB107" s="31">
        <v>489999.31750231684</v>
      </c>
      <c r="BC107" s="31">
        <v>0</v>
      </c>
      <c r="BD107" s="29">
        <v>0</v>
      </c>
      <c r="BE107" s="31">
        <v>0</v>
      </c>
    </row>
    <row r="108" spans="1:57" ht="13">
      <c r="A108" s="153">
        <v>44566</v>
      </c>
      <c r="B108" s="10" t="s">
        <v>185</v>
      </c>
      <c r="C108" s="10">
        <v>44562000030</v>
      </c>
      <c r="D108" s="10" t="s">
        <v>18</v>
      </c>
      <c r="E108" s="10" t="s">
        <v>7</v>
      </c>
      <c r="F108" s="153">
        <v>44562</v>
      </c>
      <c r="G108" s="116" t="s">
        <v>41</v>
      </c>
      <c r="H108" s="116">
        <v>448805.40759999998</v>
      </c>
      <c r="I108" s="116">
        <v>51194.592400000009</v>
      </c>
      <c r="J108" s="116">
        <v>500000</v>
      </c>
      <c r="K108" s="219">
        <v>458805.40759999998</v>
      </c>
      <c r="L108" s="116">
        <v>0</v>
      </c>
      <c r="M108" s="31">
        <v>-41194.592400000009</v>
      </c>
      <c r="N108" s="336">
        <v>-41194.592400000001</v>
      </c>
      <c r="O108" s="336">
        <v>0</v>
      </c>
      <c r="P108" s="219">
        <v>0</v>
      </c>
      <c r="Q108" s="332">
        <v>0</v>
      </c>
      <c r="R108" s="219">
        <v>0</v>
      </c>
      <c r="S108" s="332">
        <v>13.21</v>
      </c>
      <c r="T108" s="219">
        <v>40</v>
      </c>
      <c r="U108" s="332">
        <v>0</v>
      </c>
      <c r="V108" s="332">
        <v>0</v>
      </c>
      <c r="W108" s="370">
        <v>0</v>
      </c>
      <c r="X108" s="370">
        <v>0</v>
      </c>
      <c r="Y108" s="370">
        <v>0</v>
      </c>
      <c r="Z108" s="370">
        <v>0</v>
      </c>
      <c r="AA108" s="370">
        <v>0</v>
      </c>
      <c r="AB108" s="370">
        <v>0</v>
      </c>
      <c r="AC108" s="370">
        <v>40</v>
      </c>
      <c r="AD108" s="370">
        <v>0</v>
      </c>
      <c r="AE108" s="370">
        <v>0</v>
      </c>
      <c r="AF108" s="370">
        <v>-40</v>
      </c>
      <c r="AG108" s="31">
        <v>40</v>
      </c>
      <c r="AH108" s="31">
        <v>20.29</v>
      </c>
      <c r="AI108" s="31">
        <v>0</v>
      </c>
      <c r="AJ108" s="370">
        <v>7.7952399999999997</v>
      </c>
      <c r="AK108" s="219">
        <v>0</v>
      </c>
      <c r="AL108" s="219">
        <v>20.29</v>
      </c>
      <c r="AM108" s="219">
        <v>22.71</v>
      </c>
      <c r="AN108" s="219">
        <v>0</v>
      </c>
      <c r="AO108" s="116">
        <v>0</v>
      </c>
      <c r="AP108" s="116">
        <v>0</v>
      </c>
      <c r="AQ108" s="116">
        <v>3</v>
      </c>
      <c r="AR108" s="116">
        <v>63266.167839999995</v>
      </c>
      <c r="AS108" s="116">
        <v>63266.167839999995</v>
      </c>
      <c r="AT108" s="116">
        <v>1</v>
      </c>
      <c r="AU108" s="385">
        <v>0</v>
      </c>
      <c r="AV108" s="332">
        <v>0</v>
      </c>
      <c r="AW108" s="332">
        <v>0</v>
      </c>
      <c r="AX108" s="332">
        <v>-67039.063999999998</v>
      </c>
      <c r="AY108" s="332">
        <v>0</v>
      </c>
      <c r="AZ108" s="332">
        <v>0</v>
      </c>
      <c r="BA108" s="332">
        <v>0</v>
      </c>
      <c r="BB108" s="31">
        <v>448804.72510231682</v>
      </c>
      <c r="BC108" s="31">
        <v>0</v>
      </c>
      <c r="BD108" s="29">
        <v>0</v>
      </c>
      <c r="BE108" s="31">
        <v>0</v>
      </c>
    </row>
    <row r="109" spans="1:57" ht="13">
      <c r="A109" s="153">
        <v>44566</v>
      </c>
      <c r="B109" s="10" t="s">
        <v>185</v>
      </c>
      <c r="C109" s="10">
        <v>44562000031</v>
      </c>
      <c r="D109" s="10" t="s">
        <v>61</v>
      </c>
      <c r="E109" s="10" t="s">
        <v>63</v>
      </c>
      <c r="F109" s="153">
        <v>44562</v>
      </c>
      <c r="G109" s="116" t="s">
        <v>39</v>
      </c>
      <c r="H109" s="116">
        <v>428805.40759999998</v>
      </c>
      <c r="I109" s="116">
        <v>71194.592400000009</v>
      </c>
      <c r="J109" s="116">
        <v>500000</v>
      </c>
      <c r="K109" s="219">
        <v>438805.40759999998</v>
      </c>
      <c r="L109" s="116">
        <v>0</v>
      </c>
      <c r="M109" s="31">
        <v>-20000</v>
      </c>
      <c r="N109" s="336">
        <v>-20000</v>
      </c>
      <c r="O109" s="336">
        <v>0</v>
      </c>
      <c r="P109" s="219">
        <v>0</v>
      </c>
      <c r="Q109" s="332">
        <v>0</v>
      </c>
      <c r="R109" s="219">
        <v>0</v>
      </c>
      <c r="S109" s="332">
        <v>0</v>
      </c>
      <c r="T109" s="219">
        <v>0</v>
      </c>
      <c r="U109" s="332">
        <v>0</v>
      </c>
      <c r="V109" s="332">
        <v>0</v>
      </c>
      <c r="W109" s="370">
        <v>20000</v>
      </c>
      <c r="X109" s="370">
        <v>0</v>
      </c>
      <c r="Y109" s="370">
        <v>0</v>
      </c>
      <c r="Z109" s="370">
        <v>0</v>
      </c>
      <c r="AA109" s="370">
        <v>10000</v>
      </c>
      <c r="AB109" s="370">
        <v>0</v>
      </c>
      <c r="AC109" s="370">
        <v>0</v>
      </c>
      <c r="AD109" s="370">
        <v>0</v>
      </c>
      <c r="AE109" s="370">
        <v>30000</v>
      </c>
      <c r="AF109" s="370">
        <v>-20000</v>
      </c>
      <c r="AG109" s="31">
        <v>20000</v>
      </c>
      <c r="AH109" s="31">
        <v>1</v>
      </c>
      <c r="AI109" s="31">
        <v>0</v>
      </c>
      <c r="AJ109" s="370">
        <v>1</v>
      </c>
      <c r="AK109" s="219">
        <v>0</v>
      </c>
      <c r="AL109" s="219">
        <v>0</v>
      </c>
      <c r="AM109" s="219">
        <v>0</v>
      </c>
      <c r="AN109" s="219">
        <v>0</v>
      </c>
      <c r="AO109" s="116">
        <v>0</v>
      </c>
      <c r="AP109" s="116">
        <v>1</v>
      </c>
      <c r="AQ109" s="116">
        <v>3</v>
      </c>
      <c r="AR109" s="116">
        <v>20000</v>
      </c>
      <c r="AS109" s="116">
        <v>-5000</v>
      </c>
      <c r="AT109" s="116">
        <v>0</v>
      </c>
      <c r="AU109" s="385">
        <v>0</v>
      </c>
      <c r="AV109" s="332">
        <v>0</v>
      </c>
      <c r="AW109" s="332">
        <v>0</v>
      </c>
      <c r="AX109" s="332">
        <v>-20000</v>
      </c>
      <c r="AY109" s="332">
        <v>0</v>
      </c>
      <c r="AZ109" s="332">
        <v>0</v>
      </c>
      <c r="BA109" s="332">
        <v>0.12337992952526605</v>
      </c>
      <c r="BB109" s="31">
        <v>428804.72510231682</v>
      </c>
      <c r="BC109" s="31">
        <v>0</v>
      </c>
      <c r="BD109" s="29">
        <v>0</v>
      </c>
      <c r="BE109" s="31">
        <v>0</v>
      </c>
    </row>
    <row r="110" spans="1:57" ht="13">
      <c r="A110" s="153">
        <v>44566</v>
      </c>
      <c r="B110" s="10" t="s">
        <v>185</v>
      </c>
      <c r="C110" s="10">
        <v>44562000035</v>
      </c>
      <c r="D110" s="10" t="s">
        <v>16</v>
      </c>
      <c r="E110" s="10" t="s">
        <v>38</v>
      </c>
      <c r="F110" s="153">
        <v>44562</v>
      </c>
      <c r="G110" s="116" t="s">
        <v>39</v>
      </c>
      <c r="H110" s="116">
        <v>424205.40759999998</v>
      </c>
      <c r="I110" s="116">
        <v>75794.592400000009</v>
      </c>
      <c r="J110" s="116">
        <v>500000</v>
      </c>
      <c r="K110" s="219">
        <v>444205.40759999998</v>
      </c>
      <c r="L110" s="116">
        <v>0</v>
      </c>
      <c r="M110" s="31">
        <v>-4600</v>
      </c>
      <c r="N110" s="336">
        <v>-4600</v>
      </c>
      <c r="O110" s="336">
        <v>4600</v>
      </c>
      <c r="P110" s="219">
        <v>0</v>
      </c>
      <c r="Q110" s="332">
        <v>460</v>
      </c>
      <c r="R110" s="219">
        <v>10</v>
      </c>
      <c r="S110" s="332">
        <v>0</v>
      </c>
      <c r="T110" s="219">
        <v>0</v>
      </c>
      <c r="U110" s="332">
        <v>0</v>
      </c>
      <c r="V110" s="332">
        <v>0</v>
      </c>
      <c r="W110" s="370">
        <v>0</v>
      </c>
      <c r="X110" s="370">
        <v>0</v>
      </c>
      <c r="Y110" s="370">
        <v>0</v>
      </c>
      <c r="Z110" s="370">
        <v>0</v>
      </c>
      <c r="AA110" s="370">
        <v>0</v>
      </c>
      <c r="AB110" s="370">
        <v>10</v>
      </c>
      <c r="AC110" s="370">
        <v>0</v>
      </c>
      <c r="AD110" s="370">
        <v>0</v>
      </c>
      <c r="AE110" s="370">
        <v>0</v>
      </c>
      <c r="AF110" s="370">
        <v>-10</v>
      </c>
      <c r="AG110" s="31">
        <v>10</v>
      </c>
      <c r="AH110" s="31">
        <v>430.6</v>
      </c>
      <c r="AI110" s="31">
        <v>0</v>
      </c>
      <c r="AJ110" s="370">
        <v>1</v>
      </c>
      <c r="AK110" s="219">
        <v>430.6</v>
      </c>
      <c r="AL110" s="219">
        <v>0</v>
      </c>
      <c r="AM110" s="219">
        <v>0</v>
      </c>
      <c r="AN110" s="219">
        <v>0</v>
      </c>
      <c r="AO110" s="116">
        <v>0</v>
      </c>
      <c r="AP110" s="116">
        <v>0</v>
      </c>
      <c r="AQ110" s="116">
        <v>4</v>
      </c>
      <c r="AR110" s="116">
        <v>4306</v>
      </c>
      <c r="AS110" s="116">
        <v>167934</v>
      </c>
      <c r="AT110" s="116">
        <v>1</v>
      </c>
      <c r="AU110" s="385">
        <v>0</v>
      </c>
      <c r="AV110" s="332">
        <v>0</v>
      </c>
      <c r="AW110" s="332">
        <v>0</v>
      </c>
      <c r="AX110" s="332">
        <v>-4306</v>
      </c>
      <c r="AY110" s="332">
        <v>0</v>
      </c>
      <c r="AZ110" s="332">
        <v>0</v>
      </c>
      <c r="BA110" s="332">
        <v>0</v>
      </c>
      <c r="BB110" s="31">
        <v>424204.72510231682</v>
      </c>
      <c r="BC110" s="31">
        <v>0</v>
      </c>
      <c r="BD110" s="29">
        <v>0</v>
      </c>
      <c r="BE110" s="31">
        <v>0</v>
      </c>
    </row>
    <row r="111" spans="1:57" ht="13">
      <c r="A111" s="153">
        <v>44566</v>
      </c>
      <c r="B111" s="10" t="s">
        <v>185</v>
      </c>
      <c r="C111" s="10">
        <v>44563000032</v>
      </c>
      <c r="D111" s="10" t="s">
        <v>61</v>
      </c>
      <c r="E111" s="10" t="s">
        <v>63</v>
      </c>
      <c r="F111" s="153">
        <v>44563</v>
      </c>
      <c r="G111" s="116" t="s">
        <v>39</v>
      </c>
      <c r="H111" s="116">
        <v>459205.40759999998</v>
      </c>
      <c r="I111" s="116">
        <v>40794.592400000009</v>
      </c>
      <c r="J111" s="116">
        <v>500000</v>
      </c>
      <c r="K111" s="219">
        <v>469205.40759999998</v>
      </c>
      <c r="L111" s="116">
        <v>0</v>
      </c>
      <c r="M111" s="31">
        <v>35000</v>
      </c>
      <c r="N111" s="336">
        <v>25000</v>
      </c>
      <c r="O111" s="336">
        <v>0</v>
      </c>
      <c r="P111" s="219">
        <v>0</v>
      </c>
      <c r="Q111" s="332">
        <v>0</v>
      </c>
      <c r="R111" s="219">
        <v>0</v>
      </c>
      <c r="S111" s="332">
        <v>0</v>
      </c>
      <c r="T111" s="219">
        <v>0</v>
      </c>
      <c r="U111" s="332">
        <v>0</v>
      </c>
      <c r="V111" s="332">
        <v>0</v>
      </c>
      <c r="W111" s="370">
        <v>-35000</v>
      </c>
      <c r="X111" s="370">
        <v>0</v>
      </c>
      <c r="Y111" s="370">
        <v>0</v>
      </c>
      <c r="Z111" s="370">
        <v>0</v>
      </c>
      <c r="AA111" s="370">
        <v>30000</v>
      </c>
      <c r="AB111" s="370">
        <v>0</v>
      </c>
      <c r="AC111" s="370">
        <v>0</v>
      </c>
      <c r="AD111" s="370">
        <v>0</v>
      </c>
      <c r="AE111" s="370">
        <v>-5000</v>
      </c>
      <c r="AF111" s="370">
        <v>25000</v>
      </c>
      <c r="AG111" s="31">
        <v>-35000</v>
      </c>
      <c r="AH111" s="31">
        <v>1</v>
      </c>
      <c r="AI111" s="31">
        <v>0</v>
      </c>
      <c r="AJ111" s="370">
        <v>1</v>
      </c>
      <c r="AK111" s="219">
        <v>0</v>
      </c>
      <c r="AL111" s="219">
        <v>0</v>
      </c>
      <c r="AM111" s="219">
        <v>0</v>
      </c>
      <c r="AN111" s="219">
        <v>0</v>
      </c>
      <c r="AO111" s="116">
        <v>0</v>
      </c>
      <c r="AP111" s="116">
        <v>1</v>
      </c>
      <c r="AQ111" s="116">
        <v>4</v>
      </c>
      <c r="AR111" s="116">
        <v>-35000</v>
      </c>
      <c r="AS111" s="116">
        <v>-5000</v>
      </c>
      <c r="AT111" s="116">
        <v>0</v>
      </c>
      <c r="AU111" s="385">
        <v>0</v>
      </c>
      <c r="AV111" s="332">
        <v>0</v>
      </c>
      <c r="AW111" s="332">
        <v>0</v>
      </c>
      <c r="AX111" s="332">
        <v>25000</v>
      </c>
      <c r="AY111" s="332">
        <v>0</v>
      </c>
      <c r="AZ111" s="332">
        <v>-0.84700425586099348</v>
      </c>
      <c r="BA111" s="332">
        <v>0</v>
      </c>
      <c r="BB111" s="31">
        <v>459204.72510231682</v>
      </c>
      <c r="BC111" s="31">
        <v>0</v>
      </c>
      <c r="BD111" s="29">
        <v>0</v>
      </c>
      <c r="BE111" s="31">
        <v>0</v>
      </c>
    </row>
    <row r="112" spans="1:57" ht="13">
      <c r="A112" s="153">
        <v>44566</v>
      </c>
      <c r="B112" s="10" t="s">
        <v>185</v>
      </c>
      <c r="C112" s="10">
        <v>44565000036</v>
      </c>
      <c r="D112" s="10" t="s">
        <v>16</v>
      </c>
      <c r="E112" s="10" t="s">
        <v>38</v>
      </c>
      <c r="F112" s="153">
        <v>44565</v>
      </c>
      <c r="G112" s="116" t="s">
        <v>39</v>
      </c>
      <c r="H112" s="116">
        <v>288205.40759999998</v>
      </c>
      <c r="I112" s="116">
        <v>211794.59240000002</v>
      </c>
      <c r="J112" s="116">
        <v>500000</v>
      </c>
      <c r="K112" s="219">
        <v>238205.40759999998</v>
      </c>
      <c r="L112" s="116">
        <v>0</v>
      </c>
      <c r="M112" s="31">
        <v>-171000</v>
      </c>
      <c r="N112" s="336">
        <v>-171000</v>
      </c>
      <c r="O112" s="336">
        <v>171000</v>
      </c>
      <c r="P112" s="219">
        <v>0</v>
      </c>
      <c r="Q112" s="332">
        <v>450</v>
      </c>
      <c r="R112" s="219">
        <v>380</v>
      </c>
      <c r="S112" s="332">
        <v>0</v>
      </c>
      <c r="T112" s="219">
        <v>0</v>
      </c>
      <c r="U112" s="332">
        <v>0</v>
      </c>
      <c r="V112" s="332">
        <v>0</v>
      </c>
      <c r="W112" s="370">
        <v>0</v>
      </c>
      <c r="X112" s="370">
        <v>10</v>
      </c>
      <c r="Y112" s="370">
        <v>0</v>
      </c>
      <c r="Z112" s="370">
        <v>0</v>
      </c>
      <c r="AA112" s="370">
        <v>0</v>
      </c>
      <c r="AB112" s="370">
        <v>390</v>
      </c>
      <c r="AC112" s="370">
        <v>0</v>
      </c>
      <c r="AD112" s="370">
        <v>0</v>
      </c>
      <c r="AE112" s="370">
        <v>0</v>
      </c>
      <c r="AF112" s="370">
        <v>-380</v>
      </c>
      <c r="AG112" s="31">
        <v>380</v>
      </c>
      <c r="AH112" s="31">
        <v>430.6</v>
      </c>
      <c r="AI112" s="31">
        <v>1</v>
      </c>
      <c r="AJ112" s="370">
        <v>1</v>
      </c>
      <c r="AK112" s="219">
        <v>430.6</v>
      </c>
      <c r="AL112" s="219">
        <v>0</v>
      </c>
      <c r="AM112" s="219">
        <v>0</v>
      </c>
      <c r="AN112" s="219">
        <v>0</v>
      </c>
      <c r="AO112" s="116">
        <v>0</v>
      </c>
      <c r="AP112" s="116">
        <v>0</v>
      </c>
      <c r="AQ112" s="116">
        <v>4</v>
      </c>
      <c r="AR112" s="116">
        <v>163628</v>
      </c>
      <c r="AS112" s="116">
        <v>167934</v>
      </c>
      <c r="AT112" s="116">
        <v>0</v>
      </c>
      <c r="AU112" s="385">
        <v>231200.16784000001</v>
      </c>
      <c r="AV112" s="332">
        <v>-5000</v>
      </c>
      <c r="AW112" s="332">
        <v>226200.16784000001</v>
      </c>
      <c r="AX112" s="332">
        <v>-163628</v>
      </c>
      <c r="AY112" s="332">
        <v>0</v>
      </c>
      <c r="AZ112" s="332">
        <v>0</v>
      </c>
      <c r="BA112" s="332">
        <v>0</v>
      </c>
      <c r="BB112" s="31">
        <v>288204.72510231682</v>
      </c>
      <c r="BC112" s="31">
        <v>288204.72510231682</v>
      </c>
      <c r="BD112" s="29">
        <v>0</v>
      </c>
      <c r="BE112" s="31">
        <v>514405.57543999999</v>
      </c>
    </row>
    <row r="113" spans="1:57" ht="13">
      <c r="A113" s="153">
        <v>44566</v>
      </c>
      <c r="B113" s="10" t="s">
        <v>186</v>
      </c>
      <c r="C113" s="10">
        <v>44561000008</v>
      </c>
      <c r="D113" s="10" t="s">
        <v>64</v>
      </c>
      <c r="E113" s="10" t="s">
        <v>64</v>
      </c>
      <c r="F113" s="153">
        <v>44561</v>
      </c>
      <c r="G113" s="116" t="s">
        <v>39</v>
      </c>
      <c r="H113" s="116">
        <v>500000</v>
      </c>
      <c r="I113" s="116">
        <v>0</v>
      </c>
      <c r="J113" s="116">
        <v>500000</v>
      </c>
      <c r="K113" s="219">
        <v>0</v>
      </c>
      <c r="L113" s="116">
        <v>0</v>
      </c>
      <c r="M113" s="31">
        <v>500000</v>
      </c>
      <c r="N113" s="336">
        <v>500000</v>
      </c>
      <c r="O113" s="336">
        <v>0</v>
      </c>
      <c r="P113" s="219">
        <v>0</v>
      </c>
      <c r="Q113" s="332">
        <v>0</v>
      </c>
      <c r="R113" s="219">
        <v>0</v>
      </c>
      <c r="S113" s="332">
        <v>0</v>
      </c>
      <c r="T113" s="219">
        <v>0</v>
      </c>
      <c r="U113" s="332">
        <v>0</v>
      </c>
      <c r="V113" s="332">
        <v>0</v>
      </c>
      <c r="W113" s="370">
        <v>0</v>
      </c>
      <c r="X113" s="370">
        <v>0</v>
      </c>
      <c r="Y113" s="370">
        <v>0</v>
      </c>
      <c r="Z113" s="370">
        <v>0</v>
      </c>
      <c r="AA113" s="370">
        <v>0</v>
      </c>
      <c r="AB113" s="370">
        <v>0</v>
      </c>
      <c r="AC113" s="370">
        <v>0</v>
      </c>
      <c r="AD113" s="370">
        <v>0</v>
      </c>
      <c r="AE113" s="370">
        <v>0</v>
      </c>
      <c r="AF113" s="370">
        <v>0</v>
      </c>
      <c r="AG113" s="31">
        <v>0</v>
      </c>
      <c r="AH113" s="31">
        <v>1</v>
      </c>
      <c r="AI113" s="31">
        <v>0</v>
      </c>
      <c r="AJ113" s="370">
        <v>1</v>
      </c>
      <c r="AK113" s="219">
        <v>0</v>
      </c>
      <c r="AL113" s="219">
        <v>0</v>
      </c>
      <c r="AM113" s="219">
        <v>0</v>
      </c>
      <c r="AN113" s="219">
        <v>0</v>
      </c>
      <c r="AO113" s="116">
        <v>0</v>
      </c>
      <c r="AP113" s="116">
        <v>0</v>
      </c>
      <c r="AQ113" s="116">
        <v>1</v>
      </c>
      <c r="AR113" s="116">
        <v>0</v>
      </c>
      <c r="AS113" s="116">
        <v>0</v>
      </c>
      <c r="AT113" s="116">
        <v>1</v>
      </c>
      <c r="AU113" s="385">
        <v>0</v>
      </c>
      <c r="AV113" s="332">
        <v>0</v>
      </c>
      <c r="AW113" s="332">
        <v>0</v>
      </c>
      <c r="AX113" s="332">
        <v>500000</v>
      </c>
      <c r="AY113" s="332">
        <v>0</v>
      </c>
      <c r="AZ113" s="332">
        <v>0</v>
      </c>
      <c r="BA113" s="332">
        <v>0</v>
      </c>
      <c r="BB113" s="31">
        <v>500000</v>
      </c>
      <c r="BC113" s="31">
        <v>0</v>
      </c>
      <c r="BD113" s="29">
        <v>0</v>
      </c>
      <c r="BE113" s="31">
        <v>0</v>
      </c>
    </row>
    <row r="114" spans="1:57" ht="13">
      <c r="A114" s="153">
        <v>44566</v>
      </c>
      <c r="B114" s="10" t="s">
        <v>186</v>
      </c>
      <c r="C114" s="10">
        <v>44563000037</v>
      </c>
      <c r="D114" s="10" t="s">
        <v>16</v>
      </c>
      <c r="E114" s="10" t="s">
        <v>0</v>
      </c>
      <c r="F114" s="153">
        <v>44563</v>
      </c>
      <c r="G114" s="116" t="s">
        <v>41</v>
      </c>
      <c r="H114" s="116">
        <v>409954.46750000003</v>
      </c>
      <c r="I114" s="116">
        <v>90045.532500000001</v>
      </c>
      <c r="J114" s="116">
        <v>500000</v>
      </c>
      <c r="K114" s="219">
        <v>409954.46750000003</v>
      </c>
      <c r="L114" s="116">
        <v>0</v>
      </c>
      <c r="M114" s="31">
        <v>-90045.532500000001</v>
      </c>
      <c r="N114" s="336">
        <v>-90045.532500000001</v>
      </c>
      <c r="O114" s="336">
        <v>90045.532500000001</v>
      </c>
      <c r="P114" s="219">
        <v>0</v>
      </c>
      <c r="Q114" s="332">
        <v>3001.51775</v>
      </c>
      <c r="R114" s="219">
        <v>30</v>
      </c>
      <c r="S114" s="332">
        <v>0</v>
      </c>
      <c r="T114" s="219">
        <v>0</v>
      </c>
      <c r="U114" s="332">
        <v>0</v>
      </c>
      <c r="V114" s="332">
        <v>0</v>
      </c>
      <c r="W114" s="370">
        <v>0</v>
      </c>
      <c r="X114" s="370">
        <v>0</v>
      </c>
      <c r="Y114" s="370">
        <v>0</v>
      </c>
      <c r="Z114" s="370">
        <v>0</v>
      </c>
      <c r="AA114" s="370">
        <v>0</v>
      </c>
      <c r="AB114" s="370">
        <v>30</v>
      </c>
      <c r="AC114" s="370">
        <v>0</v>
      </c>
      <c r="AD114" s="370">
        <v>0</v>
      </c>
      <c r="AE114" s="370">
        <v>0</v>
      </c>
      <c r="AF114" s="370">
        <v>-30</v>
      </c>
      <c r="AG114" s="31">
        <v>30</v>
      </c>
      <c r="AH114" s="31">
        <v>398.63</v>
      </c>
      <c r="AI114" s="31">
        <v>0</v>
      </c>
      <c r="AJ114" s="370">
        <v>7.7952399999999997</v>
      </c>
      <c r="AK114" s="219">
        <v>398.63</v>
      </c>
      <c r="AL114" s="219">
        <v>0</v>
      </c>
      <c r="AM114" s="219">
        <v>0</v>
      </c>
      <c r="AN114" s="219">
        <v>0</v>
      </c>
      <c r="AO114" s="116">
        <v>0</v>
      </c>
      <c r="AP114" s="116">
        <v>0</v>
      </c>
      <c r="AQ114" s="116">
        <v>2</v>
      </c>
      <c r="AR114" s="116">
        <v>93222.495635999992</v>
      </c>
      <c r="AS114" s="116">
        <v>93222.495635999992</v>
      </c>
      <c r="AT114" s="116">
        <v>1</v>
      </c>
      <c r="AU114" s="385">
        <v>0</v>
      </c>
      <c r="AV114" s="332">
        <v>0</v>
      </c>
      <c r="AW114" s="332">
        <v>0</v>
      </c>
      <c r="AX114" s="332">
        <v>-93222.495635999992</v>
      </c>
      <c r="AY114" s="332">
        <v>0</v>
      </c>
      <c r="AZ114" s="332">
        <v>0</v>
      </c>
      <c r="BA114" s="332">
        <v>0</v>
      </c>
      <c r="BB114" s="31">
        <v>409954.46750000003</v>
      </c>
      <c r="BC114" s="31">
        <v>0</v>
      </c>
      <c r="BD114" s="29">
        <v>0</v>
      </c>
      <c r="BE114" s="31">
        <v>0</v>
      </c>
    </row>
    <row r="115" spans="1:57" ht="13">
      <c r="A115" s="153">
        <v>44566</v>
      </c>
      <c r="B115" s="10" t="s">
        <v>186</v>
      </c>
      <c r="C115" s="10">
        <v>44563000038</v>
      </c>
      <c r="D115" s="10" t="s">
        <v>16</v>
      </c>
      <c r="E115" s="10" t="s">
        <v>38</v>
      </c>
      <c r="F115" s="153">
        <v>44563</v>
      </c>
      <c r="G115" s="116" t="s">
        <v>39</v>
      </c>
      <c r="H115" s="116">
        <v>396154.46750000003</v>
      </c>
      <c r="I115" s="116">
        <v>103845.5325</v>
      </c>
      <c r="J115" s="116">
        <v>500000</v>
      </c>
      <c r="K115" s="219">
        <v>396154.46750000003</v>
      </c>
      <c r="L115" s="116">
        <v>0</v>
      </c>
      <c r="M115" s="31">
        <v>-13800</v>
      </c>
      <c r="N115" s="336">
        <v>-13800</v>
      </c>
      <c r="O115" s="336">
        <v>13800</v>
      </c>
      <c r="P115" s="219">
        <v>0</v>
      </c>
      <c r="Q115" s="332">
        <v>460</v>
      </c>
      <c r="R115" s="219">
        <v>30</v>
      </c>
      <c r="S115" s="332">
        <v>0</v>
      </c>
      <c r="T115" s="219">
        <v>0</v>
      </c>
      <c r="U115" s="332">
        <v>0</v>
      </c>
      <c r="V115" s="332">
        <v>0</v>
      </c>
      <c r="W115" s="370">
        <v>0</v>
      </c>
      <c r="X115" s="370">
        <v>0</v>
      </c>
      <c r="Y115" s="370">
        <v>0</v>
      </c>
      <c r="Z115" s="370">
        <v>0</v>
      </c>
      <c r="AA115" s="370">
        <v>0</v>
      </c>
      <c r="AB115" s="370">
        <v>30</v>
      </c>
      <c r="AC115" s="370">
        <v>0</v>
      </c>
      <c r="AD115" s="370">
        <v>0</v>
      </c>
      <c r="AE115" s="370">
        <v>0</v>
      </c>
      <c r="AF115" s="370">
        <v>-30</v>
      </c>
      <c r="AG115" s="31">
        <v>30</v>
      </c>
      <c r="AH115" s="31">
        <v>430.6</v>
      </c>
      <c r="AI115" s="31">
        <v>0</v>
      </c>
      <c r="AJ115" s="370">
        <v>1</v>
      </c>
      <c r="AK115" s="219">
        <v>430.6</v>
      </c>
      <c r="AL115" s="219">
        <v>0</v>
      </c>
      <c r="AM115" s="219">
        <v>0</v>
      </c>
      <c r="AN115" s="219">
        <v>0</v>
      </c>
      <c r="AO115" s="116">
        <v>0</v>
      </c>
      <c r="AP115" s="116">
        <v>0</v>
      </c>
      <c r="AQ115" s="116">
        <v>3</v>
      </c>
      <c r="AR115" s="116">
        <v>12918</v>
      </c>
      <c r="AS115" s="116">
        <v>12918</v>
      </c>
      <c r="AT115" s="116">
        <v>1</v>
      </c>
      <c r="AU115" s="385">
        <v>0</v>
      </c>
      <c r="AV115" s="332">
        <v>0</v>
      </c>
      <c r="AW115" s="332">
        <v>0</v>
      </c>
      <c r="AX115" s="332">
        <v>-12918</v>
      </c>
      <c r="AY115" s="332">
        <v>0</v>
      </c>
      <c r="AZ115" s="332">
        <v>0</v>
      </c>
      <c r="BA115" s="332">
        <v>0</v>
      </c>
      <c r="BB115" s="31">
        <v>396154.46750000003</v>
      </c>
      <c r="BC115" s="31">
        <v>0</v>
      </c>
      <c r="BD115" s="29">
        <v>0</v>
      </c>
      <c r="BE115" s="31">
        <v>0</v>
      </c>
    </row>
    <row r="116" spans="1:57" ht="13">
      <c r="A116" s="153">
        <v>44566</v>
      </c>
      <c r="B116" s="10" t="s">
        <v>186</v>
      </c>
      <c r="C116" s="10">
        <v>44564000045</v>
      </c>
      <c r="D116" s="10" t="s">
        <v>18</v>
      </c>
      <c r="E116" s="10" t="s">
        <v>7</v>
      </c>
      <c r="F116" s="153">
        <v>44564</v>
      </c>
      <c r="G116" s="116" t="s">
        <v>41</v>
      </c>
      <c r="H116" s="116">
        <v>365251.58795000002</v>
      </c>
      <c r="I116" s="116">
        <v>134748.41205000001</v>
      </c>
      <c r="J116" s="116">
        <v>500000</v>
      </c>
      <c r="K116" s="219">
        <v>365251.58795000002</v>
      </c>
      <c r="L116" s="116">
        <v>0</v>
      </c>
      <c r="M116" s="31">
        <v>-30902.879550000001</v>
      </c>
      <c r="N116" s="336">
        <v>-30902.879550000005</v>
      </c>
      <c r="O116" s="336">
        <v>0</v>
      </c>
      <c r="P116" s="219">
        <v>0</v>
      </c>
      <c r="Q116" s="332">
        <v>0</v>
      </c>
      <c r="R116" s="219">
        <v>0</v>
      </c>
      <c r="S116" s="332">
        <v>13.21</v>
      </c>
      <c r="T116" s="219">
        <v>30</v>
      </c>
      <c r="U116" s="332">
        <v>0</v>
      </c>
      <c r="V116" s="332">
        <v>0</v>
      </c>
      <c r="W116" s="370">
        <v>0</v>
      </c>
      <c r="X116" s="370">
        <v>0</v>
      </c>
      <c r="Y116" s="370">
        <v>0</v>
      </c>
      <c r="Z116" s="370">
        <v>0</v>
      </c>
      <c r="AA116" s="370">
        <v>0</v>
      </c>
      <c r="AB116" s="370">
        <v>0</v>
      </c>
      <c r="AC116" s="370">
        <v>30</v>
      </c>
      <c r="AD116" s="370">
        <v>0</v>
      </c>
      <c r="AE116" s="370">
        <v>0</v>
      </c>
      <c r="AF116" s="370">
        <v>-30</v>
      </c>
      <c r="AG116" s="31">
        <v>30</v>
      </c>
      <c r="AH116" s="31">
        <v>20.29</v>
      </c>
      <c r="AI116" s="31">
        <v>0</v>
      </c>
      <c r="AJ116" s="370">
        <v>7.7952399999999997</v>
      </c>
      <c r="AK116" s="219">
        <v>0</v>
      </c>
      <c r="AL116" s="219">
        <v>20.29</v>
      </c>
      <c r="AM116" s="219">
        <v>22.71</v>
      </c>
      <c r="AN116" s="219">
        <v>0</v>
      </c>
      <c r="AO116" s="116">
        <v>0</v>
      </c>
      <c r="AP116" s="116">
        <v>0</v>
      </c>
      <c r="AQ116" s="116">
        <v>4</v>
      </c>
      <c r="AR116" s="116">
        <v>47449.62588</v>
      </c>
      <c r="AS116" s="116">
        <v>47449.62588</v>
      </c>
      <c r="AT116" s="116">
        <v>1</v>
      </c>
      <c r="AU116" s="385">
        <v>0</v>
      </c>
      <c r="AV116" s="332">
        <v>0</v>
      </c>
      <c r="AW116" s="332">
        <v>0</v>
      </c>
      <c r="AX116" s="332">
        <v>-50279.297999999995</v>
      </c>
      <c r="AY116" s="332">
        <v>0</v>
      </c>
      <c r="AZ116" s="332">
        <v>0</v>
      </c>
      <c r="BA116" s="332">
        <v>0</v>
      </c>
      <c r="BB116" s="31">
        <v>365251.58795000002</v>
      </c>
      <c r="BC116" s="31">
        <v>0</v>
      </c>
      <c r="BD116" s="29">
        <v>0</v>
      </c>
      <c r="BE116" s="31">
        <v>0</v>
      </c>
    </row>
    <row r="117" spans="1:57" ht="13">
      <c r="A117" s="153">
        <v>44566</v>
      </c>
      <c r="B117" s="10" t="s">
        <v>186</v>
      </c>
      <c r="C117" s="10">
        <v>44565000046</v>
      </c>
      <c r="D117" s="10" t="s">
        <v>18</v>
      </c>
      <c r="E117" s="10" t="s">
        <v>7</v>
      </c>
      <c r="F117" s="153">
        <v>44565</v>
      </c>
      <c r="G117" s="116" t="s">
        <v>41</v>
      </c>
      <c r="H117" s="116">
        <v>382070.50044999999</v>
      </c>
      <c r="I117" s="116">
        <v>117929.49955000001</v>
      </c>
      <c r="J117" s="116">
        <v>500000</v>
      </c>
      <c r="K117" s="219">
        <v>382070.50044999999</v>
      </c>
      <c r="L117" s="116">
        <v>0</v>
      </c>
      <c r="M117" s="31">
        <v>16818.912500000002</v>
      </c>
      <c r="N117" s="336">
        <v>16818.912500000002</v>
      </c>
      <c r="O117" s="336">
        <v>0</v>
      </c>
      <c r="P117" s="219">
        <v>0</v>
      </c>
      <c r="Q117" s="332">
        <v>0</v>
      </c>
      <c r="R117" s="219">
        <v>0</v>
      </c>
      <c r="S117" s="332">
        <v>10.79</v>
      </c>
      <c r="T117" s="219">
        <v>-20</v>
      </c>
      <c r="U117" s="332">
        <v>0</v>
      </c>
      <c r="V117" s="332">
        <v>0</v>
      </c>
      <c r="W117" s="370">
        <v>0</v>
      </c>
      <c r="X117" s="370">
        <v>0</v>
      </c>
      <c r="Y117" s="370">
        <v>30</v>
      </c>
      <c r="Z117" s="370">
        <v>0</v>
      </c>
      <c r="AA117" s="370">
        <v>0</v>
      </c>
      <c r="AB117" s="370">
        <v>0</v>
      </c>
      <c r="AC117" s="370">
        <v>10</v>
      </c>
      <c r="AD117" s="370">
        <v>0</v>
      </c>
      <c r="AE117" s="370">
        <v>0</v>
      </c>
      <c r="AF117" s="370">
        <v>20</v>
      </c>
      <c r="AG117" s="31">
        <v>-20</v>
      </c>
      <c r="AH117" s="31"/>
      <c r="AI117" s="31">
        <v>1</v>
      </c>
      <c r="AJ117" s="370">
        <v>7.7952399999999997</v>
      </c>
      <c r="AK117" s="219">
        <v>0</v>
      </c>
      <c r="AL117" s="219">
        <v>20.29</v>
      </c>
      <c r="AM117" s="219">
        <v>22.71</v>
      </c>
      <c r="AN117" s="219">
        <v>0</v>
      </c>
      <c r="AO117" s="116">
        <v>0</v>
      </c>
      <c r="AP117" s="116">
        <v>0</v>
      </c>
      <c r="AQ117" s="116">
        <v>4</v>
      </c>
      <c r="AR117" s="116">
        <v>0</v>
      </c>
      <c r="AS117" s="116">
        <v>47449.62588</v>
      </c>
      <c r="AT117" s="116">
        <v>0</v>
      </c>
      <c r="AU117" s="385">
        <v>153590.12151599998</v>
      </c>
      <c r="AV117" s="332">
        <v>0</v>
      </c>
      <c r="AW117" s="332">
        <v>153590.12151599998</v>
      </c>
      <c r="AX117" s="332">
        <v>33519.531999999999</v>
      </c>
      <c r="AY117" s="332">
        <v>0</v>
      </c>
      <c r="AZ117" s="332">
        <v>0</v>
      </c>
      <c r="BA117" s="332">
        <v>0</v>
      </c>
      <c r="BB117" s="31">
        <v>382070.50044999999</v>
      </c>
      <c r="BC117" s="31">
        <v>382070.50044999999</v>
      </c>
      <c r="BD117" s="29">
        <v>0</v>
      </c>
      <c r="BE117" s="31">
        <v>535660.62196599995</v>
      </c>
    </row>
    <row r="118" spans="1:57" ht="13">
      <c r="A118" s="153">
        <v>44566</v>
      </c>
      <c r="B118" s="10" t="s">
        <v>187</v>
      </c>
      <c r="C118" s="10">
        <v>44561000009</v>
      </c>
      <c r="D118" s="10" t="s">
        <v>64</v>
      </c>
      <c r="E118" s="10" t="s">
        <v>64</v>
      </c>
      <c r="F118" s="153">
        <v>44561</v>
      </c>
      <c r="G118" s="116" t="s">
        <v>39</v>
      </c>
      <c r="H118" s="116">
        <v>500000</v>
      </c>
      <c r="I118" s="116">
        <v>0</v>
      </c>
      <c r="J118" s="116">
        <v>500000</v>
      </c>
      <c r="K118" s="219">
        <v>0</v>
      </c>
      <c r="L118" s="116">
        <v>0</v>
      </c>
      <c r="M118" s="31">
        <v>500000</v>
      </c>
      <c r="N118" s="336">
        <v>500000</v>
      </c>
      <c r="O118" s="336">
        <v>0</v>
      </c>
      <c r="P118" s="219">
        <v>0</v>
      </c>
      <c r="Q118" s="332">
        <v>0</v>
      </c>
      <c r="R118" s="219">
        <v>0</v>
      </c>
      <c r="S118" s="332">
        <v>0</v>
      </c>
      <c r="T118" s="219">
        <v>0</v>
      </c>
      <c r="U118" s="332">
        <v>0</v>
      </c>
      <c r="V118" s="332">
        <v>0</v>
      </c>
      <c r="W118" s="370">
        <v>0</v>
      </c>
      <c r="X118" s="370">
        <v>0</v>
      </c>
      <c r="Y118" s="370">
        <v>0</v>
      </c>
      <c r="Z118" s="370">
        <v>0</v>
      </c>
      <c r="AA118" s="370">
        <v>0</v>
      </c>
      <c r="AB118" s="370">
        <v>0</v>
      </c>
      <c r="AC118" s="370">
        <v>0</v>
      </c>
      <c r="AD118" s="370">
        <v>0</v>
      </c>
      <c r="AE118" s="370">
        <v>0</v>
      </c>
      <c r="AF118" s="370">
        <v>0</v>
      </c>
      <c r="AG118" s="31">
        <v>0</v>
      </c>
      <c r="AH118" s="31">
        <v>1</v>
      </c>
      <c r="AI118" s="31">
        <v>0</v>
      </c>
      <c r="AJ118" s="370">
        <v>1</v>
      </c>
      <c r="AK118" s="219">
        <v>0</v>
      </c>
      <c r="AL118" s="219">
        <v>0</v>
      </c>
      <c r="AM118" s="219">
        <v>0</v>
      </c>
      <c r="AN118" s="219">
        <v>0</v>
      </c>
      <c r="AO118" s="116">
        <v>0</v>
      </c>
      <c r="AP118" s="116">
        <v>0</v>
      </c>
      <c r="AQ118" s="116">
        <v>1</v>
      </c>
      <c r="AR118" s="116">
        <v>0</v>
      </c>
      <c r="AS118" s="116">
        <v>0</v>
      </c>
      <c r="AT118" s="116">
        <v>1</v>
      </c>
      <c r="AU118" s="385">
        <v>0</v>
      </c>
      <c r="AV118" s="332">
        <v>0</v>
      </c>
      <c r="AW118" s="332">
        <v>0</v>
      </c>
      <c r="AX118" s="332">
        <v>500000</v>
      </c>
      <c r="AY118" s="332">
        <v>0</v>
      </c>
      <c r="AZ118" s="332">
        <v>0</v>
      </c>
      <c r="BA118" s="332">
        <v>0</v>
      </c>
      <c r="BB118" s="31">
        <v>500000</v>
      </c>
      <c r="BC118" s="31">
        <v>0</v>
      </c>
      <c r="BD118" s="29">
        <v>0</v>
      </c>
      <c r="BE118" s="31">
        <v>0</v>
      </c>
    </row>
    <row r="119" spans="1:57" ht="13">
      <c r="A119" s="153">
        <v>44566</v>
      </c>
      <c r="B119" s="10" t="s">
        <v>187</v>
      </c>
      <c r="C119" s="10">
        <v>44566000040</v>
      </c>
      <c r="D119" s="10" t="s">
        <v>21</v>
      </c>
      <c r="E119" s="10" t="s">
        <v>4</v>
      </c>
      <c r="F119" s="153">
        <v>44566</v>
      </c>
      <c r="G119" s="116" t="s">
        <v>41</v>
      </c>
      <c r="H119" s="116">
        <v>527283.34</v>
      </c>
      <c r="I119" s="116">
        <v>-27283.34</v>
      </c>
      <c r="J119" s="116">
        <v>499999.99999999994</v>
      </c>
      <c r="K119" s="219">
        <v>149214.20000000001</v>
      </c>
      <c r="L119" s="116">
        <v>0</v>
      </c>
      <c r="M119" s="31">
        <v>27283.34</v>
      </c>
      <c r="N119" s="336">
        <v>-350785.8</v>
      </c>
      <c r="O119" s="336">
        <v>0</v>
      </c>
      <c r="P119" s="219">
        <v>0</v>
      </c>
      <c r="Q119" s="332">
        <v>0</v>
      </c>
      <c r="R119" s="219">
        <v>0</v>
      </c>
      <c r="S119" s="332">
        <v>0</v>
      </c>
      <c r="T119" s="219">
        <v>0</v>
      </c>
      <c r="U119" s="332">
        <v>3.5</v>
      </c>
      <c r="V119" s="332">
        <v>-10</v>
      </c>
      <c r="W119" s="370">
        <v>0</v>
      </c>
      <c r="X119" s="370">
        <v>0</v>
      </c>
      <c r="Y119" s="370">
        <v>0</v>
      </c>
      <c r="Z119" s="370">
        <v>0</v>
      </c>
      <c r="AA119" s="370">
        <v>0</v>
      </c>
      <c r="AB119" s="370">
        <v>0</v>
      </c>
      <c r="AC119" s="370">
        <v>0</v>
      </c>
      <c r="AD119" s="370">
        <v>-10</v>
      </c>
      <c r="AE119" s="370">
        <v>0</v>
      </c>
      <c r="AF119" s="370">
        <v>0</v>
      </c>
      <c r="AG119" s="31">
        <v>-10</v>
      </c>
      <c r="AH119" s="31">
        <v>4.3999999999999986</v>
      </c>
      <c r="AI119" s="31">
        <v>0</v>
      </c>
      <c r="AJ119" s="370">
        <v>7.7952399999999997</v>
      </c>
      <c r="AK119" s="219">
        <v>0</v>
      </c>
      <c r="AL119" s="219">
        <v>0</v>
      </c>
      <c r="AM119" s="219">
        <v>0</v>
      </c>
      <c r="AN119" s="219">
        <v>4.3999999999999986</v>
      </c>
      <c r="AO119" s="116">
        <v>45</v>
      </c>
      <c r="AP119" s="116">
        <v>0</v>
      </c>
      <c r="AQ119" s="116">
        <v>2</v>
      </c>
      <c r="AR119" s="116">
        <v>-34299.055999999982</v>
      </c>
      <c r="AS119" s="116">
        <v>-34299.055999999982</v>
      </c>
      <c r="AT119" s="116">
        <v>1</v>
      </c>
      <c r="AU119" s="385">
        <v>0</v>
      </c>
      <c r="AV119" s="332">
        <v>0</v>
      </c>
      <c r="AW119" s="332">
        <v>0</v>
      </c>
      <c r="AX119" s="332">
        <v>0</v>
      </c>
      <c r="AY119" s="332">
        <v>0</v>
      </c>
      <c r="AZ119" s="332">
        <v>0</v>
      </c>
      <c r="BA119" s="332">
        <v>0</v>
      </c>
      <c r="BB119" s="31">
        <v>527283.34</v>
      </c>
      <c r="BC119" s="31">
        <v>0</v>
      </c>
      <c r="BD119" s="29">
        <v>0</v>
      </c>
      <c r="BE119" s="31">
        <v>0</v>
      </c>
    </row>
    <row r="120" spans="1:57" ht="13">
      <c r="A120" s="153">
        <v>44566</v>
      </c>
      <c r="B120" s="10" t="s">
        <v>187</v>
      </c>
      <c r="C120" s="10">
        <v>44566000041</v>
      </c>
      <c r="D120" s="10" t="s">
        <v>21</v>
      </c>
      <c r="E120" s="10" t="s">
        <v>5</v>
      </c>
      <c r="F120" s="153">
        <v>44566</v>
      </c>
      <c r="G120" s="116" t="s">
        <v>41</v>
      </c>
      <c r="H120" s="116">
        <v>507795.24</v>
      </c>
      <c r="I120" s="116">
        <v>-7795.2400000000016</v>
      </c>
      <c r="J120" s="116">
        <v>500000</v>
      </c>
      <c r="K120" s="219">
        <v>461023.8</v>
      </c>
      <c r="L120" s="116">
        <v>0</v>
      </c>
      <c r="M120" s="31">
        <v>-19488.099999999999</v>
      </c>
      <c r="N120" s="336">
        <v>311809.59999999998</v>
      </c>
      <c r="O120" s="336">
        <v>0</v>
      </c>
      <c r="P120" s="219">
        <v>0</v>
      </c>
      <c r="Q120" s="332">
        <v>0</v>
      </c>
      <c r="R120" s="219">
        <v>0</v>
      </c>
      <c r="S120" s="332">
        <v>0</v>
      </c>
      <c r="T120" s="219">
        <v>0</v>
      </c>
      <c r="U120" s="332">
        <v>2.5</v>
      </c>
      <c r="V120" s="332">
        <v>10</v>
      </c>
      <c r="W120" s="370">
        <v>0</v>
      </c>
      <c r="X120" s="370">
        <v>0</v>
      </c>
      <c r="Y120" s="370">
        <v>0</v>
      </c>
      <c r="Z120" s="370">
        <v>0</v>
      </c>
      <c r="AA120" s="370">
        <v>0</v>
      </c>
      <c r="AB120" s="370">
        <v>0</v>
      </c>
      <c r="AC120" s="370">
        <v>0</v>
      </c>
      <c r="AD120" s="370">
        <v>10</v>
      </c>
      <c r="AE120" s="370">
        <v>0</v>
      </c>
      <c r="AF120" s="370">
        <v>0</v>
      </c>
      <c r="AG120" s="31">
        <v>10</v>
      </c>
      <c r="AH120" s="31">
        <v>3.4000000000000008</v>
      </c>
      <c r="AI120" s="31">
        <v>1</v>
      </c>
      <c r="AJ120" s="370">
        <v>7.7952399999999997</v>
      </c>
      <c r="AK120" s="219">
        <v>0</v>
      </c>
      <c r="AL120" s="219">
        <v>0</v>
      </c>
      <c r="AM120" s="219">
        <v>0</v>
      </c>
      <c r="AN120" s="219">
        <v>3.4000000000000008</v>
      </c>
      <c r="AO120" s="116">
        <v>40</v>
      </c>
      <c r="AP120" s="116">
        <v>0</v>
      </c>
      <c r="AQ120" s="116">
        <v>3</v>
      </c>
      <c r="AR120" s="116">
        <v>26503.816000000006</v>
      </c>
      <c r="AS120" s="116">
        <v>26503.816000000006</v>
      </c>
      <c r="AT120" s="116">
        <v>1</v>
      </c>
      <c r="AU120" s="385">
        <v>26503.816000000006</v>
      </c>
      <c r="AV120" s="332">
        <v>-34299.055999999982</v>
      </c>
      <c r="AW120" s="332">
        <v>-7795.2399999999761</v>
      </c>
      <c r="AX120" s="332">
        <v>0</v>
      </c>
      <c r="AY120" s="332">
        <v>0</v>
      </c>
      <c r="AZ120" s="332">
        <v>0</v>
      </c>
      <c r="BA120" s="332">
        <v>0</v>
      </c>
      <c r="BB120" s="31">
        <v>507795.24</v>
      </c>
      <c r="BC120" s="31">
        <v>507795.24</v>
      </c>
      <c r="BD120" s="29">
        <v>0</v>
      </c>
      <c r="BE120" s="31">
        <v>500000</v>
      </c>
    </row>
    <row r="121" spans="1:57" ht="13">
      <c r="A121" s="153">
        <v>44566</v>
      </c>
      <c r="B121" s="10" t="s">
        <v>188</v>
      </c>
      <c r="C121" s="10">
        <v>44561000010</v>
      </c>
      <c r="D121" s="10" t="s">
        <v>64</v>
      </c>
      <c r="E121" s="10" t="s">
        <v>64</v>
      </c>
      <c r="F121" s="153">
        <v>44561</v>
      </c>
      <c r="G121" s="116" t="s">
        <v>39</v>
      </c>
      <c r="H121" s="116">
        <v>500000</v>
      </c>
      <c r="I121" s="116">
        <v>0</v>
      </c>
      <c r="J121" s="116">
        <v>500000</v>
      </c>
      <c r="K121" s="219">
        <v>0</v>
      </c>
      <c r="L121" s="116">
        <v>0</v>
      </c>
      <c r="M121" s="31">
        <v>500000</v>
      </c>
      <c r="N121" s="336">
        <v>500000</v>
      </c>
      <c r="O121" s="336">
        <v>0</v>
      </c>
      <c r="P121" s="219">
        <v>0</v>
      </c>
      <c r="Q121" s="332">
        <v>0</v>
      </c>
      <c r="R121" s="219">
        <v>0</v>
      </c>
      <c r="S121" s="332">
        <v>0</v>
      </c>
      <c r="T121" s="219">
        <v>0</v>
      </c>
      <c r="U121" s="332">
        <v>0</v>
      </c>
      <c r="V121" s="332">
        <v>0</v>
      </c>
      <c r="W121" s="370">
        <v>0</v>
      </c>
      <c r="X121" s="370">
        <v>0</v>
      </c>
      <c r="Y121" s="370">
        <v>0</v>
      </c>
      <c r="Z121" s="370">
        <v>0</v>
      </c>
      <c r="AA121" s="370">
        <v>0</v>
      </c>
      <c r="AB121" s="370">
        <v>0</v>
      </c>
      <c r="AC121" s="370">
        <v>0</v>
      </c>
      <c r="AD121" s="370">
        <v>0</v>
      </c>
      <c r="AE121" s="370">
        <v>0</v>
      </c>
      <c r="AF121" s="370">
        <v>0</v>
      </c>
      <c r="AG121" s="31">
        <v>0</v>
      </c>
      <c r="AH121" s="31">
        <v>1</v>
      </c>
      <c r="AI121" s="31">
        <v>1</v>
      </c>
      <c r="AJ121" s="370">
        <v>1</v>
      </c>
      <c r="AK121" s="219">
        <v>0</v>
      </c>
      <c r="AL121" s="219">
        <v>0</v>
      </c>
      <c r="AM121" s="219">
        <v>0</v>
      </c>
      <c r="AN121" s="219">
        <v>0</v>
      </c>
      <c r="AO121" s="116">
        <v>0</v>
      </c>
      <c r="AP121" s="116">
        <v>0</v>
      </c>
      <c r="AQ121" s="116">
        <v>1</v>
      </c>
      <c r="AR121" s="116">
        <v>0</v>
      </c>
      <c r="AS121" s="116">
        <v>0</v>
      </c>
      <c r="AT121" s="116">
        <v>1</v>
      </c>
      <c r="AU121" s="385">
        <v>0</v>
      </c>
      <c r="AV121" s="332">
        <v>0</v>
      </c>
      <c r="AW121" s="332">
        <v>0</v>
      </c>
      <c r="AX121" s="332">
        <v>500000</v>
      </c>
      <c r="AY121" s="332">
        <v>0</v>
      </c>
      <c r="AZ121" s="332">
        <v>0</v>
      </c>
      <c r="BA121" s="332">
        <v>0</v>
      </c>
      <c r="BB121" s="31">
        <v>500000</v>
      </c>
      <c r="BC121" s="31">
        <v>500000</v>
      </c>
      <c r="BD121" s="29">
        <v>0</v>
      </c>
      <c r="BE121" s="31">
        <v>500000</v>
      </c>
    </row>
    <row r="122" spans="1:57" ht="13">
      <c r="A122" s="153">
        <v>44567</v>
      </c>
      <c r="B122" s="10" t="s">
        <v>183</v>
      </c>
      <c r="C122" s="10">
        <v>44561000005</v>
      </c>
      <c r="D122" s="10" t="s">
        <v>64</v>
      </c>
      <c r="E122" s="10" t="s">
        <v>64</v>
      </c>
      <c r="F122" s="153">
        <v>44561</v>
      </c>
      <c r="G122" s="116" t="s">
        <v>39</v>
      </c>
      <c r="H122" s="116">
        <v>500000</v>
      </c>
      <c r="I122" s="116">
        <v>0</v>
      </c>
      <c r="J122" s="116">
        <v>500000</v>
      </c>
      <c r="K122" s="219">
        <v>0</v>
      </c>
      <c r="L122" s="116">
        <v>0</v>
      </c>
      <c r="M122" s="31">
        <v>500000</v>
      </c>
      <c r="N122" s="336">
        <v>500000</v>
      </c>
      <c r="O122" s="336">
        <v>0</v>
      </c>
      <c r="P122" s="219">
        <v>0</v>
      </c>
      <c r="Q122" s="332">
        <v>0</v>
      </c>
      <c r="R122" s="219">
        <v>0</v>
      </c>
      <c r="S122" s="332">
        <v>0</v>
      </c>
      <c r="T122" s="219">
        <v>0</v>
      </c>
      <c r="U122" s="332">
        <v>0</v>
      </c>
      <c r="V122" s="332">
        <v>0</v>
      </c>
      <c r="W122" s="370">
        <v>0</v>
      </c>
      <c r="X122" s="370">
        <v>0</v>
      </c>
      <c r="Y122" s="370">
        <v>0</v>
      </c>
      <c r="Z122" s="370">
        <v>0</v>
      </c>
      <c r="AA122" s="370">
        <v>0</v>
      </c>
      <c r="AB122" s="370">
        <v>0</v>
      </c>
      <c r="AC122" s="370">
        <v>0</v>
      </c>
      <c r="AD122" s="370">
        <v>0</v>
      </c>
      <c r="AE122" s="370">
        <v>0</v>
      </c>
      <c r="AF122" s="370">
        <v>0</v>
      </c>
      <c r="AG122" s="31">
        <v>0</v>
      </c>
      <c r="AH122" s="31">
        <v>1</v>
      </c>
      <c r="AI122" s="31">
        <v>0</v>
      </c>
      <c r="AJ122" s="370">
        <v>1</v>
      </c>
      <c r="AK122" s="219">
        <v>0</v>
      </c>
      <c r="AL122" s="219">
        <v>0</v>
      </c>
      <c r="AM122" s="219">
        <v>0</v>
      </c>
      <c r="AN122" s="219">
        <v>0</v>
      </c>
      <c r="AO122" s="116">
        <v>0</v>
      </c>
      <c r="AP122" s="116">
        <v>0</v>
      </c>
      <c r="AQ122" s="116">
        <v>1</v>
      </c>
      <c r="AR122" s="116">
        <v>0</v>
      </c>
      <c r="AS122" s="116">
        <v>0</v>
      </c>
      <c r="AT122" s="116">
        <v>1</v>
      </c>
      <c r="AU122" s="385">
        <v>0</v>
      </c>
      <c r="AV122" s="332">
        <v>0</v>
      </c>
      <c r="AW122" s="332">
        <v>0</v>
      </c>
      <c r="AX122" s="332">
        <v>500000</v>
      </c>
      <c r="AY122" s="332">
        <v>0</v>
      </c>
      <c r="AZ122" s="332">
        <v>0</v>
      </c>
      <c r="BA122" s="332">
        <v>0</v>
      </c>
      <c r="BB122" s="31">
        <v>499993.84474209207</v>
      </c>
      <c r="BC122" s="31">
        <v>0</v>
      </c>
      <c r="BD122" s="29">
        <v>0</v>
      </c>
      <c r="BE122" s="29">
        <v>0</v>
      </c>
    </row>
    <row r="123" spans="1:57" ht="13">
      <c r="A123" s="153">
        <v>44567</v>
      </c>
      <c r="B123" s="10" t="s">
        <v>183</v>
      </c>
      <c r="C123" s="10">
        <v>44562000011</v>
      </c>
      <c r="D123" s="10" t="s">
        <v>16</v>
      </c>
      <c r="E123" s="10" t="s">
        <v>42</v>
      </c>
      <c r="F123" s="153">
        <v>44562</v>
      </c>
      <c r="G123" s="116" t="s">
        <v>41</v>
      </c>
      <c r="H123" s="116">
        <v>447610.20799999998</v>
      </c>
      <c r="I123" s="116">
        <v>52389.792000000001</v>
      </c>
      <c r="J123" s="116">
        <v>500000</v>
      </c>
      <c r="K123" s="219">
        <v>447610.20799999998</v>
      </c>
      <c r="L123" s="116">
        <v>0</v>
      </c>
      <c r="M123" s="31">
        <v>-52389.792000000001</v>
      </c>
      <c r="N123" s="336">
        <v>-52389.792000000001</v>
      </c>
      <c r="O123" s="336">
        <v>52389.792000000001</v>
      </c>
      <c r="P123" s="219">
        <v>0</v>
      </c>
      <c r="Q123" s="332">
        <v>26194.896000000001</v>
      </c>
      <c r="R123" s="219">
        <v>2</v>
      </c>
      <c r="S123" s="332">
        <v>0</v>
      </c>
      <c r="T123" s="219">
        <v>0</v>
      </c>
      <c r="U123" s="332">
        <v>0</v>
      </c>
      <c r="V123" s="332">
        <v>0</v>
      </c>
      <c r="W123" s="370">
        <v>0</v>
      </c>
      <c r="X123" s="370">
        <v>0</v>
      </c>
      <c r="Y123" s="370">
        <v>0</v>
      </c>
      <c r="Z123" s="370">
        <v>0</v>
      </c>
      <c r="AA123" s="370">
        <v>0</v>
      </c>
      <c r="AB123" s="370">
        <v>2</v>
      </c>
      <c r="AC123" s="370">
        <v>0</v>
      </c>
      <c r="AD123" s="370">
        <v>0</v>
      </c>
      <c r="AE123" s="370">
        <v>0</v>
      </c>
      <c r="AF123" s="370">
        <v>-2</v>
      </c>
      <c r="AG123" s="31">
        <v>2</v>
      </c>
      <c r="AH123" s="31">
        <v>3265.08</v>
      </c>
      <c r="AI123" s="31">
        <v>0</v>
      </c>
      <c r="AJ123" s="370">
        <v>7.8008199999999999</v>
      </c>
      <c r="AK123" s="219">
        <v>3265.08</v>
      </c>
      <c r="AL123" s="219">
        <v>0</v>
      </c>
      <c r="AM123" s="219">
        <v>0</v>
      </c>
      <c r="AN123" s="219">
        <v>0</v>
      </c>
      <c r="AO123" s="116">
        <v>0</v>
      </c>
      <c r="AP123" s="116">
        <v>0</v>
      </c>
      <c r="AQ123" s="116">
        <v>2</v>
      </c>
      <c r="AR123" s="116">
        <v>50940.602731200001</v>
      </c>
      <c r="AS123" s="116">
        <v>50940.602731200001</v>
      </c>
      <c r="AT123" s="116">
        <v>1</v>
      </c>
      <c r="AU123" s="385">
        <v>0</v>
      </c>
      <c r="AV123" s="332">
        <v>0</v>
      </c>
      <c r="AW123" s="332">
        <v>0</v>
      </c>
      <c r="AX123" s="332">
        <v>-50940.602731200001</v>
      </c>
      <c r="AY123" s="332">
        <v>0</v>
      </c>
      <c r="AZ123" s="332">
        <v>0</v>
      </c>
      <c r="BA123" s="332">
        <v>0</v>
      </c>
      <c r="BB123" s="31">
        <v>447604.05274209206</v>
      </c>
      <c r="BC123" s="31">
        <v>0</v>
      </c>
      <c r="BD123" s="29">
        <v>0</v>
      </c>
      <c r="BE123" s="29">
        <v>0</v>
      </c>
    </row>
    <row r="124" spans="1:57" ht="13">
      <c r="A124" s="153">
        <v>44567</v>
      </c>
      <c r="B124" s="10" t="s">
        <v>183</v>
      </c>
      <c r="C124" s="10">
        <v>44563000012</v>
      </c>
      <c r="D124" s="10" t="s">
        <v>16</v>
      </c>
      <c r="E124" s="10" t="s">
        <v>38</v>
      </c>
      <c r="F124" s="153">
        <v>44563</v>
      </c>
      <c r="G124" s="116" t="s">
        <v>39</v>
      </c>
      <c r="H124" s="116">
        <v>443010.20799999998</v>
      </c>
      <c r="I124" s="116">
        <v>56989.792000000001</v>
      </c>
      <c r="J124" s="116">
        <v>500000</v>
      </c>
      <c r="K124" s="219">
        <v>443010.20799999998</v>
      </c>
      <c r="L124" s="116">
        <v>0</v>
      </c>
      <c r="M124" s="31">
        <v>-4600</v>
      </c>
      <c r="N124" s="336">
        <v>-4600</v>
      </c>
      <c r="O124" s="336">
        <v>4600</v>
      </c>
      <c r="P124" s="219">
        <v>0</v>
      </c>
      <c r="Q124" s="332">
        <v>460</v>
      </c>
      <c r="R124" s="219">
        <v>10</v>
      </c>
      <c r="S124" s="332">
        <v>0</v>
      </c>
      <c r="T124" s="219">
        <v>0</v>
      </c>
      <c r="U124" s="332">
        <v>0</v>
      </c>
      <c r="V124" s="332">
        <v>0</v>
      </c>
      <c r="W124" s="370">
        <v>0</v>
      </c>
      <c r="X124" s="370">
        <v>0</v>
      </c>
      <c r="Y124" s="370">
        <v>0</v>
      </c>
      <c r="Z124" s="370">
        <v>0</v>
      </c>
      <c r="AA124" s="370">
        <v>0</v>
      </c>
      <c r="AB124" s="370">
        <v>10</v>
      </c>
      <c r="AC124" s="370">
        <v>0</v>
      </c>
      <c r="AD124" s="370">
        <v>0</v>
      </c>
      <c r="AE124" s="370">
        <v>0</v>
      </c>
      <c r="AF124" s="370">
        <v>-10</v>
      </c>
      <c r="AG124" s="31">
        <v>10</v>
      </c>
      <c r="AH124" s="31">
        <v>437</v>
      </c>
      <c r="AI124" s="31">
        <v>0</v>
      </c>
      <c r="AJ124" s="370">
        <v>1</v>
      </c>
      <c r="AK124" s="219">
        <v>437</v>
      </c>
      <c r="AL124" s="219">
        <v>0</v>
      </c>
      <c r="AM124" s="219">
        <v>0</v>
      </c>
      <c r="AN124" s="219">
        <v>0</v>
      </c>
      <c r="AO124" s="116">
        <v>0</v>
      </c>
      <c r="AP124" s="116">
        <v>0</v>
      </c>
      <c r="AQ124" s="116">
        <v>3</v>
      </c>
      <c r="AR124" s="116">
        <v>4370</v>
      </c>
      <c r="AS124" s="116">
        <v>4370</v>
      </c>
      <c r="AT124" s="116">
        <v>1</v>
      </c>
      <c r="AU124" s="385">
        <v>0</v>
      </c>
      <c r="AV124" s="332">
        <v>0</v>
      </c>
      <c r="AW124" s="332">
        <v>0</v>
      </c>
      <c r="AX124" s="332">
        <v>-4370</v>
      </c>
      <c r="AY124" s="332">
        <v>0</v>
      </c>
      <c r="AZ124" s="332">
        <v>0</v>
      </c>
      <c r="BA124" s="332">
        <v>0</v>
      </c>
      <c r="BB124" s="31">
        <v>443004.05274209206</v>
      </c>
      <c r="BC124" s="31">
        <v>0</v>
      </c>
      <c r="BD124" s="29">
        <v>0</v>
      </c>
      <c r="BE124" s="31">
        <v>0</v>
      </c>
    </row>
    <row r="125" spans="1:57" ht="13">
      <c r="A125" s="153">
        <v>44567</v>
      </c>
      <c r="B125" s="10" t="s">
        <v>183</v>
      </c>
      <c r="C125" s="10">
        <v>44563000013</v>
      </c>
      <c r="D125" s="10" t="s">
        <v>16</v>
      </c>
      <c r="E125" s="10" t="s">
        <v>40</v>
      </c>
      <c r="F125" s="153">
        <v>44563</v>
      </c>
      <c r="G125" s="116" t="s">
        <v>29</v>
      </c>
      <c r="H125" s="116">
        <v>480735.87624999997</v>
      </c>
      <c r="I125" s="116">
        <v>19264.123750000006</v>
      </c>
      <c r="J125" s="116">
        <v>500000</v>
      </c>
      <c r="K125" s="219">
        <v>409884.53975</v>
      </c>
      <c r="L125" s="116">
        <v>0</v>
      </c>
      <c r="M125" s="31">
        <v>37725.668249999995</v>
      </c>
      <c r="N125" s="336">
        <v>-37725.668249999995</v>
      </c>
      <c r="O125" s="336">
        <v>0</v>
      </c>
      <c r="P125" s="219">
        <v>-37725.668249999995</v>
      </c>
      <c r="Q125" s="332">
        <v>2515.0445499999996</v>
      </c>
      <c r="R125" s="219">
        <v>-15</v>
      </c>
      <c r="S125" s="332">
        <v>0</v>
      </c>
      <c r="T125" s="219">
        <v>0</v>
      </c>
      <c r="U125" s="332">
        <v>0</v>
      </c>
      <c r="V125" s="332">
        <v>0</v>
      </c>
      <c r="W125" s="370">
        <v>0</v>
      </c>
      <c r="X125" s="370">
        <v>0</v>
      </c>
      <c r="Y125" s="370">
        <v>0</v>
      </c>
      <c r="Z125" s="370">
        <v>0</v>
      </c>
      <c r="AA125" s="370">
        <v>0</v>
      </c>
      <c r="AB125" s="370">
        <v>-15</v>
      </c>
      <c r="AC125" s="370">
        <v>0</v>
      </c>
      <c r="AD125" s="370">
        <v>0</v>
      </c>
      <c r="AE125" s="370">
        <v>0</v>
      </c>
      <c r="AF125" s="370">
        <v>-15</v>
      </c>
      <c r="AG125" s="31">
        <v>-15</v>
      </c>
      <c r="AH125" s="31">
        <v>1982.22</v>
      </c>
      <c r="AI125" s="31">
        <v>0</v>
      </c>
      <c r="AJ125" s="370">
        <v>1.222046</v>
      </c>
      <c r="AK125" s="219">
        <v>1982.22</v>
      </c>
      <c r="AL125" s="219">
        <v>0</v>
      </c>
      <c r="AM125" s="219">
        <v>0</v>
      </c>
      <c r="AN125" s="219">
        <v>0</v>
      </c>
      <c r="AO125" s="116">
        <v>0</v>
      </c>
      <c r="AP125" s="116">
        <v>0</v>
      </c>
      <c r="AQ125" s="116">
        <v>4</v>
      </c>
      <c r="AR125" s="116">
        <v>-36335.460331800001</v>
      </c>
      <c r="AS125" s="116">
        <v>-36335.460331800001</v>
      </c>
      <c r="AT125" s="116">
        <v>1</v>
      </c>
      <c r="AU125" s="385">
        <v>0</v>
      </c>
      <c r="AV125" s="332">
        <v>0</v>
      </c>
      <c r="AW125" s="332">
        <v>0</v>
      </c>
      <c r="AX125" s="332">
        <v>-36335.460331800001</v>
      </c>
      <c r="AY125" s="332">
        <v>0</v>
      </c>
      <c r="AZ125" s="332">
        <v>-6.1552579079405811</v>
      </c>
      <c r="BA125" s="332">
        <v>0</v>
      </c>
      <c r="BB125" s="31">
        <v>480729.72099209204</v>
      </c>
      <c r="BC125" s="31">
        <v>0</v>
      </c>
      <c r="BD125" s="29">
        <v>0</v>
      </c>
      <c r="BE125" s="31">
        <v>0</v>
      </c>
    </row>
    <row r="126" spans="1:57" ht="13">
      <c r="A126" s="153">
        <v>44567</v>
      </c>
      <c r="B126" s="10" t="s">
        <v>183</v>
      </c>
      <c r="C126" s="10">
        <v>44563000014</v>
      </c>
      <c r="D126" s="10" t="s">
        <v>16</v>
      </c>
      <c r="E126" s="10" t="s">
        <v>36</v>
      </c>
      <c r="F126" s="153">
        <v>44563</v>
      </c>
      <c r="G126" s="116" t="s">
        <v>37</v>
      </c>
      <c r="H126" s="116">
        <v>416011.66724999994</v>
      </c>
      <c r="I126" s="116">
        <v>83988.332750000001</v>
      </c>
      <c r="J126" s="116">
        <v>499999.99999999994</v>
      </c>
      <c r="K126" s="219">
        <v>345160.33075000002</v>
      </c>
      <c r="L126" s="116">
        <v>0</v>
      </c>
      <c r="M126" s="31">
        <v>-64724.209000000003</v>
      </c>
      <c r="N126" s="336">
        <v>-64724.208999999995</v>
      </c>
      <c r="O126" s="336">
        <v>64724.209000000003</v>
      </c>
      <c r="P126" s="219">
        <v>0</v>
      </c>
      <c r="Q126" s="332">
        <v>6472.4209000000001</v>
      </c>
      <c r="R126" s="219">
        <v>10</v>
      </c>
      <c r="S126" s="332">
        <v>0</v>
      </c>
      <c r="T126" s="219">
        <v>0</v>
      </c>
      <c r="U126" s="332">
        <v>0</v>
      </c>
      <c r="V126" s="332">
        <v>0</v>
      </c>
      <c r="W126" s="370">
        <v>0</v>
      </c>
      <c r="X126" s="370">
        <v>0</v>
      </c>
      <c r="Y126" s="370">
        <v>0</v>
      </c>
      <c r="Z126" s="370">
        <v>0</v>
      </c>
      <c r="AA126" s="370">
        <v>0</v>
      </c>
      <c r="AB126" s="370">
        <v>10</v>
      </c>
      <c r="AC126" s="370">
        <v>0</v>
      </c>
      <c r="AD126" s="370">
        <v>0</v>
      </c>
      <c r="AE126" s="370">
        <v>0</v>
      </c>
      <c r="AF126" s="370">
        <v>-10</v>
      </c>
      <c r="AG126" s="31">
        <v>10</v>
      </c>
      <c r="AH126" s="31">
        <v>727.1</v>
      </c>
      <c r="AI126" s="31">
        <v>0</v>
      </c>
      <c r="AJ126" s="370">
        <v>8.8111949999999997</v>
      </c>
      <c r="AK126" s="219">
        <v>727.1</v>
      </c>
      <c r="AL126" s="219">
        <v>0</v>
      </c>
      <c r="AM126" s="219">
        <v>0</v>
      </c>
      <c r="AN126" s="219">
        <v>0</v>
      </c>
      <c r="AO126" s="116">
        <v>0</v>
      </c>
      <c r="AP126" s="116">
        <v>0</v>
      </c>
      <c r="AQ126" s="116">
        <v>5</v>
      </c>
      <c r="AR126" s="116">
        <v>64066.198844999999</v>
      </c>
      <c r="AS126" s="116">
        <v>153758.877228</v>
      </c>
      <c r="AT126" s="116">
        <v>1</v>
      </c>
      <c r="AU126" s="385">
        <v>0</v>
      </c>
      <c r="AV126" s="332">
        <v>0</v>
      </c>
      <c r="AW126" s="332">
        <v>0</v>
      </c>
      <c r="AX126" s="332">
        <v>-64066.198844999999</v>
      </c>
      <c r="AY126" s="332">
        <v>0</v>
      </c>
      <c r="AZ126" s="332">
        <v>0</v>
      </c>
      <c r="BA126" s="332">
        <v>0</v>
      </c>
      <c r="BB126" s="31">
        <v>416005.51199209201</v>
      </c>
      <c r="BC126" s="31">
        <v>0</v>
      </c>
      <c r="BD126" s="29">
        <v>0</v>
      </c>
      <c r="BE126" s="31">
        <v>0</v>
      </c>
    </row>
    <row r="127" spans="1:57" ht="13">
      <c r="A127" s="153">
        <v>44567</v>
      </c>
      <c r="B127" s="10" t="s">
        <v>183</v>
      </c>
      <c r="C127" s="10">
        <v>44565000016</v>
      </c>
      <c r="D127" s="10" t="s">
        <v>16</v>
      </c>
      <c r="E127" s="10" t="s">
        <v>36</v>
      </c>
      <c r="F127" s="153">
        <v>44565</v>
      </c>
      <c r="G127" s="116" t="s">
        <v>37</v>
      </c>
      <c r="H127" s="116">
        <v>448553.16724999994</v>
      </c>
      <c r="I127" s="116">
        <v>51446.832750000001</v>
      </c>
      <c r="J127" s="116">
        <v>499999.99999999994</v>
      </c>
      <c r="K127" s="219">
        <v>507150.24874999997</v>
      </c>
      <c r="L127" s="116">
        <v>0</v>
      </c>
      <c r="M127" s="31">
        <v>32541.5</v>
      </c>
      <c r="N127" s="336">
        <v>32541.5</v>
      </c>
      <c r="O127" s="336">
        <v>0</v>
      </c>
      <c r="P127" s="219">
        <v>-32541.5</v>
      </c>
      <c r="Q127" s="332">
        <v>6508.3</v>
      </c>
      <c r="R127" s="219">
        <v>-5</v>
      </c>
      <c r="S127" s="332">
        <v>0</v>
      </c>
      <c r="T127" s="219">
        <v>0</v>
      </c>
      <c r="U127" s="332">
        <v>0</v>
      </c>
      <c r="V127" s="332">
        <v>0</v>
      </c>
      <c r="W127" s="370">
        <v>0</v>
      </c>
      <c r="X127" s="370">
        <v>10</v>
      </c>
      <c r="Y127" s="370">
        <v>0</v>
      </c>
      <c r="Z127" s="370">
        <v>0</v>
      </c>
      <c r="AA127" s="370">
        <v>0</v>
      </c>
      <c r="AB127" s="370">
        <v>5</v>
      </c>
      <c r="AC127" s="370">
        <v>0</v>
      </c>
      <c r="AD127" s="370">
        <v>0</v>
      </c>
      <c r="AE127" s="370">
        <v>0</v>
      </c>
      <c r="AF127" s="370">
        <v>5</v>
      </c>
      <c r="AG127" s="31">
        <v>-5</v>
      </c>
      <c r="AH127" s="31">
        <v>727.1</v>
      </c>
      <c r="AI127" s="31">
        <v>0</v>
      </c>
      <c r="AJ127" s="370">
        <v>8.8111949999999997</v>
      </c>
      <c r="AK127" s="219">
        <v>727.1</v>
      </c>
      <c r="AL127" s="219">
        <v>0</v>
      </c>
      <c r="AM127" s="219">
        <v>0</v>
      </c>
      <c r="AN127" s="219">
        <v>0</v>
      </c>
      <c r="AO127" s="116">
        <v>0</v>
      </c>
      <c r="AP127" s="116">
        <v>0</v>
      </c>
      <c r="AQ127" s="116">
        <v>5</v>
      </c>
      <c r="AR127" s="116">
        <v>-32033.099422499999</v>
      </c>
      <c r="AS127" s="116">
        <v>153758.877228</v>
      </c>
      <c r="AT127" s="116">
        <v>0</v>
      </c>
      <c r="AU127" s="385">
        <v>0</v>
      </c>
      <c r="AV127" s="332">
        <v>0</v>
      </c>
      <c r="AW127" s="332">
        <v>0</v>
      </c>
      <c r="AX127" s="332">
        <v>32033.099422499999</v>
      </c>
      <c r="AY127" s="332">
        <v>0</v>
      </c>
      <c r="AZ127" s="332">
        <v>0</v>
      </c>
      <c r="BA127" s="332">
        <v>0</v>
      </c>
      <c r="BB127" s="31">
        <v>448547.01199209201</v>
      </c>
      <c r="BC127" s="31">
        <v>0</v>
      </c>
      <c r="BD127" s="29">
        <v>0</v>
      </c>
      <c r="BE127" s="31">
        <v>0</v>
      </c>
    </row>
    <row r="128" spans="1:57" ht="13">
      <c r="A128" s="153">
        <v>44567</v>
      </c>
      <c r="B128" s="10" t="s">
        <v>183</v>
      </c>
      <c r="C128" s="10">
        <v>44566000017</v>
      </c>
      <c r="D128" s="10" t="s">
        <v>16</v>
      </c>
      <c r="E128" s="10" t="s">
        <v>36</v>
      </c>
      <c r="F128" s="153">
        <v>44566</v>
      </c>
      <c r="G128" s="116" t="s">
        <v>37</v>
      </c>
      <c r="H128" s="116">
        <v>422451.84284999996</v>
      </c>
      <c r="I128" s="116">
        <v>77548.157149999999</v>
      </c>
      <c r="J128" s="116">
        <v>499999.99999999994</v>
      </c>
      <c r="K128" s="219">
        <v>415965.92434999999</v>
      </c>
      <c r="L128" s="116">
        <v>0</v>
      </c>
      <c r="M128" s="31">
        <v>-26101.324400000001</v>
      </c>
      <c r="N128" s="336">
        <v>-26101.324400000001</v>
      </c>
      <c r="O128" s="336">
        <v>26101.324400000001</v>
      </c>
      <c r="P128" s="219">
        <v>0</v>
      </c>
      <c r="Q128" s="332">
        <v>6525.3311000000003</v>
      </c>
      <c r="R128" s="219">
        <v>4</v>
      </c>
      <c r="S128" s="332">
        <v>0</v>
      </c>
      <c r="T128" s="219">
        <v>0</v>
      </c>
      <c r="U128" s="332">
        <v>0</v>
      </c>
      <c r="V128" s="332">
        <v>0</v>
      </c>
      <c r="W128" s="370">
        <v>0</v>
      </c>
      <c r="X128" s="370">
        <v>5</v>
      </c>
      <c r="Y128" s="370">
        <v>0</v>
      </c>
      <c r="Z128" s="370">
        <v>0</v>
      </c>
      <c r="AA128" s="370">
        <v>0</v>
      </c>
      <c r="AB128" s="370">
        <v>9</v>
      </c>
      <c r="AC128" s="370">
        <v>0</v>
      </c>
      <c r="AD128" s="370">
        <v>0</v>
      </c>
      <c r="AE128" s="370">
        <v>0</v>
      </c>
      <c r="AF128" s="370">
        <v>-4</v>
      </c>
      <c r="AG128" s="31">
        <v>4</v>
      </c>
      <c r="AH128" s="31">
        <v>727.1</v>
      </c>
      <c r="AI128" s="31">
        <v>0</v>
      </c>
      <c r="AJ128" s="370">
        <v>8.8111949999999997</v>
      </c>
      <c r="AK128" s="219">
        <v>727.1</v>
      </c>
      <c r="AL128" s="219">
        <v>0</v>
      </c>
      <c r="AM128" s="219">
        <v>0</v>
      </c>
      <c r="AN128" s="219">
        <v>0</v>
      </c>
      <c r="AO128" s="116">
        <v>0</v>
      </c>
      <c r="AP128" s="116">
        <v>0</v>
      </c>
      <c r="AQ128" s="116">
        <v>5</v>
      </c>
      <c r="AR128" s="116">
        <v>25626.479538</v>
      </c>
      <c r="AS128" s="116">
        <v>153758.877228</v>
      </c>
      <c r="AT128" s="116">
        <v>0</v>
      </c>
      <c r="AU128" s="385">
        <v>0</v>
      </c>
      <c r="AV128" s="332">
        <v>0</v>
      </c>
      <c r="AW128" s="332">
        <v>0</v>
      </c>
      <c r="AX128" s="332">
        <v>-25626.479538</v>
      </c>
      <c r="AY128" s="332">
        <v>0</v>
      </c>
      <c r="AZ128" s="332">
        <v>0</v>
      </c>
      <c r="BA128" s="332">
        <v>0</v>
      </c>
      <c r="BB128" s="31">
        <v>422445.68759209203</v>
      </c>
      <c r="BC128" s="31">
        <v>0</v>
      </c>
      <c r="BD128" s="29">
        <v>0</v>
      </c>
      <c r="BE128" s="31">
        <v>0</v>
      </c>
    </row>
    <row r="129" spans="1:57" ht="13">
      <c r="A129" s="153">
        <v>44567</v>
      </c>
      <c r="B129" s="10" t="s">
        <v>183</v>
      </c>
      <c r="C129" s="10">
        <v>44567000018</v>
      </c>
      <c r="D129" s="10" t="s">
        <v>16</v>
      </c>
      <c r="E129" s="10" t="s">
        <v>36</v>
      </c>
      <c r="F129" s="153">
        <v>44567</v>
      </c>
      <c r="G129" s="116" t="s">
        <v>37</v>
      </c>
      <c r="H129" s="116">
        <v>344208.43124999997</v>
      </c>
      <c r="I129" s="116">
        <v>155791.56874999998</v>
      </c>
      <c r="J129" s="116">
        <v>499999.99999999994</v>
      </c>
      <c r="K129" s="219">
        <v>389925.16154999996</v>
      </c>
      <c r="L129" s="116">
        <v>0</v>
      </c>
      <c r="M129" s="31">
        <v>-78243.411599999992</v>
      </c>
      <c r="N129" s="336">
        <v>-78243.411599999992</v>
      </c>
      <c r="O129" s="336">
        <v>78243.411599999992</v>
      </c>
      <c r="P129" s="219">
        <v>0</v>
      </c>
      <c r="Q129" s="332">
        <v>6520.2842999999993</v>
      </c>
      <c r="R129" s="219">
        <v>12</v>
      </c>
      <c r="S129" s="332">
        <v>0</v>
      </c>
      <c r="T129" s="219">
        <v>0</v>
      </c>
      <c r="U129" s="332">
        <v>0</v>
      </c>
      <c r="V129" s="332">
        <v>0</v>
      </c>
      <c r="W129" s="370">
        <v>0</v>
      </c>
      <c r="X129" s="370">
        <v>9</v>
      </c>
      <c r="Y129" s="370">
        <v>0</v>
      </c>
      <c r="Z129" s="370">
        <v>0</v>
      </c>
      <c r="AA129" s="370">
        <v>0</v>
      </c>
      <c r="AB129" s="370">
        <v>21</v>
      </c>
      <c r="AC129" s="370">
        <v>0</v>
      </c>
      <c r="AD129" s="370">
        <v>0</v>
      </c>
      <c r="AE129" s="370">
        <v>0</v>
      </c>
      <c r="AF129" s="370">
        <v>-12</v>
      </c>
      <c r="AG129" s="31">
        <v>12</v>
      </c>
      <c r="AH129" s="31">
        <v>727.1</v>
      </c>
      <c r="AI129" s="31">
        <v>0</v>
      </c>
      <c r="AJ129" s="370">
        <v>8.8111949999999997</v>
      </c>
      <c r="AK129" s="219">
        <v>727.1</v>
      </c>
      <c r="AL129" s="219">
        <v>0</v>
      </c>
      <c r="AM129" s="219">
        <v>0</v>
      </c>
      <c r="AN129" s="219">
        <v>0</v>
      </c>
      <c r="AO129" s="116">
        <v>0</v>
      </c>
      <c r="AP129" s="116">
        <v>0</v>
      </c>
      <c r="AQ129" s="116">
        <v>5</v>
      </c>
      <c r="AR129" s="116">
        <v>76879.438613999999</v>
      </c>
      <c r="AS129" s="116">
        <v>153758.877228</v>
      </c>
      <c r="AT129" s="116">
        <v>0</v>
      </c>
      <c r="AU129" s="385">
        <v>0</v>
      </c>
      <c r="AV129" s="332">
        <v>0</v>
      </c>
      <c r="AW129" s="332">
        <v>0</v>
      </c>
      <c r="AX129" s="332">
        <v>-76879.438613999999</v>
      </c>
      <c r="AY129" s="332">
        <v>0</v>
      </c>
      <c r="AZ129" s="332">
        <v>0</v>
      </c>
      <c r="BA129" s="332">
        <v>0</v>
      </c>
      <c r="BB129" s="31">
        <v>344202.27599209204</v>
      </c>
      <c r="BC129" s="31">
        <v>0</v>
      </c>
      <c r="BD129" s="29">
        <v>0</v>
      </c>
      <c r="BE129" s="31">
        <v>0</v>
      </c>
    </row>
    <row r="130" spans="1:57" ht="13">
      <c r="A130" s="153">
        <v>44567</v>
      </c>
      <c r="B130" s="10" t="s">
        <v>183</v>
      </c>
      <c r="C130" s="10">
        <v>44567000020</v>
      </c>
      <c r="D130" s="10" t="s">
        <v>16</v>
      </c>
      <c r="E130" s="10" t="s">
        <v>36</v>
      </c>
      <c r="F130" s="153">
        <v>44567</v>
      </c>
      <c r="G130" s="116" t="s">
        <v>37</v>
      </c>
      <c r="H130" s="116">
        <v>324647.57834999997</v>
      </c>
      <c r="I130" s="116">
        <v>175352.42164999997</v>
      </c>
      <c r="J130" s="116">
        <v>499999.99999999994</v>
      </c>
      <c r="K130" s="219">
        <v>526851.13185000001</v>
      </c>
      <c r="L130" s="116">
        <v>0</v>
      </c>
      <c r="M130" s="31">
        <v>-19560.852899999998</v>
      </c>
      <c r="N130" s="336">
        <v>-19560.852899999998</v>
      </c>
      <c r="O130" s="336">
        <v>19560.852899999998</v>
      </c>
      <c r="P130" s="219">
        <v>0</v>
      </c>
      <c r="Q130" s="332">
        <v>6520.2842999999993</v>
      </c>
      <c r="R130" s="219">
        <v>3</v>
      </c>
      <c r="S130" s="332">
        <v>0</v>
      </c>
      <c r="T130" s="219">
        <v>0</v>
      </c>
      <c r="U130" s="332">
        <v>0</v>
      </c>
      <c r="V130" s="332">
        <v>0</v>
      </c>
      <c r="W130" s="370">
        <v>0</v>
      </c>
      <c r="X130" s="370">
        <v>21</v>
      </c>
      <c r="Y130" s="370">
        <v>0</v>
      </c>
      <c r="Z130" s="370">
        <v>0</v>
      </c>
      <c r="AA130" s="370">
        <v>0</v>
      </c>
      <c r="AB130" s="370">
        <v>24</v>
      </c>
      <c r="AC130" s="370">
        <v>0</v>
      </c>
      <c r="AD130" s="370">
        <v>0</v>
      </c>
      <c r="AE130" s="370">
        <v>0</v>
      </c>
      <c r="AF130" s="370">
        <v>-3</v>
      </c>
      <c r="AG130" s="31">
        <v>3</v>
      </c>
      <c r="AH130" s="31">
        <v>727.1</v>
      </c>
      <c r="AI130" s="31">
        <v>1</v>
      </c>
      <c r="AJ130" s="370">
        <v>8.8111949999999997</v>
      </c>
      <c r="AK130" s="219">
        <v>727.1</v>
      </c>
      <c r="AL130" s="219">
        <v>0</v>
      </c>
      <c r="AM130" s="219">
        <v>0</v>
      </c>
      <c r="AN130" s="219">
        <v>0</v>
      </c>
      <c r="AO130" s="116">
        <v>0</v>
      </c>
      <c r="AP130" s="116">
        <v>0</v>
      </c>
      <c r="AQ130" s="116">
        <v>5</v>
      </c>
      <c r="AR130" s="116">
        <v>19219.8596535</v>
      </c>
      <c r="AS130" s="116">
        <v>153758.877228</v>
      </c>
      <c r="AT130" s="116">
        <v>0</v>
      </c>
      <c r="AU130" s="385">
        <v>209069.47995919999</v>
      </c>
      <c r="AV130" s="332">
        <v>-36335.460331800001</v>
      </c>
      <c r="AW130" s="332">
        <v>172734.01962739998</v>
      </c>
      <c r="AX130" s="332">
        <v>-19219.8596535</v>
      </c>
      <c r="AY130" s="332">
        <v>0</v>
      </c>
      <c r="AZ130" s="332">
        <v>0</v>
      </c>
      <c r="BA130" s="332">
        <v>0</v>
      </c>
      <c r="BB130" s="31">
        <v>324641.42309209204</v>
      </c>
      <c r="BC130" s="31">
        <v>324641.42309209204</v>
      </c>
      <c r="BD130" s="29">
        <v>0</v>
      </c>
      <c r="BE130" s="31">
        <v>497381.59797739994</v>
      </c>
    </row>
    <row r="131" spans="1:57" ht="13">
      <c r="A131" s="153">
        <v>44567</v>
      </c>
      <c r="B131" s="10" t="s">
        <v>184</v>
      </c>
      <c r="C131" s="10">
        <v>44561000006</v>
      </c>
      <c r="D131" s="10" t="s">
        <v>64</v>
      </c>
      <c r="E131" s="10" t="s">
        <v>64</v>
      </c>
      <c r="F131" s="153">
        <v>44561</v>
      </c>
      <c r="G131" s="116" t="s">
        <v>39</v>
      </c>
      <c r="H131" s="116">
        <v>500000</v>
      </c>
      <c r="I131" s="116">
        <v>0</v>
      </c>
      <c r="J131" s="116">
        <v>500000</v>
      </c>
      <c r="K131" s="219">
        <v>0</v>
      </c>
      <c r="L131" s="116">
        <v>0</v>
      </c>
      <c r="M131" s="31">
        <v>500000</v>
      </c>
      <c r="N131" s="336">
        <v>500000</v>
      </c>
      <c r="O131" s="336">
        <v>0</v>
      </c>
      <c r="P131" s="219">
        <v>0</v>
      </c>
      <c r="Q131" s="332">
        <v>0</v>
      </c>
      <c r="R131" s="219">
        <v>0</v>
      </c>
      <c r="S131" s="332">
        <v>0</v>
      </c>
      <c r="T131" s="219">
        <v>0</v>
      </c>
      <c r="U131" s="332">
        <v>0</v>
      </c>
      <c r="V131" s="332">
        <v>0</v>
      </c>
      <c r="W131" s="370">
        <v>0</v>
      </c>
      <c r="X131" s="370">
        <v>0</v>
      </c>
      <c r="Y131" s="370">
        <v>0</v>
      </c>
      <c r="Z131" s="370">
        <v>0</v>
      </c>
      <c r="AA131" s="370">
        <v>0</v>
      </c>
      <c r="AB131" s="370">
        <v>0</v>
      </c>
      <c r="AC131" s="370">
        <v>0</v>
      </c>
      <c r="AD131" s="370">
        <v>0</v>
      </c>
      <c r="AE131" s="370">
        <v>0</v>
      </c>
      <c r="AF131" s="370">
        <v>0</v>
      </c>
      <c r="AG131" s="31">
        <v>0</v>
      </c>
      <c r="AH131" s="31">
        <v>1</v>
      </c>
      <c r="AI131" s="31">
        <v>0</v>
      </c>
      <c r="AJ131" s="370">
        <v>1</v>
      </c>
      <c r="AK131" s="219">
        <v>0</v>
      </c>
      <c r="AL131" s="219">
        <v>0</v>
      </c>
      <c r="AM131" s="219">
        <v>0</v>
      </c>
      <c r="AN131" s="219">
        <v>0</v>
      </c>
      <c r="AO131" s="116">
        <v>0</v>
      </c>
      <c r="AP131" s="116">
        <v>0</v>
      </c>
      <c r="AQ131" s="116">
        <v>1</v>
      </c>
      <c r="AR131" s="116">
        <v>0</v>
      </c>
      <c r="AS131" s="116">
        <v>0</v>
      </c>
      <c r="AT131" s="116">
        <v>1</v>
      </c>
      <c r="AU131" s="385">
        <v>0</v>
      </c>
      <c r="AV131" s="332">
        <v>0</v>
      </c>
      <c r="AW131" s="332">
        <v>0</v>
      </c>
      <c r="AX131" s="332">
        <v>500000</v>
      </c>
      <c r="AY131" s="332">
        <v>0</v>
      </c>
      <c r="AZ131" s="332">
        <v>0</v>
      </c>
      <c r="BA131" s="332">
        <v>0</v>
      </c>
      <c r="BB131" s="31">
        <v>499999.6298591402</v>
      </c>
      <c r="BC131" s="31">
        <v>0</v>
      </c>
      <c r="BD131" s="29">
        <v>0</v>
      </c>
      <c r="BE131" s="31">
        <v>0</v>
      </c>
    </row>
    <row r="132" spans="1:57" ht="13">
      <c r="A132" s="153">
        <v>44567</v>
      </c>
      <c r="B132" s="10" t="s">
        <v>184</v>
      </c>
      <c r="C132" s="10">
        <v>44563000025</v>
      </c>
      <c r="D132" s="10" t="s">
        <v>16</v>
      </c>
      <c r="E132" s="10" t="s">
        <v>40</v>
      </c>
      <c r="F132" s="153">
        <v>44563</v>
      </c>
      <c r="G132" s="116" t="s">
        <v>29</v>
      </c>
      <c r="H132" s="116">
        <v>450189.84940000001</v>
      </c>
      <c r="I132" s="116">
        <v>49810.150599999994</v>
      </c>
      <c r="J132" s="116">
        <v>500000</v>
      </c>
      <c r="K132" s="219">
        <v>450189.84940000001</v>
      </c>
      <c r="L132" s="116">
        <v>0</v>
      </c>
      <c r="M132" s="31">
        <v>-49810.150599999994</v>
      </c>
      <c r="N132" s="336">
        <v>-49810.150599999994</v>
      </c>
      <c r="O132" s="336">
        <v>49810.150599999994</v>
      </c>
      <c r="P132" s="219">
        <v>0</v>
      </c>
      <c r="Q132" s="332">
        <v>2490.5075299999999</v>
      </c>
      <c r="R132" s="219">
        <v>20</v>
      </c>
      <c r="S132" s="332">
        <v>0</v>
      </c>
      <c r="T132" s="219">
        <v>0</v>
      </c>
      <c r="U132" s="332">
        <v>0</v>
      </c>
      <c r="V132" s="332">
        <v>0</v>
      </c>
      <c r="W132" s="370">
        <v>0</v>
      </c>
      <c r="X132" s="370">
        <v>0</v>
      </c>
      <c r="Y132" s="370">
        <v>0</v>
      </c>
      <c r="Z132" s="370">
        <v>0</v>
      </c>
      <c r="AA132" s="370">
        <v>0</v>
      </c>
      <c r="AB132" s="370">
        <v>20</v>
      </c>
      <c r="AC132" s="370">
        <v>0</v>
      </c>
      <c r="AD132" s="370">
        <v>0</v>
      </c>
      <c r="AE132" s="370">
        <v>0</v>
      </c>
      <c r="AF132" s="370">
        <v>-20</v>
      </c>
      <c r="AG132" s="31">
        <v>20</v>
      </c>
      <c r="AH132" s="31">
        <v>1982.22</v>
      </c>
      <c r="AI132" s="31">
        <v>0</v>
      </c>
      <c r="AJ132" s="370">
        <v>1.222046</v>
      </c>
      <c r="AK132" s="219">
        <v>1982.22</v>
      </c>
      <c r="AL132" s="219">
        <v>0</v>
      </c>
      <c r="AM132" s="219">
        <v>0</v>
      </c>
      <c r="AN132" s="219">
        <v>0</v>
      </c>
      <c r="AO132" s="116">
        <v>0</v>
      </c>
      <c r="AP132" s="116">
        <v>0</v>
      </c>
      <c r="AQ132" s="116">
        <v>2</v>
      </c>
      <c r="AR132" s="116">
        <v>48447.280442399999</v>
      </c>
      <c r="AS132" s="116">
        <v>24223.640221199999</v>
      </c>
      <c r="AT132" s="116">
        <v>1</v>
      </c>
      <c r="AU132" s="385">
        <v>0</v>
      </c>
      <c r="AV132" s="332">
        <v>0</v>
      </c>
      <c r="AW132" s="332">
        <v>0</v>
      </c>
      <c r="AX132" s="332">
        <v>-48447.280442399999</v>
      </c>
      <c r="AY132" s="332">
        <v>0</v>
      </c>
      <c r="AZ132" s="332">
        <v>0</v>
      </c>
      <c r="BA132" s="332">
        <v>0</v>
      </c>
      <c r="BB132" s="31">
        <v>450189.47925914021</v>
      </c>
      <c r="BC132" s="31">
        <v>0</v>
      </c>
      <c r="BD132" s="29">
        <v>0</v>
      </c>
      <c r="BE132" s="31">
        <v>0</v>
      </c>
    </row>
    <row r="133" spans="1:57" ht="13">
      <c r="A133" s="153">
        <v>44567</v>
      </c>
      <c r="B133" s="10" t="s">
        <v>184</v>
      </c>
      <c r="C133" s="10">
        <v>44563000026</v>
      </c>
      <c r="D133" s="10" t="s">
        <v>16</v>
      </c>
      <c r="E133" s="10" t="s">
        <v>38</v>
      </c>
      <c r="F133" s="153">
        <v>44563</v>
      </c>
      <c r="G133" s="116" t="s">
        <v>39</v>
      </c>
      <c r="H133" s="116">
        <v>452489.84940000001</v>
      </c>
      <c r="I133" s="116">
        <v>47510.150599999994</v>
      </c>
      <c r="J133" s="116">
        <v>500000</v>
      </c>
      <c r="K133" s="219">
        <v>447889.84940000001</v>
      </c>
      <c r="L133" s="116">
        <v>0</v>
      </c>
      <c r="M133" s="31">
        <v>2300</v>
      </c>
      <c r="N133" s="336">
        <v>-2300</v>
      </c>
      <c r="O133" s="336">
        <v>0</v>
      </c>
      <c r="P133" s="219">
        <v>-2300</v>
      </c>
      <c r="Q133" s="332">
        <v>460</v>
      </c>
      <c r="R133" s="219">
        <v>-5</v>
      </c>
      <c r="S133" s="332">
        <v>0</v>
      </c>
      <c r="T133" s="219">
        <v>0</v>
      </c>
      <c r="U133" s="332">
        <v>0</v>
      </c>
      <c r="V133" s="332">
        <v>0</v>
      </c>
      <c r="W133" s="370">
        <v>0</v>
      </c>
      <c r="X133" s="370">
        <v>0</v>
      </c>
      <c r="Y133" s="370">
        <v>0</v>
      </c>
      <c r="Z133" s="370">
        <v>0</v>
      </c>
      <c r="AA133" s="370">
        <v>0</v>
      </c>
      <c r="AB133" s="370">
        <v>-5</v>
      </c>
      <c r="AC133" s="370">
        <v>0</v>
      </c>
      <c r="AD133" s="370">
        <v>0</v>
      </c>
      <c r="AE133" s="370">
        <v>0</v>
      </c>
      <c r="AF133" s="370">
        <v>-5</v>
      </c>
      <c r="AG133" s="31">
        <v>-5</v>
      </c>
      <c r="AH133" s="31">
        <v>437</v>
      </c>
      <c r="AI133" s="31">
        <v>0</v>
      </c>
      <c r="AJ133" s="370">
        <v>1</v>
      </c>
      <c r="AK133" s="219">
        <v>437</v>
      </c>
      <c r="AL133" s="219">
        <v>0</v>
      </c>
      <c r="AM133" s="219">
        <v>0</v>
      </c>
      <c r="AN133" s="219">
        <v>0</v>
      </c>
      <c r="AO133" s="116">
        <v>0</v>
      </c>
      <c r="AP133" s="116">
        <v>0</v>
      </c>
      <c r="AQ133" s="116">
        <v>3</v>
      </c>
      <c r="AR133" s="116">
        <v>-2185</v>
      </c>
      <c r="AS133" s="116">
        <v>4370</v>
      </c>
      <c r="AT133" s="116">
        <v>1</v>
      </c>
      <c r="AU133" s="385">
        <v>0</v>
      </c>
      <c r="AV133" s="332">
        <v>0</v>
      </c>
      <c r="AW133" s="332">
        <v>0</v>
      </c>
      <c r="AX133" s="332">
        <v>-2185</v>
      </c>
      <c r="AY133" s="332">
        <v>0</v>
      </c>
      <c r="AZ133" s="332">
        <v>-0.37014085981125416</v>
      </c>
      <c r="BA133" s="332">
        <v>0</v>
      </c>
      <c r="BB133" s="31">
        <v>452489.47925914021</v>
      </c>
      <c r="BC133" s="31">
        <v>0</v>
      </c>
      <c r="BD133" s="29">
        <v>0</v>
      </c>
      <c r="BE133" s="31">
        <v>0</v>
      </c>
    </row>
    <row r="134" spans="1:57" ht="13">
      <c r="A134" s="153">
        <v>44567</v>
      </c>
      <c r="B134" s="10" t="s">
        <v>184</v>
      </c>
      <c r="C134" s="10">
        <v>44564000027</v>
      </c>
      <c r="D134" s="10" t="s">
        <v>16</v>
      </c>
      <c r="E134" s="10" t="s">
        <v>40</v>
      </c>
      <c r="F134" s="153">
        <v>44564</v>
      </c>
      <c r="G134" s="116" t="s">
        <v>29</v>
      </c>
      <c r="H134" s="116">
        <v>477643.14439999999</v>
      </c>
      <c r="I134" s="116">
        <v>22356.855599999995</v>
      </c>
      <c r="J134" s="116">
        <v>500000</v>
      </c>
      <c r="K134" s="219">
        <v>473043.14439999999</v>
      </c>
      <c r="L134" s="116">
        <v>0</v>
      </c>
      <c r="M134" s="31">
        <v>25153.294999999998</v>
      </c>
      <c r="N134" s="336">
        <v>25153.295000000002</v>
      </c>
      <c r="O134" s="336">
        <v>0</v>
      </c>
      <c r="P134" s="219">
        <v>-25153.294999999998</v>
      </c>
      <c r="Q134" s="332">
        <v>2515.3294999999998</v>
      </c>
      <c r="R134" s="219">
        <v>-10</v>
      </c>
      <c r="S134" s="332">
        <v>0</v>
      </c>
      <c r="T134" s="219">
        <v>0</v>
      </c>
      <c r="U134" s="332">
        <v>0</v>
      </c>
      <c r="V134" s="332">
        <v>0</v>
      </c>
      <c r="W134" s="370">
        <v>0</v>
      </c>
      <c r="X134" s="370">
        <v>20</v>
      </c>
      <c r="Y134" s="370">
        <v>0</v>
      </c>
      <c r="Z134" s="370">
        <v>0</v>
      </c>
      <c r="AA134" s="370">
        <v>0</v>
      </c>
      <c r="AB134" s="370">
        <v>10</v>
      </c>
      <c r="AC134" s="370">
        <v>0</v>
      </c>
      <c r="AD134" s="370">
        <v>0</v>
      </c>
      <c r="AE134" s="370">
        <v>0</v>
      </c>
      <c r="AF134" s="370">
        <v>10</v>
      </c>
      <c r="AG134" s="31">
        <v>-10</v>
      </c>
      <c r="AH134" s="31">
        <v>1982.22</v>
      </c>
      <c r="AI134" s="31">
        <v>0</v>
      </c>
      <c r="AJ134" s="370">
        <v>1.222046</v>
      </c>
      <c r="AK134" s="219">
        <v>1982.22</v>
      </c>
      <c r="AL134" s="219">
        <v>0</v>
      </c>
      <c r="AM134" s="219">
        <v>0</v>
      </c>
      <c r="AN134" s="219">
        <v>0</v>
      </c>
      <c r="AO134" s="116">
        <v>0</v>
      </c>
      <c r="AP134" s="116">
        <v>0</v>
      </c>
      <c r="AQ134" s="116">
        <v>3</v>
      </c>
      <c r="AR134" s="116">
        <v>-24223.640221199999</v>
      </c>
      <c r="AS134" s="116">
        <v>24223.640221199999</v>
      </c>
      <c r="AT134" s="116">
        <v>0</v>
      </c>
      <c r="AU134" s="385">
        <v>0</v>
      </c>
      <c r="AV134" s="332">
        <v>0</v>
      </c>
      <c r="AW134" s="332">
        <v>0</v>
      </c>
      <c r="AX134" s="332">
        <v>24223.640221199999</v>
      </c>
      <c r="AY134" s="332">
        <v>0</v>
      </c>
      <c r="AZ134" s="332">
        <v>0</v>
      </c>
      <c r="BA134" s="332">
        <v>0</v>
      </c>
      <c r="BB134" s="31">
        <v>477642.77425914019</v>
      </c>
      <c r="BC134" s="31">
        <v>0</v>
      </c>
      <c r="BD134" s="29">
        <v>0</v>
      </c>
      <c r="BE134" s="31">
        <v>0</v>
      </c>
    </row>
    <row r="135" spans="1:57" ht="13">
      <c r="A135" s="153">
        <v>44567</v>
      </c>
      <c r="B135" s="10" t="s">
        <v>184</v>
      </c>
      <c r="C135" s="10">
        <v>44564000028</v>
      </c>
      <c r="D135" s="10" t="s">
        <v>16</v>
      </c>
      <c r="E135" s="10" t="s">
        <v>38</v>
      </c>
      <c r="F135" s="153">
        <v>44564</v>
      </c>
      <c r="G135" s="116" t="s">
        <v>39</v>
      </c>
      <c r="H135" s="116">
        <v>470743.14439999999</v>
      </c>
      <c r="I135" s="116">
        <v>29256.855599999995</v>
      </c>
      <c r="J135" s="116">
        <v>500000</v>
      </c>
      <c r="K135" s="219">
        <v>470743.14439999999</v>
      </c>
      <c r="L135" s="116">
        <v>0</v>
      </c>
      <c r="M135" s="31">
        <v>-6900</v>
      </c>
      <c r="N135" s="336">
        <v>-2300</v>
      </c>
      <c r="O135" s="336">
        <v>6900</v>
      </c>
      <c r="P135" s="219">
        <v>0</v>
      </c>
      <c r="Q135" s="332">
        <v>460</v>
      </c>
      <c r="R135" s="219">
        <v>15</v>
      </c>
      <c r="S135" s="332">
        <v>0</v>
      </c>
      <c r="T135" s="219">
        <v>0</v>
      </c>
      <c r="U135" s="332">
        <v>0</v>
      </c>
      <c r="V135" s="332">
        <v>0</v>
      </c>
      <c r="W135" s="370">
        <v>0</v>
      </c>
      <c r="X135" s="370">
        <v>-5</v>
      </c>
      <c r="Y135" s="370">
        <v>0</v>
      </c>
      <c r="Z135" s="370">
        <v>0</v>
      </c>
      <c r="AA135" s="370">
        <v>0</v>
      </c>
      <c r="AB135" s="370">
        <v>10</v>
      </c>
      <c r="AC135" s="370">
        <v>0</v>
      </c>
      <c r="AD135" s="370">
        <v>0</v>
      </c>
      <c r="AE135" s="370">
        <v>0</v>
      </c>
      <c r="AF135" s="370">
        <v>-5</v>
      </c>
      <c r="AG135" s="31">
        <v>15</v>
      </c>
      <c r="AH135" s="31">
        <v>437</v>
      </c>
      <c r="AI135" s="31">
        <v>1</v>
      </c>
      <c r="AJ135" s="370">
        <v>1</v>
      </c>
      <c r="AK135" s="219">
        <v>437</v>
      </c>
      <c r="AL135" s="219">
        <v>0</v>
      </c>
      <c r="AM135" s="219">
        <v>0</v>
      </c>
      <c r="AN135" s="219">
        <v>0</v>
      </c>
      <c r="AO135" s="116">
        <v>0</v>
      </c>
      <c r="AP135" s="116">
        <v>0</v>
      </c>
      <c r="AQ135" s="116">
        <v>3</v>
      </c>
      <c r="AR135" s="116">
        <v>6555</v>
      </c>
      <c r="AS135" s="116">
        <v>4370</v>
      </c>
      <c r="AT135" s="116">
        <v>0</v>
      </c>
      <c r="AU135" s="385">
        <v>28593.640221199999</v>
      </c>
      <c r="AV135" s="332">
        <v>0</v>
      </c>
      <c r="AW135" s="332">
        <v>28593.640221199999</v>
      </c>
      <c r="AX135" s="332">
        <v>-2185</v>
      </c>
      <c r="AY135" s="332">
        <v>0</v>
      </c>
      <c r="AZ135" s="332">
        <v>0</v>
      </c>
      <c r="BA135" s="332">
        <v>0</v>
      </c>
      <c r="BB135" s="31">
        <v>470742.77425914019</v>
      </c>
      <c r="BC135" s="31">
        <v>470742.77425914019</v>
      </c>
      <c r="BD135" s="29">
        <v>0</v>
      </c>
      <c r="BE135" s="31">
        <v>499336.7846212</v>
      </c>
    </row>
    <row r="136" spans="1:57" ht="13">
      <c r="A136" s="153">
        <v>44567</v>
      </c>
      <c r="B136" s="10" t="s">
        <v>185</v>
      </c>
      <c r="C136" s="10">
        <v>44561000007</v>
      </c>
      <c r="D136" s="10" t="s">
        <v>64</v>
      </c>
      <c r="E136" s="10" t="s">
        <v>64</v>
      </c>
      <c r="F136" s="153">
        <v>44561</v>
      </c>
      <c r="G136" s="116" t="s">
        <v>39</v>
      </c>
      <c r="H136" s="116">
        <v>500000</v>
      </c>
      <c r="I136" s="116">
        <v>0</v>
      </c>
      <c r="J136" s="116">
        <v>500000</v>
      </c>
      <c r="K136" s="219">
        <v>0</v>
      </c>
      <c r="L136" s="116">
        <v>0</v>
      </c>
      <c r="M136" s="31">
        <v>500000</v>
      </c>
      <c r="N136" s="336">
        <v>500000</v>
      </c>
      <c r="O136" s="336">
        <v>0</v>
      </c>
      <c r="P136" s="219">
        <v>0</v>
      </c>
      <c r="Q136" s="332">
        <v>0</v>
      </c>
      <c r="R136" s="219">
        <v>0</v>
      </c>
      <c r="S136" s="332">
        <v>0</v>
      </c>
      <c r="T136" s="219">
        <v>0</v>
      </c>
      <c r="U136" s="332">
        <v>0</v>
      </c>
      <c r="V136" s="332">
        <v>0</v>
      </c>
      <c r="W136" s="370">
        <v>0</v>
      </c>
      <c r="X136" s="370">
        <v>0</v>
      </c>
      <c r="Y136" s="370">
        <v>0</v>
      </c>
      <c r="Z136" s="370">
        <v>0</v>
      </c>
      <c r="AA136" s="370">
        <v>0</v>
      </c>
      <c r="AB136" s="370">
        <v>0</v>
      </c>
      <c r="AC136" s="370">
        <v>0</v>
      </c>
      <c r="AD136" s="370">
        <v>0</v>
      </c>
      <c r="AE136" s="370">
        <v>0</v>
      </c>
      <c r="AF136" s="370">
        <v>0</v>
      </c>
      <c r="AG136" s="31">
        <v>0</v>
      </c>
      <c r="AH136" s="31">
        <v>1</v>
      </c>
      <c r="AI136" s="31">
        <v>0</v>
      </c>
      <c r="AJ136" s="370">
        <v>1</v>
      </c>
      <c r="AK136" s="219">
        <v>0</v>
      </c>
      <c r="AL136" s="219">
        <v>0</v>
      </c>
      <c r="AM136" s="219">
        <v>0</v>
      </c>
      <c r="AN136" s="219">
        <v>0</v>
      </c>
      <c r="AO136" s="116">
        <v>0</v>
      </c>
      <c r="AP136" s="116">
        <v>0</v>
      </c>
      <c r="AQ136" s="116">
        <v>1</v>
      </c>
      <c r="AR136" s="116">
        <v>0</v>
      </c>
      <c r="AS136" s="116">
        <v>0</v>
      </c>
      <c r="AT136" s="116">
        <v>1</v>
      </c>
      <c r="AU136" s="385">
        <v>0</v>
      </c>
      <c r="AV136" s="332">
        <v>0</v>
      </c>
      <c r="AW136" s="332">
        <v>0</v>
      </c>
      <c r="AX136" s="332">
        <v>500000</v>
      </c>
      <c r="AY136" s="332">
        <v>0</v>
      </c>
      <c r="AZ136" s="332">
        <v>0</v>
      </c>
      <c r="BA136" s="332">
        <v>0</v>
      </c>
      <c r="BB136" s="31">
        <v>499999.31750231684</v>
      </c>
      <c r="BC136" s="31">
        <v>0</v>
      </c>
      <c r="BD136" s="29">
        <v>0</v>
      </c>
      <c r="BE136" s="31">
        <v>0</v>
      </c>
    </row>
    <row r="137" spans="1:57" ht="13">
      <c r="A137" s="153">
        <v>44567</v>
      </c>
      <c r="B137" s="10" t="s">
        <v>185</v>
      </c>
      <c r="C137" s="10">
        <v>44562000029</v>
      </c>
      <c r="D137" s="10" t="s">
        <v>61</v>
      </c>
      <c r="E137" s="10" t="s">
        <v>63</v>
      </c>
      <c r="F137" s="153">
        <v>44562</v>
      </c>
      <c r="G137" s="116" t="s">
        <v>39</v>
      </c>
      <c r="H137" s="116">
        <v>490000</v>
      </c>
      <c r="I137" s="116">
        <v>10000</v>
      </c>
      <c r="J137" s="116">
        <v>500000</v>
      </c>
      <c r="K137" s="219">
        <v>490000</v>
      </c>
      <c r="L137" s="116">
        <v>0</v>
      </c>
      <c r="M137" s="31">
        <v>-10000</v>
      </c>
      <c r="N137" s="336">
        <v>-10000</v>
      </c>
      <c r="O137" s="336">
        <v>0</v>
      </c>
      <c r="P137" s="219">
        <v>0</v>
      </c>
      <c r="Q137" s="332">
        <v>0</v>
      </c>
      <c r="R137" s="219">
        <v>0</v>
      </c>
      <c r="S137" s="332">
        <v>0</v>
      </c>
      <c r="T137" s="219">
        <v>0</v>
      </c>
      <c r="U137" s="332">
        <v>0</v>
      </c>
      <c r="V137" s="332">
        <v>0</v>
      </c>
      <c r="W137" s="370">
        <v>10000</v>
      </c>
      <c r="X137" s="370">
        <v>0</v>
      </c>
      <c r="Y137" s="370">
        <v>0</v>
      </c>
      <c r="Z137" s="370">
        <v>0</v>
      </c>
      <c r="AA137" s="370">
        <v>0</v>
      </c>
      <c r="AB137" s="370">
        <v>0</v>
      </c>
      <c r="AC137" s="370">
        <v>0</v>
      </c>
      <c r="AD137" s="370">
        <v>0</v>
      </c>
      <c r="AE137" s="370">
        <v>10000</v>
      </c>
      <c r="AF137" s="370">
        <v>-10000</v>
      </c>
      <c r="AG137" s="31">
        <v>10000</v>
      </c>
      <c r="AH137" s="31">
        <v>1</v>
      </c>
      <c r="AI137" s="31">
        <v>0</v>
      </c>
      <c r="AJ137" s="370">
        <v>1</v>
      </c>
      <c r="AK137" s="219">
        <v>0</v>
      </c>
      <c r="AL137" s="219">
        <v>0</v>
      </c>
      <c r="AM137" s="219">
        <v>0</v>
      </c>
      <c r="AN137" s="219">
        <v>0</v>
      </c>
      <c r="AO137" s="116">
        <v>0</v>
      </c>
      <c r="AP137" s="116">
        <v>1</v>
      </c>
      <c r="AQ137" s="116">
        <v>2</v>
      </c>
      <c r="AR137" s="116">
        <v>10000</v>
      </c>
      <c r="AS137" s="116">
        <v>-5000</v>
      </c>
      <c r="AT137" s="116">
        <v>1</v>
      </c>
      <c r="AU137" s="385">
        <v>0</v>
      </c>
      <c r="AV137" s="332">
        <v>0</v>
      </c>
      <c r="AW137" s="332">
        <v>0</v>
      </c>
      <c r="AX137" s="332">
        <v>-10000</v>
      </c>
      <c r="AY137" s="332">
        <v>0</v>
      </c>
      <c r="AZ137" s="332">
        <v>0</v>
      </c>
      <c r="BA137" s="332">
        <v>4.1126643175088691E-2</v>
      </c>
      <c r="BB137" s="31">
        <v>489999.31750231684</v>
      </c>
      <c r="BC137" s="31">
        <v>0</v>
      </c>
      <c r="BD137" s="29">
        <v>0</v>
      </c>
      <c r="BE137" s="31">
        <v>0</v>
      </c>
    </row>
    <row r="138" spans="1:57" ht="13">
      <c r="A138" s="153">
        <v>44567</v>
      </c>
      <c r="B138" s="10" t="s">
        <v>185</v>
      </c>
      <c r="C138" s="10">
        <v>44562000030</v>
      </c>
      <c r="D138" s="10" t="s">
        <v>18</v>
      </c>
      <c r="E138" s="10" t="s">
        <v>7</v>
      </c>
      <c r="F138" s="153">
        <v>44562</v>
      </c>
      <c r="G138" s="116" t="s">
        <v>41</v>
      </c>
      <c r="H138" s="116">
        <v>448805.40759999998</v>
      </c>
      <c r="I138" s="116">
        <v>51194.592400000009</v>
      </c>
      <c r="J138" s="116">
        <v>500000</v>
      </c>
      <c r="K138" s="219">
        <v>458805.40759999998</v>
      </c>
      <c r="L138" s="116">
        <v>0</v>
      </c>
      <c r="M138" s="31">
        <v>-41194.592400000009</v>
      </c>
      <c r="N138" s="336">
        <v>-41194.592400000001</v>
      </c>
      <c r="O138" s="336">
        <v>0</v>
      </c>
      <c r="P138" s="219">
        <v>0</v>
      </c>
      <c r="Q138" s="332">
        <v>0</v>
      </c>
      <c r="R138" s="219">
        <v>0</v>
      </c>
      <c r="S138" s="332">
        <v>13.21</v>
      </c>
      <c r="T138" s="219">
        <v>40</v>
      </c>
      <c r="U138" s="332">
        <v>0</v>
      </c>
      <c r="V138" s="332">
        <v>0</v>
      </c>
      <c r="W138" s="370">
        <v>0</v>
      </c>
      <c r="X138" s="370">
        <v>0</v>
      </c>
      <c r="Y138" s="370">
        <v>0</v>
      </c>
      <c r="Z138" s="370">
        <v>0</v>
      </c>
      <c r="AA138" s="370">
        <v>0</v>
      </c>
      <c r="AB138" s="370">
        <v>0</v>
      </c>
      <c r="AC138" s="370">
        <v>40</v>
      </c>
      <c r="AD138" s="370">
        <v>0</v>
      </c>
      <c r="AE138" s="370">
        <v>0</v>
      </c>
      <c r="AF138" s="370">
        <v>-40</v>
      </c>
      <c r="AG138" s="31">
        <v>40</v>
      </c>
      <c r="AH138" s="31">
        <v>19.29</v>
      </c>
      <c r="AI138" s="31">
        <v>0</v>
      </c>
      <c r="AJ138" s="370">
        <v>7.8008199999999999</v>
      </c>
      <c r="AK138" s="219">
        <v>0</v>
      </c>
      <c r="AL138" s="219">
        <v>19.29</v>
      </c>
      <c r="AM138" s="219">
        <v>21.71</v>
      </c>
      <c r="AN138" s="219">
        <v>0</v>
      </c>
      <c r="AO138" s="116">
        <v>0</v>
      </c>
      <c r="AP138" s="116">
        <v>0</v>
      </c>
      <c r="AQ138" s="116">
        <v>3</v>
      </c>
      <c r="AR138" s="116">
        <v>60191.127119999997</v>
      </c>
      <c r="AS138" s="116">
        <v>60191.127119999997</v>
      </c>
      <c r="AT138" s="116">
        <v>1</v>
      </c>
      <c r="AU138" s="385">
        <v>0</v>
      </c>
      <c r="AV138" s="332">
        <v>0</v>
      </c>
      <c r="AW138" s="332">
        <v>0</v>
      </c>
      <c r="AX138" s="332">
        <v>-63966.724000000002</v>
      </c>
      <c r="AY138" s="332">
        <v>0</v>
      </c>
      <c r="AZ138" s="332">
        <v>0</v>
      </c>
      <c r="BA138" s="332">
        <v>0</v>
      </c>
      <c r="BB138" s="31">
        <v>448804.72510231682</v>
      </c>
      <c r="BC138" s="31">
        <v>0</v>
      </c>
      <c r="BD138" s="29">
        <v>0</v>
      </c>
      <c r="BE138" s="31">
        <v>0</v>
      </c>
    </row>
    <row r="139" spans="1:57" ht="13">
      <c r="A139" s="153">
        <v>44567</v>
      </c>
      <c r="B139" s="10" t="s">
        <v>185</v>
      </c>
      <c r="C139" s="10">
        <v>44562000031</v>
      </c>
      <c r="D139" s="10" t="s">
        <v>61</v>
      </c>
      <c r="E139" s="10" t="s">
        <v>63</v>
      </c>
      <c r="F139" s="153">
        <v>44562</v>
      </c>
      <c r="G139" s="116" t="s">
        <v>39</v>
      </c>
      <c r="H139" s="116">
        <v>428805.40759999998</v>
      </c>
      <c r="I139" s="116">
        <v>71194.592400000009</v>
      </c>
      <c r="J139" s="116">
        <v>500000</v>
      </c>
      <c r="K139" s="219">
        <v>438805.40759999998</v>
      </c>
      <c r="L139" s="116">
        <v>0</v>
      </c>
      <c r="M139" s="31">
        <v>-20000</v>
      </c>
      <c r="N139" s="336">
        <v>-20000</v>
      </c>
      <c r="O139" s="336">
        <v>0</v>
      </c>
      <c r="P139" s="219">
        <v>0</v>
      </c>
      <c r="Q139" s="332">
        <v>0</v>
      </c>
      <c r="R139" s="219">
        <v>0</v>
      </c>
      <c r="S139" s="332">
        <v>0</v>
      </c>
      <c r="T139" s="219">
        <v>0</v>
      </c>
      <c r="U139" s="332">
        <v>0</v>
      </c>
      <c r="V139" s="332">
        <v>0</v>
      </c>
      <c r="W139" s="370">
        <v>20000</v>
      </c>
      <c r="X139" s="370">
        <v>0</v>
      </c>
      <c r="Y139" s="370">
        <v>0</v>
      </c>
      <c r="Z139" s="370">
        <v>0</v>
      </c>
      <c r="AA139" s="370">
        <v>10000</v>
      </c>
      <c r="AB139" s="370">
        <v>0</v>
      </c>
      <c r="AC139" s="370">
        <v>0</v>
      </c>
      <c r="AD139" s="370">
        <v>0</v>
      </c>
      <c r="AE139" s="370">
        <v>30000</v>
      </c>
      <c r="AF139" s="370">
        <v>-20000</v>
      </c>
      <c r="AG139" s="31">
        <v>20000</v>
      </c>
      <c r="AH139" s="31">
        <v>1</v>
      </c>
      <c r="AI139" s="31">
        <v>0</v>
      </c>
      <c r="AJ139" s="370">
        <v>1</v>
      </c>
      <c r="AK139" s="219">
        <v>0</v>
      </c>
      <c r="AL139" s="219">
        <v>0</v>
      </c>
      <c r="AM139" s="219">
        <v>0</v>
      </c>
      <c r="AN139" s="219">
        <v>0</v>
      </c>
      <c r="AO139" s="116">
        <v>0</v>
      </c>
      <c r="AP139" s="116">
        <v>1</v>
      </c>
      <c r="AQ139" s="116">
        <v>3</v>
      </c>
      <c r="AR139" s="116">
        <v>20000</v>
      </c>
      <c r="AS139" s="116">
        <v>-5000</v>
      </c>
      <c r="AT139" s="116">
        <v>0</v>
      </c>
      <c r="AU139" s="385">
        <v>0</v>
      </c>
      <c r="AV139" s="332">
        <v>0</v>
      </c>
      <c r="AW139" s="332">
        <v>0</v>
      </c>
      <c r="AX139" s="332">
        <v>-20000</v>
      </c>
      <c r="AY139" s="332">
        <v>0</v>
      </c>
      <c r="AZ139" s="332">
        <v>0</v>
      </c>
      <c r="BA139" s="332">
        <v>0.12337992952526605</v>
      </c>
      <c r="BB139" s="31">
        <v>428804.72510231682</v>
      </c>
      <c r="BC139" s="31">
        <v>0</v>
      </c>
      <c r="BD139" s="29">
        <v>0</v>
      </c>
      <c r="BE139" s="31">
        <v>0</v>
      </c>
    </row>
    <row r="140" spans="1:57" ht="13">
      <c r="A140" s="153">
        <v>44567</v>
      </c>
      <c r="B140" s="10" t="s">
        <v>185</v>
      </c>
      <c r="C140" s="10">
        <v>44562000035</v>
      </c>
      <c r="D140" s="10" t="s">
        <v>16</v>
      </c>
      <c r="E140" s="10" t="s">
        <v>38</v>
      </c>
      <c r="F140" s="153">
        <v>44562</v>
      </c>
      <c r="G140" s="116" t="s">
        <v>39</v>
      </c>
      <c r="H140" s="116">
        <v>424205.40759999998</v>
      </c>
      <c r="I140" s="116">
        <v>75794.592400000009</v>
      </c>
      <c r="J140" s="116">
        <v>500000</v>
      </c>
      <c r="K140" s="219">
        <v>444205.40759999998</v>
      </c>
      <c r="L140" s="116">
        <v>0</v>
      </c>
      <c r="M140" s="31">
        <v>-4600</v>
      </c>
      <c r="N140" s="336">
        <v>-4600</v>
      </c>
      <c r="O140" s="336">
        <v>4600</v>
      </c>
      <c r="P140" s="219">
        <v>0</v>
      </c>
      <c r="Q140" s="332">
        <v>460</v>
      </c>
      <c r="R140" s="219">
        <v>10</v>
      </c>
      <c r="S140" s="332">
        <v>0</v>
      </c>
      <c r="T140" s="219">
        <v>0</v>
      </c>
      <c r="U140" s="332">
        <v>0</v>
      </c>
      <c r="V140" s="332">
        <v>0</v>
      </c>
      <c r="W140" s="370">
        <v>0</v>
      </c>
      <c r="X140" s="370">
        <v>0</v>
      </c>
      <c r="Y140" s="370">
        <v>0</v>
      </c>
      <c r="Z140" s="370">
        <v>0</v>
      </c>
      <c r="AA140" s="370">
        <v>0</v>
      </c>
      <c r="AB140" s="370">
        <v>10</v>
      </c>
      <c r="AC140" s="370">
        <v>0</v>
      </c>
      <c r="AD140" s="370">
        <v>0</v>
      </c>
      <c r="AE140" s="370">
        <v>0</v>
      </c>
      <c r="AF140" s="370">
        <v>-10</v>
      </c>
      <c r="AG140" s="31">
        <v>10</v>
      </c>
      <c r="AH140" s="31">
        <v>437</v>
      </c>
      <c r="AI140" s="31">
        <v>0</v>
      </c>
      <c r="AJ140" s="370">
        <v>1</v>
      </c>
      <c r="AK140" s="219">
        <v>437</v>
      </c>
      <c r="AL140" s="219">
        <v>0</v>
      </c>
      <c r="AM140" s="219">
        <v>0</v>
      </c>
      <c r="AN140" s="219">
        <v>0</v>
      </c>
      <c r="AO140" s="116">
        <v>0</v>
      </c>
      <c r="AP140" s="116">
        <v>0</v>
      </c>
      <c r="AQ140" s="116">
        <v>4</v>
      </c>
      <c r="AR140" s="116">
        <v>4370</v>
      </c>
      <c r="AS140" s="116">
        <v>170430</v>
      </c>
      <c r="AT140" s="116">
        <v>1</v>
      </c>
      <c r="AU140" s="385">
        <v>0</v>
      </c>
      <c r="AV140" s="332">
        <v>0</v>
      </c>
      <c r="AW140" s="332">
        <v>0</v>
      </c>
      <c r="AX140" s="332">
        <v>-4370</v>
      </c>
      <c r="AY140" s="332">
        <v>0</v>
      </c>
      <c r="AZ140" s="332">
        <v>0</v>
      </c>
      <c r="BA140" s="332">
        <v>0</v>
      </c>
      <c r="BB140" s="31">
        <v>424204.72510231682</v>
      </c>
      <c r="BC140" s="31">
        <v>0</v>
      </c>
      <c r="BD140" s="29">
        <v>0</v>
      </c>
      <c r="BE140" s="31">
        <v>0</v>
      </c>
    </row>
    <row r="141" spans="1:57" ht="13">
      <c r="A141" s="153">
        <v>44567</v>
      </c>
      <c r="B141" s="10" t="s">
        <v>185</v>
      </c>
      <c r="C141" s="10">
        <v>44563000032</v>
      </c>
      <c r="D141" s="10" t="s">
        <v>61</v>
      </c>
      <c r="E141" s="10" t="s">
        <v>63</v>
      </c>
      <c r="F141" s="153">
        <v>44563</v>
      </c>
      <c r="G141" s="116" t="s">
        <v>39</v>
      </c>
      <c r="H141" s="116">
        <v>459205.40759999998</v>
      </c>
      <c r="I141" s="116">
        <v>40794.592400000009</v>
      </c>
      <c r="J141" s="116">
        <v>500000</v>
      </c>
      <c r="K141" s="219">
        <v>469205.40759999998</v>
      </c>
      <c r="L141" s="116">
        <v>0</v>
      </c>
      <c r="M141" s="31">
        <v>35000</v>
      </c>
      <c r="N141" s="336">
        <v>25000</v>
      </c>
      <c r="O141" s="336">
        <v>0</v>
      </c>
      <c r="P141" s="219">
        <v>0</v>
      </c>
      <c r="Q141" s="332">
        <v>0</v>
      </c>
      <c r="R141" s="219">
        <v>0</v>
      </c>
      <c r="S141" s="332">
        <v>0</v>
      </c>
      <c r="T141" s="219">
        <v>0</v>
      </c>
      <c r="U141" s="332">
        <v>0</v>
      </c>
      <c r="V141" s="332">
        <v>0</v>
      </c>
      <c r="W141" s="370">
        <v>-35000</v>
      </c>
      <c r="X141" s="370">
        <v>0</v>
      </c>
      <c r="Y141" s="370">
        <v>0</v>
      </c>
      <c r="Z141" s="370">
        <v>0</v>
      </c>
      <c r="AA141" s="370">
        <v>30000</v>
      </c>
      <c r="AB141" s="370">
        <v>0</v>
      </c>
      <c r="AC141" s="370">
        <v>0</v>
      </c>
      <c r="AD141" s="370">
        <v>0</v>
      </c>
      <c r="AE141" s="370">
        <v>-5000</v>
      </c>
      <c r="AF141" s="370">
        <v>25000</v>
      </c>
      <c r="AG141" s="31">
        <v>-35000</v>
      </c>
      <c r="AH141" s="31">
        <v>1</v>
      </c>
      <c r="AI141" s="31">
        <v>0</v>
      </c>
      <c r="AJ141" s="370">
        <v>1</v>
      </c>
      <c r="AK141" s="219">
        <v>0</v>
      </c>
      <c r="AL141" s="219">
        <v>0</v>
      </c>
      <c r="AM141" s="219">
        <v>0</v>
      </c>
      <c r="AN141" s="219">
        <v>0</v>
      </c>
      <c r="AO141" s="116">
        <v>0</v>
      </c>
      <c r="AP141" s="116">
        <v>1</v>
      </c>
      <c r="AQ141" s="116">
        <v>4</v>
      </c>
      <c r="AR141" s="116">
        <v>-35000</v>
      </c>
      <c r="AS141" s="116">
        <v>-5000</v>
      </c>
      <c r="AT141" s="116">
        <v>0</v>
      </c>
      <c r="AU141" s="385">
        <v>0</v>
      </c>
      <c r="AV141" s="332">
        <v>0</v>
      </c>
      <c r="AW141" s="332">
        <v>0</v>
      </c>
      <c r="AX141" s="332">
        <v>25000</v>
      </c>
      <c r="AY141" s="332">
        <v>0</v>
      </c>
      <c r="AZ141" s="332">
        <v>-0.84700425586099348</v>
      </c>
      <c r="BA141" s="332">
        <v>0</v>
      </c>
      <c r="BB141" s="31">
        <v>459204.72510231682</v>
      </c>
      <c r="BC141" s="31">
        <v>0</v>
      </c>
      <c r="BD141" s="29">
        <v>0</v>
      </c>
      <c r="BE141" s="31">
        <v>0</v>
      </c>
    </row>
    <row r="142" spans="1:57" ht="13">
      <c r="A142" s="153">
        <v>44567</v>
      </c>
      <c r="B142" s="10" t="s">
        <v>185</v>
      </c>
      <c r="C142" s="10">
        <v>44565000036</v>
      </c>
      <c r="D142" s="10" t="s">
        <v>16</v>
      </c>
      <c r="E142" s="10" t="s">
        <v>38</v>
      </c>
      <c r="F142" s="153">
        <v>44565</v>
      </c>
      <c r="G142" s="116" t="s">
        <v>39</v>
      </c>
      <c r="H142" s="116">
        <v>288205.40759999998</v>
      </c>
      <c r="I142" s="116">
        <v>211794.59240000002</v>
      </c>
      <c r="J142" s="116">
        <v>500000</v>
      </c>
      <c r="K142" s="219">
        <v>238205.40759999998</v>
      </c>
      <c r="L142" s="116">
        <v>0</v>
      </c>
      <c r="M142" s="31">
        <v>-171000</v>
      </c>
      <c r="N142" s="336">
        <v>-171000</v>
      </c>
      <c r="O142" s="336">
        <v>171000</v>
      </c>
      <c r="P142" s="219">
        <v>0</v>
      </c>
      <c r="Q142" s="332">
        <v>450</v>
      </c>
      <c r="R142" s="219">
        <v>380</v>
      </c>
      <c r="S142" s="332">
        <v>0</v>
      </c>
      <c r="T142" s="219">
        <v>0</v>
      </c>
      <c r="U142" s="332">
        <v>0</v>
      </c>
      <c r="V142" s="332">
        <v>0</v>
      </c>
      <c r="W142" s="370">
        <v>0</v>
      </c>
      <c r="X142" s="370">
        <v>10</v>
      </c>
      <c r="Y142" s="370">
        <v>0</v>
      </c>
      <c r="Z142" s="370">
        <v>0</v>
      </c>
      <c r="AA142" s="370">
        <v>0</v>
      </c>
      <c r="AB142" s="370">
        <v>390</v>
      </c>
      <c r="AC142" s="370">
        <v>0</v>
      </c>
      <c r="AD142" s="370">
        <v>0</v>
      </c>
      <c r="AE142" s="370">
        <v>0</v>
      </c>
      <c r="AF142" s="370">
        <v>-380</v>
      </c>
      <c r="AG142" s="31">
        <v>380</v>
      </c>
      <c r="AH142" s="31">
        <v>437</v>
      </c>
      <c r="AI142" s="31">
        <v>1</v>
      </c>
      <c r="AJ142" s="370">
        <v>1</v>
      </c>
      <c r="AK142" s="219">
        <v>437</v>
      </c>
      <c r="AL142" s="219">
        <v>0</v>
      </c>
      <c r="AM142" s="219">
        <v>0</v>
      </c>
      <c r="AN142" s="219">
        <v>0</v>
      </c>
      <c r="AO142" s="116">
        <v>0</v>
      </c>
      <c r="AP142" s="116">
        <v>0</v>
      </c>
      <c r="AQ142" s="116">
        <v>4</v>
      </c>
      <c r="AR142" s="116">
        <v>166060</v>
      </c>
      <c r="AS142" s="116">
        <v>170430</v>
      </c>
      <c r="AT142" s="116">
        <v>0</v>
      </c>
      <c r="AU142" s="385">
        <v>230621.12711999999</v>
      </c>
      <c r="AV142" s="332">
        <v>-5000</v>
      </c>
      <c r="AW142" s="332">
        <v>225621.12711999999</v>
      </c>
      <c r="AX142" s="332">
        <v>-166060</v>
      </c>
      <c r="AY142" s="332">
        <v>0</v>
      </c>
      <c r="AZ142" s="332">
        <v>0</v>
      </c>
      <c r="BA142" s="332">
        <v>0</v>
      </c>
      <c r="BB142" s="31">
        <v>288204.72510231682</v>
      </c>
      <c r="BC142" s="31">
        <v>288204.72510231682</v>
      </c>
      <c r="BD142" s="29">
        <v>0</v>
      </c>
      <c r="BE142" s="31">
        <v>513826.53472</v>
      </c>
    </row>
    <row r="143" spans="1:57" ht="13">
      <c r="A143" s="153">
        <v>44567</v>
      </c>
      <c r="B143" s="10" t="s">
        <v>186</v>
      </c>
      <c r="C143" s="10">
        <v>44561000008</v>
      </c>
      <c r="D143" s="10" t="s">
        <v>64</v>
      </c>
      <c r="E143" s="10" t="s">
        <v>64</v>
      </c>
      <c r="F143" s="153">
        <v>44561</v>
      </c>
      <c r="G143" s="116" t="s">
        <v>39</v>
      </c>
      <c r="H143" s="116">
        <v>500000</v>
      </c>
      <c r="I143" s="116">
        <v>0</v>
      </c>
      <c r="J143" s="116">
        <v>500000</v>
      </c>
      <c r="K143" s="219">
        <v>0</v>
      </c>
      <c r="L143" s="116">
        <v>0</v>
      </c>
      <c r="M143" s="31">
        <v>500000</v>
      </c>
      <c r="N143" s="336">
        <v>500000</v>
      </c>
      <c r="O143" s="336">
        <v>0</v>
      </c>
      <c r="P143" s="219">
        <v>0</v>
      </c>
      <c r="Q143" s="332">
        <v>0</v>
      </c>
      <c r="R143" s="219">
        <v>0</v>
      </c>
      <c r="S143" s="332">
        <v>0</v>
      </c>
      <c r="T143" s="219">
        <v>0</v>
      </c>
      <c r="U143" s="332">
        <v>0</v>
      </c>
      <c r="V143" s="332">
        <v>0</v>
      </c>
      <c r="W143" s="370">
        <v>0</v>
      </c>
      <c r="X143" s="370">
        <v>0</v>
      </c>
      <c r="Y143" s="370">
        <v>0</v>
      </c>
      <c r="Z143" s="370">
        <v>0</v>
      </c>
      <c r="AA143" s="370">
        <v>0</v>
      </c>
      <c r="AB143" s="370">
        <v>0</v>
      </c>
      <c r="AC143" s="370">
        <v>0</v>
      </c>
      <c r="AD143" s="370">
        <v>0</v>
      </c>
      <c r="AE143" s="370">
        <v>0</v>
      </c>
      <c r="AF143" s="370">
        <v>0</v>
      </c>
      <c r="AG143" s="31">
        <v>0</v>
      </c>
      <c r="AH143" s="31">
        <v>1</v>
      </c>
      <c r="AI143" s="31">
        <v>0</v>
      </c>
      <c r="AJ143" s="370">
        <v>1</v>
      </c>
      <c r="AK143" s="219">
        <v>0</v>
      </c>
      <c r="AL143" s="219">
        <v>0</v>
      </c>
      <c r="AM143" s="219">
        <v>0</v>
      </c>
      <c r="AN143" s="219">
        <v>0</v>
      </c>
      <c r="AO143" s="116">
        <v>0</v>
      </c>
      <c r="AP143" s="116">
        <v>0</v>
      </c>
      <c r="AQ143" s="116">
        <v>1</v>
      </c>
      <c r="AR143" s="116">
        <v>0</v>
      </c>
      <c r="AS143" s="116">
        <v>0</v>
      </c>
      <c r="AT143" s="116">
        <v>1</v>
      </c>
      <c r="AU143" s="385">
        <v>0</v>
      </c>
      <c r="AV143" s="332">
        <v>0</v>
      </c>
      <c r="AW143" s="332">
        <v>0</v>
      </c>
      <c r="AX143" s="332">
        <v>500000</v>
      </c>
      <c r="AY143" s="332">
        <v>0</v>
      </c>
      <c r="AZ143" s="332">
        <v>0</v>
      </c>
      <c r="BA143" s="332">
        <v>0</v>
      </c>
      <c r="BB143" s="31">
        <v>500000</v>
      </c>
      <c r="BC143" s="31">
        <v>0</v>
      </c>
      <c r="BD143" s="29">
        <v>0</v>
      </c>
      <c r="BE143" s="31">
        <v>0</v>
      </c>
    </row>
    <row r="144" spans="1:57" ht="13">
      <c r="A144" s="153">
        <v>44567</v>
      </c>
      <c r="B144" s="10" t="s">
        <v>186</v>
      </c>
      <c r="C144" s="10">
        <v>44563000037</v>
      </c>
      <c r="D144" s="10" t="s">
        <v>16</v>
      </c>
      <c r="E144" s="10" t="s">
        <v>0</v>
      </c>
      <c r="F144" s="153">
        <v>44563</v>
      </c>
      <c r="G144" s="116" t="s">
        <v>41</v>
      </c>
      <c r="H144" s="116">
        <v>409954.46750000003</v>
      </c>
      <c r="I144" s="116">
        <v>90045.532500000001</v>
      </c>
      <c r="J144" s="116">
        <v>500000</v>
      </c>
      <c r="K144" s="219">
        <v>409954.46750000003</v>
      </c>
      <c r="L144" s="116">
        <v>0</v>
      </c>
      <c r="M144" s="31">
        <v>-90045.532500000001</v>
      </c>
      <c r="N144" s="336">
        <v>-90045.532500000001</v>
      </c>
      <c r="O144" s="336">
        <v>90045.532500000001</v>
      </c>
      <c r="P144" s="219">
        <v>0</v>
      </c>
      <c r="Q144" s="332">
        <v>3001.51775</v>
      </c>
      <c r="R144" s="219">
        <v>30</v>
      </c>
      <c r="S144" s="332">
        <v>0</v>
      </c>
      <c r="T144" s="219">
        <v>0</v>
      </c>
      <c r="U144" s="332">
        <v>0</v>
      </c>
      <c r="V144" s="332">
        <v>0</v>
      </c>
      <c r="W144" s="370">
        <v>0</v>
      </c>
      <c r="X144" s="370">
        <v>0</v>
      </c>
      <c r="Y144" s="370">
        <v>0</v>
      </c>
      <c r="Z144" s="370">
        <v>0</v>
      </c>
      <c r="AA144" s="370">
        <v>0</v>
      </c>
      <c r="AB144" s="370">
        <v>30</v>
      </c>
      <c r="AC144" s="370">
        <v>0</v>
      </c>
      <c r="AD144" s="370">
        <v>0</v>
      </c>
      <c r="AE144" s="370">
        <v>0</v>
      </c>
      <c r="AF144" s="370">
        <v>-30</v>
      </c>
      <c r="AG144" s="31">
        <v>30</v>
      </c>
      <c r="AH144" s="31">
        <v>396.93</v>
      </c>
      <c r="AI144" s="31">
        <v>0</v>
      </c>
      <c r="AJ144" s="370">
        <v>7.8008199999999999</v>
      </c>
      <c r="AK144" s="219">
        <v>396.93</v>
      </c>
      <c r="AL144" s="219">
        <v>0</v>
      </c>
      <c r="AM144" s="219">
        <v>0</v>
      </c>
      <c r="AN144" s="219">
        <v>0</v>
      </c>
      <c r="AO144" s="116">
        <v>0</v>
      </c>
      <c r="AP144" s="116">
        <v>0</v>
      </c>
      <c r="AQ144" s="116">
        <v>2</v>
      </c>
      <c r="AR144" s="116">
        <v>92891.384477999993</v>
      </c>
      <c r="AS144" s="116">
        <v>92891.384477999993</v>
      </c>
      <c r="AT144" s="116">
        <v>1</v>
      </c>
      <c r="AU144" s="385">
        <v>0</v>
      </c>
      <c r="AV144" s="332">
        <v>0</v>
      </c>
      <c r="AW144" s="332">
        <v>0</v>
      </c>
      <c r="AX144" s="332">
        <v>-92891.384477999993</v>
      </c>
      <c r="AY144" s="332">
        <v>0</v>
      </c>
      <c r="AZ144" s="332">
        <v>0</v>
      </c>
      <c r="BA144" s="332">
        <v>0</v>
      </c>
      <c r="BB144" s="31">
        <v>409954.46750000003</v>
      </c>
      <c r="BC144" s="31">
        <v>0</v>
      </c>
      <c r="BD144" s="29">
        <v>0</v>
      </c>
      <c r="BE144" s="31">
        <v>0</v>
      </c>
    </row>
    <row r="145" spans="1:57" ht="13">
      <c r="A145" s="153">
        <v>44567</v>
      </c>
      <c r="B145" s="10" t="s">
        <v>186</v>
      </c>
      <c r="C145" s="10">
        <v>44563000038</v>
      </c>
      <c r="D145" s="10" t="s">
        <v>16</v>
      </c>
      <c r="E145" s="10" t="s">
        <v>38</v>
      </c>
      <c r="F145" s="153">
        <v>44563</v>
      </c>
      <c r="G145" s="116" t="s">
        <v>39</v>
      </c>
      <c r="H145" s="116">
        <v>396154.46750000003</v>
      </c>
      <c r="I145" s="116">
        <v>103845.5325</v>
      </c>
      <c r="J145" s="116">
        <v>500000</v>
      </c>
      <c r="K145" s="219">
        <v>396154.46750000003</v>
      </c>
      <c r="L145" s="116">
        <v>0</v>
      </c>
      <c r="M145" s="31">
        <v>-13800</v>
      </c>
      <c r="N145" s="336">
        <v>-13800</v>
      </c>
      <c r="O145" s="336">
        <v>13800</v>
      </c>
      <c r="P145" s="219">
        <v>0</v>
      </c>
      <c r="Q145" s="332">
        <v>460</v>
      </c>
      <c r="R145" s="219">
        <v>30</v>
      </c>
      <c r="S145" s="332">
        <v>0</v>
      </c>
      <c r="T145" s="219">
        <v>0</v>
      </c>
      <c r="U145" s="332">
        <v>0</v>
      </c>
      <c r="V145" s="332">
        <v>0</v>
      </c>
      <c r="W145" s="370">
        <v>0</v>
      </c>
      <c r="X145" s="370">
        <v>0</v>
      </c>
      <c r="Y145" s="370">
        <v>0</v>
      </c>
      <c r="Z145" s="370">
        <v>0</v>
      </c>
      <c r="AA145" s="370">
        <v>0</v>
      </c>
      <c r="AB145" s="370">
        <v>30</v>
      </c>
      <c r="AC145" s="370">
        <v>0</v>
      </c>
      <c r="AD145" s="370">
        <v>0</v>
      </c>
      <c r="AE145" s="370">
        <v>0</v>
      </c>
      <c r="AF145" s="370">
        <v>-30</v>
      </c>
      <c r="AG145" s="31">
        <v>30</v>
      </c>
      <c r="AH145" s="31">
        <v>437</v>
      </c>
      <c r="AI145" s="31">
        <v>0</v>
      </c>
      <c r="AJ145" s="370">
        <v>1</v>
      </c>
      <c r="AK145" s="219">
        <v>437</v>
      </c>
      <c r="AL145" s="219">
        <v>0</v>
      </c>
      <c r="AM145" s="219">
        <v>0</v>
      </c>
      <c r="AN145" s="219">
        <v>0</v>
      </c>
      <c r="AO145" s="116">
        <v>0</v>
      </c>
      <c r="AP145" s="116">
        <v>0</v>
      </c>
      <c r="AQ145" s="116">
        <v>3</v>
      </c>
      <c r="AR145" s="116">
        <v>13110</v>
      </c>
      <c r="AS145" s="116">
        <v>13110</v>
      </c>
      <c r="AT145" s="116">
        <v>1</v>
      </c>
      <c r="AU145" s="385">
        <v>0</v>
      </c>
      <c r="AV145" s="332">
        <v>0</v>
      </c>
      <c r="AW145" s="332">
        <v>0</v>
      </c>
      <c r="AX145" s="332">
        <v>-13110</v>
      </c>
      <c r="AY145" s="332">
        <v>0</v>
      </c>
      <c r="AZ145" s="332">
        <v>0</v>
      </c>
      <c r="BA145" s="332">
        <v>0</v>
      </c>
      <c r="BB145" s="31">
        <v>396154.46750000003</v>
      </c>
      <c r="BC145" s="31">
        <v>0</v>
      </c>
      <c r="BD145" s="29">
        <v>0</v>
      </c>
      <c r="BE145" s="31">
        <v>0</v>
      </c>
    </row>
    <row r="146" spans="1:57" ht="13">
      <c r="A146" s="153">
        <v>44567</v>
      </c>
      <c r="B146" s="10" t="s">
        <v>186</v>
      </c>
      <c r="C146" s="10">
        <v>44564000045</v>
      </c>
      <c r="D146" s="10" t="s">
        <v>18</v>
      </c>
      <c r="E146" s="10" t="s">
        <v>7</v>
      </c>
      <c r="F146" s="153">
        <v>44564</v>
      </c>
      <c r="G146" s="116" t="s">
        <v>41</v>
      </c>
      <c r="H146" s="116">
        <v>365251.58795000002</v>
      </c>
      <c r="I146" s="116">
        <v>134748.41205000001</v>
      </c>
      <c r="J146" s="116">
        <v>500000</v>
      </c>
      <c r="K146" s="219">
        <v>365251.58795000002</v>
      </c>
      <c r="L146" s="116">
        <v>0</v>
      </c>
      <c r="M146" s="31">
        <v>-30902.879550000001</v>
      </c>
      <c r="N146" s="336">
        <v>-30902.879550000005</v>
      </c>
      <c r="O146" s="336">
        <v>0</v>
      </c>
      <c r="P146" s="219">
        <v>0</v>
      </c>
      <c r="Q146" s="332">
        <v>0</v>
      </c>
      <c r="R146" s="219">
        <v>0</v>
      </c>
      <c r="S146" s="332">
        <v>13.21</v>
      </c>
      <c r="T146" s="219">
        <v>30</v>
      </c>
      <c r="U146" s="332">
        <v>0</v>
      </c>
      <c r="V146" s="332">
        <v>0</v>
      </c>
      <c r="W146" s="370">
        <v>0</v>
      </c>
      <c r="X146" s="370">
        <v>0</v>
      </c>
      <c r="Y146" s="370">
        <v>0</v>
      </c>
      <c r="Z146" s="370">
        <v>0</v>
      </c>
      <c r="AA146" s="370">
        <v>0</v>
      </c>
      <c r="AB146" s="370">
        <v>0</v>
      </c>
      <c r="AC146" s="370">
        <v>30</v>
      </c>
      <c r="AD146" s="370">
        <v>0</v>
      </c>
      <c r="AE146" s="370">
        <v>0</v>
      </c>
      <c r="AF146" s="370">
        <v>-30</v>
      </c>
      <c r="AG146" s="31">
        <v>30</v>
      </c>
      <c r="AH146" s="31">
        <v>19.29</v>
      </c>
      <c r="AI146" s="31">
        <v>0</v>
      </c>
      <c r="AJ146" s="370">
        <v>7.8008199999999999</v>
      </c>
      <c r="AK146" s="219">
        <v>0</v>
      </c>
      <c r="AL146" s="219">
        <v>19.29</v>
      </c>
      <c r="AM146" s="219">
        <v>21.71</v>
      </c>
      <c r="AN146" s="219">
        <v>0</v>
      </c>
      <c r="AO146" s="116">
        <v>0</v>
      </c>
      <c r="AP146" s="116">
        <v>0</v>
      </c>
      <c r="AQ146" s="116">
        <v>4</v>
      </c>
      <c r="AR146" s="116">
        <v>45143.34534</v>
      </c>
      <c r="AS146" s="116">
        <v>45143.34534</v>
      </c>
      <c r="AT146" s="116">
        <v>1</v>
      </c>
      <c r="AU146" s="385">
        <v>0</v>
      </c>
      <c r="AV146" s="332">
        <v>0</v>
      </c>
      <c r="AW146" s="332">
        <v>0</v>
      </c>
      <c r="AX146" s="332">
        <v>-47975.042999999998</v>
      </c>
      <c r="AY146" s="332">
        <v>0</v>
      </c>
      <c r="AZ146" s="332">
        <v>0</v>
      </c>
      <c r="BA146" s="332">
        <v>0</v>
      </c>
      <c r="BB146" s="31">
        <v>365251.58795000002</v>
      </c>
      <c r="BC146" s="31">
        <v>0</v>
      </c>
      <c r="BD146" s="29">
        <v>0</v>
      </c>
      <c r="BE146" s="31">
        <v>0</v>
      </c>
    </row>
    <row r="147" spans="1:57" ht="13">
      <c r="A147" s="153">
        <v>44567</v>
      </c>
      <c r="B147" s="10" t="s">
        <v>186</v>
      </c>
      <c r="C147" s="10">
        <v>44565000046</v>
      </c>
      <c r="D147" s="10" t="s">
        <v>18</v>
      </c>
      <c r="E147" s="10" t="s">
        <v>7</v>
      </c>
      <c r="F147" s="153">
        <v>44565</v>
      </c>
      <c r="G147" s="116" t="s">
        <v>41</v>
      </c>
      <c r="H147" s="116">
        <v>382070.50044999999</v>
      </c>
      <c r="I147" s="116">
        <v>117929.49955000001</v>
      </c>
      <c r="J147" s="116">
        <v>500000</v>
      </c>
      <c r="K147" s="219">
        <v>382070.50044999999</v>
      </c>
      <c r="L147" s="116">
        <v>0</v>
      </c>
      <c r="M147" s="31">
        <v>16818.912500000002</v>
      </c>
      <c r="N147" s="336">
        <v>16818.912500000002</v>
      </c>
      <c r="O147" s="336">
        <v>0</v>
      </c>
      <c r="P147" s="219">
        <v>0</v>
      </c>
      <c r="Q147" s="332">
        <v>0</v>
      </c>
      <c r="R147" s="219">
        <v>0</v>
      </c>
      <c r="S147" s="332">
        <v>10.79</v>
      </c>
      <c r="T147" s="219">
        <v>-20</v>
      </c>
      <c r="U147" s="332">
        <v>0</v>
      </c>
      <c r="V147" s="332">
        <v>0</v>
      </c>
      <c r="W147" s="370">
        <v>0</v>
      </c>
      <c r="X147" s="370">
        <v>0</v>
      </c>
      <c r="Y147" s="370">
        <v>30</v>
      </c>
      <c r="Z147" s="370">
        <v>0</v>
      </c>
      <c r="AA147" s="370">
        <v>0</v>
      </c>
      <c r="AB147" s="370">
        <v>0</v>
      </c>
      <c r="AC147" s="370">
        <v>10</v>
      </c>
      <c r="AD147" s="370">
        <v>0</v>
      </c>
      <c r="AE147" s="370">
        <v>0</v>
      </c>
      <c r="AF147" s="370">
        <v>20</v>
      </c>
      <c r="AG147" s="31">
        <v>-20</v>
      </c>
      <c r="AH147" s="31"/>
      <c r="AI147" s="31">
        <v>1</v>
      </c>
      <c r="AJ147" s="370">
        <v>7.8008199999999999</v>
      </c>
      <c r="AK147" s="219">
        <v>0</v>
      </c>
      <c r="AL147" s="219">
        <v>19.29</v>
      </c>
      <c r="AM147" s="219">
        <v>21.71</v>
      </c>
      <c r="AN147" s="219">
        <v>0</v>
      </c>
      <c r="AO147" s="116">
        <v>0</v>
      </c>
      <c r="AP147" s="116">
        <v>0</v>
      </c>
      <c r="AQ147" s="116">
        <v>4</v>
      </c>
      <c r="AR147" s="116">
        <v>0</v>
      </c>
      <c r="AS147" s="116">
        <v>45143.34534</v>
      </c>
      <c r="AT147" s="116">
        <v>0</v>
      </c>
      <c r="AU147" s="385">
        <v>151144.72981799999</v>
      </c>
      <c r="AV147" s="332">
        <v>0</v>
      </c>
      <c r="AW147" s="332">
        <v>151144.72981799999</v>
      </c>
      <c r="AX147" s="332">
        <v>31983.362000000001</v>
      </c>
      <c r="AY147" s="332">
        <v>0</v>
      </c>
      <c r="AZ147" s="332">
        <v>0</v>
      </c>
      <c r="BA147" s="332">
        <v>0</v>
      </c>
      <c r="BB147" s="31">
        <v>382070.50044999999</v>
      </c>
      <c r="BC147" s="31">
        <v>382070.50044999999</v>
      </c>
      <c r="BD147" s="29">
        <v>0</v>
      </c>
      <c r="BE147" s="31">
        <v>533215.23026799993</v>
      </c>
    </row>
    <row r="148" spans="1:57" ht="13">
      <c r="A148" s="153">
        <v>44567</v>
      </c>
      <c r="B148" s="10" t="s">
        <v>187</v>
      </c>
      <c r="C148" s="10">
        <v>44561000009</v>
      </c>
      <c r="D148" s="10" t="s">
        <v>64</v>
      </c>
      <c r="E148" s="10" t="s">
        <v>64</v>
      </c>
      <c r="F148" s="153">
        <v>44561</v>
      </c>
      <c r="G148" s="116" t="s">
        <v>39</v>
      </c>
      <c r="H148" s="116">
        <v>500000</v>
      </c>
      <c r="I148" s="116">
        <v>0</v>
      </c>
      <c r="J148" s="116">
        <v>500000</v>
      </c>
      <c r="K148" s="219">
        <v>0</v>
      </c>
      <c r="L148" s="116">
        <v>0</v>
      </c>
      <c r="M148" s="31">
        <v>500000</v>
      </c>
      <c r="N148" s="336">
        <v>500000</v>
      </c>
      <c r="O148" s="336">
        <v>0</v>
      </c>
      <c r="P148" s="219">
        <v>0</v>
      </c>
      <c r="Q148" s="332">
        <v>0</v>
      </c>
      <c r="R148" s="219">
        <v>0</v>
      </c>
      <c r="S148" s="332">
        <v>0</v>
      </c>
      <c r="T148" s="219">
        <v>0</v>
      </c>
      <c r="U148" s="332">
        <v>0</v>
      </c>
      <c r="V148" s="332">
        <v>0</v>
      </c>
      <c r="W148" s="370">
        <v>0</v>
      </c>
      <c r="X148" s="370">
        <v>0</v>
      </c>
      <c r="Y148" s="370">
        <v>0</v>
      </c>
      <c r="Z148" s="370">
        <v>0</v>
      </c>
      <c r="AA148" s="370">
        <v>0</v>
      </c>
      <c r="AB148" s="370">
        <v>0</v>
      </c>
      <c r="AC148" s="370">
        <v>0</v>
      </c>
      <c r="AD148" s="370">
        <v>0</v>
      </c>
      <c r="AE148" s="370">
        <v>0</v>
      </c>
      <c r="AF148" s="370">
        <v>0</v>
      </c>
      <c r="AG148" s="31">
        <v>0</v>
      </c>
      <c r="AH148" s="31">
        <v>1</v>
      </c>
      <c r="AI148" s="31">
        <v>0</v>
      </c>
      <c r="AJ148" s="370">
        <v>1</v>
      </c>
      <c r="AK148" s="219">
        <v>0</v>
      </c>
      <c r="AL148" s="219">
        <v>0</v>
      </c>
      <c r="AM148" s="219">
        <v>0</v>
      </c>
      <c r="AN148" s="219">
        <v>0</v>
      </c>
      <c r="AO148" s="116">
        <v>0</v>
      </c>
      <c r="AP148" s="116">
        <v>0</v>
      </c>
      <c r="AQ148" s="116">
        <v>1</v>
      </c>
      <c r="AR148" s="116">
        <v>0</v>
      </c>
      <c r="AS148" s="116">
        <v>0</v>
      </c>
      <c r="AT148" s="116">
        <v>1</v>
      </c>
      <c r="AU148" s="385">
        <v>0</v>
      </c>
      <c r="AV148" s="332">
        <v>0</v>
      </c>
      <c r="AW148" s="332">
        <v>0</v>
      </c>
      <c r="AX148" s="332">
        <v>500000</v>
      </c>
      <c r="AY148" s="332">
        <v>0</v>
      </c>
      <c r="AZ148" s="332">
        <v>0</v>
      </c>
      <c r="BA148" s="332">
        <v>0</v>
      </c>
      <c r="BB148" s="31">
        <v>500000</v>
      </c>
      <c r="BC148" s="31">
        <v>0</v>
      </c>
      <c r="BD148" s="29">
        <v>0</v>
      </c>
      <c r="BE148" s="31">
        <v>0</v>
      </c>
    </row>
    <row r="149" spans="1:57" ht="13">
      <c r="A149" s="153">
        <v>44567</v>
      </c>
      <c r="B149" s="10" t="s">
        <v>187</v>
      </c>
      <c r="C149" s="10">
        <v>44566000040</v>
      </c>
      <c r="D149" s="10" t="s">
        <v>21</v>
      </c>
      <c r="E149" s="10" t="s">
        <v>4</v>
      </c>
      <c r="F149" s="153">
        <v>44566</v>
      </c>
      <c r="G149" s="116" t="s">
        <v>41</v>
      </c>
      <c r="H149" s="116">
        <v>527283.34</v>
      </c>
      <c r="I149" s="116">
        <v>-27283.34</v>
      </c>
      <c r="J149" s="116">
        <v>499999.99999999994</v>
      </c>
      <c r="K149" s="219">
        <v>149214.20000000001</v>
      </c>
      <c r="L149" s="116">
        <v>0</v>
      </c>
      <c r="M149" s="31">
        <v>27283.34</v>
      </c>
      <c r="N149" s="336">
        <v>-350785.8</v>
      </c>
      <c r="O149" s="336">
        <v>0</v>
      </c>
      <c r="P149" s="219">
        <v>0</v>
      </c>
      <c r="Q149" s="332">
        <v>0</v>
      </c>
      <c r="R149" s="219">
        <v>0</v>
      </c>
      <c r="S149" s="332">
        <v>0</v>
      </c>
      <c r="T149" s="219">
        <v>0</v>
      </c>
      <c r="U149" s="332">
        <v>3.5</v>
      </c>
      <c r="V149" s="332">
        <v>-10</v>
      </c>
      <c r="W149" s="370">
        <v>0</v>
      </c>
      <c r="X149" s="370">
        <v>0</v>
      </c>
      <c r="Y149" s="370">
        <v>0</v>
      </c>
      <c r="Z149" s="370">
        <v>0</v>
      </c>
      <c r="AA149" s="370">
        <v>0</v>
      </c>
      <c r="AB149" s="370">
        <v>0</v>
      </c>
      <c r="AC149" s="370">
        <v>0</v>
      </c>
      <c r="AD149" s="370">
        <v>-10</v>
      </c>
      <c r="AE149" s="370">
        <v>0</v>
      </c>
      <c r="AF149" s="370">
        <v>0</v>
      </c>
      <c r="AG149" s="31">
        <v>-10</v>
      </c>
      <c r="AH149" s="31">
        <v>4.2999999999999989</v>
      </c>
      <c r="AI149" s="31">
        <v>0</v>
      </c>
      <c r="AJ149" s="370">
        <v>7.8008199999999999</v>
      </c>
      <c r="AK149" s="219">
        <v>0</v>
      </c>
      <c r="AL149" s="219">
        <v>0</v>
      </c>
      <c r="AM149" s="219">
        <v>0</v>
      </c>
      <c r="AN149" s="219">
        <v>4.2999999999999989</v>
      </c>
      <c r="AO149" s="116">
        <v>45</v>
      </c>
      <c r="AP149" s="116">
        <v>0</v>
      </c>
      <c r="AQ149" s="116">
        <v>2</v>
      </c>
      <c r="AR149" s="116">
        <v>-33543.525999999991</v>
      </c>
      <c r="AS149" s="116">
        <v>-33543.525999999991</v>
      </c>
      <c r="AT149" s="116">
        <v>1</v>
      </c>
      <c r="AU149" s="385">
        <v>0</v>
      </c>
      <c r="AV149" s="332">
        <v>0</v>
      </c>
      <c r="AW149" s="332">
        <v>0</v>
      </c>
      <c r="AX149" s="332">
        <v>0</v>
      </c>
      <c r="AY149" s="332">
        <v>0</v>
      </c>
      <c r="AZ149" s="332">
        <v>0</v>
      </c>
      <c r="BA149" s="332">
        <v>0</v>
      </c>
      <c r="BB149" s="31">
        <v>527283.34</v>
      </c>
      <c r="BC149" s="31">
        <v>0</v>
      </c>
      <c r="BD149" s="29">
        <v>0</v>
      </c>
      <c r="BE149" s="31">
        <v>0</v>
      </c>
    </row>
    <row r="150" spans="1:57" ht="13">
      <c r="A150" s="153">
        <v>44567</v>
      </c>
      <c r="B150" s="10" t="s">
        <v>187</v>
      </c>
      <c r="C150" s="10">
        <v>44566000041</v>
      </c>
      <c r="D150" s="10" t="s">
        <v>21</v>
      </c>
      <c r="E150" s="10" t="s">
        <v>5</v>
      </c>
      <c r="F150" s="153">
        <v>44566</v>
      </c>
      <c r="G150" s="116" t="s">
        <v>41</v>
      </c>
      <c r="H150" s="116">
        <v>507795.24</v>
      </c>
      <c r="I150" s="116">
        <v>-7795.2400000000016</v>
      </c>
      <c r="J150" s="116">
        <v>500000</v>
      </c>
      <c r="K150" s="219">
        <v>461023.8</v>
      </c>
      <c r="L150" s="116">
        <v>0</v>
      </c>
      <c r="M150" s="31">
        <v>-19488.099999999999</v>
      </c>
      <c r="N150" s="336">
        <v>311809.59999999998</v>
      </c>
      <c r="O150" s="336">
        <v>0</v>
      </c>
      <c r="P150" s="219">
        <v>0</v>
      </c>
      <c r="Q150" s="332">
        <v>0</v>
      </c>
      <c r="R150" s="219">
        <v>0</v>
      </c>
      <c r="S150" s="332">
        <v>0</v>
      </c>
      <c r="T150" s="219">
        <v>0</v>
      </c>
      <c r="U150" s="332">
        <v>2.5</v>
      </c>
      <c r="V150" s="332">
        <v>10</v>
      </c>
      <c r="W150" s="370">
        <v>0</v>
      </c>
      <c r="X150" s="370">
        <v>0</v>
      </c>
      <c r="Y150" s="370">
        <v>0</v>
      </c>
      <c r="Z150" s="370">
        <v>0</v>
      </c>
      <c r="AA150" s="370">
        <v>0</v>
      </c>
      <c r="AB150" s="370">
        <v>0</v>
      </c>
      <c r="AC150" s="370">
        <v>0</v>
      </c>
      <c r="AD150" s="370">
        <v>10</v>
      </c>
      <c r="AE150" s="370">
        <v>0</v>
      </c>
      <c r="AF150" s="370">
        <v>0</v>
      </c>
      <c r="AG150" s="31">
        <v>10</v>
      </c>
      <c r="AH150" s="31">
        <v>3.3000000000000007</v>
      </c>
      <c r="AI150" s="31">
        <v>0</v>
      </c>
      <c r="AJ150" s="370">
        <v>7.8008199999999999</v>
      </c>
      <c r="AK150" s="219">
        <v>0</v>
      </c>
      <c r="AL150" s="219">
        <v>0</v>
      </c>
      <c r="AM150" s="219">
        <v>0</v>
      </c>
      <c r="AN150" s="219">
        <v>3.3000000000000007</v>
      </c>
      <c r="AO150" s="116">
        <v>40</v>
      </c>
      <c r="AP150" s="116">
        <v>0</v>
      </c>
      <c r="AQ150" s="116">
        <v>3</v>
      </c>
      <c r="AR150" s="116">
        <v>25742.706000000006</v>
      </c>
      <c r="AS150" s="116">
        <v>25742.706000000006</v>
      </c>
      <c r="AT150" s="116">
        <v>1</v>
      </c>
      <c r="AU150" s="385">
        <v>0</v>
      </c>
      <c r="AV150" s="332">
        <v>0</v>
      </c>
      <c r="AW150" s="332">
        <v>0</v>
      </c>
      <c r="AX150" s="332">
        <v>0</v>
      </c>
      <c r="AY150" s="332">
        <v>0</v>
      </c>
      <c r="AZ150" s="332">
        <v>0</v>
      </c>
      <c r="BA150" s="332">
        <v>0</v>
      </c>
      <c r="BB150" s="31">
        <v>507795.24</v>
      </c>
      <c r="BC150" s="31">
        <v>0</v>
      </c>
      <c r="BD150" s="29">
        <v>0</v>
      </c>
      <c r="BE150" s="31">
        <v>0</v>
      </c>
    </row>
    <row r="151" spans="1:57" ht="13">
      <c r="A151" s="153">
        <v>44567</v>
      </c>
      <c r="B151" s="10" t="s">
        <v>187</v>
      </c>
      <c r="C151" s="10">
        <v>44567000042</v>
      </c>
      <c r="D151" s="10" t="s">
        <v>16</v>
      </c>
      <c r="E151" s="10" t="s">
        <v>38</v>
      </c>
      <c r="F151" s="153">
        <v>44567</v>
      </c>
      <c r="G151" s="116" t="s">
        <v>39</v>
      </c>
      <c r="H151" s="116">
        <v>490595.24</v>
      </c>
      <c r="I151" s="116">
        <v>9404.7599999999984</v>
      </c>
      <c r="J151" s="116">
        <v>500000</v>
      </c>
      <c r="K151" s="219">
        <v>443823.8</v>
      </c>
      <c r="L151" s="116">
        <v>0</v>
      </c>
      <c r="M151" s="31">
        <v>-17200</v>
      </c>
      <c r="N151" s="336">
        <v>-17200</v>
      </c>
      <c r="O151" s="336">
        <v>17200</v>
      </c>
      <c r="P151" s="219">
        <v>0</v>
      </c>
      <c r="Q151" s="332">
        <v>430</v>
      </c>
      <c r="R151" s="219">
        <v>40</v>
      </c>
      <c r="S151" s="332">
        <v>0</v>
      </c>
      <c r="T151" s="219">
        <v>0</v>
      </c>
      <c r="U151" s="332">
        <v>0</v>
      </c>
      <c r="V151" s="332">
        <v>0</v>
      </c>
      <c r="W151" s="370">
        <v>0</v>
      </c>
      <c r="X151" s="370">
        <v>0</v>
      </c>
      <c r="Y151" s="370">
        <v>0</v>
      </c>
      <c r="Z151" s="370">
        <v>0</v>
      </c>
      <c r="AA151" s="370">
        <v>0</v>
      </c>
      <c r="AB151" s="370">
        <v>40</v>
      </c>
      <c r="AC151" s="370">
        <v>0</v>
      </c>
      <c r="AD151" s="370">
        <v>0</v>
      </c>
      <c r="AE151" s="370">
        <v>0</v>
      </c>
      <c r="AF151" s="370">
        <v>-40</v>
      </c>
      <c r="AG151" s="31">
        <v>40</v>
      </c>
      <c r="AH151" s="31">
        <v>437</v>
      </c>
      <c r="AI151" s="31">
        <v>1</v>
      </c>
      <c r="AJ151" s="370">
        <v>1</v>
      </c>
      <c r="AK151" s="219">
        <v>437</v>
      </c>
      <c r="AL151" s="219">
        <v>0</v>
      </c>
      <c r="AM151" s="219">
        <v>0</v>
      </c>
      <c r="AN151" s="219">
        <v>0</v>
      </c>
      <c r="AO151" s="116">
        <v>0</v>
      </c>
      <c r="AP151" s="116">
        <v>0</v>
      </c>
      <c r="AQ151" s="116">
        <v>4</v>
      </c>
      <c r="AR151" s="116">
        <v>17480</v>
      </c>
      <c r="AS151" s="116">
        <v>17480</v>
      </c>
      <c r="AT151" s="116">
        <v>1</v>
      </c>
      <c r="AU151" s="385">
        <v>43222.706000000006</v>
      </c>
      <c r="AV151" s="332">
        <v>-33543.525999999991</v>
      </c>
      <c r="AW151" s="332">
        <v>9679.1800000000148</v>
      </c>
      <c r="AX151" s="332">
        <v>-17480</v>
      </c>
      <c r="AY151" s="332">
        <v>0</v>
      </c>
      <c r="AZ151" s="332">
        <v>0</v>
      </c>
      <c r="BA151" s="332">
        <v>0</v>
      </c>
      <c r="BB151" s="31">
        <v>490595.24</v>
      </c>
      <c r="BC151" s="31">
        <v>490595.24</v>
      </c>
      <c r="BD151" s="29">
        <v>0</v>
      </c>
      <c r="BE151" s="31">
        <v>500274.42</v>
      </c>
    </row>
    <row r="152" spans="1:57" ht="13">
      <c r="A152" s="153">
        <v>44567</v>
      </c>
      <c r="B152" s="10" t="s">
        <v>188</v>
      </c>
      <c r="C152" s="10">
        <v>44561000010</v>
      </c>
      <c r="D152" s="10" t="s">
        <v>64</v>
      </c>
      <c r="E152" s="10" t="s">
        <v>64</v>
      </c>
      <c r="F152" s="153">
        <v>44561</v>
      </c>
      <c r="G152" s="116" t="s">
        <v>39</v>
      </c>
      <c r="H152" s="116">
        <v>500000</v>
      </c>
      <c r="I152" s="116">
        <v>0</v>
      </c>
      <c r="J152" s="116">
        <v>500000</v>
      </c>
      <c r="K152" s="219">
        <v>0</v>
      </c>
      <c r="L152" s="116">
        <v>0</v>
      </c>
      <c r="M152" s="31">
        <v>500000</v>
      </c>
      <c r="N152" s="336">
        <v>500000</v>
      </c>
      <c r="O152" s="336">
        <v>0</v>
      </c>
      <c r="P152" s="219">
        <v>0</v>
      </c>
      <c r="Q152" s="332">
        <v>0</v>
      </c>
      <c r="R152" s="219">
        <v>0</v>
      </c>
      <c r="S152" s="332">
        <v>0</v>
      </c>
      <c r="T152" s="219">
        <v>0</v>
      </c>
      <c r="U152" s="332">
        <v>0</v>
      </c>
      <c r="V152" s="332">
        <v>0</v>
      </c>
      <c r="W152" s="370">
        <v>0</v>
      </c>
      <c r="X152" s="370">
        <v>0</v>
      </c>
      <c r="Y152" s="370">
        <v>0</v>
      </c>
      <c r="Z152" s="370">
        <v>0</v>
      </c>
      <c r="AA152" s="370">
        <v>0</v>
      </c>
      <c r="AB152" s="370">
        <v>0</v>
      </c>
      <c r="AC152" s="370">
        <v>0</v>
      </c>
      <c r="AD152" s="370">
        <v>0</v>
      </c>
      <c r="AE152" s="370">
        <v>0</v>
      </c>
      <c r="AF152" s="370">
        <v>0</v>
      </c>
      <c r="AG152" s="31">
        <v>0</v>
      </c>
      <c r="AH152" s="31">
        <v>1</v>
      </c>
      <c r="AI152" s="31">
        <v>1</v>
      </c>
      <c r="AJ152" s="370">
        <v>1</v>
      </c>
      <c r="AK152" s="219">
        <v>0</v>
      </c>
      <c r="AL152" s="219">
        <v>0</v>
      </c>
      <c r="AM152" s="219">
        <v>0</v>
      </c>
      <c r="AN152" s="219">
        <v>0</v>
      </c>
      <c r="AO152" s="116">
        <v>0</v>
      </c>
      <c r="AP152" s="116">
        <v>0</v>
      </c>
      <c r="AQ152" s="116">
        <v>1</v>
      </c>
      <c r="AR152" s="116">
        <v>0</v>
      </c>
      <c r="AS152" s="116">
        <v>0</v>
      </c>
      <c r="AT152" s="116">
        <v>1</v>
      </c>
      <c r="AU152" s="385">
        <v>0</v>
      </c>
      <c r="AV152" s="332">
        <v>0</v>
      </c>
      <c r="AW152" s="332">
        <v>0</v>
      </c>
      <c r="AX152" s="332">
        <v>500000</v>
      </c>
      <c r="AY152" s="332">
        <v>0</v>
      </c>
      <c r="AZ152" s="332">
        <v>0</v>
      </c>
      <c r="BA152" s="332">
        <v>0</v>
      </c>
      <c r="BB152" s="31">
        <v>500000</v>
      </c>
      <c r="BC152" s="31">
        <v>500000</v>
      </c>
      <c r="BD152" s="29">
        <v>0</v>
      </c>
      <c r="BE152" s="31">
        <v>500000</v>
      </c>
    </row>
    <row r="153" spans="1:57" ht="13">
      <c r="A153" s="153">
        <v>44568</v>
      </c>
      <c r="B153" s="10" t="s">
        <v>183</v>
      </c>
      <c r="C153" s="10">
        <v>44561000005</v>
      </c>
      <c r="D153" s="10" t="s">
        <v>64</v>
      </c>
      <c r="E153" s="10" t="s">
        <v>64</v>
      </c>
      <c r="F153" s="153">
        <v>44561</v>
      </c>
      <c r="G153" s="116" t="s">
        <v>39</v>
      </c>
      <c r="H153" s="116">
        <v>500000</v>
      </c>
      <c r="I153" s="116">
        <v>0</v>
      </c>
      <c r="J153" s="116">
        <v>500000</v>
      </c>
      <c r="K153" s="219">
        <v>0</v>
      </c>
      <c r="L153" s="116">
        <v>0</v>
      </c>
      <c r="M153" s="31">
        <v>500000</v>
      </c>
      <c r="N153" s="336">
        <v>500000</v>
      </c>
      <c r="O153" s="336">
        <v>0</v>
      </c>
      <c r="P153" s="219">
        <v>0</v>
      </c>
      <c r="Q153" s="332">
        <v>0</v>
      </c>
      <c r="R153" s="219">
        <v>0</v>
      </c>
      <c r="S153" s="332">
        <v>0</v>
      </c>
      <c r="T153" s="219">
        <v>0</v>
      </c>
      <c r="U153" s="332">
        <v>0</v>
      </c>
      <c r="V153" s="332">
        <v>0</v>
      </c>
      <c r="W153" s="370">
        <v>0</v>
      </c>
      <c r="X153" s="370">
        <v>0</v>
      </c>
      <c r="Y153" s="370">
        <v>0</v>
      </c>
      <c r="Z153" s="370">
        <v>0</v>
      </c>
      <c r="AA153" s="370">
        <v>0</v>
      </c>
      <c r="AB153" s="370">
        <v>0</v>
      </c>
      <c r="AC153" s="370">
        <v>0</v>
      </c>
      <c r="AD153" s="370">
        <v>0</v>
      </c>
      <c r="AE153" s="370">
        <v>0</v>
      </c>
      <c r="AF153" s="370">
        <v>0</v>
      </c>
      <c r="AG153" s="31">
        <v>0</v>
      </c>
      <c r="AH153" s="31">
        <v>1</v>
      </c>
      <c r="AI153" s="31">
        <v>0</v>
      </c>
      <c r="AJ153" s="370">
        <v>1</v>
      </c>
      <c r="AK153" s="219">
        <v>0</v>
      </c>
      <c r="AL153" s="219">
        <v>0</v>
      </c>
      <c r="AM153" s="219">
        <v>0</v>
      </c>
      <c r="AN153" s="219">
        <v>0</v>
      </c>
      <c r="AO153" s="116">
        <v>0</v>
      </c>
      <c r="AP153" s="116">
        <v>0</v>
      </c>
      <c r="AQ153" s="116">
        <v>1</v>
      </c>
      <c r="AR153" s="116">
        <v>0</v>
      </c>
      <c r="AS153" s="116">
        <v>0</v>
      </c>
      <c r="AT153" s="116">
        <v>1</v>
      </c>
      <c r="AU153" s="385">
        <v>0</v>
      </c>
      <c r="AV153" s="332">
        <v>0</v>
      </c>
      <c r="AW153" s="332">
        <v>0</v>
      </c>
      <c r="AX153" s="332">
        <v>500000</v>
      </c>
      <c r="AY153" s="332">
        <v>0</v>
      </c>
      <c r="AZ153" s="332">
        <v>0</v>
      </c>
      <c r="BA153" s="332">
        <v>0</v>
      </c>
      <c r="BB153" s="31">
        <v>499993.96566223254</v>
      </c>
      <c r="BC153" s="31">
        <v>0</v>
      </c>
      <c r="BD153" s="29">
        <v>0</v>
      </c>
      <c r="BE153" s="29">
        <v>0</v>
      </c>
    </row>
    <row r="154" spans="1:57" ht="13">
      <c r="A154" s="153">
        <v>44568</v>
      </c>
      <c r="B154" s="10" t="s">
        <v>183</v>
      </c>
      <c r="C154" s="10">
        <v>44562000011</v>
      </c>
      <c r="D154" s="10" t="s">
        <v>16</v>
      </c>
      <c r="E154" s="10" t="s">
        <v>42</v>
      </c>
      <c r="F154" s="153">
        <v>44562</v>
      </c>
      <c r="G154" s="116" t="s">
        <v>41</v>
      </c>
      <c r="H154" s="116">
        <v>447610.20799999998</v>
      </c>
      <c r="I154" s="116">
        <v>52389.792000000001</v>
      </c>
      <c r="J154" s="116">
        <v>500000</v>
      </c>
      <c r="K154" s="219">
        <v>447610.20799999998</v>
      </c>
      <c r="L154" s="116">
        <v>0</v>
      </c>
      <c r="M154" s="31">
        <v>-52389.792000000001</v>
      </c>
      <c r="N154" s="336">
        <v>-52389.792000000001</v>
      </c>
      <c r="O154" s="336">
        <v>52389.792000000001</v>
      </c>
      <c r="P154" s="219">
        <v>0</v>
      </c>
      <c r="Q154" s="332">
        <v>26194.896000000001</v>
      </c>
      <c r="R154" s="219">
        <v>2</v>
      </c>
      <c r="S154" s="332">
        <v>0</v>
      </c>
      <c r="T154" s="219">
        <v>0</v>
      </c>
      <c r="U154" s="332">
        <v>0</v>
      </c>
      <c r="V154" s="332">
        <v>0</v>
      </c>
      <c r="W154" s="370">
        <v>0</v>
      </c>
      <c r="X154" s="370">
        <v>0</v>
      </c>
      <c r="Y154" s="370">
        <v>0</v>
      </c>
      <c r="Z154" s="370">
        <v>0</v>
      </c>
      <c r="AA154" s="370">
        <v>0</v>
      </c>
      <c r="AB154" s="370">
        <v>2</v>
      </c>
      <c r="AC154" s="370">
        <v>0</v>
      </c>
      <c r="AD154" s="370">
        <v>0</v>
      </c>
      <c r="AE154" s="370">
        <v>0</v>
      </c>
      <c r="AF154" s="370">
        <v>-2</v>
      </c>
      <c r="AG154" s="31">
        <v>2</v>
      </c>
      <c r="AH154" s="31">
        <v>3251.08</v>
      </c>
      <c r="AI154" s="31">
        <v>0</v>
      </c>
      <c r="AJ154" s="370">
        <v>7.7976700000000001</v>
      </c>
      <c r="AK154" s="219">
        <v>3251.08</v>
      </c>
      <c r="AL154" s="219">
        <v>0</v>
      </c>
      <c r="AM154" s="219">
        <v>0</v>
      </c>
      <c r="AN154" s="219">
        <v>0</v>
      </c>
      <c r="AO154" s="116">
        <v>0</v>
      </c>
      <c r="AP154" s="116">
        <v>0</v>
      </c>
      <c r="AQ154" s="116">
        <v>2</v>
      </c>
      <c r="AR154" s="116">
        <v>50701.697967200002</v>
      </c>
      <c r="AS154" s="116">
        <v>50701.697967200002</v>
      </c>
      <c r="AT154" s="116">
        <v>1</v>
      </c>
      <c r="AU154" s="385">
        <v>0</v>
      </c>
      <c r="AV154" s="332">
        <v>0</v>
      </c>
      <c r="AW154" s="332">
        <v>0</v>
      </c>
      <c r="AX154" s="332">
        <v>-50701.697967200002</v>
      </c>
      <c r="AY154" s="332">
        <v>0</v>
      </c>
      <c r="AZ154" s="332">
        <v>0</v>
      </c>
      <c r="BA154" s="332">
        <v>0</v>
      </c>
      <c r="BB154" s="31">
        <v>447604.17366223253</v>
      </c>
      <c r="BC154" s="31">
        <v>0</v>
      </c>
      <c r="BD154" s="29">
        <v>0</v>
      </c>
      <c r="BE154" s="29">
        <v>0</v>
      </c>
    </row>
    <row r="155" spans="1:57" ht="13">
      <c r="A155" s="153">
        <v>44568</v>
      </c>
      <c r="B155" s="10" t="s">
        <v>183</v>
      </c>
      <c r="C155" s="10">
        <v>44563000012</v>
      </c>
      <c r="D155" s="10" t="s">
        <v>16</v>
      </c>
      <c r="E155" s="10" t="s">
        <v>38</v>
      </c>
      <c r="F155" s="153">
        <v>44563</v>
      </c>
      <c r="G155" s="116" t="s">
        <v>39</v>
      </c>
      <c r="H155" s="116">
        <v>443010.20799999998</v>
      </c>
      <c r="I155" s="116">
        <v>56989.792000000001</v>
      </c>
      <c r="J155" s="116">
        <v>500000</v>
      </c>
      <c r="K155" s="219">
        <v>443010.20799999998</v>
      </c>
      <c r="L155" s="116">
        <v>0</v>
      </c>
      <c r="M155" s="31">
        <v>-4600</v>
      </c>
      <c r="N155" s="336">
        <v>-4600</v>
      </c>
      <c r="O155" s="336">
        <v>4600</v>
      </c>
      <c r="P155" s="219">
        <v>0</v>
      </c>
      <c r="Q155" s="332">
        <v>460</v>
      </c>
      <c r="R155" s="219">
        <v>10</v>
      </c>
      <c r="S155" s="332">
        <v>0</v>
      </c>
      <c r="T155" s="219">
        <v>0</v>
      </c>
      <c r="U155" s="332">
        <v>0</v>
      </c>
      <c r="V155" s="332">
        <v>0</v>
      </c>
      <c r="W155" s="370">
        <v>0</v>
      </c>
      <c r="X155" s="370">
        <v>0</v>
      </c>
      <c r="Y155" s="370">
        <v>0</v>
      </c>
      <c r="Z155" s="370">
        <v>0</v>
      </c>
      <c r="AA155" s="370">
        <v>0</v>
      </c>
      <c r="AB155" s="370">
        <v>10</v>
      </c>
      <c r="AC155" s="370">
        <v>0</v>
      </c>
      <c r="AD155" s="370">
        <v>0</v>
      </c>
      <c r="AE155" s="370">
        <v>0</v>
      </c>
      <c r="AF155" s="370">
        <v>-10</v>
      </c>
      <c r="AG155" s="31">
        <v>10</v>
      </c>
      <c r="AH155" s="31">
        <v>443</v>
      </c>
      <c r="AI155" s="31">
        <v>0</v>
      </c>
      <c r="AJ155" s="370">
        <v>1</v>
      </c>
      <c r="AK155" s="219">
        <v>443</v>
      </c>
      <c r="AL155" s="219">
        <v>0</v>
      </c>
      <c r="AM155" s="219">
        <v>0</v>
      </c>
      <c r="AN155" s="219">
        <v>0</v>
      </c>
      <c r="AO155" s="116">
        <v>0</v>
      </c>
      <c r="AP155" s="116">
        <v>0</v>
      </c>
      <c r="AQ155" s="116">
        <v>3</v>
      </c>
      <c r="AR155" s="116">
        <v>4430</v>
      </c>
      <c r="AS155" s="116">
        <v>4430</v>
      </c>
      <c r="AT155" s="116">
        <v>1</v>
      </c>
      <c r="AU155" s="385">
        <v>0</v>
      </c>
      <c r="AV155" s="332">
        <v>0</v>
      </c>
      <c r="AW155" s="332">
        <v>0</v>
      </c>
      <c r="AX155" s="332">
        <v>-4430</v>
      </c>
      <c r="AY155" s="332">
        <v>0</v>
      </c>
      <c r="AZ155" s="332">
        <v>0</v>
      </c>
      <c r="BA155" s="332">
        <v>0</v>
      </c>
      <c r="BB155" s="31">
        <v>443004.17366223253</v>
      </c>
      <c r="BC155" s="31">
        <v>0</v>
      </c>
      <c r="BD155" s="29">
        <v>0</v>
      </c>
      <c r="BE155" s="31">
        <v>0</v>
      </c>
    </row>
    <row r="156" spans="1:57" ht="13">
      <c r="A156" s="153">
        <v>44568</v>
      </c>
      <c r="B156" s="10" t="s">
        <v>183</v>
      </c>
      <c r="C156" s="10">
        <v>44563000013</v>
      </c>
      <c r="D156" s="10" t="s">
        <v>16</v>
      </c>
      <c r="E156" s="10" t="s">
        <v>40</v>
      </c>
      <c r="F156" s="153">
        <v>44563</v>
      </c>
      <c r="G156" s="116" t="s">
        <v>29</v>
      </c>
      <c r="H156" s="116">
        <v>480735.87624999997</v>
      </c>
      <c r="I156" s="116">
        <v>19264.123750000006</v>
      </c>
      <c r="J156" s="116">
        <v>500000</v>
      </c>
      <c r="K156" s="219">
        <v>409884.53975</v>
      </c>
      <c r="L156" s="116">
        <v>0</v>
      </c>
      <c r="M156" s="31">
        <v>37725.668249999995</v>
      </c>
      <c r="N156" s="336">
        <v>-37725.668249999995</v>
      </c>
      <c r="O156" s="336">
        <v>0</v>
      </c>
      <c r="P156" s="219">
        <v>-37725.668249999995</v>
      </c>
      <c r="Q156" s="332">
        <v>2515.0445499999996</v>
      </c>
      <c r="R156" s="219">
        <v>-15</v>
      </c>
      <c r="S156" s="332">
        <v>0</v>
      </c>
      <c r="T156" s="219">
        <v>0</v>
      </c>
      <c r="U156" s="332">
        <v>0</v>
      </c>
      <c r="V156" s="332">
        <v>0</v>
      </c>
      <c r="W156" s="370">
        <v>0</v>
      </c>
      <c r="X156" s="370">
        <v>0</v>
      </c>
      <c r="Y156" s="370">
        <v>0</v>
      </c>
      <c r="Z156" s="370">
        <v>0</v>
      </c>
      <c r="AA156" s="370">
        <v>0</v>
      </c>
      <c r="AB156" s="370">
        <v>-15</v>
      </c>
      <c r="AC156" s="370">
        <v>0</v>
      </c>
      <c r="AD156" s="370">
        <v>0</v>
      </c>
      <c r="AE156" s="370">
        <v>0</v>
      </c>
      <c r="AF156" s="370">
        <v>-15</v>
      </c>
      <c r="AG156" s="31">
        <v>-15</v>
      </c>
      <c r="AH156" s="31">
        <v>1942</v>
      </c>
      <c r="AI156" s="31">
        <v>0</v>
      </c>
      <c r="AJ156" s="370">
        <v>1.2228509999999999</v>
      </c>
      <c r="AK156" s="219">
        <v>1942</v>
      </c>
      <c r="AL156" s="219">
        <v>0</v>
      </c>
      <c r="AM156" s="219">
        <v>0</v>
      </c>
      <c r="AN156" s="219">
        <v>0</v>
      </c>
      <c r="AO156" s="116">
        <v>0</v>
      </c>
      <c r="AP156" s="116">
        <v>0</v>
      </c>
      <c r="AQ156" s="116">
        <v>4</v>
      </c>
      <c r="AR156" s="116">
        <v>-35621.64963</v>
      </c>
      <c r="AS156" s="116">
        <v>-35621.64963</v>
      </c>
      <c r="AT156" s="116">
        <v>1</v>
      </c>
      <c r="AU156" s="385">
        <v>0</v>
      </c>
      <c r="AV156" s="332">
        <v>0</v>
      </c>
      <c r="AW156" s="332">
        <v>0</v>
      </c>
      <c r="AX156" s="332">
        <v>-35621.64963</v>
      </c>
      <c r="AY156" s="332">
        <v>0</v>
      </c>
      <c r="AZ156" s="332">
        <v>-6.0343377674798369</v>
      </c>
      <c r="BA156" s="332">
        <v>0</v>
      </c>
      <c r="BB156" s="31">
        <v>480729.84191223251</v>
      </c>
      <c r="BC156" s="31">
        <v>0</v>
      </c>
      <c r="BD156" s="29">
        <v>0</v>
      </c>
      <c r="BE156" s="31">
        <v>0</v>
      </c>
    </row>
    <row r="157" spans="1:57" ht="13">
      <c r="A157" s="153">
        <v>44568</v>
      </c>
      <c r="B157" s="10" t="s">
        <v>183</v>
      </c>
      <c r="C157" s="10">
        <v>44563000014</v>
      </c>
      <c r="D157" s="10" t="s">
        <v>16</v>
      </c>
      <c r="E157" s="10" t="s">
        <v>36</v>
      </c>
      <c r="F157" s="153">
        <v>44563</v>
      </c>
      <c r="G157" s="116" t="s">
        <v>37</v>
      </c>
      <c r="H157" s="116">
        <v>416011.66724999994</v>
      </c>
      <c r="I157" s="116">
        <v>83988.332750000001</v>
      </c>
      <c r="J157" s="116">
        <v>499999.99999999994</v>
      </c>
      <c r="K157" s="219">
        <v>345160.33075000002</v>
      </c>
      <c r="L157" s="116">
        <v>0</v>
      </c>
      <c r="M157" s="31">
        <v>-64724.209000000003</v>
      </c>
      <c r="N157" s="336">
        <v>-64724.208999999995</v>
      </c>
      <c r="O157" s="336">
        <v>64724.209000000003</v>
      </c>
      <c r="P157" s="219">
        <v>0</v>
      </c>
      <c r="Q157" s="332">
        <v>6472.4209000000001</v>
      </c>
      <c r="R157" s="219">
        <v>10</v>
      </c>
      <c r="S157" s="332">
        <v>0</v>
      </c>
      <c r="T157" s="219">
        <v>0</v>
      </c>
      <c r="U157" s="332">
        <v>0</v>
      </c>
      <c r="V157" s="332">
        <v>0</v>
      </c>
      <c r="W157" s="370">
        <v>0</v>
      </c>
      <c r="X157" s="370">
        <v>0</v>
      </c>
      <c r="Y157" s="370">
        <v>0</v>
      </c>
      <c r="Z157" s="370">
        <v>0</v>
      </c>
      <c r="AA157" s="370">
        <v>0</v>
      </c>
      <c r="AB157" s="370">
        <v>10</v>
      </c>
      <c r="AC157" s="370">
        <v>0</v>
      </c>
      <c r="AD157" s="370">
        <v>0</v>
      </c>
      <c r="AE157" s="370">
        <v>0</v>
      </c>
      <c r="AF157" s="370">
        <v>-10</v>
      </c>
      <c r="AG157" s="31">
        <v>10</v>
      </c>
      <c r="AH157" s="31">
        <v>715.8</v>
      </c>
      <c r="AI157" s="31">
        <v>0</v>
      </c>
      <c r="AJ157" s="370">
        <v>8.8602000000000007</v>
      </c>
      <c r="AK157" s="219">
        <v>715.8</v>
      </c>
      <c r="AL157" s="219">
        <v>0</v>
      </c>
      <c r="AM157" s="219">
        <v>0</v>
      </c>
      <c r="AN157" s="219">
        <v>0</v>
      </c>
      <c r="AO157" s="116">
        <v>0</v>
      </c>
      <c r="AP157" s="116">
        <v>0</v>
      </c>
      <c r="AQ157" s="116">
        <v>5</v>
      </c>
      <c r="AR157" s="116">
        <v>63421.311600000008</v>
      </c>
      <c r="AS157" s="116">
        <v>69763.442759999991</v>
      </c>
      <c r="AT157" s="116">
        <v>1</v>
      </c>
      <c r="AU157" s="385">
        <v>0</v>
      </c>
      <c r="AV157" s="332">
        <v>0</v>
      </c>
      <c r="AW157" s="332">
        <v>0</v>
      </c>
      <c r="AX157" s="332">
        <v>-63421.311600000001</v>
      </c>
      <c r="AY157" s="332">
        <v>0</v>
      </c>
      <c r="AZ157" s="332">
        <v>0</v>
      </c>
      <c r="BA157" s="332">
        <v>0</v>
      </c>
      <c r="BB157" s="31">
        <v>416005.63291223248</v>
      </c>
      <c r="BC157" s="31">
        <v>0</v>
      </c>
      <c r="BD157" s="29">
        <v>0</v>
      </c>
      <c r="BE157" s="31">
        <v>0</v>
      </c>
    </row>
    <row r="158" spans="1:57" ht="13">
      <c r="A158" s="153">
        <v>44568</v>
      </c>
      <c r="B158" s="10" t="s">
        <v>183</v>
      </c>
      <c r="C158" s="10">
        <v>44565000016</v>
      </c>
      <c r="D158" s="10" t="s">
        <v>16</v>
      </c>
      <c r="E158" s="10" t="s">
        <v>36</v>
      </c>
      <c r="F158" s="153">
        <v>44565</v>
      </c>
      <c r="G158" s="116" t="s">
        <v>37</v>
      </c>
      <c r="H158" s="116">
        <v>448553.16724999994</v>
      </c>
      <c r="I158" s="116">
        <v>51446.832750000001</v>
      </c>
      <c r="J158" s="116">
        <v>499999.99999999994</v>
      </c>
      <c r="K158" s="219">
        <v>507150.24874999997</v>
      </c>
      <c r="L158" s="116">
        <v>0</v>
      </c>
      <c r="M158" s="31">
        <v>32541.5</v>
      </c>
      <c r="N158" s="336">
        <v>32541.5</v>
      </c>
      <c r="O158" s="336">
        <v>0</v>
      </c>
      <c r="P158" s="219">
        <v>-32541.5</v>
      </c>
      <c r="Q158" s="332">
        <v>6508.3</v>
      </c>
      <c r="R158" s="219">
        <v>-5</v>
      </c>
      <c r="S158" s="332">
        <v>0</v>
      </c>
      <c r="T158" s="219">
        <v>0</v>
      </c>
      <c r="U158" s="332">
        <v>0</v>
      </c>
      <c r="V158" s="332">
        <v>0</v>
      </c>
      <c r="W158" s="370">
        <v>0</v>
      </c>
      <c r="X158" s="370">
        <v>10</v>
      </c>
      <c r="Y158" s="370">
        <v>0</v>
      </c>
      <c r="Z158" s="370">
        <v>0</v>
      </c>
      <c r="AA158" s="370">
        <v>0</v>
      </c>
      <c r="AB158" s="370">
        <v>5</v>
      </c>
      <c r="AC158" s="370">
        <v>0</v>
      </c>
      <c r="AD158" s="370">
        <v>0</v>
      </c>
      <c r="AE158" s="370">
        <v>0</v>
      </c>
      <c r="AF158" s="370">
        <v>5</v>
      </c>
      <c r="AG158" s="31">
        <v>-5</v>
      </c>
      <c r="AH158" s="31">
        <v>715.8</v>
      </c>
      <c r="AI158" s="31">
        <v>0</v>
      </c>
      <c r="AJ158" s="370">
        <v>8.8602000000000007</v>
      </c>
      <c r="AK158" s="219">
        <v>715.8</v>
      </c>
      <c r="AL158" s="219">
        <v>0</v>
      </c>
      <c r="AM158" s="219">
        <v>0</v>
      </c>
      <c r="AN158" s="219">
        <v>0</v>
      </c>
      <c r="AO158" s="116">
        <v>0</v>
      </c>
      <c r="AP158" s="116">
        <v>0</v>
      </c>
      <c r="AQ158" s="116">
        <v>5</v>
      </c>
      <c r="AR158" s="116">
        <v>-31710.655800000004</v>
      </c>
      <c r="AS158" s="116">
        <v>69763.442759999991</v>
      </c>
      <c r="AT158" s="116">
        <v>0</v>
      </c>
      <c r="AU158" s="385">
        <v>0</v>
      </c>
      <c r="AV158" s="332">
        <v>0</v>
      </c>
      <c r="AW158" s="332">
        <v>0</v>
      </c>
      <c r="AX158" s="332">
        <v>31710.6558</v>
      </c>
      <c r="AY158" s="332">
        <v>0</v>
      </c>
      <c r="AZ158" s="332">
        <v>0</v>
      </c>
      <c r="BA158" s="332">
        <v>0</v>
      </c>
      <c r="BB158" s="31">
        <v>448547.13291223248</v>
      </c>
      <c r="BC158" s="31">
        <v>0</v>
      </c>
      <c r="BD158" s="29">
        <v>0</v>
      </c>
      <c r="BE158" s="31">
        <v>0</v>
      </c>
    </row>
    <row r="159" spans="1:57" ht="13">
      <c r="A159" s="153">
        <v>44568</v>
      </c>
      <c r="B159" s="10" t="s">
        <v>183</v>
      </c>
      <c r="C159" s="10">
        <v>44566000017</v>
      </c>
      <c r="D159" s="10" t="s">
        <v>16</v>
      </c>
      <c r="E159" s="10" t="s">
        <v>36</v>
      </c>
      <c r="F159" s="153">
        <v>44566</v>
      </c>
      <c r="G159" s="116" t="s">
        <v>37</v>
      </c>
      <c r="H159" s="116">
        <v>422451.84284999996</v>
      </c>
      <c r="I159" s="116">
        <v>77548.157149999999</v>
      </c>
      <c r="J159" s="116">
        <v>499999.99999999994</v>
      </c>
      <c r="K159" s="219">
        <v>415965.92434999999</v>
      </c>
      <c r="L159" s="116">
        <v>0</v>
      </c>
      <c r="M159" s="31">
        <v>-26101.324400000001</v>
      </c>
      <c r="N159" s="336">
        <v>-26101.324400000001</v>
      </c>
      <c r="O159" s="336">
        <v>26101.324400000001</v>
      </c>
      <c r="P159" s="219">
        <v>0</v>
      </c>
      <c r="Q159" s="332">
        <v>6525.3311000000003</v>
      </c>
      <c r="R159" s="219">
        <v>4</v>
      </c>
      <c r="S159" s="332">
        <v>0</v>
      </c>
      <c r="T159" s="219">
        <v>0</v>
      </c>
      <c r="U159" s="332">
        <v>0</v>
      </c>
      <c r="V159" s="332">
        <v>0</v>
      </c>
      <c r="W159" s="370">
        <v>0</v>
      </c>
      <c r="X159" s="370">
        <v>5</v>
      </c>
      <c r="Y159" s="370">
        <v>0</v>
      </c>
      <c r="Z159" s="370">
        <v>0</v>
      </c>
      <c r="AA159" s="370">
        <v>0</v>
      </c>
      <c r="AB159" s="370">
        <v>9</v>
      </c>
      <c r="AC159" s="370">
        <v>0</v>
      </c>
      <c r="AD159" s="370">
        <v>0</v>
      </c>
      <c r="AE159" s="370">
        <v>0</v>
      </c>
      <c r="AF159" s="370">
        <v>-4</v>
      </c>
      <c r="AG159" s="31">
        <v>4</v>
      </c>
      <c r="AH159" s="31">
        <v>715.8</v>
      </c>
      <c r="AI159" s="31">
        <v>0</v>
      </c>
      <c r="AJ159" s="370">
        <v>8.8602000000000007</v>
      </c>
      <c r="AK159" s="219">
        <v>715.8</v>
      </c>
      <c r="AL159" s="219">
        <v>0</v>
      </c>
      <c r="AM159" s="219">
        <v>0</v>
      </c>
      <c r="AN159" s="219">
        <v>0</v>
      </c>
      <c r="AO159" s="116">
        <v>0</v>
      </c>
      <c r="AP159" s="116">
        <v>0</v>
      </c>
      <c r="AQ159" s="116">
        <v>5</v>
      </c>
      <c r="AR159" s="116">
        <v>25368.52464</v>
      </c>
      <c r="AS159" s="116">
        <v>69763.442759999991</v>
      </c>
      <c r="AT159" s="116">
        <v>0</v>
      </c>
      <c r="AU159" s="385">
        <v>0</v>
      </c>
      <c r="AV159" s="332">
        <v>0</v>
      </c>
      <c r="AW159" s="332">
        <v>0</v>
      </c>
      <c r="AX159" s="332">
        <v>-25368.52464</v>
      </c>
      <c r="AY159" s="332">
        <v>0</v>
      </c>
      <c r="AZ159" s="332">
        <v>0</v>
      </c>
      <c r="BA159" s="332">
        <v>0</v>
      </c>
      <c r="BB159" s="31">
        <v>422445.8085122325</v>
      </c>
      <c r="BC159" s="31">
        <v>0</v>
      </c>
      <c r="BD159" s="29">
        <v>0</v>
      </c>
      <c r="BE159" s="31">
        <v>0</v>
      </c>
    </row>
    <row r="160" spans="1:57" ht="13">
      <c r="A160" s="153">
        <v>44568</v>
      </c>
      <c r="B160" s="10" t="s">
        <v>183</v>
      </c>
      <c r="C160" s="10">
        <v>44567000018</v>
      </c>
      <c r="D160" s="10" t="s">
        <v>16</v>
      </c>
      <c r="E160" s="10" t="s">
        <v>36</v>
      </c>
      <c r="F160" s="153">
        <v>44567</v>
      </c>
      <c r="G160" s="116" t="s">
        <v>37</v>
      </c>
      <c r="H160" s="116">
        <v>344208.43124999997</v>
      </c>
      <c r="I160" s="116">
        <v>155791.56874999998</v>
      </c>
      <c r="J160" s="116">
        <v>499999.99999999994</v>
      </c>
      <c r="K160" s="219">
        <v>389925.16154999996</v>
      </c>
      <c r="L160" s="116">
        <v>0</v>
      </c>
      <c r="M160" s="31">
        <v>-78243.411599999992</v>
      </c>
      <c r="N160" s="336">
        <v>-78243.411599999992</v>
      </c>
      <c r="O160" s="336">
        <v>78243.411599999992</v>
      </c>
      <c r="P160" s="219">
        <v>0</v>
      </c>
      <c r="Q160" s="332">
        <v>6520.2842999999993</v>
      </c>
      <c r="R160" s="219">
        <v>12</v>
      </c>
      <c r="S160" s="332">
        <v>0</v>
      </c>
      <c r="T160" s="219">
        <v>0</v>
      </c>
      <c r="U160" s="332">
        <v>0</v>
      </c>
      <c r="V160" s="332">
        <v>0</v>
      </c>
      <c r="W160" s="370">
        <v>0</v>
      </c>
      <c r="X160" s="370">
        <v>9</v>
      </c>
      <c r="Y160" s="370">
        <v>0</v>
      </c>
      <c r="Z160" s="370">
        <v>0</v>
      </c>
      <c r="AA160" s="370">
        <v>0</v>
      </c>
      <c r="AB160" s="370">
        <v>21</v>
      </c>
      <c r="AC160" s="370">
        <v>0</v>
      </c>
      <c r="AD160" s="370">
        <v>0</v>
      </c>
      <c r="AE160" s="370">
        <v>0</v>
      </c>
      <c r="AF160" s="370">
        <v>-12</v>
      </c>
      <c r="AG160" s="31">
        <v>12</v>
      </c>
      <c r="AH160" s="31">
        <v>715.8</v>
      </c>
      <c r="AI160" s="31">
        <v>0</v>
      </c>
      <c r="AJ160" s="370">
        <v>8.8602000000000007</v>
      </c>
      <c r="AK160" s="219">
        <v>715.8</v>
      </c>
      <c r="AL160" s="219">
        <v>0</v>
      </c>
      <c r="AM160" s="219">
        <v>0</v>
      </c>
      <c r="AN160" s="219">
        <v>0</v>
      </c>
      <c r="AO160" s="116">
        <v>0</v>
      </c>
      <c r="AP160" s="116">
        <v>0</v>
      </c>
      <c r="AQ160" s="116">
        <v>5</v>
      </c>
      <c r="AR160" s="116">
        <v>76105.573919999995</v>
      </c>
      <c r="AS160" s="116">
        <v>69763.442759999991</v>
      </c>
      <c r="AT160" s="116">
        <v>0</v>
      </c>
      <c r="AU160" s="385">
        <v>0</v>
      </c>
      <c r="AV160" s="332">
        <v>0</v>
      </c>
      <c r="AW160" s="332">
        <v>0</v>
      </c>
      <c r="AX160" s="332">
        <v>-76105.57392000001</v>
      </c>
      <c r="AY160" s="332">
        <v>0</v>
      </c>
      <c r="AZ160" s="332">
        <v>0</v>
      </c>
      <c r="BA160" s="332">
        <v>0</v>
      </c>
      <c r="BB160" s="31">
        <v>344202.39691223251</v>
      </c>
      <c r="BC160" s="31">
        <v>0</v>
      </c>
      <c r="BD160" s="29">
        <v>0</v>
      </c>
      <c r="BE160" s="31">
        <v>0</v>
      </c>
    </row>
    <row r="161" spans="1:57" ht="13">
      <c r="A161" s="153">
        <v>44568</v>
      </c>
      <c r="B161" s="10" t="s">
        <v>183</v>
      </c>
      <c r="C161" s="10">
        <v>44567000020</v>
      </c>
      <c r="D161" s="10" t="s">
        <v>16</v>
      </c>
      <c r="E161" s="10" t="s">
        <v>36</v>
      </c>
      <c r="F161" s="153">
        <v>44567</v>
      </c>
      <c r="G161" s="116" t="s">
        <v>37</v>
      </c>
      <c r="H161" s="116">
        <v>324647.57834999997</v>
      </c>
      <c r="I161" s="116">
        <v>175352.42164999997</v>
      </c>
      <c r="J161" s="116">
        <v>499999.99999999994</v>
      </c>
      <c r="K161" s="219">
        <v>526851.13185000001</v>
      </c>
      <c r="L161" s="116">
        <v>0</v>
      </c>
      <c r="M161" s="31">
        <v>-19560.852899999998</v>
      </c>
      <c r="N161" s="336">
        <v>-19560.852899999998</v>
      </c>
      <c r="O161" s="336">
        <v>19560.852899999998</v>
      </c>
      <c r="P161" s="219">
        <v>0</v>
      </c>
      <c r="Q161" s="332">
        <v>6520.2842999999993</v>
      </c>
      <c r="R161" s="219">
        <v>3</v>
      </c>
      <c r="S161" s="332">
        <v>0</v>
      </c>
      <c r="T161" s="219">
        <v>0</v>
      </c>
      <c r="U161" s="332">
        <v>0</v>
      </c>
      <c r="V161" s="332">
        <v>0</v>
      </c>
      <c r="W161" s="370">
        <v>0</v>
      </c>
      <c r="X161" s="370">
        <v>21</v>
      </c>
      <c r="Y161" s="370">
        <v>0</v>
      </c>
      <c r="Z161" s="370">
        <v>0</v>
      </c>
      <c r="AA161" s="370">
        <v>0</v>
      </c>
      <c r="AB161" s="370">
        <v>24</v>
      </c>
      <c r="AC161" s="370">
        <v>0</v>
      </c>
      <c r="AD161" s="370">
        <v>0</v>
      </c>
      <c r="AE161" s="370">
        <v>0</v>
      </c>
      <c r="AF161" s="370">
        <v>-3</v>
      </c>
      <c r="AG161" s="31">
        <v>3</v>
      </c>
      <c r="AH161" s="31">
        <v>715.8</v>
      </c>
      <c r="AI161" s="31">
        <v>0</v>
      </c>
      <c r="AJ161" s="370">
        <v>8.8602000000000007</v>
      </c>
      <c r="AK161" s="219">
        <v>715.8</v>
      </c>
      <c r="AL161" s="219">
        <v>0</v>
      </c>
      <c r="AM161" s="219">
        <v>0</v>
      </c>
      <c r="AN161" s="219">
        <v>0</v>
      </c>
      <c r="AO161" s="116">
        <v>0</v>
      </c>
      <c r="AP161" s="116">
        <v>0</v>
      </c>
      <c r="AQ161" s="116">
        <v>5</v>
      </c>
      <c r="AR161" s="116">
        <v>19026.393479999999</v>
      </c>
      <c r="AS161" s="116">
        <v>69763.442759999991</v>
      </c>
      <c r="AT161" s="116">
        <v>0</v>
      </c>
      <c r="AU161" s="385">
        <v>0</v>
      </c>
      <c r="AV161" s="332">
        <v>0</v>
      </c>
      <c r="AW161" s="332">
        <v>0</v>
      </c>
      <c r="AX161" s="332">
        <v>-19026.393480000002</v>
      </c>
      <c r="AY161" s="332">
        <v>0</v>
      </c>
      <c r="AZ161" s="332">
        <v>0</v>
      </c>
      <c r="BA161" s="332">
        <v>0</v>
      </c>
      <c r="BB161" s="31">
        <v>324641.54401223251</v>
      </c>
      <c r="BC161" s="31">
        <v>0</v>
      </c>
      <c r="BD161" s="29">
        <v>0</v>
      </c>
      <c r="BE161" s="31">
        <v>0</v>
      </c>
    </row>
    <row r="162" spans="1:57" ht="13">
      <c r="A162" s="153">
        <v>44568</v>
      </c>
      <c r="B162" s="10" t="s">
        <v>183</v>
      </c>
      <c r="C162" s="10">
        <v>44568000021</v>
      </c>
      <c r="D162" s="10" t="s">
        <v>16</v>
      </c>
      <c r="E162" s="10" t="s">
        <v>36</v>
      </c>
      <c r="F162" s="153">
        <v>44568</v>
      </c>
      <c r="G162" s="116" t="s">
        <v>37</v>
      </c>
      <c r="H162" s="116">
        <v>407579.05034999998</v>
      </c>
      <c r="I162" s="116">
        <v>92420.949649999966</v>
      </c>
      <c r="J162" s="116">
        <v>499999.99999999994</v>
      </c>
      <c r="K162" s="219">
        <v>648904.30964999995</v>
      </c>
      <c r="L162" s="116">
        <v>0</v>
      </c>
      <c r="M162" s="31">
        <v>82931.472000000009</v>
      </c>
      <c r="N162" s="336">
        <v>82931.472000000009</v>
      </c>
      <c r="O162" s="336">
        <v>0</v>
      </c>
      <c r="P162" s="219">
        <v>-82931.472000000009</v>
      </c>
      <c r="Q162" s="332">
        <v>6379.344000000001</v>
      </c>
      <c r="R162" s="219">
        <v>-13</v>
      </c>
      <c r="S162" s="332">
        <v>0</v>
      </c>
      <c r="T162" s="219">
        <v>0</v>
      </c>
      <c r="U162" s="332">
        <v>0</v>
      </c>
      <c r="V162" s="332">
        <v>0</v>
      </c>
      <c r="W162" s="370">
        <v>0</v>
      </c>
      <c r="X162" s="370">
        <v>24</v>
      </c>
      <c r="Y162" s="370">
        <v>0</v>
      </c>
      <c r="Z162" s="370">
        <v>0</v>
      </c>
      <c r="AA162" s="370">
        <v>0</v>
      </c>
      <c r="AB162" s="370">
        <v>11</v>
      </c>
      <c r="AC162" s="370">
        <v>0</v>
      </c>
      <c r="AD162" s="370">
        <v>0</v>
      </c>
      <c r="AE162" s="370">
        <v>0</v>
      </c>
      <c r="AF162" s="370">
        <v>13</v>
      </c>
      <c r="AG162" s="31">
        <v>-13</v>
      </c>
      <c r="AH162" s="31">
        <v>715.8</v>
      </c>
      <c r="AI162" s="31">
        <v>1</v>
      </c>
      <c r="AJ162" s="370">
        <v>8.8602000000000007</v>
      </c>
      <c r="AK162" s="219">
        <v>715.8</v>
      </c>
      <c r="AL162" s="219">
        <v>0</v>
      </c>
      <c r="AM162" s="219">
        <v>0</v>
      </c>
      <c r="AN162" s="219">
        <v>0</v>
      </c>
      <c r="AO162" s="116">
        <v>0</v>
      </c>
      <c r="AP162" s="116">
        <v>0</v>
      </c>
      <c r="AQ162" s="116">
        <v>5</v>
      </c>
      <c r="AR162" s="116">
        <v>-82447.70508</v>
      </c>
      <c r="AS162" s="116">
        <v>69763.442759999991</v>
      </c>
      <c r="AT162" s="116">
        <v>0</v>
      </c>
      <c r="AU162" s="385">
        <v>124895.14072719999</v>
      </c>
      <c r="AV162" s="332">
        <v>-35621.64963</v>
      </c>
      <c r="AW162" s="332">
        <v>89273.491097199993</v>
      </c>
      <c r="AX162" s="332">
        <v>82447.70508</v>
      </c>
      <c r="AY162" s="332">
        <v>0</v>
      </c>
      <c r="AZ162" s="332">
        <v>0</v>
      </c>
      <c r="BA162" s="332">
        <v>0</v>
      </c>
      <c r="BB162" s="31">
        <v>407573.01601223252</v>
      </c>
      <c r="BC162" s="31">
        <v>407573.01601223252</v>
      </c>
      <c r="BD162" s="29">
        <v>0</v>
      </c>
      <c r="BE162" s="31">
        <v>496852.5414472</v>
      </c>
    </row>
    <row r="163" spans="1:57" ht="13">
      <c r="A163" s="153">
        <v>44568</v>
      </c>
      <c r="B163" s="10" t="s">
        <v>184</v>
      </c>
      <c r="C163" s="10">
        <v>44561000006</v>
      </c>
      <c r="D163" s="10" t="s">
        <v>64</v>
      </c>
      <c r="E163" s="10" t="s">
        <v>64</v>
      </c>
      <c r="F163" s="153">
        <v>44561</v>
      </c>
      <c r="G163" s="116" t="s">
        <v>39</v>
      </c>
      <c r="H163" s="116">
        <v>500000</v>
      </c>
      <c r="I163" s="116">
        <v>0</v>
      </c>
      <c r="J163" s="116">
        <v>500000</v>
      </c>
      <c r="K163" s="219">
        <v>0</v>
      </c>
      <c r="L163" s="116">
        <v>0</v>
      </c>
      <c r="M163" s="31">
        <v>500000</v>
      </c>
      <c r="N163" s="336">
        <v>500000</v>
      </c>
      <c r="O163" s="336">
        <v>0</v>
      </c>
      <c r="P163" s="219">
        <v>0</v>
      </c>
      <c r="Q163" s="332">
        <v>0</v>
      </c>
      <c r="R163" s="219">
        <v>0</v>
      </c>
      <c r="S163" s="332">
        <v>0</v>
      </c>
      <c r="T163" s="219">
        <v>0</v>
      </c>
      <c r="U163" s="332">
        <v>0</v>
      </c>
      <c r="V163" s="332">
        <v>0</v>
      </c>
      <c r="W163" s="370">
        <v>0</v>
      </c>
      <c r="X163" s="370">
        <v>0</v>
      </c>
      <c r="Y163" s="370">
        <v>0</v>
      </c>
      <c r="Z163" s="370">
        <v>0</v>
      </c>
      <c r="AA163" s="370">
        <v>0</v>
      </c>
      <c r="AB163" s="370">
        <v>0</v>
      </c>
      <c r="AC163" s="370">
        <v>0</v>
      </c>
      <c r="AD163" s="370">
        <v>0</v>
      </c>
      <c r="AE163" s="370">
        <v>0</v>
      </c>
      <c r="AF163" s="370">
        <v>0</v>
      </c>
      <c r="AG163" s="31">
        <v>0</v>
      </c>
      <c r="AH163" s="31">
        <v>1</v>
      </c>
      <c r="AI163" s="31">
        <v>0</v>
      </c>
      <c r="AJ163" s="370">
        <v>1</v>
      </c>
      <c r="AK163" s="219">
        <v>0</v>
      </c>
      <c r="AL163" s="219">
        <v>0</v>
      </c>
      <c r="AM163" s="219">
        <v>0</v>
      </c>
      <c r="AN163" s="219">
        <v>0</v>
      </c>
      <c r="AO163" s="116">
        <v>0</v>
      </c>
      <c r="AP163" s="116">
        <v>0</v>
      </c>
      <c r="AQ163" s="116">
        <v>1</v>
      </c>
      <c r="AR163" s="116">
        <v>0</v>
      </c>
      <c r="AS163" s="116">
        <v>0</v>
      </c>
      <c r="AT163" s="116">
        <v>1</v>
      </c>
      <c r="AU163" s="385">
        <v>0</v>
      </c>
      <c r="AV163" s="332">
        <v>0</v>
      </c>
      <c r="AW163" s="332">
        <v>0</v>
      </c>
      <c r="AX163" s="332">
        <v>500000</v>
      </c>
      <c r="AY163" s="332">
        <v>0</v>
      </c>
      <c r="AZ163" s="332">
        <v>0</v>
      </c>
      <c r="BA163" s="332">
        <v>0</v>
      </c>
      <c r="BB163" s="31">
        <v>499999.62477711466</v>
      </c>
      <c r="BC163" s="31">
        <v>0</v>
      </c>
      <c r="BD163" s="29">
        <v>0</v>
      </c>
      <c r="BE163" s="31">
        <v>0</v>
      </c>
    </row>
    <row r="164" spans="1:57" ht="13">
      <c r="A164" s="153">
        <v>44568</v>
      </c>
      <c r="B164" s="10" t="s">
        <v>184</v>
      </c>
      <c r="C164" s="10">
        <v>44563000025</v>
      </c>
      <c r="D164" s="10" t="s">
        <v>16</v>
      </c>
      <c r="E164" s="10" t="s">
        <v>40</v>
      </c>
      <c r="F164" s="153">
        <v>44563</v>
      </c>
      <c r="G164" s="116" t="s">
        <v>29</v>
      </c>
      <c r="H164" s="116">
        <v>450189.84940000001</v>
      </c>
      <c r="I164" s="116">
        <v>49810.150599999994</v>
      </c>
      <c r="J164" s="116">
        <v>500000</v>
      </c>
      <c r="K164" s="219">
        <v>450189.84940000001</v>
      </c>
      <c r="L164" s="116">
        <v>0</v>
      </c>
      <c r="M164" s="31">
        <v>-49810.150599999994</v>
      </c>
      <c r="N164" s="336">
        <v>-49810.150599999994</v>
      </c>
      <c r="O164" s="336">
        <v>49810.150599999994</v>
      </c>
      <c r="P164" s="219">
        <v>0</v>
      </c>
      <c r="Q164" s="332">
        <v>2490.5075299999999</v>
      </c>
      <c r="R164" s="219">
        <v>20</v>
      </c>
      <c r="S164" s="332">
        <v>0</v>
      </c>
      <c r="T164" s="219">
        <v>0</v>
      </c>
      <c r="U164" s="332">
        <v>0</v>
      </c>
      <c r="V164" s="332">
        <v>0</v>
      </c>
      <c r="W164" s="370">
        <v>0</v>
      </c>
      <c r="X164" s="370">
        <v>0</v>
      </c>
      <c r="Y164" s="370">
        <v>0</v>
      </c>
      <c r="Z164" s="370">
        <v>0</v>
      </c>
      <c r="AA164" s="370">
        <v>0</v>
      </c>
      <c r="AB164" s="370">
        <v>20</v>
      </c>
      <c r="AC164" s="370">
        <v>0</v>
      </c>
      <c r="AD164" s="370">
        <v>0</v>
      </c>
      <c r="AE164" s="370">
        <v>0</v>
      </c>
      <c r="AF164" s="370">
        <v>-20</v>
      </c>
      <c r="AG164" s="31">
        <v>20</v>
      </c>
      <c r="AH164" s="31">
        <v>1942</v>
      </c>
      <c r="AI164" s="31">
        <v>0</v>
      </c>
      <c r="AJ164" s="370">
        <v>1.2228509999999999</v>
      </c>
      <c r="AK164" s="219">
        <v>1942</v>
      </c>
      <c r="AL164" s="219">
        <v>0</v>
      </c>
      <c r="AM164" s="219">
        <v>0</v>
      </c>
      <c r="AN164" s="219">
        <v>0</v>
      </c>
      <c r="AO164" s="116">
        <v>0</v>
      </c>
      <c r="AP164" s="116">
        <v>0</v>
      </c>
      <c r="AQ164" s="116">
        <v>2</v>
      </c>
      <c r="AR164" s="116">
        <v>47495.53284</v>
      </c>
      <c r="AS164" s="116">
        <v>23747.76642</v>
      </c>
      <c r="AT164" s="116">
        <v>1</v>
      </c>
      <c r="AU164" s="385">
        <v>0</v>
      </c>
      <c r="AV164" s="332">
        <v>0</v>
      </c>
      <c r="AW164" s="332">
        <v>0</v>
      </c>
      <c r="AX164" s="332">
        <v>-47495.53284</v>
      </c>
      <c r="AY164" s="332">
        <v>0</v>
      </c>
      <c r="AZ164" s="332">
        <v>0</v>
      </c>
      <c r="BA164" s="332">
        <v>0</v>
      </c>
      <c r="BB164" s="31">
        <v>450189.47417711467</v>
      </c>
      <c r="BC164" s="31">
        <v>0</v>
      </c>
      <c r="BD164" s="29">
        <v>0</v>
      </c>
      <c r="BE164" s="31">
        <v>0</v>
      </c>
    </row>
    <row r="165" spans="1:57" ht="13">
      <c r="A165" s="153">
        <v>44568</v>
      </c>
      <c r="B165" s="10" t="s">
        <v>184</v>
      </c>
      <c r="C165" s="10">
        <v>44563000026</v>
      </c>
      <c r="D165" s="10" t="s">
        <v>16</v>
      </c>
      <c r="E165" s="10" t="s">
        <v>38</v>
      </c>
      <c r="F165" s="153">
        <v>44563</v>
      </c>
      <c r="G165" s="116" t="s">
        <v>39</v>
      </c>
      <c r="H165" s="116">
        <v>452489.84940000001</v>
      </c>
      <c r="I165" s="116">
        <v>47510.150599999994</v>
      </c>
      <c r="J165" s="116">
        <v>500000</v>
      </c>
      <c r="K165" s="219">
        <v>447889.84940000001</v>
      </c>
      <c r="L165" s="116">
        <v>0</v>
      </c>
      <c r="M165" s="31">
        <v>2300</v>
      </c>
      <c r="N165" s="336">
        <v>-2300</v>
      </c>
      <c r="O165" s="336">
        <v>0</v>
      </c>
      <c r="P165" s="219">
        <v>-2300</v>
      </c>
      <c r="Q165" s="332">
        <v>460</v>
      </c>
      <c r="R165" s="219">
        <v>-5</v>
      </c>
      <c r="S165" s="332">
        <v>0</v>
      </c>
      <c r="T165" s="219">
        <v>0</v>
      </c>
      <c r="U165" s="332">
        <v>0</v>
      </c>
      <c r="V165" s="332">
        <v>0</v>
      </c>
      <c r="W165" s="370">
        <v>0</v>
      </c>
      <c r="X165" s="370">
        <v>0</v>
      </c>
      <c r="Y165" s="370">
        <v>0</v>
      </c>
      <c r="Z165" s="370">
        <v>0</v>
      </c>
      <c r="AA165" s="370">
        <v>0</v>
      </c>
      <c r="AB165" s="370">
        <v>-5</v>
      </c>
      <c r="AC165" s="370">
        <v>0</v>
      </c>
      <c r="AD165" s="370">
        <v>0</v>
      </c>
      <c r="AE165" s="370">
        <v>0</v>
      </c>
      <c r="AF165" s="370">
        <v>-5</v>
      </c>
      <c r="AG165" s="31">
        <v>-5</v>
      </c>
      <c r="AH165" s="31">
        <v>443</v>
      </c>
      <c r="AI165" s="31">
        <v>0</v>
      </c>
      <c r="AJ165" s="370">
        <v>1</v>
      </c>
      <c r="AK165" s="219">
        <v>443</v>
      </c>
      <c r="AL165" s="219">
        <v>0</v>
      </c>
      <c r="AM165" s="219">
        <v>0</v>
      </c>
      <c r="AN165" s="219">
        <v>0</v>
      </c>
      <c r="AO165" s="116">
        <v>0</v>
      </c>
      <c r="AP165" s="116">
        <v>0</v>
      </c>
      <c r="AQ165" s="116">
        <v>3</v>
      </c>
      <c r="AR165" s="116">
        <v>-2215</v>
      </c>
      <c r="AS165" s="116">
        <v>4430</v>
      </c>
      <c r="AT165" s="116">
        <v>1</v>
      </c>
      <c r="AU165" s="385">
        <v>0</v>
      </c>
      <c r="AV165" s="332">
        <v>0</v>
      </c>
      <c r="AW165" s="332">
        <v>0</v>
      </c>
      <c r="AX165" s="332">
        <v>-2215</v>
      </c>
      <c r="AY165" s="332">
        <v>0</v>
      </c>
      <c r="AZ165" s="332">
        <v>-0.37522288534642012</v>
      </c>
      <c r="BA165" s="332">
        <v>0</v>
      </c>
      <c r="BB165" s="31">
        <v>452489.47417711467</v>
      </c>
      <c r="BC165" s="31">
        <v>0</v>
      </c>
      <c r="BD165" s="29">
        <v>0</v>
      </c>
      <c r="BE165" s="31">
        <v>0</v>
      </c>
    </row>
    <row r="166" spans="1:57" ht="13">
      <c r="A166" s="153">
        <v>44568</v>
      </c>
      <c r="B166" s="10" t="s">
        <v>184</v>
      </c>
      <c r="C166" s="10">
        <v>44564000027</v>
      </c>
      <c r="D166" s="10" t="s">
        <v>16</v>
      </c>
      <c r="E166" s="10" t="s">
        <v>40</v>
      </c>
      <c r="F166" s="153">
        <v>44564</v>
      </c>
      <c r="G166" s="116" t="s">
        <v>29</v>
      </c>
      <c r="H166" s="116">
        <v>477643.14439999999</v>
      </c>
      <c r="I166" s="116">
        <v>22356.855599999995</v>
      </c>
      <c r="J166" s="116">
        <v>500000</v>
      </c>
      <c r="K166" s="219">
        <v>473043.14439999999</v>
      </c>
      <c r="L166" s="116">
        <v>0</v>
      </c>
      <c r="M166" s="31">
        <v>25153.294999999998</v>
      </c>
      <c r="N166" s="336">
        <v>25153.295000000002</v>
      </c>
      <c r="O166" s="336">
        <v>0</v>
      </c>
      <c r="P166" s="219">
        <v>-25153.294999999998</v>
      </c>
      <c r="Q166" s="332">
        <v>2515.3294999999998</v>
      </c>
      <c r="R166" s="219">
        <v>-10</v>
      </c>
      <c r="S166" s="332">
        <v>0</v>
      </c>
      <c r="T166" s="219">
        <v>0</v>
      </c>
      <c r="U166" s="332">
        <v>0</v>
      </c>
      <c r="V166" s="332">
        <v>0</v>
      </c>
      <c r="W166" s="370">
        <v>0</v>
      </c>
      <c r="X166" s="370">
        <v>20</v>
      </c>
      <c r="Y166" s="370">
        <v>0</v>
      </c>
      <c r="Z166" s="370">
        <v>0</v>
      </c>
      <c r="AA166" s="370">
        <v>0</v>
      </c>
      <c r="AB166" s="370">
        <v>10</v>
      </c>
      <c r="AC166" s="370">
        <v>0</v>
      </c>
      <c r="AD166" s="370">
        <v>0</v>
      </c>
      <c r="AE166" s="370">
        <v>0</v>
      </c>
      <c r="AF166" s="370">
        <v>10</v>
      </c>
      <c r="AG166" s="31">
        <v>-10</v>
      </c>
      <c r="AH166" s="31">
        <v>1942</v>
      </c>
      <c r="AI166" s="31">
        <v>0</v>
      </c>
      <c r="AJ166" s="370">
        <v>1.2228509999999999</v>
      </c>
      <c r="AK166" s="219">
        <v>1942</v>
      </c>
      <c r="AL166" s="219">
        <v>0</v>
      </c>
      <c r="AM166" s="219">
        <v>0</v>
      </c>
      <c r="AN166" s="219">
        <v>0</v>
      </c>
      <c r="AO166" s="116">
        <v>0</v>
      </c>
      <c r="AP166" s="116">
        <v>0</v>
      </c>
      <c r="AQ166" s="116">
        <v>3</v>
      </c>
      <c r="AR166" s="116">
        <v>-23747.76642</v>
      </c>
      <c r="AS166" s="116">
        <v>23747.76642</v>
      </c>
      <c r="AT166" s="116">
        <v>0</v>
      </c>
      <c r="AU166" s="385">
        <v>0</v>
      </c>
      <c r="AV166" s="332">
        <v>0</v>
      </c>
      <c r="AW166" s="332">
        <v>0</v>
      </c>
      <c r="AX166" s="332">
        <v>23747.76642</v>
      </c>
      <c r="AY166" s="332">
        <v>0</v>
      </c>
      <c r="AZ166" s="332">
        <v>0</v>
      </c>
      <c r="BA166" s="332">
        <v>0</v>
      </c>
      <c r="BB166" s="31">
        <v>477642.76917711465</v>
      </c>
      <c r="BC166" s="31">
        <v>0</v>
      </c>
      <c r="BD166" s="29">
        <v>0</v>
      </c>
      <c r="BE166" s="31">
        <v>0</v>
      </c>
    </row>
    <row r="167" spans="1:57" ht="13">
      <c r="A167" s="153">
        <v>44568</v>
      </c>
      <c r="B167" s="10" t="s">
        <v>184</v>
      </c>
      <c r="C167" s="10">
        <v>44564000028</v>
      </c>
      <c r="D167" s="10" t="s">
        <v>16</v>
      </c>
      <c r="E167" s="10" t="s">
        <v>38</v>
      </c>
      <c r="F167" s="153">
        <v>44564</v>
      </c>
      <c r="G167" s="116" t="s">
        <v>39</v>
      </c>
      <c r="H167" s="116">
        <v>470743.14439999999</v>
      </c>
      <c r="I167" s="116">
        <v>29256.855599999995</v>
      </c>
      <c r="J167" s="116">
        <v>500000</v>
      </c>
      <c r="K167" s="219">
        <v>470743.14439999999</v>
      </c>
      <c r="L167" s="116">
        <v>0</v>
      </c>
      <c r="M167" s="31">
        <v>-6900</v>
      </c>
      <c r="N167" s="336">
        <v>-2300</v>
      </c>
      <c r="O167" s="336">
        <v>6900</v>
      </c>
      <c r="P167" s="219">
        <v>0</v>
      </c>
      <c r="Q167" s="332">
        <v>460</v>
      </c>
      <c r="R167" s="219">
        <v>15</v>
      </c>
      <c r="S167" s="332">
        <v>0</v>
      </c>
      <c r="T167" s="219">
        <v>0</v>
      </c>
      <c r="U167" s="332">
        <v>0</v>
      </c>
      <c r="V167" s="332">
        <v>0</v>
      </c>
      <c r="W167" s="370">
        <v>0</v>
      </c>
      <c r="X167" s="370">
        <v>-5</v>
      </c>
      <c r="Y167" s="370">
        <v>0</v>
      </c>
      <c r="Z167" s="370">
        <v>0</v>
      </c>
      <c r="AA167" s="370">
        <v>0</v>
      </c>
      <c r="AB167" s="370">
        <v>10</v>
      </c>
      <c r="AC167" s="370">
        <v>0</v>
      </c>
      <c r="AD167" s="370">
        <v>0</v>
      </c>
      <c r="AE167" s="370">
        <v>0</v>
      </c>
      <c r="AF167" s="370">
        <v>-5</v>
      </c>
      <c r="AG167" s="31">
        <v>15</v>
      </c>
      <c r="AH167" s="31">
        <v>443</v>
      </c>
      <c r="AI167" s="31">
        <v>1</v>
      </c>
      <c r="AJ167" s="370">
        <v>1</v>
      </c>
      <c r="AK167" s="219">
        <v>443</v>
      </c>
      <c r="AL167" s="219">
        <v>0</v>
      </c>
      <c r="AM167" s="219">
        <v>0</v>
      </c>
      <c r="AN167" s="219">
        <v>0</v>
      </c>
      <c r="AO167" s="116">
        <v>0</v>
      </c>
      <c r="AP167" s="116">
        <v>0</v>
      </c>
      <c r="AQ167" s="116">
        <v>3</v>
      </c>
      <c r="AR167" s="116">
        <v>6645</v>
      </c>
      <c r="AS167" s="116">
        <v>4430</v>
      </c>
      <c r="AT167" s="116">
        <v>0</v>
      </c>
      <c r="AU167" s="385">
        <v>28177.76642</v>
      </c>
      <c r="AV167" s="332">
        <v>0</v>
      </c>
      <c r="AW167" s="332">
        <v>28177.76642</v>
      </c>
      <c r="AX167" s="332">
        <v>-2215</v>
      </c>
      <c r="AY167" s="332">
        <v>0</v>
      </c>
      <c r="AZ167" s="332">
        <v>0</v>
      </c>
      <c r="BA167" s="332">
        <v>0</v>
      </c>
      <c r="BB167" s="31">
        <v>470742.76917711465</v>
      </c>
      <c r="BC167" s="31">
        <v>470742.76917711465</v>
      </c>
      <c r="BD167" s="29">
        <v>0</v>
      </c>
      <c r="BE167" s="31">
        <v>498920.91081999999</v>
      </c>
    </row>
    <row r="168" spans="1:57" ht="13">
      <c r="A168" s="153">
        <v>44568</v>
      </c>
      <c r="B168" s="10" t="s">
        <v>185</v>
      </c>
      <c r="C168" s="10">
        <v>44561000007</v>
      </c>
      <c r="D168" s="10" t="s">
        <v>64</v>
      </c>
      <c r="E168" s="10" t="s">
        <v>64</v>
      </c>
      <c r="F168" s="153">
        <v>44561</v>
      </c>
      <c r="G168" s="116" t="s">
        <v>39</v>
      </c>
      <c r="H168" s="116">
        <v>500000</v>
      </c>
      <c r="I168" s="116">
        <v>0</v>
      </c>
      <c r="J168" s="116">
        <v>500000</v>
      </c>
      <c r="K168" s="219">
        <v>0</v>
      </c>
      <c r="L168" s="116">
        <v>0</v>
      </c>
      <c r="M168" s="31">
        <v>500000</v>
      </c>
      <c r="N168" s="336">
        <v>500000</v>
      </c>
      <c r="O168" s="336">
        <v>0</v>
      </c>
      <c r="P168" s="219">
        <v>0</v>
      </c>
      <c r="Q168" s="332">
        <v>0</v>
      </c>
      <c r="R168" s="219">
        <v>0</v>
      </c>
      <c r="S168" s="332">
        <v>0</v>
      </c>
      <c r="T168" s="219">
        <v>0</v>
      </c>
      <c r="U168" s="332">
        <v>0</v>
      </c>
      <c r="V168" s="332">
        <v>0</v>
      </c>
      <c r="W168" s="370">
        <v>0</v>
      </c>
      <c r="X168" s="370">
        <v>0</v>
      </c>
      <c r="Y168" s="370">
        <v>0</v>
      </c>
      <c r="Z168" s="370">
        <v>0</v>
      </c>
      <c r="AA168" s="370">
        <v>0</v>
      </c>
      <c r="AB168" s="370">
        <v>0</v>
      </c>
      <c r="AC168" s="370">
        <v>0</v>
      </c>
      <c r="AD168" s="370">
        <v>0</v>
      </c>
      <c r="AE168" s="370">
        <v>0</v>
      </c>
      <c r="AF168" s="370">
        <v>0</v>
      </c>
      <c r="AG168" s="31">
        <v>0</v>
      </c>
      <c r="AH168" s="31">
        <v>1</v>
      </c>
      <c r="AI168" s="31">
        <v>0</v>
      </c>
      <c r="AJ168" s="370">
        <v>1</v>
      </c>
      <c r="AK168" s="219">
        <v>0</v>
      </c>
      <c r="AL168" s="219">
        <v>0</v>
      </c>
      <c r="AM168" s="219">
        <v>0</v>
      </c>
      <c r="AN168" s="219">
        <v>0</v>
      </c>
      <c r="AO168" s="116">
        <v>0</v>
      </c>
      <c r="AP168" s="116">
        <v>0</v>
      </c>
      <c r="AQ168" s="116">
        <v>1</v>
      </c>
      <c r="AR168" s="116">
        <v>0</v>
      </c>
      <c r="AS168" s="116">
        <v>0</v>
      </c>
      <c r="AT168" s="116">
        <v>1</v>
      </c>
      <c r="AU168" s="385">
        <v>0</v>
      </c>
      <c r="AV168" s="332">
        <v>0</v>
      </c>
      <c r="AW168" s="332">
        <v>0</v>
      </c>
      <c r="AX168" s="332">
        <v>500000</v>
      </c>
      <c r="AY168" s="332">
        <v>0</v>
      </c>
      <c r="AZ168" s="332">
        <v>0</v>
      </c>
      <c r="BA168" s="332">
        <v>0</v>
      </c>
      <c r="BB168" s="31">
        <v>499999.31750231684</v>
      </c>
      <c r="BC168" s="31">
        <v>0</v>
      </c>
      <c r="BD168" s="29">
        <v>0</v>
      </c>
      <c r="BE168" s="31">
        <v>0</v>
      </c>
    </row>
    <row r="169" spans="1:57" ht="13">
      <c r="A169" s="153">
        <v>44568</v>
      </c>
      <c r="B169" s="10" t="s">
        <v>185</v>
      </c>
      <c r="C169" s="10">
        <v>44562000029</v>
      </c>
      <c r="D169" s="10" t="s">
        <v>61</v>
      </c>
      <c r="E169" s="10" t="s">
        <v>63</v>
      </c>
      <c r="F169" s="153">
        <v>44562</v>
      </c>
      <c r="G169" s="116" t="s">
        <v>39</v>
      </c>
      <c r="H169" s="116">
        <v>490000</v>
      </c>
      <c r="I169" s="116">
        <v>10000</v>
      </c>
      <c r="J169" s="116">
        <v>500000</v>
      </c>
      <c r="K169" s="219">
        <v>490000</v>
      </c>
      <c r="L169" s="116">
        <v>0</v>
      </c>
      <c r="M169" s="31">
        <v>-10000</v>
      </c>
      <c r="N169" s="336">
        <v>-10000</v>
      </c>
      <c r="O169" s="336">
        <v>0</v>
      </c>
      <c r="P169" s="219">
        <v>0</v>
      </c>
      <c r="Q169" s="332">
        <v>0</v>
      </c>
      <c r="R169" s="219">
        <v>0</v>
      </c>
      <c r="S169" s="332">
        <v>0</v>
      </c>
      <c r="T169" s="219">
        <v>0</v>
      </c>
      <c r="U169" s="332">
        <v>0</v>
      </c>
      <c r="V169" s="332">
        <v>0</v>
      </c>
      <c r="W169" s="370">
        <v>10000</v>
      </c>
      <c r="X169" s="370">
        <v>0</v>
      </c>
      <c r="Y169" s="370">
        <v>0</v>
      </c>
      <c r="Z169" s="370">
        <v>0</v>
      </c>
      <c r="AA169" s="370">
        <v>0</v>
      </c>
      <c r="AB169" s="370">
        <v>0</v>
      </c>
      <c r="AC169" s="370">
        <v>0</v>
      </c>
      <c r="AD169" s="370">
        <v>0</v>
      </c>
      <c r="AE169" s="370">
        <v>10000</v>
      </c>
      <c r="AF169" s="370">
        <v>-10000</v>
      </c>
      <c r="AG169" s="31">
        <v>10000</v>
      </c>
      <c r="AH169" s="31">
        <v>1</v>
      </c>
      <c r="AI169" s="31">
        <v>0</v>
      </c>
      <c r="AJ169" s="370">
        <v>1</v>
      </c>
      <c r="AK169" s="219">
        <v>0</v>
      </c>
      <c r="AL169" s="219">
        <v>0</v>
      </c>
      <c r="AM169" s="219">
        <v>0</v>
      </c>
      <c r="AN169" s="219">
        <v>0</v>
      </c>
      <c r="AO169" s="116">
        <v>0</v>
      </c>
      <c r="AP169" s="116">
        <v>1</v>
      </c>
      <c r="AQ169" s="116">
        <v>2</v>
      </c>
      <c r="AR169" s="116">
        <v>10000</v>
      </c>
      <c r="AS169" s="116">
        <v>-5000</v>
      </c>
      <c r="AT169" s="116">
        <v>1</v>
      </c>
      <c r="AU169" s="385">
        <v>0</v>
      </c>
      <c r="AV169" s="332">
        <v>0</v>
      </c>
      <c r="AW169" s="332">
        <v>0</v>
      </c>
      <c r="AX169" s="332">
        <v>-10000</v>
      </c>
      <c r="AY169" s="332">
        <v>0</v>
      </c>
      <c r="AZ169" s="332">
        <v>0</v>
      </c>
      <c r="BA169" s="332">
        <v>4.1126643175088691E-2</v>
      </c>
      <c r="BB169" s="31">
        <v>489999.31750231684</v>
      </c>
      <c r="BC169" s="31">
        <v>0</v>
      </c>
      <c r="BD169" s="29">
        <v>0</v>
      </c>
      <c r="BE169" s="31">
        <v>0</v>
      </c>
    </row>
    <row r="170" spans="1:57" ht="13">
      <c r="A170" s="153">
        <v>44568</v>
      </c>
      <c r="B170" s="10" t="s">
        <v>185</v>
      </c>
      <c r="C170" s="10">
        <v>44562000030</v>
      </c>
      <c r="D170" s="10" t="s">
        <v>18</v>
      </c>
      <c r="E170" s="10" t="s">
        <v>7</v>
      </c>
      <c r="F170" s="153">
        <v>44562</v>
      </c>
      <c r="G170" s="116" t="s">
        <v>41</v>
      </c>
      <c r="H170" s="116">
        <v>448805.40759999998</v>
      </c>
      <c r="I170" s="116">
        <v>51194.592400000009</v>
      </c>
      <c r="J170" s="116">
        <v>500000</v>
      </c>
      <c r="K170" s="219">
        <v>458805.40759999998</v>
      </c>
      <c r="L170" s="116">
        <v>0</v>
      </c>
      <c r="M170" s="31">
        <v>-41194.592400000009</v>
      </c>
      <c r="N170" s="336">
        <v>-41194.592400000001</v>
      </c>
      <c r="O170" s="336">
        <v>0</v>
      </c>
      <c r="P170" s="219">
        <v>0</v>
      </c>
      <c r="Q170" s="332">
        <v>0</v>
      </c>
      <c r="R170" s="219">
        <v>0</v>
      </c>
      <c r="S170" s="332">
        <v>13.21</v>
      </c>
      <c r="T170" s="219">
        <v>40</v>
      </c>
      <c r="U170" s="332">
        <v>0</v>
      </c>
      <c r="V170" s="332">
        <v>0</v>
      </c>
      <c r="W170" s="370">
        <v>0</v>
      </c>
      <c r="X170" s="370">
        <v>0</v>
      </c>
      <c r="Y170" s="370">
        <v>0</v>
      </c>
      <c r="Z170" s="370">
        <v>0</v>
      </c>
      <c r="AA170" s="370">
        <v>0</v>
      </c>
      <c r="AB170" s="370">
        <v>0</v>
      </c>
      <c r="AC170" s="370">
        <v>40</v>
      </c>
      <c r="AD170" s="370">
        <v>0</v>
      </c>
      <c r="AE170" s="370">
        <v>0</v>
      </c>
      <c r="AF170" s="370">
        <v>-40</v>
      </c>
      <c r="AG170" s="31">
        <v>40</v>
      </c>
      <c r="AH170" s="31">
        <v>18.29</v>
      </c>
      <c r="AI170" s="31">
        <v>0</v>
      </c>
      <c r="AJ170" s="370">
        <v>7.7976700000000001</v>
      </c>
      <c r="AK170" s="219">
        <v>0</v>
      </c>
      <c r="AL170" s="219">
        <v>18.29</v>
      </c>
      <c r="AM170" s="219">
        <v>20.71</v>
      </c>
      <c r="AN170" s="219">
        <v>0</v>
      </c>
      <c r="AO170" s="116">
        <v>0</v>
      </c>
      <c r="AP170" s="116">
        <v>0</v>
      </c>
      <c r="AQ170" s="116">
        <v>3</v>
      </c>
      <c r="AR170" s="116">
        <v>57047.753720000001</v>
      </c>
      <c r="AS170" s="116">
        <v>57047.753720000001</v>
      </c>
      <c r="AT170" s="116">
        <v>1</v>
      </c>
      <c r="AU170" s="385">
        <v>0</v>
      </c>
      <c r="AV170" s="332">
        <v>0</v>
      </c>
      <c r="AW170" s="332">
        <v>0</v>
      </c>
      <c r="AX170" s="332">
        <v>-60821.825999999994</v>
      </c>
      <c r="AY170" s="332">
        <v>0</v>
      </c>
      <c r="AZ170" s="332">
        <v>0</v>
      </c>
      <c r="BA170" s="332">
        <v>0</v>
      </c>
      <c r="BB170" s="31">
        <v>448804.72510231682</v>
      </c>
      <c r="BC170" s="31">
        <v>0</v>
      </c>
      <c r="BD170" s="29">
        <v>0</v>
      </c>
      <c r="BE170" s="31">
        <v>0</v>
      </c>
    </row>
    <row r="171" spans="1:57" ht="13">
      <c r="A171" s="153">
        <v>44568</v>
      </c>
      <c r="B171" s="10" t="s">
        <v>185</v>
      </c>
      <c r="C171" s="10">
        <v>44562000031</v>
      </c>
      <c r="D171" s="10" t="s">
        <v>61</v>
      </c>
      <c r="E171" s="10" t="s">
        <v>63</v>
      </c>
      <c r="F171" s="153">
        <v>44562</v>
      </c>
      <c r="G171" s="116" t="s">
        <v>39</v>
      </c>
      <c r="H171" s="116">
        <v>428805.40759999998</v>
      </c>
      <c r="I171" s="116">
        <v>71194.592400000009</v>
      </c>
      <c r="J171" s="116">
        <v>500000</v>
      </c>
      <c r="K171" s="219">
        <v>438805.40759999998</v>
      </c>
      <c r="L171" s="116">
        <v>0</v>
      </c>
      <c r="M171" s="31">
        <v>-20000</v>
      </c>
      <c r="N171" s="336">
        <v>-20000</v>
      </c>
      <c r="O171" s="336">
        <v>0</v>
      </c>
      <c r="P171" s="219">
        <v>0</v>
      </c>
      <c r="Q171" s="332">
        <v>0</v>
      </c>
      <c r="R171" s="219">
        <v>0</v>
      </c>
      <c r="S171" s="332">
        <v>0</v>
      </c>
      <c r="T171" s="219">
        <v>0</v>
      </c>
      <c r="U171" s="332">
        <v>0</v>
      </c>
      <c r="V171" s="332">
        <v>0</v>
      </c>
      <c r="W171" s="370">
        <v>20000</v>
      </c>
      <c r="X171" s="370">
        <v>0</v>
      </c>
      <c r="Y171" s="370">
        <v>0</v>
      </c>
      <c r="Z171" s="370">
        <v>0</v>
      </c>
      <c r="AA171" s="370">
        <v>10000</v>
      </c>
      <c r="AB171" s="370">
        <v>0</v>
      </c>
      <c r="AC171" s="370">
        <v>0</v>
      </c>
      <c r="AD171" s="370">
        <v>0</v>
      </c>
      <c r="AE171" s="370">
        <v>30000</v>
      </c>
      <c r="AF171" s="370">
        <v>-20000</v>
      </c>
      <c r="AG171" s="31">
        <v>20000</v>
      </c>
      <c r="AH171" s="31">
        <v>1</v>
      </c>
      <c r="AI171" s="31">
        <v>0</v>
      </c>
      <c r="AJ171" s="370">
        <v>1</v>
      </c>
      <c r="AK171" s="219">
        <v>0</v>
      </c>
      <c r="AL171" s="219">
        <v>0</v>
      </c>
      <c r="AM171" s="219">
        <v>0</v>
      </c>
      <c r="AN171" s="219">
        <v>0</v>
      </c>
      <c r="AO171" s="116">
        <v>0</v>
      </c>
      <c r="AP171" s="116">
        <v>1</v>
      </c>
      <c r="AQ171" s="116">
        <v>3</v>
      </c>
      <c r="AR171" s="116">
        <v>20000</v>
      </c>
      <c r="AS171" s="116">
        <v>-5000</v>
      </c>
      <c r="AT171" s="116">
        <v>0</v>
      </c>
      <c r="AU171" s="385">
        <v>0</v>
      </c>
      <c r="AV171" s="332">
        <v>0</v>
      </c>
      <c r="AW171" s="332">
        <v>0</v>
      </c>
      <c r="AX171" s="332">
        <v>-20000</v>
      </c>
      <c r="AY171" s="332">
        <v>0</v>
      </c>
      <c r="AZ171" s="332">
        <v>0</v>
      </c>
      <c r="BA171" s="332">
        <v>0.12337992952526605</v>
      </c>
      <c r="BB171" s="31">
        <v>428804.72510231682</v>
      </c>
      <c r="BC171" s="31">
        <v>0</v>
      </c>
      <c r="BD171" s="29">
        <v>0</v>
      </c>
      <c r="BE171" s="31">
        <v>0</v>
      </c>
    </row>
    <row r="172" spans="1:57" ht="13">
      <c r="A172" s="153">
        <v>44568</v>
      </c>
      <c r="B172" s="10" t="s">
        <v>185</v>
      </c>
      <c r="C172" s="10">
        <v>44562000035</v>
      </c>
      <c r="D172" s="10" t="s">
        <v>16</v>
      </c>
      <c r="E172" s="10" t="s">
        <v>38</v>
      </c>
      <c r="F172" s="153">
        <v>44562</v>
      </c>
      <c r="G172" s="116" t="s">
        <v>39</v>
      </c>
      <c r="H172" s="116">
        <v>424205.40759999998</v>
      </c>
      <c r="I172" s="116">
        <v>75794.592400000009</v>
      </c>
      <c r="J172" s="116">
        <v>500000</v>
      </c>
      <c r="K172" s="219">
        <v>444205.40759999998</v>
      </c>
      <c r="L172" s="116">
        <v>0</v>
      </c>
      <c r="M172" s="31">
        <v>-4600</v>
      </c>
      <c r="N172" s="336">
        <v>-4600</v>
      </c>
      <c r="O172" s="336">
        <v>4600</v>
      </c>
      <c r="P172" s="219">
        <v>0</v>
      </c>
      <c r="Q172" s="332">
        <v>460</v>
      </c>
      <c r="R172" s="219">
        <v>10</v>
      </c>
      <c r="S172" s="332">
        <v>0</v>
      </c>
      <c r="T172" s="219">
        <v>0</v>
      </c>
      <c r="U172" s="332">
        <v>0</v>
      </c>
      <c r="V172" s="332">
        <v>0</v>
      </c>
      <c r="W172" s="370">
        <v>0</v>
      </c>
      <c r="X172" s="370">
        <v>0</v>
      </c>
      <c r="Y172" s="370">
        <v>0</v>
      </c>
      <c r="Z172" s="370">
        <v>0</v>
      </c>
      <c r="AA172" s="370">
        <v>0</v>
      </c>
      <c r="AB172" s="370">
        <v>10</v>
      </c>
      <c r="AC172" s="370">
        <v>0</v>
      </c>
      <c r="AD172" s="370">
        <v>0</v>
      </c>
      <c r="AE172" s="370">
        <v>0</v>
      </c>
      <c r="AF172" s="370">
        <v>-10</v>
      </c>
      <c r="AG172" s="31">
        <v>10</v>
      </c>
      <c r="AH172" s="31">
        <v>443</v>
      </c>
      <c r="AI172" s="31">
        <v>0</v>
      </c>
      <c r="AJ172" s="370">
        <v>1</v>
      </c>
      <c r="AK172" s="219">
        <v>443</v>
      </c>
      <c r="AL172" s="219">
        <v>0</v>
      </c>
      <c r="AM172" s="219">
        <v>0</v>
      </c>
      <c r="AN172" s="219">
        <v>0</v>
      </c>
      <c r="AO172" s="116">
        <v>0</v>
      </c>
      <c r="AP172" s="116">
        <v>0</v>
      </c>
      <c r="AQ172" s="116">
        <v>4</v>
      </c>
      <c r="AR172" s="116">
        <v>4430</v>
      </c>
      <c r="AS172" s="116">
        <v>172770</v>
      </c>
      <c r="AT172" s="116">
        <v>1</v>
      </c>
      <c r="AU172" s="385">
        <v>0</v>
      </c>
      <c r="AV172" s="332">
        <v>0</v>
      </c>
      <c r="AW172" s="332">
        <v>0</v>
      </c>
      <c r="AX172" s="332">
        <v>-4430</v>
      </c>
      <c r="AY172" s="332">
        <v>0</v>
      </c>
      <c r="AZ172" s="332">
        <v>0</v>
      </c>
      <c r="BA172" s="332">
        <v>0</v>
      </c>
      <c r="BB172" s="31">
        <v>424204.72510231682</v>
      </c>
      <c r="BC172" s="31">
        <v>0</v>
      </c>
      <c r="BD172" s="29">
        <v>0</v>
      </c>
      <c r="BE172" s="31">
        <v>0</v>
      </c>
    </row>
    <row r="173" spans="1:57" ht="13">
      <c r="A173" s="153">
        <v>44568</v>
      </c>
      <c r="B173" s="10" t="s">
        <v>185</v>
      </c>
      <c r="C173" s="10">
        <v>44563000032</v>
      </c>
      <c r="D173" s="10" t="s">
        <v>61</v>
      </c>
      <c r="E173" s="10" t="s">
        <v>63</v>
      </c>
      <c r="F173" s="153">
        <v>44563</v>
      </c>
      <c r="G173" s="116" t="s">
        <v>39</v>
      </c>
      <c r="H173" s="116">
        <v>459205.40759999998</v>
      </c>
      <c r="I173" s="116">
        <v>40794.592400000009</v>
      </c>
      <c r="J173" s="116">
        <v>500000</v>
      </c>
      <c r="K173" s="219">
        <v>469205.40759999998</v>
      </c>
      <c r="L173" s="116">
        <v>0</v>
      </c>
      <c r="M173" s="31">
        <v>35000</v>
      </c>
      <c r="N173" s="336">
        <v>25000</v>
      </c>
      <c r="O173" s="336">
        <v>0</v>
      </c>
      <c r="P173" s="219">
        <v>0</v>
      </c>
      <c r="Q173" s="332">
        <v>0</v>
      </c>
      <c r="R173" s="219">
        <v>0</v>
      </c>
      <c r="S173" s="332">
        <v>0</v>
      </c>
      <c r="T173" s="219">
        <v>0</v>
      </c>
      <c r="U173" s="332">
        <v>0</v>
      </c>
      <c r="V173" s="332">
        <v>0</v>
      </c>
      <c r="W173" s="370">
        <v>-35000</v>
      </c>
      <c r="X173" s="370">
        <v>0</v>
      </c>
      <c r="Y173" s="370">
        <v>0</v>
      </c>
      <c r="Z173" s="370">
        <v>0</v>
      </c>
      <c r="AA173" s="370">
        <v>30000</v>
      </c>
      <c r="AB173" s="370">
        <v>0</v>
      </c>
      <c r="AC173" s="370">
        <v>0</v>
      </c>
      <c r="AD173" s="370">
        <v>0</v>
      </c>
      <c r="AE173" s="370">
        <v>-5000</v>
      </c>
      <c r="AF173" s="370">
        <v>25000</v>
      </c>
      <c r="AG173" s="31">
        <v>-35000</v>
      </c>
      <c r="AH173" s="31">
        <v>1</v>
      </c>
      <c r="AI173" s="31">
        <v>0</v>
      </c>
      <c r="AJ173" s="370">
        <v>1</v>
      </c>
      <c r="AK173" s="219">
        <v>0</v>
      </c>
      <c r="AL173" s="219">
        <v>0</v>
      </c>
      <c r="AM173" s="219">
        <v>0</v>
      </c>
      <c r="AN173" s="219">
        <v>0</v>
      </c>
      <c r="AO173" s="116">
        <v>0</v>
      </c>
      <c r="AP173" s="116">
        <v>1</v>
      </c>
      <c r="AQ173" s="116">
        <v>4</v>
      </c>
      <c r="AR173" s="116">
        <v>-35000</v>
      </c>
      <c r="AS173" s="116">
        <v>-5000</v>
      </c>
      <c r="AT173" s="116">
        <v>0</v>
      </c>
      <c r="AU173" s="385">
        <v>0</v>
      </c>
      <c r="AV173" s="332">
        <v>0</v>
      </c>
      <c r="AW173" s="332">
        <v>0</v>
      </c>
      <c r="AX173" s="332">
        <v>25000</v>
      </c>
      <c r="AY173" s="332">
        <v>0</v>
      </c>
      <c r="AZ173" s="332">
        <v>-0.84700425586099348</v>
      </c>
      <c r="BA173" s="332">
        <v>0</v>
      </c>
      <c r="BB173" s="31">
        <v>459204.72510231682</v>
      </c>
      <c r="BC173" s="31">
        <v>0</v>
      </c>
      <c r="BD173" s="29">
        <v>0</v>
      </c>
      <c r="BE173" s="31">
        <v>0</v>
      </c>
    </row>
    <row r="174" spans="1:57" ht="13">
      <c r="A174" s="153">
        <v>44568</v>
      </c>
      <c r="B174" s="10" t="s">
        <v>185</v>
      </c>
      <c r="C174" s="10">
        <v>44565000036</v>
      </c>
      <c r="D174" s="10" t="s">
        <v>16</v>
      </c>
      <c r="E174" s="10" t="s">
        <v>38</v>
      </c>
      <c r="F174" s="153">
        <v>44565</v>
      </c>
      <c r="G174" s="116" t="s">
        <v>39</v>
      </c>
      <c r="H174" s="116">
        <v>288205.40759999998</v>
      </c>
      <c r="I174" s="116">
        <v>211794.59240000002</v>
      </c>
      <c r="J174" s="116">
        <v>500000</v>
      </c>
      <c r="K174" s="219">
        <v>238205.40759999998</v>
      </c>
      <c r="L174" s="116">
        <v>0</v>
      </c>
      <c r="M174" s="31">
        <v>-171000</v>
      </c>
      <c r="N174" s="336">
        <v>-171000</v>
      </c>
      <c r="O174" s="336">
        <v>171000</v>
      </c>
      <c r="P174" s="219">
        <v>0</v>
      </c>
      <c r="Q174" s="332">
        <v>450</v>
      </c>
      <c r="R174" s="219">
        <v>380</v>
      </c>
      <c r="S174" s="332">
        <v>0</v>
      </c>
      <c r="T174" s="219">
        <v>0</v>
      </c>
      <c r="U174" s="332">
        <v>0</v>
      </c>
      <c r="V174" s="332">
        <v>0</v>
      </c>
      <c r="W174" s="370">
        <v>0</v>
      </c>
      <c r="X174" s="370">
        <v>10</v>
      </c>
      <c r="Y174" s="370">
        <v>0</v>
      </c>
      <c r="Z174" s="370">
        <v>0</v>
      </c>
      <c r="AA174" s="370">
        <v>0</v>
      </c>
      <c r="AB174" s="370">
        <v>390</v>
      </c>
      <c r="AC174" s="370">
        <v>0</v>
      </c>
      <c r="AD174" s="370">
        <v>0</v>
      </c>
      <c r="AE174" s="370">
        <v>0</v>
      </c>
      <c r="AF174" s="370">
        <v>-380</v>
      </c>
      <c r="AG174" s="31">
        <v>380</v>
      </c>
      <c r="AH174" s="31">
        <v>443</v>
      </c>
      <c r="AI174" s="31">
        <v>1</v>
      </c>
      <c r="AJ174" s="370">
        <v>1</v>
      </c>
      <c r="AK174" s="219">
        <v>443</v>
      </c>
      <c r="AL174" s="219">
        <v>0</v>
      </c>
      <c r="AM174" s="219">
        <v>0</v>
      </c>
      <c r="AN174" s="219">
        <v>0</v>
      </c>
      <c r="AO174" s="116">
        <v>0</v>
      </c>
      <c r="AP174" s="116">
        <v>0</v>
      </c>
      <c r="AQ174" s="116">
        <v>4</v>
      </c>
      <c r="AR174" s="116">
        <v>168340</v>
      </c>
      <c r="AS174" s="116">
        <v>172770</v>
      </c>
      <c r="AT174" s="116">
        <v>0</v>
      </c>
      <c r="AU174" s="385">
        <v>229817.75372000001</v>
      </c>
      <c r="AV174" s="332">
        <v>-5000</v>
      </c>
      <c r="AW174" s="332">
        <v>224817.75372000001</v>
      </c>
      <c r="AX174" s="332">
        <v>-168340</v>
      </c>
      <c r="AY174" s="332">
        <v>0</v>
      </c>
      <c r="AZ174" s="332">
        <v>0</v>
      </c>
      <c r="BA174" s="332">
        <v>0</v>
      </c>
      <c r="BB174" s="31">
        <v>288204.72510231682</v>
      </c>
      <c r="BC174" s="31">
        <v>288204.72510231682</v>
      </c>
      <c r="BD174" s="29">
        <v>0</v>
      </c>
      <c r="BE174" s="31">
        <v>513023.16131999996</v>
      </c>
    </row>
    <row r="175" spans="1:57" ht="13">
      <c r="A175" s="153">
        <v>44568</v>
      </c>
      <c r="B175" s="10" t="s">
        <v>186</v>
      </c>
      <c r="C175" s="10">
        <v>44561000008</v>
      </c>
      <c r="D175" s="10" t="s">
        <v>64</v>
      </c>
      <c r="E175" s="10" t="s">
        <v>64</v>
      </c>
      <c r="F175" s="153">
        <v>44561</v>
      </c>
      <c r="G175" s="116" t="s">
        <v>39</v>
      </c>
      <c r="H175" s="116">
        <v>500000</v>
      </c>
      <c r="I175" s="116">
        <v>0</v>
      </c>
      <c r="J175" s="116">
        <v>500000</v>
      </c>
      <c r="K175" s="219">
        <v>0</v>
      </c>
      <c r="L175" s="116">
        <v>0</v>
      </c>
      <c r="M175" s="31">
        <v>500000</v>
      </c>
      <c r="N175" s="336">
        <v>500000</v>
      </c>
      <c r="O175" s="336">
        <v>0</v>
      </c>
      <c r="P175" s="219">
        <v>0</v>
      </c>
      <c r="Q175" s="332">
        <v>0</v>
      </c>
      <c r="R175" s="219">
        <v>0</v>
      </c>
      <c r="S175" s="332">
        <v>0</v>
      </c>
      <c r="T175" s="219">
        <v>0</v>
      </c>
      <c r="U175" s="332">
        <v>0</v>
      </c>
      <c r="V175" s="332">
        <v>0</v>
      </c>
      <c r="W175" s="370">
        <v>0</v>
      </c>
      <c r="X175" s="370">
        <v>0</v>
      </c>
      <c r="Y175" s="370">
        <v>0</v>
      </c>
      <c r="Z175" s="370">
        <v>0</v>
      </c>
      <c r="AA175" s="370">
        <v>0</v>
      </c>
      <c r="AB175" s="370">
        <v>0</v>
      </c>
      <c r="AC175" s="370">
        <v>0</v>
      </c>
      <c r="AD175" s="370">
        <v>0</v>
      </c>
      <c r="AE175" s="370">
        <v>0</v>
      </c>
      <c r="AF175" s="370">
        <v>0</v>
      </c>
      <c r="AG175" s="31">
        <v>0</v>
      </c>
      <c r="AH175" s="31">
        <v>1</v>
      </c>
      <c r="AI175" s="31">
        <v>0</v>
      </c>
      <c r="AJ175" s="370">
        <v>1</v>
      </c>
      <c r="AK175" s="219">
        <v>0</v>
      </c>
      <c r="AL175" s="219">
        <v>0</v>
      </c>
      <c r="AM175" s="219">
        <v>0</v>
      </c>
      <c r="AN175" s="219">
        <v>0</v>
      </c>
      <c r="AO175" s="116">
        <v>0</v>
      </c>
      <c r="AP175" s="116">
        <v>0</v>
      </c>
      <c r="AQ175" s="116">
        <v>1</v>
      </c>
      <c r="AR175" s="116">
        <v>0</v>
      </c>
      <c r="AS175" s="116">
        <v>0</v>
      </c>
      <c r="AT175" s="116">
        <v>1</v>
      </c>
      <c r="AU175" s="385">
        <v>0</v>
      </c>
      <c r="AV175" s="332">
        <v>0</v>
      </c>
      <c r="AW175" s="332">
        <v>0</v>
      </c>
      <c r="AX175" s="332">
        <v>500000</v>
      </c>
      <c r="AY175" s="332">
        <v>0</v>
      </c>
      <c r="AZ175" s="332">
        <v>0</v>
      </c>
      <c r="BA175" s="332">
        <v>0</v>
      </c>
      <c r="BB175" s="31">
        <v>500000</v>
      </c>
      <c r="BC175" s="31">
        <v>0</v>
      </c>
      <c r="BD175" s="29">
        <v>0</v>
      </c>
      <c r="BE175" s="31">
        <v>0</v>
      </c>
    </row>
    <row r="176" spans="1:57" ht="13">
      <c r="A176" s="153">
        <v>44568</v>
      </c>
      <c r="B176" s="10" t="s">
        <v>186</v>
      </c>
      <c r="C176" s="10">
        <v>44563000037</v>
      </c>
      <c r="D176" s="10" t="s">
        <v>16</v>
      </c>
      <c r="E176" s="10" t="s">
        <v>0</v>
      </c>
      <c r="F176" s="153">
        <v>44563</v>
      </c>
      <c r="G176" s="116" t="s">
        <v>41</v>
      </c>
      <c r="H176" s="116">
        <v>409954.46750000003</v>
      </c>
      <c r="I176" s="116">
        <v>90045.532500000001</v>
      </c>
      <c r="J176" s="116">
        <v>500000</v>
      </c>
      <c r="K176" s="219">
        <v>409954.46750000003</v>
      </c>
      <c r="L176" s="116">
        <v>0</v>
      </c>
      <c r="M176" s="31">
        <v>-90045.532500000001</v>
      </c>
      <c r="N176" s="336">
        <v>-90045.532500000001</v>
      </c>
      <c r="O176" s="336">
        <v>90045.532500000001</v>
      </c>
      <c r="P176" s="219">
        <v>0</v>
      </c>
      <c r="Q176" s="332">
        <v>3001.51775</v>
      </c>
      <c r="R176" s="219">
        <v>30</v>
      </c>
      <c r="S176" s="332">
        <v>0</v>
      </c>
      <c r="T176" s="219">
        <v>0</v>
      </c>
      <c r="U176" s="332">
        <v>0</v>
      </c>
      <c r="V176" s="332">
        <v>0</v>
      </c>
      <c r="W176" s="370">
        <v>0</v>
      </c>
      <c r="X176" s="370">
        <v>0</v>
      </c>
      <c r="Y176" s="370">
        <v>0</v>
      </c>
      <c r="Z176" s="370">
        <v>0</v>
      </c>
      <c r="AA176" s="370">
        <v>0</v>
      </c>
      <c r="AB176" s="370">
        <v>30</v>
      </c>
      <c r="AC176" s="370">
        <v>0</v>
      </c>
      <c r="AD176" s="370">
        <v>0</v>
      </c>
      <c r="AE176" s="370">
        <v>0</v>
      </c>
      <c r="AF176" s="370">
        <v>-30</v>
      </c>
      <c r="AG176" s="31">
        <v>30</v>
      </c>
      <c r="AH176" s="31">
        <v>397.51</v>
      </c>
      <c r="AI176" s="31">
        <v>0</v>
      </c>
      <c r="AJ176" s="370">
        <v>7.7976700000000001</v>
      </c>
      <c r="AK176" s="219">
        <v>397.51</v>
      </c>
      <c r="AL176" s="219">
        <v>0</v>
      </c>
      <c r="AM176" s="219">
        <v>0</v>
      </c>
      <c r="AN176" s="219">
        <v>0</v>
      </c>
      <c r="AO176" s="116">
        <v>0</v>
      </c>
      <c r="AP176" s="116">
        <v>0</v>
      </c>
      <c r="AQ176" s="116">
        <v>2</v>
      </c>
      <c r="AR176" s="116">
        <v>92989.554050999999</v>
      </c>
      <c r="AS176" s="116">
        <v>92989.554050999999</v>
      </c>
      <c r="AT176" s="116">
        <v>1</v>
      </c>
      <c r="AU176" s="385">
        <v>0</v>
      </c>
      <c r="AV176" s="332">
        <v>0</v>
      </c>
      <c r="AW176" s="332">
        <v>0</v>
      </c>
      <c r="AX176" s="332">
        <v>-92989.554050999999</v>
      </c>
      <c r="AY176" s="332">
        <v>0</v>
      </c>
      <c r="AZ176" s="332">
        <v>0</v>
      </c>
      <c r="BA176" s="332">
        <v>0</v>
      </c>
      <c r="BB176" s="31">
        <v>409954.46750000003</v>
      </c>
      <c r="BC176" s="31">
        <v>0</v>
      </c>
      <c r="BD176" s="29">
        <v>0</v>
      </c>
      <c r="BE176" s="31">
        <v>0</v>
      </c>
    </row>
    <row r="177" spans="1:57" ht="13">
      <c r="A177" s="153">
        <v>44568</v>
      </c>
      <c r="B177" s="10" t="s">
        <v>186</v>
      </c>
      <c r="C177" s="10">
        <v>44563000038</v>
      </c>
      <c r="D177" s="10" t="s">
        <v>16</v>
      </c>
      <c r="E177" s="10" t="s">
        <v>38</v>
      </c>
      <c r="F177" s="153">
        <v>44563</v>
      </c>
      <c r="G177" s="116" t="s">
        <v>39</v>
      </c>
      <c r="H177" s="116">
        <v>396154.46750000003</v>
      </c>
      <c r="I177" s="116">
        <v>103845.5325</v>
      </c>
      <c r="J177" s="116">
        <v>500000</v>
      </c>
      <c r="K177" s="219">
        <v>396154.46750000003</v>
      </c>
      <c r="L177" s="116">
        <v>0</v>
      </c>
      <c r="M177" s="31">
        <v>-13800</v>
      </c>
      <c r="N177" s="336">
        <v>-13800</v>
      </c>
      <c r="O177" s="336">
        <v>13800</v>
      </c>
      <c r="P177" s="219">
        <v>0</v>
      </c>
      <c r="Q177" s="332">
        <v>460</v>
      </c>
      <c r="R177" s="219">
        <v>30</v>
      </c>
      <c r="S177" s="332">
        <v>0</v>
      </c>
      <c r="T177" s="219">
        <v>0</v>
      </c>
      <c r="U177" s="332">
        <v>0</v>
      </c>
      <c r="V177" s="332">
        <v>0</v>
      </c>
      <c r="W177" s="370">
        <v>0</v>
      </c>
      <c r="X177" s="370">
        <v>0</v>
      </c>
      <c r="Y177" s="370">
        <v>0</v>
      </c>
      <c r="Z177" s="370">
        <v>0</v>
      </c>
      <c r="AA177" s="370">
        <v>0</v>
      </c>
      <c r="AB177" s="370">
        <v>30</v>
      </c>
      <c r="AC177" s="370">
        <v>0</v>
      </c>
      <c r="AD177" s="370">
        <v>0</v>
      </c>
      <c r="AE177" s="370">
        <v>0</v>
      </c>
      <c r="AF177" s="370">
        <v>-30</v>
      </c>
      <c r="AG177" s="31">
        <v>30</v>
      </c>
      <c r="AH177" s="31">
        <v>443</v>
      </c>
      <c r="AI177" s="31">
        <v>0</v>
      </c>
      <c r="AJ177" s="370">
        <v>1</v>
      </c>
      <c r="AK177" s="219">
        <v>443</v>
      </c>
      <c r="AL177" s="219">
        <v>0</v>
      </c>
      <c r="AM177" s="219">
        <v>0</v>
      </c>
      <c r="AN177" s="219">
        <v>0</v>
      </c>
      <c r="AO177" s="116">
        <v>0</v>
      </c>
      <c r="AP177" s="116">
        <v>0</v>
      </c>
      <c r="AQ177" s="116">
        <v>3</v>
      </c>
      <c r="AR177" s="116">
        <v>13290</v>
      </c>
      <c r="AS177" s="116">
        <v>13290</v>
      </c>
      <c r="AT177" s="116">
        <v>1</v>
      </c>
      <c r="AU177" s="385">
        <v>0</v>
      </c>
      <c r="AV177" s="332">
        <v>0</v>
      </c>
      <c r="AW177" s="332">
        <v>0</v>
      </c>
      <c r="AX177" s="332">
        <v>-13290</v>
      </c>
      <c r="AY177" s="332">
        <v>0</v>
      </c>
      <c r="AZ177" s="332">
        <v>0</v>
      </c>
      <c r="BA177" s="332">
        <v>0</v>
      </c>
      <c r="BB177" s="31">
        <v>396154.46750000003</v>
      </c>
      <c r="BC177" s="31">
        <v>0</v>
      </c>
      <c r="BD177" s="29">
        <v>0</v>
      </c>
      <c r="BE177" s="31">
        <v>0</v>
      </c>
    </row>
    <row r="178" spans="1:57" ht="13">
      <c r="A178" s="153">
        <v>44568</v>
      </c>
      <c r="B178" s="10" t="s">
        <v>186</v>
      </c>
      <c r="C178" s="10">
        <v>44564000045</v>
      </c>
      <c r="D178" s="10" t="s">
        <v>18</v>
      </c>
      <c r="E178" s="10" t="s">
        <v>7</v>
      </c>
      <c r="F178" s="153">
        <v>44564</v>
      </c>
      <c r="G178" s="116" t="s">
        <v>41</v>
      </c>
      <c r="H178" s="116">
        <v>365251.58795000002</v>
      </c>
      <c r="I178" s="116">
        <v>134748.41205000001</v>
      </c>
      <c r="J178" s="116">
        <v>500000</v>
      </c>
      <c r="K178" s="219">
        <v>365251.58795000002</v>
      </c>
      <c r="L178" s="116">
        <v>0</v>
      </c>
      <c r="M178" s="31">
        <v>-30902.879550000001</v>
      </c>
      <c r="N178" s="336">
        <v>-30902.879550000005</v>
      </c>
      <c r="O178" s="336">
        <v>0</v>
      </c>
      <c r="P178" s="219">
        <v>0</v>
      </c>
      <c r="Q178" s="332">
        <v>0</v>
      </c>
      <c r="R178" s="219">
        <v>0</v>
      </c>
      <c r="S178" s="332">
        <v>13.21</v>
      </c>
      <c r="T178" s="219">
        <v>30</v>
      </c>
      <c r="U178" s="332">
        <v>0</v>
      </c>
      <c r="V178" s="332">
        <v>0</v>
      </c>
      <c r="W178" s="370">
        <v>0</v>
      </c>
      <c r="X178" s="370">
        <v>0</v>
      </c>
      <c r="Y178" s="370">
        <v>0</v>
      </c>
      <c r="Z178" s="370">
        <v>0</v>
      </c>
      <c r="AA178" s="370">
        <v>0</v>
      </c>
      <c r="AB178" s="370">
        <v>0</v>
      </c>
      <c r="AC178" s="370">
        <v>30</v>
      </c>
      <c r="AD178" s="370">
        <v>0</v>
      </c>
      <c r="AE178" s="370">
        <v>0</v>
      </c>
      <c r="AF178" s="370">
        <v>-30</v>
      </c>
      <c r="AG178" s="31">
        <v>30</v>
      </c>
      <c r="AH178" s="31">
        <v>18.29</v>
      </c>
      <c r="AI178" s="31">
        <v>0</v>
      </c>
      <c r="AJ178" s="370">
        <v>7.7976700000000001</v>
      </c>
      <c r="AK178" s="219">
        <v>0</v>
      </c>
      <c r="AL178" s="219">
        <v>18.29</v>
      </c>
      <c r="AM178" s="219">
        <v>20.71</v>
      </c>
      <c r="AN178" s="219">
        <v>0</v>
      </c>
      <c r="AO178" s="116">
        <v>0</v>
      </c>
      <c r="AP178" s="116">
        <v>0</v>
      </c>
      <c r="AQ178" s="116">
        <v>4</v>
      </c>
      <c r="AR178" s="116">
        <v>42785.815289999999</v>
      </c>
      <c r="AS178" s="116">
        <v>42785.815289999999</v>
      </c>
      <c r="AT178" s="116">
        <v>1</v>
      </c>
      <c r="AU178" s="385">
        <v>0</v>
      </c>
      <c r="AV178" s="332">
        <v>0</v>
      </c>
      <c r="AW178" s="332">
        <v>0</v>
      </c>
      <c r="AX178" s="332">
        <v>-45616.369500000001</v>
      </c>
      <c r="AY178" s="332">
        <v>0</v>
      </c>
      <c r="AZ178" s="332">
        <v>0</v>
      </c>
      <c r="BA178" s="332">
        <v>0</v>
      </c>
      <c r="BB178" s="31">
        <v>365251.58795000002</v>
      </c>
      <c r="BC178" s="31">
        <v>0</v>
      </c>
      <c r="BD178" s="29">
        <v>0</v>
      </c>
      <c r="BE178" s="31">
        <v>0</v>
      </c>
    </row>
    <row r="179" spans="1:57" ht="13">
      <c r="A179" s="153">
        <v>44568</v>
      </c>
      <c r="B179" s="10" t="s">
        <v>186</v>
      </c>
      <c r="C179" s="10">
        <v>44565000046</v>
      </c>
      <c r="D179" s="10" t="s">
        <v>18</v>
      </c>
      <c r="E179" s="10" t="s">
        <v>7</v>
      </c>
      <c r="F179" s="153">
        <v>44565</v>
      </c>
      <c r="G179" s="116" t="s">
        <v>41</v>
      </c>
      <c r="H179" s="116">
        <v>382070.50044999999</v>
      </c>
      <c r="I179" s="116">
        <v>117929.49955000001</v>
      </c>
      <c r="J179" s="116">
        <v>500000</v>
      </c>
      <c r="K179" s="219">
        <v>382070.50044999999</v>
      </c>
      <c r="L179" s="116">
        <v>0</v>
      </c>
      <c r="M179" s="31">
        <v>16818.912500000002</v>
      </c>
      <c r="N179" s="336">
        <v>16818.912500000002</v>
      </c>
      <c r="O179" s="336">
        <v>0</v>
      </c>
      <c r="P179" s="219">
        <v>0</v>
      </c>
      <c r="Q179" s="332">
        <v>0</v>
      </c>
      <c r="R179" s="219">
        <v>0</v>
      </c>
      <c r="S179" s="332">
        <v>10.79</v>
      </c>
      <c r="T179" s="219">
        <v>-20</v>
      </c>
      <c r="U179" s="332">
        <v>0</v>
      </c>
      <c r="V179" s="332">
        <v>0</v>
      </c>
      <c r="W179" s="370">
        <v>0</v>
      </c>
      <c r="X179" s="370">
        <v>0</v>
      </c>
      <c r="Y179" s="370">
        <v>30</v>
      </c>
      <c r="Z179" s="370">
        <v>0</v>
      </c>
      <c r="AA179" s="370">
        <v>0</v>
      </c>
      <c r="AB179" s="370">
        <v>0</v>
      </c>
      <c r="AC179" s="370">
        <v>10</v>
      </c>
      <c r="AD179" s="370">
        <v>0</v>
      </c>
      <c r="AE179" s="370">
        <v>0</v>
      </c>
      <c r="AF179" s="370">
        <v>20</v>
      </c>
      <c r="AG179" s="31">
        <v>-20</v>
      </c>
      <c r="AH179" s="31"/>
      <c r="AI179" s="31">
        <v>1</v>
      </c>
      <c r="AJ179" s="370">
        <v>7.7976700000000001</v>
      </c>
      <c r="AK179" s="219">
        <v>0</v>
      </c>
      <c r="AL179" s="219">
        <v>18.29</v>
      </c>
      <c r="AM179" s="219">
        <v>20.71</v>
      </c>
      <c r="AN179" s="219">
        <v>0</v>
      </c>
      <c r="AO179" s="116">
        <v>0</v>
      </c>
      <c r="AP179" s="116">
        <v>0</v>
      </c>
      <c r="AQ179" s="116">
        <v>4</v>
      </c>
      <c r="AR179" s="116">
        <v>0</v>
      </c>
      <c r="AS179" s="116">
        <v>42785.815289999999</v>
      </c>
      <c r="AT179" s="116">
        <v>0</v>
      </c>
      <c r="AU179" s="385">
        <v>149065.36934099998</v>
      </c>
      <c r="AV179" s="332">
        <v>0</v>
      </c>
      <c r="AW179" s="332">
        <v>149065.36934099998</v>
      </c>
      <c r="AX179" s="332">
        <v>30410.912999999997</v>
      </c>
      <c r="AY179" s="332">
        <v>0</v>
      </c>
      <c r="AZ179" s="332">
        <v>0</v>
      </c>
      <c r="BA179" s="332">
        <v>0</v>
      </c>
      <c r="BB179" s="31">
        <v>382070.50044999999</v>
      </c>
      <c r="BC179" s="31">
        <v>382070.50044999999</v>
      </c>
      <c r="BD179" s="29">
        <v>0</v>
      </c>
      <c r="BE179" s="31">
        <v>531135.86979099992</v>
      </c>
    </row>
    <row r="180" spans="1:57" ht="13">
      <c r="A180" s="153">
        <v>44568</v>
      </c>
      <c r="B180" s="10" t="s">
        <v>187</v>
      </c>
      <c r="C180" s="10">
        <v>44561000009</v>
      </c>
      <c r="D180" s="10" t="s">
        <v>64</v>
      </c>
      <c r="E180" s="10" t="s">
        <v>64</v>
      </c>
      <c r="F180" s="153">
        <v>44561</v>
      </c>
      <c r="G180" s="116" t="s">
        <v>39</v>
      </c>
      <c r="H180" s="116">
        <v>500000</v>
      </c>
      <c r="I180" s="116">
        <v>0</v>
      </c>
      <c r="J180" s="116">
        <v>500000</v>
      </c>
      <c r="K180" s="219">
        <v>0</v>
      </c>
      <c r="L180" s="116">
        <v>0</v>
      </c>
      <c r="M180" s="31">
        <v>500000</v>
      </c>
      <c r="N180" s="336">
        <v>500000</v>
      </c>
      <c r="O180" s="336">
        <v>0</v>
      </c>
      <c r="P180" s="219">
        <v>0</v>
      </c>
      <c r="Q180" s="332">
        <v>0</v>
      </c>
      <c r="R180" s="219">
        <v>0</v>
      </c>
      <c r="S180" s="332">
        <v>0</v>
      </c>
      <c r="T180" s="219">
        <v>0</v>
      </c>
      <c r="U180" s="332">
        <v>0</v>
      </c>
      <c r="V180" s="332">
        <v>0</v>
      </c>
      <c r="W180" s="370">
        <v>0</v>
      </c>
      <c r="X180" s="370">
        <v>0</v>
      </c>
      <c r="Y180" s="370">
        <v>0</v>
      </c>
      <c r="Z180" s="370">
        <v>0</v>
      </c>
      <c r="AA180" s="370">
        <v>0</v>
      </c>
      <c r="AB180" s="370">
        <v>0</v>
      </c>
      <c r="AC180" s="370">
        <v>0</v>
      </c>
      <c r="AD180" s="370">
        <v>0</v>
      </c>
      <c r="AE180" s="370">
        <v>0</v>
      </c>
      <c r="AF180" s="370">
        <v>0</v>
      </c>
      <c r="AG180" s="31">
        <v>0</v>
      </c>
      <c r="AH180" s="31">
        <v>1</v>
      </c>
      <c r="AI180" s="31">
        <v>0</v>
      </c>
      <c r="AJ180" s="370">
        <v>1</v>
      </c>
      <c r="AK180" s="219">
        <v>0</v>
      </c>
      <c r="AL180" s="219">
        <v>0</v>
      </c>
      <c r="AM180" s="219">
        <v>0</v>
      </c>
      <c r="AN180" s="219">
        <v>0</v>
      </c>
      <c r="AO180" s="116">
        <v>0</v>
      </c>
      <c r="AP180" s="116">
        <v>0</v>
      </c>
      <c r="AQ180" s="116">
        <v>1</v>
      </c>
      <c r="AR180" s="116">
        <v>0</v>
      </c>
      <c r="AS180" s="116">
        <v>0</v>
      </c>
      <c r="AT180" s="116">
        <v>1</v>
      </c>
      <c r="AU180" s="385">
        <v>0</v>
      </c>
      <c r="AV180" s="332">
        <v>0</v>
      </c>
      <c r="AW180" s="332">
        <v>0</v>
      </c>
      <c r="AX180" s="332">
        <v>500000</v>
      </c>
      <c r="AY180" s="332">
        <v>0</v>
      </c>
      <c r="AZ180" s="332">
        <v>0</v>
      </c>
      <c r="BA180" s="332">
        <v>0</v>
      </c>
      <c r="BB180" s="31">
        <v>499999.24955422932</v>
      </c>
      <c r="BC180" s="31">
        <v>0</v>
      </c>
      <c r="BD180" s="29">
        <v>0</v>
      </c>
      <c r="BE180" s="31">
        <v>0</v>
      </c>
    </row>
    <row r="181" spans="1:57" ht="13">
      <c r="A181" s="153">
        <v>44568</v>
      </c>
      <c r="B181" s="10" t="s">
        <v>187</v>
      </c>
      <c r="C181" s="10">
        <v>44566000040</v>
      </c>
      <c r="D181" s="10" t="s">
        <v>21</v>
      </c>
      <c r="E181" s="10" t="s">
        <v>4</v>
      </c>
      <c r="F181" s="153">
        <v>44566</v>
      </c>
      <c r="G181" s="116" t="s">
        <v>41</v>
      </c>
      <c r="H181" s="116">
        <v>527283.34</v>
      </c>
      <c r="I181" s="116">
        <v>-27283.34</v>
      </c>
      <c r="J181" s="116">
        <v>499999.99999999994</v>
      </c>
      <c r="K181" s="219">
        <v>149214.20000000001</v>
      </c>
      <c r="L181" s="116">
        <v>0</v>
      </c>
      <c r="M181" s="31">
        <v>27283.34</v>
      </c>
      <c r="N181" s="336">
        <v>-350785.8</v>
      </c>
      <c r="O181" s="336">
        <v>0</v>
      </c>
      <c r="P181" s="219">
        <v>0</v>
      </c>
      <c r="Q181" s="332">
        <v>0</v>
      </c>
      <c r="R181" s="219">
        <v>0</v>
      </c>
      <c r="S181" s="332">
        <v>0</v>
      </c>
      <c r="T181" s="219">
        <v>0</v>
      </c>
      <c r="U181" s="332">
        <v>3.5</v>
      </c>
      <c r="V181" s="332">
        <v>-10</v>
      </c>
      <c r="W181" s="370">
        <v>0</v>
      </c>
      <c r="X181" s="370">
        <v>0</v>
      </c>
      <c r="Y181" s="370">
        <v>0</v>
      </c>
      <c r="Z181" s="370">
        <v>0</v>
      </c>
      <c r="AA181" s="370">
        <v>0</v>
      </c>
      <c r="AB181" s="370">
        <v>0</v>
      </c>
      <c r="AC181" s="370">
        <v>0</v>
      </c>
      <c r="AD181" s="370">
        <v>-10</v>
      </c>
      <c r="AE181" s="370">
        <v>0</v>
      </c>
      <c r="AF181" s="370">
        <v>0</v>
      </c>
      <c r="AG181" s="31">
        <v>-10</v>
      </c>
      <c r="AH181" s="31">
        <v>4.1999999999999993</v>
      </c>
      <c r="AI181" s="31">
        <v>0</v>
      </c>
      <c r="AJ181" s="370">
        <v>7.7976700000000001</v>
      </c>
      <c r="AK181" s="219">
        <v>0</v>
      </c>
      <c r="AL181" s="219">
        <v>0</v>
      </c>
      <c r="AM181" s="219">
        <v>0</v>
      </c>
      <c r="AN181" s="219">
        <v>4.1999999999999993</v>
      </c>
      <c r="AO181" s="116">
        <v>45</v>
      </c>
      <c r="AP181" s="116">
        <v>0</v>
      </c>
      <c r="AQ181" s="116">
        <v>2</v>
      </c>
      <c r="AR181" s="116">
        <v>-32750.213999999993</v>
      </c>
      <c r="AS181" s="116">
        <v>-32750.213999999993</v>
      </c>
      <c r="AT181" s="116">
        <v>1</v>
      </c>
      <c r="AU181" s="385">
        <v>0</v>
      </c>
      <c r="AV181" s="332">
        <v>0</v>
      </c>
      <c r="AW181" s="332">
        <v>0</v>
      </c>
      <c r="AX181" s="332">
        <v>0</v>
      </c>
      <c r="AY181" s="332">
        <v>0</v>
      </c>
      <c r="AZ181" s="332">
        <v>0</v>
      </c>
      <c r="BA181" s="332">
        <v>0</v>
      </c>
      <c r="BB181" s="31">
        <v>527282.58955422929</v>
      </c>
      <c r="BC181" s="31">
        <v>0</v>
      </c>
      <c r="BD181" s="29">
        <v>0</v>
      </c>
      <c r="BE181" s="31">
        <v>0</v>
      </c>
    </row>
    <row r="182" spans="1:57" ht="13">
      <c r="A182" s="153">
        <v>44568</v>
      </c>
      <c r="B182" s="10" t="s">
        <v>187</v>
      </c>
      <c r="C182" s="10">
        <v>44566000041</v>
      </c>
      <c r="D182" s="10" t="s">
        <v>21</v>
      </c>
      <c r="E182" s="10" t="s">
        <v>5</v>
      </c>
      <c r="F182" s="153">
        <v>44566</v>
      </c>
      <c r="G182" s="116" t="s">
        <v>41</v>
      </c>
      <c r="H182" s="116">
        <v>507795.24</v>
      </c>
      <c r="I182" s="116">
        <v>-7795.2400000000016</v>
      </c>
      <c r="J182" s="116">
        <v>500000</v>
      </c>
      <c r="K182" s="219">
        <v>461023.8</v>
      </c>
      <c r="L182" s="116">
        <v>0</v>
      </c>
      <c r="M182" s="31">
        <v>-19488.099999999999</v>
      </c>
      <c r="N182" s="336">
        <v>311809.59999999998</v>
      </c>
      <c r="O182" s="336">
        <v>0</v>
      </c>
      <c r="P182" s="219">
        <v>0</v>
      </c>
      <c r="Q182" s="332">
        <v>0</v>
      </c>
      <c r="R182" s="219">
        <v>0</v>
      </c>
      <c r="S182" s="332">
        <v>0</v>
      </c>
      <c r="T182" s="219">
        <v>0</v>
      </c>
      <c r="U182" s="332">
        <v>2.5</v>
      </c>
      <c r="V182" s="332">
        <v>10</v>
      </c>
      <c r="W182" s="370">
        <v>0</v>
      </c>
      <c r="X182" s="370">
        <v>0</v>
      </c>
      <c r="Y182" s="370">
        <v>0</v>
      </c>
      <c r="Z182" s="370">
        <v>0</v>
      </c>
      <c r="AA182" s="370">
        <v>0</v>
      </c>
      <c r="AB182" s="370">
        <v>0</v>
      </c>
      <c r="AC182" s="370">
        <v>0</v>
      </c>
      <c r="AD182" s="370">
        <v>10</v>
      </c>
      <c r="AE182" s="370">
        <v>0</v>
      </c>
      <c r="AF182" s="370">
        <v>0</v>
      </c>
      <c r="AG182" s="31">
        <v>10</v>
      </c>
      <c r="AH182" s="31">
        <v>3.2000000000000006</v>
      </c>
      <c r="AI182" s="31">
        <v>0</v>
      </c>
      <c r="AJ182" s="370">
        <v>7.7976700000000001</v>
      </c>
      <c r="AK182" s="219">
        <v>0</v>
      </c>
      <c r="AL182" s="219">
        <v>0</v>
      </c>
      <c r="AM182" s="219">
        <v>0</v>
      </c>
      <c r="AN182" s="219">
        <v>3.2000000000000006</v>
      </c>
      <c r="AO182" s="116">
        <v>40</v>
      </c>
      <c r="AP182" s="116">
        <v>0</v>
      </c>
      <c r="AQ182" s="116">
        <v>3</v>
      </c>
      <c r="AR182" s="116">
        <v>24952.544000000005</v>
      </c>
      <c r="AS182" s="116">
        <v>24952.544000000005</v>
      </c>
      <c r="AT182" s="116">
        <v>1</v>
      </c>
      <c r="AU182" s="385">
        <v>0</v>
      </c>
      <c r="AV182" s="332">
        <v>0</v>
      </c>
      <c r="AW182" s="332">
        <v>0</v>
      </c>
      <c r="AX182" s="332">
        <v>0</v>
      </c>
      <c r="AY182" s="332">
        <v>0</v>
      </c>
      <c r="AZ182" s="332">
        <v>0</v>
      </c>
      <c r="BA182" s="332">
        <v>0</v>
      </c>
      <c r="BB182" s="31">
        <v>507794.48955422931</v>
      </c>
      <c r="BC182" s="31">
        <v>0</v>
      </c>
      <c r="BD182" s="29">
        <v>0</v>
      </c>
      <c r="BE182" s="31">
        <v>0</v>
      </c>
    </row>
    <row r="183" spans="1:57" ht="13">
      <c r="A183" s="153">
        <v>44568</v>
      </c>
      <c r="B183" s="10" t="s">
        <v>187</v>
      </c>
      <c r="C183" s="10">
        <v>44567000042</v>
      </c>
      <c r="D183" s="10" t="s">
        <v>16</v>
      </c>
      <c r="E183" s="10" t="s">
        <v>38</v>
      </c>
      <c r="F183" s="153">
        <v>44567</v>
      </c>
      <c r="G183" s="116" t="s">
        <v>39</v>
      </c>
      <c r="H183" s="116">
        <v>490595.24</v>
      </c>
      <c r="I183" s="116">
        <v>9404.7599999999984</v>
      </c>
      <c r="J183" s="116">
        <v>500000</v>
      </c>
      <c r="K183" s="219">
        <v>443823.8</v>
      </c>
      <c r="L183" s="116">
        <v>0</v>
      </c>
      <c r="M183" s="31">
        <v>-17200</v>
      </c>
      <c r="N183" s="336">
        <v>-17200</v>
      </c>
      <c r="O183" s="336">
        <v>17200</v>
      </c>
      <c r="P183" s="219">
        <v>0</v>
      </c>
      <c r="Q183" s="332">
        <v>430</v>
      </c>
      <c r="R183" s="219">
        <v>40</v>
      </c>
      <c r="S183" s="332">
        <v>0</v>
      </c>
      <c r="T183" s="219">
        <v>0</v>
      </c>
      <c r="U183" s="332">
        <v>0</v>
      </c>
      <c r="V183" s="332">
        <v>0</v>
      </c>
      <c r="W183" s="370">
        <v>0</v>
      </c>
      <c r="X183" s="370">
        <v>0</v>
      </c>
      <c r="Y183" s="370">
        <v>0</v>
      </c>
      <c r="Z183" s="370">
        <v>0</v>
      </c>
      <c r="AA183" s="370">
        <v>0</v>
      </c>
      <c r="AB183" s="370">
        <v>40</v>
      </c>
      <c r="AC183" s="370">
        <v>0</v>
      </c>
      <c r="AD183" s="370">
        <v>0</v>
      </c>
      <c r="AE183" s="370">
        <v>0</v>
      </c>
      <c r="AF183" s="370">
        <v>-40</v>
      </c>
      <c r="AG183" s="31">
        <v>40</v>
      </c>
      <c r="AH183" s="31">
        <v>443</v>
      </c>
      <c r="AI183" s="31">
        <v>0</v>
      </c>
      <c r="AJ183" s="370">
        <v>1</v>
      </c>
      <c r="AK183" s="219">
        <v>443</v>
      </c>
      <c r="AL183" s="219">
        <v>0</v>
      </c>
      <c r="AM183" s="219">
        <v>0</v>
      </c>
      <c r="AN183" s="219">
        <v>0</v>
      </c>
      <c r="AO183" s="116">
        <v>0</v>
      </c>
      <c r="AP183" s="116">
        <v>0</v>
      </c>
      <c r="AQ183" s="116">
        <v>4</v>
      </c>
      <c r="AR183" s="116">
        <v>17720</v>
      </c>
      <c r="AS183" s="116">
        <v>-4430</v>
      </c>
      <c r="AT183" s="116">
        <v>1</v>
      </c>
      <c r="AU183" s="385">
        <v>0</v>
      </c>
      <c r="AV183" s="332">
        <v>0</v>
      </c>
      <c r="AW183" s="332">
        <v>0</v>
      </c>
      <c r="AX183" s="332">
        <v>-17720</v>
      </c>
      <c r="AY183" s="332">
        <v>0</v>
      </c>
      <c r="AZ183" s="332">
        <v>0</v>
      </c>
      <c r="BA183" s="332">
        <v>0</v>
      </c>
      <c r="BB183" s="31">
        <v>490594.48955422931</v>
      </c>
      <c r="BC183" s="31">
        <v>0</v>
      </c>
      <c r="BD183" s="29">
        <v>0</v>
      </c>
      <c r="BE183" s="31">
        <v>0</v>
      </c>
    </row>
    <row r="184" spans="1:57" ht="13">
      <c r="A184" s="153">
        <v>44568</v>
      </c>
      <c r="B184" s="10" t="s">
        <v>187</v>
      </c>
      <c r="C184" s="10">
        <v>44568000043</v>
      </c>
      <c r="D184" s="10" t="s">
        <v>16</v>
      </c>
      <c r="E184" s="10" t="s">
        <v>38</v>
      </c>
      <c r="F184" s="153">
        <v>44568</v>
      </c>
      <c r="G184" s="116" t="s">
        <v>39</v>
      </c>
      <c r="H184" s="116">
        <v>512595.24</v>
      </c>
      <c r="I184" s="116">
        <v>-12595.240000000002</v>
      </c>
      <c r="J184" s="116">
        <v>500000</v>
      </c>
      <c r="K184" s="219">
        <v>465623.8</v>
      </c>
      <c r="L184" s="116">
        <v>0</v>
      </c>
      <c r="M184" s="31">
        <v>22000</v>
      </c>
      <c r="N184" s="336">
        <v>13200</v>
      </c>
      <c r="O184" s="336">
        <v>0</v>
      </c>
      <c r="P184" s="219">
        <v>-22000</v>
      </c>
      <c r="Q184" s="332">
        <v>440</v>
      </c>
      <c r="R184" s="219">
        <v>-50</v>
      </c>
      <c r="S184" s="332">
        <v>0</v>
      </c>
      <c r="T184" s="219">
        <v>0</v>
      </c>
      <c r="U184" s="332">
        <v>0</v>
      </c>
      <c r="V184" s="332">
        <v>0</v>
      </c>
      <c r="W184" s="370">
        <v>0</v>
      </c>
      <c r="X184" s="370">
        <v>40</v>
      </c>
      <c r="Y184" s="370">
        <v>0</v>
      </c>
      <c r="Z184" s="370">
        <v>0</v>
      </c>
      <c r="AA184" s="370">
        <v>0</v>
      </c>
      <c r="AB184" s="370">
        <v>-10</v>
      </c>
      <c r="AC184" s="370">
        <v>0</v>
      </c>
      <c r="AD184" s="370">
        <v>0</v>
      </c>
      <c r="AE184" s="370">
        <v>0</v>
      </c>
      <c r="AF184" s="370">
        <v>30</v>
      </c>
      <c r="AG184" s="31">
        <v>-50</v>
      </c>
      <c r="AH184" s="31">
        <v>443</v>
      </c>
      <c r="AI184" s="31">
        <v>0</v>
      </c>
      <c r="AJ184" s="370">
        <v>1</v>
      </c>
      <c r="AK184" s="219">
        <v>443</v>
      </c>
      <c r="AL184" s="219">
        <v>0</v>
      </c>
      <c r="AM184" s="219">
        <v>0</v>
      </c>
      <c r="AN184" s="219">
        <v>0</v>
      </c>
      <c r="AO184" s="116">
        <v>0</v>
      </c>
      <c r="AP184" s="116">
        <v>0</v>
      </c>
      <c r="AQ184" s="116">
        <v>4</v>
      </c>
      <c r="AR184" s="116">
        <v>-22150</v>
      </c>
      <c r="AS184" s="116">
        <v>-4430</v>
      </c>
      <c r="AT184" s="116">
        <v>0</v>
      </c>
      <c r="AU184" s="385">
        <v>0</v>
      </c>
      <c r="AV184" s="332">
        <v>0</v>
      </c>
      <c r="AW184" s="332">
        <v>0</v>
      </c>
      <c r="AX184" s="332">
        <v>13290</v>
      </c>
      <c r="AY184" s="332">
        <v>0</v>
      </c>
      <c r="AZ184" s="332">
        <v>-0.75044577069284024</v>
      </c>
      <c r="BA184" s="332">
        <v>0</v>
      </c>
      <c r="BB184" s="31">
        <v>512594.48955422931</v>
      </c>
      <c r="BC184" s="31">
        <v>0</v>
      </c>
      <c r="BD184" s="29">
        <v>0</v>
      </c>
      <c r="BE184" s="31">
        <v>0</v>
      </c>
    </row>
    <row r="185" spans="1:57" ht="13">
      <c r="A185" s="153">
        <v>44568</v>
      </c>
      <c r="B185" s="10" t="s">
        <v>187</v>
      </c>
      <c r="C185" s="10">
        <v>44568000044</v>
      </c>
      <c r="D185" s="10" t="s">
        <v>18</v>
      </c>
      <c r="E185" s="10" t="s">
        <v>7</v>
      </c>
      <c r="F185" s="153">
        <v>44568</v>
      </c>
      <c r="G185" s="116" t="s">
        <v>41</v>
      </c>
      <c r="H185" s="116">
        <v>529422.61185999995</v>
      </c>
      <c r="I185" s="116">
        <v>-29422.611860000001</v>
      </c>
      <c r="J185" s="116">
        <v>499999.99999999994</v>
      </c>
      <c r="K185" s="219">
        <v>413596.42813999997</v>
      </c>
      <c r="L185" s="116">
        <v>0</v>
      </c>
      <c r="M185" s="31">
        <v>16827.371859999999</v>
      </c>
      <c r="N185" s="336">
        <v>-16827.371859999999</v>
      </c>
      <c r="O185" s="336">
        <v>0</v>
      </c>
      <c r="P185" s="219">
        <v>0</v>
      </c>
      <c r="Q185" s="332">
        <v>0</v>
      </c>
      <c r="R185" s="219">
        <v>0</v>
      </c>
      <c r="S185" s="332">
        <v>10.79</v>
      </c>
      <c r="T185" s="219">
        <v>-20</v>
      </c>
      <c r="U185" s="332">
        <v>0</v>
      </c>
      <c r="V185" s="332">
        <v>0</v>
      </c>
      <c r="W185" s="370">
        <v>0</v>
      </c>
      <c r="X185" s="370">
        <v>0</v>
      </c>
      <c r="Y185" s="370">
        <v>0</v>
      </c>
      <c r="Z185" s="370">
        <v>0</v>
      </c>
      <c r="AA185" s="370">
        <v>0</v>
      </c>
      <c r="AB185" s="370">
        <v>0</v>
      </c>
      <c r="AC185" s="370">
        <v>-20</v>
      </c>
      <c r="AD185" s="370">
        <v>0</v>
      </c>
      <c r="AE185" s="370">
        <v>0</v>
      </c>
      <c r="AF185" s="370">
        <v>-20</v>
      </c>
      <c r="AG185" s="31">
        <v>-20</v>
      </c>
      <c r="AH185" s="31"/>
      <c r="AI185" s="31">
        <v>1</v>
      </c>
      <c r="AJ185" s="370">
        <v>7.7976700000000001</v>
      </c>
      <c r="AK185" s="219">
        <v>0</v>
      </c>
      <c r="AL185" s="219">
        <v>18.29</v>
      </c>
      <c r="AM185" s="219">
        <v>20.71</v>
      </c>
      <c r="AN185" s="219">
        <v>0</v>
      </c>
      <c r="AO185" s="116">
        <v>0</v>
      </c>
      <c r="AP185" s="116">
        <v>0</v>
      </c>
      <c r="AQ185" s="116">
        <v>5</v>
      </c>
      <c r="AR185" s="116">
        <v>0</v>
      </c>
      <c r="AS185" s="116">
        <v>0</v>
      </c>
      <c r="AT185" s="116">
        <v>1</v>
      </c>
      <c r="AU185" s="385">
        <v>24952.544000000005</v>
      </c>
      <c r="AV185" s="332">
        <v>-37180.213999999993</v>
      </c>
      <c r="AW185" s="332">
        <v>-12227.669999999987</v>
      </c>
      <c r="AX185" s="332">
        <v>-30410.912999999997</v>
      </c>
      <c r="AY185" s="332">
        <v>0</v>
      </c>
      <c r="AZ185" s="332">
        <v>0</v>
      </c>
      <c r="BA185" s="332">
        <v>0</v>
      </c>
      <c r="BB185" s="31">
        <v>529421.86141422926</v>
      </c>
      <c r="BC185" s="31">
        <v>529421.86141422926</v>
      </c>
      <c r="BD185" s="29">
        <v>0</v>
      </c>
      <c r="BE185" s="31">
        <v>517194.94185999996</v>
      </c>
    </row>
    <row r="186" spans="1:57" ht="13">
      <c r="A186" s="153">
        <v>44568</v>
      </c>
      <c r="B186" s="10" t="s">
        <v>188</v>
      </c>
      <c r="C186" s="10">
        <v>44561000010</v>
      </c>
      <c r="D186" s="10" t="s">
        <v>64</v>
      </c>
      <c r="E186" s="10" t="s">
        <v>64</v>
      </c>
      <c r="F186" s="153">
        <v>44561</v>
      </c>
      <c r="G186" s="116" t="s">
        <v>39</v>
      </c>
      <c r="H186" s="116">
        <v>500000</v>
      </c>
      <c r="I186" s="116">
        <v>0</v>
      </c>
      <c r="J186" s="116">
        <v>500000</v>
      </c>
      <c r="K186" s="219">
        <v>0</v>
      </c>
      <c r="L186" s="116">
        <v>0</v>
      </c>
      <c r="M186" s="31">
        <v>500000</v>
      </c>
      <c r="N186" s="336">
        <v>500000</v>
      </c>
      <c r="O186" s="336">
        <v>0</v>
      </c>
      <c r="P186" s="219">
        <v>0</v>
      </c>
      <c r="Q186" s="332">
        <v>0</v>
      </c>
      <c r="R186" s="219">
        <v>0</v>
      </c>
      <c r="S186" s="332">
        <v>0</v>
      </c>
      <c r="T186" s="219">
        <v>0</v>
      </c>
      <c r="U186" s="332">
        <v>0</v>
      </c>
      <c r="V186" s="332">
        <v>0</v>
      </c>
      <c r="W186" s="370">
        <v>0</v>
      </c>
      <c r="X186" s="370">
        <v>0</v>
      </c>
      <c r="Y186" s="370">
        <v>0</v>
      </c>
      <c r="Z186" s="370">
        <v>0</v>
      </c>
      <c r="AA186" s="370">
        <v>0</v>
      </c>
      <c r="AB186" s="370">
        <v>0</v>
      </c>
      <c r="AC186" s="370">
        <v>0</v>
      </c>
      <c r="AD186" s="370">
        <v>0</v>
      </c>
      <c r="AE186" s="370">
        <v>0</v>
      </c>
      <c r="AF186" s="370">
        <v>0</v>
      </c>
      <c r="AG186" s="31">
        <v>0</v>
      </c>
      <c r="AH186" s="31">
        <v>1</v>
      </c>
      <c r="AI186" s="31">
        <v>1</v>
      </c>
      <c r="AJ186" s="370">
        <v>1</v>
      </c>
      <c r="AK186" s="219">
        <v>0</v>
      </c>
      <c r="AL186" s="219">
        <v>0</v>
      </c>
      <c r="AM186" s="219">
        <v>0</v>
      </c>
      <c r="AN186" s="219">
        <v>0</v>
      </c>
      <c r="AO186" s="116">
        <v>0</v>
      </c>
      <c r="AP186" s="116">
        <v>0</v>
      </c>
      <c r="AQ186" s="116">
        <v>1</v>
      </c>
      <c r="AR186" s="116">
        <v>0</v>
      </c>
      <c r="AS186" s="116">
        <v>0</v>
      </c>
      <c r="AT186" s="116">
        <v>1</v>
      </c>
      <c r="AU186" s="385">
        <v>0</v>
      </c>
      <c r="AV186" s="332">
        <v>0</v>
      </c>
      <c r="AW186" s="332">
        <v>0</v>
      </c>
      <c r="AX186" s="332">
        <v>500000</v>
      </c>
      <c r="AY186" s="332">
        <v>0</v>
      </c>
      <c r="AZ186" s="332">
        <v>0</v>
      </c>
      <c r="BA186" s="332">
        <v>0</v>
      </c>
      <c r="BB186" s="31">
        <v>500000</v>
      </c>
      <c r="BC186" s="31">
        <v>500000</v>
      </c>
      <c r="BD186" s="29">
        <v>0</v>
      </c>
      <c r="BE186" s="31">
        <v>500000</v>
      </c>
    </row>
    <row r="187" spans="1:57" ht="13">
      <c r="A187" s="153">
        <v>44569</v>
      </c>
      <c r="B187" s="10" t="s">
        <v>183</v>
      </c>
      <c r="C187" s="10">
        <v>44561000005</v>
      </c>
      <c r="D187" s="10" t="s">
        <v>64</v>
      </c>
      <c r="E187" s="10" t="s">
        <v>64</v>
      </c>
      <c r="F187" s="153">
        <v>44561</v>
      </c>
      <c r="G187" s="116" t="s">
        <v>39</v>
      </c>
      <c r="H187" s="116">
        <v>500000</v>
      </c>
      <c r="I187" s="116">
        <v>0</v>
      </c>
      <c r="J187" s="116">
        <v>500000</v>
      </c>
      <c r="K187" s="219">
        <v>0</v>
      </c>
      <c r="L187" s="116">
        <v>0</v>
      </c>
      <c r="M187" s="31">
        <v>500000</v>
      </c>
      <c r="N187" s="336">
        <v>500000</v>
      </c>
      <c r="O187" s="336">
        <v>0</v>
      </c>
      <c r="P187" s="219">
        <v>0</v>
      </c>
      <c r="Q187" s="332">
        <v>0</v>
      </c>
      <c r="R187" s="219">
        <v>0</v>
      </c>
      <c r="S187" s="332">
        <v>0</v>
      </c>
      <c r="T187" s="219">
        <v>0</v>
      </c>
      <c r="U187" s="332">
        <v>0</v>
      </c>
      <c r="V187" s="332">
        <v>0</v>
      </c>
      <c r="W187" s="370">
        <v>0</v>
      </c>
      <c r="X187" s="370">
        <v>0</v>
      </c>
      <c r="Y187" s="370">
        <v>0</v>
      </c>
      <c r="Z187" s="370">
        <v>0</v>
      </c>
      <c r="AA187" s="370">
        <v>0</v>
      </c>
      <c r="AB187" s="370">
        <v>0</v>
      </c>
      <c r="AC187" s="370">
        <v>0</v>
      </c>
      <c r="AD187" s="370">
        <v>0</v>
      </c>
      <c r="AE187" s="370">
        <v>0</v>
      </c>
      <c r="AF187" s="370">
        <v>0</v>
      </c>
      <c r="AG187" s="31">
        <v>0</v>
      </c>
      <c r="AH187" s="31">
        <v>1</v>
      </c>
      <c r="AI187" s="31">
        <v>0</v>
      </c>
      <c r="AJ187" s="370">
        <v>1</v>
      </c>
      <c r="AK187" s="219">
        <v>0</v>
      </c>
      <c r="AL187" s="219">
        <v>0</v>
      </c>
      <c r="AM187" s="219">
        <v>0</v>
      </c>
      <c r="AN187" s="219">
        <v>0</v>
      </c>
      <c r="AO187" s="116">
        <v>0</v>
      </c>
      <c r="AP187" s="116">
        <v>0</v>
      </c>
      <c r="AQ187" s="116">
        <v>1</v>
      </c>
      <c r="AR187" s="116">
        <v>0</v>
      </c>
      <c r="AS187" s="116">
        <v>0</v>
      </c>
      <c r="AT187" s="116">
        <v>1</v>
      </c>
      <c r="AU187" s="385">
        <v>0</v>
      </c>
      <c r="AV187" s="332">
        <v>0</v>
      </c>
      <c r="AW187" s="332">
        <v>0</v>
      </c>
      <c r="AX187" s="332">
        <v>500000</v>
      </c>
      <c r="AY187" s="332">
        <v>0</v>
      </c>
      <c r="AZ187" s="332">
        <v>0</v>
      </c>
      <c r="BA187" s="332">
        <v>0</v>
      </c>
      <c r="BB187" s="31">
        <v>499950.99211373128</v>
      </c>
      <c r="BC187" s="31">
        <v>0</v>
      </c>
      <c r="BD187" s="29">
        <v>0</v>
      </c>
      <c r="BE187" s="29">
        <v>0</v>
      </c>
    </row>
    <row r="188" spans="1:57" ht="13">
      <c r="A188" s="153">
        <v>44569</v>
      </c>
      <c r="B188" s="10" t="s">
        <v>183</v>
      </c>
      <c r="C188" s="10">
        <v>44562000011</v>
      </c>
      <c r="D188" s="10" t="s">
        <v>16</v>
      </c>
      <c r="E188" s="10" t="s">
        <v>42</v>
      </c>
      <c r="F188" s="153">
        <v>44562</v>
      </c>
      <c r="G188" s="116" t="s">
        <v>41</v>
      </c>
      <c r="H188" s="116">
        <v>447610.20799999998</v>
      </c>
      <c r="I188" s="116">
        <v>52389.792000000001</v>
      </c>
      <c r="J188" s="116">
        <v>500000</v>
      </c>
      <c r="K188" s="219">
        <v>447610.20799999998</v>
      </c>
      <c r="L188" s="116">
        <v>0</v>
      </c>
      <c r="M188" s="31">
        <v>-52389.792000000001</v>
      </c>
      <c r="N188" s="336">
        <v>-52389.792000000001</v>
      </c>
      <c r="O188" s="336">
        <v>52389.792000000001</v>
      </c>
      <c r="P188" s="219">
        <v>0</v>
      </c>
      <c r="Q188" s="332">
        <v>26194.896000000001</v>
      </c>
      <c r="R188" s="219">
        <v>2</v>
      </c>
      <c r="S188" s="332">
        <v>0</v>
      </c>
      <c r="T188" s="219">
        <v>0</v>
      </c>
      <c r="U188" s="332">
        <v>0</v>
      </c>
      <c r="V188" s="332">
        <v>0</v>
      </c>
      <c r="W188" s="370">
        <v>0</v>
      </c>
      <c r="X188" s="370">
        <v>0</v>
      </c>
      <c r="Y188" s="370">
        <v>0</v>
      </c>
      <c r="Z188" s="370">
        <v>0</v>
      </c>
      <c r="AA188" s="370">
        <v>0</v>
      </c>
      <c r="AB188" s="370">
        <v>2</v>
      </c>
      <c r="AC188" s="370">
        <v>0</v>
      </c>
      <c r="AD188" s="370">
        <v>0</v>
      </c>
      <c r="AE188" s="370">
        <v>0</v>
      </c>
      <c r="AF188" s="370">
        <v>-2</v>
      </c>
      <c r="AG188" s="31">
        <v>2</v>
      </c>
      <c r="AH188" s="31">
        <v>3251.08</v>
      </c>
      <c r="AI188" s="31">
        <v>0</v>
      </c>
      <c r="AJ188" s="370">
        <v>7.7981699999999998</v>
      </c>
      <c r="AK188" s="219">
        <v>3251.08</v>
      </c>
      <c r="AL188" s="219">
        <v>0</v>
      </c>
      <c r="AM188" s="219">
        <v>0</v>
      </c>
      <c r="AN188" s="219">
        <v>0</v>
      </c>
      <c r="AO188" s="116">
        <v>0</v>
      </c>
      <c r="AP188" s="116">
        <v>0</v>
      </c>
      <c r="AQ188" s="116">
        <v>2</v>
      </c>
      <c r="AR188" s="116">
        <v>50704.949047199996</v>
      </c>
      <c r="AS188" s="116">
        <v>50704.949047199996</v>
      </c>
      <c r="AT188" s="116">
        <v>1</v>
      </c>
      <c r="AU188" s="385">
        <v>0</v>
      </c>
      <c r="AV188" s="332">
        <v>0</v>
      </c>
      <c r="AW188" s="332">
        <v>0</v>
      </c>
      <c r="AX188" s="332">
        <v>-50704.949047199996</v>
      </c>
      <c r="AY188" s="332">
        <v>0</v>
      </c>
      <c r="AZ188" s="332">
        <v>0</v>
      </c>
      <c r="BA188" s="332">
        <v>0</v>
      </c>
      <c r="BB188" s="31">
        <v>447561.20011373126</v>
      </c>
      <c r="BC188" s="31">
        <v>0</v>
      </c>
      <c r="BD188" s="29">
        <v>0</v>
      </c>
      <c r="BE188" s="29">
        <v>0</v>
      </c>
    </row>
    <row r="189" spans="1:57" ht="13">
      <c r="A189" s="153">
        <v>44569</v>
      </c>
      <c r="B189" s="10" t="s">
        <v>183</v>
      </c>
      <c r="C189" s="10">
        <v>44563000012</v>
      </c>
      <c r="D189" s="10" t="s">
        <v>16</v>
      </c>
      <c r="E189" s="10" t="s">
        <v>38</v>
      </c>
      <c r="F189" s="153">
        <v>44563</v>
      </c>
      <c r="G189" s="116" t="s">
        <v>39</v>
      </c>
      <c r="H189" s="116">
        <v>443010.20799999998</v>
      </c>
      <c r="I189" s="116">
        <v>56989.792000000001</v>
      </c>
      <c r="J189" s="116">
        <v>500000</v>
      </c>
      <c r="K189" s="219">
        <v>443010.20799999998</v>
      </c>
      <c r="L189" s="116">
        <v>0</v>
      </c>
      <c r="M189" s="31">
        <v>-4600</v>
      </c>
      <c r="N189" s="336">
        <v>-4600</v>
      </c>
      <c r="O189" s="336">
        <v>4600</v>
      </c>
      <c r="P189" s="219">
        <v>0</v>
      </c>
      <c r="Q189" s="332">
        <v>460</v>
      </c>
      <c r="R189" s="219">
        <v>10</v>
      </c>
      <c r="S189" s="332">
        <v>0</v>
      </c>
      <c r="T189" s="219">
        <v>0</v>
      </c>
      <c r="U189" s="332">
        <v>0</v>
      </c>
      <c r="V189" s="332">
        <v>0</v>
      </c>
      <c r="W189" s="370">
        <v>0</v>
      </c>
      <c r="X189" s="370">
        <v>0</v>
      </c>
      <c r="Y189" s="370">
        <v>0</v>
      </c>
      <c r="Z189" s="370">
        <v>0</v>
      </c>
      <c r="AA189" s="370">
        <v>0</v>
      </c>
      <c r="AB189" s="370">
        <v>10</v>
      </c>
      <c r="AC189" s="370">
        <v>0</v>
      </c>
      <c r="AD189" s="370">
        <v>0</v>
      </c>
      <c r="AE189" s="370">
        <v>0</v>
      </c>
      <c r="AF189" s="370">
        <v>-10</v>
      </c>
      <c r="AG189" s="31">
        <v>10</v>
      </c>
      <c r="AH189" s="31">
        <v>443</v>
      </c>
      <c r="AI189" s="31">
        <v>0</v>
      </c>
      <c r="AJ189" s="370">
        <v>1</v>
      </c>
      <c r="AK189" s="219">
        <v>443</v>
      </c>
      <c r="AL189" s="219">
        <v>0</v>
      </c>
      <c r="AM189" s="219">
        <v>0</v>
      </c>
      <c r="AN189" s="219">
        <v>0</v>
      </c>
      <c r="AO189" s="116">
        <v>0</v>
      </c>
      <c r="AP189" s="116">
        <v>0</v>
      </c>
      <c r="AQ189" s="116">
        <v>3</v>
      </c>
      <c r="AR189" s="116">
        <v>4430</v>
      </c>
      <c r="AS189" s="116">
        <v>4430</v>
      </c>
      <c r="AT189" s="116">
        <v>1</v>
      </c>
      <c r="AU189" s="385">
        <v>0</v>
      </c>
      <c r="AV189" s="332">
        <v>0</v>
      </c>
      <c r="AW189" s="332">
        <v>0</v>
      </c>
      <c r="AX189" s="332">
        <v>-4430</v>
      </c>
      <c r="AY189" s="332">
        <v>0</v>
      </c>
      <c r="AZ189" s="332">
        <v>0</v>
      </c>
      <c r="BA189" s="332">
        <v>0</v>
      </c>
      <c r="BB189" s="31">
        <v>442961.20011373126</v>
      </c>
      <c r="BC189" s="31">
        <v>0</v>
      </c>
      <c r="BD189" s="29">
        <v>0</v>
      </c>
      <c r="BE189" s="31">
        <v>0</v>
      </c>
    </row>
    <row r="190" spans="1:57" ht="13">
      <c r="A190" s="153">
        <v>44569</v>
      </c>
      <c r="B190" s="10" t="s">
        <v>183</v>
      </c>
      <c r="C190" s="10">
        <v>44563000013</v>
      </c>
      <c r="D190" s="10" t="s">
        <v>16</v>
      </c>
      <c r="E190" s="10" t="s">
        <v>40</v>
      </c>
      <c r="F190" s="153">
        <v>44563</v>
      </c>
      <c r="G190" s="116" t="s">
        <v>29</v>
      </c>
      <c r="H190" s="116">
        <v>480735.87624999997</v>
      </c>
      <c r="I190" s="116">
        <v>19264.123750000006</v>
      </c>
      <c r="J190" s="116">
        <v>500000</v>
      </c>
      <c r="K190" s="219">
        <v>409884.53975</v>
      </c>
      <c r="L190" s="116">
        <v>0</v>
      </c>
      <c r="M190" s="31">
        <v>37725.668249999995</v>
      </c>
      <c r="N190" s="336">
        <v>-37725.668249999995</v>
      </c>
      <c r="O190" s="336">
        <v>0</v>
      </c>
      <c r="P190" s="219">
        <v>-37725.668249999995</v>
      </c>
      <c r="Q190" s="332">
        <v>2515.0445499999996</v>
      </c>
      <c r="R190" s="219">
        <v>-15</v>
      </c>
      <c r="S190" s="332">
        <v>0</v>
      </c>
      <c r="T190" s="219">
        <v>0</v>
      </c>
      <c r="U190" s="332">
        <v>0</v>
      </c>
      <c r="V190" s="332">
        <v>0</v>
      </c>
      <c r="W190" s="370">
        <v>0</v>
      </c>
      <c r="X190" s="370">
        <v>0</v>
      </c>
      <c r="Y190" s="370">
        <v>0</v>
      </c>
      <c r="Z190" s="370">
        <v>0</v>
      </c>
      <c r="AA190" s="370">
        <v>0</v>
      </c>
      <c r="AB190" s="370">
        <v>-15</v>
      </c>
      <c r="AC190" s="370">
        <v>0</v>
      </c>
      <c r="AD190" s="370">
        <v>0</v>
      </c>
      <c r="AE190" s="370">
        <v>0</v>
      </c>
      <c r="AF190" s="370">
        <v>-15</v>
      </c>
      <c r="AG190" s="31">
        <v>-15</v>
      </c>
      <c r="AH190" s="31">
        <v>1942</v>
      </c>
      <c r="AI190" s="31">
        <v>0</v>
      </c>
      <c r="AJ190" s="370">
        <v>1.2227079999999999</v>
      </c>
      <c r="AK190" s="219">
        <v>1942</v>
      </c>
      <c r="AL190" s="219">
        <v>0</v>
      </c>
      <c r="AM190" s="219">
        <v>0</v>
      </c>
      <c r="AN190" s="219">
        <v>0</v>
      </c>
      <c r="AO190" s="116">
        <v>0</v>
      </c>
      <c r="AP190" s="116">
        <v>0</v>
      </c>
      <c r="AQ190" s="116">
        <v>4</v>
      </c>
      <c r="AR190" s="116">
        <v>-35617.484039999996</v>
      </c>
      <c r="AS190" s="116">
        <v>-35617.484039999996</v>
      </c>
      <c r="AT190" s="116">
        <v>1</v>
      </c>
      <c r="AU190" s="385">
        <v>0</v>
      </c>
      <c r="AV190" s="332">
        <v>0</v>
      </c>
      <c r="AW190" s="332">
        <v>0</v>
      </c>
      <c r="AX190" s="332">
        <v>-35617.484039999996</v>
      </c>
      <c r="AY190" s="332">
        <v>0</v>
      </c>
      <c r="AZ190" s="332">
        <v>-6.0336321129882018</v>
      </c>
      <c r="BA190" s="332">
        <v>0</v>
      </c>
      <c r="BB190" s="31">
        <v>480686.86836373125</v>
      </c>
      <c r="BC190" s="31">
        <v>0</v>
      </c>
      <c r="BD190" s="29">
        <v>0</v>
      </c>
      <c r="BE190" s="31">
        <v>0</v>
      </c>
    </row>
    <row r="191" spans="1:57" ht="13">
      <c r="A191" s="153">
        <v>44569</v>
      </c>
      <c r="B191" s="10" t="s">
        <v>183</v>
      </c>
      <c r="C191" s="10">
        <v>44563000014</v>
      </c>
      <c r="D191" s="10" t="s">
        <v>16</v>
      </c>
      <c r="E191" s="10" t="s">
        <v>36</v>
      </c>
      <c r="F191" s="153">
        <v>44563</v>
      </c>
      <c r="G191" s="116" t="s">
        <v>37</v>
      </c>
      <c r="H191" s="116">
        <v>416011.66724999994</v>
      </c>
      <c r="I191" s="116">
        <v>83988.332750000001</v>
      </c>
      <c r="J191" s="116">
        <v>499999.99999999994</v>
      </c>
      <c r="K191" s="219">
        <v>345160.33075000002</v>
      </c>
      <c r="L191" s="116">
        <v>0</v>
      </c>
      <c r="M191" s="31">
        <v>-64724.209000000003</v>
      </c>
      <c r="N191" s="336">
        <v>-64724.208999999995</v>
      </c>
      <c r="O191" s="336">
        <v>64724.209000000003</v>
      </c>
      <c r="P191" s="219">
        <v>0</v>
      </c>
      <c r="Q191" s="332">
        <v>6472.4209000000001</v>
      </c>
      <c r="R191" s="219">
        <v>10</v>
      </c>
      <c r="S191" s="332">
        <v>0</v>
      </c>
      <c r="T191" s="219">
        <v>0</v>
      </c>
      <c r="U191" s="332">
        <v>0</v>
      </c>
      <c r="V191" s="332">
        <v>0</v>
      </c>
      <c r="W191" s="370">
        <v>0</v>
      </c>
      <c r="X191" s="370">
        <v>0</v>
      </c>
      <c r="Y191" s="370">
        <v>0</v>
      </c>
      <c r="Z191" s="370">
        <v>0</v>
      </c>
      <c r="AA191" s="370">
        <v>0</v>
      </c>
      <c r="AB191" s="370">
        <v>10</v>
      </c>
      <c r="AC191" s="370">
        <v>0</v>
      </c>
      <c r="AD191" s="370">
        <v>0</v>
      </c>
      <c r="AE191" s="370">
        <v>0</v>
      </c>
      <c r="AF191" s="370">
        <v>-10</v>
      </c>
      <c r="AG191" s="31">
        <v>10</v>
      </c>
      <c r="AH191" s="31">
        <v>715.8</v>
      </c>
      <c r="AI191" s="31">
        <v>0</v>
      </c>
      <c r="AJ191" s="370">
        <v>8.8601500000000009</v>
      </c>
      <c r="AK191" s="219">
        <v>715.8</v>
      </c>
      <c r="AL191" s="219">
        <v>0</v>
      </c>
      <c r="AM191" s="219">
        <v>0</v>
      </c>
      <c r="AN191" s="219">
        <v>0</v>
      </c>
      <c r="AO191" s="116">
        <v>0</v>
      </c>
      <c r="AP191" s="116">
        <v>0</v>
      </c>
      <c r="AQ191" s="116">
        <v>5</v>
      </c>
      <c r="AR191" s="116">
        <v>63420.953700000005</v>
      </c>
      <c r="AS191" s="116">
        <v>-253683.81480000002</v>
      </c>
      <c r="AT191" s="116">
        <v>1</v>
      </c>
      <c r="AU191" s="385">
        <v>0</v>
      </c>
      <c r="AV191" s="332">
        <v>0</v>
      </c>
      <c r="AW191" s="332">
        <v>0</v>
      </c>
      <c r="AX191" s="332">
        <v>-63420.953700000005</v>
      </c>
      <c r="AY191" s="332">
        <v>0</v>
      </c>
      <c r="AZ191" s="332">
        <v>0</v>
      </c>
      <c r="BA191" s="332">
        <v>0</v>
      </c>
      <c r="BB191" s="31">
        <v>415962.65936373122</v>
      </c>
      <c r="BC191" s="31">
        <v>0</v>
      </c>
      <c r="BD191" s="29">
        <v>0</v>
      </c>
      <c r="BE191" s="31">
        <v>0</v>
      </c>
    </row>
    <row r="192" spans="1:57" ht="13">
      <c r="A192" s="153">
        <v>44569</v>
      </c>
      <c r="B192" s="10" t="s">
        <v>183</v>
      </c>
      <c r="C192" s="10">
        <v>44565000016</v>
      </c>
      <c r="D192" s="10" t="s">
        <v>16</v>
      </c>
      <c r="E192" s="10" t="s">
        <v>36</v>
      </c>
      <c r="F192" s="153">
        <v>44565</v>
      </c>
      <c r="G192" s="116" t="s">
        <v>37</v>
      </c>
      <c r="H192" s="116">
        <v>448553.16724999994</v>
      </c>
      <c r="I192" s="116">
        <v>51446.832750000001</v>
      </c>
      <c r="J192" s="116">
        <v>499999.99999999994</v>
      </c>
      <c r="K192" s="219">
        <v>507150.24874999997</v>
      </c>
      <c r="L192" s="116">
        <v>0</v>
      </c>
      <c r="M192" s="31">
        <v>32541.5</v>
      </c>
      <c r="N192" s="336">
        <v>32541.5</v>
      </c>
      <c r="O192" s="336">
        <v>0</v>
      </c>
      <c r="P192" s="219">
        <v>-32541.5</v>
      </c>
      <c r="Q192" s="332">
        <v>6508.3</v>
      </c>
      <c r="R192" s="219">
        <v>-5</v>
      </c>
      <c r="S192" s="332">
        <v>0</v>
      </c>
      <c r="T192" s="219">
        <v>0</v>
      </c>
      <c r="U192" s="332">
        <v>0</v>
      </c>
      <c r="V192" s="332">
        <v>0</v>
      </c>
      <c r="W192" s="370">
        <v>0</v>
      </c>
      <c r="X192" s="370">
        <v>10</v>
      </c>
      <c r="Y192" s="370">
        <v>0</v>
      </c>
      <c r="Z192" s="370">
        <v>0</v>
      </c>
      <c r="AA192" s="370">
        <v>0</v>
      </c>
      <c r="AB192" s="370">
        <v>5</v>
      </c>
      <c r="AC192" s="370">
        <v>0</v>
      </c>
      <c r="AD192" s="370">
        <v>0</v>
      </c>
      <c r="AE192" s="370">
        <v>0</v>
      </c>
      <c r="AF192" s="370">
        <v>5</v>
      </c>
      <c r="AG192" s="31">
        <v>-5</v>
      </c>
      <c r="AH192" s="31">
        <v>715.8</v>
      </c>
      <c r="AI192" s="31">
        <v>0</v>
      </c>
      <c r="AJ192" s="370">
        <v>8.8601500000000009</v>
      </c>
      <c r="AK192" s="219">
        <v>715.8</v>
      </c>
      <c r="AL192" s="219">
        <v>0</v>
      </c>
      <c r="AM192" s="219">
        <v>0</v>
      </c>
      <c r="AN192" s="219">
        <v>0</v>
      </c>
      <c r="AO192" s="116">
        <v>0</v>
      </c>
      <c r="AP192" s="116">
        <v>0</v>
      </c>
      <c r="AQ192" s="116">
        <v>5</v>
      </c>
      <c r="AR192" s="116">
        <v>-31710.476850000003</v>
      </c>
      <c r="AS192" s="116">
        <v>-253683.81480000002</v>
      </c>
      <c r="AT192" s="116">
        <v>0</v>
      </c>
      <c r="AU192" s="385">
        <v>0</v>
      </c>
      <c r="AV192" s="332">
        <v>0</v>
      </c>
      <c r="AW192" s="332">
        <v>0</v>
      </c>
      <c r="AX192" s="332">
        <v>31710.476850000003</v>
      </c>
      <c r="AY192" s="332">
        <v>0</v>
      </c>
      <c r="AZ192" s="332">
        <v>0</v>
      </c>
      <c r="BA192" s="332">
        <v>0</v>
      </c>
      <c r="BB192" s="31">
        <v>448504.15936373122</v>
      </c>
      <c r="BC192" s="31">
        <v>0</v>
      </c>
      <c r="BD192" s="29">
        <v>0</v>
      </c>
      <c r="BE192" s="31">
        <v>0</v>
      </c>
    </row>
    <row r="193" spans="1:57" ht="13">
      <c r="A193" s="153">
        <v>44569</v>
      </c>
      <c r="B193" s="10" t="s">
        <v>183</v>
      </c>
      <c r="C193" s="10">
        <v>44566000017</v>
      </c>
      <c r="D193" s="10" t="s">
        <v>16</v>
      </c>
      <c r="E193" s="10" t="s">
        <v>36</v>
      </c>
      <c r="F193" s="153">
        <v>44566</v>
      </c>
      <c r="G193" s="116" t="s">
        <v>37</v>
      </c>
      <c r="H193" s="116">
        <v>422451.84284999996</v>
      </c>
      <c r="I193" s="116">
        <v>77548.157149999999</v>
      </c>
      <c r="J193" s="116">
        <v>499999.99999999994</v>
      </c>
      <c r="K193" s="219">
        <v>415965.92434999999</v>
      </c>
      <c r="L193" s="116">
        <v>0</v>
      </c>
      <c r="M193" s="31">
        <v>-26101.324400000001</v>
      </c>
      <c r="N193" s="336">
        <v>-26101.324400000001</v>
      </c>
      <c r="O193" s="336">
        <v>26101.324400000001</v>
      </c>
      <c r="P193" s="219">
        <v>0</v>
      </c>
      <c r="Q193" s="332">
        <v>6525.3311000000003</v>
      </c>
      <c r="R193" s="219">
        <v>4</v>
      </c>
      <c r="S193" s="332">
        <v>0</v>
      </c>
      <c r="T193" s="219">
        <v>0</v>
      </c>
      <c r="U193" s="332">
        <v>0</v>
      </c>
      <c r="V193" s="332">
        <v>0</v>
      </c>
      <c r="W193" s="370">
        <v>0</v>
      </c>
      <c r="X193" s="370">
        <v>5</v>
      </c>
      <c r="Y193" s="370">
        <v>0</v>
      </c>
      <c r="Z193" s="370">
        <v>0</v>
      </c>
      <c r="AA193" s="370">
        <v>0</v>
      </c>
      <c r="AB193" s="370">
        <v>9</v>
      </c>
      <c r="AC193" s="370">
        <v>0</v>
      </c>
      <c r="AD193" s="370">
        <v>0</v>
      </c>
      <c r="AE193" s="370">
        <v>0</v>
      </c>
      <c r="AF193" s="370">
        <v>-4</v>
      </c>
      <c r="AG193" s="31">
        <v>4</v>
      </c>
      <c r="AH193" s="31">
        <v>715.8</v>
      </c>
      <c r="AI193" s="31">
        <v>0</v>
      </c>
      <c r="AJ193" s="370">
        <v>8.8601500000000009</v>
      </c>
      <c r="AK193" s="219">
        <v>715.8</v>
      </c>
      <c r="AL193" s="219">
        <v>0</v>
      </c>
      <c r="AM193" s="219">
        <v>0</v>
      </c>
      <c r="AN193" s="219">
        <v>0</v>
      </c>
      <c r="AO193" s="116">
        <v>0</v>
      </c>
      <c r="AP193" s="116">
        <v>0</v>
      </c>
      <c r="AQ193" s="116">
        <v>5</v>
      </c>
      <c r="AR193" s="116">
        <v>25368.38148</v>
      </c>
      <c r="AS193" s="116">
        <v>-253683.81480000002</v>
      </c>
      <c r="AT193" s="116">
        <v>0</v>
      </c>
      <c r="AU193" s="385">
        <v>0</v>
      </c>
      <c r="AV193" s="332">
        <v>0</v>
      </c>
      <c r="AW193" s="332">
        <v>0</v>
      </c>
      <c r="AX193" s="332">
        <v>-25368.38148</v>
      </c>
      <c r="AY193" s="332">
        <v>0</v>
      </c>
      <c r="AZ193" s="332">
        <v>0</v>
      </c>
      <c r="BA193" s="332">
        <v>0</v>
      </c>
      <c r="BB193" s="31">
        <v>422402.83496373123</v>
      </c>
      <c r="BC193" s="31">
        <v>0</v>
      </c>
      <c r="BD193" s="29">
        <v>0</v>
      </c>
      <c r="BE193" s="31">
        <v>0</v>
      </c>
    </row>
    <row r="194" spans="1:57" ht="13">
      <c r="A194" s="153">
        <v>44569</v>
      </c>
      <c r="B194" s="10" t="s">
        <v>183</v>
      </c>
      <c r="C194" s="10">
        <v>44567000018</v>
      </c>
      <c r="D194" s="10" t="s">
        <v>16</v>
      </c>
      <c r="E194" s="10" t="s">
        <v>36</v>
      </c>
      <c r="F194" s="153">
        <v>44567</v>
      </c>
      <c r="G194" s="116" t="s">
        <v>37</v>
      </c>
      <c r="H194" s="116">
        <v>344208.43124999997</v>
      </c>
      <c r="I194" s="116">
        <v>155791.56874999998</v>
      </c>
      <c r="J194" s="116">
        <v>499999.99999999994</v>
      </c>
      <c r="K194" s="219">
        <v>389925.16154999996</v>
      </c>
      <c r="L194" s="116">
        <v>0</v>
      </c>
      <c r="M194" s="31">
        <v>-78243.411599999992</v>
      </c>
      <c r="N194" s="336">
        <v>-78243.411599999992</v>
      </c>
      <c r="O194" s="336">
        <v>78243.411599999992</v>
      </c>
      <c r="P194" s="219">
        <v>0</v>
      </c>
      <c r="Q194" s="332">
        <v>6520.2842999999993</v>
      </c>
      <c r="R194" s="219">
        <v>12</v>
      </c>
      <c r="S194" s="332">
        <v>0</v>
      </c>
      <c r="T194" s="219">
        <v>0</v>
      </c>
      <c r="U194" s="332">
        <v>0</v>
      </c>
      <c r="V194" s="332">
        <v>0</v>
      </c>
      <c r="W194" s="370">
        <v>0</v>
      </c>
      <c r="X194" s="370">
        <v>9</v>
      </c>
      <c r="Y194" s="370">
        <v>0</v>
      </c>
      <c r="Z194" s="370">
        <v>0</v>
      </c>
      <c r="AA194" s="370">
        <v>0</v>
      </c>
      <c r="AB194" s="370">
        <v>21</v>
      </c>
      <c r="AC194" s="370">
        <v>0</v>
      </c>
      <c r="AD194" s="370">
        <v>0</v>
      </c>
      <c r="AE194" s="370">
        <v>0</v>
      </c>
      <c r="AF194" s="370">
        <v>-12</v>
      </c>
      <c r="AG194" s="31">
        <v>12</v>
      </c>
      <c r="AH194" s="31">
        <v>715.8</v>
      </c>
      <c r="AI194" s="31">
        <v>0</v>
      </c>
      <c r="AJ194" s="370">
        <v>8.8601500000000009</v>
      </c>
      <c r="AK194" s="219">
        <v>715.8</v>
      </c>
      <c r="AL194" s="219">
        <v>0</v>
      </c>
      <c r="AM194" s="219">
        <v>0</v>
      </c>
      <c r="AN194" s="219">
        <v>0</v>
      </c>
      <c r="AO194" s="116">
        <v>0</v>
      </c>
      <c r="AP194" s="116">
        <v>0</v>
      </c>
      <c r="AQ194" s="116">
        <v>5</v>
      </c>
      <c r="AR194" s="116">
        <v>76105.144439999989</v>
      </c>
      <c r="AS194" s="116">
        <v>-253683.81480000002</v>
      </c>
      <c r="AT194" s="116">
        <v>0</v>
      </c>
      <c r="AU194" s="385">
        <v>0</v>
      </c>
      <c r="AV194" s="332">
        <v>0</v>
      </c>
      <c r="AW194" s="332">
        <v>0</v>
      </c>
      <c r="AX194" s="332">
        <v>-76105.144440000004</v>
      </c>
      <c r="AY194" s="332">
        <v>0</v>
      </c>
      <c r="AZ194" s="332">
        <v>0</v>
      </c>
      <c r="BA194" s="332">
        <v>0</v>
      </c>
      <c r="BB194" s="31">
        <v>344159.42336373124</v>
      </c>
      <c r="BC194" s="31">
        <v>0</v>
      </c>
      <c r="BD194" s="29">
        <v>0</v>
      </c>
      <c r="BE194" s="31">
        <v>0</v>
      </c>
    </row>
    <row r="195" spans="1:57" ht="13">
      <c r="A195" s="153">
        <v>44569</v>
      </c>
      <c r="B195" s="10" t="s">
        <v>183</v>
      </c>
      <c r="C195" s="10">
        <v>44567000020</v>
      </c>
      <c r="D195" s="10" t="s">
        <v>16</v>
      </c>
      <c r="E195" s="10" t="s">
        <v>36</v>
      </c>
      <c r="F195" s="153">
        <v>44567</v>
      </c>
      <c r="G195" s="116" t="s">
        <v>37</v>
      </c>
      <c r="H195" s="116">
        <v>324647.57834999997</v>
      </c>
      <c r="I195" s="116">
        <v>175352.42164999997</v>
      </c>
      <c r="J195" s="116">
        <v>499999.99999999994</v>
      </c>
      <c r="K195" s="219">
        <v>526851.13185000001</v>
      </c>
      <c r="L195" s="116">
        <v>0</v>
      </c>
      <c r="M195" s="31">
        <v>-19560.852899999998</v>
      </c>
      <c r="N195" s="336">
        <v>-19560.852899999998</v>
      </c>
      <c r="O195" s="336">
        <v>19560.852899999998</v>
      </c>
      <c r="P195" s="219">
        <v>0</v>
      </c>
      <c r="Q195" s="332">
        <v>6520.2842999999993</v>
      </c>
      <c r="R195" s="219">
        <v>3</v>
      </c>
      <c r="S195" s="332">
        <v>0</v>
      </c>
      <c r="T195" s="219">
        <v>0</v>
      </c>
      <c r="U195" s="332">
        <v>0</v>
      </c>
      <c r="V195" s="332">
        <v>0</v>
      </c>
      <c r="W195" s="370">
        <v>0</v>
      </c>
      <c r="X195" s="370">
        <v>21</v>
      </c>
      <c r="Y195" s="370">
        <v>0</v>
      </c>
      <c r="Z195" s="370">
        <v>0</v>
      </c>
      <c r="AA195" s="370">
        <v>0</v>
      </c>
      <c r="AB195" s="370">
        <v>24</v>
      </c>
      <c r="AC195" s="370">
        <v>0</v>
      </c>
      <c r="AD195" s="370">
        <v>0</v>
      </c>
      <c r="AE195" s="370">
        <v>0</v>
      </c>
      <c r="AF195" s="370">
        <v>-3</v>
      </c>
      <c r="AG195" s="31">
        <v>3</v>
      </c>
      <c r="AH195" s="31">
        <v>715.8</v>
      </c>
      <c r="AI195" s="31">
        <v>0</v>
      </c>
      <c r="AJ195" s="370">
        <v>8.8601500000000009</v>
      </c>
      <c r="AK195" s="219">
        <v>715.8</v>
      </c>
      <c r="AL195" s="219">
        <v>0</v>
      </c>
      <c r="AM195" s="219">
        <v>0</v>
      </c>
      <c r="AN195" s="219">
        <v>0</v>
      </c>
      <c r="AO195" s="116">
        <v>0</v>
      </c>
      <c r="AP195" s="116">
        <v>0</v>
      </c>
      <c r="AQ195" s="116">
        <v>5</v>
      </c>
      <c r="AR195" s="116">
        <v>19026.286109999997</v>
      </c>
      <c r="AS195" s="116">
        <v>-253683.81480000002</v>
      </c>
      <c r="AT195" s="116">
        <v>0</v>
      </c>
      <c r="AU195" s="385">
        <v>0</v>
      </c>
      <c r="AV195" s="332">
        <v>0</v>
      </c>
      <c r="AW195" s="332">
        <v>0</v>
      </c>
      <c r="AX195" s="332">
        <v>-19026.286110000001</v>
      </c>
      <c r="AY195" s="332">
        <v>0</v>
      </c>
      <c r="AZ195" s="332">
        <v>0</v>
      </c>
      <c r="BA195" s="332">
        <v>0</v>
      </c>
      <c r="BB195" s="31">
        <v>324598.57046373124</v>
      </c>
      <c r="BC195" s="31">
        <v>0</v>
      </c>
      <c r="BD195" s="29">
        <v>0</v>
      </c>
      <c r="BE195" s="31">
        <v>0</v>
      </c>
    </row>
    <row r="196" spans="1:57" ht="13">
      <c r="A196" s="153">
        <v>44569</v>
      </c>
      <c r="B196" s="10" t="s">
        <v>183</v>
      </c>
      <c r="C196" s="10">
        <v>44568000021</v>
      </c>
      <c r="D196" s="10" t="s">
        <v>16</v>
      </c>
      <c r="E196" s="10" t="s">
        <v>36</v>
      </c>
      <c r="F196" s="153">
        <v>44568</v>
      </c>
      <c r="G196" s="116" t="s">
        <v>37</v>
      </c>
      <c r="H196" s="116">
        <v>407579.05034999998</v>
      </c>
      <c r="I196" s="116">
        <v>92420.949649999966</v>
      </c>
      <c r="J196" s="116">
        <v>499999.99999999994</v>
      </c>
      <c r="K196" s="219">
        <v>648904.30964999995</v>
      </c>
      <c r="L196" s="116">
        <v>0</v>
      </c>
      <c r="M196" s="31">
        <v>82931.472000000009</v>
      </c>
      <c r="N196" s="336">
        <v>82931.472000000009</v>
      </c>
      <c r="O196" s="336">
        <v>0</v>
      </c>
      <c r="P196" s="219">
        <v>-82931.472000000009</v>
      </c>
      <c r="Q196" s="332">
        <v>6379.344000000001</v>
      </c>
      <c r="R196" s="219">
        <v>-13</v>
      </c>
      <c r="S196" s="332">
        <v>0</v>
      </c>
      <c r="T196" s="219">
        <v>0</v>
      </c>
      <c r="U196" s="332">
        <v>0</v>
      </c>
      <c r="V196" s="332">
        <v>0</v>
      </c>
      <c r="W196" s="370">
        <v>0</v>
      </c>
      <c r="X196" s="370">
        <v>24</v>
      </c>
      <c r="Y196" s="370">
        <v>0</v>
      </c>
      <c r="Z196" s="370">
        <v>0</v>
      </c>
      <c r="AA196" s="370">
        <v>0</v>
      </c>
      <c r="AB196" s="370">
        <v>11</v>
      </c>
      <c r="AC196" s="370">
        <v>0</v>
      </c>
      <c r="AD196" s="370">
        <v>0</v>
      </c>
      <c r="AE196" s="370">
        <v>0</v>
      </c>
      <c r="AF196" s="370">
        <v>13</v>
      </c>
      <c r="AG196" s="31">
        <v>-13</v>
      </c>
      <c r="AH196" s="31">
        <v>715.8</v>
      </c>
      <c r="AI196" s="31">
        <v>0</v>
      </c>
      <c r="AJ196" s="370">
        <v>8.8601500000000009</v>
      </c>
      <c r="AK196" s="219">
        <v>715.8</v>
      </c>
      <c r="AL196" s="219">
        <v>0</v>
      </c>
      <c r="AM196" s="219">
        <v>0</v>
      </c>
      <c r="AN196" s="219">
        <v>0</v>
      </c>
      <c r="AO196" s="116">
        <v>0</v>
      </c>
      <c r="AP196" s="116">
        <v>0</v>
      </c>
      <c r="AQ196" s="116">
        <v>5</v>
      </c>
      <c r="AR196" s="116">
        <v>-82447.239809999999</v>
      </c>
      <c r="AS196" s="116">
        <v>-253683.81480000002</v>
      </c>
      <c r="AT196" s="116">
        <v>0</v>
      </c>
      <c r="AU196" s="385">
        <v>0</v>
      </c>
      <c r="AV196" s="332">
        <v>0</v>
      </c>
      <c r="AW196" s="332">
        <v>0</v>
      </c>
      <c r="AX196" s="332">
        <v>82447.239809999999</v>
      </c>
      <c r="AY196" s="332">
        <v>0</v>
      </c>
      <c r="AZ196" s="332">
        <v>0</v>
      </c>
      <c r="BA196" s="332">
        <v>0</v>
      </c>
      <c r="BB196" s="31">
        <v>407530.04246373125</v>
      </c>
      <c r="BC196" s="31">
        <v>0</v>
      </c>
      <c r="BD196" s="29">
        <v>0</v>
      </c>
      <c r="BE196" s="31">
        <v>0</v>
      </c>
    </row>
    <row r="197" spans="1:57" ht="13">
      <c r="A197" s="153">
        <v>44569</v>
      </c>
      <c r="B197" s="10" t="s">
        <v>183</v>
      </c>
      <c r="C197" s="10">
        <v>44569000022</v>
      </c>
      <c r="D197" s="10" t="s">
        <v>16</v>
      </c>
      <c r="E197" s="10" t="s">
        <v>36</v>
      </c>
      <c r="F197" s="153">
        <v>44569</v>
      </c>
      <c r="G197" s="116" t="s">
        <v>37</v>
      </c>
      <c r="H197" s="116">
        <v>732923.75835000002</v>
      </c>
      <c r="I197" s="116">
        <v>-232923.75835000008</v>
      </c>
      <c r="J197" s="116">
        <v>499999.99999999994</v>
      </c>
      <c r="K197" s="219">
        <v>298041.43364999985</v>
      </c>
      <c r="L197" s="116">
        <v>0</v>
      </c>
      <c r="M197" s="31">
        <v>325344.70800000004</v>
      </c>
      <c r="N197" s="336">
        <v>-184999.93200000003</v>
      </c>
      <c r="O197" s="336">
        <v>0</v>
      </c>
      <c r="P197" s="219">
        <v>-325344.70800000004</v>
      </c>
      <c r="Q197" s="332">
        <v>6379.3080000000009</v>
      </c>
      <c r="R197" s="219">
        <v>-51</v>
      </c>
      <c r="S197" s="332">
        <v>0</v>
      </c>
      <c r="T197" s="219">
        <v>0</v>
      </c>
      <c r="U197" s="332">
        <v>0</v>
      </c>
      <c r="V197" s="332">
        <v>0</v>
      </c>
      <c r="W197" s="370">
        <v>0</v>
      </c>
      <c r="X197" s="370">
        <v>11</v>
      </c>
      <c r="Y197" s="370">
        <v>0</v>
      </c>
      <c r="Z197" s="370">
        <v>0</v>
      </c>
      <c r="AA197" s="370">
        <v>0</v>
      </c>
      <c r="AB197" s="370">
        <v>-40</v>
      </c>
      <c r="AC197" s="370">
        <v>0</v>
      </c>
      <c r="AD197" s="370">
        <v>0</v>
      </c>
      <c r="AE197" s="370">
        <v>0</v>
      </c>
      <c r="AF197" s="370">
        <v>-29</v>
      </c>
      <c r="AG197" s="31">
        <v>-51</v>
      </c>
      <c r="AH197" s="31">
        <v>715.8</v>
      </c>
      <c r="AI197" s="31">
        <v>1</v>
      </c>
      <c r="AJ197" s="370">
        <v>8.8601500000000009</v>
      </c>
      <c r="AK197" s="219">
        <v>715.8</v>
      </c>
      <c r="AL197" s="219">
        <v>0</v>
      </c>
      <c r="AM197" s="219">
        <v>0</v>
      </c>
      <c r="AN197" s="219">
        <v>0</v>
      </c>
      <c r="AO197" s="116">
        <v>0</v>
      </c>
      <c r="AP197" s="116">
        <v>0</v>
      </c>
      <c r="AQ197" s="116">
        <v>5</v>
      </c>
      <c r="AR197" s="116">
        <v>-323446.86387</v>
      </c>
      <c r="AS197" s="116">
        <v>-253683.81480000002</v>
      </c>
      <c r="AT197" s="116">
        <v>0</v>
      </c>
      <c r="AU197" s="385">
        <v>55134.949047199996</v>
      </c>
      <c r="AV197" s="332">
        <v>-289301.29884</v>
      </c>
      <c r="AW197" s="332">
        <v>-234166.3497928</v>
      </c>
      <c r="AX197" s="332">
        <v>-183920.76573000001</v>
      </c>
      <c r="AY197" s="332">
        <v>0</v>
      </c>
      <c r="AZ197" s="332">
        <v>-42.974254155730421</v>
      </c>
      <c r="BA197" s="332">
        <v>0</v>
      </c>
      <c r="BB197" s="31">
        <v>732874.75046373135</v>
      </c>
      <c r="BC197" s="31">
        <v>732874.75046373135</v>
      </c>
      <c r="BD197" s="29">
        <v>0</v>
      </c>
      <c r="BE197" s="31">
        <v>498757.40855719999</v>
      </c>
    </row>
    <row r="198" spans="1:57" ht="13">
      <c r="A198" s="153">
        <v>44569</v>
      </c>
      <c r="B198" s="10" t="s">
        <v>184</v>
      </c>
      <c r="C198" s="10">
        <v>44561000006</v>
      </c>
      <c r="D198" s="10" t="s">
        <v>64</v>
      </c>
      <c r="E198" s="10" t="s">
        <v>64</v>
      </c>
      <c r="F198" s="153">
        <v>44561</v>
      </c>
      <c r="G198" s="116" t="s">
        <v>39</v>
      </c>
      <c r="H198" s="116">
        <v>500000</v>
      </c>
      <c r="I198" s="116">
        <v>0</v>
      </c>
      <c r="J198" s="116">
        <v>500000</v>
      </c>
      <c r="K198" s="219">
        <v>0</v>
      </c>
      <c r="L198" s="116">
        <v>0</v>
      </c>
      <c r="M198" s="31">
        <v>500000</v>
      </c>
      <c r="N198" s="336">
        <v>500000</v>
      </c>
      <c r="O198" s="336">
        <v>0</v>
      </c>
      <c r="P198" s="219">
        <v>0</v>
      </c>
      <c r="Q198" s="332">
        <v>0</v>
      </c>
      <c r="R198" s="219">
        <v>0</v>
      </c>
      <c r="S198" s="332">
        <v>0</v>
      </c>
      <c r="T198" s="219">
        <v>0</v>
      </c>
      <c r="U198" s="332">
        <v>0</v>
      </c>
      <c r="V198" s="332">
        <v>0</v>
      </c>
      <c r="W198" s="370">
        <v>0</v>
      </c>
      <c r="X198" s="370">
        <v>0</v>
      </c>
      <c r="Y198" s="370">
        <v>0</v>
      </c>
      <c r="Z198" s="370">
        <v>0</v>
      </c>
      <c r="AA198" s="370">
        <v>0</v>
      </c>
      <c r="AB198" s="370">
        <v>0</v>
      </c>
      <c r="AC198" s="370">
        <v>0</v>
      </c>
      <c r="AD198" s="370">
        <v>0</v>
      </c>
      <c r="AE198" s="370">
        <v>0</v>
      </c>
      <c r="AF198" s="370">
        <v>0</v>
      </c>
      <c r="AG198" s="31">
        <v>0</v>
      </c>
      <c r="AH198" s="31">
        <v>1</v>
      </c>
      <c r="AI198" s="31">
        <v>0</v>
      </c>
      <c r="AJ198" s="370">
        <v>1</v>
      </c>
      <c r="AK198" s="219">
        <v>0</v>
      </c>
      <c r="AL198" s="219">
        <v>0</v>
      </c>
      <c r="AM198" s="219">
        <v>0</v>
      </c>
      <c r="AN198" s="219">
        <v>0</v>
      </c>
      <c r="AO198" s="116">
        <v>0</v>
      </c>
      <c r="AP198" s="116">
        <v>0</v>
      </c>
      <c r="AQ198" s="116">
        <v>1</v>
      </c>
      <c r="AR198" s="116">
        <v>0</v>
      </c>
      <c r="AS198" s="116">
        <v>0</v>
      </c>
      <c r="AT198" s="116">
        <v>1</v>
      </c>
      <c r="AU198" s="385">
        <v>0</v>
      </c>
      <c r="AV198" s="332">
        <v>0</v>
      </c>
      <c r="AW198" s="332">
        <v>0</v>
      </c>
      <c r="AX198" s="332">
        <v>500000</v>
      </c>
      <c r="AY198" s="332">
        <v>0</v>
      </c>
      <c r="AZ198" s="332">
        <v>0</v>
      </c>
      <c r="BA198" s="332">
        <v>0</v>
      </c>
      <c r="BB198" s="31">
        <v>499999.62477711466</v>
      </c>
      <c r="BC198" s="31">
        <v>0</v>
      </c>
      <c r="BD198" s="29">
        <v>0</v>
      </c>
      <c r="BE198" s="31">
        <v>0</v>
      </c>
    </row>
    <row r="199" spans="1:57" ht="13">
      <c r="A199" s="153">
        <v>44569</v>
      </c>
      <c r="B199" s="10" t="s">
        <v>184</v>
      </c>
      <c r="C199" s="10">
        <v>44563000025</v>
      </c>
      <c r="D199" s="10" t="s">
        <v>16</v>
      </c>
      <c r="E199" s="10" t="s">
        <v>40</v>
      </c>
      <c r="F199" s="153">
        <v>44563</v>
      </c>
      <c r="G199" s="116" t="s">
        <v>29</v>
      </c>
      <c r="H199" s="116">
        <v>450189.84940000001</v>
      </c>
      <c r="I199" s="116">
        <v>49810.150599999994</v>
      </c>
      <c r="J199" s="116">
        <v>500000</v>
      </c>
      <c r="K199" s="219">
        <v>450189.84940000001</v>
      </c>
      <c r="L199" s="116">
        <v>0</v>
      </c>
      <c r="M199" s="31">
        <v>-49810.150599999994</v>
      </c>
      <c r="N199" s="336">
        <v>-49810.150599999994</v>
      </c>
      <c r="O199" s="336">
        <v>49810.150599999994</v>
      </c>
      <c r="P199" s="219">
        <v>0</v>
      </c>
      <c r="Q199" s="332">
        <v>2490.5075299999999</v>
      </c>
      <c r="R199" s="219">
        <v>20</v>
      </c>
      <c r="S199" s="332">
        <v>0</v>
      </c>
      <c r="T199" s="219">
        <v>0</v>
      </c>
      <c r="U199" s="332">
        <v>0</v>
      </c>
      <c r="V199" s="332">
        <v>0</v>
      </c>
      <c r="W199" s="370">
        <v>0</v>
      </c>
      <c r="X199" s="370">
        <v>0</v>
      </c>
      <c r="Y199" s="370">
        <v>0</v>
      </c>
      <c r="Z199" s="370">
        <v>0</v>
      </c>
      <c r="AA199" s="370">
        <v>0</v>
      </c>
      <c r="AB199" s="370">
        <v>20</v>
      </c>
      <c r="AC199" s="370">
        <v>0</v>
      </c>
      <c r="AD199" s="370">
        <v>0</v>
      </c>
      <c r="AE199" s="370">
        <v>0</v>
      </c>
      <c r="AF199" s="370">
        <v>-20</v>
      </c>
      <c r="AG199" s="31">
        <v>20</v>
      </c>
      <c r="AH199" s="31">
        <v>1942</v>
      </c>
      <c r="AI199" s="31">
        <v>0</v>
      </c>
      <c r="AJ199" s="370">
        <v>1.2227079999999999</v>
      </c>
      <c r="AK199" s="219">
        <v>1942</v>
      </c>
      <c r="AL199" s="219">
        <v>0</v>
      </c>
      <c r="AM199" s="219">
        <v>0</v>
      </c>
      <c r="AN199" s="219">
        <v>0</v>
      </c>
      <c r="AO199" s="116">
        <v>0</v>
      </c>
      <c r="AP199" s="116">
        <v>0</v>
      </c>
      <c r="AQ199" s="116">
        <v>2</v>
      </c>
      <c r="AR199" s="116">
        <v>47489.978719999999</v>
      </c>
      <c r="AS199" s="116">
        <v>23744.98936</v>
      </c>
      <c r="AT199" s="116">
        <v>1</v>
      </c>
      <c r="AU199" s="385">
        <v>0</v>
      </c>
      <c r="AV199" s="332">
        <v>0</v>
      </c>
      <c r="AW199" s="332">
        <v>0</v>
      </c>
      <c r="AX199" s="332">
        <v>-47489.978719999999</v>
      </c>
      <c r="AY199" s="332">
        <v>0</v>
      </c>
      <c r="AZ199" s="332">
        <v>0</v>
      </c>
      <c r="BA199" s="332">
        <v>0</v>
      </c>
      <c r="BB199" s="31">
        <v>450189.47417711467</v>
      </c>
      <c r="BC199" s="31">
        <v>0</v>
      </c>
      <c r="BD199" s="29">
        <v>0</v>
      </c>
      <c r="BE199" s="31">
        <v>0</v>
      </c>
    </row>
    <row r="200" spans="1:57" ht="13">
      <c r="A200" s="153">
        <v>44569</v>
      </c>
      <c r="B200" s="10" t="s">
        <v>184</v>
      </c>
      <c r="C200" s="10">
        <v>44563000026</v>
      </c>
      <c r="D200" s="10" t="s">
        <v>16</v>
      </c>
      <c r="E200" s="10" t="s">
        <v>38</v>
      </c>
      <c r="F200" s="153">
        <v>44563</v>
      </c>
      <c r="G200" s="116" t="s">
        <v>39</v>
      </c>
      <c r="H200" s="116">
        <v>452489.84940000001</v>
      </c>
      <c r="I200" s="116">
        <v>47510.150599999994</v>
      </c>
      <c r="J200" s="116">
        <v>500000</v>
      </c>
      <c r="K200" s="219">
        <v>447889.84940000001</v>
      </c>
      <c r="L200" s="116">
        <v>0</v>
      </c>
      <c r="M200" s="31">
        <v>2300</v>
      </c>
      <c r="N200" s="336">
        <v>-2300</v>
      </c>
      <c r="O200" s="336">
        <v>0</v>
      </c>
      <c r="P200" s="219">
        <v>-2300</v>
      </c>
      <c r="Q200" s="332">
        <v>460</v>
      </c>
      <c r="R200" s="219">
        <v>-5</v>
      </c>
      <c r="S200" s="332">
        <v>0</v>
      </c>
      <c r="T200" s="219">
        <v>0</v>
      </c>
      <c r="U200" s="332">
        <v>0</v>
      </c>
      <c r="V200" s="332">
        <v>0</v>
      </c>
      <c r="W200" s="370">
        <v>0</v>
      </c>
      <c r="X200" s="370">
        <v>0</v>
      </c>
      <c r="Y200" s="370">
        <v>0</v>
      </c>
      <c r="Z200" s="370">
        <v>0</v>
      </c>
      <c r="AA200" s="370">
        <v>0</v>
      </c>
      <c r="AB200" s="370">
        <v>-5</v>
      </c>
      <c r="AC200" s="370">
        <v>0</v>
      </c>
      <c r="AD200" s="370">
        <v>0</v>
      </c>
      <c r="AE200" s="370">
        <v>0</v>
      </c>
      <c r="AF200" s="370">
        <v>-5</v>
      </c>
      <c r="AG200" s="31">
        <v>-5</v>
      </c>
      <c r="AH200" s="31">
        <v>443</v>
      </c>
      <c r="AI200" s="31">
        <v>0</v>
      </c>
      <c r="AJ200" s="370">
        <v>1</v>
      </c>
      <c r="AK200" s="219">
        <v>443</v>
      </c>
      <c r="AL200" s="219">
        <v>0</v>
      </c>
      <c r="AM200" s="219">
        <v>0</v>
      </c>
      <c r="AN200" s="219">
        <v>0</v>
      </c>
      <c r="AO200" s="116">
        <v>0</v>
      </c>
      <c r="AP200" s="116">
        <v>0</v>
      </c>
      <c r="AQ200" s="116">
        <v>3</v>
      </c>
      <c r="AR200" s="116">
        <v>-2215</v>
      </c>
      <c r="AS200" s="116">
        <v>4430</v>
      </c>
      <c r="AT200" s="116">
        <v>1</v>
      </c>
      <c r="AU200" s="385">
        <v>0</v>
      </c>
      <c r="AV200" s="332">
        <v>0</v>
      </c>
      <c r="AW200" s="332">
        <v>0</v>
      </c>
      <c r="AX200" s="332">
        <v>-2215</v>
      </c>
      <c r="AY200" s="332">
        <v>0</v>
      </c>
      <c r="AZ200" s="332">
        <v>-0.37522288534642012</v>
      </c>
      <c r="BA200" s="332">
        <v>0</v>
      </c>
      <c r="BB200" s="31">
        <v>452489.47417711467</v>
      </c>
      <c r="BC200" s="31">
        <v>0</v>
      </c>
      <c r="BD200" s="29">
        <v>0</v>
      </c>
      <c r="BE200" s="31">
        <v>0</v>
      </c>
    </row>
    <row r="201" spans="1:57" ht="13">
      <c r="A201" s="153">
        <v>44569</v>
      </c>
      <c r="B201" s="10" t="s">
        <v>184</v>
      </c>
      <c r="C201" s="10">
        <v>44564000027</v>
      </c>
      <c r="D201" s="10" t="s">
        <v>16</v>
      </c>
      <c r="E201" s="10" t="s">
        <v>40</v>
      </c>
      <c r="F201" s="153">
        <v>44564</v>
      </c>
      <c r="G201" s="116" t="s">
        <v>29</v>
      </c>
      <c r="H201" s="116">
        <v>477643.14439999999</v>
      </c>
      <c r="I201" s="116">
        <v>22356.855599999995</v>
      </c>
      <c r="J201" s="116">
        <v>500000</v>
      </c>
      <c r="K201" s="219">
        <v>473043.14439999999</v>
      </c>
      <c r="L201" s="116">
        <v>0</v>
      </c>
      <c r="M201" s="31">
        <v>25153.294999999998</v>
      </c>
      <c r="N201" s="336">
        <v>25153.295000000002</v>
      </c>
      <c r="O201" s="336">
        <v>0</v>
      </c>
      <c r="P201" s="219">
        <v>-25153.294999999998</v>
      </c>
      <c r="Q201" s="332">
        <v>2515.3294999999998</v>
      </c>
      <c r="R201" s="219">
        <v>-10</v>
      </c>
      <c r="S201" s="332">
        <v>0</v>
      </c>
      <c r="T201" s="219">
        <v>0</v>
      </c>
      <c r="U201" s="332">
        <v>0</v>
      </c>
      <c r="V201" s="332">
        <v>0</v>
      </c>
      <c r="W201" s="370">
        <v>0</v>
      </c>
      <c r="X201" s="370">
        <v>20</v>
      </c>
      <c r="Y201" s="370">
        <v>0</v>
      </c>
      <c r="Z201" s="370">
        <v>0</v>
      </c>
      <c r="AA201" s="370">
        <v>0</v>
      </c>
      <c r="AB201" s="370">
        <v>10</v>
      </c>
      <c r="AC201" s="370">
        <v>0</v>
      </c>
      <c r="AD201" s="370">
        <v>0</v>
      </c>
      <c r="AE201" s="370">
        <v>0</v>
      </c>
      <c r="AF201" s="370">
        <v>10</v>
      </c>
      <c r="AG201" s="31">
        <v>-10</v>
      </c>
      <c r="AH201" s="31">
        <v>1942</v>
      </c>
      <c r="AI201" s="31">
        <v>0</v>
      </c>
      <c r="AJ201" s="370">
        <v>1.2227079999999999</v>
      </c>
      <c r="AK201" s="219">
        <v>1942</v>
      </c>
      <c r="AL201" s="219">
        <v>0</v>
      </c>
      <c r="AM201" s="219">
        <v>0</v>
      </c>
      <c r="AN201" s="219">
        <v>0</v>
      </c>
      <c r="AO201" s="116">
        <v>0</v>
      </c>
      <c r="AP201" s="116">
        <v>0</v>
      </c>
      <c r="AQ201" s="116">
        <v>3</v>
      </c>
      <c r="AR201" s="116">
        <v>-23744.98936</v>
      </c>
      <c r="AS201" s="116">
        <v>23744.98936</v>
      </c>
      <c r="AT201" s="116">
        <v>0</v>
      </c>
      <c r="AU201" s="385">
        <v>0</v>
      </c>
      <c r="AV201" s="332">
        <v>0</v>
      </c>
      <c r="AW201" s="332">
        <v>0</v>
      </c>
      <c r="AX201" s="332">
        <v>23744.98936</v>
      </c>
      <c r="AY201" s="332">
        <v>0</v>
      </c>
      <c r="AZ201" s="332">
        <v>0</v>
      </c>
      <c r="BA201" s="332">
        <v>0</v>
      </c>
      <c r="BB201" s="31">
        <v>477642.76917711465</v>
      </c>
      <c r="BC201" s="31">
        <v>0</v>
      </c>
      <c r="BD201" s="29">
        <v>0</v>
      </c>
      <c r="BE201" s="31">
        <v>0</v>
      </c>
    </row>
    <row r="202" spans="1:57" ht="13">
      <c r="A202" s="153">
        <v>44569</v>
      </c>
      <c r="B202" s="10" t="s">
        <v>184</v>
      </c>
      <c r="C202" s="10">
        <v>44564000028</v>
      </c>
      <c r="D202" s="10" t="s">
        <v>16</v>
      </c>
      <c r="E202" s="10" t="s">
        <v>38</v>
      </c>
      <c r="F202" s="153">
        <v>44564</v>
      </c>
      <c r="G202" s="116" t="s">
        <v>39</v>
      </c>
      <c r="H202" s="116">
        <v>470743.14439999999</v>
      </c>
      <c r="I202" s="116">
        <v>29256.855599999995</v>
      </c>
      <c r="J202" s="116">
        <v>500000</v>
      </c>
      <c r="K202" s="219">
        <v>470743.14439999999</v>
      </c>
      <c r="L202" s="116">
        <v>0</v>
      </c>
      <c r="M202" s="31">
        <v>-6900</v>
      </c>
      <c r="N202" s="336">
        <v>-2300</v>
      </c>
      <c r="O202" s="336">
        <v>6900</v>
      </c>
      <c r="P202" s="219">
        <v>0</v>
      </c>
      <c r="Q202" s="332">
        <v>460</v>
      </c>
      <c r="R202" s="219">
        <v>15</v>
      </c>
      <c r="S202" s="332">
        <v>0</v>
      </c>
      <c r="T202" s="219">
        <v>0</v>
      </c>
      <c r="U202" s="332">
        <v>0</v>
      </c>
      <c r="V202" s="332">
        <v>0</v>
      </c>
      <c r="W202" s="370">
        <v>0</v>
      </c>
      <c r="X202" s="370">
        <v>-5</v>
      </c>
      <c r="Y202" s="370">
        <v>0</v>
      </c>
      <c r="Z202" s="370">
        <v>0</v>
      </c>
      <c r="AA202" s="370">
        <v>0</v>
      </c>
      <c r="AB202" s="370">
        <v>10</v>
      </c>
      <c r="AC202" s="370">
        <v>0</v>
      </c>
      <c r="AD202" s="370">
        <v>0</v>
      </c>
      <c r="AE202" s="370">
        <v>0</v>
      </c>
      <c r="AF202" s="370">
        <v>-5</v>
      </c>
      <c r="AG202" s="31">
        <v>15</v>
      </c>
      <c r="AH202" s="31">
        <v>443</v>
      </c>
      <c r="AI202" s="31">
        <v>1</v>
      </c>
      <c r="AJ202" s="370">
        <v>1</v>
      </c>
      <c r="AK202" s="219">
        <v>443</v>
      </c>
      <c r="AL202" s="219">
        <v>0</v>
      </c>
      <c r="AM202" s="219">
        <v>0</v>
      </c>
      <c r="AN202" s="219">
        <v>0</v>
      </c>
      <c r="AO202" s="116">
        <v>0</v>
      </c>
      <c r="AP202" s="116">
        <v>0</v>
      </c>
      <c r="AQ202" s="116">
        <v>3</v>
      </c>
      <c r="AR202" s="116">
        <v>6645</v>
      </c>
      <c r="AS202" s="116">
        <v>4430</v>
      </c>
      <c r="AT202" s="116">
        <v>0</v>
      </c>
      <c r="AU202" s="385">
        <v>28174.98936</v>
      </c>
      <c r="AV202" s="332">
        <v>0</v>
      </c>
      <c r="AW202" s="332">
        <v>28174.98936</v>
      </c>
      <c r="AX202" s="332">
        <v>-2215</v>
      </c>
      <c r="AY202" s="332">
        <v>0</v>
      </c>
      <c r="AZ202" s="332">
        <v>0</v>
      </c>
      <c r="BA202" s="332">
        <v>0</v>
      </c>
      <c r="BB202" s="31">
        <v>470742.76917711465</v>
      </c>
      <c r="BC202" s="31">
        <v>470742.76917711465</v>
      </c>
      <c r="BD202" s="29">
        <v>0</v>
      </c>
      <c r="BE202" s="31">
        <v>498918.13376</v>
      </c>
    </row>
    <row r="203" spans="1:57" ht="13">
      <c r="A203" s="153">
        <v>44569</v>
      </c>
      <c r="B203" s="10" t="s">
        <v>185</v>
      </c>
      <c r="C203" s="10">
        <v>44561000007</v>
      </c>
      <c r="D203" s="10" t="s">
        <v>64</v>
      </c>
      <c r="E203" s="10" t="s">
        <v>64</v>
      </c>
      <c r="F203" s="153">
        <v>44561</v>
      </c>
      <c r="G203" s="116" t="s">
        <v>39</v>
      </c>
      <c r="H203" s="116">
        <v>500000</v>
      </c>
      <c r="I203" s="116">
        <v>0</v>
      </c>
      <c r="J203" s="116">
        <v>500000</v>
      </c>
      <c r="K203" s="219">
        <v>0</v>
      </c>
      <c r="L203" s="116">
        <v>0</v>
      </c>
      <c r="M203" s="31">
        <v>500000</v>
      </c>
      <c r="N203" s="336">
        <v>500000</v>
      </c>
      <c r="O203" s="336">
        <v>0</v>
      </c>
      <c r="P203" s="219">
        <v>0</v>
      </c>
      <c r="Q203" s="332">
        <v>0</v>
      </c>
      <c r="R203" s="219">
        <v>0</v>
      </c>
      <c r="S203" s="332">
        <v>0</v>
      </c>
      <c r="T203" s="219">
        <v>0</v>
      </c>
      <c r="U203" s="332">
        <v>0</v>
      </c>
      <c r="V203" s="332">
        <v>0</v>
      </c>
      <c r="W203" s="370">
        <v>0</v>
      </c>
      <c r="X203" s="370">
        <v>0</v>
      </c>
      <c r="Y203" s="370">
        <v>0</v>
      </c>
      <c r="Z203" s="370">
        <v>0</v>
      </c>
      <c r="AA203" s="370">
        <v>0</v>
      </c>
      <c r="AB203" s="370">
        <v>0</v>
      </c>
      <c r="AC203" s="370">
        <v>0</v>
      </c>
      <c r="AD203" s="370">
        <v>0</v>
      </c>
      <c r="AE203" s="370">
        <v>0</v>
      </c>
      <c r="AF203" s="370">
        <v>0</v>
      </c>
      <c r="AG203" s="31">
        <v>0</v>
      </c>
      <c r="AH203" s="31">
        <v>1</v>
      </c>
      <c r="AI203" s="31">
        <v>0</v>
      </c>
      <c r="AJ203" s="370">
        <v>1</v>
      </c>
      <c r="AK203" s="219">
        <v>0</v>
      </c>
      <c r="AL203" s="219">
        <v>0</v>
      </c>
      <c r="AM203" s="219">
        <v>0</v>
      </c>
      <c r="AN203" s="219">
        <v>0</v>
      </c>
      <c r="AO203" s="116">
        <v>0</v>
      </c>
      <c r="AP203" s="116">
        <v>0</v>
      </c>
      <c r="AQ203" s="116">
        <v>1</v>
      </c>
      <c r="AR203" s="116">
        <v>0</v>
      </c>
      <c r="AS203" s="116">
        <v>0</v>
      </c>
      <c r="AT203" s="116">
        <v>1</v>
      </c>
      <c r="AU203" s="385">
        <v>0</v>
      </c>
      <c r="AV203" s="332">
        <v>0</v>
      </c>
      <c r="AW203" s="332">
        <v>0</v>
      </c>
      <c r="AX203" s="332">
        <v>500000</v>
      </c>
      <c r="AY203" s="332">
        <v>0</v>
      </c>
      <c r="AZ203" s="332">
        <v>0</v>
      </c>
      <c r="BA203" s="332">
        <v>0</v>
      </c>
      <c r="BB203" s="31">
        <v>499999.31750231684</v>
      </c>
      <c r="BC203" s="31">
        <v>0</v>
      </c>
      <c r="BD203" s="29">
        <v>0</v>
      </c>
      <c r="BE203" s="31">
        <v>0</v>
      </c>
    </row>
    <row r="204" spans="1:57" ht="13">
      <c r="A204" s="153">
        <v>44569</v>
      </c>
      <c r="B204" s="10" t="s">
        <v>185</v>
      </c>
      <c r="C204" s="10">
        <v>44562000029</v>
      </c>
      <c r="D204" s="10" t="s">
        <v>61</v>
      </c>
      <c r="E204" s="10" t="s">
        <v>63</v>
      </c>
      <c r="F204" s="153">
        <v>44562</v>
      </c>
      <c r="G204" s="116" t="s">
        <v>39</v>
      </c>
      <c r="H204" s="116">
        <v>490000</v>
      </c>
      <c r="I204" s="116">
        <v>10000</v>
      </c>
      <c r="J204" s="116">
        <v>500000</v>
      </c>
      <c r="K204" s="219">
        <v>490000</v>
      </c>
      <c r="L204" s="116">
        <v>0</v>
      </c>
      <c r="M204" s="31">
        <v>-10000</v>
      </c>
      <c r="N204" s="336">
        <v>-10000</v>
      </c>
      <c r="O204" s="336">
        <v>0</v>
      </c>
      <c r="P204" s="219">
        <v>0</v>
      </c>
      <c r="Q204" s="332">
        <v>0</v>
      </c>
      <c r="R204" s="219">
        <v>0</v>
      </c>
      <c r="S204" s="332">
        <v>0</v>
      </c>
      <c r="T204" s="219">
        <v>0</v>
      </c>
      <c r="U204" s="332">
        <v>0</v>
      </c>
      <c r="V204" s="332">
        <v>0</v>
      </c>
      <c r="W204" s="370">
        <v>10000</v>
      </c>
      <c r="X204" s="370">
        <v>0</v>
      </c>
      <c r="Y204" s="370">
        <v>0</v>
      </c>
      <c r="Z204" s="370">
        <v>0</v>
      </c>
      <c r="AA204" s="370">
        <v>0</v>
      </c>
      <c r="AB204" s="370">
        <v>0</v>
      </c>
      <c r="AC204" s="370">
        <v>0</v>
      </c>
      <c r="AD204" s="370">
        <v>0</v>
      </c>
      <c r="AE204" s="370">
        <v>10000</v>
      </c>
      <c r="AF204" s="370">
        <v>-10000</v>
      </c>
      <c r="AG204" s="31">
        <v>10000</v>
      </c>
      <c r="AH204" s="31">
        <v>1</v>
      </c>
      <c r="AI204" s="31">
        <v>0</v>
      </c>
      <c r="AJ204" s="370">
        <v>1</v>
      </c>
      <c r="AK204" s="219">
        <v>0</v>
      </c>
      <c r="AL204" s="219">
        <v>0</v>
      </c>
      <c r="AM204" s="219">
        <v>0</v>
      </c>
      <c r="AN204" s="219">
        <v>0</v>
      </c>
      <c r="AO204" s="116">
        <v>0</v>
      </c>
      <c r="AP204" s="116">
        <v>1</v>
      </c>
      <c r="AQ204" s="116">
        <v>2</v>
      </c>
      <c r="AR204" s="116">
        <v>10000</v>
      </c>
      <c r="AS204" s="116">
        <v>-5000</v>
      </c>
      <c r="AT204" s="116">
        <v>1</v>
      </c>
      <c r="AU204" s="385">
        <v>0</v>
      </c>
      <c r="AV204" s="332">
        <v>0</v>
      </c>
      <c r="AW204" s="332">
        <v>0</v>
      </c>
      <c r="AX204" s="332">
        <v>-10000</v>
      </c>
      <c r="AY204" s="332">
        <v>0</v>
      </c>
      <c r="AZ204" s="332">
        <v>0</v>
      </c>
      <c r="BA204" s="332">
        <v>4.1126643175088691E-2</v>
      </c>
      <c r="BB204" s="31">
        <v>489999.31750231684</v>
      </c>
      <c r="BC204" s="31">
        <v>0</v>
      </c>
      <c r="BD204" s="29">
        <v>0</v>
      </c>
      <c r="BE204" s="31">
        <v>0</v>
      </c>
    </row>
    <row r="205" spans="1:57" ht="13">
      <c r="A205" s="153">
        <v>44569</v>
      </c>
      <c r="B205" s="10" t="s">
        <v>185</v>
      </c>
      <c r="C205" s="10">
        <v>44562000030</v>
      </c>
      <c r="D205" s="10" t="s">
        <v>18</v>
      </c>
      <c r="E205" s="10" t="s">
        <v>7</v>
      </c>
      <c r="F205" s="153">
        <v>44562</v>
      </c>
      <c r="G205" s="116" t="s">
        <v>41</v>
      </c>
      <c r="H205" s="116">
        <v>448805.40759999998</v>
      </c>
      <c r="I205" s="116">
        <v>51194.592400000009</v>
      </c>
      <c r="J205" s="116">
        <v>500000</v>
      </c>
      <c r="K205" s="219">
        <v>458805.40759999998</v>
      </c>
      <c r="L205" s="116">
        <v>0</v>
      </c>
      <c r="M205" s="31">
        <v>-41194.592400000009</v>
      </c>
      <c r="N205" s="336">
        <v>-41194.592400000001</v>
      </c>
      <c r="O205" s="336">
        <v>0</v>
      </c>
      <c r="P205" s="219">
        <v>0</v>
      </c>
      <c r="Q205" s="332">
        <v>0</v>
      </c>
      <c r="R205" s="219">
        <v>0</v>
      </c>
      <c r="S205" s="332">
        <v>13.21</v>
      </c>
      <c r="T205" s="219">
        <v>40</v>
      </c>
      <c r="U205" s="332">
        <v>0</v>
      </c>
      <c r="V205" s="332">
        <v>0</v>
      </c>
      <c r="W205" s="370">
        <v>0</v>
      </c>
      <c r="X205" s="370">
        <v>0</v>
      </c>
      <c r="Y205" s="370">
        <v>0</v>
      </c>
      <c r="Z205" s="370">
        <v>0</v>
      </c>
      <c r="AA205" s="370">
        <v>0</v>
      </c>
      <c r="AB205" s="370">
        <v>0</v>
      </c>
      <c r="AC205" s="370">
        <v>40</v>
      </c>
      <c r="AD205" s="370">
        <v>0</v>
      </c>
      <c r="AE205" s="370">
        <v>0</v>
      </c>
      <c r="AF205" s="370">
        <v>-40</v>
      </c>
      <c r="AG205" s="31">
        <v>40</v>
      </c>
      <c r="AH205" s="31">
        <v>17.29</v>
      </c>
      <c r="AI205" s="31">
        <v>0</v>
      </c>
      <c r="AJ205" s="370">
        <v>7.7981699999999998</v>
      </c>
      <c r="AK205" s="219">
        <v>0</v>
      </c>
      <c r="AL205" s="219">
        <v>17.29</v>
      </c>
      <c r="AM205" s="219">
        <v>19.71</v>
      </c>
      <c r="AN205" s="219">
        <v>0</v>
      </c>
      <c r="AO205" s="116">
        <v>0</v>
      </c>
      <c r="AP205" s="116">
        <v>0</v>
      </c>
      <c r="AQ205" s="116">
        <v>3</v>
      </c>
      <c r="AR205" s="116">
        <v>53932.14372</v>
      </c>
      <c r="AS205" s="116">
        <v>53932.14372</v>
      </c>
      <c r="AT205" s="116">
        <v>1</v>
      </c>
      <c r="AU205" s="385">
        <v>0</v>
      </c>
      <c r="AV205" s="332">
        <v>0</v>
      </c>
      <c r="AW205" s="332">
        <v>0</v>
      </c>
      <c r="AX205" s="332">
        <v>-57706.458000000006</v>
      </c>
      <c r="AY205" s="332">
        <v>0</v>
      </c>
      <c r="AZ205" s="332">
        <v>0</v>
      </c>
      <c r="BA205" s="332">
        <v>0</v>
      </c>
      <c r="BB205" s="31">
        <v>448804.72510231682</v>
      </c>
      <c r="BC205" s="31">
        <v>0</v>
      </c>
      <c r="BD205" s="29">
        <v>0</v>
      </c>
      <c r="BE205" s="31">
        <v>0</v>
      </c>
    </row>
    <row r="206" spans="1:57" ht="13">
      <c r="A206" s="153">
        <v>44569</v>
      </c>
      <c r="B206" s="10" t="s">
        <v>185</v>
      </c>
      <c r="C206" s="10">
        <v>44562000031</v>
      </c>
      <c r="D206" s="10" t="s">
        <v>61</v>
      </c>
      <c r="E206" s="10" t="s">
        <v>63</v>
      </c>
      <c r="F206" s="153">
        <v>44562</v>
      </c>
      <c r="G206" s="116" t="s">
        <v>39</v>
      </c>
      <c r="H206" s="116">
        <v>428805.40759999998</v>
      </c>
      <c r="I206" s="116">
        <v>71194.592400000009</v>
      </c>
      <c r="J206" s="116">
        <v>500000</v>
      </c>
      <c r="K206" s="219">
        <v>438805.40759999998</v>
      </c>
      <c r="L206" s="116">
        <v>0</v>
      </c>
      <c r="M206" s="31">
        <v>-20000</v>
      </c>
      <c r="N206" s="336">
        <v>-20000</v>
      </c>
      <c r="O206" s="336">
        <v>0</v>
      </c>
      <c r="P206" s="219">
        <v>0</v>
      </c>
      <c r="Q206" s="332">
        <v>0</v>
      </c>
      <c r="R206" s="219">
        <v>0</v>
      </c>
      <c r="S206" s="332">
        <v>0</v>
      </c>
      <c r="T206" s="219">
        <v>0</v>
      </c>
      <c r="U206" s="332">
        <v>0</v>
      </c>
      <c r="V206" s="332">
        <v>0</v>
      </c>
      <c r="W206" s="370">
        <v>20000</v>
      </c>
      <c r="X206" s="370">
        <v>0</v>
      </c>
      <c r="Y206" s="370">
        <v>0</v>
      </c>
      <c r="Z206" s="370">
        <v>0</v>
      </c>
      <c r="AA206" s="370">
        <v>10000</v>
      </c>
      <c r="AB206" s="370">
        <v>0</v>
      </c>
      <c r="AC206" s="370">
        <v>0</v>
      </c>
      <c r="AD206" s="370">
        <v>0</v>
      </c>
      <c r="AE206" s="370">
        <v>30000</v>
      </c>
      <c r="AF206" s="370">
        <v>-20000</v>
      </c>
      <c r="AG206" s="31">
        <v>20000</v>
      </c>
      <c r="AH206" s="31">
        <v>1</v>
      </c>
      <c r="AI206" s="31">
        <v>0</v>
      </c>
      <c r="AJ206" s="370">
        <v>1</v>
      </c>
      <c r="AK206" s="219">
        <v>0</v>
      </c>
      <c r="AL206" s="219">
        <v>0</v>
      </c>
      <c r="AM206" s="219">
        <v>0</v>
      </c>
      <c r="AN206" s="219">
        <v>0</v>
      </c>
      <c r="AO206" s="116">
        <v>0</v>
      </c>
      <c r="AP206" s="116">
        <v>1</v>
      </c>
      <c r="AQ206" s="116">
        <v>3</v>
      </c>
      <c r="AR206" s="116">
        <v>20000</v>
      </c>
      <c r="AS206" s="116">
        <v>-5000</v>
      </c>
      <c r="AT206" s="116">
        <v>0</v>
      </c>
      <c r="AU206" s="385">
        <v>0</v>
      </c>
      <c r="AV206" s="332">
        <v>0</v>
      </c>
      <c r="AW206" s="332">
        <v>0</v>
      </c>
      <c r="AX206" s="332">
        <v>-20000</v>
      </c>
      <c r="AY206" s="332">
        <v>0</v>
      </c>
      <c r="AZ206" s="332">
        <v>0</v>
      </c>
      <c r="BA206" s="332">
        <v>0.12337992952526605</v>
      </c>
      <c r="BB206" s="31">
        <v>428804.72510231682</v>
      </c>
      <c r="BC206" s="31">
        <v>0</v>
      </c>
      <c r="BD206" s="29">
        <v>0</v>
      </c>
      <c r="BE206" s="31">
        <v>0</v>
      </c>
    </row>
    <row r="207" spans="1:57" ht="13">
      <c r="A207" s="153">
        <v>44569</v>
      </c>
      <c r="B207" s="10" t="s">
        <v>185</v>
      </c>
      <c r="C207" s="10">
        <v>44562000035</v>
      </c>
      <c r="D207" s="10" t="s">
        <v>16</v>
      </c>
      <c r="E207" s="10" t="s">
        <v>38</v>
      </c>
      <c r="F207" s="153">
        <v>44562</v>
      </c>
      <c r="G207" s="116" t="s">
        <v>39</v>
      </c>
      <c r="H207" s="116">
        <v>424205.40759999998</v>
      </c>
      <c r="I207" s="116">
        <v>75794.592400000009</v>
      </c>
      <c r="J207" s="116">
        <v>500000</v>
      </c>
      <c r="K207" s="219">
        <v>444205.40759999998</v>
      </c>
      <c r="L207" s="116">
        <v>0</v>
      </c>
      <c r="M207" s="31">
        <v>-4600</v>
      </c>
      <c r="N207" s="336">
        <v>-4600</v>
      </c>
      <c r="O207" s="336">
        <v>4600</v>
      </c>
      <c r="P207" s="219">
        <v>0</v>
      </c>
      <c r="Q207" s="332">
        <v>460</v>
      </c>
      <c r="R207" s="219">
        <v>10</v>
      </c>
      <c r="S207" s="332">
        <v>0</v>
      </c>
      <c r="T207" s="219">
        <v>0</v>
      </c>
      <c r="U207" s="332">
        <v>0</v>
      </c>
      <c r="V207" s="332">
        <v>0</v>
      </c>
      <c r="W207" s="370">
        <v>0</v>
      </c>
      <c r="X207" s="370">
        <v>0</v>
      </c>
      <c r="Y207" s="370">
        <v>0</v>
      </c>
      <c r="Z207" s="370">
        <v>0</v>
      </c>
      <c r="AA207" s="370">
        <v>0</v>
      </c>
      <c r="AB207" s="370">
        <v>10</v>
      </c>
      <c r="AC207" s="370">
        <v>0</v>
      </c>
      <c r="AD207" s="370">
        <v>0</v>
      </c>
      <c r="AE207" s="370">
        <v>0</v>
      </c>
      <c r="AF207" s="370">
        <v>-10</v>
      </c>
      <c r="AG207" s="31">
        <v>10</v>
      </c>
      <c r="AH207" s="31">
        <v>443</v>
      </c>
      <c r="AI207" s="31">
        <v>0</v>
      </c>
      <c r="AJ207" s="370">
        <v>1</v>
      </c>
      <c r="AK207" s="219">
        <v>443</v>
      </c>
      <c r="AL207" s="219">
        <v>0</v>
      </c>
      <c r="AM207" s="219">
        <v>0</v>
      </c>
      <c r="AN207" s="219">
        <v>0</v>
      </c>
      <c r="AO207" s="116">
        <v>0</v>
      </c>
      <c r="AP207" s="116">
        <v>0</v>
      </c>
      <c r="AQ207" s="116">
        <v>4</v>
      </c>
      <c r="AR207" s="116">
        <v>4430</v>
      </c>
      <c r="AS207" s="116">
        <v>172770</v>
      </c>
      <c r="AT207" s="116">
        <v>1</v>
      </c>
      <c r="AU207" s="385">
        <v>0</v>
      </c>
      <c r="AV207" s="332">
        <v>0</v>
      </c>
      <c r="AW207" s="332">
        <v>0</v>
      </c>
      <c r="AX207" s="332">
        <v>-4430</v>
      </c>
      <c r="AY207" s="332">
        <v>0</v>
      </c>
      <c r="AZ207" s="332">
        <v>0</v>
      </c>
      <c r="BA207" s="332">
        <v>0</v>
      </c>
      <c r="BB207" s="31">
        <v>424204.72510231682</v>
      </c>
      <c r="BC207" s="31">
        <v>0</v>
      </c>
      <c r="BD207" s="29">
        <v>0</v>
      </c>
      <c r="BE207" s="31">
        <v>0</v>
      </c>
    </row>
    <row r="208" spans="1:57" ht="13">
      <c r="A208" s="153">
        <v>44569</v>
      </c>
      <c r="B208" s="10" t="s">
        <v>185</v>
      </c>
      <c r="C208" s="10">
        <v>44563000032</v>
      </c>
      <c r="D208" s="10" t="s">
        <v>61</v>
      </c>
      <c r="E208" s="10" t="s">
        <v>63</v>
      </c>
      <c r="F208" s="153">
        <v>44563</v>
      </c>
      <c r="G208" s="116" t="s">
        <v>39</v>
      </c>
      <c r="H208" s="116">
        <v>459205.40759999998</v>
      </c>
      <c r="I208" s="116">
        <v>40794.592400000009</v>
      </c>
      <c r="J208" s="116">
        <v>500000</v>
      </c>
      <c r="K208" s="219">
        <v>469205.40759999998</v>
      </c>
      <c r="L208" s="116">
        <v>0</v>
      </c>
      <c r="M208" s="31">
        <v>35000</v>
      </c>
      <c r="N208" s="336">
        <v>25000</v>
      </c>
      <c r="O208" s="336">
        <v>0</v>
      </c>
      <c r="P208" s="219">
        <v>0</v>
      </c>
      <c r="Q208" s="332">
        <v>0</v>
      </c>
      <c r="R208" s="219">
        <v>0</v>
      </c>
      <c r="S208" s="332">
        <v>0</v>
      </c>
      <c r="T208" s="219">
        <v>0</v>
      </c>
      <c r="U208" s="332">
        <v>0</v>
      </c>
      <c r="V208" s="332">
        <v>0</v>
      </c>
      <c r="W208" s="370">
        <v>-35000</v>
      </c>
      <c r="X208" s="370">
        <v>0</v>
      </c>
      <c r="Y208" s="370">
        <v>0</v>
      </c>
      <c r="Z208" s="370">
        <v>0</v>
      </c>
      <c r="AA208" s="370">
        <v>30000</v>
      </c>
      <c r="AB208" s="370">
        <v>0</v>
      </c>
      <c r="AC208" s="370">
        <v>0</v>
      </c>
      <c r="AD208" s="370">
        <v>0</v>
      </c>
      <c r="AE208" s="370">
        <v>-5000</v>
      </c>
      <c r="AF208" s="370">
        <v>25000</v>
      </c>
      <c r="AG208" s="31">
        <v>-35000</v>
      </c>
      <c r="AH208" s="31">
        <v>1</v>
      </c>
      <c r="AI208" s="31">
        <v>0</v>
      </c>
      <c r="AJ208" s="370">
        <v>1</v>
      </c>
      <c r="AK208" s="219">
        <v>0</v>
      </c>
      <c r="AL208" s="219">
        <v>0</v>
      </c>
      <c r="AM208" s="219">
        <v>0</v>
      </c>
      <c r="AN208" s="219">
        <v>0</v>
      </c>
      <c r="AO208" s="116">
        <v>0</v>
      </c>
      <c r="AP208" s="116">
        <v>1</v>
      </c>
      <c r="AQ208" s="116">
        <v>4</v>
      </c>
      <c r="AR208" s="116">
        <v>-35000</v>
      </c>
      <c r="AS208" s="116">
        <v>-5000</v>
      </c>
      <c r="AT208" s="116">
        <v>0</v>
      </c>
      <c r="AU208" s="385">
        <v>0</v>
      </c>
      <c r="AV208" s="332">
        <v>0</v>
      </c>
      <c r="AW208" s="332">
        <v>0</v>
      </c>
      <c r="AX208" s="332">
        <v>25000</v>
      </c>
      <c r="AY208" s="332">
        <v>0</v>
      </c>
      <c r="AZ208" s="332">
        <v>-0.84700425586099348</v>
      </c>
      <c r="BA208" s="332">
        <v>0</v>
      </c>
      <c r="BB208" s="31">
        <v>459204.72510231682</v>
      </c>
      <c r="BC208" s="31">
        <v>0</v>
      </c>
      <c r="BD208" s="29">
        <v>0</v>
      </c>
      <c r="BE208" s="31">
        <v>0</v>
      </c>
    </row>
    <row r="209" spans="1:57" ht="13">
      <c r="A209" s="153">
        <v>44569</v>
      </c>
      <c r="B209" s="10" t="s">
        <v>185</v>
      </c>
      <c r="C209" s="10">
        <v>44565000036</v>
      </c>
      <c r="D209" s="10" t="s">
        <v>16</v>
      </c>
      <c r="E209" s="10" t="s">
        <v>38</v>
      </c>
      <c r="F209" s="153">
        <v>44565</v>
      </c>
      <c r="G209" s="116" t="s">
        <v>39</v>
      </c>
      <c r="H209" s="116">
        <v>288205.40759999998</v>
      </c>
      <c r="I209" s="116">
        <v>211794.59240000002</v>
      </c>
      <c r="J209" s="116">
        <v>500000</v>
      </c>
      <c r="K209" s="219">
        <v>238205.40759999998</v>
      </c>
      <c r="L209" s="116">
        <v>0</v>
      </c>
      <c r="M209" s="31">
        <v>-171000</v>
      </c>
      <c r="N209" s="336">
        <v>-171000</v>
      </c>
      <c r="O209" s="336">
        <v>171000</v>
      </c>
      <c r="P209" s="219">
        <v>0</v>
      </c>
      <c r="Q209" s="332">
        <v>450</v>
      </c>
      <c r="R209" s="219">
        <v>380</v>
      </c>
      <c r="S209" s="332">
        <v>0</v>
      </c>
      <c r="T209" s="219">
        <v>0</v>
      </c>
      <c r="U209" s="332">
        <v>0</v>
      </c>
      <c r="V209" s="332">
        <v>0</v>
      </c>
      <c r="W209" s="370">
        <v>0</v>
      </c>
      <c r="X209" s="370">
        <v>10</v>
      </c>
      <c r="Y209" s="370">
        <v>0</v>
      </c>
      <c r="Z209" s="370">
        <v>0</v>
      </c>
      <c r="AA209" s="370">
        <v>0</v>
      </c>
      <c r="AB209" s="370">
        <v>390</v>
      </c>
      <c r="AC209" s="370">
        <v>0</v>
      </c>
      <c r="AD209" s="370">
        <v>0</v>
      </c>
      <c r="AE209" s="370">
        <v>0</v>
      </c>
      <c r="AF209" s="370">
        <v>-380</v>
      </c>
      <c r="AG209" s="31">
        <v>380</v>
      </c>
      <c r="AH209" s="31">
        <v>443</v>
      </c>
      <c r="AI209" s="31">
        <v>1</v>
      </c>
      <c r="AJ209" s="370">
        <v>1</v>
      </c>
      <c r="AK209" s="219">
        <v>443</v>
      </c>
      <c r="AL209" s="219">
        <v>0</v>
      </c>
      <c r="AM209" s="219">
        <v>0</v>
      </c>
      <c r="AN209" s="219">
        <v>0</v>
      </c>
      <c r="AO209" s="116">
        <v>0</v>
      </c>
      <c r="AP209" s="116">
        <v>0</v>
      </c>
      <c r="AQ209" s="116">
        <v>4</v>
      </c>
      <c r="AR209" s="116">
        <v>168340</v>
      </c>
      <c r="AS209" s="116">
        <v>172770</v>
      </c>
      <c r="AT209" s="116">
        <v>0</v>
      </c>
      <c r="AU209" s="385">
        <v>226702.14371999999</v>
      </c>
      <c r="AV209" s="332">
        <v>-5000</v>
      </c>
      <c r="AW209" s="332">
        <v>221702.14371999999</v>
      </c>
      <c r="AX209" s="332">
        <v>-168340</v>
      </c>
      <c r="AY209" s="332">
        <v>0</v>
      </c>
      <c r="AZ209" s="332">
        <v>0</v>
      </c>
      <c r="BA209" s="332">
        <v>0</v>
      </c>
      <c r="BB209" s="31">
        <v>288204.72510231682</v>
      </c>
      <c r="BC209" s="31">
        <v>288204.72510231682</v>
      </c>
      <c r="BD209" s="29">
        <v>0</v>
      </c>
      <c r="BE209" s="31">
        <v>509907.55131999997</v>
      </c>
    </row>
    <row r="210" spans="1:57" ht="13">
      <c r="A210" s="153">
        <v>44569</v>
      </c>
      <c r="B210" s="10" t="s">
        <v>186</v>
      </c>
      <c r="C210" s="10">
        <v>44561000008</v>
      </c>
      <c r="D210" s="10" t="s">
        <v>64</v>
      </c>
      <c r="E210" s="10" t="s">
        <v>64</v>
      </c>
      <c r="F210" s="153">
        <v>44561</v>
      </c>
      <c r="G210" s="116" t="s">
        <v>39</v>
      </c>
      <c r="H210" s="116">
        <v>500000</v>
      </c>
      <c r="I210" s="116">
        <v>0</v>
      </c>
      <c r="J210" s="116">
        <v>500000</v>
      </c>
      <c r="K210" s="219">
        <v>0</v>
      </c>
      <c r="L210" s="116">
        <v>0</v>
      </c>
      <c r="M210" s="31">
        <v>500000</v>
      </c>
      <c r="N210" s="336">
        <v>500000</v>
      </c>
      <c r="O210" s="336">
        <v>0</v>
      </c>
      <c r="P210" s="219">
        <v>0</v>
      </c>
      <c r="Q210" s="332">
        <v>0</v>
      </c>
      <c r="R210" s="219">
        <v>0</v>
      </c>
      <c r="S210" s="332">
        <v>0</v>
      </c>
      <c r="T210" s="219">
        <v>0</v>
      </c>
      <c r="U210" s="332">
        <v>0</v>
      </c>
      <c r="V210" s="332">
        <v>0</v>
      </c>
      <c r="W210" s="370">
        <v>0</v>
      </c>
      <c r="X210" s="370">
        <v>0</v>
      </c>
      <c r="Y210" s="370">
        <v>0</v>
      </c>
      <c r="Z210" s="370">
        <v>0</v>
      </c>
      <c r="AA210" s="370">
        <v>0</v>
      </c>
      <c r="AB210" s="370">
        <v>0</v>
      </c>
      <c r="AC210" s="370">
        <v>0</v>
      </c>
      <c r="AD210" s="370">
        <v>0</v>
      </c>
      <c r="AE210" s="370">
        <v>0</v>
      </c>
      <c r="AF210" s="370">
        <v>0</v>
      </c>
      <c r="AG210" s="31">
        <v>0</v>
      </c>
      <c r="AH210" s="31">
        <v>1</v>
      </c>
      <c r="AI210" s="31">
        <v>0</v>
      </c>
      <c r="AJ210" s="370">
        <v>1</v>
      </c>
      <c r="AK210" s="219">
        <v>0</v>
      </c>
      <c r="AL210" s="219">
        <v>0</v>
      </c>
      <c r="AM210" s="219">
        <v>0</v>
      </c>
      <c r="AN210" s="219">
        <v>0</v>
      </c>
      <c r="AO210" s="116">
        <v>0</v>
      </c>
      <c r="AP210" s="116">
        <v>0</v>
      </c>
      <c r="AQ210" s="116">
        <v>1</v>
      </c>
      <c r="AR210" s="116">
        <v>0</v>
      </c>
      <c r="AS210" s="116">
        <v>0</v>
      </c>
      <c r="AT210" s="116">
        <v>1</v>
      </c>
      <c r="AU210" s="385">
        <v>0</v>
      </c>
      <c r="AV210" s="332">
        <v>0</v>
      </c>
      <c r="AW210" s="332">
        <v>0</v>
      </c>
      <c r="AX210" s="332">
        <v>500000</v>
      </c>
      <c r="AY210" s="332">
        <v>0</v>
      </c>
      <c r="AZ210" s="332">
        <v>0</v>
      </c>
      <c r="BA210" s="332">
        <v>0</v>
      </c>
      <c r="BB210" s="31">
        <v>500000</v>
      </c>
      <c r="BC210" s="31">
        <v>0</v>
      </c>
      <c r="BD210" s="29">
        <v>0</v>
      </c>
      <c r="BE210" s="31">
        <v>0</v>
      </c>
    </row>
    <row r="211" spans="1:57" ht="13">
      <c r="A211" s="153">
        <v>44569</v>
      </c>
      <c r="B211" s="10" t="s">
        <v>186</v>
      </c>
      <c r="C211" s="10">
        <v>44563000037</v>
      </c>
      <c r="D211" s="10" t="s">
        <v>16</v>
      </c>
      <c r="E211" s="10" t="s">
        <v>0</v>
      </c>
      <c r="F211" s="153">
        <v>44563</v>
      </c>
      <c r="G211" s="116" t="s">
        <v>41</v>
      </c>
      <c r="H211" s="116">
        <v>409954.46750000003</v>
      </c>
      <c r="I211" s="116">
        <v>90045.532500000001</v>
      </c>
      <c r="J211" s="116">
        <v>500000</v>
      </c>
      <c r="K211" s="219">
        <v>409954.46750000003</v>
      </c>
      <c r="L211" s="116">
        <v>0</v>
      </c>
      <c r="M211" s="31">
        <v>-90045.532500000001</v>
      </c>
      <c r="N211" s="336">
        <v>-90045.532500000001</v>
      </c>
      <c r="O211" s="336">
        <v>90045.532500000001</v>
      </c>
      <c r="P211" s="219">
        <v>0</v>
      </c>
      <c r="Q211" s="332">
        <v>3001.51775</v>
      </c>
      <c r="R211" s="219">
        <v>30</v>
      </c>
      <c r="S211" s="332">
        <v>0</v>
      </c>
      <c r="T211" s="219">
        <v>0</v>
      </c>
      <c r="U211" s="332">
        <v>0</v>
      </c>
      <c r="V211" s="332">
        <v>0</v>
      </c>
      <c r="W211" s="370">
        <v>0</v>
      </c>
      <c r="X211" s="370">
        <v>0</v>
      </c>
      <c r="Y211" s="370">
        <v>0</v>
      </c>
      <c r="Z211" s="370">
        <v>0</v>
      </c>
      <c r="AA211" s="370">
        <v>0</v>
      </c>
      <c r="AB211" s="370">
        <v>30</v>
      </c>
      <c r="AC211" s="370">
        <v>0</v>
      </c>
      <c r="AD211" s="370">
        <v>0</v>
      </c>
      <c r="AE211" s="370">
        <v>0</v>
      </c>
      <c r="AF211" s="370">
        <v>-30</v>
      </c>
      <c r="AG211" s="31">
        <v>30</v>
      </c>
      <c r="AH211" s="31">
        <v>397.51</v>
      </c>
      <c r="AI211" s="31">
        <v>0</v>
      </c>
      <c r="AJ211" s="370">
        <v>7.7981699999999998</v>
      </c>
      <c r="AK211" s="219">
        <v>397.51</v>
      </c>
      <c r="AL211" s="219">
        <v>0</v>
      </c>
      <c r="AM211" s="219">
        <v>0</v>
      </c>
      <c r="AN211" s="219">
        <v>0</v>
      </c>
      <c r="AO211" s="116">
        <v>0</v>
      </c>
      <c r="AP211" s="116">
        <v>0</v>
      </c>
      <c r="AQ211" s="116">
        <v>2</v>
      </c>
      <c r="AR211" s="116">
        <v>92995.516700999986</v>
      </c>
      <c r="AS211" s="116">
        <v>92995.516700999986</v>
      </c>
      <c r="AT211" s="116">
        <v>1</v>
      </c>
      <c r="AU211" s="385">
        <v>0</v>
      </c>
      <c r="AV211" s="332">
        <v>0</v>
      </c>
      <c r="AW211" s="332">
        <v>0</v>
      </c>
      <c r="AX211" s="332">
        <v>-92995.516701</v>
      </c>
      <c r="AY211" s="332">
        <v>0</v>
      </c>
      <c r="AZ211" s="332">
        <v>0</v>
      </c>
      <c r="BA211" s="332">
        <v>0</v>
      </c>
      <c r="BB211" s="31">
        <v>409954.46750000003</v>
      </c>
      <c r="BC211" s="31">
        <v>0</v>
      </c>
      <c r="BD211" s="29">
        <v>0</v>
      </c>
      <c r="BE211" s="31">
        <v>0</v>
      </c>
    </row>
    <row r="212" spans="1:57" ht="13">
      <c r="A212" s="153">
        <v>44569</v>
      </c>
      <c r="B212" s="10" t="s">
        <v>186</v>
      </c>
      <c r="C212" s="10">
        <v>44563000038</v>
      </c>
      <c r="D212" s="10" t="s">
        <v>16</v>
      </c>
      <c r="E212" s="10" t="s">
        <v>38</v>
      </c>
      <c r="F212" s="153">
        <v>44563</v>
      </c>
      <c r="G212" s="116" t="s">
        <v>39</v>
      </c>
      <c r="H212" s="116">
        <v>396154.46750000003</v>
      </c>
      <c r="I212" s="116">
        <v>103845.5325</v>
      </c>
      <c r="J212" s="116">
        <v>500000</v>
      </c>
      <c r="K212" s="219">
        <v>396154.46750000003</v>
      </c>
      <c r="L212" s="116">
        <v>0</v>
      </c>
      <c r="M212" s="31">
        <v>-13800</v>
      </c>
      <c r="N212" s="336">
        <v>-13800</v>
      </c>
      <c r="O212" s="336">
        <v>13800</v>
      </c>
      <c r="P212" s="219">
        <v>0</v>
      </c>
      <c r="Q212" s="332">
        <v>460</v>
      </c>
      <c r="R212" s="219">
        <v>30</v>
      </c>
      <c r="S212" s="332">
        <v>0</v>
      </c>
      <c r="T212" s="219">
        <v>0</v>
      </c>
      <c r="U212" s="332">
        <v>0</v>
      </c>
      <c r="V212" s="332">
        <v>0</v>
      </c>
      <c r="W212" s="370">
        <v>0</v>
      </c>
      <c r="X212" s="370">
        <v>0</v>
      </c>
      <c r="Y212" s="370">
        <v>0</v>
      </c>
      <c r="Z212" s="370">
        <v>0</v>
      </c>
      <c r="AA212" s="370">
        <v>0</v>
      </c>
      <c r="AB212" s="370">
        <v>30</v>
      </c>
      <c r="AC212" s="370">
        <v>0</v>
      </c>
      <c r="AD212" s="370">
        <v>0</v>
      </c>
      <c r="AE212" s="370">
        <v>0</v>
      </c>
      <c r="AF212" s="370">
        <v>-30</v>
      </c>
      <c r="AG212" s="31">
        <v>30</v>
      </c>
      <c r="AH212" s="31">
        <v>443</v>
      </c>
      <c r="AI212" s="31">
        <v>0</v>
      </c>
      <c r="AJ212" s="370">
        <v>1</v>
      </c>
      <c r="AK212" s="219">
        <v>443</v>
      </c>
      <c r="AL212" s="219">
        <v>0</v>
      </c>
      <c r="AM212" s="219">
        <v>0</v>
      </c>
      <c r="AN212" s="219">
        <v>0</v>
      </c>
      <c r="AO212" s="116">
        <v>0</v>
      </c>
      <c r="AP212" s="116">
        <v>0</v>
      </c>
      <c r="AQ212" s="116">
        <v>3</v>
      </c>
      <c r="AR212" s="116">
        <v>13290</v>
      </c>
      <c r="AS212" s="116">
        <v>13290</v>
      </c>
      <c r="AT212" s="116">
        <v>1</v>
      </c>
      <c r="AU212" s="385">
        <v>0</v>
      </c>
      <c r="AV212" s="332">
        <v>0</v>
      </c>
      <c r="AW212" s="332">
        <v>0</v>
      </c>
      <c r="AX212" s="332">
        <v>-13290</v>
      </c>
      <c r="AY212" s="332">
        <v>0</v>
      </c>
      <c r="AZ212" s="332">
        <v>0</v>
      </c>
      <c r="BA212" s="332">
        <v>0</v>
      </c>
      <c r="BB212" s="31">
        <v>396154.46750000003</v>
      </c>
      <c r="BC212" s="31">
        <v>0</v>
      </c>
      <c r="BD212" s="29">
        <v>0</v>
      </c>
      <c r="BE212" s="31">
        <v>0</v>
      </c>
    </row>
    <row r="213" spans="1:57" ht="13">
      <c r="A213" s="153">
        <v>44569</v>
      </c>
      <c r="B213" s="10" t="s">
        <v>186</v>
      </c>
      <c r="C213" s="10">
        <v>44564000045</v>
      </c>
      <c r="D213" s="10" t="s">
        <v>18</v>
      </c>
      <c r="E213" s="10" t="s">
        <v>7</v>
      </c>
      <c r="F213" s="153">
        <v>44564</v>
      </c>
      <c r="G213" s="116" t="s">
        <v>41</v>
      </c>
      <c r="H213" s="116">
        <v>365251.58795000002</v>
      </c>
      <c r="I213" s="116">
        <v>134748.41205000001</v>
      </c>
      <c r="J213" s="116">
        <v>500000</v>
      </c>
      <c r="K213" s="219">
        <v>365251.58795000002</v>
      </c>
      <c r="L213" s="116">
        <v>0</v>
      </c>
      <c r="M213" s="31">
        <v>-30902.879550000001</v>
      </c>
      <c r="N213" s="336">
        <v>-30902.879550000005</v>
      </c>
      <c r="O213" s="336">
        <v>0</v>
      </c>
      <c r="P213" s="219">
        <v>0</v>
      </c>
      <c r="Q213" s="332">
        <v>0</v>
      </c>
      <c r="R213" s="219">
        <v>0</v>
      </c>
      <c r="S213" s="332">
        <v>13.21</v>
      </c>
      <c r="T213" s="219">
        <v>30</v>
      </c>
      <c r="U213" s="332">
        <v>0</v>
      </c>
      <c r="V213" s="332">
        <v>0</v>
      </c>
      <c r="W213" s="370">
        <v>0</v>
      </c>
      <c r="X213" s="370">
        <v>0</v>
      </c>
      <c r="Y213" s="370">
        <v>0</v>
      </c>
      <c r="Z213" s="370">
        <v>0</v>
      </c>
      <c r="AA213" s="370">
        <v>0</v>
      </c>
      <c r="AB213" s="370">
        <v>0</v>
      </c>
      <c r="AC213" s="370">
        <v>30</v>
      </c>
      <c r="AD213" s="370">
        <v>0</v>
      </c>
      <c r="AE213" s="370">
        <v>0</v>
      </c>
      <c r="AF213" s="370">
        <v>-30</v>
      </c>
      <c r="AG213" s="31">
        <v>30</v>
      </c>
      <c r="AH213" s="31">
        <v>17.29</v>
      </c>
      <c r="AI213" s="31">
        <v>0</v>
      </c>
      <c r="AJ213" s="370">
        <v>7.7981699999999998</v>
      </c>
      <c r="AK213" s="219">
        <v>0</v>
      </c>
      <c r="AL213" s="219">
        <v>17.29</v>
      </c>
      <c r="AM213" s="219">
        <v>19.71</v>
      </c>
      <c r="AN213" s="219">
        <v>0</v>
      </c>
      <c r="AO213" s="116">
        <v>0</v>
      </c>
      <c r="AP213" s="116">
        <v>0</v>
      </c>
      <c r="AQ213" s="116">
        <v>4</v>
      </c>
      <c r="AR213" s="116">
        <v>40449.107790000002</v>
      </c>
      <c r="AS213" s="116">
        <v>40449.107790000002</v>
      </c>
      <c r="AT213" s="116">
        <v>1</v>
      </c>
      <c r="AU213" s="385">
        <v>0</v>
      </c>
      <c r="AV213" s="332">
        <v>0</v>
      </c>
      <c r="AW213" s="332">
        <v>0</v>
      </c>
      <c r="AX213" s="332">
        <v>-43279.843500000003</v>
      </c>
      <c r="AY213" s="332">
        <v>0</v>
      </c>
      <c r="AZ213" s="332">
        <v>0</v>
      </c>
      <c r="BA213" s="332">
        <v>0</v>
      </c>
      <c r="BB213" s="31">
        <v>365251.58795000002</v>
      </c>
      <c r="BC213" s="31">
        <v>0</v>
      </c>
      <c r="BD213" s="29">
        <v>0</v>
      </c>
      <c r="BE213" s="31">
        <v>0</v>
      </c>
    </row>
    <row r="214" spans="1:57" ht="13">
      <c r="A214" s="153">
        <v>44569</v>
      </c>
      <c r="B214" s="10" t="s">
        <v>186</v>
      </c>
      <c r="C214" s="10">
        <v>44565000046</v>
      </c>
      <c r="D214" s="10" t="s">
        <v>18</v>
      </c>
      <c r="E214" s="10" t="s">
        <v>7</v>
      </c>
      <c r="F214" s="153">
        <v>44565</v>
      </c>
      <c r="G214" s="116" t="s">
        <v>41</v>
      </c>
      <c r="H214" s="116">
        <v>382070.50044999999</v>
      </c>
      <c r="I214" s="116">
        <v>117929.49955000001</v>
      </c>
      <c r="J214" s="116">
        <v>500000</v>
      </c>
      <c r="K214" s="219">
        <v>382070.50044999999</v>
      </c>
      <c r="L214" s="116">
        <v>0</v>
      </c>
      <c r="M214" s="31">
        <v>16818.912500000002</v>
      </c>
      <c r="N214" s="336">
        <v>16818.912500000002</v>
      </c>
      <c r="O214" s="336">
        <v>0</v>
      </c>
      <c r="P214" s="219">
        <v>0</v>
      </c>
      <c r="Q214" s="332">
        <v>0</v>
      </c>
      <c r="R214" s="219">
        <v>0</v>
      </c>
      <c r="S214" s="332">
        <v>10.79</v>
      </c>
      <c r="T214" s="219">
        <v>-20</v>
      </c>
      <c r="U214" s="332">
        <v>0</v>
      </c>
      <c r="V214" s="332">
        <v>0</v>
      </c>
      <c r="W214" s="370">
        <v>0</v>
      </c>
      <c r="X214" s="370">
        <v>0</v>
      </c>
      <c r="Y214" s="370">
        <v>30</v>
      </c>
      <c r="Z214" s="370">
        <v>0</v>
      </c>
      <c r="AA214" s="370">
        <v>0</v>
      </c>
      <c r="AB214" s="370">
        <v>0</v>
      </c>
      <c r="AC214" s="370">
        <v>10</v>
      </c>
      <c r="AD214" s="370">
        <v>0</v>
      </c>
      <c r="AE214" s="370">
        <v>0</v>
      </c>
      <c r="AF214" s="370">
        <v>20</v>
      </c>
      <c r="AG214" s="31">
        <v>-20</v>
      </c>
      <c r="AH214" s="31"/>
      <c r="AI214" s="31">
        <v>1</v>
      </c>
      <c r="AJ214" s="370">
        <v>7.7981699999999998</v>
      </c>
      <c r="AK214" s="219">
        <v>0</v>
      </c>
      <c r="AL214" s="219">
        <v>17.29</v>
      </c>
      <c r="AM214" s="219">
        <v>19.71</v>
      </c>
      <c r="AN214" s="219">
        <v>0</v>
      </c>
      <c r="AO214" s="116">
        <v>0</v>
      </c>
      <c r="AP214" s="116">
        <v>0</v>
      </c>
      <c r="AQ214" s="116">
        <v>4</v>
      </c>
      <c r="AR214" s="116">
        <v>0</v>
      </c>
      <c r="AS214" s="116">
        <v>40449.107790000002</v>
      </c>
      <c r="AT214" s="116">
        <v>0</v>
      </c>
      <c r="AU214" s="385">
        <v>146734.624491</v>
      </c>
      <c r="AV214" s="332">
        <v>0</v>
      </c>
      <c r="AW214" s="332">
        <v>146734.624491</v>
      </c>
      <c r="AX214" s="332">
        <v>28853.229000000003</v>
      </c>
      <c r="AY214" s="332">
        <v>0</v>
      </c>
      <c r="AZ214" s="332">
        <v>0</v>
      </c>
      <c r="BA214" s="332">
        <v>0</v>
      </c>
      <c r="BB214" s="31">
        <v>382070.50044999999</v>
      </c>
      <c r="BC214" s="31">
        <v>382070.50044999999</v>
      </c>
      <c r="BD214" s="29">
        <v>0</v>
      </c>
      <c r="BE214" s="31">
        <v>528805.12494100002</v>
      </c>
    </row>
    <row r="215" spans="1:57" ht="13">
      <c r="A215" s="153">
        <v>44569</v>
      </c>
      <c r="B215" s="10" t="s">
        <v>187</v>
      </c>
      <c r="C215" s="10">
        <v>44561000009</v>
      </c>
      <c r="D215" s="10" t="s">
        <v>64</v>
      </c>
      <c r="E215" s="10" t="s">
        <v>64</v>
      </c>
      <c r="F215" s="153">
        <v>44561</v>
      </c>
      <c r="G215" s="116" t="s">
        <v>39</v>
      </c>
      <c r="H215" s="116">
        <v>500000</v>
      </c>
      <c r="I215" s="116">
        <v>0</v>
      </c>
      <c r="J215" s="116">
        <v>500000</v>
      </c>
      <c r="K215" s="219">
        <v>0</v>
      </c>
      <c r="L215" s="116">
        <v>0</v>
      </c>
      <c r="M215" s="31">
        <v>500000</v>
      </c>
      <c r="N215" s="336">
        <v>500000</v>
      </c>
      <c r="O215" s="336">
        <v>0</v>
      </c>
      <c r="P215" s="219">
        <v>0</v>
      </c>
      <c r="Q215" s="332">
        <v>0</v>
      </c>
      <c r="R215" s="219">
        <v>0</v>
      </c>
      <c r="S215" s="332">
        <v>0</v>
      </c>
      <c r="T215" s="219">
        <v>0</v>
      </c>
      <c r="U215" s="332">
        <v>0</v>
      </c>
      <c r="V215" s="332">
        <v>0</v>
      </c>
      <c r="W215" s="370">
        <v>0</v>
      </c>
      <c r="X215" s="370">
        <v>0</v>
      </c>
      <c r="Y215" s="370">
        <v>0</v>
      </c>
      <c r="Z215" s="370">
        <v>0</v>
      </c>
      <c r="AA215" s="370">
        <v>0</v>
      </c>
      <c r="AB215" s="370">
        <v>0</v>
      </c>
      <c r="AC215" s="370">
        <v>0</v>
      </c>
      <c r="AD215" s="370">
        <v>0</v>
      </c>
      <c r="AE215" s="370">
        <v>0</v>
      </c>
      <c r="AF215" s="370">
        <v>0</v>
      </c>
      <c r="AG215" s="31">
        <v>0</v>
      </c>
      <c r="AH215" s="31">
        <v>1</v>
      </c>
      <c r="AI215" s="31">
        <v>0</v>
      </c>
      <c r="AJ215" s="370">
        <v>1</v>
      </c>
      <c r="AK215" s="219">
        <v>0</v>
      </c>
      <c r="AL215" s="219">
        <v>0</v>
      </c>
      <c r="AM215" s="219">
        <v>0</v>
      </c>
      <c r="AN215" s="219">
        <v>0</v>
      </c>
      <c r="AO215" s="116">
        <v>0</v>
      </c>
      <c r="AP215" s="116">
        <v>0</v>
      </c>
      <c r="AQ215" s="116">
        <v>1</v>
      </c>
      <c r="AR215" s="116">
        <v>0</v>
      </c>
      <c r="AS215" s="116">
        <v>0</v>
      </c>
      <c r="AT215" s="116">
        <v>1</v>
      </c>
      <c r="AU215" s="385">
        <v>0</v>
      </c>
      <c r="AV215" s="332">
        <v>0</v>
      </c>
      <c r="AW215" s="332">
        <v>0</v>
      </c>
      <c r="AX215" s="332">
        <v>500000</v>
      </c>
      <c r="AY215" s="332">
        <v>0</v>
      </c>
      <c r="AZ215" s="332">
        <v>0</v>
      </c>
      <c r="BA215" s="332">
        <v>0</v>
      </c>
      <c r="BB215" s="31">
        <v>499999.24955422932</v>
      </c>
      <c r="BC215" s="31">
        <v>0</v>
      </c>
      <c r="BD215" s="29">
        <v>0</v>
      </c>
      <c r="BE215" s="31">
        <v>0</v>
      </c>
    </row>
    <row r="216" spans="1:57" ht="13">
      <c r="A216" s="153">
        <v>44569</v>
      </c>
      <c r="B216" s="10" t="s">
        <v>187</v>
      </c>
      <c r="C216" s="10">
        <v>44566000040</v>
      </c>
      <c r="D216" s="10" t="s">
        <v>21</v>
      </c>
      <c r="E216" s="10" t="s">
        <v>4</v>
      </c>
      <c r="F216" s="153">
        <v>44566</v>
      </c>
      <c r="G216" s="116" t="s">
        <v>41</v>
      </c>
      <c r="H216" s="116">
        <v>527283.34</v>
      </c>
      <c r="I216" s="116">
        <v>-27283.34</v>
      </c>
      <c r="J216" s="116">
        <v>499999.99999999994</v>
      </c>
      <c r="K216" s="219">
        <v>149214.20000000001</v>
      </c>
      <c r="L216" s="116">
        <v>0</v>
      </c>
      <c r="M216" s="31">
        <v>27283.34</v>
      </c>
      <c r="N216" s="336">
        <v>-350785.8</v>
      </c>
      <c r="O216" s="336">
        <v>0</v>
      </c>
      <c r="P216" s="219">
        <v>0</v>
      </c>
      <c r="Q216" s="332">
        <v>0</v>
      </c>
      <c r="R216" s="219">
        <v>0</v>
      </c>
      <c r="S216" s="332">
        <v>0</v>
      </c>
      <c r="T216" s="219">
        <v>0</v>
      </c>
      <c r="U216" s="332">
        <v>3.5</v>
      </c>
      <c r="V216" s="332">
        <v>-10</v>
      </c>
      <c r="W216" s="370">
        <v>0</v>
      </c>
      <c r="X216" s="370">
        <v>0</v>
      </c>
      <c r="Y216" s="370">
        <v>0</v>
      </c>
      <c r="Z216" s="370">
        <v>0</v>
      </c>
      <c r="AA216" s="370">
        <v>0</v>
      </c>
      <c r="AB216" s="370">
        <v>0</v>
      </c>
      <c r="AC216" s="370">
        <v>0</v>
      </c>
      <c r="AD216" s="370">
        <v>-10</v>
      </c>
      <c r="AE216" s="370">
        <v>0</v>
      </c>
      <c r="AF216" s="370">
        <v>0</v>
      </c>
      <c r="AG216" s="31">
        <v>-10</v>
      </c>
      <c r="AH216" s="31">
        <v>4.0999999999999996</v>
      </c>
      <c r="AI216" s="31">
        <v>0</v>
      </c>
      <c r="AJ216" s="370">
        <v>7.7981699999999998</v>
      </c>
      <c r="AK216" s="219">
        <v>0</v>
      </c>
      <c r="AL216" s="219">
        <v>0</v>
      </c>
      <c r="AM216" s="219">
        <v>0</v>
      </c>
      <c r="AN216" s="219">
        <v>4.0999999999999996</v>
      </c>
      <c r="AO216" s="116">
        <v>45</v>
      </c>
      <c r="AP216" s="116">
        <v>0</v>
      </c>
      <c r="AQ216" s="116">
        <v>2</v>
      </c>
      <c r="AR216" s="116">
        <v>-31972.496999999999</v>
      </c>
      <c r="AS216" s="116">
        <v>-31972.496999999999</v>
      </c>
      <c r="AT216" s="116">
        <v>1</v>
      </c>
      <c r="AU216" s="385">
        <v>0</v>
      </c>
      <c r="AV216" s="332">
        <v>0</v>
      </c>
      <c r="AW216" s="332">
        <v>0</v>
      </c>
      <c r="AX216" s="332">
        <v>0</v>
      </c>
      <c r="AY216" s="332">
        <v>0</v>
      </c>
      <c r="AZ216" s="332">
        <v>0</v>
      </c>
      <c r="BA216" s="332">
        <v>0</v>
      </c>
      <c r="BB216" s="31">
        <v>527282.58955422929</v>
      </c>
      <c r="BC216" s="31">
        <v>0</v>
      </c>
      <c r="BD216" s="29">
        <v>0</v>
      </c>
      <c r="BE216" s="31">
        <v>0</v>
      </c>
    </row>
    <row r="217" spans="1:57" ht="13">
      <c r="A217" s="153">
        <v>44569</v>
      </c>
      <c r="B217" s="10" t="s">
        <v>187</v>
      </c>
      <c r="C217" s="10">
        <v>44566000041</v>
      </c>
      <c r="D217" s="10" t="s">
        <v>21</v>
      </c>
      <c r="E217" s="10" t="s">
        <v>5</v>
      </c>
      <c r="F217" s="153">
        <v>44566</v>
      </c>
      <c r="G217" s="116" t="s">
        <v>41</v>
      </c>
      <c r="H217" s="116">
        <v>507795.24</v>
      </c>
      <c r="I217" s="116">
        <v>-7795.2400000000016</v>
      </c>
      <c r="J217" s="116">
        <v>500000</v>
      </c>
      <c r="K217" s="219">
        <v>461023.8</v>
      </c>
      <c r="L217" s="116">
        <v>0</v>
      </c>
      <c r="M217" s="31">
        <v>-19488.099999999999</v>
      </c>
      <c r="N217" s="336">
        <v>311809.59999999998</v>
      </c>
      <c r="O217" s="336">
        <v>0</v>
      </c>
      <c r="P217" s="219">
        <v>0</v>
      </c>
      <c r="Q217" s="332">
        <v>0</v>
      </c>
      <c r="R217" s="219">
        <v>0</v>
      </c>
      <c r="S217" s="332">
        <v>0</v>
      </c>
      <c r="T217" s="219">
        <v>0</v>
      </c>
      <c r="U217" s="332">
        <v>2.5</v>
      </c>
      <c r="V217" s="332">
        <v>10</v>
      </c>
      <c r="W217" s="370">
        <v>0</v>
      </c>
      <c r="X217" s="370">
        <v>0</v>
      </c>
      <c r="Y217" s="370">
        <v>0</v>
      </c>
      <c r="Z217" s="370">
        <v>0</v>
      </c>
      <c r="AA217" s="370">
        <v>0</v>
      </c>
      <c r="AB217" s="370">
        <v>0</v>
      </c>
      <c r="AC217" s="370">
        <v>0</v>
      </c>
      <c r="AD217" s="370">
        <v>10</v>
      </c>
      <c r="AE217" s="370">
        <v>0</v>
      </c>
      <c r="AF217" s="370">
        <v>0</v>
      </c>
      <c r="AG217" s="31">
        <v>10</v>
      </c>
      <c r="AH217" s="31">
        <v>3.1000000000000005</v>
      </c>
      <c r="AI217" s="31">
        <v>0</v>
      </c>
      <c r="AJ217" s="370">
        <v>7.7981699999999998</v>
      </c>
      <c r="AK217" s="219">
        <v>0</v>
      </c>
      <c r="AL217" s="219">
        <v>0</v>
      </c>
      <c r="AM217" s="219">
        <v>0</v>
      </c>
      <c r="AN217" s="219">
        <v>3.1000000000000005</v>
      </c>
      <c r="AO217" s="116">
        <v>40</v>
      </c>
      <c r="AP217" s="116">
        <v>0</v>
      </c>
      <c r="AQ217" s="116">
        <v>3</v>
      </c>
      <c r="AR217" s="116">
        <v>24174.327000000005</v>
      </c>
      <c r="AS217" s="116">
        <v>24174.327000000005</v>
      </c>
      <c r="AT217" s="116">
        <v>1</v>
      </c>
      <c r="AU217" s="385">
        <v>0</v>
      </c>
      <c r="AV217" s="332">
        <v>0</v>
      </c>
      <c r="AW217" s="332">
        <v>0</v>
      </c>
      <c r="AX217" s="332">
        <v>0</v>
      </c>
      <c r="AY217" s="332">
        <v>0</v>
      </c>
      <c r="AZ217" s="332">
        <v>0</v>
      </c>
      <c r="BA217" s="332">
        <v>0</v>
      </c>
      <c r="BB217" s="31">
        <v>507794.48955422931</v>
      </c>
      <c r="BC217" s="31">
        <v>0</v>
      </c>
      <c r="BD217" s="29">
        <v>0</v>
      </c>
      <c r="BE217" s="31">
        <v>0</v>
      </c>
    </row>
    <row r="218" spans="1:57" ht="13">
      <c r="A218" s="153">
        <v>44569</v>
      </c>
      <c r="B218" s="10" t="s">
        <v>187</v>
      </c>
      <c r="C218" s="10">
        <v>44567000042</v>
      </c>
      <c r="D218" s="10" t="s">
        <v>16</v>
      </c>
      <c r="E218" s="10" t="s">
        <v>38</v>
      </c>
      <c r="F218" s="153">
        <v>44567</v>
      </c>
      <c r="G218" s="116" t="s">
        <v>39</v>
      </c>
      <c r="H218" s="116">
        <v>490595.24</v>
      </c>
      <c r="I218" s="116">
        <v>9404.7599999999984</v>
      </c>
      <c r="J218" s="116">
        <v>500000</v>
      </c>
      <c r="K218" s="219">
        <v>443823.8</v>
      </c>
      <c r="L218" s="116">
        <v>0</v>
      </c>
      <c r="M218" s="31">
        <v>-17200</v>
      </c>
      <c r="N218" s="336">
        <v>-17200</v>
      </c>
      <c r="O218" s="336">
        <v>17200</v>
      </c>
      <c r="P218" s="219">
        <v>0</v>
      </c>
      <c r="Q218" s="332">
        <v>430</v>
      </c>
      <c r="R218" s="219">
        <v>40</v>
      </c>
      <c r="S218" s="332">
        <v>0</v>
      </c>
      <c r="T218" s="219">
        <v>0</v>
      </c>
      <c r="U218" s="332">
        <v>0</v>
      </c>
      <c r="V218" s="332">
        <v>0</v>
      </c>
      <c r="W218" s="370">
        <v>0</v>
      </c>
      <c r="X218" s="370">
        <v>0</v>
      </c>
      <c r="Y218" s="370">
        <v>0</v>
      </c>
      <c r="Z218" s="370">
        <v>0</v>
      </c>
      <c r="AA218" s="370">
        <v>0</v>
      </c>
      <c r="AB218" s="370">
        <v>40</v>
      </c>
      <c r="AC218" s="370">
        <v>0</v>
      </c>
      <c r="AD218" s="370">
        <v>0</v>
      </c>
      <c r="AE218" s="370">
        <v>0</v>
      </c>
      <c r="AF218" s="370">
        <v>-40</v>
      </c>
      <c r="AG218" s="31">
        <v>40</v>
      </c>
      <c r="AH218" s="31">
        <v>443</v>
      </c>
      <c r="AI218" s="31">
        <v>0</v>
      </c>
      <c r="AJ218" s="370">
        <v>1</v>
      </c>
      <c r="AK218" s="219">
        <v>443</v>
      </c>
      <c r="AL218" s="219">
        <v>0</v>
      </c>
      <c r="AM218" s="219">
        <v>0</v>
      </c>
      <c r="AN218" s="219">
        <v>0</v>
      </c>
      <c r="AO218" s="116">
        <v>0</v>
      </c>
      <c r="AP218" s="116">
        <v>0</v>
      </c>
      <c r="AQ218" s="116">
        <v>4</v>
      </c>
      <c r="AR218" s="116">
        <v>17720</v>
      </c>
      <c r="AS218" s="116">
        <v>-4430</v>
      </c>
      <c r="AT218" s="116">
        <v>1</v>
      </c>
      <c r="AU218" s="385">
        <v>0</v>
      </c>
      <c r="AV218" s="332">
        <v>0</v>
      </c>
      <c r="AW218" s="332">
        <v>0</v>
      </c>
      <c r="AX218" s="332">
        <v>-17720</v>
      </c>
      <c r="AY218" s="332">
        <v>0</v>
      </c>
      <c r="AZ218" s="332">
        <v>0</v>
      </c>
      <c r="BA218" s="332">
        <v>0</v>
      </c>
      <c r="BB218" s="31">
        <v>490594.48955422931</v>
      </c>
      <c r="BC218" s="31">
        <v>0</v>
      </c>
      <c r="BD218" s="29">
        <v>0</v>
      </c>
      <c r="BE218" s="31">
        <v>0</v>
      </c>
    </row>
    <row r="219" spans="1:57" ht="13">
      <c r="A219" s="153">
        <v>44569</v>
      </c>
      <c r="B219" s="10" t="s">
        <v>187</v>
      </c>
      <c r="C219" s="10">
        <v>44568000043</v>
      </c>
      <c r="D219" s="10" t="s">
        <v>16</v>
      </c>
      <c r="E219" s="10" t="s">
        <v>38</v>
      </c>
      <c r="F219" s="153">
        <v>44568</v>
      </c>
      <c r="G219" s="116" t="s">
        <v>39</v>
      </c>
      <c r="H219" s="116">
        <v>512595.24</v>
      </c>
      <c r="I219" s="116">
        <v>-12595.240000000002</v>
      </c>
      <c r="J219" s="116">
        <v>500000</v>
      </c>
      <c r="K219" s="219">
        <v>465623.8</v>
      </c>
      <c r="L219" s="116">
        <v>0</v>
      </c>
      <c r="M219" s="31">
        <v>22000</v>
      </c>
      <c r="N219" s="336">
        <v>13200</v>
      </c>
      <c r="O219" s="336">
        <v>0</v>
      </c>
      <c r="P219" s="219">
        <v>-22000</v>
      </c>
      <c r="Q219" s="332">
        <v>440</v>
      </c>
      <c r="R219" s="219">
        <v>-50</v>
      </c>
      <c r="S219" s="332">
        <v>0</v>
      </c>
      <c r="T219" s="219">
        <v>0</v>
      </c>
      <c r="U219" s="332">
        <v>0</v>
      </c>
      <c r="V219" s="332">
        <v>0</v>
      </c>
      <c r="W219" s="370">
        <v>0</v>
      </c>
      <c r="X219" s="370">
        <v>40</v>
      </c>
      <c r="Y219" s="370">
        <v>0</v>
      </c>
      <c r="Z219" s="370">
        <v>0</v>
      </c>
      <c r="AA219" s="370">
        <v>0</v>
      </c>
      <c r="AB219" s="370">
        <v>-10</v>
      </c>
      <c r="AC219" s="370">
        <v>0</v>
      </c>
      <c r="AD219" s="370">
        <v>0</v>
      </c>
      <c r="AE219" s="370">
        <v>0</v>
      </c>
      <c r="AF219" s="370">
        <v>30</v>
      </c>
      <c r="AG219" s="31">
        <v>-50</v>
      </c>
      <c r="AH219" s="31">
        <v>443</v>
      </c>
      <c r="AI219" s="31">
        <v>0</v>
      </c>
      <c r="AJ219" s="370">
        <v>1</v>
      </c>
      <c r="AK219" s="219">
        <v>443</v>
      </c>
      <c r="AL219" s="219">
        <v>0</v>
      </c>
      <c r="AM219" s="219">
        <v>0</v>
      </c>
      <c r="AN219" s="219">
        <v>0</v>
      </c>
      <c r="AO219" s="116">
        <v>0</v>
      </c>
      <c r="AP219" s="116">
        <v>0</v>
      </c>
      <c r="AQ219" s="116">
        <v>4</v>
      </c>
      <c r="AR219" s="116">
        <v>-22150</v>
      </c>
      <c r="AS219" s="116">
        <v>-4430</v>
      </c>
      <c r="AT219" s="116">
        <v>0</v>
      </c>
      <c r="AU219" s="385">
        <v>0</v>
      </c>
      <c r="AV219" s="332">
        <v>0</v>
      </c>
      <c r="AW219" s="332">
        <v>0</v>
      </c>
      <c r="AX219" s="332">
        <v>13290</v>
      </c>
      <c r="AY219" s="332">
        <v>0</v>
      </c>
      <c r="AZ219" s="332">
        <v>-0.75044577069284024</v>
      </c>
      <c r="BA219" s="332">
        <v>0</v>
      </c>
      <c r="BB219" s="31">
        <v>512594.48955422931</v>
      </c>
      <c r="BC219" s="31">
        <v>0</v>
      </c>
      <c r="BD219" s="29">
        <v>0</v>
      </c>
      <c r="BE219" s="31">
        <v>0</v>
      </c>
    </row>
    <row r="220" spans="1:57" ht="13">
      <c r="A220" s="153">
        <v>44569</v>
      </c>
      <c r="B220" s="10" t="s">
        <v>187</v>
      </c>
      <c r="C220" s="10">
        <v>44568000044</v>
      </c>
      <c r="D220" s="10" t="s">
        <v>18</v>
      </c>
      <c r="E220" s="10" t="s">
        <v>7</v>
      </c>
      <c r="F220" s="153">
        <v>44568</v>
      </c>
      <c r="G220" s="116" t="s">
        <v>41</v>
      </c>
      <c r="H220" s="116">
        <v>529422.61185999995</v>
      </c>
      <c r="I220" s="116">
        <v>-29422.611860000001</v>
      </c>
      <c r="J220" s="116">
        <v>499999.99999999994</v>
      </c>
      <c r="K220" s="219">
        <v>413596.42813999997</v>
      </c>
      <c r="L220" s="116">
        <v>0</v>
      </c>
      <c r="M220" s="31">
        <v>16827.371859999999</v>
      </c>
      <c r="N220" s="336">
        <v>-16827.371859999999</v>
      </c>
      <c r="O220" s="336">
        <v>0</v>
      </c>
      <c r="P220" s="219">
        <v>0</v>
      </c>
      <c r="Q220" s="332">
        <v>0</v>
      </c>
      <c r="R220" s="219">
        <v>0</v>
      </c>
      <c r="S220" s="332">
        <v>10.79</v>
      </c>
      <c r="T220" s="219">
        <v>-20</v>
      </c>
      <c r="U220" s="332">
        <v>0</v>
      </c>
      <c r="V220" s="332">
        <v>0</v>
      </c>
      <c r="W220" s="370">
        <v>0</v>
      </c>
      <c r="X220" s="370">
        <v>0</v>
      </c>
      <c r="Y220" s="370">
        <v>0</v>
      </c>
      <c r="Z220" s="370">
        <v>0</v>
      </c>
      <c r="AA220" s="370">
        <v>0</v>
      </c>
      <c r="AB220" s="370">
        <v>0</v>
      </c>
      <c r="AC220" s="370">
        <v>-20</v>
      </c>
      <c r="AD220" s="370">
        <v>0</v>
      </c>
      <c r="AE220" s="370">
        <v>0</v>
      </c>
      <c r="AF220" s="370">
        <v>-20</v>
      </c>
      <c r="AG220" s="31">
        <v>-20</v>
      </c>
      <c r="AH220" s="31"/>
      <c r="AI220" s="31">
        <v>1</v>
      </c>
      <c r="AJ220" s="370">
        <v>7.7981699999999998</v>
      </c>
      <c r="AK220" s="219">
        <v>0</v>
      </c>
      <c r="AL220" s="219">
        <v>17.29</v>
      </c>
      <c r="AM220" s="219">
        <v>19.71</v>
      </c>
      <c r="AN220" s="219">
        <v>0</v>
      </c>
      <c r="AO220" s="116">
        <v>0</v>
      </c>
      <c r="AP220" s="116">
        <v>0</v>
      </c>
      <c r="AQ220" s="116">
        <v>5</v>
      </c>
      <c r="AR220" s="116">
        <v>0</v>
      </c>
      <c r="AS220" s="116">
        <v>0</v>
      </c>
      <c r="AT220" s="116">
        <v>1</v>
      </c>
      <c r="AU220" s="385">
        <v>24174.327000000005</v>
      </c>
      <c r="AV220" s="332">
        <v>-36402.497000000003</v>
      </c>
      <c r="AW220" s="332">
        <v>-12228.169999999998</v>
      </c>
      <c r="AX220" s="332">
        <v>-28853.229000000003</v>
      </c>
      <c r="AY220" s="332">
        <v>0</v>
      </c>
      <c r="AZ220" s="332">
        <v>0</v>
      </c>
      <c r="BA220" s="332">
        <v>0</v>
      </c>
      <c r="BB220" s="31">
        <v>529421.86141422926</v>
      </c>
      <c r="BC220" s="31">
        <v>529421.86141422926</v>
      </c>
      <c r="BD220" s="29">
        <v>0</v>
      </c>
      <c r="BE220" s="31">
        <v>517194.44185999996</v>
      </c>
    </row>
    <row r="221" spans="1:57" ht="13">
      <c r="A221" s="153">
        <v>44569</v>
      </c>
      <c r="B221" s="10" t="s">
        <v>188</v>
      </c>
      <c r="C221" s="10">
        <v>44561000010</v>
      </c>
      <c r="D221" s="10" t="s">
        <v>64</v>
      </c>
      <c r="E221" s="10" t="s">
        <v>64</v>
      </c>
      <c r="F221" s="153">
        <v>44561</v>
      </c>
      <c r="G221" s="116" t="s">
        <v>39</v>
      </c>
      <c r="H221" s="116">
        <v>500000</v>
      </c>
      <c r="I221" s="116">
        <v>0</v>
      </c>
      <c r="J221" s="116">
        <v>500000</v>
      </c>
      <c r="K221" s="219">
        <v>0</v>
      </c>
      <c r="L221" s="116">
        <v>0</v>
      </c>
      <c r="M221" s="31">
        <v>500000</v>
      </c>
      <c r="N221" s="336">
        <v>500000</v>
      </c>
      <c r="O221" s="336">
        <v>0</v>
      </c>
      <c r="P221" s="219">
        <v>0</v>
      </c>
      <c r="Q221" s="332">
        <v>0</v>
      </c>
      <c r="R221" s="219">
        <v>0</v>
      </c>
      <c r="S221" s="332">
        <v>0</v>
      </c>
      <c r="T221" s="219">
        <v>0</v>
      </c>
      <c r="U221" s="332">
        <v>0</v>
      </c>
      <c r="V221" s="332">
        <v>0</v>
      </c>
      <c r="W221" s="370">
        <v>0</v>
      </c>
      <c r="X221" s="370">
        <v>0</v>
      </c>
      <c r="Y221" s="370">
        <v>0</v>
      </c>
      <c r="Z221" s="370">
        <v>0</v>
      </c>
      <c r="AA221" s="370">
        <v>0</v>
      </c>
      <c r="AB221" s="370">
        <v>0</v>
      </c>
      <c r="AC221" s="370">
        <v>0</v>
      </c>
      <c r="AD221" s="370">
        <v>0</v>
      </c>
      <c r="AE221" s="370">
        <v>0</v>
      </c>
      <c r="AF221" s="370">
        <v>0</v>
      </c>
      <c r="AG221" s="31">
        <v>0</v>
      </c>
      <c r="AH221" s="31">
        <v>1</v>
      </c>
      <c r="AI221" s="31">
        <v>1</v>
      </c>
      <c r="AJ221" s="370">
        <v>1</v>
      </c>
      <c r="AK221" s="219">
        <v>0</v>
      </c>
      <c r="AL221" s="219">
        <v>0</v>
      </c>
      <c r="AM221" s="219">
        <v>0</v>
      </c>
      <c r="AN221" s="219">
        <v>0</v>
      </c>
      <c r="AO221" s="116">
        <v>0</v>
      </c>
      <c r="AP221" s="116">
        <v>0</v>
      </c>
      <c r="AQ221" s="116">
        <v>1</v>
      </c>
      <c r="AR221" s="116">
        <v>0</v>
      </c>
      <c r="AS221" s="116">
        <v>0</v>
      </c>
      <c r="AT221" s="116">
        <v>1</v>
      </c>
      <c r="AU221" s="385">
        <v>0</v>
      </c>
      <c r="AV221" s="332">
        <v>0</v>
      </c>
      <c r="AW221" s="332">
        <v>0</v>
      </c>
      <c r="AX221" s="332">
        <v>500000</v>
      </c>
      <c r="AY221" s="332">
        <v>0</v>
      </c>
      <c r="AZ221" s="332">
        <v>0</v>
      </c>
      <c r="BA221" s="332">
        <v>0</v>
      </c>
      <c r="BB221" s="31">
        <v>500000</v>
      </c>
      <c r="BC221" s="31">
        <v>500000</v>
      </c>
      <c r="BD221" s="29">
        <v>0</v>
      </c>
      <c r="BE221" s="31">
        <v>500000</v>
      </c>
    </row>
    <row r="222" spans="1:57" ht="13">
      <c r="A222" s="153">
        <v>44570</v>
      </c>
      <c r="B222" s="10" t="s">
        <v>183</v>
      </c>
      <c r="C222" s="10">
        <v>44561000005</v>
      </c>
      <c r="D222" s="10" t="s">
        <v>64</v>
      </c>
      <c r="E222" s="10" t="s">
        <v>64</v>
      </c>
      <c r="F222" s="153">
        <v>44561</v>
      </c>
      <c r="G222" s="116" t="s">
        <v>39</v>
      </c>
      <c r="H222" s="116">
        <v>500000</v>
      </c>
      <c r="I222" s="116">
        <v>0</v>
      </c>
      <c r="J222" s="116">
        <v>500000</v>
      </c>
      <c r="K222" s="219">
        <v>0</v>
      </c>
      <c r="L222" s="116">
        <v>0</v>
      </c>
      <c r="M222" s="31">
        <v>500000</v>
      </c>
      <c r="N222" s="336">
        <v>500000</v>
      </c>
      <c r="O222" s="336">
        <v>0</v>
      </c>
      <c r="P222" s="219">
        <v>0</v>
      </c>
      <c r="Q222" s="332">
        <v>0</v>
      </c>
      <c r="R222" s="219">
        <v>0</v>
      </c>
      <c r="S222" s="332">
        <v>0</v>
      </c>
      <c r="T222" s="219">
        <v>0</v>
      </c>
      <c r="U222" s="332">
        <v>0</v>
      </c>
      <c r="V222" s="332">
        <v>0</v>
      </c>
      <c r="W222" s="370">
        <v>0</v>
      </c>
      <c r="X222" s="370">
        <v>0</v>
      </c>
      <c r="Y222" s="370">
        <v>0</v>
      </c>
      <c r="Z222" s="370">
        <v>0</v>
      </c>
      <c r="AA222" s="370">
        <v>0</v>
      </c>
      <c r="AB222" s="370">
        <v>0</v>
      </c>
      <c r="AC222" s="370">
        <v>0</v>
      </c>
      <c r="AD222" s="370">
        <v>0</v>
      </c>
      <c r="AE222" s="370">
        <v>0</v>
      </c>
      <c r="AF222" s="370">
        <v>0</v>
      </c>
      <c r="AG222" s="31">
        <v>0</v>
      </c>
      <c r="AH222" s="31">
        <v>1</v>
      </c>
      <c r="AI222" s="31">
        <v>0</v>
      </c>
      <c r="AJ222" s="370">
        <v>1</v>
      </c>
      <c r="AK222" s="219">
        <v>0</v>
      </c>
      <c r="AL222" s="219">
        <v>0</v>
      </c>
      <c r="AM222" s="219">
        <v>0</v>
      </c>
      <c r="AN222" s="219">
        <v>0</v>
      </c>
      <c r="AO222" s="116">
        <v>0</v>
      </c>
      <c r="AP222" s="116">
        <v>0</v>
      </c>
      <c r="AQ222" s="116">
        <v>1</v>
      </c>
      <c r="AR222" s="116">
        <v>0</v>
      </c>
      <c r="AS222" s="116">
        <v>0</v>
      </c>
      <c r="AT222" s="116">
        <v>1</v>
      </c>
      <c r="AU222" s="385">
        <v>0</v>
      </c>
      <c r="AV222" s="332">
        <v>0</v>
      </c>
      <c r="AW222" s="332">
        <v>0</v>
      </c>
      <c r="AX222" s="332">
        <v>500000</v>
      </c>
      <c r="AY222" s="332">
        <v>0</v>
      </c>
      <c r="AZ222" s="332">
        <v>0</v>
      </c>
      <c r="BA222" s="332">
        <v>0</v>
      </c>
      <c r="BB222" s="31">
        <v>499950.65386786702</v>
      </c>
      <c r="BC222" s="31">
        <v>0</v>
      </c>
      <c r="BD222" s="29">
        <v>0</v>
      </c>
      <c r="BE222" s="29">
        <v>0</v>
      </c>
    </row>
    <row r="223" spans="1:57" ht="13">
      <c r="A223" s="153">
        <v>44570</v>
      </c>
      <c r="B223" s="10" t="s">
        <v>183</v>
      </c>
      <c r="C223" s="10">
        <v>44562000011</v>
      </c>
      <c r="D223" s="10" t="s">
        <v>16</v>
      </c>
      <c r="E223" s="10" t="s">
        <v>42</v>
      </c>
      <c r="F223" s="153">
        <v>44562</v>
      </c>
      <c r="G223" s="116" t="s">
        <v>41</v>
      </c>
      <c r="H223" s="116">
        <v>447610.20799999998</v>
      </c>
      <c r="I223" s="116">
        <v>52389.792000000001</v>
      </c>
      <c r="J223" s="116">
        <v>500000</v>
      </c>
      <c r="K223" s="219">
        <v>447610.20799999998</v>
      </c>
      <c r="L223" s="116">
        <v>0</v>
      </c>
      <c r="M223" s="31">
        <v>-52389.792000000001</v>
      </c>
      <c r="N223" s="336">
        <v>-52389.792000000001</v>
      </c>
      <c r="O223" s="336">
        <v>52389.792000000001</v>
      </c>
      <c r="P223" s="219">
        <v>0</v>
      </c>
      <c r="Q223" s="332">
        <v>26194.896000000001</v>
      </c>
      <c r="R223" s="219">
        <v>2</v>
      </c>
      <c r="S223" s="332">
        <v>0</v>
      </c>
      <c r="T223" s="219">
        <v>0</v>
      </c>
      <c r="U223" s="332">
        <v>0</v>
      </c>
      <c r="V223" s="332">
        <v>0</v>
      </c>
      <c r="W223" s="370">
        <v>0</v>
      </c>
      <c r="X223" s="370">
        <v>0</v>
      </c>
      <c r="Y223" s="370">
        <v>0</v>
      </c>
      <c r="Z223" s="370">
        <v>0</v>
      </c>
      <c r="AA223" s="370">
        <v>0</v>
      </c>
      <c r="AB223" s="370">
        <v>2</v>
      </c>
      <c r="AC223" s="370">
        <v>0</v>
      </c>
      <c r="AD223" s="370">
        <v>0</v>
      </c>
      <c r="AE223" s="370">
        <v>0</v>
      </c>
      <c r="AF223" s="370">
        <v>-2</v>
      </c>
      <c r="AG223" s="31">
        <v>2</v>
      </c>
      <c r="AH223" s="31">
        <v>3251.08</v>
      </c>
      <c r="AI223" s="31">
        <v>0</v>
      </c>
      <c r="AJ223" s="370">
        <v>7.7981850000000001</v>
      </c>
      <c r="AK223" s="219">
        <v>3251.08</v>
      </c>
      <c r="AL223" s="219">
        <v>0</v>
      </c>
      <c r="AM223" s="219">
        <v>0</v>
      </c>
      <c r="AN223" s="219">
        <v>0</v>
      </c>
      <c r="AO223" s="116">
        <v>0</v>
      </c>
      <c r="AP223" s="116">
        <v>0</v>
      </c>
      <c r="AQ223" s="116">
        <v>2</v>
      </c>
      <c r="AR223" s="116">
        <v>50705.046579599999</v>
      </c>
      <c r="AS223" s="116">
        <v>50705.046579599999</v>
      </c>
      <c r="AT223" s="116">
        <v>1</v>
      </c>
      <c r="AU223" s="385">
        <v>0</v>
      </c>
      <c r="AV223" s="332">
        <v>0</v>
      </c>
      <c r="AW223" s="332">
        <v>0</v>
      </c>
      <c r="AX223" s="332">
        <v>-50705.046579599999</v>
      </c>
      <c r="AY223" s="332">
        <v>0</v>
      </c>
      <c r="AZ223" s="332">
        <v>0</v>
      </c>
      <c r="BA223" s="332">
        <v>0</v>
      </c>
      <c r="BB223" s="31">
        <v>447560.861867867</v>
      </c>
      <c r="BC223" s="31">
        <v>0</v>
      </c>
      <c r="BD223" s="29">
        <v>0</v>
      </c>
      <c r="BE223" s="29">
        <v>0</v>
      </c>
    </row>
    <row r="224" spans="1:57" ht="13">
      <c r="A224" s="153">
        <v>44570</v>
      </c>
      <c r="B224" s="10" t="s">
        <v>183</v>
      </c>
      <c r="C224" s="10">
        <v>44563000012</v>
      </c>
      <c r="D224" s="10" t="s">
        <v>16</v>
      </c>
      <c r="E224" s="10" t="s">
        <v>38</v>
      </c>
      <c r="F224" s="153">
        <v>44563</v>
      </c>
      <c r="G224" s="116" t="s">
        <v>39</v>
      </c>
      <c r="H224" s="116">
        <v>443010.20799999998</v>
      </c>
      <c r="I224" s="116">
        <v>56989.792000000001</v>
      </c>
      <c r="J224" s="116">
        <v>500000</v>
      </c>
      <c r="K224" s="219">
        <v>443010.20799999998</v>
      </c>
      <c r="L224" s="116">
        <v>0</v>
      </c>
      <c r="M224" s="31">
        <v>-4600</v>
      </c>
      <c r="N224" s="336">
        <v>-4600</v>
      </c>
      <c r="O224" s="336">
        <v>4600</v>
      </c>
      <c r="P224" s="219">
        <v>0</v>
      </c>
      <c r="Q224" s="332">
        <v>460</v>
      </c>
      <c r="R224" s="219">
        <v>10</v>
      </c>
      <c r="S224" s="332">
        <v>0</v>
      </c>
      <c r="T224" s="219">
        <v>0</v>
      </c>
      <c r="U224" s="332">
        <v>0</v>
      </c>
      <c r="V224" s="332">
        <v>0</v>
      </c>
      <c r="W224" s="370">
        <v>0</v>
      </c>
      <c r="X224" s="370">
        <v>0</v>
      </c>
      <c r="Y224" s="370">
        <v>0</v>
      </c>
      <c r="Z224" s="370">
        <v>0</v>
      </c>
      <c r="AA224" s="370">
        <v>0</v>
      </c>
      <c r="AB224" s="370">
        <v>10</v>
      </c>
      <c r="AC224" s="370">
        <v>0</v>
      </c>
      <c r="AD224" s="370">
        <v>0</v>
      </c>
      <c r="AE224" s="370">
        <v>0</v>
      </c>
      <c r="AF224" s="370">
        <v>-10</v>
      </c>
      <c r="AG224" s="31">
        <v>10</v>
      </c>
      <c r="AH224" s="31">
        <v>443</v>
      </c>
      <c r="AI224" s="31">
        <v>0</v>
      </c>
      <c r="AJ224" s="370">
        <v>1</v>
      </c>
      <c r="AK224" s="219">
        <v>443</v>
      </c>
      <c r="AL224" s="219">
        <v>0</v>
      </c>
      <c r="AM224" s="219">
        <v>0</v>
      </c>
      <c r="AN224" s="219">
        <v>0</v>
      </c>
      <c r="AO224" s="116">
        <v>0</v>
      </c>
      <c r="AP224" s="116">
        <v>0</v>
      </c>
      <c r="AQ224" s="116">
        <v>3</v>
      </c>
      <c r="AR224" s="116">
        <v>4430</v>
      </c>
      <c r="AS224" s="116">
        <v>-2215</v>
      </c>
      <c r="AT224" s="116">
        <v>1</v>
      </c>
      <c r="AU224" s="385">
        <v>0</v>
      </c>
      <c r="AV224" s="332">
        <v>0</v>
      </c>
      <c r="AW224" s="332">
        <v>0</v>
      </c>
      <c r="AX224" s="332">
        <v>-4430</v>
      </c>
      <c r="AY224" s="332">
        <v>0</v>
      </c>
      <c r="AZ224" s="332">
        <v>0</v>
      </c>
      <c r="BA224" s="332">
        <v>0</v>
      </c>
      <c r="BB224" s="31">
        <v>442960.861867867</v>
      </c>
      <c r="BC224" s="31">
        <v>0</v>
      </c>
      <c r="BD224" s="29">
        <v>0</v>
      </c>
      <c r="BE224" s="31">
        <v>0</v>
      </c>
    </row>
    <row r="225" spans="1:57" ht="13">
      <c r="A225" s="153">
        <v>44570</v>
      </c>
      <c r="B225" s="10" t="s">
        <v>183</v>
      </c>
      <c r="C225" s="10">
        <v>44563000013</v>
      </c>
      <c r="D225" s="10" t="s">
        <v>16</v>
      </c>
      <c r="E225" s="10" t="s">
        <v>40</v>
      </c>
      <c r="F225" s="153">
        <v>44563</v>
      </c>
      <c r="G225" s="116" t="s">
        <v>29</v>
      </c>
      <c r="H225" s="116">
        <v>480735.87624999997</v>
      </c>
      <c r="I225" s="116">
        <v>19264.123750000006</v>
      </c>
      <c r="J225" s="116">
        <v>500000</v>
      </c>
      <c r="K225" s="219">
        <v>409884.53975</v>
      </c>
      <c r="L225" s="116">
        <v>0</v>
      </c>
      <c r="M225" s="31">
        <v>37725.668249999995</v>
      </c>
      <c r="N225" s="336">
        <v>-37725.668249999995</v>
      </c>
      <c r="O225" s="336">
        <v>0</v>
      </c>
      <c r="P225" s="219">
        <v>-37725.668249999995</v>
      </c>
      <c r="Q225" s="332">
        <v>2515.0445499999996</v>
      </c>
      <c r="R225" s="219">
        <v>-15</v>
      </c>
      <c r="S225" s="332">
        <v>0</v>
      </c>
      <c r="T225" s="219">
        <v>0</v>
      </c>
      <c r="U225" s="332">
        <v>0</v>
      </c>
      <c r="V225" s="332">
        <v>0</v>
      </c>
      <c r="W225" s="370">
        <v>0</v>
      </c>
      <c r="X225" s="370">
        <v>0</v>
      </c>
      <c r="Y225" s="370">
        <v>0</v>
      </c>
      <c r="Z225" s="370">
        <v>0</v>
      </c>
      <c r="AA225" s="370">
        <v>0</v>
      </c>
      <c r="AB225" s="370">
        <v>-15</v>
      </c>
      <c r="AC225" s="370">
        <v>0</v>
      </c>
      <c r="AD225" s="370">
        <v>0</v>
      </c>
      <c r="AE225" s="370">
        <v>0</v>
      </c>
      <c r="AF225" s="370">
        <v>-15</v>
      </c>
      <c r="AG225" s="31">
        <v>-15</v>
      </c>
      <c r="AH225" s="31">
        <v>1942</v>
      </c>
      <c r="AI225" s="31">
        <v>0</v>
      </c>
      <c r="AJ225" s="370">
        <v>1.2218640000000001</v>
      </c>
      <c r="AK225" s="219">
        <v>1942</v>
      </c>
      <c r="AL225" s="219">
        <v>0</v>
      </c>
      <c r="AM225" s="219">
        <v>0</v>
      </c>
      <c r="AN225" s="219">
        <v>0</v>
      </c>
      <c r="AO225" s="116">
        <v>0</v>
      </c>
      <c r="AP225" s="116">
        <v>0</v>
      </c>
      <c r="AQ225" s="116">
        <v>4</v>
      </c>
      <c r="AR225" s="116">
        <v>-35592.89832</v>
      </c>
      <c r="AS225" s="116">
        <v>-35592.89832</v>
      </c>
      <c r="AT225" s="116">
        <v>1</v>
      </c>
      <c r="AU225" s="385">
        <v>0</v>
      </c>
      <c r="AV225" s="332">
        <v>0</v>
      </c>
      <c r="AW225" s="332">
        <v>0</v>
      </c>
      <c r="AX225" s="332">
        <v>-35592.89832</v>
      </c>
      <c r="AY225" s="332">
        <v>0</v>
      </c>
      <c r="AZ225" s="332">
        <v>-6.0294672710935204</v>
      </c>
      <c r="BA225" s="332">
        <v>0</v>
      </c>
      <c r="BB225" s="31">
        <v>480686.53011786699</v>
      </c>
      <c r="BC225" s="31">
        <v>0</v>
      </c>
      <c r="BD225" s="29">
        <v>0</v>
      </c>
      <c r="BE225" s="31">
        <v>0</v>
      </c>
    </row>
    <row r="226" spans="1:57" ht="13">
      <c r="A226" s="153">
        <v>44570</v>
      </c>
      <c r="B226" s="10" t="s">
        <v>183</v>
      </c>
      <c r="C226" s="10">
        <v>44563000014</v>
      </c>
      <c r="D226" s="10" t="s">
        <v>16</v>
      </c>
      <c r="E226" s="10" t="s">
        <v>36</v>
      </c>
      <c r="F226" s="153">
        <v>44563</v>
      </c>
      <c r="G226" s="116" t="s">
        <v>37</v>
      </c>
      <c r="H226" s="116">
        <v>416011.66724999994</v>
      </c>
      <c r="I226" s="116">
        <v>83988.332750000001</v>
      </c>
      <c r="J226" s="116">
        <v>499999.99999999994</v>
      </c>
      <c r="K226" s="219">
        <v>345160.33075000002</v>
      </c>
      <c r="L226" s="116">
        <v>0</v>
      </c>
      <c r="M226" s="31">
        <v>-64724.209000000003</v>
      </c>
      <c r="N226" s="336">
        <v>-64724.208999999995</v>
      </c>
      <c r="O226" s="336">
        <v>64724.209000000003</v>
      </c>
      <c r="P226" s="219">
        <v>0</v>
      </c>
      <c r="Q226" s="332">
        <v>6472.4209000000001</v>
      </c>
      <c r="R226" s="219">
        <v>10</v>
      </c>
      <c r="S226" s="332">
        <v>0</v>
      </c>
      <c r="T226" s="219">
        <v>0</v>
      </c>
      <c r="U226" s="332">
        <v>0</v>
      </c>
      <c r="V226" s="332">
        <v>0</v>
      </c>
      <c r="W226" s="370">
        <v>0</v>
      </c>
      <c r="X226" s="370">
        <v>0</v>
      </c>
      <c r="Y226" s="370">
        <v>0</v>
      </c>
      <c r="Z226" s="370">
        <v>0</v>
      </c>
      <c r="AA226" s="370">
        <v>0</v>
      </c>
      <c r="AB226" s="370">
        <v>10</v>
      </c>
      <c r="AC226" s="370">
        <v>0</v>
      </c>
      <c r="AD226" s="370">
        <v>0</v>
      </c>
      <c r="AE226" s="370">
        <v>0</v>
      </c>
      <c r="AF226" s="370">
        <v>-10</v>
      </c>
      <c r="AG226" s="31">
        <v>10</v>
      </c>
      <c r="AH226" s="31">
        <v>715.8</v>
      </c>
      <c r="AI226" s="31">
        <v>0</v>
      </c>
      <c r="AJ226" s="370">
        <v>8.8533849999999994</v>
      </c>
      <c r="AK226" s="219">
        <v>715.8</v>
      </c>
      <c r="AL226" s="219">
        <v>0</v>
      </c>
      <c r="AM226" s="219">
        <v>0</v>
      </c>
      <c r="AN226" s="219">
        <v>0</v>
      </c>
      <c r="AO226" s="116">
        <v>0</v>
      </c>
      <c r="AP226" s="116">
        <v>0</v>
      </c>
      <c r="AQ226" s="116">
        <v>5</v>
      </c>
      <c r="AR226" s="116">
        <v>63372.529829999992</v>
      </c>
      <c r="AS226" s="116">
        <v>-253490.11932</v>
      </c>
      <c r="AT226" s="116">
        <v>1</v>
      </c>
      <c r="AU226" s="385">
        <v>0</v>
      </c>
      <c r="AV226" s="332">
        <v>0</v>
      </c>
      <c r="AW226" s="332">
        <v>0</v>
      </c>
      <c r="AX226" s="332">
        <v>-63372.529829999999</v>
      </c>
      <c r="AY226" s="332">
        <v>0</v>
      </c>
      <c r="AZ226" s="332">
        <v>0</v>
      </c>
      <c r="BA226" s="332">
        <v>0</v>
      </c>
      <c r="BB226" s="31">
        <v>415962.32111786696</v>
      </c>
      <c r="BC226" s="31">
        <v>0</v>
      </c>
      <c r="BD226" s="29">
        <v>0</v>
      </c>
      <c r="BE226" s="31">
        <v>0</v>
      </c>
    </row>
    <row r="227" spans="1:57" ht="13">
      <c r="A227" s="153">
        <v>44570</v>
      </c>
      <c r="B227" s="10" t="s">
        <v>183</v>
      </c>
      <c r="C227" s="10">
        <v>44565000016</v>
      </c>
      <c r="D227" s="10" t="s">
        <v>16</v>
      </c>
      <c r="E227" s="10" t="s">
        <v>36</v>
      </c>
      <c r="F227" s="153">
        <v>44565</v>
      </c>
      <c r="G227" s="116" t="s">
        <v>37</v>
      </c>
      <c r="H227" s="116">
        <v>448553.16724999994</v>
      </c>
      <c r="I227" s="116">
        <v>51446.832750000001</v>
      </c>
      <c r="J227" s="116">
        <v>499999.99999999994</v>
      </c>
      <c r="K227" s="219">
        <v>507150.24874999997</v>
      </c>
      <c r="L227" s="116">
        <v>0</v>
      </c>
      <c r="M227" s="31">
        <v>32541.5</v>
      </c>
      <c r="N227" s="336">
        <v>32541.5</v>
      </c>
      <c r="O227" s="336">
        <v>0</v>
      </c>
      <c r="P227" s="219">
        <v>-32541.5</v>
      </c>
      <c r="Q227" s="332">
        <v>6508.3</v>
      </c>
      <c r="R227" s="219">
        <v>-5</v>
      </c>
      <c r="S227" s="332">
        <v>0</v>
      </c>
      <c r="T227" s="219">
        <v>0</v>
      </c>
      <c r="U227" s="332">
        <v>0</v>
      </c>
      <c r="V227" s="332">
        <v>0</v>
      </c>
      <c r="W227" s="370">
        <v>0</v>
      </c>
      <c r="X227" s="370">
        <v>10</v>
      </c>
      <c r="Y227" s="370">
        <v>0</v>
      </c>
      <c r="Z227" s="370">
        <v>0</v>
      </c>
      <c r="AA227" s="370">
        <v>0</v>
      </c>
      <c r="AB227" s="370">
        <v>5</v>
      </c>
      <c r="AC227" s="370">
        <v>0</v>
      </c>
      <c r="AD227" s="370">
        <v>0</v>
      </c>
      <c r="AE227" s="370">
        <v>0</v>
      </c>
      <c r="AF227" s="370">
        <v>5</v>
      </c>
      <c r="AG227" s="31">
        <v>-5</v>
      </c>
      <c r="AH227" s="31">
        <v>715.8</v>
      </c>
      <c r="AI227" s="31">
        <v>0</v>
      </c>
      <c r="AJ227" s="370">
        <v>8.8533849999999994</v>
      </c>
      <c r="AK227" s="219">
        <v>715.8</v>
      </c>
      <c r="AL227" s="219">
        <v>0</v>
      </c>
      <c r="AM227" s="219">
        <v>0</v>
      </c>
      <c r="AN227" s="219">
        <v>0</v>
      </c>
      <c r="AO227" s="116">
        <v>0</v>
      </c>
      <c r="AP227" s="116">
        <v>0</v>
      </c>
      <c r="AQ227" s="116">
        <v>5</v>
      </c>
      <c r="AR227" s="116">
        <v>-31686.264914999996</v>
      </c>
      <c r="AS227" s="116">
        <v>-253490.11932</v>
      </c>
      <c r="AT227" s="116">
        <v>0</v>
      </c>
      <c r="AU227" s="385">
        <v>0</v>
      </c>
      <c r="AV227" s="332">
        <v>0</v>
      </c>
      <c r="AW227" s="332">
        <v>0</v>
      </c>
      <c r="AX227" s="332">
        <v>31686.264915</v>
      </c>
      <c r="AY227" s="332">
        <v>0</v>
      </c>
      <c r="AZ227" s="332">
        <v>0</v>
      </c>
      <c r="BA227" s="332">
        <v>0</v>
      </c>
      <c r="BB227" s="31">
        <v>448503.82111786696</v>
      </c>
      <c r="BC227" s="31">
        <v>0</v>
      </c>
      <c r="BD227" s="29">
        <v>0</v>
      </c>
      <c r="BE227" s="31">
        <v>0</v>
      </c>
    </row>
    <row r="228" spans="1:57" ht="13">
      <c r="A228" s="153">
        <v>44570</v>
      </c>
      <c r="B228" s="10" t="s">
        <v>183</v>
      </c>
      <c r="C228" s="10">
        <v>44566000017</v>
      </c>
      <c r="D228" s="10" t="s">
        <v>16</v>
      </c>
      <c r="E228" s="10" t="s">
        <v>36</v>
      </c>
      <c r="F228" s="153">
        <v>44566</v>
      </c>
      <c r="G228" s="116" t="s">
        <v>37</v>
      </c>
      <c r="H228" s="116">
        <v>422451.84284999996</v>
      </c>
      <c r="I228" s="116">
        <v>77548.157149999999</v>
      </c>
      <c r="J228" s="116">
        <v>499999.99999999994</v>
      </c>
      <c r="K228" s="219">
        <v>415965.92434999999</v>
      </c>
      <c r="L228" s="116">
        <v>0</v>
      </c>
      <c r="M228" s="31">
        <v>-26101.324400000001</v>
      </c>
      <c r="N228" s="336">
        <v>-26101.324400000001</v>
      </c>
      <c r="O228" s="336">
        <v>26101.324400000001</v>
      </c>
      <c r="P228" s="219">
        <v>0</v>
      </c>
      <c r="Q228" s="332">
        <v>6525.3311000000003</v>
      </c>
      <c r="R228" s="219">
        <v>4</v>
      </c>
      <c r="S228" s="332">
        <v>0</v>
      </c>
      <c r="T228" s="219">
        <v>0</v>
      </c>
      <c r="U228" s="332">
        <v>0</v>
      </c>
      <c r="V228" s="332">
        <v>0</v>
      </c>
      <c r="W228" s="370">
        <v>0</v>
      </c>
      <c r="X228" s="370">
        <v>5</v>
      </c>
      <c r="Y228" s="370">
        <v>0</v>
      </c>
      <c r="Z228" s="370">
        <v>0</v>
      </c>
      <c r="AA228" s="370">
        <v>0</v>
      </c>
      <c r="AB228" s="370">
        <v>9</v>
      </c>
      <c r="AC228" s="370">
        <v>0</v>
      </c>
      <c r="AD228" s="370">
        <v>0</v>
      </c>
      <c r="AE228" s="370">
        <v>0</v>
      </c>
      <c r="AF228" s="370">
        <v>-4</v>
      </c>
      <c r="AG228" s="31">
        <v>4</v>
      </c>
      <c r="AH228" s="31">
        <v>715.8</v>
      </c>
      <c r="AI228" s="31">
        <v>0</v>
      </c>
      <c r="AJ228" s="370">
        <v>8.8533849999999994</v>
      </c>
      <c r="AK228" s="219">
        <v>715.8</v>
      </c>
      <c r="AL228" s="219">
        <v>0</v>
      </c>
      <c r="AM228" s="219">
        <v>0</v>
      </c>
      <c r="AN228" s="219">
        <v>0</v>
      </c>
      <c r="AO228" s="116">
        <v>0</v>
      </c>
      <c r="AP228" s="116">
        <v>0</v>
      </c>
      <c r="AQ228" s="116">
        <v>5</v>
      </c>
      <c r="AR228" s="116">
        <v>25349.011931999998</v>
      </c>
      <c r="AS228" s="116">
        <v>-253490.11932</v>
      </c>
      <c r="AT228" s="116">
        <v>0</v>
      </c>
      <c r="AU228" s="385">
        <v>0</v>
      </c>
      <c r="AV228" s="332">
        <v>0</v>
      </c>
      <c r="AW228" s="332">
        <v>0</v>
      </c>
      <c r="AX228" s="332">
        <v>-25349.011931999998</v>
      </c>
      <c r="AY228" s="332">
        <v>0</v>
      </c>
      <c r="AZ228" s="332">
        <v>0</v>
      </c>
      <c r="BA228" s="332">
        <v>0</v>
      </c>
      <c r="BB228" s="31">
        <v>422402.49671786698</v>
      </c>
      <c r="BC228" s="31">
        <v>0</v>
      </c>
      <c r="BD228" s="29">
        <v>0</v>
      </c>
      <c r="BE228" s="31">
        <v>0</v>
      </c>
    </row>
    <row r="229" spans="1:57" ht="13">
      <c r="A229" s="153">
        <v>44570</v>
      </c>
      <c r="B229" s="10" t="s">
        <v>183</v>
      </c>
      <c r="C229" s="10">
        <v>44567000018</v>
      </c>
      <c r="D229" s="10" t="s">
        <v>16</v>
      </c>
      <c r="E229" s="10" t="s">
        <v>36</v>
      </c>
      <c r="F229" s="153">
        <v>44567</v>
      </c>
      <c r="G229" s="116" t="s">
        <v>37</v>
      </c>
      <c r="H229" s="116">
        <v>344208.43124999997</v>
      </c>
      <c r="I229" s="116">
        <v>155791.56874999998</v>
      </c>
      <c r="J229" s="116">
        <v>499999.99999999994</v>
      </c>
      <c r="K229" s="219">
        <v>389925.16154999996</v>
      </c>
      <c r="L229" s="116">
        <v>0</v>
      </c>
      <c r="M229" s="31">
        <v>-78243.411599999992</v>
      </c>
      <c r="N229" s="336">
        <v>-78243.411599999992</v>
      </c>
      <c r="O229" s="336">
        <v>78243.411599999992</v>
      </c>
      <c r="P229" s="219">
        <v>0</v>
      </c>
      <c r="Q229" s="332">
        <v>6520.2842999999993</v>
      </c>
      <c r="R229" s="219">
        <v>12</v>
      </c>
      <c r="S229" s="332">
        <v>0</v>
      </c>
      <c r="T229" s="219">
        <v>0</v>
      </c>
      <c r="U229" s="332">
        <v>0</v>
      </c>
      <c r="V229" s="332">
        <v>0</v>
      </c>
      <c r="W229" s="370">
        <v>0</v>
      </c>
      <c r="X229" s="370">
        <v>9</v>
      </c>
      <c r="Y229" s="370">
        <v>0</v>
      </c>
      <c r="Z229" s="370">
        <v>0</v>
      </c>
      <c r="AA229" s="370">
        <v>0</v>
      </c>
      <c r="AB229" s="370">
        <v>21</v>
      </c>
      <c r="AC229" s="370">
        <v>0</v>
      </c>
      <c r="AD229" s="370">
        <v>0</v>
      </c>
      <c r="AE229" s="370">
        <v>0</v>
      </c>
      <c r="AF229" s="370">
        <v>-12</v>
      </c>
      <c r="AG229" s="31">
        <v>12</v>
      </c>
      <c r="AH229" s="31">
        <v>715.8</v>
      </c>
      <c r="AI229" s="31">
        <v>0</v>
      </c>
      <c r="AJ229" s="370">
        <v>8.8533849999999994</v>
      </c>
      <c r="AK229" s="219">
        <v>715.8</v>
      </c>
      <c r="AL229" s="219">
        <v>0</v>
      </c>
      <c r="AM229" s="219">
        <v>0</v>
      </c>
      <c r="AN229" s="219">
        <v>0</v>
      </c>
      <c r="AO229" s="116">
        <v>0</v>
      </c>
      <c r="AP229" s="116">
        <v>0</v>
      </c>
      <c r="AQ229" s="116">
        <v>5</v>
      </c>
      <c r="AR229" s="116">
        <v>76047.035795999982</v>
      </c>
      <c r="AS229" s="116">
        <v>-253490.11932</v>
      </c>
      <c r="AT229" s="116">
        <v>0</v>
      </c>
      <c r="AU229" s="385">
        <v>0</v>
      </c>
      <c r="AV229" s="332">
        <v>0</v>
      </c>
      <c r="AW229" s="332">
        <v>0</v>
      </c>
      <c r="AX229" s="332">
        <v>-76047.035795999996</v>
      </c>
      <c r="AY229" s="332">
        <v>0</v>
      </c>
      <c r="AZ229" s="332">
        <v>0</v>
      </c>
      <c r="BA229" s="332">
        <v>0</v>
      </c>
      <c r="BB229" s="31">
        <v>344159.08511786698</v>
      </c>
      <c r="BC229" s="31">
        <v>0</v>
      </c>
      <c r="BD229" s="29">
        <v>0</v>
      </c>
      <c r="BE229" s="31">
        <v>0</v>
      </c>
    </row>
    <row r="230" spans="1:57" ht="13">
      <c r="A230" s="153">
        <v>44570</v>
      </c>
      <c r="B230" s="10" t="s">
        <v>183</v>
      </c>
      <c r="C230" s="10">
        <v>44567000020</v>
      </c>
      <c r="D230" s="10" t="s">
        <v>16</v>
      </c>
      <c r="E230" s="10" t="s">
        <v>36</v>
      </c>
      <c r="F230" s="153">
        <v>44567</v>
      </c>
      <c r="G230" s="116" t="s">
        <v>37</v>
      </c>
      <c r="H230" s="116">
        <v>324647.57834999997</v>
      </c>
      <c r="I230" s="116">
        <v>175352.42164999997</v>
      </c>
      <c r="J230" s="116">
        <v>499999.99999999994</v>
      </c>
      <c r="K230" s="219">
        <v>526851.13185000001</v>
      </c>
      <c r="L230" s="116">
        <v>0</v>
      </c>
      <c r="M230" s="31">
        <v>-19560.852899999998</v>
      </c>
      <c r="N230" s="336">
        <v>-19560.852899999998</v>
      </c>
      <c r="O230" s="336">
        <v>19560.852899999998</v>
      </c>
      <c r="P230" s="219">
        <v>0</v>
      </c>
      <c r="Q230" s="332">
        <v>6520.2842999999993</v>
      </c>
      <c r="R230" s="219">
        <v>3</v>
      </c>
      <c r="S230" s="332">
        <v>0</v>
      </c>
      <c r="T230" s="219">
        <v>0</v>
      </c>
      <c r="U230" s="332">
        <v>0</v>
      </c>
      <c r="V230" s="332">
        <v>0</v>
      </c>
      <c r="W230" s="370">
        <v>0</v>
      </c>
      <c r="X230" s="370">
        <v>21</v>
      </c>
      <c r="Y230" s="370">
        <v>0</v>
      </c>
      <c r="Z230" s="370">
        <v>0</v>
      </c>
      <c r="AA230" s="370">
        <v>0</v>
      </c>
      <c r="AB230" s="370">
        <v>24</v>
      </c>
      <c r="AC230" s="370">
        <v>0</v>
      </c>
      <c r="AD230" s="370">
        <v>0</v>
      </c>
      <c r="AE230" s="370">
        <v>0</v>
      </c>
      <c r="AF230" s="370">
        <v>-3</v>
      </c>
      <c r="AG230" s="31">
        <v>3</v>
      </c>
      <c r="AH230" s="31">
        <v>715.8</v>
      </c>
      <c r="AI230" s="31">
        <v>0</v>
      </c>
      <c r="AJ230" s="370">
        <v>8.8533849999999994</v>
      </c>
      <c r="AK230" s="219">
        <v>715.8</v>
      </c>
      <c r="AL230" s="219">
        <v>0</v>
      </c>
      <c r="AM230" s="219">
        <v>0</v>
      </c>
      <c r="AN230" s="219">
        <v>0</v>
      </c>
      <c r="AO230" s="116">
        <v>0</v>
      </c>
      <c r="AP230" s="116">
        <v>0</v>
      </c>
      <c r="AQ230" s="116">
        <v>5</v>
      </c>
      <c r="AR230" s="116">
        <v>19011.758948999995</v>
      </c>
      <c r="AS230" s="116">
        <v>-253490.11932</v>
      </c>
      <c r="AT230" s="116">
        <v>0</v>
      </c>
      <c r="AU230" s="385">
        <v>0</v>
      </c>
      <c r="AV230" s="332">
        <v>0</v>
      </c>
      <c r="AW230" s="332">
        <v>0</v>
      </c>
      <c r="AX230" s="332">
        <v>-19011.758948999999</v>
      </c>
      <c r="AY230" s="332">
        <v>0</v>
      </c>
      <c r="AZ230" s="332">
        <v>0</v>
      </c>
      <c r="BA230" s="332">
        <v>0</v>
      </c>
      <c r="BB230" s="31">
        <v>324598.23221786699</v>
      </c>
      <c r="BC230" s="31">
        <v>0</v>
      </c>
      <c r="BD230" s="29">
        <v>0</v>
      </c>
      <c r="BE230" s="31">
        <v>0</v>
      </c>
    </row>
    <row r="231" spans="1:57" ht="13">
      <c r="A231" s="153">
        <v>44570</v>
      </c>
      <c r="B231" s="10" t="s">
        <v>183</v>
      </c>
      <c r="C231" s="10">
        <v>44568000021</v>
      </c>
      <c r="D231" s="10" t="s">
        <v>16</v>
      </c>
      <c r="E231" s="10" t="s">
        <v>36</v>
      </c>
      <c r="F231" s="153">
        <v>44568</v>
      </c>
      <c r="G231" s="116" t="s">
        <v>37</v>
      </c>
      <c r="H231" s="116">
        <v>407579.05034999998</v>
      </c>
      <c r="I231" s="116">
        <v>92420.949649999966</v>
      </c>
      <c r="J231" s="116">
        <v>499999.99999999994</v>
      </c>
      <c r="K231" s="219">
        <v>648904.30964999995</v>
      </c>
      <c r="L231" s="116">
        <v>0</v>
      </c>
      <c r="M231" s="31">
        <v>82931.472000000009</v>
      </c>
      <c r="N231" s="336">
        <v>82931.472000000009</v>
      </c>
      <c r="O231" s="336">
        <v>0</v>
      </c>
      <c r="P231" s="219">
        <v>-82931.472000000009</v>
      </c>
      <c r="Q231" s="332">
        <v>6379.344000000001</v>
      </c>
      <c r="R231" s="219">
        <v>-13</v>
      </c>
      <c r="S231" s="332">
        <v>0</v>
      </c>
      <c r="T231" s="219">
        <v>0</v>
      </c>
      <c r="U231" s="332">
        <v>0</v>
      </c>
      <c r="V231" s="332">
        <v>0</v>
      </c>
      <c r="W231" s="370">
        <v>0</v>
      </c>
      <c r="X231" s="370">
        <v>24</v>
      </c>
      <c r="Y231" s="370">
        <v>0</v>
      </c>
      <c r="Z231" s="370">
        <v>0</v>
      </c>
      <c r="AA231" s="370">
        <v>0</v>
      </c>
      <c r="AB231" s="370">
        <v>11</v>
      </c>
      <c r="AC231" s="370">
        <v>0</v>
      </c>
      <c r="AD231" s="370">
        <v>0</v>
      </c>
      <c r="AE231" s="370">
        <v>0</v>
      </c>
      <c r="AF231" s="370">
        <v>13</v>
      </c>
      <c r="AG231" s="31">
        <v>-13</v>
      </c>
      <c r="AH231" s="31">
        <v>715.8</v>
      </c>
      <c r="AI231" s="31">
        <v>0</v>
      </c>
      <c r="AJ231" s="370">
        <v>8.8533849999999994</v>
      </c>
      <c r="AK231" s="219">
        <v>715.8</v>
      </c>
      <c r="AL231" s="219">
        <v>0</v>
      </c>
      <c r="AM231" s="219">
        <v>0</v>
      </c>
      <c r="AN231" s="219">
        <v>0</v>
      </c>
      <c r="AO231" s="116">
        <v>0</v>
      </c>
      <c r="AP231" s="116">
        <v>0</v>
      </c>
      <c r="AQ231" s="116">
        <v>5</v>
      </c>
      <c r="AR231" s="116">
        <v>-82384.288778999995</v>
      </c>
      <c r="AS231" s="116">
        <v>-253490.11932</v>
      </c>
      <c r="AT231" s="116">
        <v>0</v>
      </c>
      <c r="AU231" s="385">
        <v>0</v>
      </c>
      <c r="AV231" s="332">
        <v>0</v>
      </c>
      <c r="AW231" s="332">
        <v>0</v>
      </c>
      <c r="AX231" s="332">
        <v>82384.288778999995</v>
      </c>
      <c r="AY231" s="332">
        <v>0</v>
      </c>
      <c r="AZ231" s="332">
        <v>0</v>
      </c>
      <c r="BA231" s="332">
        <v>0</v>
      </c>
      <c r="BB231" s="31">
        <v>407529.70421786699</v>
      </c>
      <c r="BC231" s="31">
        <v>0</v>
      </c>
      <c r="BD231" s="29">
        <v>0</v>
      </c>
      <c r="BE231" s="31">
        <v>0</v>
      </c>
    </row>
    <row r="232" spans="1:57" ht="13">
      <c r="A232" s="153">
        <v>44570</v>
      </c>
      <c r="B232" s="10" t="s">
        <v>183</v>
      </c>
      <c r="C232" s="10">
        <v>44569000022</v>
      </c>
      <c r="D232" s="10" t="s">
        <v>16</v>
      </c>
      <c r="E232" s="10" t="s">
        <v>36</v>
      </c>
      <c r="F232" s="153">
        <v>44569</v>
      </c>
      <c r="G232" s="116" t="s">
        <v>37</v>
      </c>
      <c r="H232" s="116">
        <v>732923.75835000002</v>
      </c>
      <c r="I232" s="116">
        <v>-232923.75835000008</v>
      </c>
      <c r="J232" s="116">
        <v>499999.99999999994</v>
      </c>
      <c r="K232" s="219">
        <v>298041.43364999985</v>
      </c>
      <c r="L232" s="116">
        <v>0</v>
      </c>
      <c r="M232" s="31">
        <v>325344.70800000004</v>
      </c>
      <c r="N232" s="336">
        <v>-184999.93200000003</v>
      </c>
      <c r="O232" s="336">
        <v>0</v>
      </c>
      <c r="P232" s="219">
        <v>-325344.70800000004</v>
      </c>
      <c r="Q232" s="332">
        <v>6379.3080000000009</v>
      </c>
      <c r="R232" s="219">
        <v>-51</v>
      </c>
      <c r="S232" s="332">
        <v>0</v>
      </c>
      <c r="T232" s="219">
        <v>0</v>
      </c>
      <c r="U232" s="332">
        <v>0</v>
      </c>
      <c r="V232" s="332">
        <v>0</v>
      </c>
      <c r="W232" s="370">
        <v>0</v>
      </c>
      <c r="X232" s="370">
        <v>11</v>
      </c>
      <c r="Y232" s="370">
        <v>0</v>
      </c>
      <c r="Z232" s="370">
        <v>0</v>
      </c>
      <c r="AA232" s="370">
        <v>0</v>
      </c>
      <c r="AB232" s="370">
        <v>-40</v>
      </c>
      <c r="AC232" s="370">
        <v>0</v>
      </c>
      <c r="AD232" s="370">
        <v>0</v>
      </c>
      <c r="AE232" s="370">
        <v>0</v>
      </c>
      <c r="AF232" s="370">
        <v>-29</v>
      </c>
      <c r="AG232" s="31">
        <v>-51</v>
      </c>
      <c r="AH232" s="31">
        <v>715.8</v>
      </c>
      <c r="AI232" s="31">
        <v>0</v>
      </c>
      <c r="AJ232" s="370">
        <v>8.8533849999999994</v>
      </c>
      <c r="AK232" s="219">
        <v>715.8</v>
      </c>
      <c r="AL232" s="219">
        <v>0</v>
      </c>
      <c r="AM232" s="219">
        <v>0</v>
      </c>
      <c r="AN232" s="219">
        <v>0</v>
      </c>
      <c r="AO232" s="116">
        <v>0</v>
      </c>
      <c r="AP232" s="116">
        <v>0</v>
      </c>
      <c r="AQ232" s="116">
        <v>5</v>
      </c>
      <c r="AR232" s="116">
        <v>-323199.90213299997</v>
      </c>
      <c r="AS232" s="116">
        <v>-253490.11932</v>
      </c>
      <c r="AT232" s="116">
        <v>0</v>
      </c>
      <c r="AU232" s="385">
        <v>0</v>
      </c>
      <c r="AV232" s="332">
        <v>0</v>
      </c>
      <c r="AW232" s="332">
        <v>0</v>
      </c>
      <c r="AX232" s="332">
        <v>-183780.33650699997</v>
      </c>
      <c r="AY232" s="332">
        <v>0</v>
      </c>
      <c r="AZ232" s="332">
        <v>-42.941441976550202</v>
      </c>
      <c r="BA232" s="332">
        <v>0</v>
      </c>
      <c r="BB232" s="31">
        <v>732874.41221786698</v>
      </c>
      <c r="BC232" s="31">
        <v>0</v>
      </c>
      <c r="BD232" s="29">
        <v>0</v>
      </c>
      <c r="BE232" s="31">
        <v>0</v>
      </c>
    </row>
    <row r="233" spans="1:57" ht="13">
      <c r="A233" s="153">
        <v>44570</v>
      </c>
      <c r="B233" s="10" t="s">
        <v>183</v>
      </c>
      <c r="C233" s="10">
        <v>44570000023</v>
      </c>
      <c r="D233" s="10" t="s">
        <v>16</v>
      </c>
      <c r="E233" s="10" t="s">
        <v>38</v>
      </c>
      <c r="F233" s="153">
        <v>44570</v>
      </c>
      <c r="G233" s="116" t="s">
        <v>39</v>
      </c>
      <c r="H233" s="116">
        <v>739598.75835000002</v>
      </c>
      <c r="I233" s="116">
        <v>-239598.75835000008</v>
      </c>
      <c r="J233" s="116">
        <v>499999.99999999994</v>
      </c>
      <c r="K233" s="219">
        <v>159921.65764999983</v>
      </c>
      <c r="L233" s="116">
        <v>0</v>
      </c>
      <c r="M233" s="31">
        <v>6675</v>
      </c>
      <c r="N233" s="336">
        <v>2225</v>
      </c>
      <c r="O233" s="336">
        <v>0</v>
      </c>
      <c r="P233" s="219">
        <v>-6675</v>
      </c>
      <c r="Q233" s="332">
        <v>445</v>
      </c>
      <c r="R233" s="219">
        <v>-15</v>
      </c>
      <c r="S233" s="332">
        <v>0</v>
      </c>
      <c r="T233" s="219">
        <v>0</v>
      </c>
      <c r="U233" s="332">
        <v>0</v>
      </c>
      <c r="V233" s="332">
        <v>0</v>
      </c>
      <c r="W233" s="370">
        <v>0</v>
      </c>
      <c r="X233" s="370">
        <v>10</v>
      </c>
      <c r="Y233" s="370">
        <v>0</v>
      </c>
      <c r="Z233" s="370">
        <v>0</v>
      </c>
      <c r="AA233" s="370">
        <v>0</v>
      </c>
      <c r="AB233" s="370">
        <v>-5</v>
      </c>
      <c r="AC233" s="370">
        <v>0</v>
      </c>
      <c r="AD233" s="370">
        <v>0</v>
      </c>
      <c r="AE233" s="370">
        <v>0</v>
      </c>
      <c r="AF233" s="370">
        <v>5</v>
      </c>
      <c r="AG233" s="31">
        <v>-15</v>
      </c>
      <c r="AH233" s="31">
        <v>443</v>
      </c>
      <c r="AI233" s="31">
        <v>1</v>
      </c>
      <c r="AJ233" s="370">
        <v>1</v>
      </c>
      <c r="AK233" s="219">
        <v>443</v>
      </c>
      <c r="AL233" s="219">
        <v>0</v>
      </c>
      <c r="AM233" s="219">
        <v>0</v>
      </c>
      <c r="AN233" s="219">
        <v>0</v>
      </c>
      <c r="AO233" s="116">
        <v>0</v>
      </c>
      <c r="AP233" s="116">
        <v>0</v>
      </c>
      <c r="AQ233" s="116">
        <v>5</v>
      </c>
      <c r="AR233" s="116">
        <v>-6645</v>
      </c>
      <c r="AS233" s="116">
        <v>-2215</v>
      </c>
      <c r="AT233" s="116">
        <v>0</v>
      </c>
      <c r="AU233" s="385">
        <v>50705.046579599999</v>
      </c>
      <c r="AV233" s="332">
        <v>-291298.01763999998</v>
      </c>
      <c r="AW233" s="332">
        <v>-240592.97106039998</v>
      </c>
      <c r="AX233" s="332">
        <v>2215</v>
      </c>
      <c r="AY233" s="332">
        <v>0</v>
      </c>
      <c r="AZ233" s="332">
        <v>-0.37522288534642012</v>
      </c>
      <c r="BA233" s="332">
        <v>0</v>
      </c>
      <c r="BB233" s="31">
        <v>739549.41221786698</v>
      </c>
      <c r="BC233" s="31">
        <v>739549.41221786698</v>
      </c>
      <c r="BD233" s="29">
        <v>0</v>
      </c>
      <c r="BE233" s="31">
        <v>499005.7872896</v>
      </c>
    </row>
    <row r="234" spans="1:57" ht="13">
      <c r="A234" s="153">
        <v>44570</v>
      </c>
      <c r="B234" s="10" t="s">
        <v>184</v>
      </c>
      <c r="C234" s="10">
        <v>44561000006</v>
      </c>
      <c r="D234" s="10" t="s">
        <v>64</v>
      </c>
      <c r="E234" s="10" t="s">
        <v>64</v>
      </c>
      <c r="F234" s="153">
        <v>44561</v>
      </c>
      <c r="G234" s="116" t="s">
        <v>39</v>
      </c>
      <c r="H234" s="116">
        <v>500000</v>
      </c>
      <c r="I234" s="116">
        <v>0</v>
      </c>
      <c r="J234" s="116">
        <v>500000</v>
      </c>
      <c r="K234" s="219">
        <v>0</v>
      </c>
      <c r="L234" s="116">
        <v>0</v>
      </c>
      <c r="M234" s="31">
        <v>500000</v>
      </c>
      <c r="N234" s="336">
        <v>500000</v>
      </c>
      <c r="O234" s="336">
        <v>0</v>
      </c>
      <c r="P234" s="219">
        <v>0</v>
      </c>
      <c r="Q234" s="332">
        <v>0</v>
      </c>
      <c r="R234" s="219">
        <v>0</v>
      </c>
      <c r="S234" s="332">
        <v>0</v>
      </c>
      <c r="T234" s="219">
        <v>0</v>
      </c>
      <c r="U234" s="332">
        <v>0</v>
      </c>
      <c r="V234" s="332">
        <v>0</v>
      </c>
      <c r="W234" s="370">
        <v>0</v>
      </c>
      <c r="X234" s="370">
        <v>0</v>
      </c>
      <c r="Y234" s="370">
        <v>0</v>
      </c>
      <c r="Z234" s="370">
        <v>0</v>
      </c>
      <c r="AA234" s="370">
        <v>0</v>
      </c>
      <c r="AB234" s="370">
        <v>0</v>
      </c>
      <c r="AC234" s="370">
        <v>0</v>
      </c>
      <c r="AD234" s="370">
        <v>0</v>
      </c>
      <c r="AE234" s="370">
        <v>0</v>
      </c>
      <c r="AF234" s="370">
        <v>0</v>
      </c>
      <c r="AG234" s="31">
        <v>0</v>
      </c>
      <c r="AH234" s="31">
        <v>1</v>
      </c>
      <c r="AI234" s="31">
        <v>0</v>
      </c>
      <c r="AJ234" s="370">
        <v>1</v>
      </c>
      <c r="AK234" s="219">
        <v>0</v>
      </c>
      <c r="AL234" s="219">
        <v>0</v>
      </c>
      <c r="AM234" s="219">
        <v>0</v>
      </c>
      <c r="AN234" s="219">
        <v>0</v>
      </c>
      <c r="AO234" s="116">
        <v>0</v>
      </c>
      <c r="AP234" s="116">
        <v>0</v>
      </c>
      <c r="AQ234" s="116">
        <v>1</v>
      </c>
      <c r="AR234" s="116">
        <v>0</v>
      </c>
      <c r="AS234" s="116">
        <v>0</v>
      </c>
      <c r="AT234" s="116">
        <v>1</v>
      </c>
      <c r="AU234" s="385">
        <v>0</v>
      </c>
      <c r="AV234" s="332">
        <v>0</v>
      </c>
      <c r="AW234" s="332">
        <v>0</v>
      </c>
      <c r="AX234" s="332">
        <v>500000</v>
      </c>
      <c r="AY234" s="332">
        <v>0</v>
      </c>
      <c r="AZ234" s="332">
        <v>0</v>
      </c>
      <c r="BA234" s="332">
        <v>0</v>
      </c>
      <c r="BB234" s="31">
        <v>499999.62477711466</v>
      </c>
      <c r="BC234" s="31">
        <v>0</v>
      </c>
      <c r="BD234" s="29">
        <v>0</v>
      </c>
      <c r="BE234" s="31">
        <v>0</v>
      </c>
    </row>
    <row r="235" spans="1:57" ht="13">
      <c r="A235" s="153">
        <v>44570</v>
      </c>
      <c r="B235" s="10" t="s">
        <v>184</v>
      </c>
      <c r="C235" s="10">
        <v>44563000025</v>
      </c>
      <c r="D235" s="10" t="s">
        <v>16</v>
      </c>
      <c r="E235" s="10" t="s">
        <v>40</v>
      </c>
      <c r="F235" s="153">
        <v>44563</v>
      </c>
      <c r="G235" s="116" t="s">
        <v>29</v>
      </c>
      <c r="H235" s="116">
        <v>450189.84940000001</v>
      </c>
      <c r="I235" s="116">
        <v>49810.150599999994</v>
      </c>
      <c r="J235" s="116">
        <v>500000</v>
      </c>
      <c r="K235" s="219">
        <v>450189.84940000001</v>
      </c>
      <c r="L235" s="116">
        <v>0</v>
      </c>
      <c r="M235" s="31">
        <v>-49810.150599999994</v>
      </c>
      <c r="N235" s="336">
        <v>-49810.150599999994</v>
      </c>
      <c r="O235" s="336">
        <v>49810.150599999994</v>
      </c>
      <c r="P235" s="219">
        <v>0</v>
      </c>
      <c r="Q235" s="332">
        <v>2490.5075299999999</v>
      </c>
      <c r="R235" s="219">
        <v>20</v>
      </c>
      <c r="S235" s="332">
        <v>0</v>
      </c>
      <c r="T235" s="219">
        <v>0</v>
      </c>
      <c r="U235" s="332">
        <v>0</v>
      </c>
      <c r="V235" s="332">
        <v>0</v>
      </c>
      <c r="W235" s="370">
        <v>0</v>
      </c>
      <c r="X235" s="370">
        <v>0</v>
      </c>
      <c r="Y235" s="370">
        <v>0</v>
      </c>
      <c r="Z235" s="370">
        <v>0</v>
      </c>
      <c r="AA235" s="370">
        <v>0</v>
      </c>
      <c r="AB235" s="370">
        <v>20</v>
      </c>
      <c r="AC235" s="370">
        <v>0</v>
      </c>
      <c r="AD235" s="370">
        <v>0</v>
      </c>
      <c r="AE235" s="370">
        <v>0</v>
      </c>
      <c r="AF235" s="370">
        <v>-20</v>
      </c>
      <c r="AG235" s="31">
        <v>20</v>
      </c>
      <c r="AH235" s="31">
        <v>1942</v>
      </c>
      <c r="AI235" s="31">
        <v>0</v>
      </c>
      <c r="AJ235" s="370">
        <v>1.2218640000000001</v>
      </c>
      <c r="AK235" s="219">
        <v>1942</v>
      </c>
      <c r="AL235" s="219">
        <v>0</v>
      </c>
      <c r="AM235" s="219">
        <v>0</v>
      </c>
      <c r="AN235" s="219">
        <v>0</v>
      </c>
      <c r="AO235" s="116">
        <v>0</v>
      </c>
      <c r="AP235" s="116">
        <v>0</v>
      </c>
      <c r="AQ235" s="116">
        <v>2</v>
      </c>
      <c r="AR235" s="116">
        <v>47457.197760000003</v>
      </c>
      <c r="AS235" s="116">
        <v>23728.598880000001</v>
      </c>
      <c r="AT235" s="116">
        <v>1</v>
      </c>
      <c r="AU235" s="385">
        <v>0</v>
      </c>
      <c r="AV235" s="332">
        <v>0</v>
      </c>
      <c r="AW235" s="332">
        <v>0</v>
      </c>
      <c r="AX235" s="332">
        <v>-47457.197760000003</v>
      </c>
      <c r="AY235" s="332">
        <v>0</v>
      </c>
      <c r="AZ235" s="332">
        <v>0</v>
      </c>
      <c r="BA235" s="332">
        <v>0</v>
      </c>
      <c r="BB235" s="31">
        <v>450189.47417711467</v>
      </c>
      <c r="BC235" s="31">
        <v>0</v>
      </c>
      <c r="BD235" s="29">
        <v>0</v>
      </c>
      <c r="BE235" s="31">
        <v>0</v>
      </c>
    </row>
    <row r="236" spans="1:57" ht="13">
      <c r="A236" s="153">
        <v>44570</v>
      </c>
      <c r="B236" s="10" t="s">
        <v>184</v>
      </c>
      <c r="C236" s="10">
        <v>44563000026</v>
      </c>
      <c r="D236" s="10" t="s">
        <v>16</v>
      </c>
      <c r="E236" s="10" t="s">
        <v>38</v>
      </c>
      <c r="F236" s="153">
        <v>44563</v>
      </c>
      <c r="G236" s="116" t="s">
        <v>39</v>
      </c>
      <c r="H236" s="116">
        <v>452489.84940000001</v>
      </c>
      <c r="I236" s="116">
        <v>47510.150599999994</v>
      </c>
      <c r="J236" s="116">
        <v>500000</v>
      </c>
      <c r="K236" s="219">
        <v>447889.84940000001</v>
      </c>
      <c r="L236" s="116">
        <v>0</v>
      </c>
      <c r="M236" s="31">
        <v>2300</v>
      </c>
      <c r="N236" s="336">
        <v>-2300</v>
      </c>
      <c r="O236" s="336">
        <v>0</v>
      </c>
      <c r="P236" s="219">
        <v>-2300</v>
      </c>
      <c r="Q236" s="332">
        <v>460</v>
      </c>
      <c r="R236" s="219">
        <v>-5</v>
      </c>
      <c r="S236" s="332">
        <v>0</v>
      </c>
      <c r="T236" s="219">
        <v>0</v>
      </c>
      <c r="U236" s="332">
        <v>0</v>
      </c>
      <c r="V236" s="332">
        <v>0</v>
      </c>
      <c r="W236" s="370">
        <v>0</v>
      </c>
      <c r="X236" s="370">
        <v>0</v>
      </c>
      <c r="Y236" s="370">
        <v>0</v>
      </c>
      <c r="Z236" s="370">
        <v>0</v>
      </c>
      <c r="AA236" s="370">
        <v>0</v>
      </c>
      <c r="AB236" s="370">
        <v>-5</v>
      </c>
      <c r="AC236" s="370">
        <v>0</v>
      </c>
      <c r="AD236" s="370">
        <v>0</v>
      </c>
      <c r="AE236" s="370">
        <v>0</v>
      </c>
      <c r="AF236" s="370">
        <v>-5</v>
      </c>
      <c r="AG236" s="31">
        <v>-5</v>
      </c>
      <c r="AH236" s="31">
        <v>443</v>
      </c>
      <c r="AI236" s="31">
        <v>0</v>
      </c>
      <c r="AJ236" s="370">
        <v>1</v>
      </c>
      <c r="AK236" s="219">
        <v>443</v>
      </c>
      <c r="AL236" s="219">
        <v>0</v>
      </c>
      <c r="AM236" s="219">
        <v>0</v>
      </c>
      <c r="AN236" s="219">
        <v>0</v>
      </c>
      <c r="AO236" s="116">
        <v>0</v>
      </c>
      <c r="AP236" s="116">
        <v>0</v>
      </c>
      <c r="AQ236" s="116">
        <v>3</v>
      </c>
      <c r="AR236" s="116">
        <v>-2215</v>
      </c>
      <c r="AS236" s="116">
        <v>4430</v>
      </c>
      <c r="AT236" s="116">
        <v>1</v>
      </c>
      <c r="AU236" s="385">
        <v>0</v>
      </c>
      <c r="AV236" s="332">
        <v>0</v>
      </c>
      <c r="AW236" s="332">
        <v>0</v>
      </c>
      <c r="AX236" s="332">
        <v>-2215</v>
      </c>
      <c r="AY236" s="332">
        <v>0</v>
      </c>
      <c r="AZ236" s="332">
        <v>-0.37522288534642012</v>
      </c>
      <c r="BA236" s="332">
        <v>0</v>
      </c>
      <c r="BB236" s="31">
        <v>452489.47417711467</v>
      </c>
      <c r="BC236" s="31">
        <v>0</v>
      </c>
      <c r="BD236" s="29">
        <v>0</v>
      </c>
      <c r="BE236" s="31">
        <v>0</v>
      </c>
    </row>
    <row r="237" spans="1:57" ht="13">
      <c r="A237" s="153">
        <v>44570</v>
      </c>
      <c r="B237" s="10" t="s">
        <v>184</v>
      </c>
      <c r="C237" s="10">
        <v>44564000027</v>
      </c>
      <c r="D237" s="10" t="s">
        <v>16</v>
      </c>
      <c r="E237" s="10" t="s">
        <v>40</v>
      </c>
      <c r="F237" s="153">
        <v>44564</v>
      </c>
      <c r="G237" s="116" t="s">
        <v>29</v>
      </c>
      <c r="H237" s="116">
        <v>477643.14439999999</v>
      </c>
      <c r="I237" s="116">
        <v>22356.855599999995</v>
      </c>
      <c r="J237" s="116">
        <v>500000</v>
      </c>
      <c r="K237" s="219">
        <v>473043.14439999999</v>
      </c>
      <c r="L237" s="116">
        <v>0</v>
      </c>
      <c r="M237" s="31">
        <v>25153.294999999998</v>
      </c>
      <c r="N237" s="336">
        <v>25153.295000000002</v>
      </c>
      <c r="O237" s="336">
        <v>0</v>
      </c>
      <c r="P237" s="219">
        <v>-25153.294999999998</v>
      </c>
      <c r="Q237" s="332">
        <v>2515.3294999999998</v>
      </c>
      <c r="R237" s="219">
        <v>-10</v>
      </c>
      <c r="S237" s="332">
        <v>0</v>
      </c>
      <c r="T237" s="219">
        <v>0</v>
      </c>
      <c r="U237" s="332">
        <v>0</v>
      </c>
      <c r="V237" s="332">
        <v>0</v>
      </c>
      <c r="W237" s="370">
        <v>0</v>
      </c>
      <c r="X237" s="370">
        <v>20</v>
      </c>
      <c r="Y237" s="370">
        <v>0</v>
      </c>
      <c r="Z237" s="370">
        <v>0</v>
      </c>
      <c r="AA237" s="370">
        <v>0</v>
      </c>
      <c r="AB237" s="370">
        <v>10</v>
      </c>
      <c r="AC237" s="370">
        <v>0</v>
      </c>
      <c r="AD237" s="370">
        <v>0</v>
      </c>
      <c r="AE237" s="370">
        <v>0</v>
      </c>
      <c r="AF237" s="370">
        <v>10</v>
      </c>
      <c r="AG237" s="31">
        <v>-10</v>
      </c>
      <c r="AH237" s="31">
        <v>1942</v>
      </c>
      <c r="AI237" s="31">
        <v>0</v>
      </c>
      <c r="AJ237" s="370">
        <v>1.2218640000000001</v>
      </c>
      <c r="AK237" s="219">
        <v>1942</v>
      </c>
      <c r="AL237" s="219">
        <v>0</v>
      </c>
      <c r="AM237" s="219">
        <v>0</v>
      </c>
      <c r="AN237" s="219">
        <v>0</v>
      </c>
      <c r="AO237" s="116">
        <v>0</v>
      </c>
      <c r="AP237" s="116">
        <v>0</v>
      </c>
      <c r="AQ237" s="116">
        <v>3</v>
      </c>
      <c r="AR237" s="116">
        <v>-23728.598880000001</v>
      </c>
      <c r="AS237" s="116">
        <v>23728.598880000001</v>
      </c>
      <c r="AT237" s="116">
        <v>0</v>
      </c>
      <c r="AU237" s="385">
        <v>0</v>
      </c>
      <c r="AV237" s="332">
        <v>0</v>
      </c>
      <c r="AW237" s="332">
        <v>0</v>
      </c>
      <c r="AX237" s="332">
        <v>23728.598880000001</v>
      </c>
      <c r="AY237" s="332">
        <v>0</v>
      </c>
      <c r="AZ237" s="332">
        <v>0</v>
      </c>
      <c r="BA237" s="332">
        <v>0</v>
      </c>
      <c r="BB237" s="31">
        <v>477642.76917711465</v>
      </c>
      <c r="BC237" s="31">
        <v>0</v>
      </c>
      <c r="BD237" s="29">
        <v>0</v>
      </c>
      <c r="BE237" s="31">
        <v>0</v>
      </c>
    </row>
    <row r="238" spans="1:57" ht="13">
      <c r="A238" s="153">
        <v>44570</v>
      </c>
      <c r="B238" s="10" t="s">
        <v>184</v>
      </c>
      <c r="C238" s="10">
        <v>44564000028</v>
      </c>
      <c r="D238" s="10" t="s">
        <v>16</v>
      </c>
      <c r="E238" s="10" t="s">
        <v>38</v>
      </c>
      <c r="F238" s="153">
        <v>44564</v>
      </c>
      <c r="G238" s="116" t="s">
        <v>39</v>
      </c>
      <c r="H238" s="116">
        <v>470743.14439999999</v>
      </c>
      <c r="I238" s="116">
        <v>29256.855599999995</v>
      </c>
      <c r="J238" s="116">
        <v>500000</v>
      </c>
      <c r="K238" s="219">
        <v>470743.14439999999</v>
      </c>
      <c r="L238" s="116">
        <v>0</v>
      </c>
      <c r="M238" s="31">
        <v>-6900</v>
      </c>
      <c r="N238" s="336">
        <v>-2300</v>
      </c>
      <c r="O238" s="336">
        <v>6900</v>
      </c>
      <c r="P238" s="219">
        <v>0</v>
      </c>
      <c r="Q238" s="332">
        <v>460</v>
      </c>
      <c r="R238" s="219">
        <v>15</v>
      </c>
      <c r="S238" s="332">
        <v>0</v>
      </c>
      <c r="T238" s="219">
        <v>0</v>
      </c>
      <c r="U238" s="332">
        <v>0</v>
      </c>
      <c r="V238" s="332">
        <v>0</v>
      </c>
      <c r="W238" s="370">
        <v>0</v>
      </c>
      <c r="X238" s="370">
        <v>-5</v>
      </c>
      <c r="Y238" s="370">
        <v>0</v>
      </c>
      <c r="Z238" s="370">
        <v>0</v>
      </c>
      <c r="AA238" s="370">
        <v>0</v>
      </c>
      <c r="AB238" s="370">
        <v>10</v>
      </c>
      <c r="AC238" s="370">
        <v>0</v>
      </c>
      <c r="AD238" s="370">
        <v>0</v>
      </c>
      <c r="AE238" s="370">
        <v>0</v>
      </c>
      <c r="AF238" s="370">
        <v>-5</v>
      </c>
      <c r="AG238" s="31">
        <v>15</v>
      </c>
      <c r="AH238" s="31">
        <v>443</v>
      </c>
      <c r="AI238" s="31">
        <v>1</v>
      </c>
      <c r="AJ238" s="370">
        <v>1</v>
      </c>
      <c r="AK238" s="219">
        <v>443</v>
      </c>
      <c r="AL238" s="219">
        <v>0</v>
      </c>
      <c r="AM238" s="219">
        <v>0</v>
      </c>
      <c r="AN238" s="219">
        <v>0</v>
      </c>
      <c r="AO238" s="116">
        <v>0</v>
      </c>
      <c r="AP238" s="116">
        <v>0</v>
      </c>
      <c r="AQ238" s="116">
        <v>3</v>
      </c>
      <c r="AR238" s="116">
        <v>6645</v>
      </c>
      <c r="AS238" s="116">
        <v>4430</v>
      </c>
      <c r="AT238" s="116">
        <v>0</v>
      </c>
      <c r="AU238" s="385">
        <v>28158.598880000001</v>
      </c>
      <c r="AV238" s="332">
        <v>0</v>
      </c>
      <c r="AW238" s="332">
        <v>28158.598880000001</v>
      </c>
      <c r="AX238" s="332">
        <v>-2215</v>
      </c>
      <c r="AY238" s="332">
        <v>0</v>
      </c>
      <c r="AZ238" s="332">
        <v>0</v>
      </c>
      <c r="BA238" s="332">
        <v>0</v>
      </c>
      <c r="BB238" s="31">
        <v>470742.76917711465</v>
      </c>
      <c r="BC238" s="31">
        <v>470742.76917711465</v>
      </c>
      <c r="BD238" s="29">
        <v>0</v>
      </c>
      <c r="BE238" s="31">
        <v>498901.74328</v>
      </c>
    </row>
    <row r="239" spans="1:57" ht="13">
      <c r="A239" s="153">
        <v>44570</v>
      </c>
      <c r="B239" s="10" t="s">
        <v>185</v>
      </c>
      <c r="C239" s="10">
        <v>44561000007</v>
      </c>
      <c r="D239" s="10" t="s">
        <v>64</v>
      </c>
      <c r="E239" s="10" t="s">
        <v>64</v>
      </c>
      <c r="F239" s="153">
        <v>44561</v>
      </c>
      <c r="G239" s="116" t="s">
        <v>39</v>
      </c>
      <c r="H239" s="116">
        <v>500000</v>
      </c>
      <c r="I239" s="116">
        <v>0</v>
      </c>
      <c r="J239" s="116">
        <v>500000</v>
      </c>
      <c r="K239" s="219">
        <v>0</v>
      </c>
      <c r="L239" s="116">
        <v>0</v>
      </c>
      <c r="M239" s="31">
        <v>500000</v>
      </c>
      <c r="N239" s="336">
        <v>500000</v>
      </c>
      <c r="O239" s="336">
        <v>0</v>
      </c>
      <c r="P239" s="219">
        <v>0</v>
      </c>
      <c r="Q239" s="332">
        <v>0</v>
      </c>
      <c r="R239" s="219">
        <v>0</v>
      </c>
      <c r="S239" s="332">
        <v>0</v>
      </c>
      <c r="T239" s="219">
        <v>0</v>
      </c>
      <c r="U239" s="332">
        <v>0</v>
      </c>
      <c r="V239" s="332">
        <v>0</v>
      </c>
      <c r="W239" s="370">
        <v>0</v>
      </c>
      <c r="X239" s="370">
        <v>0</v>
      </c>
      <c r="Y239" s="370">
        <v>0</v>
      </c>
      <c r="Z239" s="370">
        <v>0</v>
      </c>
      <c r="AA239" s="370">
        <v>0</v>
      </c>
      <c r="AB239" s="370">
        <v>0</v>
      </c>
      <c r="AC239" s="370">
        <v>0</v>
      </c>
      <c r="AD239" s="370">
        <v>0</v>
      </c>
      <c r="AE239" s="370">
        <v>0</v>
      </c>
      <c r="AF239" s="370">
        <v>0</v>
      </c>
      <c r="AG239" s="31">
        <v>0</v>
      </c>
      <c r="AH239" s="31">
        <v>1</v>
      </c>
      <c r="AI239" s="31">
        <v>0</v>
      </c>
      <c r="AJ239" s="370">
        <v>1</v>
      </c>
      <c r="AK239" s="219">
        <v>0</v>
      </c>
      <c r="AL239" s="219">
        <v>0</v>
      </c>
      <c r="AM239" s="219">
        <v>0</v>
      </c>
      <c r="AN239" s="219">
        <v>0</v>
      </c>
      <c r="AO239" s="116">
        <v>0</v>
      </c>
      <c r="AP239" s="116">
        <v>0</v>
      </c>
      <c r="AQ239" s="116">
        <v>1</v>
      </c>
      <c r="AR239" s="116">
        <v>0</v>
      </c>
      <c r="AS239" s="116">
        <v>0</v>
      </c>
      <c r="AT239" s="116">
        <v>1</v>
      </c>
      <c r="AU239" s="385">
        <v>0</v>
      </c>
      <c r="AV239" s="332">
        <v>0</v>
      </c>
      <c r="AW239" s="332">
        <v>0</v>
      </c>
      <c r="AX239" s="332">
        <v>500000</v>
      </c>
      <c r="AY239" s="332">
        <v>0</v>
      </c>
      <c r="AZ239" s="332">
        <v>0</v>
      </c>
      <c r="BA239" s="332">
        <v>0</v>
      </c>
      <c r="BB239" s="31">
        <v>499999.31750231684</v>
      </c>
      <c r="BC239" s="31">
        <v>0</v>
      </c>
      <c r="BD239" s="29">
        <v>0</v>
      </c>
      <c r="BE239" s="31">
        <v>0</v>
      </c>
    </row>
    <row r="240" spans="1:57" ht="13">
      <c r="A240" s="153">
        <v>44570</v>
      </c>
      <c r="B240" s="10" t="s">
        <v>185</v>
      </c>
      <c r="C240" s="10">
        <v>44562000029</v>
      </c>
      <c r="D240" s="10" t="s">
        <v>61</v>
      </c>
      <c r="E240" s="10" t="s">
        <v>63</v>
      </c>
      <c r="F240" s="153">
        <v>44562</v>
      </c>
      <c r="G240" s="116" t="s">
        <v>39</v>
      </c>
      <c r="H240" s="116">
        <v>490000</v>
      </c>
      <c r="I240" s="116">
        <v>10000</v>
      </c>
      <c r="J240" s="116">
        <v>500000</v>
      </c>
      <c r="K240" s="219">
        <v>490000</v>
      </c>
      <c r="L240" s="116">
        <v>0</v>
      </c>
      <c r="M240" s="31">
        <v>-10000</v>
      </c>
      <c r="N240" s="336">
        <v>-10000</v>
      </c>
      <c r="O240" s="336">
        <v>0</v>
      </c>
      <c r="P240" s="219">
        <v>0</v>
      </c>
      <c r="Q240" s="332">
        <v>0</v>
      </c>
      <c r="R240" s="219">
        <v>0</v>
      </c>
      <c r="S240" s="332">
        <v>0</v>
      </c>
      <c r="T240" s="219">
        <v>0</v>
      </c>
      <c r="U240" s="332">
        <v>0</v>
      </c>
      <c r="V240" s="332">
        <v>0</v>
      </c>
      <c r="W240" s="370">
        <v>10000</v>
      </c>
      <c r="X240" s="370">
        <v>0</v>
      </c>
      <c r="Y240" s="370">
        <v>0</v>
      </c>
      <c r="Z240" s="370">
        <v>0</v>
      </c>
      <c r="AA240" s="370">
        <v>0</v>
      </c>
      <c r="AB240" s="370">
        <v>0</v>
      </c>
      <c r="AC240" s="370">
        <v>0</v>
      </c>
      <c r="AD240" s="370">
        <v>0</v>
      </c>
      <c r="AE240" s="370">
        <v>10000</v>
      </c>
      <c r="AF240" s="370">
        <v>-10000</v>
      </c>
      <c r="AG240" s="31">
        <v>10000</v>
      </c>
      <c r="AH240" s="31">
        <v>1</v>
      </c>
      <c r="AI240" s="31">
        <v>0</v>
      </c>
      <c r="AJ240" s="370">
        <v>1</v>
      </c>
      <c r="AK240" s="219">
        <v>0</v>
      </c>
      <c r="AL240" s="219">
        <v>0</v>
      </c>
      <c r="AM240" s="219">
        <v>0</v>
      </c>
      <c r="AN240" s="219">
        <v>0</v>
      </c>
      <c r="AO240" s="116">
        <v>0</v>
      </c>
      <c r="AP240" s="116">
        <v>1</v>
      </c>
      <c r="AQ240" s="116">
        <v>2</v>
      </c>
      <c r="AR240" s="116">
        <v>10000</v>
      </c>
      <c r="AS240" s="116">
        <v>-5000</v>
      </c>
      <c r="AT240" s="116">
        <v>1</v>
      </c>
      <c r="AU240" s="385">
        <v>0</v>
      </c>
      <c r="AV240" s="332">
        <v>0</v>
      </c>
      <c r="AW240" s="332">
        <v>0</v>
      </c>
      <c r="AX240" s="332">
        <v>-10000</v>
      </c>
      <c r="AY240" s="332">
        <v>0</v>
      </c>
      <c r="AZ240" s="332">
        <v>0</v>
      </c>
      <c r="BA240" s="332">
        <v>4.1126643175088691E-2</v>
      </c>
      <c r="BB240" s="31">
        <v>489999.31750231684</v>
      </c>
      <c r="BC240" s="31">
        <v>0</v>
      </c>
      <c r="BD240" s="29">
        <v>0</v>
      </c>
      <c r="BE240" s="31">
        <v>0</v>
      </c>
    </row>
    <row r="241" spans="1:57" ht="13">
      <c r="A241" s="153">
        <v>44570</v>
      </c>
      <c r="B241" s="10" t="s">
        <v>185</v>
      </c>
      <c r="C241" s="10">
        <v>44562000030</v>
      </c>
      <c r="D241" s="10" t="s">
        <v>18</v>
      </c>
      <c r="E241" s="10" t="s">
        <v>7</v>
      </c>
      <c r="F241" s="153">
        <v>44562</v>
      </c>
      <c r="G241" s="116" t="s">
        <v>41</v>
      </c>
      <c r="H241" s="116">
        <v>448805.40759999998</v>
      </c>
      <c r="I241" s="116">
        <v>51194.592400000009</v>
      </c>
      <c r="J241" s="116">
        <v>500000</v>
      </c>
      <c r="K241" s="219">
        <v>458805.40759999998</v>
      </c>
      <c r="L241" s="116">
        <v>0</v>
      </c>
      <c r="M241" s="31">
        <v>-41194.592400000009</v>
      </c>
      <c r="N241" s="336">
        <v>-41194.592400000001</v>
      </c>
      <c r="O241" s="336">
        <v>0</v>
      </c>
      <c r="P241" s="219">
        <v>0</v>
      </c>
      <c r="Q241" s="332">
        <v>0</v>
      </c>
      <c r="R241" s="219">
        <v>0</v>
      </c>
      <c r="S241" s="332">
        <v>13.21</v>
      </c>
      <c r="T241" s="219">
        <v>40</v>
      </c>
      <c r="U241" s="332">
        <v>0</v>
      </c>
      <c r="V241" s="332">
        <v>0</v>
      </c>
      <c r="W241" s="370">
        <v>0</v>
      </c>
      <c r="X241" s="370">
        <v>0</v>
      </c>
      <c r="Y241" s="370">
        <v>0</v>
      </c>
      <c r="Z241" s="370">
        <v>0</v>
      </c>
      <c r="AA241" s="370">
        <v>0</v>
      </c>
      <c r="AB241" s="370">
        <v>0</v>
      </c>
      <c r="AC241" s="370">
        <v>40</v>
      </c>
      <c r="AD241" s="370">
        <v>0</v>
      </c>
      <c r="AE241" s="370">
        <v>0</v>
      </c>
      <c r="AF241" s="370">
        <v>-40</v>
      </c>
      <c r="AG241" s="31">
        <v>40</v>
      </c>
      <c r="AH241" s="31">
        <v>16.29</v>
      </c>
      <c r="AI241" s="31">
        <v>0</v>
      </c>
      <c r="AJ241" s="370">
        <v>7.7981850000000001</v>
      </c>
      <c r="AK241" s="219">
        <v>0</v>
      </c>
      <c r="AL241" s="219">
        <v>16.29</v>
      </c>
      <c r="AM241" s="219">
        <v>18.71</v>
      </c>
      <c r="AN241" s="219">
        <v>0</v>
      </c>
      <c r="AO241" s="116">
        <v>0</v>
      </c>
      <c r="AP241" s="116">
        <v>0</v>
      </c>
      <c r="AQ241" s="116">
        <v>3</v>
      </c>
      <c r="AR241" s="116">
        <v>50812.973460000001</v>
      </c>
      <c r="AS241" s="116">
        <v>50812.973460000001</v>
      </c>
      <c r="AT241" s="116">
        <v>1</v>
      </c>
      <c r="AU241" s="385">
        <v>0</v>
      </c>
      <c r="AV241" s="332">
        <v>0</v>
      </c>
      <c r="AW241" s="332">
        <v>0</v>
      </c>
      <c r="AX241" s="332">
        <v>-54587.295000000006</v>
      </c>
      <c r="AY241" s="332">
        <v>0</v>
      </c>
      <c r="AZ241" s="332">
        <v>0</v>
      </c>
      <c r="BA241" s="332">
        <v>0</v>
      </c>
      <c r="BB241" s="31">
        <v>448804.72510231682</v>
      </c>
      <c r="BC241" s="31">
        <v>0</v>
      </c>
      <c r="BD241" s="29">
        <v>0</v>
      </c>
      <c r="BE241" s="31">
        <v>0</v>
      </c>
    </row>
    <row r="242" spans="1:57" ht="13">
      <c r="A242" s="153">
        <v>44570</v>
      </c>
      <c r="B242" s="10" t="s">
        <v>185</v>
      </c>
      <c r="C242" s="10">
        <v>44562000031</v>
      </c>
      <c r="D242" s="10" t="s">
        <v>61</v>
      </c>
      <c r="E242" s="10" t="s">
        <v>63</v>
      </c>
      <c r="F242" s="153">
        <v>44562</v>
      </c>
      <c r="G242" s="116" t="s">
        <v>39</v>
      </c>
      <c r="H242" s="116">
        <v>428805.40759999998</v>
      </c>
      <c r="I242" s="116">
        <v>71194.592400000009</v>
      </c>
      <c r="J242" s="116">
        <v>500000</v>
      </c>
      <c r="K242" s="219">
        <v>438805.40759999998</v>
      </c>
      <c r="L242" s="116">
        <v>0</v>
      </c>
      <c r="M242" s="31">
        <v>-20000</v>
      </c>
      <c r="N242" s="336">
        <v>-20000</v>
      </c>
      <c r="O242" s="336">
        <v>0</v>
      </c>
      <c r="P242" s="219">
        <v>0</v>
      </c>
      <c r="Q242" s="332">
        <v>0</v>
      </c>
      <c r="R242" s="219">
        <v>0</v>
      </c>
      <c r="S242" s="332">
        <v>0</v>
      </c>
      <c r="T242" s="219">
        <v>0</v>
      </c>
      <c r="U242" s="332">
        <v>0</v>
      </c>
      <c r="V242" s="332">
        <v>0</v>
      </c>
      <c r="W242" s="370">
        <v>20000</v>
      </c>
      <c r="X242" s="370">
        <v>0</v>
      </c>
      <c r="Y242" s="370">
        <v>0</v>
      </c>
      <c r="Z242" s="370">
        <v>0</v>
      </c>
      <c r="AA242" s="370">
        <v>10000</v>
      </c>
      <c r="AB242" s="370">
        <v>0</v>
      </c>
      <c r="AC242" s="370">
        <v>0</v>
      </c>
      <c r="AD242" s="370">
        <v>0</v>
      </c>
      <c r="AE242" s="370">
        <v>30000</v>
      </c>
      <c r="AF242" s="370">
        <v>-20000</v>
      </c>
      <c r="AG242" s="31">
        <v>20000</v>
      </c>
      <c r="AH242" s="31">
        <v>1</v>
      </c>
      <c r="AI242" s="31">
        <v>0</v>
      </c>
      <c r="AJ242" s="370">
        <v>1</v>
      </c>
      <c r="AK242" s="219">
        <v>0</v>
      </c>
      <c r="AL242" s="219">
        <v>0</v>
      </c>
      <c r="AM242" s="219">
        <v>0</v>
      </c>
      <c r="AN242" s="219">
        <v>0</v>
      </c>
      <c r="AO242" s="116">
        <v>0</v>
      </c>
      <c r="AP242" s="116">
        <v>1</v>
      </c>
      <c r="AQ242" s="116">
        <v>3</v>
      </c>
      <c r="AR242" s="116">
        <v>20000</v>
      </c>
      <c r="AS242" s="116">
        <v>-5000</v>
      </c>
      <c r="AT242" s="116">
        <v>0</v>
      </c>
      <c r="AU242" s="385">
        <v>0</v>
      </c>
      <c r="AV242" s="332">
        <v>0</v>
      </c>
      <c r="AW242" s="332">
        <v>0</v>
      </c>
      <c r="AX242" s="332">
        <v>-20000</v>
      </c>
      <c r="AY242" s="332">
        <v>0</v>
      </c>
      <c r="AZ242" s="332">
        <v>0</v>
      </c>
      <c r="BA242" s="332">
        <v>0.12337992952526605</v>
      </c>
      <c r="BB242" s="31">
        <v>428804.72510231682</v>
      </c>
      <c r="BC242" s="31">
        <v>0</v>
      </c>
      <c r="BD242" s="29">
        <v>0</v>
      </c>
      <c r="BE242" s="31">
        <v>0</v>
      </c>
    </row>
    <row r="243" spans="1:57" ht="13">
      <c r="A243" s="153">
        <v>44570</v>
      </c>
      <c r="B243" s="10" t="s">
        <v>185</v>
      </c>
      <c r="C243" s="10">
        <v>44562000035</v>
      </c>
      <c r="D243" s="10" t="s">
        <v>16</v>
      </c>
      <c r="E243" s="10" t="s">
        <v>38</v>
      </c>
      <c r="F243" s="153">
        <v>44562</v>
      </c>
      <c r="G243" s="116" t="s">
        <v>39</v>
      </c>
      <c r="H243" s="116">
        <v>424205.40759999998</v>
      </c>
      <c r="I243" s="116">
        <v>75794.592400000009</v>
      </c>
      <c r="J243" s="116">
        <v>500000</v>
      </c>
      <c r="K243" s="219">
        <v>444205.40759999998</v>
      </c>
      <c r="L243" s="116">
        <v>0</v>
      </c>
      <c r="M243" s="31">
        <v>-4600</v>
      </c>
      <c r="N243" s="336">
        <v>-4600</v>
      </c>
      <c r="O243" s="336">
        <v>4600</v>
      </c>
      <c r="P243" s="219">
        <v>0</v>
      </c>
      <c r="Q243" s="332">
        <v>460</v>
      </c>
      <c r="R243" s="219">
        <v>10</v>
      </c>
      <c r="S243" s="332">
        <v>0</v>
      </c>
      <c r="T243" s="219">
        <v>0</v>
      </c>
      <c r="U243" s="332">
        <v>0</v>
      </c>
      <c r="V243" s="332">
        <v>0</v>
      </c>
      <c r="W243" s="370">
        <v>0</v>
      </c>
      <c r="X243" s="370">
        <v>0</v>
      </c>
      <c r="Y243" s="370">
        <v>0</v>
      </c>
      <c r="Z243" s="370">
        <v>0</v>
      </c>
      <c r="AA243" s="370">
        <v>0</v>
      </c>
      <c r="AB243" s="370">
        <v>10</v>
      </c>
      <c r="AC243" s="370">
        <v>0</v>
      </c>
      <c r="AD243" s="370">
        <v>0</v>
      </c>
      <c r="AE243" s="370">
        <v>0</v>
      </c>
      <c r="AF243" s="370">
        <v>-10</v>
      </c>
      <c r="AG243" s="31">
        <v>10</v>
      </c>
      <c r="AH243" s="31">
        <v>443</v>
      </c>
      <c r="AI243" s="31">
        <v>0</v>
      </c>
      <c r="AJ243" s="370">
        <v>1</v>
      </c>
      <c r="AK243" s="219">
        <v>443</v>
      </c>
      <c r="AL243" s="219">
        <v>0</v>
      </c>
      <c r="AM243" s="219">
        <v>0</v>
      </c>
      <c r="AN243" s="219">
        <v>0</v>
      </c>
      <c r="AO243" s="116">
        <v>0</v>
      </c>
      <c r="AP243" s="116">
        <v>0</v>
      </c>
      <c r="AQ243" s="116">
        <v>4</v>
      </c>
      <c r="AR243" s="116">
        <v>4430</v>
      </c>
      <c r="AS243" s="116">
        <v>172770</v>
      </c>
      <c r="AT243" s="116">
        <v>1</v>
      </c>
      <c r="AU243" s="385">
        <v>0</v>
      </c>
      <c r="AV243" s="332">
        <v>0</v>
      </c>
      <c r="AW243" s="332">
        <v>0</v>
      </c>
      <c r="AX243" s="332">
        <v>-4430</v>
      </c>
      <c r="AY243" s="332">
        <v>0</v>
      </c>
      <c r="AZ243" s="332">
        <v>0</v>
      </c>
      <c r="BA243" s="332">
        <v>0</v>
      </c>
      <c r="BB243" s="31">
        <v>424204.72510231682</v>
      </c>
      <c r="BC243" s="31">
        <v>0</v>
      </c>
      <c r="BD243" s="29">
        <v>0</v>
      </c>
      <c r="BE243" s="31">
        <v>0</v>
      </c>
    </row>
    <row r="244" spans="1:57" ht="13">
      <c r="A244" s="153">
        <v>44570</v>
      </c>
      <c r="B244" s="10" t="s">
        <v>185</v>
      </c>
      <c r="C244" s="10">
        <v>44563000032</v>
      </c>
      <c r="D244" s="10" t="s">
        <v>61</v>
      </c>
      <c r="E244" s="10" t="s">
        <v>63</v>
      </c>
      <c r="F244" s="153">
        <v>44563</v>
      </c>
      <c r="G244" s="116" t="s">
        <v>39</v>
      </c>
      <c r="H244" s="116">
        <v>459205.40759999998</v>
      </c>
      <c r="I244" s="116">
        <v>40794.592400000009</v>
      </c>
      <c r="J244" s="116">
        <v>500000</v>
      </c>
      <c r="K244" s="219">
        <v>469205.40759999998</v>
      </c>
      <c r="L244" s="116">
        <v>0</v>
      </c>
      <c r="M244" s="31">
        <v>35000</v>
      </c>
      <c r="N244" s="336">
        <v>25000</v>
      </c>
      <c r="O244" s="336">
        <v>0</v>
      </c>
      <c r="P244" s="219">
        <v>0</v>
      </c>
      <c r="Q244" s="332">
        <v>0</v>
      </c>
      <c r="R244" s="219">
        <v>0</v>
      </c>
      <c r="S244" s="332">
        <v>0</v>
      </c>
      <c r="T244" s="219">
        <v>0</v>
      </c>
      <c r="U244" s="332">
        <v>0</v>
      </c>
      <c r="V244" s="332">
        <v>0</v>
      </c>
      <c r="W244" s="370">
        <v>-35000</v>
      </c>
      <c r="X244" s="370">
        <v>0</v>
      </c>
      <c r="Y244" s="370">
        <v>0</v>
      </c>
      <c r="Z244" s="370">
        <v>0</v>
      </c>
      <c r="AA244" s="370">
        <v>30000</v>
      </c>
      <c r="AB244" s="370">
        <v>0</v>
      </c>
      <c r="AC244" s="370">
        <v>0</v>
      </c>
      <c r="AD244" s="370">
        <v>0</v>
      </c>
      <c r="AE244" s="370">
        <v>-5000</v>
      </c>
      <c r="AF244" s="370">
        <v>25000</v>
      </c>
      <c r="AG244" s="31">
        <v>-35000</v>
      </c>
      <c r="AH244" s="31">
        <v>1</v>
      </c>
      <c r="AI244" s="31">
        <v>0</v>
      </c>
      <c r="AJ244" s="370">
        <v>1</v>
      </c>
      <c r="AK244" s="219">
        <v>0</v>
      </c>
      <c r="AL244" s="219">
        <v>0</v>
      </c>
      <c r="AM244" s="219">
        <v>0</v>
      </c>
      <c r="AN244" s="219">
        <v>0</v>
      </c>
      <c r="AO244" s="116">
        <v>0</v>
      </c>
      <c r="AP244" s="116">
        <v>1</v>
      </c>
      <c r="AQ244" s="116">
        <v>4</v>
      </c>
      <c r="AR244" s="116">
        <v>-35000</v>
      </c>
      <c r="AS244" s="116">
        <v>-5000</v>
      </c>
      <c r="AT244" s="116">
        <v>0</v>
      </c>
      <c r="AU244" s="385">
        <v>0</v>
      </c>
      <c r="AV244" s="332">
        <v>0</v>
      </c>
      <c r="AW244" s="332">
        <v>0</v>
      </c>
      <c r="AX244" s="332">
        <v>25000</v>
      </c>
      <c r="AY244" s="332">
        <v>0</v>
      </c>
      <c r="AZ244" s="332">
        <v>-0.84700425586099348</v>
      </c>
      <c r="BA244" s="332">
        <v>0</v>
      </c>
      <c r="BB244" s="31">
        <v>459204.72510231682</v>
      </c>
      <c r="BC244" s="31">
        <v>0</v>
      </c>
      <c r="BD244" s="29">
        <v>0</v>
      </c>
      <c r="BE244" s="31">
        <v>0</v>
      </c>
    </row>
    <row r="245" spans="1:57" ht="13">
      <c r="A245" s="153">
        <v>44570</v>
      </c>
      <c r="B245" s="10" t="s">
        <v>185</v>
      </c>
      <c r="C245" s="10">
        <v>44565000036</v>
      </c>
      <c r="D245" s="10" t="s">
        <v>16</v>
      </c>
      <c r="E245" s="10" t="s">
        <v>38</v>
      </c>
      <c r="F245" s="153">
        <v>44565</v>
      </c>
      <c r="G245" s="116" t="s">
        <v>39</v>
      </c>
      <c r="H245" s="116">
        <v>288205.40759999998</v>
      </c>
      <c r="I245" s="116">
        <v>211794.59240000002</v>
      </c>
      <c r="J245" s="116">
        <v>500000</v>
      </c>
      <c r="K245" s="219">
        <v>238205.40759999998</v>
      </c>
      <c r="L245" s="116">
        <v>0</v>
      </c>
      <c r="M245" s="31">
        <v>-171000</v>
      </c>
      <c r="N245" s="336">
        <v>-171000</v>
      </c>
      <c r="O245" s="336">
        <v>171000</v>
      </c>
      <c r="P245" s="219">
        <v>0</v>
      </c>
      <c r="Q245" s="332">
        <v>450</v>
      </c>
      <c r="R245" s="219">
        <v>380</v>
      </c>
      <c r="S245" s="332">
        <v>0</v>
      </c>
      <c r="T245" s="219">
        <v>0</v>
      </c>
      <c r="U245" s="332">
        <v>0</v>
      </c>
      <c r="V245" s="332">
        <v>0</v>
      </c>
      <c r="W245" s="370">
        <v>0</v>
      </c>
      <c r="X245" s="370">
        <v>10</v>
      </c>
      <c r="Y245" s="370">
        <v>0</v>
      </c>
      <c r="Z245" s="370">
        <v>0</v>
      </c>
      <c r="AA245" s="370">
        <v>0</v>
      </c>
      <c r="AB245" s="370">
        <v>390</v>
      </c>
      <c r="AC245" s="370">
        <v>0</v>
      </c>
      <c r="AD245" s="370">
        <v>0</v>
      </c>
      <c r="AE245" s="370">
        <v>0</v>
      </c>
      <c r="AF245" s="370">
        <v>-380</v>
      </c>
      <c r="AG245" s="31">
        <v>380</v>
      </c>
      <c r="AH245" s="31">
        <v>443</v>
      </c>
      <c r="AI245" s="31">
        <v>1</v>
      </c>
      <c r="AJ245" s="370">
        <v>1</v>
      </c>
      <c r="AK245" s="219">
        <v>443</v>
      </c>
      <c r="AL245" s="219">
        <v>0</v>
      </c>
      <c r="AM245" s="219">
        <v>0</v>
      </c>
      <c r="AN245" s="219">
        <v>0</v>
      </c>
      <c r="AO245" s="116">
        <v>0</v>
      </c>
      <c r="AP245" s="116">
        <v>0</v>
      </c>
      <c r="AQ245" s="116">
        <v>4</v>
      </c>
      <c r="AR245" s="116">
        <v>168340</v>
      </c>
      <c r="AS245" s="116">
        <v>172770</v>
      </c>
      <c r="AT245" s="116">
        <v>0</v>
      </c>
      <c r="AU245" s="385">
        <v>223582.97346000001</v>
      </c>
      <c r="AV245" s="332">
        <v>-5000</v>
      </c>
      <c r="AW245" s="332">
        <v>218582.97346000001</v>
      </c>
      <c r="AX245" s="332">
        <v>-168340</v>
      </c>
      <c r="AY245" s="332">
        <v>0</v>
      </c>
      <c r="AZ245" s="332">
        <v>0</v>
      </c>
      <c r="BA245" s="332">
        <v>0</v>
      </c>
      <c r="BB245" s="31">
        <v>288204.72510231682</v>
      </c>
      <c r="BC245" s="31">
        <v>288204.72510231682</v>
      </c>
      <c r="BD245" s="29">
        <v>0</v>
      </c>
      <c r="BE245" s="31">
        <v>506788.38105999999</v>
      </c>
    </row>
    <row r="246" spans="1:57" ht="13">
      <c r="A246" s="153">
        <v>44570</v>
      </c>
      <c r="B246" s="10" t="s">
        <v>186</v>
      </c>
      <c r="C246" s="10">
        <v>44561000008</v>
      </c>
      <c r="D246" s="10" t="s">
        <v>64</v>
      </c>
      <c r="E246" s="10" t="s">
        <v>64</v>
      </c>
      <c r="F246" s="153">
        <v>44561</v>
      </c>
      <c r="G246" s="116" t="s">
        <v>39</v>
      </c>
      <c r="H246" s="116">
        <v>500000</v>
      </c>
      <c r="I246" s="116">
        <v>0</v>
      </c>
      <c r="J246" s="116">
        <v>500000</v>
      </c>
      <c r="K246" s="219">
        <v>0</v>
      </c>
      <c r="L246" s="116">
        <v>0</v>
      </c>
      <c r="M246" s="31">
        <v>500000</v>
      </c>
      <c r="N246" s="336">
        <v>500000</v>
      </c>
      <c r="O246" s="336">
        <v>0</v>
      </c>
      <c r="P246" s="219">
        <v>0</v>
      </c>
      <c r="Q246" s="332">
        <v>0</v>
      </c>
      <c r="R246" s="219">
        <v>0</v>
      </c>
      <c r="S246" s="332">
        <v>0</v>
      </c>
      <c r="T246" s="219">
        <v>0</v>
      </c>
      <c r="U246" s="332">
        <v>0</v>
      </c>
      <c r="V246" s="332">
        <v>0</v>
      </c>
      <c r="W246" s="370">
        <v>0</v>
      </c>
      <c r="X246" s="370">
        <v>0</v>
      </c>
      <c r="Y246" s="370">
        <v>0</v>
      </c>
      <c r="Z246" s="370">
        <v>0</v>
      </c>
      <c r="AA246" s="370">
        <v>0</v>
      </c>
      <c r="AB246" s="370">
        <v>0</v>
      </c>
      <c r="AC246" s="370">
        <v>0</v>
      </c>
      <c r="AD246" s="370">
        <v>0</v>
      </c>
      <c r="AE246" s="370">
        <v>0</v>
      </c>
      <c r="AF246" s="370">
        <v>0</v>
      </c>
      <c r="AG246" s="31">
        <v>0</v>
      </c>
      <c r="AH246" s="31">
        <v>1</v>
      </c>
      <c r="AI246" s="31">
        <v>0</v>
      </c>
      <c r="AJ246" s="370">
        <v>1</v>
      </c>
      <c r="AK246" s="219">
        <v>0</v>
      </c>
      <c r="AL246" s="219">
        <v>0</v>
      </c>
      <c r="AM246" s="219">
        <v>0</v>
      </c>
      <c r="AN246" s="219">
        <v>0</v>
      </c>
      <c r="AO246" s="116">
        <v>0</v>
      </c>
      <c r="AP246" s="116">
        <v>0</v>
      </c>
      <c r="AQ246" s="116">
        <v>1</v>
      </c>
      <c r="AR246" s="116">
        <v>0</v>
      </c>
      <c r="AS246" s="116">
        <v>0</v>
      </c>
      <c r="AT246" s="116">
        <v>1</v>
      </c>
      <c r="AU246" s="385">
        <v>0</v>
      </c>
      <c r="AV246" s="332">
        <v>0</v>
      </c>
      <c r="AW246" s="332">
        <v>0</v>
      </c>
      <c r="AX246" s="332">
        <v>500000</v>
      </c>
      <c r="AY246" s="332">
        <v>0</v>
      </c>
      <c r="AZ246" s="332">
        <v>0</v>
      </c>
      <c r="BA246" s="332">
        <v>0</v>
      </c>
      <c r="BB246" s="31">
        <v>500000</v>
      </c>
      <c r="BC246" s="31">
        <v>0</v>
      </c>
      <c r="BD246" s="29">
        <v>0</v>
      </c>
      <c r="BE246" s="31">
        <v>0</v>
      </c>
    </row>
    <row r="247" spans="1:57" ht="13">
      <c r="A247" s="153">
        <v>44570</v>
      </c>
      <c r="B247" s="10" t="s">
        <v>186</v>
      </c>
      <c r="C247" s="10">
        <v>44563000037</v>
      </c>
      <c r="D247" s="10" t="s">
        <v>16</v>
      </c>
      <c r="E247" s="10" t="s">
        <v>0</v>
      </c>
      <c r="F247" s="153">
        <v>44563</v>
      </c>
      <c r="G247" s="116" t="s">
        <v>41</v>
      </c>
      <c r="H247" s="116">
        <v>409954.46750000003</v>
      </c>
      <c r="I247" s="116">
        <v>90045.532500000001</v>
      </c>
      <c r="J247" s="116">
        <v>500000</v>
      </c>
      <c r="K247" s="219">
        <v>409954.46750000003</v>
      </c>
      <c r="L247" s="116">
        <v>0</v>
      </c>
      <c r="M247" s="31">
        <v>-90045.532500000001</v>
      </c>
      <c r="N247" s="336">
        <v>-90045.532500000001</v>
      </c>
      <c r="O247" s="336">
        <v>90045.532500000001</v>
      </c>
      <c r="P247" s="219">
        <v>0</v>
      </c>
      <c r="Q247" s="332">
        <v>3001.51775</v>
      </c>
      <c r="R247" s="219">
        <v>30</v>
      </c>
      <c r="S247" s="332">
        <v>0</v>
      </c>
      <c r="T247" s="219">
        <v>0</v>
      </c>
      <c r="U247" s="332">
        <v>0</v>
      </c>
      <c r="V247" s="332">
        <v>0</v>
      </c>
      <c r="W247" s="370">
        <v>0</v>
      </c>
      <c r="X247" s="370">
        <v>0</v>
      </c>
      <c r="Y247" s="370">
        <v>0</v>
      </c>
      <c r="Z247" s="370">
        <v>0</v>
      </c>
      <c r="AA247" s="370">
        <v>0</v>
      </c>
      <c r="AB247" s="370">
        <v>30</v>
      </c>
      <c r="AC247" s="370">
        <v>0</v>
      </c>
      <c r="AD247" s="370">
        <v>0</v>
      </c>
      <c r="AE247" s="370">
        <v>0</v>
      </c>
      <c r="AF247" s="370">
        <v>-30</v>
      </c>
      <c r="AG247" s="31">
        <v>30</v>
      </c>
      <c r="AH247" s="31">
        <v>397.51</v>
      </c>
      <c r="AI247" s="31">
        <v>0</v>
      </c>
      <c r="AJ247" s="370">
        <v>7.7981850000000001</v>
      </c>
      <c r="AK247" s="219">
        <v>397.51</v>
      </c>
      <c r="AL247" s="219">
        <v>0</v>
      </c>
      <c r="AM247" s="219">
        <v>0</v>
      </c>
      <c r="AN247" s="219">
        <v>0</v>
      </c>
      <c r="AO247" s="116">
        <v>0</v>
      </c>
      <c r="AP247" s="116">
        <v>0</v>
      </c>
      <c r="AQ247" s="116">
        <v>2</v>
      </c>
      <c r="AR247" s="116">
        <v>92995.695580499989</v>
      </c>
      <c r="AS247" s="116">
        <v>92995.695580499989</v>
      </c>
      <c r="AT247" s="116">
        <v>1</v>
      </c>
      <c r="AU247" s="385">
        <v>0</v>
      </c>
      <c r="AV247" s="332">
        <v>0</v>
      </c>
      <c r="AW247" s="332">
        <v>0</v>
      </c>
      <c r="AX247" s="332">
        <v>-92995.695580500003</v>
      </c>
      <c r="AY247" s="332">
        <v>0</v>
      </c>
      <c r="AZ247" s="332">
        <v>0</v>
      </c>
      <c r="BA247" s="332">
        <v>0</v>
      </c>
      <c r="BB247" s="31">
        <v>409954.46750000003</v>
      </c>
      <c r="BC247" s="31">
        <v>0</v>
      </c>
      <c r="BD247" s="29">
        <v>0</v>
      </c>
      <c r="BE247" s="31">
        <v>0</v>
      </c>
    </row>
    <row r="248" spans="1:57" ht="13">
      <c r="A248" s="153">
        <v>44570</v>
      </c>
      <c r="B248" s="10" t="s">
        <v>186</v>
      </c>
      <c r="C248" s="10">
        <v>44563000038</v>
      </c>
      <c r="D248" s="10" t="s">
        <v>16</v>
      </c>
      <c r="E248" s="10" t="s">
        <v>38</v>
      </c>
      <c r="F248" s="153">
        <v>44563</v>
      </c>
      <c r="G248" s="116" t="s">
        <v>39</v>
      </c>
      <c r="H248" s="116">
        <v>396154.46750000003</v>
      </c>
      <c r="I248" s="116">
        <v>103845.5325</v>
      </c>
      <c r="J248" s="116">
        <v>500000</v>
      </c>
      <c r="K248" s="219">
        <v>396154.46750000003</v>
      </c>
      <c r="L248" s="116">
        <v>0</v>
      </c>
      <c r="M248" s="31">
        <v>-13800</v>
      </c>
      <c r="N248" s="336">
        <v>-13800</v>
      </c>
      <c r="O248" s="336">
        <v>13800</v>
      </c>
      <c r="P248" s="219">
        <v>0</v>
      </c>
      <c r="Q248" s="332">
        <v>460</v>
      </c>
      <c r="R248" s="219">
        <v>30</v>
      </c>
      <c r="S248" s="332">
        <v>0</v>
      </c>
      <c r="T248" s="219">
        <v>0</v>
      </c>
      <c r="U248" s="332">
        <v>0</v>
      </c>
      <c r="V248" s="332">
        <v>0</v>
      </c>
      <c r="W248" s="370">
        <v>0</v>
      </c>
      <c r="X248" s="370">
        <v>0</v>
      </c>
      <c r="Y248" s="370">
        <v>0</v>
      </c>
      <c r="Z248" s="370">
        <v>0</v>
      </c>
      <c r="AA248" s="370">
        <v>0</v>
      </c>
      <c r="AB248" s="370">
        <v>30</v>
      </c>
      <c r="AC248" s="370">
        <v>0</v>
      </c>
      <c r="AD248" s="370">
        <v>0</v>
      </c>
      <c r="AE248" s="370">
        <v>0</v>
      </c>
      <c r="AF248" s="370">
        <v>-30</v>
      </c>
      <c r="AG248" s="31">
        <v>30</v>
      </c>
      <c r="AH248" s="31">
        <v>443</v>
      </c>
      <c r="AI248" s="31">
        <v>0</v>
      </c>
      <c r="AJ248" s="370">
        <v>1</v>
      </c>
      <c r="AK248" s="219">
        <v>443</v>
      </c>
      <c r="AL248" s="219">
        <v>0</v>
      </c>
      <c r="AM248" s="219">
        <v>0</v>
      </c>
      <c r="AN248" s="219">
        <v>0</v>
      </c>
      <c r="AO248" s="116">
        <v>0</v>
      </c>
      <c r="AP248" s="116">
        <v>0</v>
      </c>
      <c r="AQ248" s="116">
        <v>3</v>
      </c>
      <c r="AR248" s="116">
        <v>13290</v>
      </c>
      <c r="AS248" s="116">
        <v>13290</v>
      </c>
      <c r="AT248" s="116">
        <v>1</v>
      </c>
      <c r="AU248" s="385">
        <v>0</v>
      </c>
      <c r="AV248" s="332">
        <v>0</v>
      </c>
      <c r="AW248" s="332">
        <v>0</v>
      </c>
      <c r="AX248" s="332">
        <v>-13290</v>
      </c>
      <c r="AY248" s="332">
        <v>0</v>
      </c>
      <c r="AZ248" s="332">
        <v>0</v>
      </c>
      <c r="BA248" s="332">
        <v>0</v>
      </c>
      <c r="BB248" s="31">
        <v>396154.46750000003</v>
      </c>
      <c r="BC248" s="31">
        <v>0</v>
      </c>
      <c r="BD248" s="29">
        <v>0</v>
      </c>
      <c r="BE248" s="31">
        <v>0</v>
      </c>
    </row>
    <row r="249" spans="1:57" ht="13">
      <c r="A249" s="153">
        <v>44570</v>
      </c>
      <c r="B249" s="10" t="s">
        <v>186</v>
      </c>
      <c r="C249" s="10">
        <v>44564000045</v>
      </c>
      <c r="D249" s="10" t="s">
        <v>18</v>
      </c>
      <c r="E249" s="10" t="s">
        <v>7</v>
      </c>
      <c r="F249" s="153">
        <v>44564</v>
      </c>
      <c r="G249" s="116" t="s">
        <v>41</v>
      </c>
      <c r="H249" s="116">
        <v>365251.58795000002</v>
      </c>
      <c r="I249" s="116">
        <v>134748.41205000001</v>
      </c>
      <c r="J249" s="116">
        <v>500000</v>
      </c>
      <c r="K249" s="219">
        <v>365251.58795000002</v>
      </c>
      <c r="L249" s="116">
        <v>0</v>
      </c>
      <c r="M249" s="31">
        <v>-30902.879550000001</v>
      </c>
      <c r="N249" s="336">
        <v>-30902.879550000005</v>
      </c>
      <c r="O249" s="336">
        <v>0</v>
      </c>
      <c r="P249" s="219">
        <v>0</v>
      </c>
      <c r="Q249" s="332">
        <v>0</v>
      </c>
      <c r="R249" s="219">
        <v>0</v>
      </c>
      <c r="S249" s="332">
        <v>13.21</v>
      </c>
      <c r="T249" s="219">
        <v>30</v>
      </c>
      <c r="U249" s="332">
        <v>0</v>
      </c>
      <c r="V249" s="332">
        <v>0</v>
      </c>
      <c r="W249" s="370">
        <v>0</v>
      </c>
      <c r="X249" s="370">
        <v>0</v>
      </c>
      <c r="Y249" s="370">
        <v>0</v>
      </c>
      <c r="Z249" s="370">
        <v>0</v>
      </c>
      <c r="AA249" s="370">
        <v>0</v>
      </c>
      <c r="AB249" s="370">
        <v>0</v>
      </c>
      <c r="AC249" s="370">
        <v>30</v>
      </c>
      <c r="AD249" s="370">
        <v>0</v>
      </c>
      <c r="AE249" s="370">
        <v>0</v>
      </c>
      <c r="AF249" s="370">
        <v>-30</v>
      </c>
      <c r="AG249" s="31">
        <v>30</v>
      </c>
      <c r="AH249" s="31">
        <v>16.29</v>
      </c>
      <c r="AI249" s="31">
        <v>0</v>
      </c>
      <c r="AJ249" s="370">
        <v>7.7981850000000001</v>
      </c>
      <c r="AK249" s="219">
        <v>0</v>
      </c>
      <c r="AL249" s="219">
        <v>16.29</v>
      </c>
      <c r="AM249" s="219">
        <v>18.71</v>
      </c>
      <c r="AN249" s="219">
        <v>0</v>
      </c>
      <c r="AO249" s="116">
        <v>0</v>
      </c>
      <c r="AP249" s="116">
        <v>0</v>
      </c>
      <c r="AQ249" s="116">
        <v>4</v>
      </c>
      <c r="AR249" s="116">
        <v>38109.730094999999</v>
      </c>
      <c r="AS249" s="116">
        <v>38109.730094999999</v>
      </c>
      <c r="AT249" s="116">
        <v>1</v>
      </c>
      <c r="AU249" s="385">
        <v>0</v>
      </c>
      <c r="AV249" s="332">
        <v>0</v>
      </c>
      <c r="AW249" s="332">
        <v>0</v>
      </c>
      <c r="AX249" s="332">
        <v>-40940.471250000002</v>
      </c>
      <c r="AY249" s="332">
        <v>0</v>
      </c>
      <c r="AZ249" s="332">
        <v>0</v>
      </c>
      <c r="BA249" s="332">
        <v>0</v>
      </c>
      <c r="BB249" s="31">
        <v>365251.58795000002</v>
      </c>
      <c r="BC249" s="31">
        <v>0</v>
      </c>
      <c r="BD249" s="29">
        <v>0</v>
      </c>
      <c r="BE249" s="31">
        <v>0</v>
      </c>
    </row>
    <row r="250" spans="1:57" ht="13">
      <c r="A250" s="153">
        <v>44570</v>
      </c>
      <c r="B250" s="10" t="s">
        <v>186</v>
      </c>
      <c r="C250" s="10">
        <v>44565000046</v>
      </c>
      <c r="D250" s="10" t="s">
        <v>18</v>
      </c>
      <c r="E250" s="10" t="s">
        <v>7</v>
      </c>
      <c r="F250" s="153">
        <v>44565</v>
      </c>
      <c r="G250" s="116" t="s">
        <v>41</v>
      </c>
      <c r="H250" s="116">
        <v>382070.50044999999</v>
      </c>
      <c r="I250" s="116">
        <v>117929.49955000001</v>
      </c>
      <c r="J250" s="116">
        <v>500000</v>
      </c>
      <c r="K250" s="219">
        <v>382070.50044999999</v>
      </c>
      <c r="L250" s="116">
        <v>0</v>
      </c>
      <c r="M250" s="31">
        <v>16818.912500000002</v>
      </c>
      <c r="N250" s="336">
        <v>16818.912500000002</v>
      </c>
      <c r="O250" s="336">
        <v>0</v>
      </c>
      <c r="P250" s="219">
        <v>0</v>
      </c>
      <c r="Q250" s="332">
        <v>0</v>
      </c>
      <c r="R250" s="219">
        <v>0</v>
      </c>
      <c r="S250" s="332">
        <v>10.79</v>
      </c>
      <c r="T250" s="219">
        <v>-20</v>
      </c>
      <c r="U250" s="332">
        <v>0</v>
      </c>
      <c r="V250" s="332">
        <v>0</v>
      </c>
      <c r="W250" s="370">
        <v>0</v>
      </c>
      <c r="X250" s="370">
        <v>0</v>
      </c>
      <c r="Y250" s="370">
        <v>30</v>
      </c>
      <c r="Z250" s="370">
        <v>0</v>
      </c>
      <c r="AA250" s="370">
        <v>0</v>
      </c>
      <c r="AB250" s="370">
        <v>0</v>
      </c>
      <c r="AC250" s="370">
        <v>10</v>
      </c>
      <c r="AD250" s="370">
        <v>0</v>
      </c>
      <c r="AE250" s="370">
        <v>0</v>
      </c>
      <c r="AF250" s="370">
        <v>20</v>
      </c>
      <c r="AG250" s="31">
        <v>-20</v>
      </c>
      <c r="AH250" s="31"/>
      <c r="AI250" s="31">
        <v>1</v>
      </c>
      <c r="AJ250" s="370">
        <v>7.7981850000000001</v>
      </c>
      <c r="AK250" s="219">
        <v>0</v>
      </c>
      <c r="AL250" s="219">
        <v>16.29</v>
      </c>
      <c r="AM250" s="219">
        <v>18.71</v>
      </c>
      <c r="AN250" s="219">
        <v>0</v>
      </c>
      <c r="AO250" s="116">
        <v>0</v>
      </c>
      <c r="AP250" s="116">
        <v>0</v>
      </c>
      <c r="AQ250" s="116">
        <v>4</v>
      </c>
      <c r="AR250" s="116">
        <v>0</v>
      </c>
      <c r="AS250" s="116">
        <v>38109.730094999999</v>
      </c>
      <c r="AT250" s="116">
        <v>0</v>
      </c>
      <c r="AU250" s="385">
        <v>144395.42567549998</v>
      </c>
      <c r="AV250" s="332">
        <v>0</v>
      </c>
      <c r="AW250" s="332">
        <v>144395.42567549998</v>
      </c>
      <c r="AX250" s="332">
        <v>27293.647500000003</v>
      </c>
      <c r="AY250" s="332">
        <v>0</v>
      </c>
      <c r="AZ250" s="332">
        <v>0</v>
      </c>
      <c r="BA250" s="332">
        <v>0</v>
      </c>
      <c r="BB250" s="31">
        <v>382070.50044999999</v>
      </c>
      <c r="BC250" s="31">
        <v>382070.50044999999</v>
      </c>
      <c r="BD250" s="29">
        <v>0</v>
      </c>
      <c r="BE250" s="31">
        <v>526465.9261255</v>
      </c>
    </row>
    <row r="251" spans="1:57" ht="13">
      <c r="A251" s="153">
        <v>44570</v>
      </c>
      <c r="B251" s="10" t="s">
        <v>187</v>
      </c>
      <c r="C251" s="10">
        <v>44561000009</v>
      </c>
      <c r="D251" s="10" t="s">
        <v>64</v>
      </c>
      <c r="E251" s="10" t="s">
        <v>64</v>
      </c>
      <c r="F251" s="153">
        <v>44561</v>
      </c>
      <c r="G251" s="116" t="s">
        <v>39</v>
      </c>
      <c r="H251" s="116">
        <v>500000</v>
      </c>
      <c r="I251" s="116">
        <v>0</v>
      </c>
      <c r="J251" s="116">
        <v>500000</v>
      </c>
      <c r="K251" s="219">
        <v>0</v>
      </c>
      <c r="L251" s="116">
        <v>0</v>
      </c>
      <c r="M251" s="31">
        <v>500000</v>
      </c>
      <c r="N251" s="336">
        <v>500000</v>
      </c>
      <c r="O251" s="336">
        <v>0</v>
      </c>
      <c r="P251" s="219">
        <v>0</v>
      </c>
      <c r="Q251" s="332">
        <v>0</v>
      </c>
      <c r="R251" s="219">
        <v>0</v>
      </c>
      <c r="S251" s="332">
        <v>0</v>
      </c>
      <c r="T251" s="219">
        <v>0</v>
      </c>
      <c r="U251" s="332">
        <v>0</v>
      </c>
      <c r="V251" s="332">
        <v>0</v>
      </c>
      <c r="W251" s="370">
        <v>0</v>
      </c>
      <c r="X251" s="370">
        <v>0</v>
      </c>
      <c r="Y251" s="370">
        <v>0</v>
      </c>
      <c r="Z251" s="370">
        <v>0</v>
      </c>
      <c r="AA251" s="370">
        <v>0</v>
      </c>
      <c r="AB251" s="370">
        <v>0</v>
      </c>
      <c r="AC251" s="370">
        <v>0</v>
      </c>
      <c r="AD251" s="370">
        <v>0</v>
      </c>
      <c r="AE251" s="370">
        <v>0</v>
      </c>
      <c r="AF251" s="370">
        <v>0</v>
      </c>
      <c r="AG251" s="31">
        <v>0</v>
      </c>
      <c r="AH251" s="31">
        <v>1</v>
      </c>
      <c r="AI251" s="31">
        <v>0</v>
      </c>
      <c r="AJ251" s="370">
        <v>1</v>
      </c>
      <c r="AK251" s="219">
        <v>0</v>
      </c>
      <c r="AL251" s="219">
        <v>0</v>
      </c>
      <c r="AM251" s="219">
        <v>0</v>
      </c>
      <c r="AN251" s="219">
        <v>0</v>
      </c>
      <c r="AO251" s="116">
        <v>0</v>
      </c>
      <c r="AP251" s="116">
        <v>0</v>
      </c>
      <c r="AQ251" s="116">
        <v>1</v>
      </c>
      <c r="AR251" s="116">
        <v>0</v>
      </c>
      <c r="AS251" s="116">
        <v>0</v>
      </c>
      <c r="AT251" s="116">
        <v>1</v>
      </c>
      <c r="AU251" s="385">
        <v>0</v>
      </c>
      <c r="AV251" s="332">
        <v>0</v>
      </c>
      <c r="AW251" s="332">
        <v>0</v>
      </c>
      <c r="AX251" s="332">
        <v>500000</v>
      </c>
      <c r="AY251" s="332">
        <v>0</v>
      </c>
      <c r="AZ251" s="332">
        <v>0</v>
      </c>
      <c r="BA251" s="332">
        <v>0</v>
      </c>
      <c r="BB251" s="31">
        <v>499999.24955422932</v>
      </c>
      <c r="BC251" s="31">
        <v>0</v>
      </c>
      <c r="BD251" s="29">
        <v>0</v>
      </c>
      <c r="BE251" s="31">
        <v>0</v>
      </c>
    </row>
    <row r="252" spans="1:57" ht="13">
      <c r="A252" s="153">
        <v>44570</v>
      </c>
      <c r="B252" s="10" t="s">
        <v>187</v>
      </c>
      <c r="C252" s="10">
        <v>44566000040</v>
      </c>
      <c r="D252" s="10" t="s">
        <v>21</v>
      </c>
      <c r="E252" s="10" t="s">
        <v>4</v>
      </c>
      <c r="F252" s="153">
        <v>44566</v>
      </c>
      <c r="G252" s="116" t="s">
        <v>41</v>
      </c>
      <c r="H252" s="116">
        <v>527283.34</v>
      </c>
      <c r="I252" s="116">
        <v>-27283.34</v>
      </c>
      <c r="J252" s="116">
        <v>499999.99999999994</v>
      </c>
      <c r="K252" s="219">
        <v>149214.20000000001</v>
      </c>
      <c r="L252" s="116">
        <v>0</v>
      </c>
      <c r="M252" s="31">
        <v>27283.34</v>
      </c>
      <c r="N252" s="336">
        <v>-350785.8</v>
      </c>
      <c r="O252" s="336">
        <v>0</v>
      </c>
      <c r="P252" s="219">
        <v>0</v>
      </c>
      <c r="Q252" s="332">
        <v>0</v>
      </c>
      <c r="R252" s="219">
        <v>0</v>
      </c>
      <c r="S252" s="332">
        <v>0</v>
      </c>
      <c r="T252" s="219">
        <v>0</v>
      </c>
      <c r="U252" s="332">
        <v>3.5</v>
      </c>
      <c r="V252" s="332">
        <v>-10</v>
      </c>
      <c r="W252" s="370">
        <v>0</v>
      </c>
      <c r="X252" s="370">
        <v>0</v>
      </c>
      <c r="Y252" s="370">
        <v>0</v>
      </c>
      <c r="Z252" s="370">
        <v>0</v>
      </c>
      <c r="AA252" s="370">
        <v>0</v>
      </c>
      <c r="AB252" s="370">
        <v>0</v>
      </c>
      <c r="AC252" s="370">
        <v>0</v>
      </c>
      <c r="AD252" s="370">
        <v>-10</v>
      </c>
      <c r="AE252" s="370">
        <v>0</v>
      </c>
      <c r="AF252" s="370">
        <v>0</v>
      </c>
      <c r="AG252" s="31">
        <v>-10</v>
      </c>
      <c r="AH252" s="31">
        <v>4</v>
      </c>
      <c r="AI252" s="31">
        <v>0</v>
      </c>
      <c r="AJ252" s="370">
        <v>7.7981850000000001</v>
      </c>
      <c r="AK252" s="219">
        <v>0</v>
      </c>
      <c r="AL252" s="219">
        <v>0</v>
      </c>
      <c r="AM252" s="219">
        <v>0</v>
      </c>
      <c r="AN252" s="219">
        <v>4</v>
      </c>
      <c r="AO252" s="116">
        <v>45</v>
      </c>
      <c r="AP252" s="116">
        <v>0</v>
      </c>
      <c r="AQ252" s="116">
        <v>2</v>
      </c>
      <c r="AR252" s="116">
        <v>-31192.74</v>
      </c>
      <c r="AS252" s="116">
        <v>-31192.74</v>
      </c>
      <c r="AT252" s="116">
        <v>1</v>
      </c>
      <c r="AU252" s="385">
        <v>0</v>
      </c>
      <c r="AV252" s="332">
        <v>0</v>
      </c>
      <c r="AW252" s="332">
        <v>0</v>
      </c>
      <c r="AX252" s="332">
        <v>0</v>
      </c>
      <c r="AY252" s="332">
        <v>0</v>
      </c>
      <c r="AZ252" s="332">
        <v>0</v>
      </c>
      <c r="BA252" s="332">
        <v>0</v>
      </c>
      <c r="BB252" s="31">
        <v>527282.58955422929</v>
      </c>
      <c r="BC252" s="31">
        <v>0</v>
      </c>
      <c r="BD252" s="29">
        <v>0</v>
      </c>
      <c r="BE252" s="31">
        <v>0</v>
      </c>
    </row>
    <row r="253" spans="1:57" ht="13">
      <c r="A253" s="153">
        <v>44570</v>
      </c>
      <c r="B253" s="10" t="s">
        <v>187</v>
      </c>
      <c r="C253" s="10">
        <v>44566000041</v>
      </c>
      <c r="D253" s="10" t="s">
        <v>21</v>
      </c>
      <c r="E253" s="10" t="s">
        <v>5</v>
      </c>
      <c r="F253" s="153">
        <v>44566</v>
      </c>
      <c r="G253" s="116" t="s">
        <v>41</v>
      </c>
      <c r="H253" s="116">
        <v>507795.24</v>
      </c>
      <c r="I253" s="116">
        <v>-7795.2400000000016</v>
      </c>
      <c r="J253" s="116">
        <v>500000</v>
      </c>
      <c r="K253" s="219">
        <v>461023.8</v>
      </c>
      <c r="L253" s="116">
        <v>0</v>
      </c>
      <c r="M253" s="31">
        <v>-19488.099999999999</v>
      </c>
      <c r="N253" s="336">
        <v>311809.59999999998</v>
      </c>
      <c r="O253" s="336">
        <v>0</v>
      </c>
      <c r="P253" s="219">
        <v>0</v>
      </c>
      <c r="Q253" s="332">
        <v>0</v>
      </c>
      <c r="R253" s="219">
        <v>0</v>
      </c>
      <c r="S253" s="332">
        <v>0</v>
      </c>
      <c r="T253" s="219">
        <v>0</v>
      </c>
      <c r="U253" s="332">
        <v>2.5</v>
      </c>
      <c r="V253" s="332">
        <v>10</v>
      </c>
      <c r="W253" s="370">
        <v>0</v>
      </c>
      <c r="X253" s="370">
        <v>0</v>
      </c>
      <c r="Y253" s="370">
        <v>0</v>
      </c>
      <c r="Z253" s="370">
        <v>0</v>
      </c>
      <c r="AA253" s="370">
        <v>0</v>
      </c>
      <c r="AB253" s="370">
        <v>0</v>
      </c>
      <c r="AC253" s="370">
        <v>0</v>
      </c>
      <c r="AD253" s="370">
        <v>10</v>
      </c>
      <c r="AE253" s="370">
        <v>0</v>
      </c>
      <c r="AF253" s="370">
        <v>0</v>
      </c>
      <c r="AG253" s="31">
        <v>10</v>
      </c>
      <c r="AH253" s="31">
        <v>3.0000000000000004</v>
      </c>
      <c r="AI253" s="31">
        <v>0</v>
      </c>
      <c r="AJ253" s="370">
        <v>7.7981850000000001</v>
      </c>
      <c r="AK253" s="219">
        <v>0</v>
      </c>
      <c r="AL253" s="219">
        <v>0</v>
      </c>
      <c r="AM253" s="219">
        <v>0</v>
      </c>
      <c r="AN253" s="219">
        <v>3.0000000000000004</v>
      </c>
      <c r="AO253" s="116">
        <v>40</v>
      </c>
      <c r="AP253" s="116">
        <v>0</v>
      </c>
      <c r="AQ253" s="116">
        <v>3</v>
      </c>
      <c r="AR253" s="116">
        <v>23394.555000000004</v>
      </c>
      <c r="AS253" s="116">
        <v>23394.555000000004</v>
      </c>
      <c r="AT253" s="116">
        <v>1</v>
      </c>
      <c r="AU253" s="385">
        <v>0</v>
      </c>
      <c r="AV253" s="332">
        <v>0</v>
      </c>
      <c r="AW253" s="332">
        <v>0</v>
      </c>
      <c r="AX253" s="332">
        <v>0</v>
      </c>
      <c r="AY253" s="332">
        <v>0</v>
      </c>
      <c r="AZ253" s="332">
        <v>0</v>
      </c>
      <c r="BA253" s="332">
        <v>0</v>
      </c>
      <c r="BB253" s="31">
        <v>507794.48955422931</v>
      </c>
      <c r="BC253" s="31">
        <v>0</v>
      </c>
      <c r="BD253" s="29">
        <v>0</v>
      </c>
      <c r="BE253" s="31">
        <v>0</v>
      </c>
    </row>
    <row r="254" spans="1:57" ht="13">
      <c r="A254" s="153">
        <v>44570</v>
      </c>
      <c r="B254" s="10" t="s">
        <v>187</v>
      </c>
      <c r="C254" s="10">
        <v>44567000042</v>
      </c>
      <c r="D254" s="10" t="s">
        <v>16</v>
      </c>
      <c r="E254" s="10" t="s">
        <v>38</v>
      </c>
      <c r="F254" s="153">
        <v>44567</v>
      </c>
      <c r="G254" s="116" t="s">
        <v>39</v>
      </c>
      <c r="H254" s="116">
        <v>490595.24</v>
      </c>
      <c r="I254" s="116">
        <v>9404.7599999999984</v>
      </c>
      <c r="J254" s="116">
        <v>500000</v>
      </c>
      <c r="K254" s="219">
        <v>443823.8</v>
      </c>
      <c r="L254" s="116">
        <v>0</v>
      </c>
      <c r="M254" s="31">
        <v>-17200</v>
      </c>
      <c r="N254" s="336">
        <v>-17200</v>
      </c>
      <c r="O254" s="336">
        <v>17200</v>
      </c>
      <c r="P254" s="219">
        <v>0</v>
      </c>
      <c r="Q254" s="332">
        <v>430</v>
      </c>
      <c r="R254" s="219">
        <v>40</v>
      </c>
      <c r="S254" s="332">
        <v>0</v>
      </c>
      <c r="T254" s="219">
        <v>0</v>
      </c>
      <c r="U254" s="332">
        <v>0</v>
      </c>
      <c r="V254" s="332">
        <v>0</v>
      </c>
      <c r="W254" s="370">
        <v>0</v>
      </c>
      <c r="X254" s="370">
        <v>0</v>
      </c>
      <c r="Y254" s="370">
        <v>0</v>
      </c>
      <c r="Z254" s="370">
        <v>0</v>
      </c>
      <c r="AA254" s="370">
        <v>0</v>
      </c>
      <c r="AB254" s="370">
        <v>40</v>
      </c>
      <c r="AC254" s="370">
        <v>0</v>
      </c>
      <c r="AD254" s="370">
        <v>0</v>
      </c>
      <c r="AE254" s="370">
        <v>0</v>
      </c>
      <c r="AF254" s="370">
        <v>-40</v>
      </c>
      <c r="AG254" s="31">
        <v>40</v>
      </c>
      <c r="AH254" s="31">
        <v>443</v>
      </c>
      <c r="AI254" s="31">
        <v>0</v>
      </c>
      <c r="AJ254" s="370">
        <v>1</v>
      </c>
      <c r="AK254" s="219">
        <v>443</v>
      </c>
      <c r="AL254" s="219">
        <v>0</v>
      </c>
      <c r="AM254" s="219">
        <v>0</v>
      </c>
      <c r="AN254" s="219">
        <v>0</v>
      </c>
      <c r="AO254" s="116">
        <v>0</v>
      </c>
      <c r="AP254" s="116">
        <v>0</v>
      </c>
      <c r="AQ254" s="116">
        <v>4</v>
      </c>
      <c r="AR254" s="116">
        <v>17720</v>
      </c>
      <c r="AS254" s="116">
        <v>-4430</v>
      </c>
      <c r="AT254" s="116">
        <v>1</v>
      </c>
      <c r="AU254" s="385">
        <v>0</v>
      </c>
      <c r="AV254" s="332">
        <v>0</v>
      </c>
      <c r="AW254" s="332">
        <v>0</v>
      </c>
      <c r="AX254" s="332">
        <v>-17720</v>
      </c>
      <c r="AY254" s="332">
        <v>0</v>
      </c>
      <c r="AZ254" s="332">
        <v>0</v>
      </c>
      <c r="BA254" s="332">
        <v>0</v>
      </c>
      <c r="BB254" s="31">
        <v>490594.48955422931</v>
      </c>
      <c r="BC254" s="31">
        <v>0</v>
      </c>
      <c r="BD254" s="29">
        <v>0</v>
      </c>
      <c r="BE254" s="31">
        <v>0</v>
      </c>
    </row>
    <row r="255" spans="1:57" ht="13">
      <c r="A255" s="153">
        <v>44570</v>
      </c>
      <c r="B255" s="10" t="s">
        <v>187</v>
      </c>
      <c r="C255" s="10">
        <v>44568000043</v>
      </c>
      <c r="D255" s="10" t="s">
        <v>16</v>
      </c>
      <c r="E255" s="10" t="s">
        <v>38</v>
      </c>
      <c r="F255" s="153">
        <v>44568</v>
      </c>
      <c r="G255" s="116" t="s">
        <v>39</v>
      </c>
      <c r="H255" s="116">
        <v>512595.24</v>
      </c>
      <c r="I255" s="116">
        <v>-12595.240000000002</v>
      </c>
      <c r="J255" s="116">
        <v>500000</v>
      </c>
      <c r="K255" s="219">
        <v>465623.8</v>
      </c>
      <c r="L255" s="116">
        <v>0</v>
      </c>
      <c r="M255" s="31">
        <v>22000</v>
      </c>
      <c r="N255" s="336">
        <v>13200</v>
      </c>
      <c r="O255" s="336">
        <v>0</v>
      </c>
      <c r="P255" s="219">
        <v>-22000</v>
      </c>
      <c r="Q255" s="332">
        <v>440</v>
      </c>
      <c r="R255" s="219">
        <v>-50</v>
      </c>
      <c r="S255" s="332">
        <v>0</v>
      </c>
      <c r="T255" s="219">
        <v>0</v>
      </c>
      <c r="U255" s="332">
        <v>0</v>
      </c>
      <c r="V255" s="332">
        <v>0</v>
      </c>
      <c r="W255" s="370">
        <v>0</v>
      </c>
      <c r="X255" s="370">
        <v>40</v>
      </c>
      <c r="Y255" s="370">
        <v>0</v>
      </c>
      <c r="Z255" s="370">
        <v>0</v>
      </c>
      <c r="AA255" s="370">
        <v>0</v>
      </c>
      <c r="AB255" s="370">
        <v>-10</v>
      </c>
      <c r="AC255" s="370">
        <v>0</v>
      </c>
      <c r="AD255" s="370">
        <v>0</v>
      </c>
      <c r="AE255" s="370">
        <v>0</v>
      </c>
      <c r="AF255" s="370">
        <v>30</v>
      </c>
      <c r="AG255" s="31">
        <v>-50</v>
      </c>
      <c r="AH255" s="31">
        <v>443</v>
      </c>
      <c r="AI255" s="31">
        <v>0</v>
      </c>
      <c r="AJ255" s="370">
        <v>1</v>
      </c>
      <c r="AK255" s="219">
        <v>443</v>
      </c>
      <c r="AL255" s="219">
        <v>0</v>
      </c>
      <c r="AM255" s="219">
        <v>0</v>
      </c>
      <c r="AN255" s="219">
        <v>0</v>
      </c>
      <c r="AO255" s="116">
        <v>0</v>
      </c>
      <c r="AP255" s="116">
        <v>0</v>
      </c>
      <c r="AQ255" s="116">
        <v>4</v>
      </c>
      <c r="AR255" s="116">
        <v>-22150</v>
      </c>
      <c r="AS255" s="116">
        <v>-4430</v>
      </c>
      <c r="AT255" s="116">
        <v>0</v>
      </c>
      <c r="AU255" s="385">
        <v>0</v>
      </c>
      <c r="AV255" s="332">
        <v>0</v>
      </c>
      <c r="AW255" s="332">
        <v>0</v>
      </c>
      <c r="AX255" s="332">
        <v>13290</v>
      </c>
      <c r="AY255" s="332">
        <v>0</v>
      </c>
      <c r="AZ255" s="332">
        <v>-0.75044577069284024</v>
      </c>
      <c r="BA255" s="332">
        <v>0</v>
      </c>
      <c r="BB255" s="31">
        <v>512594.48955422931</v>
      </c>
      <c r="BC255" s="31">
        <v>0</v>
      </c>
      <c r="BD255" s="29">
        <v>0</v>
      </c>
      <c r="BE255" s="31">
        <v>0</v>
      </c>
    </row>
    <row r="256" spans="1:57" ht="13">
      <c r="A256" s="153">
        <v>44570</v>
      </c>
      <c r="B256" s="10" t="s">
        <v>187</v>
      </c>
      <c r="C256" s="10">
        <v>44568000044</v>
      </c>
      <c r="D256" s="10" t="s">
        <v>18</v>
      </c>
      <c r="E256" s="10" t="s">
        <v>7</v>
      </c>
      <c r="F256" s="153">
        <v>44568</v>
      </c>
      <c r="G256" s="116" t="s">
        <v>41</v>
      </c>
      <c r="H256" s="116">
        <v>529422.61185999995</v>
      </c>
      <c r="I256" s="116">
        <v>-29422.611860000001</v>
      </c>
      <c r="J256" s="116">
        <v>499999.99999999994</v>
      </c>
      <c r="K256" s="219">
        <v>413596.42813999997</v>
      </c>
      <c r="L256" s="116">
        <v>0</v>
      </c>
      <c r="M256" s="31">
        <v>16827.371859999999</v>
      </c>
      <c r="N256" s="336">
        <v>-16827.371859999999</v>
      </c>
      <c r="O256" s="336">
        <v>0</v>
      </c>
      <c r="P256" s="219">
        <v>0</v>
      </c>
      <c r="Q256" s="332">
        <v>0</v>
      </c>
      <c r="R256" s="219">
        <v>0</v>
      </c>
      <c r="S256" s="332">
        <v>10.79</v>
      </c>
      <c r="T256" s="219">
        <v>-20</v>
      </c>
      <c r="U256" s="332">
        <v>0</v>
      </c>
      <c r="V256" s="332">
        <v>0</v>
      </c>
      <c r="W256" s="370">
        <v>0</v>
      </c>
      <c r="X256" s="370">
        <v>0</v>
      </c>
      <c r="Y256" s="370">
        <v>0</v>
      </c>
      <c r="Z256" s="370">
        <v>0</v>
      </c>
      <c r="AA256" s="370">
        <v>0</v>
      </c>
      <c r="AB256" s="370">
        <v>0</v>
      </c>
      <c r="AC256" s="370">
        <v>-20</v>
      </c>
      <c r="AD256" s="370">
        <v>0</v>
      </c>
      <c r="AE256" s="370">
        <v>0</v>
      </c>
      <c r="AF256" s="370">
        <v>-20</v>
      </c>
      <c r="AG256" s="31">
        <v>-20</v>
      </c>
      <c r="AH256" s="31"/>
      <c r="AI256" s="31">
        <v>1</v>
      </c>
      <c r="AJ256" s="370">
        <v>7.7981850000000001</v>
      </c>
      <c r="AK256" s="219">
        <v>0</v>
      </c>
      <c r="AL256" s="219">
        <v>16.29</v>
      </c>
      <c r="AM256" s="219">
        <v>18.71</v>
      </c>
      <c r="AN256" s="219">
        <v>0</v>
      </c>
      <c r="AO256" s="116">
        <v>0</v>
      </c>
      <c r="AP256" s="116">
        <v>0</v>
      </c>
      <c r="AQ256" s="116">
        <v>5</v>
      </c>
      <c r="AR256" s="116">
        <v>0</v>
      </c>
      <c r="AS256" s="116">
        <v>0</v>
      </c>
      <c r="AT256" s="116">
        <v>1</v>
      </c>
      <c r="AU256" s="385">
        <v>23394.555000000004</v>
      </c>
      <c r="AV256" s="332">
        <v>-35622.740000000005</v>
      </c>
      <c r="AW256" s="332">
        <v>-12228.185000000001</v>
      </c>
      <c r="AX256" s="332">
        <v>-27293.647500000003</v>
      </c>
      <c r="AY256" s="332">
        <v>0</v>
      </c>
      <c r="AZ256" s="332">
        <v>0</v>
      </c>
      <c r="BA256" s="332">
        <v>0</v>
      </c>
      <c r="BB256" s="31">
        <v>529421.86141422926</v>
      </c>
      <c r="BC256" s="31">
        <v>529421.86141422926</v>
      </c>
      <c r="BD256" s="29">
        <v>0</v>
      </c>
      <c r="BE256" s="31">
        <v>517194.42685999995</v>
      </c>
    </row>
    <row r="257" spans="1:57" ht="13">
      <c r="A257" s="153">
        <v>44570</v>
      </c>
      <c r="B257" s="10" t="s">
        <v>188</v>
      </c>
      <c r="C257" s="10">
        <v>44561000010</v>
      </c>
      <c r="D257" s="10" t="s">
        <v>64</v>
      </c>
      <c r="E257" s="10" t="s">
        <v>64</v>
      </c>
      <c r="F257" s="153">
        <v>44561</v>
      </c>
      <c r="G257" s="116" t="s">
        <v>39</v>
      </c>
      <c r="H257" s="116">
        <v>500000</v>
      </c>
      <c r="I257" s="116">
        <v>0</v>
      </c>
      <c r="J257" s="116">
        <v>500000</v>
      </c>
      <c r="K257" s="219">
        <v>0</v>
      </c>
      <c r="L257" s="116">
        <v>0</v>
      </c>
      <c r="M257" s="31">
        <v>500000</v>
      </c>
      <c r="N257" s="336">
        <v>500000</v>
      </c>
      <c r="O257" s="336">
        <v>0</v>
      </c>
      <c r="P257" s="219">
        <v>0</v>
      </c>
      <c r="Q257" s="332">
        <v>0</v>
      </c>
      <c r="R257" s="219">
        <v>0</v>
      </c>
      <c r="S257" s="332">
        <v>0</v>
      </c>
      <c r="T257" s="219">
        <v>0</v>
      </c>
      <c r="U257" s="332">
        <v>0</v>
      </c>
      <c r="V257" s="332">
        <v>0</v>
      </c>
      <c r="W257" s="370">
        <v>0</v>
      </c>
      <c r="X257" s="370">
        <v>0</v>
      </c>
      <c r="Y257" s="370">
        <v>0</v>
      </c>
      <c r="Z257" s="370">
        <v>0</v>
      </c>
      <c r="AA257" s="370">
        <v>0</v>
      </c>
      <c r="AB257" s="370">
        <v>0</v>
      </c>
      <c r="AC257" s="370">
        <v>0</v>
      </c>
      <c r="AD257" s="370">
        <v>0</v>
      </c>
      <c r="AE257" s="370">
        <v>0</v>
      </c>
      <c r="AF257" s="370">
        <v>0</v>
      </c>
      <c r="AG257" s="31">
        <v>0</v>
      </c>
      <c r="AH257" s="31">
        <v>1</v>
      </c>
      <c r="AI257" s="31">
        <v>1</v>
      </c>
      <c r="AJ257" s="370">
        <v>1</v>
      </c>
      <c r="AK257" s="219">
        <v>0</v>
      </c>
      <c r="AL257" s="219">
        <v>0</v>
      </c>
      <c r="AM257" s="219">
        <v>0</v>
      </c>
      <c r="AN257" s="219">
        <v>0</v>
      </c>
      <c r="AO257" s="116">
        <v>0</v>
      </c>
      <c r="AP257" s="116">
        <v>0</v>
      </c>
      <c r="AQ257" s="116">
        <v>1</v>
      </c>
      <c r="AR257" s="116">
        <v>0</v>
      </c>
      <c r="AS257" s="116">
        <v>0</v>
      </c>
      <c r="AT257" s="116">
        <v>1</v>
      </c>
      <c r="AU257" s="385">
        <v>0</v>
      </c>
      <c r="AV257" s="332">
        <v>0</v>
      </c>
      <c r="AW257" s="332">
        <v>0</v>
      </c>
      <c r="AX257" s="332">
        <v>500000</v>
      </c>
      <c r="AY257" s="332">
        <v>0</v>
      </c>
      <c r="AZ257" s="332">
        <v>0</v>
      </c>
      <c r="BA257" s="332">
        <v>0</v>
      </c>
      <c r="BB257" s="31">
        <v>500000</v>
      </c>
      <c r="BC257" s="31">
        <v>500000</v>
      </c>
      <c r="BD257" s="29">
        <v>0</v>
      </c>
      <c r="BE257" s="31">
        <v>500000</v>
      </c>
    </row>
    <row r="258" spans="1:57" ht="13">
      <c r="A258" s="153">
        <v>44571</v>
      </c>
      <c r="B258" s="10" t="s">
        <v>183</v>
      </c>
      <c r="C258" s="10">
        <v>44561000005</v>
      </c>
      <c r="D258" s="10" t="s">
        <v>64</v>
      </c>
      <c r="E258" s="10" t="s">
        <v>64</v>
      </c>
      <c r="F258" s="153">
        <v>44561</v>
      </c>
      <c r="G258" s="116" t="s">
        <v>39</v>
      </c>
      <c r="H258" s="116">
        <v>500000</v>
      </c>
      <c r="I258" s="116">
        <v>0</v>
      </c>
      <c r="J258" s="116">
        <v>500000</v>
      </c>
      <c r="K258" s="219">
        <v>0</v>
      </c>
      <c r="L258" s="116">
        <v>0</v>
      </c>
      <c r="M258" s="31">
        <v>500000</v>
      </c>
      <c r="N258" s="336">
        <v>500000</v>
      </c>
      <c r="O258" s="336">
        <v>0</v>
      </c>
      <c r="P258" s="219">
        <v>0</v>
      </c>
      <c r="Q258" s="332">
        <v>0</v>
      </c>
      <c r="R258" s="219">
        <v>0</v>
      </c>
      <c r="S258" s="332">
        <v>0</v>
      </c>
      <c r="T258" s="219">
        <v>0</v>
      </c>
      <c r="U258" s="332">
        <v>0</v>
      </c>
      <c r="V258" s="332">
        <v>0</v>
      </c>
      <c r="W258" s="370">
        <v>0</v>
      </c>
      <c r="X258" s="370">
        <v>0</v>
      </c>
      <c r="Y258" s="370">
        <v>0</v>
      </c>
      <c r="Z258" s="370">
        <v>0</v>
      </c>
      <c r="AA258" s="370">
        <v>0</v>
      </c>
      <c r="AB258" s="370">
        <v>0</v>
      </c>
      <c r="AC258" s="370">
        <v>0</v>
      </c>
      <c r="AD258" s="370">
        <v>0</v>
      </c>
      <c r="AE258" s="370">
        <v>0</v>
      </c>
      <c r="AF258" s="370">
        <v>0</v>
      </c>
      <c r="AG258" s="31">
        <v>0</v>
      </c>
      <c r="AH258" s="31">
        <v>1</v>
      </c>
      <c r="AI258" s="31">
        <v>0</v>
      </c>
      <c r="AJ258" s="370">
        <v>1</v>
      </c>
      <c r="AK258" s="219">
        <v>0</v>
      </c>
      <c r="AL258" s="219">
        <v>0</v>
      </c>
      <c r="AM258" s="219">
        <v>0</v>
      </c>
      <c r="AN258" s="219">
        <v>0</v>
      </c>
      <c r="AO258" s="116">
        <v>0</v>
      </c>
      <c r="AP258" s="116">
        <v>0</v>
      </c>
      <c r="AQ258" s="116">
        <v>1</v>
      </c>
      <c r="AR258" s="116">
        <v>0</v>
      </c>
      <c r="AS258" s="116">
        <v>0</v>
      </c>
      <c r="AT258" s="116">
        <v>1</v>
      </c>
      <c r="AU258" s="385">
        <v>0</v>
      </c>
      <c r="AV258" s="332">
        <v>0</v>
      </c>
      <c r="AW258" s="332">
        <v>0</v>
      </c>
      <c r="AX258" s="332">
        <v>500000</v>
      </c>
      <c r="AY258" s="332">
        <v>0</v>
      </c>
      <c r="AZ258" s="332">
        <v>0</v>
      </c>
      <c r="BA258" s="332">
        <v>0</v>
      </c>
      <c r="BB258" s="31">
        <v>499951.44929468975</v>
      </c>
      <c r="BC258" s="31">
        <v>0</v>
      </c>
      <c r="BD258" s="29">
        <v>0</v>
      </c>
      <c r="BE258" s="29">
        <v>0</v>
      </c>
    </row>
    <row r="259" spans="1:57" ht="13">
      <c r="A259" s="153">
        <v>44571</v>
      </c>
      <c r="B259" s="10" t="s">
        <v>183</v>
      </c>
      <c r="C259" s="10">
        <v>44562000011</v>
      </c>
      <c r="D259" s="10" t="s">
        <v>16</v>
      </c>
      <c r="E259" s="10" t="s">
        <v>42</v>
      </c>
      <c r="F259" s="153">
        <v>44562</v>
      </c>
      <c r="G259" s="116" t="s">
        <v>41</v>
      </c>
      <c r="H259" s="116">
        <v>447610.20799999998</v>
      </c>
      <c r="I259" s="116">
        <v>52389.792000000001</v>
      </c>
      <c r="J259" s="116">
        <v>500000</v>
      </c>
      <c r="K259" s="219">
        <v>447610.20799999998</v>
      </c>
      <c r="L259" s="116">
        <v>0</v>
      </c>
      <c r="M259" s="31">
        <v>-52389.792000000001</v>
      </c>
      <c r="N259" s="336">
        <v>-52389.792000000001</v>
      </c>
      <c r="O259" s="336">
        <v>52389.792000000001</v>
      </c>
      <c r="P259" s="219">
        <v>0</v>
      </c>
      <c r="Q259" s="332">
        <v>26194.896000000001</v>
      </c>
      <c r="R259" s="219">
        <v>2</v>
      </c>
      <c r="S259" s="332">
        <v>0</v>
      </c>
      <c r="T259" s="219">
        <v>0</v>
      </c>
      <c r="U259" s="332">
        <v>0</v>
      </c>
      <c r="V259" s="332">
        <v>0</v>
      </c>
      <c r="W259" s="370">
        <v>0</v>
      </c>
      <c r="X259" s="370">
        <v>0</v>
      </c>
      <c r="Y259" s="370">
        <v>0</v>
      </c>
      <c r="Z259" s="370">
        <v>0</v>
      </c>
      <c r="AA259" s="370">
        <v>0</v>
      </c>
      <c r="AB259" s="370">
        <v>2</v>
      </c>
      <c r="AC259" s="370">
        <v>0</v>
      </c>
      <c r="AD259" s="370">
        <v>0</v>
      </c>
      <c r="AE259" s="370">
        <v>0</v>
      </c>
      <c r="AF259" s="370">
        <v>-2</v>
      </c>
      <c r="AG259" s="31">
        <v>2</v>
      </c>
      <c r="AH259" s="31">
        <v>3229.72</v>
      </c>
      <c r="AI259" s="31">
        <v>0</v>
      </c>
      <c r="AJ259" s="370">
        <v>7.7958499999999997</v>
      </c>
      <c r="AK259" s="219">
        <v>3229.72</v>
      </c>
      <c r="AL259" s="219">
        <v>0</v>
      </c>
      <c r="AM259" s="219">
        <v>0</v>
      </c>
      <c r="AN259" s="219">
        <v>0</v>
      </c>
      <c r="AO259" s="116">
        <v>0</v>
      </c>
      <c r="AP259" s="116">
        <v>0</v>
      </c>
      <c r="AQ259" s="116">
        <v>2</v>
      </c>
      <c r="AR259" s="116">
        <v>50356.825323999998</v>
      </c>
      <c r="AS259" s="116">
        <v>50356.825323999998</v>
      </c>
      <c r="AT259" s="116">
        <v>1</v>
      </c>
      <c r="AU259" s="385">
        <v>0</v>
      </c>
      <c r="AV259" s="332">
        <v>0</v>
      </c>
      <c r="AW259" s="332">
        <v>0</v>
      </c>
      <c r="AX259" s="332">
        <v>-50356.825323999998</v>
      </c>
      <c r="AY259" s="332">
        <v>0</v>
      </c>
      <c r="AZ259" s="332">
        <v>0</v>
      </c>
      <c r="BA259" s="332">
        <v>0</v>
      </c>
      <c r="BB259" s="31">
        <v>447561.65729468974</v>
      </c>
      <c r="BC259" s="31">
        <v>0</v>
      </c>
      <c r="BD259" s="29">
        <v>0</v>
      </c>
      <c r="BE259" s="29">
        <v>0</v>
      </c>
    </row>
    <row r="260" spans="1:57" ht="13">
      <c r="A260" s="153">
        <v>44571</v>
      </c>
      <c r="B260" s="10" t="s">
        <v>183</v>
      </c>
      <c r="C260" s="10">
        <v>44563000012</v>
      </c>
      <c r="D260" s="10" t="s">
        <v>16</v>
      </c>
      <c r="E260" s="10" t="s">
        <v>38</v>
      </c>
      <c r="F260" s="153">
        <v>44563</v>
      </c>
      <c r="G260" s="116" t="s">
        <v>39</v>
      </c>
      <c r="H260" s="116">
        <v>443010.20799999998</v>
      </c>
      <c r="I260" s="116">
        <v>56989.792000000001</v>
      </c>
      <c r="J260" s="116">
        <v>500000</v>
      </c>
      <c r="K260" s="219">
        <v>443010.20799999998</v>
      </c>
      <c r="L260" s="116">
        <v>0</v>
      </c>
      <c r="M260" s="31">
        <v>-4600</v>
      </c>
      <c r="N260" s="336">
        <v>-4600</v>
      </c>
      <c r="O260" s="336">
        <v>4600</v>
      </c>
      <c r="P260" s="219">
        <v>0</v>
      </c>
      <c r="Q260" s="332">
        <v>460</v>
      </c>
      <c r="R260" s="219">
        <v>10</v>
      </c>
      <c r="S260" s="332">
        <v>0</v>
      </c>
      <c r="T260" s="219">
        <v>0</v>
      </c>
      <c r="U260" s="332">
        <v>0</v>
      </c>
      <c r="V260" s="332">
        <v>0</v>
      </c>
      <c r="W260" s="370">
        <v>0</v>
      </c>
      <c r="X260" s="370">
        <v>0</v>
      </c>
      <c r="Y260" s="370">
        <v>0</v>
      </c>
      <c r="Z260" s="370">
        <v>0</v>
      </c>
      <c r="AA260" s="370">
        <v>0</v>
      </c>
      <c r="AB260" s="370">
        <v>10</v>
      </c>
      <c r="AC260" s="370">
        <v>0</v>
      </c>
      <c r="AD260" s="370">
        <v>0</v>
      </c>
      <c r="AE260" s="370">
        <v>0</v>
      </c>
      <c r="AF260" s="370">
        <v>-10</v>
      </c>
      <c r="AG260" s="31">
        <v>10</v>
      </c>
      <c r="AH260" s="31">
        <v>453.2</v>
      </c>
      <c r="AI260" s="31">
        <v>0</v>
      </c>
      <c r="AJ260" s="370">
        <v>1</v>
      </c>
      <c r="AK260" s="219">
        <v>453.2</v>
      </c>
      <c r="AL260" s="219">
        <v>0</v>
      </c>
      <c r="AM260" s="219">
        <v>0</v>
      </c>
      <c r="AN260" s="219">
        <v>0</v>
      </c>
      <c r="AO260" s="116">
        <v>0</v>
      </c>
      <c r="AP260" s="116">
        <v>0</v>
      </c>
      <c r="AQ260" s="116">
        <v>3</v>
      </c>
      <c r="AR260" s="116">
        <v>4532</v>
      </c>
      <c r="AS260" s="116">
        <v>-2266</v>
      </c>
      <c r="AT260" s="116">
        <v>1</v>
      </c>
      <c r="AU260" s="385">
        <v>0</v>
      </c>
      <c r="AV260" s="332">
        <v>0</v>
      </c>
      <c r="AW260" s="332">
        <v>0</v>
      </c>
      <c r="AX260" s="332">
        <v>-4532</v>
      </c>
      <c r="AY260" s="332">
        <v>0</v>
      </c>
      <c r="AZ260" s="332">
        <v>0</v>
      </c>
      <c r="BA260" s="332">
        <v>0</v>
      </c>
      <c r="BB260" s="31">
        <v>442961.65729468974</v>
      </c>
      <c r="BC260" s="31">
        <v>0</v>
      </c>
      <c r="BD260" s="29">
        <v>0</v>
      </c>
      <c r="BE260" s="31">
        <v>0</v>
      </c>
    </row>
    <row r="261" spans="1:57" ht="13">
      <c r="A261" s="153">
        <v>44571</v>
      </c>
      <c r="B261" s="10" t="s">
        <v>183</v>
      </c>
      <c r="C261" s="10">
        <v>44563000013</v>
      </c>
      <c r="D261" s="10" t="s">
        <v>16</v>
      </c>
      <c r="E261" s="10" t="s">
        <v>40</v>
      </c>
      <c r="F261" s="153">
        <v>44563</v>
      </c>
      <c r="G261" s="116" t="s">
        <v>29</v>
      </c>
      <c r="H261" s="116">
        <v>480735.87624999997</v>
      </c>
      <c r="I261" s="116">
        <v>19264.123750000006</v>
      </c>
      <c r="J261" s="116">
        <v>500000</v>
      </c>
      <c r="K261" s="219">
        <v>409884.53975</v>
      </c>
      <c r="L261" s="116">
        <v>0</v>
      </c>
      <c r="M261" s="31">
        <v>37725.668249999995</v>
      </c>
      <c r="N261" s="336">
        <v>-37725.668249999995</v>
      </c>
      <c r="O261" s="336">
        <v>0</v>
      </c>
      <c r="P261" s="219">
        <v>-37725.668249999995</v>
      </c>
      <c r="Q261" s="332">
        <v>2515.0445499999996</v>
      </c>
      <c r="R261" s="219">
        <v>-15</v>
      </c>
      <c r="S261" s="332">
        <v>0</v>
      </c>
      <c r="T261" s="219">
        <v>0</v>
      </c>
      <c r="U261" s="332">
        <v>0</v>
      </c>
      <c r="V261" s="332">
        <v>0</v>
      </c>
      <c r="W261" s="370">
        <v>0</v>
      </c>
      <c r="X261" s="370">
        <v>0</v>
      </c>
      <c r="Y261" s="370">
        <v>0</v>
      </c>
      <c r="Z261" s="370">
        <v>0</v>
      </c>
      <c r="AA261" s="370">
        <v>0</v>
      </c>
      <c r="AB261" s="370">
        <v>-15</v>
      </c>
      <c r="AC261" s="370">
        <v>0</v>
      </c>
      <c r="AD261" s="370">
        <v>0</v>
      </c>
      <c r="AE261" s="370">
        <v>0</v>
      </c>
      <c r="AF261" s="370">
        <v>-15</v>
      </c>
      <c r="AG261" s="31">
        <v>-15</v>
      </c>
      <c r="AH261" s="31">
        <v>1966</v>
      </c>
      <c r="AI261" s="31">
        <v>0</v>
      </c>
      <c r="AJ261" s="370">
        <v>1.222642</v>
      </c>
      <c r="AK261" s="219">
        <v>1966</v>
      </c>
      <c r="AL261" s="219">
        <v>0</v>
      </c>
      <c r="AM261" s="219">
        <v>0</v>
      </c>
      <c r="AN261" s="219">
        <v>0</v>
      </c>
      <c r="AO261" s="116">
        <v>0</v>
      </c>
      <c r="AP261" s="116">
        <v>0</v>
      </c>
      <c r="AQ261" s="116">
        <v>4</v>
      </c>
      <c r="AR261" s="116">
        <v>-36055.712579999999</v>
      </c>
      <c r="AS261" s="116">
        <v>-36055.712579999999</v>
      </c>
      <c r="AT261" s="116">
        <v>1</v>
      </c>
      <c r="AU261" s="385">
        <v>0</v>
      </c>
      <c r="AV261" s="332">
        <v>0</v>
      </c>
      <c r="AW261" s="332">
        <v>0</v>
      </c>
      <c r="AX261" s="332">
        <v>-36055.712579999999</v>
      </c>
      <c r="AY261" s="332">
        <v>0</v>
      </c>
      <c r="AZ261" s="332">
        <v>-6.1078684006721522</v>
      </c>
      <c r="BA261" s="332">
        <v>0</v>
      </c>
      <c r="BB261" s="31">
        <v>480687.32554468972</v>
      </c>
      <c r="BC261" s="31">
        <v>0</v>
      </c>
      <c r="BD261" s="29">
        <v>0</v>
      </c>
      <c r="BE261" s="31">
        <v>0</v>
      </c>
    </row>
    <row r="262" spans="1:57" ht="13">
      <c r="A262" s="153">
        <v>44571</v>
      </c>
      <c r="B262" s="10" t="s">
        <v>183</v>
      </c>
      <c r="C262" s="10">
        <v>44563000014</v>
      </c>
      <c r="D262" s="10" t="s">
        <v>16</v>
      </c>
      <c r="E262" s="10" t="s">
        <v>36</v>
      </c>
      <c r="F262" s="153">
        <v>44563</v>
      </c>
      <c r="G262" s="116" t="s">
        <v>37</v>
      </c>
      <c r="H262" s="116">
        <v>416011.66724999994</v>
      </c>
      <c r="I262" s="116">
        <v>83988.332750000001</v>
      </c>
      <c r="J262" s="116">
        <v>499999.99999999994</v>
      </c>
      <c r="K262" s="219">
        <v>345160.33075000002</v>
      </c>
      <c r="L262" s="116">
        <v>0</v>
      </c>
      <c r="M262" s="31">
        <v>-64724.209000000003</v>
      </c>
      <c r="N262" s="336">
        <v>-64724.208999999995</v>
      </c>
      <c r="O262" s="336">
        <v>64724.209000000003</v>
      </c>
      <c r="P262" s="219">
        <v>0</v>
      </c>
      <c r="Q262" s="332">
        <v>6472.4209000000001</v>
      </c>
      <c r="R262" s="219">
        <v>10</v>
      </c>
      <c r="S262" s="332">
        <v>0</v>
      </c>
      <c r="T262" s="219">
        <v>0</v>
      </c>
      <c r="U262" s="332">
        <v>0</v>
      </c>
      <c r="V262" s="332">
        <v>0</v>
      </c>
      <c r="W262" s="370">
        <v>0</v>
      </c>
      <c r="X262" s="370">
        <v>0</v>
      </c>
      <c r="Y262" s="370">
        <v>0</v>
      </c>
      <c r="Z262" s="370">
        <v>0</v>
      </c>
      <c r="AA262" s="370">
        <v>0</v>
      </c>
      <c r="AB262" s="370">
        <v>10</v>
      </c>
      <c r="AC262" s="370">
        <v>0</v>
      </c>
      <c r="AD262" s="370">
        <v>0</v>
      </c>
      <c r="AE262" s="370">
        <v>0</v>
      </c>
      <c r="AF262" s="370">
        <v>-10</v>
      </c>
      <c r="AG262" s="31">
        <v>10</v>
      </c>
      <c r="AH262" s="31">
        <v>702.7</v>
      </c>
      <c r="AI262" s="31">
        <v>0</v>
      </c>
      <c r="AJ262" s="370">
        <v>8.8331</v>
      </c>
      <c r="AK262" s="219">
        <v>702.7</v>
      </c>
      <c r="AL262" s="219">
        <v>0</v>
      </c>
      <c r="AM262" s="219">
        <v>0</v>
      </c>
      <c r="AN262" s="219">
        <v>0</v>
      </c>
      <c r="AO262" s="116">
        <v>0</v>
      </c>
      <c r="AP262" s="116">
        <v>0</v>
      </c>
      <c r="AQ262" s="116">
        <v>5</v>
      </c>
      <c r="AR262" s="116">
        <v>62070.193699999996</v>
      </c>
      <c r="AS262" s="116">
        <v>-248280.77480000001</v>
      </c>
      <c r="AT262" s="116">
        <v>1</v>
      </c>
      <c r="AU262" s="385">
        <v>0</v>
      </c>
      <c r="AV262" s="332">
        <v>0</v>
      </c>
      <c r="AW262" s="332">
        <v>0</v>
      </c>
      <c r="AX262" s="332">
        <v>-62070.193700000003</v>
      </c>
      <c r="AY262" s="332">
        <v>0</v>
      </c>
      <c r="AZ262" s="332">
        <v>0</v>
      </c>
      <c r="BA262" s="332">
        <v>0</v>
      </c>
      <c r="BB262" s="31">
        <v>415963.11654468969</v>
      </c>
      <c r="BC262" s="31">
        <v>0</v>
      </c>
      <c r="BD262" s="29">
        <v>0</v>
      </c>
      <c r="BE262" s="31">
        <v>0</v>
      </c>
    </row>
    <row r="263" spans="1:57" ht="13">
      <c r="A263" s="153">
        <v>44571</v>
      </c>
      <c r="B263" s="10" t="s">
        <v>183</v>
      </c>
      <c r="C263" s="10">
        <v>44565000016</v>
      </c>
      <c r="D263" s="10" t="s">
        <v>16</v>
      </c>
      <c r="E263" s="10" t="s">
        <v>36</v>
      </c>
      <c r="F263" s="153">
        <v>44565</v>
      </c>
      <c r="G263" s="116" t="s">
        <v>37</v>
      </c>
      <c r="H263" s="116">
        <v>448553.16724999994</v>
      </c>
      <c r="I263" s="116">
        <v>51446.832750000001</v>
      </c>
      <c r="J263" s="116">
        <v>499999.99999999994</v>
      </c>
      <c r="K263" s="219">
        <v>507150.24874999997</v>
      </c>
      <c r="L263" s="116">
        <v>0</v>
      </c>
      <c r="M263" s="31">
        <v>32541.5</v>
      </c>
      <c r="N263" s="336">
        <v>32541.5</v>
      </c>
      <c r="O263" s="336">
        <v>0</v>
      </c>
      <c r="P263" s="219">
        <v>-32541.5</v>
      </c>
      <c r="Q263" s="332">
        <v>6508.3</v>
      </c>
      <c r="R263" s="219">
        <v>-5</v>
      </c>
      <c r="S263" s="332">
        <v>0</v>
      </c>
      <c r="T263" s="219">
        <v>0</v>
      </c>
      <c r="U263" s="332">
        <v>0</v>
      </c>
      <c r="V263" s="332">
        <v>0</v>
      </c>
      <c r="W263" s="370">
        <v>0</v>
      </c>
      <c r="X263" s="370">
        <v>10</v>
      </c>
      <c r="Y263" s="370">
        <v>0</v>
      </c>
      <c r="Z263" s="370">
        <v>0</v>
      </c>
      <c r="AA263" s="370">
        <v>0</v>
      </c>
      <c r="AB263" s="370">
        <v>5</v>
      </c>
      <c r="AC263" s="370">
        <v>0</v>
      </c>
      <c r="AD263" s="370">
        <v>0</v>
      </c>
      <c r="AE263" s="370">
        <v>0</v>
      </c>
      <c r="AF263" s="370">
        <v>5</v>
      </c>
      <c r="AG263" s="31">
        <v>-5</v>
      </c>
      <c r="AH263" s="31">
        <v>702.7</v>
      </c>
      <c r="AI263" s="31">
        <v>0</v>
      </c>
      <c r="AJ263" s="370">
        <v>8.8331</v>
      </c>
      <c r="AK263" s="219">
        <v>702.7</v>
      </c>
      <c r="AL263" s="219">
        <v>0</v>
      </c>
      <c r="AM263" s="219">
        <v>0</v>
      </c>
      <c r="AN263" s="219">
        <v>0</v>
      </c>
      <c r="AO263" s="116">
        <v>0</v>
      </c>
      <c r="AP263" s="116">
        <v>0</v>
      </c>
      <c r="AQ263" s="116">
        <v>5</v>
      </c>
      <c r="AR263" s="116">
        <v>-31035.096849999998</v>
      </c>
      <c r="AS263" s="116">
        <v>-248280.77480000001</v>
      </c>
      <c r="AT263" s="116">
        <v>0</v>
      </c>
      <c r="AU263" s="385">
        <v>0</v>
      </c>
      <c r="AV263" s="332">
        <v>0</v>
      </c>
      <c r="AW263" s="332">
        <v>0</v>
      </c>
      <c r="AX263" s="332">
        <v>31035.096850000002</v>
      </c>
      <c r="AY263" s="332">
        <v>0</v>
      </c>
      <c r="AZ263" s="332">
        <v>0</v>
      </c>
      <c r="BA263" s="332">
        <v>0</v>
      </c>
      <c r="BB263" s="31">
        <v>448504.61654468969</v>
      </c>
      <c r="BC263" s="31">
        <v>0</v>
      </c>
      <c r="BD263" s="29">
        <v>0</v>
      </c>
      <c r="BE263" s="31">
        <v>0</v>
      </c>
    </row>
    <row r="264" spans="1:57" ht="13">
      <c r="A264" s="153">
        <v>44571</v>
      </c>
      <c r="B264" s="10" t="s">
        <v>183</v>
      </c>
      <c r="C264" s="10">
        <v>44566000017</v>
      </c>
      <c r="D264" s="10" t="s">
        <v>16</v>
      </c>
      <c r="E264" s="10" t="s">
        <v>36</v>
      </c>
      <c r="F264" s="153">
        <v>44566</v>
      </c>
      <c r="G264" s="116" t="s">
        <v>37</v>
      </c>
      <c r="H264" s="116">
        <v>422451.84284999996</v>
      </c>
      <c r="I264" s="116">
        <v>77548.157149999999</v>
      </c>
      <c r="J264" s="116">
        <v>499999.99999999994</v>
      </c>
      <c r="K264" s="219">
        <v>415965.92434999999</v>
      </c>
      <c r="L264" s="116">
        <v>0</v>
      </c>
      <c r="M264" s="31">
        <v>-26101.324400000001</v>
      </c>
      <c r="N264" s="336">
        <v>-26101.324400000001</v>
      </c>
      <c r="O264" s="336">
        <v>26101.324400000001</v>
      </c>
      <c r="P264" s="219">
        <v>0</v>
      </c>
      <c r="Q264" s="332">
        <v>6525.3311000000003</v>
      </c>
      <c r="R264" s="219">
        <v>4</v>
      </c>
      <c r="S264" s="332">
        <v>0</v>
      </c>
      <c r="T264" s="219">
        <v>0</v>
      </c>
      <c r="U264" s="332">
        <v>0</v>
      </c>
      <c r="V264" s="332">
        <v>0</v>
      </c>
      <c r="W264" s="370">
        <v>0</v>
      </c>
      <c r="X264" s="370">
        <v>5</v>
      </c>
      <c r="Y264" s="370">
        <v>0</v>
      </c>
      <c r="Z264" s="370">
        <v>0</v>
      </c>
      <c r="AA264" s="370">
        <v>0</v>
      </c>
      <c r="AB264" s="370">
        <v>9</v>
      </c>
      <c r="AC264" s="370">
        <v>0</v>
      </c>
      <c r="AD264" s="370">
        <v>0</v>
      </c>
      <c r="AE264" s="370">
        <v>0</v>
      </c>
      <c r="AF264" s="370">
        <v>-4</v>
      </c>
      <c r="AG264" s="31">
        <v>4</v>
      </c>
      <c r="AH264" s="31">
        <v>702.7</v>
      </c>
      <c r="AI264" s="31">
        <v>0</v>
      </c>
      <c r="AJ264" s="370">
        <v>8.8331</v>
      </c>
      <c r="AK264" s="219">
        <v>702.7</v>
      </c>
      <c r="AL264" s="219">
        <v>0</v>
      </c>
      <c r="AM264" s="219">
        <v>0</v>
      </c>
      <c r="AN264" s="219">
        <v>0</v>
      </c>
      <c r="AO264" s="116">
        <v>0</v>
      </c>
      <c r="AP264" s="116">
        <v>0</v>
      </c>
      <c r="AQ264" s="116">
        <v>5</v>
      </c>
      <c r="AR264" s="116">
        <v>24828.07748</v>
      </c>
      <c r="AS264" s="116">
        <v>-248280.77480000001</v>
      </c>
      <c r="AT264" s="116">
        <v>0</v>
      </c>
      <c r="AU264" s="385">
        <v>0</v>
      </c>
      <c r="AV264" s="332">
        <v>0</v>
      </c>
      <c r="AW264" s="332">
        <v>0</v>
      </c>
      <c r="AX264" s="332">
        <v>-24828.07748</v>
      </c>
      <c r="AY264" s="332">
        <v>0</v>
      </c>
      <c r="AZ264" s="332">
        <v>0</v>
      </c>
      <c r="BA264" s="332">
        <v>0</v>
      </c>
      <c r="BB264" s="31">
        <v>422403.29214468971</v>
      </c>
      <c r="BC264" s="31">
        <v>0</v>
      </c>
      <c r="BD264" s="29">
        <v>0</v>
      </c>
      <c r="BE264" s="31">
        <v>0</v>
      </c>
    </row>
    <row r="265" spans="1:57" ht="13">
      <c r="A265" s="153">
        <v>44571</v>
      </c>
      <c r="B265" s="10" t="s">
        <v>183</v>
      </c>
      <c r="C265" s="10">
        <v>44567000018</v>
      </c>
      <c r="D265" s="10" t="s">
        <v>16</v>
      </c>
      <c r="E265" s="10" t="s">
        <v>36</v>
      </c>
      <c r="F265" s="153">
        <v>44567</v>
      </c>
      <c r="G265" s="116" t="s">
        <v>37</v>
      </c>
      <c r="H265" s="116">
        <v>344208.43124999997</v>
      </c>
      <c r="I265" s="116">
        <v>155791.56874999998</v>
      </c>
      <c r="J265" s="116">
        <v>499999.99999999994</v>
      </c>
      <c r="K265" s="219">
        <v>389925.16154999996</v>
      </c>
      <c r="L265" s="116">
        <v>0</v>
      </c>
      <c r="M265" s="31">
        <v>-78243.411599999992</v>
      </c>
      <c r="N265" s="336">
        <v>-78243.411599999992</v>
      </c>
      <c r="O265" s="336">
        <v>78243.411599999992</v>
      </c>
      <c r="P265" s="219">
        <v>0</v>
      </c>
      <c r="Q265" s="332">
        <v>6520.2842999999993</v>
      </c>
      <c r="R265" s="219">
        <v>12</v>
      </c>
      <c r="S265" s="332">
        <v>0</v>
      </c>
      <c r="T265" s="219">
        <v>0</v>
      </c>
      <c r="U265" s="332">
        <v>0</v>
      </c>
      <c r="V265" s="332">
        <v>0</v>
      </c>
      <c r="W265" s="370">
        <v>0</v>
      </c>
      <c r="X265" s="370">
        <v>9</v>
      </c>
      <c r="Y265" s="370">
        <v>0</v>
      </c>
      <c r="Z265" s="370">
        <v>0</v>
      </c>
      <c r="AA265" s="370">
        <v>0</v>
      </c>
      <c r="AB265" s="370">
        <v>21</v>
      </c>
      <c r="AC265" s="370">
        <v>0</v>
      </c>
      <c r="AD265" s="370">
        <v>0</v>
      </c>
      <c r="AE265" s="370">
        <v>0</v>
      </c>
      <c r="AF265" s="370">
        <v>-12</v>
      </c>
      <c r="AG265" s="31">
        <v>12</v>
      </c>
      <c r="AH265" s="31">
        <v>702.7</v>
      </c>
      <c r="AI265" s="31">
        <v>0</v>
      </c>
      <c r="AJ265" s="370">
        <v>8.8331</v>
      </c>
      <c r="AK265" s="219">
        <v>702.7</v>
      </c>
      <c r="AL265" s="219">
        <v>0</v>
      </c>
      <c r="AM265" s="219">
        <v>0</v>
      </c>
      <c r="AN265" s="219">
        <v>0</v>
      </c>
      <c r="AO265" s="116">
        <v>0</v>
      </c>
      <c r="AP265" s="116">
        <v>0</v>
      </c>
      <c r="AQ265" s="116">
        <v>5</v>
      </c>
      <c r="AR265" s="116">
        <v>74484.232440000007</v>
      </c>
      <c r="AS265" s="116">
        <v>-248280.77480000001</v>
      </c>
      <c r="AT265" s="116">
        <v>0</v>
      </c>
      <c r="AU265" s="385">
        <v>0</v>
      </c>
      <c r="AV265" s="332">
        <v>0</v>
      </c>
      <c r="AW265" s="332">
        <v>0</v>
      </c>
      <c r="AX265" s="332">
        <v>-74484.232439999992</v>
      </c>
      <c r="AY265" s="332">
        <v>0</v>
      </c>
      <c r="AZ265" s="332">
        <v>0</v>
      </c>
      <c r="BA265" s="332">
        <v>0</v>
      </c>
      <c r="BB265" s="31">
        <v>344159.88054468972</v>
      </c>
      <c r="BC265" s="31">
        <v>0</v>
      </c>
      <c r="BD265" s="29">
        <v>0</v>
      </c>
      <c r="BE265" s="31">
        <v>0</v>
      </c>
    </row>
    <row r="266" spans="1:57" ht="13">
      <c r="A266" s="153">
        <v>44571</v>
      </c>
      <c r="B266" s="10" t="s">
        <v>183</v>
      </c>
      <c r="C266" s="10">
        <v>44567000020</v>
      </c>
      <c r="D266" s="10" t="s">
        <v>16</v>
      </c>
      <c r="E266" s="10" t="s">
        <v>36</v>
      </c>
      <c r="F266" s="153">
        <v>44567</v>
      </c>
      <c r="G266" s="116" t="s">
        <v>37</v>
      </c>
      <c r="H266" s="116">
        <v>324647.57834999997</v>
      </c>
      <c r="I266" s="116">
        <v>175352.42164999997</v>
      </c>
      <c r="J266" s="116">
        <v>499999.99999999994</v>
      </c>
      <c r="K266" s="219">
        <v>526851.13185000001</v>
      </c>
      <c r="L266" s="116">
        <v>0</v>
      </c>
      <c r="M266" s="31">
        <v>-19560.852899999998</v>
      </c>
      <c r="N266" s="336">
        <v>-19560.852899999998</v>
      </c>
      <c r="O266" s="336">
        <v>19560.852899999998</v>
      </c>
      <c r="P266" s="219">
        <v>0</v>
      </c>
      <c r="Q266" s="332">
        <v>6520.2842999999993</v>
      </c>
      <c r="R266" s="219">
        <v>3</v>
      </c>
      <c r="S266" s="332">
        <v>0</v>
      </c>
      <c r="T266" s="219">
        <v>0</v>
      </c>
      <c r="U266" s="332">
        <v>0</v>
      </c>
      <c r="V266" s="332">
        <v>0</v>
      </c>
      <c r="W266" s="370">
        <v>0</v>
      </c>
      <c r="X266" s="370">
        <v>21</v>
      </c>
      <c r="Y266" s="370">
        <v>0</v>
      </c>
      <c r="Z266" s="370">
        <v>0</v>
      </c>
      <c r="AA266" s="370">
        <v>0</v>
      </c>
      <c r="AB266" s="370">
        <v>24</v>
      </c>
      <c r="AC266" s="370">
        <v>0</v>
      </c>
      <c r="AD266" s="370">
        <v>0</v>
      </c>
      <c r="AE266" s="370">
        <v>0</v>
      </c>
      <c r="AF266" s="370">
        <v>-3</v>
      </c>
      <c r="AG266" s="31">
        <v>3</v>
      </c>
      <c r="AH266" s="31">
        <v>702.7</v>
      </c>
      <c r="AI266" s="31">
        <v>0</v>
      </c>
      <c r="AJ266" s="370">
        <v>8.8331</v>
      </c>
      <c r="AK266" s="219">
        <v>702.7</v>
      </c>
      <c r="AL266" s="219">
        <v>0</v>
      </c>
      <c r="AM266" s="219">
        <v>0</v>
      </c>
      <c r="AN266" s="219">
        <v>0</v>
      </c>
      <c r="AO266" s="116">
        <v>0</v>
      </c>
      <c r="AP266" s="116">
        <v>0</v>
      </c>
      <c r="AQ266" s="116">
        <v>5</v>
      </c>
      <c r="AR266" s="116">
        <v>18621.058110000002</v>
      </c>
      <c r="AS266" s="116">
        <v>-248280.77480000001</v>
      </c>
      <c r="AT266" s="116">
        <v>0</v>
      </c>
      <c r="AU266" s="385">
        <v>0</v>
      </c>
      <c r="AV266" s="332">
        <v>0</v>
      </c>
      <c r="AW266" s="332">
        <v>0</v>
      </c>
      <c r="AX266" s="332">
        <v>-18621.058109999998</v>
      </c>
      <c r="AY266" s="332">
        <v>0</v>
      </c>
      <c r="AZ266" s="332">
        <v>0</v>
      </c>
      <c r="BA266" s="332">
        <v>0</v>
      </c>
      <c r="BB266" s="31">
        <v>324599.02764468972</v>
      </c>
      <c r="BC266" s="31">
        <v>0</v>
      </c>
      <c r="BD266" s="29">
        <v>0</v>
      </c>
      <c r="BE266" s="31">
        <v>0</v>
      </c>
    </row>
    <row r="267" spans="1:57" ht="13">
      <c r="A267" s="153">
        <v>44571</v>
      </c>
      <c r="B267" s="10" t="s">
        <v>183</v>
      </c>
      <c r="C267" s="10">
        <v>44568000021</v>
      </c>
      <c r="D267" s="10" t="s">
        <v>16</v>
      </c>
      <c r="E267" s="10" t="s">
        <v>36</v>
      </c>
      <c r="F267" s="153">
        <v>44568</v>
      </c>
      <c r="G267" s="116" t="s">
        <v>37</v>
      </c>
      <c r="H267" s="116">
        <v>407579.05034999998</v>
      </c>
      <c r="I267" s="116">
        <v>92420.949649999966</v>
      </c>
      <c r="J267" s="116">
        <v>499999.99999999994</v>
      </c>
      <c r="K267" s="219">
        <v>648904.30964999995</v>
      </c>
      <c r="L267" s="116">
        <v>0</v>
      </c>
      <c r="M267" s="31">
        <v>82931.472000000009</v>
      </c>
      <c r="N267" s="336">
        <v>82931.472000000009</v>
      </c>
      <c r="O267" s="336">
        <v>0</v>
      </c>
      <c r="P267" s="219">
        <v>-82931.472000000009</v>
      </c>
      <c r="Q267" s="332">
        <v>6379.344000000001</v>
      </c>
      <c r="R267" s="219">
        <v>-13</v>
      </c>
      <c r="S267" s="332">
        <v>0</v>
      </c>
      <c r="T267" s="219">
        <v>0</v>
      </c>
      <c r="U267" s="332">
        <v>0</v>
      </c>
      <c r="V267" s="332">
        <v>0</v>
      </c>
      <c r="W267" s="370">
        <v>0</v>
      </c>
      <c r="X267" s="370">
        <v>24</v>
      </c>
      <c r="Y267" s="370">
        <v>0</v>
      </c>
      <c r="Z267" s="370">
        <v>0</v>
      </c>
      <c r="AA267" s="370">
        <v>0</v>
      </c>
      <c r="AB267" s="370">
        <v>11</v>
      </c>
      <c r="AC267" s="370">
        <v>0</v>
      </c>
      <c r="AD267" s="370">
        <v>0</v>
      </c>
      <c r="AE267" s="370">
        <v>0</v>
      </c>
      <c r="AF267" s="370">
        <v>13</v>
      </c>
      <c r="AG267" s="31">
        <v>-13</v>
      </c>
      <c r="AH267" s="31">
        <v>702.7</v>
      </c>
      <c r="AI267" s="31">
        <v>0</v>
      </c>
      <c r="AJ267" s="370">
        <v>8.8331</v>
      </c>
      <c r="AK267" s="219">
        <v>702.7</v>
      </c>
      <c r="AL267" s="219">
        <v>0</v>
      </c>
      <c r="AM267" s="219">
        <v>0</v>
      </c>
      <c r="AN267" s="219">
        <v>0</v>
      </c>
      <c r="AO267" s="116">
        <v>0</v>
      </c>
      <c r="AP267" s="116">
        <v>0</v>
      </c>
      <c r="AQ267" s="116">
        <v>5</v>
      </c>
      <c r="AR267" s="116">
        <v>-80691.251810000002</v>
      </c>
      <c r="AS267" s="116">
        <v>-248280.77480000001</v>
      </c>
      <c r="AT267" s="116">
        <v>0</v>
      </c>
      <c r="AU267" s="385">
        <v>0</v>
      </c>
      <c r="AV267" s="332">
        <v>0</v>
      </c>
      <c r="AW267" s="332">
        <v>0</v>
      </c>
      <c r="AX267" s="332">
        <v>80691.251810000002</v>
      </c>
      <c r="AY267" s="332">
        <v>0</v>
      </c>
      <c r="AZ267" s="332">
        <v>0</v>
      </c>
      <c r="BA267" s="332">
        <v>0</v>
      </c>
      <c r="BB267" s="31">
        <v>407530.49964468973</v>
      </c>
      <c r="BC267" s="31">
        <v>0</v>
      </c>
      <c r="BD267" s="29">
        <v>0</v>
      </c>
      <c r="BE267" s="31">
        <v>0</v>
      </c>
    </row>
    <row r="268" spans="1:57" ht="13">
      <c r="A268" s="153">
        <v>44571</v>
      </c>
      <c r="B268" s="10" t="s">
        <v>183</v>
      </c>
      <c r="C268" s="10">
        <v>44569000022</v>
      </c>
      <c r="D268" s="10" t="s">
        <v>16</v>
      </c>
      <c r="E268" s="10" t="s">
        <v>36</v>
      </c>
      <c r="F268" s="153">
        <v>44569</v>
      </c>
      <c r="G268" s="116" t="s">
        <v>37</v>
      </c>
      <c r="H268" s="116">
        <v>732923.75835000002</v>
      </c>
      <c r="I268" s="116">
        <v>-232923.75835000008</v>
      </c>
      <c r="J268" s="116">
        <v>499999.99999999994</v>
      </c>
      <c r="K268" s="219">
        <v>298041.43364999985</v>
      </c>
      <c r="L268" s="116">
        <v>0</v>
      </c>
      <c r="M268" s="31">
        <v>325344.70800000004</v>
      </c>
      <c r="N268" s="336">
        <v>-184999.93200000003</v>
      </c>
      <c r="O268" s="336">
        <v>0</v>
      </c>
      <c r="P268" s="219">
        <v>-325344.70800000004</v>
      </c>
      <c r="Q268" s="332">
        <v>6379.3080000000009</v>
      </c>
      <c r="R268" s="219">
        <v>-51</v>
      </c>
      <c r="S268" s="332">
        <v>0</v>
      </c>
      <c r="T268" s="219">
        <v>0</v>
      </c>
      <c r="U268" s="332">
        <v>0</v>
      </c>
      <c r="V268" s="332">
        <v>0</v>
      </c>
      <c r="W268" s="370">
        <v>0</v>
      </c>
      <c r="X268" s="370">
        <v>11</v>
      </c>
      <c r="Y268" s="370">
        <v>0</v>
      </c>
      <c r="Z268" s="370">
        <v>0</v>
      </c>
      <c r="AA268" s="370">
        <v>0</v>
      </c>
      <c r="AB268" s="370">
        <v>-40</v>
      </c>
      <c r="AC268" s="370">
        <v>0</v>
      </c>
      <c r="AD268" s="370">
        <v>0</v>
      </c>
      <c r="AE268" s="370">
        <v>0</v>
      </c>
      <c r="AF268" s="370">
        <v>-29</v>
      </c>
      <c r="AG268" s="31">
        <v>-51</v>
      </c>
      <c r="AH268" s="31">
        <v>702.7</v>
      </c>
      <c r="AI268" s="31">
        <v>0</v>
      </c>
      <c r="AJ268" s="370">
        <v>8.8331</v>
      </c>
      <c r="AK268" s="219">
        <v>702.7</v>
      </c>
      <c r="AL268" s="219">
        <v>0</v>
      </c>
      <c r="AM268" s="219">
        <v>0</v>
      </c>
      <c r="AN268" s="219">
        <v>0</v>
      </c>
      <c r="AO268" s="116">
        <v>0</v>
      </c>
      <c r="AP268" s="116">
        <v>0</v>
      </c>
      <c r="AQ268" s="116">
        <v>5</v>
      </c>
      <c r="AR268" s="116">
        <v>-316557.98787000001</v>
      </c>
      <c r="AS268" s="116">
        <v>-248280.77480000001</v>
      </c>
      <c r="AT268" s="116">
        <v>0</v>
      </c>
      <c r="AU268" s="385">
        <v>0</v>
      </c>
      <c r="AV268" s="332">
        <v>0</v>
      </c>
      <c r="AW268" s="332">
        <v>0</v>
      </c>
      <c r="AX268" s="332">
        <v>-180003.56173000002</v>
      </c>
      <c r="AY268" s="332">
        <v>0</v>
      </c>
      <c r="AZ268" s="332">
        <v>-42.058974580812979</v>
      </c>
      <c r="BA268" s="332">
        <v>0</v>
      </c>
      <c r="BB268" s="31">
        <v>732875.20764468983</v>
      </c>
      <c r="BC268" s="31">
        <v>0</v>
      </c>
      <c r="BD268" s="29">
        <v>0</v>
      </c>
      <c r="BE268" s="31">
        <v>0</v>
      </c>
    </row>
    <row r="269" spans="1:57" ht="13">
      <c r="A269" s="153">
        <v>44571</v>
      </c>
      <c r="B269" s="10" t="s">
        <v>183</v>
      </c>
      <c r="C269" s="10">
        <v>44570000023</v>
      </c>
      <c r="D269" s="10" t="s">
        <v>16</v>
      </c>
      <c r="E269" s="10" t="s">
        <v>38</v>
      </c>
      <c r="F269" s="153">
        <v>44570</v>
      </c>
      <c r="G269" s="116" t="s">
        <v>39</v>
      </c>
      <c r="H269" s="116">
        <v>739598.75835000002</v>
      </c>
      <c r="I269" s="116">
        <v>-239598.75835000008</v>
      </c>
      <c r="J269" s="116">
        <v>499999.99999999994</v>
      </c>
      <c r="K269" s="219">
        <v>159921.65764999983</v>
      </c>
      <c r="L269" s="116">
        <v>0</v>
      </c>
      <c r="M269" s="31">
        <v>6675</v>
      </c>
      <c r="N269" s="336">
        <v>2225</v>
      </c>
      <c r="O269" s="336">
        <v>0</v>
      </c>
      <c r="P269" s="219">
        <v>-6675</v>
      </c>
      <c r="Q269" s="332">
        <v>445</v>
      </c>
      <c r="R269" s="219">
        <v>-15</v>
      </c>
      <c r="S269" s="332">
        <v>0</v>
      </c>
      <c r="T269" s="219">
        <v>0</v>
      </c>
      <c r="U269" s="332">
        <v>0</v>
      </c>
      <c r="V269" s="332">
        <v>0</v>
      </c>
      <c r="W269" s="370">
        <v>0</v>
      </c>
      <c r="X269" s="370">
        <v>10</v>
      </c>
      <c r="Y269" s="370">
        <v>0</v>
      </c>
      <c r="Z269" s="370">
        <v>0</v>
      </c>
      <c r="AA269" s="370">
        <v>0</v>
      </c>
      <c r="AB269" s="370">
        <v>-5</v>
      </c>
      <c r="AC269" s="370">
        <v>0</v>
      </c>
      <c r="AD269" s="370">
        <v>0</v>
      </c>
      <c r="AE269" s="370">
        <v>0</v>
      </c>
      <c r="AF269" s="370">
        <v>5</v>
      </c>
      <c r="AG269" s="31">
        <v>-15</v>
      </c>
      <c r="AH269" s="31">
        <v>453.2</v>
      </c>
      <c r="AI269" s="31">
        <v>1</v>
      </c>
      <c r="AJ269" s="370">
        <v>1</v>
      </c>
      <c r="AK269" s="219">
        <v>453.2</v>
      </c>
      <c r="AL269" s="219">
        <v>0</v>
      </c>
      <c r="AM269" s="219">
        <v>0</v>
      </c>
      <c r="AN269" s="219">
        <v>0</v>
      </c>
      <c r="AO269" s="116">
        <v>0</v>
      </c>
      <c r="AP269" s="116">
        <v>0</v>
      </c>
      <c r="AQ269" s="116">
        <v>5</v>
      </c>
      <c r="AR269" s="116">
        <v>-6798</v>
      </c>
      <c r="AS269" s="116">
        <v>-2266</v>
      </c>
      <c r="AT269" s="116">
        <v>0</v>
      </c>
      <c r="AU269" s="385">
        <v>50356.825323999998</v>
      </c>
      <c r="AV269" s="332">
        <v>-286602.48738000001</v>
      </c>
      <c r="AW269" s="332">
        <v>-236245.662056</v>
      </c>
      <c r="AX269" s="332">
        <v>2266</v>
      </c>
      <c r="AY269" s="332">
        <v>0</v>
      </c>
      <c r="AZ269" s="332">
        <v>-0.38386232875620224</v>
      </c>
      <c r="BA269" s="332">
        <v>0</v>
      </c>
      <c r="BB269" s="31">
        <v>739550.20764468983</v>
      </c>
      <c r="BC269" s="31">
        <v>739550.20764468983</v>
      </c>
      <c r="BD269" s="29">
        <v>0</v>
      </c>
      <c r="BE269" s="31">
        <v>503353.09629400005</v>
      </c>
    </row>
    <row r="270" spans="1:57" ht="13">
      <c r="A270" s="153">
        <v>44571</v>
      </c>
      <c r="B270" s="10" t="s">
        <v>184</v>
      </c>
      <c r="C270" s="10">
        <v>44561000006</v>
      </c>
      <c r="D270" s="10" t="s">
        <v>64</v>
      </c>
      <c r="E270" s="10" t="s">
        <v>64</v>
      </c>
      <c r="F270" s="153">
        <v>44561</v>
      </c>
      <c r="G270" s="116" t="s">
        <v>39</v>
      </c>
      <c r="H270" s="116">
        <v>500000</v>
      </c>
      <c r="I270" s="116">
        <v>0</v>
      </c>
      <c r="J270" s="116">
        <v>500000</v>
      </c>
      <c r="K270" s="219">
        <v>0</v>
      </c>
      <c r="L270" s="116">
        <v>0</v>
      </c>
      <c r="M270" s="31">
        <v>500000</v>
      </c>
      <c r="N270" s="336">
        <v>500000</v>
      </c>
      <c r="O270" s="336">
        <v>0</v>
      </c>
      <c r="P270" s="219">
        <v>0</v>
      </c>
      <c r="Q270" s="332">
        <v>0</v>
      </c>
      <c r="R270" s="219">
        <v>0</v>
      </c>
      <c r="S270" s="332">
        <v>0</v>
      </c>
      <c r="T270" s="219">
        <v>0</v>
      </c>
      <c r="U270" s="332">
        <v>0</v>
      </c>
      <c r="V270" s="332">
        <v>0</v>
      </c>
      <c r="W270" s="370">
        <v>0</v>
      </c>
      <c r="X270" s="370">
        <v>0</v>
      </c>
      <c r="Y270" s="370">
        <v>0</v>
      </c>
      <c r="Z270" s="370">
        <v>0</v>
      </c>
      <c r="AA270" s="370">
        <v>0</v>
      </c>
      <c r="AB270" s="370">
        <v>0</v>
      </c>
      <c r="AC270" s="370">
        <v>0</v>
      </c>
      <c r="AD270" s="370">
        <v>0</v>
      </c>
      <c r="AE270" s="370">
        <v>0</v>
      </c>
      <c r="AF270" s="370">
        <v>0</v>
      </c>
      <c r="AG270" s="31">
        <v>0</v>
      </c>
      <c r="AH270" s="31">
        <v>1</v>
      </c>
      <c r="AI270" s="31">
        <v>0</v>
      </c>
      <c r="AJ270" s="370">
        <v>1</v>
      </c>
      <c r="AK270" s="219">
        <v>0</v>
      </c>
      <c r="AL270" s="219">
        <v>0</v>
      </c>
      <c r="AM270" s="219">
        <v>0</v>
      </c>
      <c r="AN270" s="219">
        <v>0</v>
      </c>
      <c r="AO270" s="116">
        <v>0</v>
      </c>
      <c r="AP270" s="116">
        <v>0</v>
      </c>
      <c r="AQ270" s="116">
        <v>1</v>
      </c>
      <c r="AR270" s="116">
        <v>0</v>
      </c>
      <c r="AS270" s="116">
        <v>0</v>
      </c>
      <c r="AT270" s="116">
        <v>1</v>
      </c>
      <c r="AU270" s="385">
        <v>0</v>
      </c>
      <c r="AV270" s="332">
        <v>0</v>
      </c>
      <c r="AW270" s="332">
        <v>0</v>
      </c>
      <c r="AX270" s="332">
        <v>500000</v>
      </c>
      <c r="AY270" s="332">
        <v>0</v>
      </c>
      <c r="AZ270" s="332">
        <v>0</v>
      </c>
      <c r="BA270" s="332">
        <v>0</v>
      </c>
      <c r="BB270" s="31">
        <v>499860.13121928176</v>
      </c>
      <c r="BC270" s="31">
        <v>0</v>
      </c>
      <c r="BD270" s="29">
        <v>0</v>
      </c>
      <c r="BE270" s="31">
        <v>0</v>
      </c>
    </row>
    <row r="271" spans="1:57" ht="13">
      <c r="A271" s="153">
        <v>44571</v>
      </c>
      <c r="B271" s="10" t="s">
        <v>184</v>
      </c>
      <c r="C271" s="10">
        <v>44563000025</v>
      </c>
      <c r="D271" s="10" t="s">
        <v>16</v>
      </c>
      <c r="E271" s="10" t="s">
        <v>40</v>
      </c>
      <c r="F271" s="153">
        <v>44563</v>
      </c>
      <c r="G271" s="116" t="s">
        <v>29</v>
      </c>
      <c r="H271" s="116">
        <v>450189.84940000001</v>
      </c>
      <c r="I271" s="116">
        <v>49810.150599999994</v>
      </c>
      <c r="J271" s="116">
        <v>500000</v>
      </c>
      <c r="K271" s="219">
        <v>450189.84940000001</v>
      </c>
      <c r="L271" s="116">
        <v>0</v>
      </c>
      <c r="M271" s="31">
        <v>-49810.150599999994</v>
      </c>
      <c r="N271" s="336">
        <v>-49810.150599999994</v>
      </c>
      <c r="O271" s="336">
        <v>49810.150599999994</v>
      </c>
      <c r="P271" s="219">
        <v>0</v>
      </c>
      <c r="Q271" s="332">
        <v>2490.5075299999999</v>
      </c>
      <c r="R271" s="219">
        <v>20</v>
      </c>
      <c r="S271" s="332">
        <v>0</v>
      </c>
      <c r="T271" s="219">
        <v>0</v>
      </c>
      <c r="U271" s="332">
        <v>0</v>
      </c>
      <c r="V271" s="332">
        <v>0</v>
      </c>
      <c r="W271" s="370">
        <v>0</v>
      </c>
      <c r="X271" s="370">
        <v>0</v>
      </c>
      <c r="Y271" s="370">
        <v>0</v>
      </c>
      <c r="Z271" s="370">
        <v>0</v>
      </c>
      <c r="AA271" s="370">
        <v>0</v>
      </c>
      <c r="AB271" s="370">
        <v>20</v>
      </c>
      <c r="AC271" s="370">
        <v>0</v>
      </c>
      <c r="AD271" s="370">
        <v>0</v>
      </c>
      <c r="AE271" s="370">
        <v>0</v>
      </c>
      <c r="AF271" s="370">
        <v>-20</v>
      </c>
      <c r="AG271" s="31">
        <v>20</v>
      </c>
      <c r="AH271" s="31">
        <v>1966</v>
      </c>
      <c r="AI271" s="31">
        <v>0</v>
      </c>
      <c r="AJ271" s="370">
        <v>1.222642</v>
      </c>
      <c r="AK271" s="219">
        <v>1966</v>
      </c>
      <c r="AL271" s="219">
        <v>0</v>
      </c>
      <c r="AM271" s="219">
        <v>0</v>
      </c>
      <c r="AN271" s="219">
        <v>0</v>
      </c>
      <c r="AO271" s="116">
        <v>0</v>
      </c>
      <c r="AP271" s="116">
        <v>0</v>
      </c>
      <c r="AQ271" s="116">
        <v>2</v>
      </c>
      <c r="AR271" s="116">
        <v>48074.283439999999</v>
      </c>
      <c r="AS271" s="116">
        <v>24037.14172</v>
      </c>
      <c r="AT271" s="116">
        <v>1</v>
      </c>
      <c r="AU271" s="385">
        <v>0</v>
      </c>
      <c r="AV271" s="332">
        <v>0</v>
      </c>
      <c r="AW271" s="332">
        <v>0</v>
      </c>
      <c r="AX271" s="332">
        <v>-48074.283440000007</v>
      </c>
      <c r="AY271" s="332">
        <v>0</v>
      </c>
      <c r="AZ271" s="332">
        <v>0</v>
      </c>
      <c r="BA271" s="332">
        <v>0</v>
      </c>
      <c r="BB271" s="31">
        <v>450049.98061928176</v>
      </c>
      <c r="BC271" s="31">
        <v>0</v>
      </c>
      <c r="BD271" s="29">
        <v>0</v>
      </c>
      <c r="BE271" s="31">
        <v>0</v>
      </c>
    </row>
    <row r="272" spans="1:57" ht="13">
      <c r="A272" s="153">
        <v>44571</v>
      </c>
      <c r="B272" s="10" t="s">
        <v>184</v>
      </c>
      <c r="C272" s="10">
        <v>44563000026</v>
      </c>
      <c r="D272" s="10" t="s">
        <v>16</v>
      </c>
      <c r="E272" s="10" t="s">
        <v>38</v>
      </c>
      <c r="F272" s="153">
        <v>44563</v>
      </c>
      <c r="G272" s="116" t="s">
        <v>39</v>
      </c>
      <c r="H272" s="116">
        <v>452489.84940000001</v>
      </c>
      <c r="I272" s="116">
        <v>47510.150599999994</v>
      </c>
      <c r="J272" s="116">
        <v>500000</v>
      </c>
      <c r="K272" s="219">
        <v>447889.84940000001</v>
      </c>
      <c r="L272" s="116">
        <v>0</v>
      </c>
      <c r="M272" s="31">
        <v>2300</v>
      </c>
      <c r="N272" s="336">
        <v>-2300</v>
      </c>
      <c r="O272" s="336">
        <v>0</v>
      </c>
      <c r="P272" s="219">
        <v>-2300</v>
      </c>
      <c r="Q272" s="332">
        <v>460</v>
      </c>
      <c r="R272" s="219">
        <v>-5</v>
      </c>
      <c r="S272" s="332">
        <v>0</v>
      </c>
      <c r="T272" s="219">
        <v>0</v>
      </c>
      <c r="U272" s="332">
        <v>0</v>
      </c>
      <c r="V272" s="332">
        <v>0</v>
      </c>
      <c r="W272" s="370">
        <v>0</v>
      </c>
      <c r="X272" s="370">
        <v>0</v>
      </c>
      <c r="Y272" s="370">
        <v>0</v>
      </c>
      <c r="Z272" s="370">
        <v>0</v>
      </c>
      <c r="AA272" s="370">
        <v>0</v>
      </c>
      <c r="AB272" s="370">
        <v>-5</v>
      </c>
      <c r="AC272" s="370">
        <v>0</v>
      </c>
      <c r="AD272" s="370">
        <v>0</v>
      </c>
      <c r="AE272" s="370">
        <v>0</v>
      </c>
      <c r="AF272" s="370">
        <v>-5</v>
      </c>
      <c r="AG272" s="31">
        <v>-5</v>
      </c>
      <c r="AH272" s="31">
        <v>453.2</v>
      </c>
      <c r="AI272" s="31">
        <v>0</v>
      </c>
      <c r="AJ272" s="370">
        <v>1</v>
      </c>
      <c r="AK272" s="219">
        <v>453.2</v>
      </c>
      <c r="AL272" s="219">
        <v>0</v>
      </c>
      <c r="AM272" s="219">
        <v>0</v>
      </c>
      <c r="AN272" s="219">
        <v>0</v>
      </c>
      <c r="AO272" s="116">
        <v>0</v>
      </c>
      <c r="AP272" s="116">
        <v>0</v>
      </c>
      <c r="AQ272" s="116">
        <v>3</v>
      </c>
      <c r="AR272" s="116">
        <v>-2266</v>
      </c>
      <c r="AS272" s="116">
        <v>-675268</v>
      </c>
      <c r="AT272" s="116">
        <v>1</v>
      </c>
      <c r="AU272" s="385">
        <v>0</v>
      </c>
      <c r="AV272" s="332">
        <v>0</v>
      </c>
      <c r="AW272" s="332">
        <v>0</v>
      </c>
      <c r="AX272" s="332">
        <v>-2266</v>
      </c>
      <c r="AY272" s="332">
        <v>0</v>
      </c>
      <c r="AZ272" s="332">
        <v>-0.38386232875620224</v>
      </c>
      <c r="BA272" s="332">
        <v>0</v>
      </c>
      <c r="BB272" s="31">
        <v>452349.98061928176</v>
      </c>
      <c r="BC272" s="31">
        <v>0</v>
      </c>
      <c r="BD272" s="29">
        <v>0</v>
      </c>
      <c r="BE272" s="31">
        <v>0</v>
      </c>
    </row>
    <row r="273" spans="1:57" ht="13">
      <c r="A273" s="153">
        <v>44571</v>
      </c>
      <c r="B273" s="10" t="s">
        <v>184</v>
      </c>
      <c r="C273" s="10">
        <v>44564000027</v>
      </c>
      <c r="D273" s="10" t="s">
        <v>16</v>
      </c>
      <c r="E273" s="10" t="s">
        <v>40</v>
      </c>
      <c r="F273" s="153">
        <v>44564</v>
      </c>
      <c r="G273" s="116" t="s">
        <v>29</v>
      </c>
      <c r="H273" s="116">
        <v>477643.14439999999</v>
      </c>
      <c r="I273" s="116">
        <v>22356.855599999995</v>
      </c>
      <c r="J273" s="116">
        <v>500000</v>
      </c>
      <c r="K273" s="219">
        <v>473043.14439999999</v>
      </c>
      <c r="L273" s="116">
        <v>0</v>
      </c>
      <c r="M273" s="31">
        <v>25153.294999999998</v>
      </c>
      <c r="N273" s="336">
        <v>25153.295000000002</v>
      </c>
      <c r="O273" s="336">
        <v>0</v>
      </c>
      <c r="P273" s="219">
        <v>-25153.294999999998</v>
      </c>
      <c r="Q273" s="332">
        <v>2515.3294999999998</v>
      </c>
      <c r="R273" s="219">
        <v>-10</v>
      </c>
      <c r="S273" s="332">
        <v>0</v>
      </c>
      <c r="T273" s="219">
        <v>0</v>
      </c>
      <c r="U273" s="332">
        <v>0</v>
      </c>
      <c r="V273" s="332">
        <v>0</v>
      </c>
      <c r="W273" s="370">
        <v>0</v>
      </c>
      <c r="X273" s="370">
        <v>20</v>
      </c>
      <c r="Y273" s="370">
        <v>0</v>
      </c>
      <c r="Z273" s="370">
        <v>0</v>
      </c>
      <c r="AA273" s="370">
        <v>0</v>
      </c>
      <c r="AB273" s="370">
        <v>10</v>
      </c>
      <c r="AC273" s="370">
        <v>0</v>
      </c>
      <c r="AD273" s="370">
        <v>0</v>
      </c>
      <c r="AE273" s="370">
        <v>0</v>
      </c>
      <c r="AF273" s="370">
        <v>10</v>
      </c>
      <c r="AG273" s="31">
        <v>-10</v>
      </c>
      <c r="AH273" s="31">
        <v>1966</v>
      </c>
      <c r="AI273" s="31">
        <v>0</v>
      </c>
      <c r="AJ273" s="370">
        <v>1.222642</v>
      </c>
      <c r="AK273" s="219">
        <v>1966</v>
      </c>
      <c r="AL273" s="219">
        <v>0</v>
      </c>
      <c r="AM273" s="219">
        <v>0</v>
      </c>
      <c r="AN273" s="219">
        <v>0</v>
      </c>
      <c r="AO273" s="116">
        <v>0</v>
      </c>
      <c r="AP273" s="116">
        <v>0</v>
      </c>
      <c r="AQ273" s="116">
        <v>3</v>
      </c>
      <c r="AR273" s="116">
        <v>-24037.14172</v>
      </c>
      <c r="AS273" s="116">
        <v>24037.14172</v>
      </c>
      <c r="AT273" s="116">
        <v>0</v>
      </c>
      <c r="AU273" s="385">
        <v>0</v>
      </c>
      <c r="AV273" s="332">
        <v>0</v>
      </c>
      <c r="AW273" s="332">
        <v>0</v>
      </c>
      <c r="AX273" s="332">
        <v>24037.141720000003</v>
      </c>
      <c r="AY273" s="332">
        <v>0</v>
      </c>
      <c r="AZ273" s="332">
        <v>0</v>
      </c>
      <c r="BA273" s="332">
        <v>0</v>
      </c>
      <c r="BB273" s="31">
        <v>477503.27561928175</v>
      </c>
      <c r="BC273" s="31">
        <v>0</v>
      </c>
      <c r="BD273" s="29">
        <v>0</v>
      </c>
      <c r="BE273" s="31">
        <v>0</v>
      </c>
    </row>
    <row r="274" spans="1:57" ht="13">
      <c r="A274" s="153">
        <v>44571</v>
      </c>
      <c r="B274" s="10" t="s">
        <v>184</v>
      </c>
      <c r="C274" s="10">
        <v>44564000028</v>
      </c>
      <c r="D274" s="10" t="s">
        <v>16</v>
      </c>
      <c r="E274" s="10" t="s">
        <v>38</v>
      </c>
      <c r="F274" s="153">
        <v>44564</v>
      </c>
      <c r="G274" s="116" t="s">
        <v>39</v>
      </c>
      <c r="H274" s="116">
        <v>470743.14439999999</v>
      </c>
      <c r="I274" s="116">
        <v>29256.855599999995</v>
      </c>
      <c r="J274" s="116">
        <v>500000</v>
      </c>
      <c r="K274" s="219">
        <v>470743.14439999999</v>
      </c>
      <c r="L274" s="116">
        <v>0</v>
      </c>
      <c r="M274" s="31">
        <v>-6900</v>
      </c>
      <c r="N274" s="336">
        <v>-2300</v>
      </c>
      <c r="O274" s="336">
        <v>6900</v>
      </c>
      <c r="P274" s="219">
        <v>0</v>
      </c>
      <c r="Q274" s="332">
        <v>460</v>
      </c>
      <c r="R274" s="219">
        <v>15</v>
      </c>
      <c r="S274" s="332">
        <v>0</v>
      </c>
      <c r="T274" s="219">
        <v>0</v>
      </c>
      <c r="U274" s="332">
        <v>0</v>
      </c>
      <c r="V274" s="332">
        <v>0</v>
      </c>
      <c r="W274" s="370">
        <v>0</v>
      </c>
      <c r="X274" s="370">
        <v>-5</v>
      </c>
      <c r="Y274" s="370">
        <v>0</v>
      </c>
      <c r="Z274" s="370">
        <v>0</v>
      </c>
      <c r="AA274" s="370">
        <v>0</v>
      </c>
      <c r="AB274" s="370">
        <v>10</v>
      </c>
      <c r="AC274" s="370">
        <v>0</v>
      </c>
      <c r="AD274" s="370">
        <v>0</v>
      </c>
      <c r="AE274" s="370">
        <v>0</v>
      </c>
      <c r="AF274" s="370">
        <v>-5</v>
      </c>
      <c r="AG274" s="31">
        <v>15</v>
      </c>
      <c r="AH274" s="31">
        <v>453.2</v>
      </c>
      <c r="AI274" s="31">
        <v>0</v>
      </c>
      <c r="AJ274" s="370">
        <v>1</v>
      </c>
      <c r="AK274" s="219">
        <v>453.2</v>
      </c>
      <c r="AL274" s="219">
        <v>0</v>
      </c>
      <c r="AM274" s="219">
        <v>0</v>
      </c>
      <c r="AN274" s="219">
        <v>0</v>
      </c>
      <c r="AO274" s="116">
        <v>0</v>
      </c>
      <c r="AP274" s="116">
        <v>0</v>
      </c>
      <c r="AQ274" s="116">
        <v>3</v>
      </c>
      <c r="AR274" s="116">
        <v>6798</v>
      </c>
      <c r="AS274" s="116">
        <v>-675268</v>
      </c>
      <c r="AT274" s="116">
        <v>0</v>
      </c>
      <c r="AU274" s="385">
        <v>0</v>
      </c>
      <c r="AV274" s="332">
        <v>0</v>
      </c>
      <c r="AW274" s="332">
        <v>0</v>
      </c>
      <c r="AX274" s="332">
        <v>-2266</v>
      </c>
      <c r="AY274" s="332">
        <v>0</v>
      </c>
      <c r="AZ274" s="332">
        <v>0</v>
      </c>
      <c r="BA274" s="332">
        <v>0</v>
      </c>
      <c r="BB274" s="31">
        <v>470603.27561928175</v>
      </c>
      <c r="BC274" s="31">
        <v>0</v>
      </c>
      <c r="BD274" s="29">
        <v>0</v>
      </c>
      <c r="BE274" s="31">
        <v>0</v>
      </c>
    </row>
    <row r="275" spans="1:57" ht="13">
      <c r="A275" s="153">
        <v>44571</v>
      </c>
      <c r="B275" s="10" t="s">
        <v>184</v>
      </c>
      <c r="C275" s="10">
        <v>44571000024</v>
      </c>
      <c r="D275" s="10" t="s">
        <v>16</v>
      </c>
      <c r="E275" s="10" t="s">
        <v>38</v>
      </c>
      <c r="F275" s="153">
        <v>44571</v>
      </c>
      <c r="G275" s="116" t="s">
        <v>39</v>
      </c>
      <c r="H275" s="116">
        <v>1138243.1444000001</v>
      </c>
      <c r="I275" s="116">
        <v>-638243.14439999999</v>
      </c>
      <c r="J275" s="116">
        <v>500000.00000000012</v>
      </c>
      <c r="K275" s="219">
        <v>-178656.85560000001</v>
      </c>
      <c r="L275" s="116">
        <v>178656.85560000001</v>
      </c>
      <c r="M275" s="31">
        <v>667500</v>
      </c>
      <c r="N275" s="336">
        <v>-658600</v>
      </c>
      <c r="O275" s="336">
        <v>0</v>
      </c>
      <c r="P275" s="219">
        <v>-667500</v>
      </c>
      <c r="Q275" s="332">
        <v>445</v>
      </c>
      <c r="R275" s="219">
        <v>-1500</v>
      </c>
      <c r="S275" s="332">
        <v>0</v>
      </c>
      <c r="T275" s="219">
        <v>0</v>
      </c>
      <c r="U275" s="332">
        <v>0</v>
      </c>
      <c r="V275" s="332">
        <v>0</v>
      </c>
      <c r="W275" s="370">
        <v>0</v>
      </c>
      <c r="X275" s="370">
        <v>10</v>
      </c>
      <c r="Y275" s="370">
        <v>0</v>
      </c>
      <c r="Z275" s="370">
        <v>0</v>
      </c>
      <c r="AA275" s="370">
        <v>0</v>
      </c>
      <c r="AB275" s="370">
        <v>-1490</v>
      </c>
      <c r="AC275" s="370">
        <v>0</v>
      </c>
      <c r="AD275" s="370">
        <v>0</v>
      </c>
      <c r="AE275" s="370">
        <v>0</v>
      </c>
      <c r="AF275" s="370">
        <v>-1480</v>
      </c>
      <c r="AG275" s="31">
        <v>-1500</v>
      </c>
      <c r="AH275" s="31">
        <v>453.2</v>
      </c>
      <c r="AI275" s="31">
        <v>1</v>
      </c>
      <c r="AJ275" s="370">
        <v>1</v>
      </c>
      <c r="AK275" s="219">
        <v>453.2</v>
      </c>
      <c r="AL275" s="219">
        <v>0</v>
      </c>
      <c r="AM275" s="219">
        <v>0</v>
      </c>
      <c r="AN275" s="219">
        <v>0</v>
      </c>
      <c r="AO275" s="116">
        <v>0</v>
      </c>
      <c r="AP275" s="116">
        <v>0</v>
      </c>
      <c r="AQ275" s="116">
        <v>3</v>
      </c>
      <c r="AR275" s="116">
        <v>-679800</v>
      </c>
      <c r="AS275" s="116">
        <v>-675268</v>
      </c>
      <c r="AT275" s="116">
        <v>0</v>
      </c>
      <c r="AU275" s="385">
        <v>24037.14172</v>
      </c>
      <c r="AV275" s="332">
        <v>-675268</v>
      </c>
      <c r="AW275" s="332">
        <v>-651230.85828000004</v>
      </c>
      <c r="AX275" s="332">
        <v>-670736</v>
      </c>
      <c r="AY275" s="332">
        <v>-25.093944420159584</v>
      </c>
      <c r="AZ275" s="332">
        <v>-114.39097396934827</v>
      </c>
      <c r="BA275" s="332">
        <v>0</v>
      </c>
      <c r="BB275" s="31">
        <v>1138103.2756192819</v>
      </c>
      <c r="BC275" s="31">
        <v>1138103.2756192819</v>
      </c>
      <c r="BD275" s="29">
        <v>178656.85560000001</v>
      </c>
      <c r="BE275" s="31">
        <v>487012.28612000006</v>
      </c>
    </row>
    <row r="276" spans="1:57" ht="13">
      <c r="A276" s="153">
        <v>44571</v>
      </c>
      <c r="B276" s="10" t="s">
        <v>185</v>
      </c>
      <c r="C276" s="10">
        <v>44561000007</v>
      </c>
      <c r="D276" s="10" t="s">
        <v>64</v>
      </c>
      <c r="E276" s="10" t="s">
        <v>64</v>
      </c>
      <c r="F276" s="153">
        <v>44561</v>
      </c>
      <c r="G276" s="116" t="s">
        <v>39</v>
      </c>
      <c r="H276" s="116">
        <v>500000</v>
      </c>
      <c r="I276" s="116">
        <v>0</v>
      </c>
      <c r="J276" s="116">
        <v>500000</v>
      </c>
      <c r="K276" s="219">
        <v>0</v>
      </c>
      <c r="L276" s="116">
        <v>0</v>
      </c>
      <c r="M276" s="31">
        <v>500000</v>
      </c>
      <c r="N276" s="336">
        <v>500000</v>
      </c>
      <c r="O276" s="336">
        <v>0</v>
      </c>
      <c r="P276" s="219">
        <v>0</v>
      </c>
      <c r="Q276" s="332">
        <v>0</v>
      </c>
      <c r="R276" s="219">
        <v>0</v>
      </c>
      <c r="S276" s="332">
        <v>0</v>
      </c>
      <c r="T276" s="219">
        <v>0</v>
      </c>
      <c r="U276" s="332">
        <v>0</v>
      </c>
      <c r="V276" s="332">
        <v>0</v>
      </c>
      <c r="W276" s="370">
        <v>0</v>
      </c>
      <c r="X276" s="370">
        <v>0</v>
      </c>
      <c r="Y276" s="370">
        <v>0</v>
      </c>
      <c r="Z276" s="370">
        <v>0</v>
      </c>
      <c r="AA276" s="370">
        <v>0</v>
      </c>
      <c r="AB276" s="370">
        <v>0</v>
      </c>
      <c r="AC276" s="370">
        <v>0</v>
      </c>
      <c r="AD276" s="370">
        <v>0</v>
      </c>
      <c r="AE276" s="370">
        <v>0</v>
      </c>
      <c r="AF276" s="370">
        <v>0</v>
      </c>
      <c r="AG276" s="31">
        <v>0</v>
      </c>
      <c r="AH276" s="31">
        <v>1</v>
      </c>
      <c r="AI276" s="31">
        <v>0</v>
      </c>
      <c r="AJ276" s="370">
        <v>1</v>
      </c>
      <c r="AK276" s="219">
        <v>0</v>
      </c>
      <c r="AL276" s="219">
        <v>0</v>
      </c>
      <c r="AM276" s="219">
        <v>0</v>
      </c>
      <c r="AN276" s="219">
        <v>0</v>
      </c>
      <c r="AO276" s="116">
        <v>0</v>
      </c>
      <c r="AP276" s="116">
        <v>0</v>
      </c>
      <c r="AQ276" s="116">
        <v>1</v>
      </c>
      <c r="AR276" s="116">
        <v>0</v>
      </c>
      <c r="AS276" s="116">
        <v>0</v>
      </c>
      <c r="AT276" s="116">
        <v>1</v>
      </c>
      <c r="AU276" s="385">
        <v>0</v>
      </c>
      <c r="AV276" s="332">
        <v>0</v>
      </c>
      <c r="AW276" s="332">
        <v>0</v>
      </c>
      <c r="AX276" s="332">
        <v>500000</v>
      </c>
      <c r="AY276" s="332">
        <v>0</v>
      </c>
      <c r="AZ276" s="332">
        <v>0</v>
      </c>
      <c r="BA276" s="332">
        <v>0</v>
      </c>
      <c r="BB276" s="31">
        <v>499999.31750231684</v>
      </c>
      <c r="BC276" s="31">
        <v>0</v>
      </c>
      <c r="BD276" s="29">
        <v>0</v>
      </c>
      <c r="BE276" s="31">
        <v>0</v>
      </c>
    </row>
    <row r="277" spans="1:57" ht="13">
      <c r="A277" s="153">
        <v>44571</v>
      </c>
      <c r="B277" s="10" t="s">
        <v>185</v>
      </c>
      <c r="C277" s="10">
        <v>44562000029</v>
      </c>
      <c r="D277" s="10" t="s">
        <v>61</v>
      </c>
      <c r="E277" s="10" t="s">
        <v>63</v>
      </c>
      <c r="F277" s="153">
        <v>44562</v>
      </c>
      <c r="G277" s="116" t="s">
        <v>39</v>
      </c>
      <c r="H277" s="116">
        <v>490000</v>
      </c>
      <c r="I277" s="116">
        <v>10000</v>
      </c>
      <c r="J277" s="116">
        <v>500000</v>
      </c>
      <c r="K277" s="219">
        <v>490000</v>
      </c>
      <c r="L277" s="116">
        <v>0</v>
      </c>
      <c r="M277" s="31">
        <v>-10000</v>
      </c>
      <c r="N277" s="336">
        <v>-10000</v>
      </c>
      <c r="O277" s="336">
        <v>0</v>
      </c>
      <c r="P277" s="219">
        <v>0</v>
      </c>
      <c r="Q277" s="332">
        <v>0</v>
      </c>
      <c r="R277" s="219">
        <v>0</v>
      </c>
      <c r="S277" s="332">
        <v>0</v>
      </c>
      <c r="T277" s="219">
        <v>0</v>
      </c>
      <c r="U277" s="332">
        <v>0</v>
      </c>
      <c r="V277" s="332">
        <v>0</v>
      </c>
      <c r="W277" s="370">
        <v>10000</v>
      </c>
      <c r="X277" s="370">
        <v>0</v>
      </c>
      <c r="Y277" s="370">
        <v>0</v>
      </c>
      <c r="Z277" s="370">
        <v>0</v>
      </c>
      <c r="AA277" s="370">
        <v>0</v>
      </c>
      <c r="AB277" s="370">
        <v>0</v>
      </c>
      <c r="AC277" s="370">
        <v>0</v>
      </c>
      <c r="AD277" s="370">
        <v>0</v>
      </c>
      <c r="AE277" s="370">
        <v>10000</v>
      </c>
      <c r="AF277" s="370">
        <v>-10000</v>
      </c>
      <c r="AG277" s="31">
        <v>10000</v>
      </c>
      <c r="AH277" s="31">
        <v>1</v>
      </c>
      <c r="AI277" s="31">
        <v>0</v>
      </c>
      <c r="AJ277" s="370">
        <v>1</v>
      </c>
      <c r="AK277" s="219">
        <v>0</v>
      </c>
      <c r="AL277" s="219">
        <v>0</v>
      </c>
      <c r="AM277" s="219">
        <v>0</v>
      </c>
      <c r="AN277" s="219">
        <v>0</v>
      </c>
      <c r="AO277" s="116">
        <v>0</v>
      </c>
      <c r="AP277" s="116">
        <v>1</v>
      </c>
      <c r="AQ277" s="116">
        <v>2</v>
      </c>
      <c r="AR277" s="116">
        <v>10000</v>
      </c>
      <c r="AS277" s="116">
        <v>-5000</v>
      </c>
      <c r="AT277" s="116">
        <v>1</v>
      </c>
      <c r="AU277" s="385">
        <v>0</v>
      </c>
      <c r="AV277" s="332">
        <v>0</v>
      </c>
      <c r="AW277" s="332">
        <v>0</v>
      </c>
      <c r="AX277" s="332">
        <v>-10000</v>
      </c>
      <c r="AY277" s="332">
        <v>0</v>
      </c>
      <c r="AZ277" s="332">
        <v>0</v>
      </c>
      <c r="BA277" s="332">
        <v>4.1126643175088691E-2</v>
      </c>
      <c r="BB277" s="31">
        <v>489999.31750231684</v>
      </c>
      <c r="BC277" s="31">
        <v>0</v>
      </c>
      <c r="BD277" s="29">
        <v>0</v>
      </c>
      <c r="BE277" s="31">
        <v>0</v>
      </c>
    </row>
    <row r="278" spans="1:57" ht="13">
      <c r="A278" s="153">
        <v>44571</v>
      </c>
      <c r="B278" s="10" t="s">
        <v>185</v>
      </c>
      <c r="C278" s="10">
        <v>44562000030</v>
      </c>
      <c r="D278" s="10" t="s">
        <v>18</v>
      </c>
      <c r="E278" s="10" t="s">
        <v>7</v>
      </c>
      <c r="F278" s="153">
        <v>44562</v>
      </c>
      <c r="G278" s="116" t="s">
        <v>41</v>
      </c>
      <c r="H278" s="116">
        <v>448805.40759999998</v>
      </c>
      <c r="I278" s="116">
        <v>51194.592400000009</v>
      </c>
      <c r="J278" s="116">
        <v>500000</v>
      </c>
      <c r="K278" s="219">
        <v>458805.40759999998</v>
      </c>
      <c r="L278" s="116">
        <v>0</v>
      </c>
      <c r="M278" s="31">
        <v>-41194.592400000009</v>
      </c>
      <c r="N278" s="336">
        <v>-41194.592400000001</v>
      </c>
      <c r="O278" s="336">
        <v>0</v>
      </c>
      <c r="P278" s="219">
        <v>0</v>
      </c>
      <c r="Q278" s="332">
        <v>0</v>
      </c>
      <c r="R278" s="219">
        <v>0</v>
      </c>
      <c r="S278" s="332">
        <v>13.21</v>
      </c>
      <c r="T278" s="219">
        <v>40</v>
      </c>
      <c r="U278" s="332">
        <v>0</v>
      </c>
      <c r="V278" s="332">
        <v>0</v>
      </c>
      <c r="W278" s="370">
        <v>0</v>
      </c>
      <c r="X278" s="370">
        <v>0</v>
      </c>
      <c r="Y278" s="370">
        <v>0</v>
      </c>
      <c r="Z278" s="370">
        <v>0</v>
      </c>
      <c r="AA278" s="370">
        <v>0</v>
      </c>
      <c r="AB278" s="370">
        <v>0</v>
      </c>
      <c r="AC278" s="370">
        <v>40</v>
      </c>
      <c r="AD278" s="370">
        <v>0</v>
      </c>
      <c r="AE278" s="370">
        <v>0</v>
      </c>
      <c r="AF278" s="370">
        <v>-40</v>
      </c>
      <c r="AG278" s="31">
        <v>40</v>
      </c>
      <c r="AH278" s="31">
        <v>15.29</v>
      </c>
      <c r="AI278" s="31">
        <v>0</v>
      </c>
      <c r="AJ278" s="370">
        <v>7.7958499999999997</v>
      </c>
      <c r="AK278" s="219">
        <v>0</v>
      </c>
      <c r="AL278" s="219">
        <v>15.29</v>
      </c>
      <c r="AM278" s="219">
        <v>17.71</v>
      </c>
      <c r="AN278" s="219">
        <v>0</v>
      </c>
      <c r="AO278" s="116">
        <v>0</v>
      </c>
      <c r="AP278" s="116">
        <v>0</v>
      </c>
      <c r="AQ278" s="116">
        <v>3</v>
      </c>
      <c r="AR278" s="116">
        <v>47679.418599999997</v>
      </c>
      <c r="AS278" s="116">
        <v>47679.418599999997</v>
      </c>
      <c r="AT278" s="116">
        <v>1</v>
      </c>
      <c r="AU278" s="385">
        <v>0</v>
      </c>
      <c r="AV278" s="332">
        <v>0</v>
      </c>
      <c r="AW278" s="332">
        <v>0</v>
      </c>
      <c r="AX278" s="332">
        <v>-51452.61</v>
      </c>
      <c r="AY278" s="332">
        <v>0</v>
      </c>
      <c r="AZ278" s="332">
        <v>0</v>
      </c>
      <c r="BA278" s="332">
        <v>0</v>
      </c>
      <c r="BB278" s="31">
        <v>448804.72510231682</v>
      </c>
      <c r="BC278" s="31">
        <v>0</v>
      </c>
      <c r="BD278" s="29">
        <v>0</v>
      </c>
      <c r="BE278" s="31">
        <v>0</v>
      </c>
    </row>
    <row r="279" spans="1:57" ht="13">
      <c r="A279" s="153">
        <v>44571</v>
      </c>
      <c r="B279" s="10" t="s">
        <v>185</v>
      </c>
      <c r="C279" s="10">
        <v>44562000031</v>
      </c>
      <c r="D279" s="10" t="s">
        <v>61</v>
      </c>
      <c r="E279" s="10" t="s">
        <v>63</v>
      </c>
      <c r="F279" s="153">
        <v>44562</v>
      </c>
      <c r="G279" s="116" t="s">
        <v>39</v>
      </c>
      <c r="H279" s="116">
        <v>428805.40759999998</v>
      </c>
      <c r="I279" s="116">
        <v>71194.592400000009</v>
      </c>
      <c r="J279" s="116">
        <v>500000</v>
      </c>
      <c r="K279" s="219">
        <v>438805.40759999998</v>
      </c>
      <c r="L279" s="116">
        <v>0</v>
      </c>
      <c r="M279" s="31">
        <v>-20000</v>
      </c>
      <c r="N279" s="336">
        <v>-20000</v>
      </c>
      <c r="O279" s="336">
        <v>0</v>
      </c>
      <c r="P279" s="219">
        <v>0</v>
      </c>
      <c r="Q279" s="332">
        <v>0</v>
      </c>
      <c r="R279" s="219">
        <v>0</v>
      </c>
      <c r="S279" s="332">
        <v>0</v>
      </c>
      <c r="T279" s="219">
        <v>0</v>
      </c>
      <c r="U279" s="332">
        <v>0</v>
      </c>
      <c r="V279" s="332">
        <v>0</v>
      </c>
      <c r="W279" s="370">
        <v>20000</v>
      </c>
      <c r="X279" s="370">
        <v>0</v>
      </c>
      <c r="Y279" s="370">
        <v>0</v>
      </c>
      <c r="Z279" s="370">
        <v>0</v>
      </c>
      <c r="AA279" s="370">
        <v>10000</v>
      </c>
      <c r="AB279" s="370">
        <v>0</v>
      </c>
      <c r="AC279" s="370">
        <v>0</v>
      </c>
      <c r="AD279" s="370">
        <v>0</v>
      </c>
      <c r="AE279" s="370">
        <v>30000</v>
      </c>
      <c r="AF279" s="370">
        <v>-20000</v>
      </c>
      <c r="AG279" s="31">
        <v>20000</v>
      </c>
      <c r="AH279" s="31">
        <v>1</v>
      </c>
      <c r="AI279" s="31">
        <v>0</v>
      </c>
      <c r="AJ279" s="370">
        <v>1</v>
      </c>
      <c r="AK279" s="219">
        <v>0</v>
      </c>
      <c r="AL279" s="219">
        <v>0</v>
      </c>
      <c r="AM279" s="219">
        <v>0</v>
      </c>
      <c r="AN279" s="219">
        <v>0</v>
      </c>
      <c r="AO279" s="116">
        <v>0</v>
      </c>
      <c r="AP279" s="116">
        <v>1</v>
      </c>
      <c r="AQ279" s="116">
        <v>3</v>
      </c>
      <c r="AR279" s="116">
        <v>20000</v>
      </c>
      <c r="AS279" s="116">
        <v>-5000</v>
      </c>
      <c r="AT279" s="116">
        <v>0</v>
      </c>
      <c r="AU279" s="385">
        <v>0</v>
      </c>
      <c r="AV279" s="332">
        <v>0</v>
      </c>
      <c r="AW279" s="332">
        <v>0</v>
      </c>
      <c r="AX279" s="332">
        <v>-20000</v>
      </c>
      <c r="AY279" s="332">
        <v>0</v>
      </c>
      <c r="AZ279" s="332">
        <v>0</v>
      </c>
      <c r="BA279" s="332">
        <v>0.12337992952526605</v>
      </c>
      <c r="BB279" s="31">
        <v>428804.72510231682</v>
      </c>
      <c r="BC279" s="31">
        <v>0</v>
      </c>
      <c r="BD279" s="29">
        <v>0</v>
      </c>
      <c r="BE279" s="31">
        <v>0</v>
      </c>
    </row>
    <row r="280" spans="1:57" ht="13">
      <c r="A280" s="153">
        <v>44571</v>
      </c>
      <c r="B280" s="10" t="s">
        <v>185</v>
      </c>
      <c r="C280" s="10">
        <v>44562000035</v>
      </c>
      <c r="D280" s="10" t="s">
        <v>16</v>
      </c>
      <c r="E280" s="10" t="s">
        <v>38</v>
      </c>
      <c r="F280" s="153">
        <v>44562</v>
      </c>
      <c r="G280" s="116" t="s">
        <v>39</v>
      </c>
      <c r="H280" s="116">
        <v>424205.40759999998</v>
      </c>
      <c r="I280" s="116">
        <v>75794.592400000009</v>
      </c>
      <c r="J280" s="116">
        <v>500000</v>
      </c>
      <c r="K280" s="219">
        <v>444205.40759999998</v>
      </c>
      <c r="L280" s="116">
        <v>0</v>
      </c>
      <c r="M280" s="31">
        <v>-4600</v>
      </c>
      <c r="N280" s="336">
        <v>-4600</v>
      </c>
      <c r="O280" s="336">
        <v>4600</v>
      </c>
      <c r="P280" s="219">
        <v>0</v>
      </c>
      <c r="Q280" s="332">
        <v>460</v>
      </c>
      <c r="R280" s="219">
        <v>10</v>
      </c>
      <c r="S280" s="332">
        <v>0</v>
      </c>
      <c r="T280" s="219">
        <v>0</v>
      </c>
      <c r="U280" s="332">
        <v>0</v>
      </c>
      <c r="V280" s="332">
        <v>0</v>
      </c>
      <c r="W280" s="370">
        <v>0</v>
      </c>
      <c r="X280" s="370">
        <v>0</v>
      </c>
      <c r="Y280" s="370">
        <v>0</v>
      </c>
      <c r="Z280" s="370">
        <v>0</v>
      </c>
      <c r="AA280" s="370">
        <v>0</v>
      </c>
      <c r="AB280" s="370">
        <v>10</v>
      </c>
      <c r="AC280" s="370">
        <v>0</v>
      </c>
      <c r="AD280" s="370">
        <v>0</v>
      </c>
      <c r="AE280" s="370">
        <v>0</v>
      </c>
      <c r="AF280" s="370">
        <v>-10</v>
      </c>
      <c r="AG280" s="31">
        <v>10</v>
      </c>
      <c r="AH280" s="31">
        <v>453.2</v>
      </c>
      <c r="AI280" s="31">
        <v>0</v>
      </c>
      <c r="AJ280" s="370">
        <v>1</v>
      </c>
      <c r="AK280" s="219">
        <v>453.2</v>
      </c>
      <c r="AL280" s="219">
        <v>0</v>
      </c>
      <c r="AM280" s="219">
        <v>0</v>
      </c>
      <c r="AN280" s="219">
        <v>0</v>
      </c>
      <c r="AO280" s="116">
        <v>0</v>
      </c>
      <c r="AP280" s="116">
        <v>0</v>
      </c>
      <c r="AQ280" s="116">
        <v>4</v>
      </c>
      <c r="AR280" s="116">
        <v>4532</v>
      </c>
      <c r="AS280" s="116">
        <v>176748</v>
      </c>
      <c r="AT280" s="116">
        <v>1</v>
      </c>
      <c r="AU280" s="385">
        <v>0</v>
      </c>
      <c r="AV280" s="332">
        <v>0</v>
      </c>
      <c r="AW280" s="332">
        <v>0</v>
      </c>
      <c r="AX280" s="332">
        <v>-4532</v>
      </c>
      <c r="AY280" s="332">
        <v>0</v>
      </c>
      <c r="AZ280" s="332">
        <v>0</v>
      </c>
      <c r="BA280" s="332">
        <v>0</v>
      </c>
      <c r="BB280" s="31">
        <v>424204.72510231682</v>
      </c>
      <c r="BC280" s="31">
        <v>0</v>
      </c>
      <c r="BD280" s="29">
        <v>0</v>
      </c>
      <c r="BE280" s="31">
        <v>0</v>
      </c>
    </row>
    <row r="281" spans="1:57" ht="13">
      <c r="A281" s="153">
        <v>44571</v>
      </c>
      <c r="B281" s="10" t="s">
        <v>185</v>
      </c>
      <c r="C281" s="10">
        <v>44563000032</v>
      </c>
      <c r="D281" s="10" t="s">
        <v>61</v>
      </c>
      <c r="E281" s="10" t="s">
        <v>63</v>
      </c>
      <c r="F281" s="153">
        <v>44563</v>
      </c>
      <c r="G281" s="116" t="s">
        <v>39</v>
      </c>
      <c r="H281" s="116">
        <v>459205.40759999998</v>
      </c>
      <c r="I281" s="116">
        <v>40794.592400000009</v>
      </c>
      <c r="J281" s="116">
        <v>500000</v>
      </c>
      <c r="K281" s="219">
        <v>469205.40759999998</v>
      </c>
      <c r="L281" s="116">
        <v>0</v>
      </c>
      <c r="M281" s="31">
        <v>35000</v>
      </c>
      <c r="N281" s="336">
        <v>25000</v>
      </c>
      <c r="O281" s="336">
        <v>0</v>
      </c>
      <c r="P281" s="219">
        <v>0</v>
      </c>
      <c r="Q281" s="332">
        <v>0</v>
      </c>
      <c r="R281" s="219">
        <v>0</v>
      </c>
      <c r="S281" s="332">
        <v>0</v>
      </c>
      <c r="T281" s="219">
        <v>0</v>
      </c>
      <c r="U281" s="332">
        <v>0</v>
      </c>
      <c r="V281" s="332">
        <v>0</v>
      </c>
      <c r="W281" s="370">
        <v>-35000</v>
      </c>
      <c r="X281" s="370">
        <v>0</v>
      </c>
      <c r="Y281" s="370">
        <v>0</v>
      </c>
      <c r="Z281" s="370">
        <v>0</v>
      </c>
      <c r="AA281" s="370">
        <v>30000</v>
      </c>
      <c r="AB281" s="370">
        <v>0</v>
      </c>
      <c r="AC281" s="370">
        <v>0</v>
      </c>
      <c r="AD281" s="370">
        <v>0</v>
      </c>
      <c r="AE281" s="370">
        <v>-5000</v>
      </c>
      <c r="AF281" s="370">
        <v>25000</v>
      </c>
      <c r="AG281" s="31">
        <v>-35000</v>
      </c>
      <c r="AH281" s="31">
        <v>1</v>
      </c>
      <c r="AI281" s="31">
        <v>0</v>
      </c>
      <c r="AJ281" s="370">
        <v>1</v>
      </c>
      <c r="AK281" s="219">
        <v>0</v>
      </c>
      <c r="AL281" s="219">
        <v>0</v>
      </c>
      <c r="AM281" s="219">
        <v>0</v>
      </c>
      <c r="AN281" s="219">
        <v>0</v>
      </c>
      <c r="AO281" s="116">
        <v>0</v>
      </c>
      <c r="AP281" s="116">
        <v>1</v>
      </c>
      <c r="AQ281" s="116">
        <v>4</v>
      </c>
      <c r="AR281" s="116">
        <v>-35000</v>
      </c>
      <c r="AS281" s="116">
        <v>-5000</v>
      </c>
      <c r="AT281" s="116">
        <v>0</v>
      </c>
      <c r="AU281" s="385">
        <v>0</v>
      </c>
      <c r="AV281" s="332">
        <v>0</v>
      </c>
      <c r="AW281" s="332">
        <v>0</v>
      </c>
      <c r="AX281" s="332">
        <v>25000</v>
      </c>
      <c r="AY281" s="332">
        <v>0</v>
      </c>
      <c r="AZ281" s="332">
        <v>-0.84700425586099348</v>
      </c>
      <c r="BA281" s="332">
        <v>0</v>
      </c>
      <c r="BB281" s="31">
        <v>459204.72510231682</v>
      </c>
      <c r="BC281" s="31">
        <v>0</v>
      </c>
      <c r="BD281" s="29">
        <v>0</v>
      </c>
      <c r="BE281" s="31">
        <v>0</v>
      </c>
    </row>
    <row r="282" spans="1:57" ht="13">
      <c r="A282" s="153">
        <v>44571</v>
      </c>
      <c r="B282" s="10" t="s">
        <v>185</v>
      </c>
      <c r="C282" s="10">
        <v>44565000036</v>
      </c>
      <c r="D282" s="10" t="s">
        <v>16</v>
      </c>
      <c r="E282" s="10" t="s">
        <v>38</v>
      </c>
      <c r="F282" s="153">
        <v>44565</v>
      </c>
      <c r="G282" s="116" t="s">
        <v>39</v>
      </c>
      <c r="H282" s="116">
        <v>288205.40759999998</v>
      </c>
      <c r="I282" s="116">
        <v>211794.59240000002</v>
      </c>
      <c r="J282" s="116">
        <v>500000</v>
      </c>
      <c r="K282" s="219">
        <v>238205.40759999998</v>
      </c>
      <c r="L282" s="116">
        <v>0</v>
      </c>
      <c r="M282" s="31">
        <v>-171000</v>
      </c>
      <c r="N282" s="336">
        <v>-171000</v>
      </c>
      <c r="O282" s="336">
        <v>171000</v>
      </c>
      <c r="P282" s="219">
        <v>0</v>
      </c>
      <c r="Q282" s="332">
        <v>450</v>
      </c>
      <c r="R282" s="219">
        <v>380</v>
      </c>
      <c r="S282" s="332">
        <v>0</v>
      </c>
      <c r="T282" s="219">
        <v>0</v>
      </c>
      <c r="U282" s="332">
        <v>0</v>
      </c>
      <c r="V282" s="332">
        <v>0</v>
      </c>
      <c r="W282" s="370">
        <v>0</v>
      </c>
      <c r="X282" s="370">
        <v>10</v>
      </c>
      <c r="Y282" s="370">
        <v>0</v>
      </c>
      <c r="Z282" s="370">
        <v>0</v>
      </c>
      <c r="AA282" s="370">
        <v>0</v>
      </c>
      <c r="AB282" s="370">
        <v>390</v>
      </c>
      <c r="AC282" s="370">
        <v>0</v>
      </c>
      <c r="AD282" s="370">
        <v>0</v>
      </c>
      <c r="AE282" s="370">
        <v>0</v>
      </c>
      <c r="AF282" s="370">
        <v>-380</v>
      </c>
      <c r="AG282" s="31">
        <v>380</v>
      </c>
      <c r="AH282" s="31">
        <v>453.2</v>
      </c>
      <c r="AI282" s="31">
        <v>1</v>
      </c>
      <c r="AJ282" s="370">
        <v>1</v>
      </c>
      <c r="AK282" s="219">
        <v>453.2</v>
      </c>
      <c r="AL282" s="219">
        <v>0</v>
      </c>
      <c r="AM282" s="219">
        <v>0</v>
      </c>
      <c r="AN282" s="219">
        <v>0</v>
      </c>
      <c r="AO282" s="116">
        <v>0</v>
      </c>
      <c r="AP282" s="116">
        <v>0</v>
      </c>
      <c r="AQ282" s="116">
        <v>4</v>
      </c>
      <c r="AR282" s="116">
        <v>172216</v>
      </c>
      <c r="AS282" s="116">
        <v>176748</v>
      </c>
      <c r="AT282" s="116">
        <v>0</v>
      </c>
      <c r="AU282" s="385">
        <v>224427.4186</v>
      </c>
      <c r="AV282" s="332">
        <v>-5000</v>
      </c>
      <c r="AW282" s="332">
        <v>219427.4186</v>
      </c>
      <c r="AX282" s="332">
        <v>-172216</v>
      </c>
      <c r="AY282" s="332">
        <v>0</v>
      </c>
      <c r="AZ282" s="332">
        <v>0</v>
      </c>
      <c r="BA282" s="332">
        <v>0</v>
      </c>
      <c r="BB282" s="31">
        <v>288204.72510231682</v>
      </c>
      <c r="BC282" s="31">
        <v>288204.72510231682</v>
      </c>
      <c r="BD282" s="29">
        <v>0</v>
      </c>
      <c r="BE282" s="31">
        <v>507632.82620000001</v>
      </c>
    </row>
    <row r="283" spans="1:57" ht="13">
      <c r="A283" s="153">
        <v>44571</v>
      </c>
      <c r="B283" s="10" t="s">
        <v>186</v>
      </c>
      <c r="C283" s="10">
        <v>44561000008</v>
      </c>
      <c r="D283" s="10" t="s">
        <v>64</v>
      </c>
      <c r="E283" s="10" t="s">
        <v>64</v>
      </c>
      <c r="F283" s="153">
        <v>44561</v>
      </c>
      <c r="G283" s="116" t="s">
        <v>39</v>
      </c>
      <c r="H283" s="116">
        <v>500000</v>
      </c>
      <c r="I283" s="116">
        <v>0</v>
      </c>
      <c r="J283" s="116">
        <v>500000</v>
      </c>
      <c r="K283" s="219">
        <v>0</v>
      </c>
      <c r="L283" s="116">
        <v>0</v>
      </c>
      <c r="M283" s="31">
        <v>500000</v>
      </c>
      <c r="N283" s="336">
        <v>500000</v>
      </c>
      <c r="O283" s="336">
        <v>0</v>
      </c>
      <c r="P283" s="219">
        <v>0</v>
      </c>
      <c r="Q283" s="332">
        <v>0</v>
      </c>
      <c r="R283" s="219">
        <v>0</v>
      </c>
      <c r="S283" s="332">
        <v>0</v>
      </c>
      <c r="T283" s="219">
        <v>0</v>
      </c>
      <c r="U283" s="332">
        <v>0</v>
      </c>
      <c r="V283" s="332">
        <v>0</v>
      </c>
      <c r="W283" s="370">
        <v>0</v>
      </c>
      <c r="X283" s="370">
        <v>0</v>
      </c>
      <c r="Y283" s="370">
        <v>0</v>
      </c>
      <c r="Z283" s="370">
        <v>0</v>
      </c>
      <c r="AA283" s="370">
        <v>0</v>
      </c>
      <c r="AB283" s="370">
        <v>0</v>
      </c>
      <c r="AC283" s="370">
        <v>0</v>
      </c>
      <c r="AD283" s="370">
        <v>0</v>
      </c>
      <c r="AE283" s="370">
        <v>0</v>
      </c>
      <c r="AF283" s="370">
        <v>0</v>
      </c>
      <c r="AG283" s="31">
        <v>0</v>
      </c>
      <c r="AH283" s="31">
        <v>1</v>
      </c>
      <c r="AI283" s="31">
        <v>0</v>
      </c>
      <c r="AJ283" s="370">
        <v>1</v>
      </c>
      <c r="AK283" s="219">
        <v>0</v>
      </c>
      <c r="AL283" s="219">
        <v>0</v>
      </c>
      <c r="AM283" s="219">
        <v>0</v>
      </c>
      <c r="AN283" s="219">
        <v>0</v>
      </c>
      <c r="AO283" s="116">
        <v>0</v>
      </c>
      <c r="AP283" s="116">
        <v>0</v>
      </c>
      <c r="AQ283" s="116">
        <v>1</v>
      </c>
      <c r="AR283" s="116">
        <v>0</v>
      </c>
      <c r="AS283" s="116">
        <v>0</v>
      </c>
      <c r="AT283" s="116">
        <v>1</v>
      </c>
      <c r="AU283" s="385">
        <v>0</v>
      </c>
      <c r="AV283" s="332">
        <v>0</v>
      </c>
      <c r="AW283" s="332">
        <v>0</v>
      </c>
      <c r="AX283" s="332">
        <v>500000</v>
      </c>
      <c r="AY283" s="332">
        <v>0</v>
      </c>
      <c r="AZ283" s="332">
        <v>0</v>
      </c>
      <c r="BA283" s="332">
        <v>0</v>
      </c>
      <c r="BB283" s="31">
        <v>500000</v>
      </c>
      <c r="BC283" s="31">
        <v>0</v>
      </c>
      <c r="BD283" s="29">
        <v>0</v>
      </c>
      <c r="BE283" s="31">
        <v>0</v>
      </c>
    </row>
    <row r="284" spans="1:57" ht="13">
      <c r="A284" s="153">
        <v>44571</v>
      </c>
      <c r="B284" s="10" t="s">
        <v>186</v>
      </c>
      <c r="C284" s="10">
        <v>44563000037</v>
      </c>
      <c r="D284" s="10" t="s">
        <v>16</v>
      </c>
      <c r="E284" s="10" t="s">
        <v>0</v>
      </c>
      <c r="F284" s="153">
        <v>44563</v>
      </c>
      <c r="G284" s="116" t="s">
        <v>41</v>
      </c>
      <c r="H284" s="116">
        <v>409954.46750000003</v>
      </c>
      <c r="I284" s="116">
        <v>90045.532500000001</v>
      </c>
      <c r="J284" s="116">
        <v>500000</v>
      </c>
      <c r="K284" s="219">
        <v>409954.46750000003</v>
      </c>
      <c r="L284" s="116">
        <v>0</v>
      </c>
      <c r="M284" s="31">
        <v>-90045.532500000001</v>
      </c>
      <c r="N284" s="336">
        <v>-90045.532500000001</v>
      </c>
      <c r="O284" s="336">
        <v>90045.532500000001</v>
      </c>
      <c r="P284" s="219">
        <v>0</v>
      </c>
      <c r="Q284" s="332">
        <v>3001.51775</v>
      </c>
      <c r="R284" s="219">
        <v>30</v>
      </c>
      <c r="S284" s="332">
        <v>0</v>
      </c>
      <c r="T284" s="219">
        <v>0</v>
      </c>
      <c r="U284" s="332">
        <v>0</v>
      </c>
      <c r="V284" s="332">
        <v>0</v>
      </c>
      <c r="W284" s="370">
        <v>0</v>
      </c>
      <c r="X284" s="370">
        <v>0</v>
      </c>
      <c r="Y284" s="370">
        <v>0</v>
      </c>
      <c r="Z284" s="370">
        <v>0</v>
      </c>
      <c r="AA284" s="370">
        <v>0</v>
      </c>
      <c r="AB284" s="370">
        <v>30</v>
      </c>
      <c r="AC284" s="370">
        <v>0</v>
      </c>
      <c r="AD284" s="370">
        <v>0</v>
      </c>
      <c r="AE284" s="370">
        <v>0</v>
      </c>
      <c r="AF284" s="370">
        <v>-30</v>
      </c>
      <c r="AG284" s="31">
        <v>30</v>
      </c>
      <c r="AH284" s="31">
        <v>399.17</v>
      </c>
      <c r="AI284" s="31">
        <v>0</v>
      </c>
      <c r="AJ284" s="370">
        <v>7.7958499999999997</v>
      </c>
      <c r="AK284" s="219">
        <v>399.17</v>
      </c>
      <c r="AL284" s="219">
        <v>0</v>
      </c>
      <c r="AM284" s="219">
        <v>0</v>
      </c>
      <c r="AN284" s="219">
        <v>0</v>
      </c>
      <c r="AO284" s="116">
        <v>0</v>
      </c>
      <c r="AP284" s="116">
        <v>0</v>
      </c>
      <c r="AQ284" s="116">
        <v>2</v>
      </c>
      <c r="AR284" s="116">
        <v>93356.083335000003</v>
      </c>
      <c r="AS284" s="116">
        <v>93356.083335000003</v>
      </c>
      <c r="AT284" s="116">
        <v>1</v>
      </c>
      <c r="AU284" s="385">
        <v>0</v>
      </c>
      <c r="AV284" s="332">
        <v>0</v>
      </c>
      <c r="AW284" s="332">
        <v>0</v>
      </c>
      <c r="AX284" s="332">
        <v>-93356.083335000003</v>
      </c>
      <c r="AY284" s="332">
        <v>0</v>
      </c>
      <c r="AZ284" s="332">
        <v>0</v>
      </c>
      <c r="BA284" s="332">
        <v>0</v>
      </c>
      <c r="BB284" s="31">
        <v>409954.46750000003</v>
      </c>
      <c r="BC284" s="31">
        <v>0</v>
      </c>
      <c r="BD284" s="29">
        <v>0</v>
      </c>
      <c r="BE284" s="31">
        <v>0</v>
      </c>
    </row>
    <row r="285" spans="1:57" ht="13">
      <c r="A285" s="153">
        <v>44571</v>
      </c>
      <c r="B285" s="10" t="s">
        <v>186</v>
      </c>
      <c r="C285" s="10">
        <v>44563000038</v>
      </c>
      <c r="D285" s="10" t="s">
        <v>16</v>
      </c>
      <c r="E285" s="10" t="s">
        <v>38</v>
      </c>
      <c r="F285" s="153">
        <v>44563</v>
      </c>
      <c r="G285" s="116" t="s">
        <v>39</v>
      </c>
      <c r="H285" s="116">
        <v>396154.46750000003</v>
      </c>
      <c r="I285" s="116">
        <v>103845.5325</v>
      </c>
      <c r="J285" s="116">
        <v>500000</v>
      </c>
      <c r="K285" s="219">
        <v>396154.46750000003</v>
      </c>
      <c r="L285" s="116">
        <v>0</v>
      </c>
      <c r="M285" s="31">
        <v>-13800</v>
      </c>
      <c r="N285" s="336">
        <v>-13800</v>
      </c>
      <c r="O285" s="336">
        <v>13800</v>
      </c>
      <c r="P285" s="219">
        <v>0</v>
      </c>
      <c r="Q285" s="332">
        <v>460</v>
      </c>
      <c r="R285" s="219">
        <v>30</v>
      </c>
      <c r="S285" s="332">
        <v>0</v>
      </c>
      <c r="T285" s="219">
        <v>0</v>
      </c>
      <c r="U285" s="332">
        <v>0</v>
      </c>
      <c r="V285" s="332">
        <v>0</v>
      </c>
      <c r="W285" s="370">
        <v>0</v>
      </c>
      <c r="X285" s="370">
        <v>0</v>
      </c>
      <c r="Y285" s="370">
        <v>0</v>
      </c>
      <c r="Z285" s="370">
        <v>0</v>
      </c>
      <c r="AA285" s="370">
        <v>0</v>
      </c>
      <c r="AB285" s="370">
        <v>30</v>
      </c>
      <c r="AC285" s="370">
        <v>0</v>
      </c>
      <c r="AD285" s="370">
        <v>0</v>
      </c>
      <c r="AE285" s="370">
        <v>0</v>
      </c>
      <c r="AF285" s="370">
        <v>-30</v>
      </c>
      <c r="AG285" s="31">
        <v>30</v>
      </c>
      <c r="AH285" s="31">
        <v>453.2</v>
      </c>
      <c r="AI285" s="31">
        <v>0</v>
      </c>
      <c r="AJ285" s="370">
        <v>1</v>
      </c>
      <c r="AK285" s="219">
        <v>453.2</v>
      </c>
      <c r="AL285" s="219">
        <v>0</v>
      </c>
      <c r="AM285" s="219">
        <v>0</v>
      </c>
      <c r="AN285" s="219">
        <v>0</v>
      </c>
      <c r="AO285" s="116">
        <v>0</v>
      </c>
      <c r="AP285" s="116">
        <v>0</v>
      </c>
      <c r="AQ285" s="116">
        <v>3</v>
      </c>
      <c r="AR285" s="116">
        <v>13596</v>
      </c>
      <c r="AS285" s="116">
        <v>13596</v>
      </c>
      <c r="AT285" s="116">
        <v>1</v>
      </c>
      <c r="AU285" s="385">
        <v>0</v>
      </c>
      <c r="AV285" s="332">
        <v>0</v>
      </c>
      <c r="AW285" s="332">
        <v>0</v>
      </c>
      <c r="AX285" s="332">
        <v>-13596</v>
      </c>
      <c r="AY285" s="332">
        <v>0</v>
      </c>
      <c r="AZ285" s="332">
        <v>0</v>
      </c>
      <c r="BA285" s="332">
        <v>0</v>
      </c>
      <c r="BB285" s="31">
        <v>396154.46750000003</v>
      </c>
      <c r="BC285" s="31">
        <v>0</v>
      </c>
      <c r="BD285" s="29">
        <v>0</v>
      </c>
      <c r="BE285" s="31">
        <v>0</v>
      </c>
    </row>
    <row r="286" spans="1:57" ht="13">
      <c r="A286" s="153">
        <v>44571</v>
      </c>
      <c r="B286" s="10" t="s">
        <v>186</v>
      </c>
      <c r="C286" s="10">
        <v>44564000045</v>
      </c>
      <c r="D286" s="10" t="s">
        <v>18</v>
      </c>
      <c r="E286" s="10" t="s">
        <v>7</v>
      </c>
      <c r="F286" s="153">
        <v>44564</v>
      </c>
      <c r="G286" s="116" t="s">
        <v>41</v>
      </c>
      <c r="H286" s="116">
        <v>365251.58795000002</v>
      </c>
      <c r="I286" s="116">
        <v>134748.41205000001</v>
      </c>
      <c r="J286" s="116">
        <v>500000</v>
      </c>
      <c r="K286" s="219">
        <v>365251.58795000002</v>
      </c>
      <c r="L286" s="116">
        <v>0</v>
      </c>
      <c r="M286" s="31">
        <v>-30902.879550000001</v>
      </c>
      <c r="N286" s="336">
        <v>-30902.879550000005</v>
      </c>
      <c r="O286" s="336">
        <v>0</v>
      </c>
      <c r="P286" s="219">
        <v>0</v>
      </c>
      <c r="Q286" s="332">
        <v>0</v>
      </c>
      <c r="R286" s="219">
        <v>0</v>
      </c>
      <c r="S286" s="332">
        <v>13.21</v>
      </c>
      <c r="T286" s="219">
        <v>30</v>
      </c>
      <c r="U286" s="332">
        <v>0</v>
      </c>
      <c r="V286" s="332">
        <v>0</v>
      </c>
      <c r="W286" s="370">
        <v>0</v>
      </c>
      <c r="X286" s="370">
        <v>0</v>
      </c>
      <c r="Y286" s="370">
        <v>0</v>
      </c>
      <c r="Z286" s="370">
        <v>0</v>
      </c>
      <c r="AA286" s="370">
        <v>0</v>
      </c>
      <c r="AB286" s="370">
        <v>0</v>
      </c>
      <c r="AC286" s="370">
        <v>30</v>
      </c>
      <c r="AD286" s="370">
        <v>0</v>
      </c>
      <c r="AE286" s="370">
        <v>0</v>
      </c>
      <c r="AF286" s="370">
        <v>-30</v>
      </c>
      <c r="AG286" s="31">
        <v>30</v>
      </c>
      <c r="AH286" s="31">
        <v>15.29</v>
      </c>
      <c r="AI286" s="31">
        <v>0</v>
      </c>
      <c r="AJ286" s="370">
        <v>7.7958499999999997</v>
      </c>
      <c r="AK286" s="219">
        <v>0</v>
      </c>
      <c r="AL286" s="219">
        <v>15.29</v>
      </c>
      <c r="AM286" s="219">
        <v>17.71</v>
      </c>
      <c r="AN286" s="219">
        <v>0</v>
      </c>
      <c r="AO286" s="116">
        <v>0</v>
      </c>
      <c r="AP286" s="116">
        <v>0</v>
      </c>
      <c r="AQ286" s="116">
        <v>4</v>
      </c>
      <c r="AR286" s="116">
        <v>35759.563949999996</v>
      </c>
      <c r="AS286" s="116">
        <v>35759.563949999996</v>
      </c>
      <c r="AT286" s="116">
        <v>1</v>
      </c>
      <c r="AU286" s="385">
        <v>0</v>
      </c>
      <c r="AV286" s="332">
        <v>0</v>
      </c>
      <c r="AW286" s="332">
        <v>0</v>
      </c>
      <c r="AX286" s="332">
        <v>-38589.457499999997</v>
      </c>
      <c r="AY286" s="332">
        <v>0</v>
      </c>
      <c r="AZ286" s="332">
        <v>0</v>
      </c>
      <c r="BA286" s="332">
        <v>0</v>
      </c>
      <c r="BB286" s="31">
        <v>365251.58795000002</v>
      </c>
      <c r="BC286" s="31">
        <v>0</v>
      </c>
      <c r="BD286" s="29">
        <v>0</v>
      </c>
      <c r="BE286" s="31">
        <v>0</v>
      </c>
    </row>
    <row r="287" spans="1:57" ht="13">
      <c r="A287" s="153">
        <v>44571</v>
      </c>
      <c r="B287" s="10" t="s">
        <v>186</v>
      </c>
      <c r="C287" s="10">
        <v>44565000046</v>
      </c>
      <c r="D287" s="10" t="s">
        <v>18</v>
      </c>
      <c r="E287" s="10" t="s">
        <v>7</v>
      </c>
      <c r="F287" s="153">
        <v>44565</v>
      </c>
      <c r="G287" s="116" t="s">
        <v>41</v>
      </c>
      <c r="H287" s="116">
        <v>382070.50044999999</v>
      </c>
      <c r="I287" s="116">
        <v>117929.49955000001</v>
      </c>
      <c r="J287" s="116">
        <v>500000</v>
      </c>
      <c r="K287" s="219">
        <v>382070.50044999999</v>
      </c>
      <c r="L287" s="116">
        <v>0</v>
      </c>
      <c r="M287" s="31">
        <v>16818.912500000002</v>
      </c>
      <c r="N287" s="336">
        <v>16818.912500000002</v>
      </c>
      <c r="O287" s="336">
        <v>0</v>
      </c>
      <c r="P287" s="219">
        <v>0</v>
      </c>
      <c r="Q287" s="332">
        <v>0</v>
      </c>
      <c r="R287" s="219">
        <v>0</v>
      </c>
      <c r="S287" s="332">
        <v>10.79</v>
      </c>
      <c r="T287" s="219">
        <v>-20</v>
      </c>
      <c r="U287" s="332">
        <v>0</v>
      </c>
      <c r="V287" s="332">
        <v>0</v>
      </c>
      <c r="W287" s="370">
        <v>0</v>
      </c>
      <c r="X287" s="370">
        <v>0</v>
      </c>
      <c r="Y287" s="370">
        <v>30</v>
      </c>
      <c r="Z287" s="370">
        <v>0</v>
      </c>
      <c r="AA287" s="370">
        <v>0</v>
      </c>
      <c r="AB287" s="370">
        <v>0</v>
      </c>
      <c r="AC287" s="370">
        <v>10</v>
      </c>
      <c r="AD287" s="370">
        <v>0</v>
      </c>
      <c r="AE287" s="370">
        <v>0</v>
      </c>
      <c r="AF287" s="370">
        <v>20</v>
      </c>
      <c r="AG287" s="31">
        <v>-20</v>
      </c>
      <c r="AH287" s="31"/>
      <c r="AI287" s="31">
        <v>1</v>
      </c>
      <c r="AJ287" s="370">
        <v>7.7958499999999997</v>
      </c>
      <c r="AK287" s="219">
        <v>0</v>
      </c>
      <c r="AL287" s="219">
        <v>15.29</v>
      </c>
      <c r="AM287" s="219">
        <v>17.71</v>
      </c>
      <c r="AN287" s="219">
        <v>0</v>
      </c>
      <c r="AO287" s="116">
        <v>0</v>
      </c>
      <c r="AP287" s="116">
        <v>0</v>
      </c>
      <c r="AQ287" s="116">
        <v>4</v>
      </c>
      <c r="AR287" s="116">
        <v>0</v>
      </c>
      <c r="AS287" s="116">
        <v>35759.563949999996</v>
      </c>
      <c r="AT287" s="116">
        <v>0</v>
      </c>
      <c r="AU287" s="385">
        <v>142711.64728500001</v>
      </c>
      <c r="AV287" s="332">
        <v>0</v>
      </c>
      <c r="AW287" s="332">
        <v>142711.64728500001</v>
      </c>
      <c r="AX287" s="332">
        <v>25726.305</v>
      </c>
      <c r="AY287" s="332">
        <v>0</v>
      </c>
      <c r="AZ287" s="332">
        <v>0</v>
      </c>
      <c r="BA287" s="332">
        <v>0</v>
      </c>
      <c r="BB287" s="31">
        <v>382070.50044999999</v>
      </c>
      <c r="BC287" s="31">
        <v>382070.50044999999</v>
      </c>
      <c r="BD287" s="29">
        <v>0</v>
      </c>
      <c r="BE287" s="31">
        <v>524782.14773500001</v>
      </c>
    </row>
    <row r="288" spans="1:57" ht="13">
      <c r="A288" s="153">
        <v>44571</v>
      </c>
      <c r="B288" s="10" t="s">
        <v>187</v>
      </c>
      <c r="C288" s="10">
        <v>44561000009</v>
      </c>
      <c r="D288" s="10" t="s">
        <v>64</v>
      </c>
      <c r="E288" s="10" t="s">
        <v>64</v>
      </c>
      <c r="F288" s="153">
        <v>44561</v>
      </c>
      <c r="G288" s="116" t="s">
        <v>39</v>
      </c>
      <c r="H288" s="116">
        <v>500000</v>
      </c>
      <c r="I288" s="116">
        <v>0</v>
      </c>
      <c r="J288" s="116">
        <v>500000</v>
      </c>
      <c r="K288" s="219">
        <v>0</v>
      </c>
      <c r="L288" s="116">
        <v>0</v>
      </c>
      <c r="M288" s="31">
        <v>500000</v>
      </c>
      <c r="N288" s="336">
        <v>500000</v>
      </c>
      <c r="O288" s="336">
        <v>0</v>
      </c>
      <c r="P288" s="219">
        <v>0</v>
      </c>
      <c r="Q288" s="332">
        <v>0</v>
      </c>
      <c r="R288" s="219">
        <v>0</v>
      </c>
      <c r="S288" s="332">
        <v>0</v>
      </c>
      <c r="T288" s="219">
        <v>0</v>
      </c>
      <c r="U288" s="332">
        <v>0</v>
      </c>
      <c r="V288" s="332">
        <v>0</v>
      </c>
      <c r="W288" s="370">
        <v>0</v>
      </c>
      <c r="X288" s="370">
        <v>0</v>
      </c>
      <c r="Y288" s="370">
        <v>0</v>
      </c>
      <c r="Z288" s="370">
        <v>0</v>
      </c>
      <c r="AA288" s="370">
        <v>0</v>
      </c>
      <c r="AB288" s="370">
        <v>0</v>
      </c>
      <c r="AC288" s="370">
        <v>0</v>
      </c>
      <c r="AD288" s="370">
        <v>0</v>
      </c>
      <c r="AE288" s="370">
        <v>0</v>
      </c>
      <c r="AF288" s="370">
        <v>0</v>
      </c>
      <c r="AG288" s="31">
        <v>0</v>
      </c>
      <c r="AH288" s="31">
        <v>1</v>
      </c>
      <c r="AI288" s="31">
        <v>0</v>
      </c>
      <c r="AJ288" s="370">
        <v>1</v>
      </c>
      <c r="AK288" s="219">
        <v>0</v>
      </c>
      <c r="AL288" s="219">
        <v>0</v>
      </c>
      <c r="AM288" s="219">
        <v>0</v>
      </c>
      <c r="AN288" s="219">
        <v>0</v>
      </c>
      <c r="AO288" s="116">
        <v>0</v>
      </c>
      <c r="AP288" s="116">
        <v>0</v>
      </c>
      <c r="AQ288" s="116">
        <v>1</v>
      </c>
      <c r="AR288" s="116">
        <v>0</v>
      </c>
      <c r="AS288" s="116">
        <v>0</v>
      </c>
      <c r="AT288" s="116">
        <v>1</v>
      </c>
      <c r="AU288" s="385">
        <v>0</v>
      </c>
      <c r="AV288" s="332">
        <v>0</v>
      </c>
      <c r="AW288" s="332">
        <v>0</v>
      </c>
      <c r="AX288" s="332">
        <v>500000</v>
      </c>
      <c r="AY288" s="332">
        <v>0</v>
      </c>
      <c r="AZ288" s="332">
        <v>0</v>
      </c>
      <c r="BA288" s="332">
        <v>0</v>
      </c>
      <c r="BB288" s="31">
        <v>499999.23227534251</v>
      </c>
      <c r="BC288" s="31">
        <v>0</v>
      </c>
      <c r="BD288" s="29">
        <v>0</v>
      </c>
      <c r="BE288" s="31">
        <v>0</v>
      </c>
    </row>
    <row r="289" spans="1:57" ht="13">
      <c r="A289" s="153">
        <v>44571</v>
      </c>
      <c r="B289" s="10" t="s">
        <v>187</v>
      </c>
      <c r="C289" s="10">
        <v>44566000040</v>
      </c>
      <c r="D289" s="10" t="s">
        <v>21</v>
      </c>
      <c r="E289" s="10" t="s">
        <v>4</v>
      </c>
      <c r="F289" s="153">
        <v>44566</v>
      </c>
      <c r="G289" s="116" t="s">
        <v>41</v>
      </c>
      <c r="H289" s="116">
        <v>527283.34</v>
      </c>
      <c r="I289" s="116">
        <v>-27283.34</v>
      </c>
      <c r="J289" s="116">
        <v>499999.99999999994</v>
      </c>
      <c r="K289" s="219">
        <v>149214.20000000001</v>
      </c>
      <c r="L289" s="116">
        <v>0</v>
      </c>
      <c r="M289" s="31">
        <v>27283.34</v>
      </c>
      <c r="N289" s="336">
        <v>-350785.8</v>
      </c>
      <c r="O289" s="336">
        <v>0</v>
      </c>
      <c r="P289" s="219">
        <v>0</v>
      </c>
      <c r="Q289" s="332">
        <v>0</v>
      </c>
      <c r="R289" s="219">
        <v>0</v>
      </c>
      <c r="S289" s="332">
        <v>0</v>
      </c>
      <c r="T289" s="219">
        <v>0</v>
      </c>
      <c r="U289" s="332">
        <v>3.5</v>
      </c>
      <c r="V289" s="332">
        <v>-10</v>
      </c>
      <c r="W289" s="370">
        <v>0</v>
      </c>
      <c r="X289" s="370">
        <v>0</v>
      </c>
      <c r="Y289" s="370">
        <v>0</v>
      </c>
      <c r="Z289" s="370">
        <v>0</v>
      </c>
      <c r="AA289" s="370">
        <v>0</v>
      </c>
      <c r="AB289" s="370">
        <v>0</v>
      </c>
      <c r="AC289" s="370">
        <v>0</v>
      </c>
      <c r="AD289" s="370">
        <v>-10</v>
      </c>
      <c r="AE289" s="370">
        <v>0</v>
      </c>
      <c r="AF289" s="370">
        <v>0</v>
      </c>
      <c r="AG289" s="31">
        <v>-10</v>
      </c>
      <c r="AH289" s="31">
        <v>3.9000000000000004</v>
      </c>
      <c r="AI289" s="31">
        <v>0</v>
      </c>
      <c r="AJ289" s="370">
        <v>7.7958499999999997</v>
      </c>
      <c r="AK289" s="219">
        <v>0</v>
      </c>
      <c r="AL289" s="219">
        <v>0</v>
      </c>
      <c r="AM289" s="219">
        <v>0</v>
      </c>
      <c r="AN289" s="219">
        <v>3.9000000000000004</v>
      </c>
      <c r="AO289" s="116">
        <v>45</v>
      </c>
      <c r="AP289" s="116">
        <v>0</v>
      </c>
      <c r="AQ289" s="116">
        <v>2</v>
      </c>
      <c r="AR289" s="116">
        <v>-30403.815000000002</v>
      </c>
      <c r="AS289" s="116">
        <v>-30403.815000000002</v>
      </c>
      <c r="AT289" s="116">
        <v>1</v>
      </c>
      <c r="AU289" s="385">
        <v>0</v>
      </c>
      <c r="AV289" s="332">
        <v>0</v>
      </c>
      <c r="AW289" s="332">
        <v>0</v>
      </c>
      <c r="AX289" s="332">
        <v>0</v>
      </c>
      <c r="AY289" s="332">
        <v>0</v>
      </c>
      <c r="AZ289" s="332">
        <v>0</v>
      </c>
      <c r="BA289" s="332">
        <v>0</v>
      </c>
      <c r="BB289" s="31">
        <v>527282.57227534242</v>
      </c>
      <c r="BC289" s="31">
        <v>0</v>
      </c>
      <c r="BD289" s="29">
        <v>0</v>
      </c>
      <c r="BE289" s="31">
        <v>0</v>
      </c>
    </row>
    <row r="290" spans="1:57" ht="13">
      <c r="A290" s="153">
        <v>44571</v>
      </c>
      <c r="B290" s="10" t="s">
        <v>187</v>
      </c>
      <c r="C290" s="10">
        <v>44566000041</v>
      </c>
      <c r="D290" s="10" t="s">
        <v>21</v>
      </c>
      <c r="E290" s="10" t="s">
        <v>5</v>
      </c>
      <c r="F290" s="153">
        <v>44566</v>
      </c>
      <c r="G290" s="116" t="s">
        <v>41</v>
      </c>
      <c r="H290" s="116">
        <v>507795.24</v>
      </c>
      <c r="I290" s="116">
        <v>-7795.2400000000016</v>
      </c>
      <c r="J290" s="116">
        <v>500000</v>
      </c>
      <c r="K290" s="219">
        <v>461023.8</v>
      </c>
      <c r="L290" s="116">
        <v>0</v>
      </c>
      <c r="M290" s="31">
        <v>-19488.099999999999</v>
      </c>
      <c r="N290" s="336">
        <v>311809.59999999998</v>
      </c>
      <c r="O290" s="336">
        <v>0</v>
      </c>
      <c r="P290" s="219">
        <v>0</v>
      </c>
      <c r="Q290" s="332">
        <v>0</v>
      </c>
      <c r="R290" s="219">
        <v>0</v>
      </c>
      <c r="S290" s="332">
        <v>0</v>
      </c>
      <c r="T290" s="219">
        <v>0</v>
      </c>
      <c r="U290" s="332">
        <v>2.5</v>
      </c>
      <c r="V290" s="332">
        <v>10</v>
      </c>
      <c r="W290" s="370">
        <v>0</v>
      </c>
      <c r="X290" s="370">
        <v>0</v>
      </c>
      <c r="Y290" s="370">
        <v>0</v>
      </c>
      <c r="Z290" s="370">
        <v>0</v>
      </c>
      <c r="AA290" s="370">
        <v>0</v>
      </c>
      <c r="AB290" s="370">
        <v>0</v>
      </c>
      <c r="AC290" s="370">
        <v>0</v>
      </c>
      <c r="AD290" s="370">
        <v>10</v>
      </c>
      <c r="AE290" s="370">
        <v>0</v>
      </c>
      <c r="AF290" s="370">
        <v>0</v>
      </c>
      <c r="AG290" s="31">
        <v>10</v>
      </c>
      <c r="AH290" s="31">
        <v>2.9000000000000004</v>
      </c>
      <c r="AI290" s="31">
        <v>0</v>
      </c>
      <c r="AJ290" s="370">
        <v>7.7958499999999997</v>
      </c>
      <c r="AK290" s="219">
        <v>0</v>
      </c>
      <c r="AL290" s="219">
        <v>0</v>
      </c>
      <c r="AM290" s="219">
        <v>0</v>
      </c>
      <c r="AN290" s="219">
        <v>2.9000000000000004</v>
      </c>
      <c r="AO290" s="116">
        <v>40</v>
      </c>
      <c r="AP290" s="116">
        <v>0</v>
      </c>
      <c r="AQ290" s="116">
        <v>3</v>
      </c>
      <c r="AR290" s="116">
        <v>22607.965000000004</v>
      </c>
      <c r="AS290" s="116">
        <v>22607.965000000004</v>
      </c>
      <c r="AT290" s="116">
        <v>1</v>
      </c>
      <c r="AU290" s="385">
        <v>0</v>
      </c>
      <c r="AV290" s="332">
        <v>0</v>
      </c>
      <c r="AW290" s="332">
        <v>0</v>
      </c>
      <c r="AX290" s="332">
        <v>0</v>
      </c>
      <c r="AY290" s="332">
        <v>0</v>
      </c>
      <c r="AZ290" s="332">
        <v>0</v>
      </c>
      <c r="BA290" s="332">
        <v>0</v>
      </c>
      <c r="BB290" s="31">
        <v>507794.4722753425</v>
      </c>
      <c r="BC290" s="31">
        <v>0</v>
      </c>
      <c r="BD290" s="29">
        <v>0</v>
      </c>
      <c r="BE290" s="31">
        <v>0</v>
      </c>
    </row>
    <row r="291" spans="1:57" ht="13">
      <c r="A291" s="153">
        <v>44571</v>
      </c>
      <c r="B291" s="10" t="s">
        <v>187</v>
      </c>
      <c r="C291" s="10">
        <v>44567000042</v>
      </c>
      <c r="D291" s="10" t="s">
        <v>16</v>
      </c>
      <c r="E291" s="10" t="s">
        <v>38</v>
      </c>
      <c r="F291" s="153">
        <v>44567</v>
      </c>
      <c r="G291" s="116" t="s">
        <v>39</v>
      </c>
      <c r="H291" s="116">
        <v>490595.24</v>
      </c>
      <c r="I291" s="116">
        <v>9404.7599999999984</v>
      </c>
      <c r="J291" s="116">
        <v>500000</v>
      </c>
      <c r="K291" s="219">
        <v>443823.8</v>
      </c>
      <c r="L291" s="116">
        <v>0</v>
      </c>
      <c r="M291" s="31">
        <v>-17200</v>
      </c>
      <c r="N291" s="336">
        <v>-17200</v>
      </c>
      <c r="O291" s="336">
        <v>17200</v>
      </c>
      <c r="P291" s="219">
        <v>0</v>
      </c>
      <c r="Q291" s="332">
        <v>430</v>
      </c>
      <c r="R291" s="219">
        <v>40</v>
      </c>
      <c r="S291" s="332">
        <v>0</v>
      </c>
      <c r="T291" s="219">
        <v>0</v>
      </c>
      <c r="U291" s="332">
        <v>0</v>
      </c>
      <c r="V291" s="332">
        <v>0</v>
      </c>
      <c r="W291" s="370">
        <v>0</v>
      </c>
      <c r="X291" s="370">
        <v>0</v>
      </c>
      <c r="Y291" s="370">
        <v>0</v>
      </c>
      <c r="Z291" s="370">
        <v>0</v>
      </c>
      <c r="AA291" s="370">
        <v>0</v>
      </c>
      <c r="AB291" s="370">
        <v>40</v>
      </c>
      <c r="AC291" s="370">
        <v>0</v>
      </c>
      <c r="AD291" s="370">
        <v>0</v>
      </c>
      <c r="AE291" s="370">
        <v>0</v>
      </c>
      <c r="AF291" s="370">
        <v>-40</v>
      </c>
      <c r="AG291" s="31">
        <v>40</v>
      </c>
      <c r="AH291" s="31">
        <v>453.2</v>
      </c>
      <c r="AI291" s="31">
        <v>0</v>
      </c>
      <c r="AJ291" s="370">
        <v>1</v>
      </c>
      <c r="AK291" s="219">
        <v>453.2</v>
      </c>
      <c r="AL291" s="219">
        <v>0</v>
      </c>
      <c r="AM291" s="219">
        <v>0</v>
      </c>
      <c r="AN291" s="219">
        <v>0</v>
      </c>
      <c r="AO291" s="116">
        <v>0</v>
      </c>
      <c r="AP291" s="116">
        <v>0</v>
      </c>
      <c r="AQ291" s="116">
        <v>4</v>
      </c>
      <c r="AR291" s="116">
        <v>18128</v>
      </c>
      <c r="AS291" s="116">
        <v>-4532</v>
      </c>
      <c r="AT291" s="116">
        <v>1</v>
      </c>
      <c r="AU291" s="385">
        <v>0</v>
      </c>
      <c r="AV291" s="332">
        <v>0</v>
      </c>
      <c r="AW291" s="332">
        <v>0</v>
      </c>
      <c r="AX291" s="332">
        <v>-18128</v>
      </c>
      <c r="AY291" s="332">
        <v>0</v>
      </c>
      <c r="AZ291" s="332">
        <v>0</v>
      </c>
      <c r="BA291" s="332">
        <v>0</v>
      </c>
      <c r="BB291" s="31">
        <v>490594.4722753425</v>
      </c>
      <c r="BC291" s="31">
        <v>0</v>
      </c>
      <c r="BD291" s="29">
        <v>0</v>
      </c>
      <c r="BE291" s="31">
        <v>0</v>
      </c>
    </row>
    <row r="292" spans="1:57" ht="13">
      <c r="A292" s="153">
        <v>44571</v>
      </c>
      <c r="B292" s="10" t="s">
        <v>187</v>
      </c>
      <c r="C292" s="10">
        <v>44568000043</v>
      </c>
      <c r="D292" s="10" t="s">
        <v>16</v>
      </c>
      <c r="E292" s="10" t="s">
        <v>38</v>
      </c>
      <c r="F292" s="153">
        <v>44568</v>
      </c>
      <c r="G292" s="116" t="s">
        <v>39</v>
      </c>
      <c r="H292" s="116">
        <v>512595.24</v>
      </c>
      <c r="I292" s="116">
        <v>-12595.240000000002</v>
      </c>
      <c r="J292" s="116">
        <v>500000</v>
      </c>
      <c r="K292" s="219">
        <v>465623.8</v>
      </c>
      <c r="L292" s="116">
        <v>0</v>
      </c>
      <c r="M292" s="31">
        <v>22000</v>
      </c>
      <c r="N292" s="336">
        <v>13200</v>
      </c>
      <c r="O292" s="336">
        <v>0</v>
      </c>
      <c r="P292" s="219">
        <v>-22000</v>
      </c>
      <c r="Q292" s="332">
        <v>440</v>
      </c>
      <c r="R292" s="219">
        <v>-50</v>
      </c>
      <c r="S292" s="332">
        <v>0</v>
      </c>
      <c r="T292" s="219">
        <v>0</v>
      </c>
      <c r="U292" s="332">
        <v>0</v>
      </c>
      <c r="V292" s="332">
        <v>0</v>
      </c>
      <c r="W292" s="370">
        <v>0</v>
      </c>
      <c r="X292" s="370">
        <v>40</v>
      </c>
      <c r="Y292" s="370">
        <v>0</v>
      </c>
      <c r="Z292" s="370">
        <v>0</v>
      </c>
      <c r="AA292" s="370">
        <v>0</v>
      </c>
      <c r="AB292" s="370">
        <v>-10</v>
      </c>
      <c r="AC292" s="370">
        <v>0</v>
      </c>
      <c r="AD292" s="370">
        <v>0</v>
      </c>
      <c r="AE292" s="370">
        <v>0</v>
      </c>
      <c r="AF292" s="370">
        <v>30</v>
      </c>
      <c r="AG292" s="31">
        <v>-50</v>
      </c>
      <c r="AH292" s="31">
        <v>453.2</v>
      </c>
      <c r="AI292" s="31">
        <v>0</v>
      </c>
      <c r="AJ292" s="370">
        <v>1</v>
      </c>
      <c r="AK292" s="219">
        <v>453.2</v>
      </c>
      <c r="AL292" s="219">
        <v>0</v>
      </c>
      <c r="AM292" s="219">
        <v>0</v>
      </c>
      <c r="AN292" s="219">
        <v>0</v>
      </c>
      <c r="AO292" s="116">
        <v>0</v>
      </c>
      <c r="AP292" s="116">
        <v>0</v>
      </c>
      <c r="AQ292" s="116">
        <v>4</v>
      </c>
      <c r="AR292" s="116">
        <v>-22660</v>
      </c>
      <c r="AS292" s="116">
        <v>-4532</v>
      </c>
      <c r="AT292" s="116">
        <v>0</v>
      </c>
      <c r="AU292" s="385">
        <v>0</v>
      </c>
      <c r="AV292" s="332">
        <v>0</v>
      </c>
      <c r="AW292" s="332">
        <v>0</v>
      </c>
      <c r="AX292" s="332">
        <v>13596</v>
      </c>
      <c r="AY292" s="332">
        <v>0</v>
      </c>
      <c r="AZ292" s="332">
        <v>-0.76772465751240448</v>
      </c>
      <c r="BA292" s="332">
        <v>0</v>
      </c>
      <c r="BB292" s="31">
        <v>512594.4722753425</v>
      </c>
      <c r="BC292" s="31">
        <v>0</v>
      </c>
      <c r="BD292" s="29">
        <v>0</v>
      </c>
      <c r="BE292" s="31">
        <v>0</v>
      </c>
    </row>
    <row r="293" spans="1:57" ht="13">
      <c r="A293" s="153">
        <v>44571</v>
      </c>
      <c r="B293" s="10" t="s">
        <v>187</v>
      </c>
      <c r="C293" s="10">
        <v>44568000044</v>
      </c>
      <c r="D293" s="10" t="s">
        <v>18</v>
      </c>
      <c r="E293" s="10" t="s">
        <v>7</v>
      </c>
      <c r="F293" s="153">
        <v>44568</v>
      </c>
      <c r="G293" s="116" t="s">
        <v>41</v>
      </c>
      <c r="H293" s="116">
        <v>529422.61185999995</v>
      </c>
      <c r="I293" s="116">
        <v>-29422.611860000001</v>
      </c>
      <c r="J293" s="116">
        <v>499999.99999999994</v>
      </c>
      <c r="K293" s="219">
        <v>413596.42813999997</v>
      </c>
      <c r="L293" s="116">
        <v>0</v>
      </c>
      <c r="M293" s="31">
        <v>16827.371859999999</v>
      </c>
      <c r="N293" s="336">
        <v>-16827.371859999999</v>
      </c>
      <c r="O293" s="336">
        <v>0</v>
      </c>
      <c r="P293" s="219">
        <v>0</v>
      </c>
      <c r="Q293" s="332">
        <v>0</v>
      </c>
      <c r="R293" s="219">
        <v>0</v>
      </c>
      <c r="S293" s="332">
        <v>10.79</v>
      </c>
      <c r="T293" s="219">
        <v>-20</v>
      </c>
      <c r="U293" s="332">
        <v>0</v>
      </c>
      <c r="V293" s="332">
        <v>0</v>
      </c>
      <c r="W293" s="370">
        <v>0</v>
      </c>
      <c r="X293" s="370">
        <v>0</v>
      </c>
      <c r="Y293" s="370">
        <v>0</v>
      </c>
      <c r="Z293" s="370">
        <v>0</v>
      </c>
      <c r="AA293" s="370">
        <v>0</v>
      </c>
      <c r="AB293" s="370">
        <v>0</v>
      </c>
      <c r="AC293" s="370">
        <v>-20</v>
      </c>
      <c r="AD293" s="370">
        <v>0</v>
      </c>
      <c r="AE293" s="370">
        <v>0</v>
      </c>
      <c r="AF293" s="370">
        <v>-20</v>
      </c>
      <c r="AG293" s="31">
        <v>-20</v>
      </c>
      <c r="AH293" s="31"/>
      <c r="AI293" s="31">
        <v>1</v>
      </c>
      <c r="AJ293" s="370">
        <v>7.7958499999999997</v>
      </c>
      <c r="AK293" s="219">
        <v>0</v>
      </c>
      <c r="AL293" s="219">
        <v>15.29</v>
      </c>
      <c r="AM293" s="219">
        <v>17.71</v>
      </c>
      <c r="AN293" s="219">
        <v>0</v>
      </c>
      <c r="AO293" s="116">
        <v>0</v>
      </c>
      <c r="AP293" s="116">
        <v>0</v>
      </c>
      <c r="AQ293" s="116">
        <v>5</v>
      </c>
      <c r="AR293" s="116">
        <v>0</v>
      </c>
      <c r="AS293" s="116">
        <v>0</v>
      </c>
      <c r="AT293" s="116">
        <v>1</v>
      </c>
      <c r="AU293" s="385">
        <v>22607.965000000004</v>
      </c>
      <c r="AV293" s="332">
        <v>-34935.815000000002</v>
      </c>
      <c r="AW293" s="332">
        <v>-12327.849999999999</v>
      </c>
      <c r="AX293" s="332">
        <v>-25726.305</v>
      </c>
      <c r="AY293" s="332">
        <v>0</v>
      </c>
      <c r="AZ293" s="332">
        <v>0</v>
      </c>
      <c r="BA293" s="332">
        <v>0</v>
      </c>
      <c r="BB293" s="31">
        <v>529421.8441353424</v>
      </c>
      <c r="BC293" s="31">
        <v>529421.8441353424</v>
      </c>
      <c r="BD293" s="29">
        <v>0</v>
      </c>
      <c r="BE293" s="31">
        <v>517094.76185999997</v>
      </c>
    </row>
    <row r="294" spans="1:57" ht="13">
      <c r="A294" s="153">
        <v>44571</v>
      </c>
      <c r="B294" s="10" t="s">
        <v>188</v>
      </c>
      <c r="C294" s="10">
        <v>44561000010</v>
      </c>
      <c r="D294" s="10" t="s">
        <v>64</v>
      </c>
      <c r="E294" s="10" t="s">
        <v>64</v>
      </c>
      <c r="F294" s="153">
        <v>44561</v>
      </c>
      <c r="G294" s="116" t="s">
        <v>39</v>
      </c>
      <c r="H294" s="116">
        <v>500000</v>
      </c>
      <c r="I294" s="116">
        <v>0</v>
      </c>
      <c r="J294" s="116">
        <v>500000</v>
      </c>
      <c r="K294" s="219">
        <v>0</v>
      </c>
      <c r="L294" s="116">
        <v>0</v>
      </c>
      <c r="M294" s="31">
        <v>500000</v>
      </c>
      <c r="N294" s="336">
        <v>500000</v>
      </c>
      <c r="O294" s="336">
        <v>0</v>
      </c>
      <c r="P294" s="219">
        <v>0</v>
      </c>
      <c r="Q294" s="332">
        <v>0</v>
      </c>
      <c r="R294" s="219">
        <v>0</v>
      </c>
      <c r="S294" s="332">
        <v>0</v>
      </c>
      <c r="T294" s="219">
        <v>0</v>
      </c>
      <c r="U294" s="332">
        <v>0</v>
      </c>
      <c r="V294" s="332">
        <v>0</v>
      </c>
      <c r="W294" s="370">
        <v>0</v>
      </c>
      <c r="X294" s="370">
        <v>0</v>
      </c>
      <c r="Y294" s="370">
        <v>0</v>
      </c>
      <c r="Z294" s="370">
        <v>0</v>
      </c>
      <c r="AA294" s="370">
        <v>0</v>
      </c>
      <c r="AB294" s="370">
        <v>0</v>
      </c>
      <c r="AC294" s="370">
        <v>0</v>
      </c>
      <c r="AD294" s="370">
        <v>0</v>
      </c>
      <c r="AE294" s="370">
        <v>0</v>
      </c>
      <c r="AF294" s="370">
        <v>0</v>
      </c>
      <c r="AG294" s="31">
        <v>0</v>
      </c>
      <c r="AH294" s="31">
        <v>1</v>
      </c>
      <c r="AI294" s="31">
        <v>1</v>
      </c>
      <c r="AJ294" s="370">
        <v>1</v>
      </c>
      <c r="AK294" s="219">
        <v>0</v>
      </c>
      <c r="AL294" s="219">
        <v>0</v>
      </c>
      <c r="AM294" s="219">
        <v>0</v>
      </c>
      <c r="AN294" s="219">
        <v>0</v>
      </c>
      <c r="AO294" s="116">
        <v>0</v>
      </c>
      <c r="AP294" s="116">
        <v>0</v>
      </c>
      <c r="AQ294" s="116">
        <v>1</v>
      </c>
      <c r="AR294" s="116">
        <v>0</v>
      </c>
      <c r="AS294" s="116">
        <v>0</v>
      </c>
      <c r="AT294" s="116">
        <v>1</v>
      </c>
      <c r="AU294" s="385">
        <v>0</v>
      </c>
      <c r="AV294" s="332">
        <v>0</v>
      </c>
      <c r="AW294" s="332">
        <v>0</v>
      </c>
      <c r="AX294" s="332">
        <v>500000</v>
      </c>
      <c r="AY294" s="332">
        <v>0</v>
      </c>
      <c r="AZ294" s="332">
        <v>0</v>
      </c>
      <c r="BA294" s="332">
        <v>0</v>
      </c>
      <c r="BB294" s="31">
        <v>500000</v>
      </c>
      <c r="BC294" s="31">
        <v>500000</v>
      </c>
      <c r="BD294" s="29">
        <v>0</v>
      </c>
      <c r="BE294" s="31">
        <v>500000</v>
      </c>
    </row>
    <row r="295" spans="1:57" ht="13">
      <c r="A295" s="153">
        <v>44572</v>
      </c>
      <c r="B295" s="10" t="s">
        <v>183</v>
      </c>
      <c r="C295" s="10">
        <v>44561000005</v>
      </c>
      <c r="D295" s="10" t="s">
        <v>64</v>
      </c>
      <c r="E295" s="10" t="s">
        <v>64</v>
      </c>
      <c r="F295" s="153">
        <v>44561</v>
      </c>
      <c r="G295" s="116" t="s">
        <v>39</v>
      </c>
      <c r="H295" s="116">
        <v>500000</v>
      </c>
      <c r="I295" s="116">
        <v>0</v>
      </c>
      <c r="J295" s="116">
        <v>500000</v>
      </c>
      <c r="K295" s="219">
        <v>0</v>
      </c>
      <c r="L295" s="116">
        <v>0</v>
      </c>
      <c r="M295" s="31">
        <v>500000</v>
      </c>
      <c r="N295" s="336">
        <v>500000</v>
      </c>
      <c r="O295" s="336">
        <v>0</v>
      </c>
      <c r="P295" s="219">
        <v>0</v>
      </c>
      <c r="Q295" s="332">
        <v>0</v>
      </c>
      <c r="R295" s="219">
        <v>0</v>
      </c>
      <c r="S295" s="332">
        <v>0</v>
      </c>
      <c r="T295" s="219">
        <v>0</v>
      </c>
      <c r="U295" s="332">
        <v>0</v>
      </c>
      <c r="V295" s="332">
        <v>0</v>
      </c>
      <c r="W295" s="370">
        <v>0</v>
      </c>
      <c r="X295" s="370">
        <v>0</v>
      </c>
      <c r="Y295" s="370">
        <v>0</v>
      </c>
      <c r="Z295" s="370">
        <v>0</v>
      </c>
      <c r="AA295" s="370">
        <v>0</v>
      </c>
      <c r="AB295" s="370">
        <v>0</v>
      </c>
      <c r="AC295" s="370">
        <v>0</v>
      </c>
      <c r="AD295" s="370">
        <v>0</v>
      </c>
      <c r="AE295" s="370">
        <v>0</v>
      </c>
      <c r="AF295" s="370">
        <v>0</v>
      </c>
      <c r="AG295" s="31">
        <v>0</v>
      </c>
      <c r="AH295" s="31">
        <v>1</v>
      </c>
      <c r="AI295" s="31">
        <v>0</v>
      </c>
      <c r="AJ295" s="370">
        <v>1</v>
      </c>
      <c r="AK295" s="219">
        <v>0</v>
      </c>
      <c r="AL295" s="219">
        <v>0</v>
      </c>
      <c r="AM295" s="219">
        <v>0</v>
      </c>
      <c r="AN295" s="219">
        <v>0</v>
      </c>
      <c r="AO295" s="116">
        <v>0</v>
      </c>
      <c r="AP295" s="116">
        <v>0</v>
      </c>
      <c r="AQ295" s="116">
        <v>1</v>
      </c>
      <c r="AR295" s="116">
        <v>0</v>
      </c>
      <c r="AS295" s="116">
        <v>0</v>
      </c>
      <c r="AT295" s="116">
        <v>1</v>
      </c>
      <c r="AU295" s="385">
        <v>0</v>
      </c>
      <c r="AV295" s="332">
        <v>0</v>
      </c>
      <c r="AW295" s="332">
        <v>0</v>
      </c>
      <c r="AX295" s="332">
        <v>500000</v>
      </c>
      <c r="AY295" s="332">
        <v>0</v>
      </c>
      <c r="AZ295" s="332">
        <v>0</v>
      </c>
      <c r="BA295" s="332">
        <v>0</v>
      </c>
      <c r="BB295" s="31">
        <v>499950.94707269635</v>
      </c>
      <c r="BC295" s="31">
        <v>0</v>
      </c>
      <c r="BD295" s="29">
        <v>0</v>
      </c>
      <c r="BE295" s="29">
        <v>0</v>
      </c>
    </row>
    <row r="296" spans="1:57" ht="13">
      <c r="A296" s="153">
        <v>44572</v>
      </c>
      <c r="B296" s="10" t="s">
        <v>183</v>
      </c>
      <c r="C296" s="10">
        <v>44562000011</v>
      </c>
      <c r="D296" s="10" t="s">
        <v>16</v>
      </c>
      <c r="E296" s="10" t="s">
        <v>42</v>
      </c>
      <c r="F296" s="153">
        <v>44562</v>
      </c>
      <c r="G296" s="116" t="s">
        <v>41</v>
      </c>
      <c r="H296" s="116">
        <v>447610.20799999998</v>
      </c>
      <c r="I296" s="116">
        <v>52389.792000000001</v>
      </c>
      <c r="J296" s="116">
        <v>500000</v>
      </c>
      <c r="K296" s="219">
        <v>447610.20799999998</v>
      </c>
      <c r="L296" s="116">
        <v>0</v>
      </c>
      <c r="M296" s="31">
        <v>-52389.792000000001</v>
      </c>
      <c r="N296" s="336">
        <v>-52389.792000000001</v>
      </c>
      <c r="O296" s="336">
        <v>52389.792000000001</v>
      </c>
      <c r="P296" s="219">
        <v>0</v>
      </c>
      <c r="Q296" s="332">
        <v>26194.896000000001</v>
      </c>
      <c r="R296" s="219">
        <v>2</v>
      </c>
      <c r="S296" s="332">
        <v>0</v>
      </c>
      <c r="T296" s="219">
        <v>0</v>
      </c>
      <c r="U296" s="332">
        <v>0</v>
      </c>
      <c r="V296" s="332">
        <v>0</v>
      </c>
      <c r="W296" s="370">
        <v>0</v>
      </c>
      <c r="X296" s="370">
        <v>0</v>
      </c>
      <c r="Y296" s="370">
        <v>0</v>
      </c>
      <c r="Z296" s="370">
        <v>0</v>
      </c>
      <c r="AA296" s="370">
        <v>0</v>
      </c>
      <c r="AB296" s="370">
        <v>2</v>
      </c>
      <c r="AC296" s="370">
        <v>0</v>
      </c>
      <c r="AD296" s="370">
        <v>0</v>
      </c>
      <c r="AE296" s="370">
        <v>0</v>
      </c>
      <c r="AF296" s="370">
        <v>-2</v>
      </c>
      <c r="AG296" s="31">
        <v>2</v>
      </c>
      <c r="AH296" s="31">
        <v>3307.24</v>
      </c>
      <c r="AI296" s="31">
        <v>0</v>
      </c>
      <c r="AJ296" s="370">
        <v>7.7960950000000002</v>
      </c>
      <c r="AK296" s="219">
        <v>3307.24</v>
      </c>
      <c r="AL296" s="219">
        <v>0</v>
      </c>
      <c r="AM296" s="219">
        <v>0</v>
      </c>
      <c r="AN296" s="219">
        <v>0</v>
      </c>
      <c r="AO296" s="116">
        <v>0</v>
      </c>
      <c r="AP296" s="116">
        <v>0</v>
      </c>
      <c r="AQ296" s="116">
        <v>2</v>
      </c>
      <c r="AR296" s="116">
        <v>51567.1144556</v>
      </c>
      <c r="AS296" s="116">
        <v>51567.1144556</v>
      </c>
      <c r="AT296" s="116">
        <v>1</v>
      </c>
      <c r="AU296" s="385">
        <v>0</v>
      </c>
      <c r="AV296" s="332">
        <v>0</v>
      </c>
      <c r="AW296" s="332">
        <v>0</v>
      </c>
      <c r="AX296" s="332">
        <v>-51567.1144556</v>
      </c>
      <c r="AY296" s="332">
        <v>0</v>
      </c>
      <c r="AZ296" s="332">
        <v>0</v>
      </c>
      <c r="BA296" s="332">
        <v>0</v>
      </c>
      <c r="BB296" s="31">
        <v>447561.15507269633</v>
      </c>
      <c r="BC296" s="31">
        <v>0</v>
      </c>
      <c r="BD296" s="29">
        <v>0</v>
      </c>
      <c r="BE296" s="29">
        <v>0</v>
      </c>
    </row>
    <row r="297" spans="1:57" ht="13">
      <c r="A297" s="153">
        <v>44572</v>
      </c>
      <c r="B297" s="10" t="s">
        <v>183</v>
      </c>
      <c r="C297" s="10">
        <v>44563000012</v>
      </c>
      <c r="D297" s="10" t="s">
        <v>16</v>
      </c>
      <c r="E297" s="10" t="s">
        <v>38</v>
      </c>
      <c r="F297" s="153">
        <v>44563</v>
      </c>
      <c r="G297" s="116" t="s">
        <v>39</v>
      </c>
      <c r="H297" s="116">
        <v>443010.20799999998</v>
      </c>
      <c r="I297" s="116">
        <v>56989.792000000001</v>
      </c>
      <c r="J297" s="116">
        <v>500000</v>
      </c>
      <c r="K297" s="219">
        <v>443010.20799999998</v>
      </c>
      <c r="L297" s="116">
        <v>0</v>
      </c>
      <c r="M297" s="31">
        <v>-4600</v>
      </c>
      <c r="N297" s="336">
        <v>-4600</v>
      </c>
      <c r="O297" s="336">
        <v>4600</v>
      </c>
      <c r="P297" s="219">
        <v>0</v>
      </c>
      <c r="Q297" s="332">
        <v>460</v>
      </c>
      <c r="R297" s="219">
        <v>10</v>
      </c>
      <c r="S297" s="332">
        <v>0</v>
      </c>
      <c r="T297" s="219">
        <v>0</v>
      </c>
      <c r="U297" s="332">
        <v>0</v>
      </c>
      <c r="V297" s="332">
        <v>0</v>
      </c>
      <c r="W297" s="370">
        <v>0</v>
      </c>
      <c r="X297" s="370">
        <v>0</v>
      </c>
      <c r="Y297" s="370">
        <v>0</v>
      </c>
      <c r="Z297" s="370">
        <v>0</v>
      </c>
      <c r="AA297" s="370">
        <v>0</v>
      </c>
      <c r="AB297" s="370">
        <v>10</v>
      </c>
      <c r="AC297" s="370">
        <v>0</v>
      </c>
      <c r="AD297" s="370">
        <v>0</v>
      </c>
      <c r="AE297" s="370">
        <v>0</v>
      </c>
      <c r="AF297" s="370">
        <v>-10</v>
      </c>
      <c r="AG297" s="31">
        <v>10</v>
      </c>
      <c r="AH297" s="31">
        <v>460</v>
      </c>
      <c r="AI297" s="31">
        <v>0</v>
      </c>
      <c r="AJ297" s="370">
        <v>1</v>
      </c>
      <c r="AK297" s="219">
        <v>460</v>
      </c>
      <c r="AL297" s="219">
        <v>0</v>
      </c>
      <c r="AM297" s="219">
        <v>0</v>
      </c>
      <c r="AN297" s="219">
        <v>0</v>
      </c>
      <c r="AO297" s="116">
        <v>0</v>
      </c>
      <c r="AP297" s="116">
        <v>0</v>
      </c>
      <c r="AQ297" s="116">
        <v>3</v>
      </c>
      <c r="AR297" s="116">
        <v>4600</v>
      </c>
      <c r="AS297" s="116">
        <v>-2300</v>
      </c>
      <c r="AT297" s="116">
        <v>1</v>
      </c>
      <c r="AU297" s="385">
        <v>0</v>
      </c>
      <c r="AV297" s="332">
        <v>0</v>
      </c>
      <c r="AW297" s="332">
        <v>0</v>
      </c>
      <c r="AX297" s="332">
        <v>-4600</v>
      </c>
      <c r="AY297" s="332">
        <v>0</v>
      </c>
      <c r="AZ297" s="332">
        <v>0</v>
      </c>
      <c r="BA297" s="332">
        <v>0</v>
      </c>
      <c r="BB297" s="31">
        <v>442961.15507269633</v>
      </c>
      <c r="BC297" s="31">
        <v>0</v>
      </c>
      <c r="BD297" s="29">
        <v>0</v>
      </c>
      <c r="BE297" s="31">
        <v>0</v>
      </c>
    </row>
    <row r="298" spans="1:57" ht="13">
      <c r="A298" s="153">
        <v>44572</v>
      </c>
      <c r="B298" s="10" t="s">
        <v>183</v>
      </c>
      <c r="C298" s="10">
        <v>44563000013</v>
      </c>
      <c r="D298" s="10" t="s">
        <v>16</v>
      </c>
      <c r="E298" s="10" t="s">
        <v>40</v>
      </c>
      <c r="F298" s="153">
        <v>44563</v>
      </c>
      <c r="G298" s="116" t="s">
        <v>29</v>
      </c>
      <c r="H298" s="116">
        <v>480735.87624999997</v>
      </c>
      <c r="I298" s="116">
        <v>19264.123750000006</v>
      </c>
      <c r="J298" s="116">
        <v>500000</v>
      </c>
      <c r="K298" s="219">
        <v>409884.53975</v>
      </c>
      <c r="L298" s="116">
        <v>0</v>
      </c>
      <c r="M298" s="31">
        <v>37725.668249999995</v>
      </c>
      <c r="N298" s="336">
        <v>-37725.668249999995</v>
      </c>
      <c r="O298" s="336">
        <v>0</v>
      </c>
      <c r="P298" s="219">
        <v>-37725.668249999995</v>
      </c>
      <c r="Q298" s="332">
        <v>2515.0445499999996</v>
      </c>
      <c r="R298" s="219">
        <v>-15</v>
      </c>
      <c r="S298" s="332">
        <v>0</v>
      </c>
      <c r="T298" s="219">
        <v>0</v>
      </c>
      <c r="U298" s="332">
        <v>0</v>
      </c>
      <c r="V298" s="332">
        <v>0</v>
      </c>
      <c r="W298" s="370">
        <v>0</v>
      </c>
      <c r="X298" s="370">
        <v>0</v>
      </c>
      <c r="Y298" s="370">
        <v>0</v>
      </c>
      <c r="Z298" s="370">
        <v>0</v>
      </c>
      <c r="AA298" s="370">
        <v>0</v>
      </c>
      <c r="AB298" s="370">
        <v>-15</v>
      </c>
      <c r="AC298" s="370">
        <v>0</v>
      </c>
      <c r="AD298" s="370">
        <v>0</v>
      </c>
      <c r="AE298" s="370">
        <v>0</v>
      </c>
      <c r="AF298" s="370">
        <v>-15</v>
      </c>
      <c r="AG298" s="31">
        <v>-15</v>
      </c>
      <c r="AH298" s="31">
        <v>1940.55</v>
      </c>
      <c r="AI298" s="31">
        <v>0</v>
      </c>
      <c r="AJ298" s="370">
        <v>1.223041</v>
      </c>
      <c r="AK298" s="219">
        <v>1940.55</v>
      </c>
      <c r="AL298" s="219">
        <v>0</v>
      </c>
      <c r="AM298" s="219">
        <v>0</v>
      </c>
      <c r="AN298" s="219">
        <v>0</v>
      </c>
      <c r="AO298" s="116">
        <v>0</v>
      </c>
      <c r="AP298" s="116">
        <v>0</v>
      </c>
      <c r="AQ298" s="116">
        <v>4</v>
      </c>
      <c r="AR298" s="116">
        <v>-35600.583188249999</v>
      </c>
      <c r="AS298" s="116">
        <v>-35600.583188249999</v>
      </c>
      <c r="AT298" s="116">
        <v>1</v>
      </c>
      <c r="AU298" s="385">
        <v>0</v>
      </c>
      <c r="AV298" s="332">
        <v>0</v>
      </c>
      <c r="AW298" s="332">
        <v>0</v>
      </c>
      <c r="AX298" s="332">
        <v>-35600.583188250006</v>
      </c>
      <c r="AY298" s="332">
        <v>0</v>
      </c>
      <c r="AZ298" s="332">
        <v>-6.0307690943162164</v>
      </c>
      <c r="BA298" s="332">
        <v>0</v>
      </c>
      <c r="BB298" s="31">
        <v>480686.82332269632</v>
      </c>
      <c r="BC298" s="31">
        <v>0</v>
      </c>
      <c r="BD298" s="29">
        <v>0</v>
      </c>
      <c r="BE298" s="31">
        <v>0</v>
      </c>
    </row>
    <row r="299" spans="1:57" ht="13">
      <c r="A299" s="153">
        <v>44572</v>
      </c>
      <c r="B299" s="10" t="s">
        <v>183</v>
      </c>
      <c r="C299" s="10">
        <v>44563000014</v>
      </c>
      <c r="D299" s="10" t="s">
        <v>16</v>
      </c>
      <c r="E299" s="10" t="s">
        <v>36</v>
      </c>
      <c r="F299" s="153">
        <v>44563</v>
      </c>
      <c r="G299" s="116" t="s">
        <v>37</v>
      </c>
      <c r="H299" s="116">
        <v>416011.66724999994</v>
      </c>
      <c r="I299" s="116">
        <v>83988.332750000001</v>
      </c>
      <c r="J299" s="116">
        <v>499999.99999999994</v>
      </c>
      <c r="K299" s="219">
        <v>345160.33075000002</v>
      </c>
      <c r="L299" s="116">
        <v>0</v>
      </c>
      <c r="M299" s="31">
        <v>-64724.209000000003</v>
      </c>
      <c r="N299" s="336">
        <v>-64724.208999999995</v>
      </c>
      <c r="O299" s="336">
        <v>64724.209000000003</v>
      </c>
      <c r="P299" s="219">
        <v>0</v>
      </c>
      <c r="Q299" s="332">
        <v>6472.4209000000001</v>
      </c>
      <c r="R299" s="219">
        <v>10</v>
      </c>
      <c r="S299" s="332">
        <v>0</v>
      </c>
      <c r="T299" s="219">
        <v>0</v>
      </c>
      <c r="U299" s="332">
        <v>0</v>
      </c>
      <c r="V299" s="332">
        <v>0</v>
      </c>
      <c r="W299" s="370">
        <v>0</v>
      </c>
      <c r="X299" s="370">
        <v>0</v>
      </c>
      <c r="Y299" s="370">
        <v>0</v>
      </c>
      <c r="Z299" s="370">
        <v>0</v>
      </c>
      <c r="AA299" s="370">
        <v>0</v>
      </c>
      <c r="AB299" s="370">
        <v>10</v>
      </c>
      <c r="AC299" s="370">
        <v>0</v>
      </c>
      <c r="AD299" s="370">
        <v>0</v>
      </c>
      <c r="AE299" s="370">
        <v>0</v>
      </c>
      <c r="AF299" s="370">
        <v>-10</v>
      </c>
      <c r="AG299" s="31">
        <v>10</v>
      </c>
      <c r="AH299" s="31">
        <v>710</v>
      </c>
      <c r="AI299" s="31">
        <v>0</v>
      </c>
      <c r="AJ299" s="370">
        <v>8.8614999999999995</v>
      </c>
      <c r="AK299" s="219">
        <v>710</v>
      </c>
      <c r="AL299" s="219">
        <v>0</v>
      </c>
      <c r="AM299" s="219">
        <v>0</v>
      </c>
      <c r="AN299" s="219">
        <v>0</v>
      </c>
      <c r="AO299" s="116">
        <v>0</v>
      </c>
      <c r="AP299" s="116">
        <v>0</v>
      </c>
      <c r="AQ299" s="116">
        <v>5</v>
      </c>
      <c r="AR299" s="116">
        <v>62916.649999999994</v>
      </c>
      <c r="AS299" s="116">
        <v>-251666.59999999998</v>
      </c>
      <c r="AT299" s="116">
        <v>1</v>
      </c>
      <c r="AU299" s="385">
        <v>0</v>
      </c>
      <c r="AV299" s="332">
        <v>0</v>
      </c>
      <c r="AW299" s="332">
        <v>0</v>
      </c>
      <c r="AX299" s="332">
        <v>-62916.649999999994</v>
      </c>
      <c r="AY299" s="332">
        <v>0</v>
      </c>
      <c r="AZ299" s="332">
        <v>0</v>
      </c>
      <c r="BA299" s="332">
        <v>0</v>
      </c>
      <c r="BB299" s="31">
        <v>415962.61432269629</v>
      </c>
      <c r="BC299" s="31">
        <v>0</v>
      </c>
      <c r="BD299" s="29">
        <v>0</v>
      </c>
      <c r="BE299" s="31">
        <v>0</v>
      </c>
    </row>
    <row r="300" spans="1:57" ht="13">
      <c r="A300" s="153">
        <v>44572</v>
      </c>
      <c r="B300" s="10" t="s">
        <v>183</v>
      </c>
      <c r="C300" s="10">
        <v>44565000016</v>
      </c>
      <c r="D300" s="10" t="s">
        <v>16</v>
      </c>
      <c r="E300" s="10" t="s">
        <v>36</v>
      </c>
      <c r="F300" s="153">
        <v>44565</v>
      </c>
      <c r="G300" s="116" t="s">
        <v>37</v>
      </c>
      <c r="H300" s="116">
        <v>448553.16724999994</v>
      </c>
      <c r="I300" s="116">
        <v>51446.832750000001</v>
      </c>
      <c r="J300" s="116">
        <v>499999.99999999994</v>
      </c>
      <c r="K300" s="219">
        <v>507150.24874999997</v>
      </c>
      <c r="L300" s="116">
        <v>0</v>
      </c>
      <c r="M300" s="31">
        <v>32541.5</v>
      </c>
      <c r="N300" s="336">
        <v>32541.5</v>
      </c>
      <c r="O300" s="336">
        <v>0</v>
      </c>
      <c r="P300" s="219">
        <v>-32541.5</v>
      </c>
      <c r="Q300" s="332">
        <v>6508.3</v>
      </c>
      <c r="R300" s="219">
        <v>-5</v>
      </c>
      <c r="S300" s="332">
        <v>0</v>
      </c>
      <c r="T300" s="219">
        <v>0</v>
      </c>
      <c r="U300" s="332">
        <v>0</v>
      </c>
      <c r="V300" s="332">
        <v>0</v>
      </c>
      <c r="W300" s="370">
        <v>0</v>
      </c>
      <c r="X300" s="370">
        <v>10</v>
      </c>
      <c r="Y300" s="370">
        <v>0</v>
      </c>
      <c r="Z300" s="370">
        <v>0</v>
      </c>
      <c r="AA300" s="370">
        <v>0</v>
      </c>
      <c r="AB300" s="370">
        <v>5</v>
      </c>
      <c r="AC300" s="370">
        <v>0</v>
      </c>
      <c r="AD300" s="370">
        <v>0</v>
      </c>
      <c r="AE300" s="370">
        <v>0</v>
      </c>
      <c r="AF300" s="370">
        <v>5</v>
      </c>
      <c r="AG300" s="31">
        <v>-5</v>
      </c>
      <c r="AH300" s="31">
        <v>710</v>
      </c>
      <c r="AI300" s="31">
        <v>0</v>
      </c>
      <c r="AJ300" s="370">
        <v>8.8614999999999995</v>
      </c>
      <c r="AK300" s="219">
        <v>710</v>
      </c>
      <c r="AL300" s="219">
        <v>0</v>
      </c>
      <c r="AM300" s="219">
        <v>0</v>
      </c>
      <c r="AN300" s="219">
        <v>0</v>
      </c>
      <c r="AO300" s="116">
        <v>0</v>
      </c>
      <c r="AP300" s="116">
        <v>0</v>
      </c>
      <c r="AQ300" s="116">
        <v>5</v>
      </c>
      <c r="AR300" s="116">
        <v>-31458.324999999997</v>
      </c>
      <c r="AS300" s="116">
        <v>-251666.59999999998</v>
      </c>
      <c r="AT300" s="116">
        <v>0</v>
      </c>
      <c r="AU300" s="385">
        <v>0</v>
      </c>
      <c r="AV300" s="332">
        <v>0</v>
      </c>
      <c r="AW300" s="332">
        <v>0</v>
      </c>
      <c r="AX300" s="332">
        <v>31458.324999999997</v>
      </c>
      <c r="AY300" s="332">
        <v>0</v>
      </c>
      <c r="AZ300" s="332">
        <v>0</v>
      </c>
      <c r="BA300" s="332">
        <v>0</v>
      </c>
      <c r="BB300" s="31">
        <v>448504.11432269629</v>
      </c>
      <c r="BC300" s="31">
        <v>0</v>
      </c>
      <c r="BD300" s="29">
        <v>0</v>
      </c>
      <c r="BE300" s="31">
        <v>0</v>
      </c>
    </row>
    <row r="301" spans="1:57" ht="13">
      <c r="A301" s="153">
        <v>44572</v>
      </c>
      <c r="B301" s="10" t="s">
        <v>183</v>
      </c>
      <c r="C301" s="10">
        <v>44566000017</v>
      </c>
      <c r="D301" s="10" t="s">
        <v>16</v>
      </c>
      <c r="E301" s="10" t="s">
        <v>36</v>
      </c>
      <c r="F301" s="153">
        <v>44566</v>
      </c>
      <c r="G301" s="116" t="s">
        <v>37</v>
      </c>
      <c r="H301" s="116">
        <v>422451.84284999996</v>
      </c>
      <c r="I301" s="116">
        <v>77548.157149999999</v>
      </c>
      <c r="J301" s="116">
        <v>499999.99999999994</v>
      </c>
      <c r="K301" s="219">
        <v>415965.92434999999</v>
      </c>
      <c r="L301" s="116">
        <v>0</v>
      </c>
      <c r="M301" s="31">
        <v>-26101.324400000001</v>
      </c>
      <c r="N301" s="336">
        <v>-26101.324400000001</v>
      </c>
      <c r="O301" s="336">
        <v>26101.324400000001</v>
      </c>
      <c r="P301" s="219">
        <v>0</v>
      </c>
      <c r="Q301" s="332">
        <v>6525.3311000000003</v>
      </c>
      <c r="R301" s="219">
        <v>4</v>
      </c>
      <c r="S301" s="332">
        <v>0</v>
      </c>
      <c r="T301" s="219">
        <v>0</v>
      </c>
      <c r="U301" s="332">
        <v>0</v>
      </c>
      <c r="V301" s="332">
        <v>0</v>
      </c>
      <c r="W301" s="370">
        <v>0</v>
      </c>
      <c r="X301" s="370">
        <v>5</v>
      </c>
      <c r="Y301" s="370">
        <v>0</v>
      </c>
      <c r="Z301" s="370">
        <v>0</v>
      </c>
      <c r="AA301" s="370">
        <v>0</v>
      </c>
      <c r="AB301" s="370">
        <v>9</v>
      </c>
      <c r="AC301" s="370">
        <v>0</v>
      </c>
      <c r="AD301" s="370">
        <v>0</v>
      </c>
      <c r="AE301" s="370">
        <v>0</v>
      </c>
      <c r="AF301" s="370">
        <v>-4</v>
      </c>
      <c r="AG301" s="31">
        <v>4</v>
      </c>
      <c r="AH301" s="31">
        <v>710</v>
      </c>
      <c r="AI301" s="31">
        <v>0</v>
      </c>
      <c r="AJ301" s="370">
        <v>8.8614999999999995</v>
      </c>
      <c r="AK301" s="219">
        <v>710</v>
      </c>
      <c r="AL301" s="219">
        <v>0</v>
      </c>
      <c r="AM301" s="219">
        <v>0</v>
      </c>
      <c r="AN301" s="219">
        <v>0</v>
      </c>
      <c r="AO301" s="116">
        <v>0</v>
      </c>
      <c r="AP301" s="116">
        <v>0</v>
      </c>
      <c r="AQ301" s="116">
        <v>5</v>
      </c>
      <c r="AR301" s="116">
        <v>25166.66</v>
      </c>
      <c r="AS301" s="116">
        <v>-251666.59999999998</v>
      </c>
      <c r="AT301" s="116">
        <v>0</v>
      </c>
      <c r="AU301" s="385">
        <v>0</v>
      </c>
      <c r="AV301" s="332">
        <v>0</v>
      </c>
      <c r="AW301" s="332">
        <v>0</v>
      </c>
      <c r="AX301" s="332">
        <v>-25166.66</v>
      </c>
      <c r="AY301" s="332">
        <v>0</v>
      </c>
      <c r="AZ301" s="332">
        <v>0</v>
      </c>
      <c r="BA301" s="332">
        <v>0</v>
      </c>
      <c r="BB301" s="31">
        <v>422402.78992269631</v>
      </c>
      <c r="BC301" s="31">
        <v>0</v>
      </c>
      <c r="BD301" s="29">
        <v>0</v>
      </c>
      <c r="BE301" s="31">
        <v>0</v>
      </c>
    </row>
    <row r="302" spans="1:57" ht="13">
      <c r="A302" s="153">
        <v>44572</v>
      </c>
      <c r="B302" s="10" t="s">
        <v>183</v>
      </c>
      <c r="C302" s="10">
        <v>44567000018</v>
      </c>
      <c r="D302" s="10" t="s">
        <v>16</v>
      </c>
      <c r="E302" s="10" t="s">
        <v>36</v>
      </c>
      <c r="F302" s="153">
        <v>44567</v>
      </c>
      <c r="G302" s="116" t="s">
        <v>37</v>
      </c>
      <c r="H302" s="116">
        <v>344208.43124999997</v>
      </c>
      <c r="I302" s="116">
        <v>155791.56874999998</v>
      </c>
      <c r="J302" s="116">
        <v>499999.99999999994</v>
      </c>
      <c r="K302" s="219">
        <v>389925.16154999996</v>
      </c>
      <c r="L302" s="116">
        <v>0</v>
      </c>
      <c r="M302" s="31">
        <v>-78243.411599999992</v>
      </c>
      <c r="N302" s="336">
        <v>-78243.411599999992</v>
      </c>
      <c r="O302" s="336">
        <v>78243.411599999992</v>
      </c>
      <c r="P302" s="219">
        <v>0</v>
      </c>
      <c r="Q302" s="332">
        <v>6520.2842999999993</v>
      </c>
      <c r="R302" s="219">
        <v>12</v>
      </c>
      <c r="S302" s="332">
        <v>0</v>
      </c>
      <c r="T302" s="219">
        <v>0</v>
      </c>
      <c r="U302" s="332">
        <v>0</v>
      </c>
      <c r="V302" s="332">
        <v>0</v>
      </c>
      <c r="W302" s="370">
        <v>0</v>
      </c>
      <c r="X302" s="370">
        <v>9</v>
      </c>
      <c r="Y302" s="370">
        <v>0</v>
      </c>
      <c r="Z302" s="370">
        <v>0</v>
      </c>
      <c r="AA302" s="370">
        <v>0</v>
      </c>
      <c r="AB302" s="370">
        <v>21</v>
      </c>
      <c r="AC302" s="370">
        <v>0</v>
      </c>
      <c r="AD302" s="370">
        <v>0</v>
      </c>
      <c r="AE302" s="370">
        <v>0</v>
      </c>
      <c r="AF302" s="370">
        <v>-12</v>
      </c>
      <c r="AG302" s="31">
        <v>12</v>
      </c>
      <c r="AH302" s="31">
        <v>710</v>
      </c>
      <c r="AI302" s="31">
        <v>0</v>
      </c>
      <c r="AJ302" s="370">
        <v>8.8614999999999995</v>
      </c>
      <c r="AK302" s="219">
        <v>710</v>
      </c>
      <c r="AL302" s="219">
        <v>0</v>
      </c>
      <c r="AM302" s="219">
        <v>0</v>
      </c>
      <c r="AN302" s="219">
        <v>0</v>
      </c>
      <c r="AO302" s="116">
        <v>0</v>
      </c>
      <c r="AP302" s="116">
        <v>0</v>
      </c>
      <c r="AQ302" s="116">
        <v>5</v>
      </c>
      <c r="AR302" s="116">
        <v>75499.98</v>
      </c>
      <c r="AS302" s="116">
        <v>-251666.59999999998</v>
      </c>
      <c r="AT302" s="116">
        <v>0</v>
      </c>
      <c r="AU302" s="385">
        <v>0</v>
      </c>
      <c r="AV302" s="332">
        <v>0</v>
      </c>
      <c r="AW302" s="332">
        <v>0</v>
      </c>
      <c r="AX302" s="332">
        <v>-75499.98</v>
      </c>
      <c r="AY302" s="332">
        <v>0</v>
      </c>
      <c r="AZ302" s="332">
        <v>0</v>
      </c>
      <c r="BA302" s="332">
        <v>0</v>
      </c>
      <c r="BB302" s="31">
        <v>344159.37832269631</v>
      </c>
      <c r="BC302" s="31">
        <v>0</v>
      </c>
      <c r="BD302" s="29">
        <v>0</v>
      </c>
      <c r="BE302" s="31">
        <v>0</v>
      </c>
    </row>
    <row r="303" spans="1:57" ht="13">
      <c r="A303" s="153">
        <v>44572</v>
      </c>
      <c r="B303" s="10" t="s">
        <v>183</v>
      </c>
      <c r="C303" s="10">
        <v>44567000020</v>
      </c>
      <c r="D303" s="10" t="s">
        <v>16</v>
      </c>
      <c r="E303" s="10" t="s">
        <v>36</v>
      </c>
      <c r="F303" s="153">
        <v>44567</v>
      </c>
      <c r="G303" s="116" t="s">
        <v>37</v>
      </c>
      <c r="H303" s="116">
        <v>324647.57834999997</v>
      </c>
      <c r="I303" s="116">
        <v>175352.42164999997</v>
      </c>
      <c r="J303" s="116">
        <v>499999.99999999994</v>
      </c>
      <c r="K303" s="219">
        <v>526851.13185000001</v>
      </c>
      <c r="L303" s="116">
        <v>0</v>
      </c>
      <c r="M303" s="31">
        <v>-19560.852899999998</v>
      </c>
      <c r="N303" s="336">
        <v>-19560.852899999998</v>
      </c>
      <c r="O303" s="336">
        <v>19560.852899999998</v>
      </c>
      <c r="P303" s="219">
        <v>0</v>
      </c>
      <c r="Q303" s="332">
        <v>6520.2842999999993</v>
      </c>
      <c r="R303" s="219">
        <v>3</v>
      </c>
      <c r="S303" s="332">
        <v>0</v>
      </c>
      <c r="T303" s="219">
        <v>0</v>
      </c>
      <c r="U303" s="332">
        <v>0</v>
      </c>
      <c r="V303" s="332">
        <v>0</v>
      </c>
      <c r="W303" s="370">
        <v>0</v>
      </c>
      <c r="X303" s="370">
        <v>21</v>
      </c>
      <c r="Y303" s="370">
        <v>0</v>
      </c>
      <c r="Z303" s="370">
        <v>0</v>
      </c>
      <c r="AA303" s="370">
        <v>0</v>
      </c>
      <c r="AB303" s="370">
        <v>24</v>
      </c>
      <c r="AC303" s="370">
        <v>0</v>
      </c>
      <c r="AD303" s="370">
        <v>0</v>
      </c>
      <c r="AE303" s="370">
        <v>0</v>
      </c>
      <c r="AF303" s="370">
        <v>-3</v>
      </c>
      <c r="AG303" s="31">
        <v>3</v>
      </c>
      <c r="AH303" s="31">
        <v>710</v>
      </c>
      <c r="AI303" s="31">
        <v>0</v>
      </c>
      <c r="AJ303" s="370">
        <v>8.8614999999999995</v>
      </c>
      <c r="AK303" s="219">
        <v>710</v>
      </c>
      <c r="AL303" s="219">
        <v>0</v>
      </c>
      <c r="AM303" s="219">
        <v>0</v>
      </c>
      <c r="AN303" s="219">
        <v>0</v>
      </c>
      <c r="AO303" s="116">
        <v>0</v>
      </c>
      <c r="AP303" s="116">
        <v>0</v>
      </c>
      <c r="AQ303" s="116">
        <v>5</v>
      </c>
      <c r="AR303" s="116">
        <v>18874.994999999999</v>
      </c>
      <c r="AS303" s="116">
        <v>-251666.59999999998</v>
      </c>
      <c r="AT303" s="116">
        <v>0</v>
      </c>
      <c r="AU303" s="385">
        <v>0</v>
      </c>
      <c r="AV303" s="332">
        <v>0</v>
      </c>
      <c r="AW303" s="332">
        <v>0</v>
      </c>
      <c r="AX303" s="332">
        <v>-18874.994999999999</v>
      </c>
      <c r="AY303" s="332">
        <v>0</v>
      </c>
      <c r="AZ303" s="332">
        <v>0</v>
      </c>
      <c r="BA303" s="332">
        <v>0</v>
      </c>
      <c r="BB303" s="31">
        <v>324598.52542269632</v>
      </c>
      <c r="BC303" s="31">
        <v>0</v>
      </c>
      <c r="BD303" s="29">
        <v>0</v>
      </c>
      <c r="BE303" s="31">
        <v>0</v>
      </c>
    </row>
    <row r="304" spans="1:57" ht="13">
      <c r="A304" s="153">
        <v>44572</v>
      </c>
      <c r="B304" s="10" t="s">
        <v>183</v>
      </c>
      <c r="C304" s="10">
        <v>44568000021</v>
      </c>
      <c r="D304" s="10" t="s">
        <v>16</v>
      </c>
      <c r="E304" s="10" t="s">
        <v>36</v>
      </c>
      <c r="F304" s="153">
        <v>44568</v>
      </c>
      <c r="G304" s="116" t="s">
        <v>37</v>
      </c>
      <c r="H304" s="116">
        <v>407579.05034999998</v>
      </c>
      <c r="I304" s="116">
        <v>92420.949649999966</v>
      </c>
      <c r="J304" s="116">
        <v>499999.99999999994</v>
      </c>
      <c r="K304" s="219">
        <v>648904.30964999995</v>
      </c>
      <c r="L304" s="116">
        <v>0</v>
      </c>
      <c r="M304" s="31">
        <v>82931.472000000009</v>
      </c>
      <c r="N304" s="336">
        <v>82931.472000000009</v>
      </c>
      <c r="O304" s="336">
        <v>0</v>
      </c>
      <c r="P304" s="219">
        <v>-82931.472000000009</v>
      </c>
      <c r="Q304" s="332">
        <v>6379.344000000001</v>
      </c>
      <c r="R304" s="219">
        <v>-13</v>
      </c>
      <c r="S304" s="332">
        <v>0</v>
      </c>
      <c r="T304" s="219">
        <v>0</v>
      </c>
      <c r="U304" s="332">
        <v>0</v>
      </c>
      <c r="V304" s="332">
        <v>0</v>
      </c>
      <c r="W304" s="370">
        <v>0</v>
      </c>
      <c r="X304" s="370">
        <v>24</v>
      </c>
      <c r="Y304" s="370">
        <v>0</v>
      </c>
      <c r="Z304" s="370">
        <v>0</v>
      </c>
      <c r="AA304" s="370">
        <v>0</v>
      </c>
      <c r="AB304" s="370">
        <v>11</v>
      </c>
      <c r="AC304" s="370">
        <v>0</v>
      </c>
      <c r="AD304" s="370">
        <v>0</v>
      </c>
      <c r="AE304" s="370">
        <v>0</v>
      </c>
      <c r="AF304" s="370">
        <v>13</v>
      </c>
      <c r="AG304" s="31">
        <v>-13</v>
      </c>
      <c r="AH304" s="31">
        <v>710</v>
      </c>
      <c r="AI304" s="31">
        <v>0</v>
      </c>
      <c r="AJ304" s="370">
        <v>8.8614999999999995</v>
      </c>
      <c r="AK304" s="219">
        <v>710</v>
      </c>
      <c r="AL304" s="219">
        <v>0</v>
      </c>
      <c r="AM304" s="219">
        <v>0</v>
      </c>
      <c r="AN304" s="219">
        <v>0</v>
      </c>
      <c r="AO304" s="116">
        <v>0</v>
      </c>
      <c r="AP304" s="116">
        <v>0</v>
      </c>
      <c r="AQ304" s="116">
        <v>5</v>
      </c>
      <c r="AR304" s="116">
        <v>-81791.64499999999</v>
      </c>
      <c r="AS304" s="116">
        <v>-251666.59999999998</v>
      </c>
      <c r="AT304" s="116">
        <v>0</v>
      </c>
      <c r="AU304" s="385">
        <v>0</v>
      </c>
      <c r="AV304" s="332">
        <v>0</v>
      </c>
      <c r="AW304" s="332">
        <v>0</v>
      </c>
      <c r="AX304" s="332">
        <v>81791.645000000004</v>
      </c>
      <c r="AY304" s="332">
        <v>0</v>
      </c>
      <c r="AZ304" s="332">
        <v>0</v>
      </c>
      <c r="BA304" s="332">
        <v>0</v>
      </c>
      <c r="BB304" s="31">
        <v>407529.99742269632</v>
      </c>
      <c r="BC304" s="31">
        <v>0</v>
      </c>
      <c r="BD304" s="29">
        <v>0</v>
      </c>
      <c r="BE304" s="31">
        <v>0</v>
      </c>
    </row>
    <row r="305" spans="1:57" ht="13">
      <c r="A305" s="153">
        <v>44572</v>
      </c>
      <c r="B305" s="10" t="s">
        <v>183</v>
      </c>
      <c r="C305" s="10">
        <v>44569000022</v>
      </c>
      <c r="D305" s="10" t="s">
        <v>16</v>
      </c>
      <c r="E305" s="10" t="s">
        <v>36</v>
      </c>
      <c r="F305" s="153">
        <v>44569</v>
      </c>
      <c r="G305" s="116" t="s">
        <v>37</v>
      </c>
      <c r="H305" s="116">
        <v>732923.75835000002</v>
      </c>
      <c r="I305" s="116">
        <v>-232923.75835000008</v>
      </c>
      <c r="J305" s="116">
        <v>499999.99999999994</v>
      </c>
      <c r="K305" s="219">
        <v>298041.43364999985</v>
      </c>
      <c r="L305" s="116">
        <v>0</v>
      </c>
      <c r="M305" s="31">
        <v>325344.70800000004</v>
      </c>
      <c r="N305" s="336">
        <v>-184999.93200000003</v>
      </c>
      <c r="O305" s="336">
        <v>0</v>
      </c>
      <c r="P305" s="219">
        <v>-325344.70800000004</v>
      </c>
      <c r="Q305" s="332">
        <v>6379.3080000000009</v>
      </c>
      <c r="R305" s="219">
        <v>-51</v>
      </c>
      <c r="S305" s="332">
        <v>0</v>
      </c>
      <c r="T305" s="219">
        <v>0</v>
      </c>
      <c r="U305" s="332">
        <v>0</v>
      </c>
      <c r="V305" s="332">
        <v>0</v>
      </c>
      <c r="W305" s="370">
        <v>0</v>
      </c>
      <c r="X305" s="370">
        <v>11</v>
      </c>
      <c r="Y305" s="370">
        <v>0</v>
      </c>
      <c r="Z305" s="370">
        <v>0</v>
      </c>
      <c r="AA305" s="370">
        <v>0</v>
      </c>
      <c r="AB305" s="370">
        <v>-40</v>
      </c>
      <c r="AC305" s="370">
        <v>0</v>
      </c>
      <c r="AD305" s="370">
        <v>0</v>
      </c>
      <c r="AE305" s="370">
        <v>0</v>
      </c>
      <c r="AF305" s="370">
        <v>-29</v>
      </c>
      <c r="AG305" s="31">
        <v>-51</v>
      </c>
      <c r="AH305" s="31">
        <v>710</v>
      </c>
      <c r="AI305" s="31">
        <v>0</v>
      </c>
      <c r="AJ305" s="370">
        <v>8.8614999999999995</v>
      </c>
      <c r="AK305" s="219">
        <v>710</v>
      </c>
      <c r="AL305" s="219">
        <v>0</v>
      </c>
      <c r="AM305" s="219">
        <v>0</v>
      </c>
      <c r="AN305" s="219">
        <v>0</v>
      </c>
      <c r="AO305" s="116">
        <v>0</v>
      </c>
      <c r="AP305" s="116">
        <v>0</v>
      </c>
      <c r="AQ305" s="116">
        <v>5</v>
      </c>
      <c r="AR305" s="116">
        <v>-320874.91499999998</v>
      </c>
      <c r="AS305" s="116">
        <v>-251666.59999999998</v>
      </c>
      <c r="AT305" s="116">
        <v>0</v>
      </c>
      <c r="AU305" s="385">
        <v>0</v>
      </c>
      <c r="AV305" s="332">
        <v>0</v>
      </c>
      <c r="AW305" s="332">
        <v>0</v>
      </c>
      <c r="AX305" s="332">
        <v>-182458.285</v>
      </c>
      <c r="AY305" s="332">
        <v>0</v>
      </c>
      <c r="AZ305" s="332">
        <v>-42.632536251613253</v>
      </c>
      <c r="BA305" s="332">
        <v>0</v>
      </c>
      <c r="BB305" s="31">
        <v>732874.70542269642</v>
      </c>
      <c r="BC305" s="31">
        <v>0</v>
      </c>
      <c r="BD305" s="29">
        <v>0</v>
      </c>
      <c r="BE305" s="31">
        <v>0</v>
      </c>
    </row>
    <row r="306" spans="1:57" ht="13">
      <c r="A306" s="153">
        <v>44572</v>
      </c>
      <c r="B306" s="10" t="s">
        <v>183</v>
      </c>
      <c r="C306" s="10">
        <v>44570000023</v>
      </c>
      <c r="D306" s="10" t="s">
        <v>16</v>
      </c>
      <c r="E306" s="10" t="s">
        <v>38</v>
      </c>
      <c r="F306" s="153">
        <v>44570</v>
      </c>
      <c r="G306" s="116" t="s">
        <v>39</v>
      </c>
      <c r="H306" s="116">
        <v>739598.75835000002</v>
      </c>
      <c r="I306" s="116">
        <v>-239598.75835000008</v>
      </c>
      <c r="J306" s="116">
        <v>499999.99999999994</v>
      </c>
      <c r="K306" s="219">
        <v>159921.65764999983</v>
      </c>
      <c r="L306" s="116">
        <v>0</v>
      </c>
      <c r="M306" s="31">
        <v>6675</v>
      </c>
      <c r="N306" s="336">
        <v>2225</v>
      </c>
      <c r="O306" s="336">
        <v>0</v>
      </c>
      <c r="P306" s="219">
        <v>-6675</v>
      </c>
      <c r="Q306" s="332">
        <v>445</v>
      </c>
      <c r="R306" s="219">
        <v>-15</v>
      </c>
      <c r="S306" s="332">
        <v>0</v>
      </c>
      <c r="T306" s="219">
        <v>0</v>
      </c>
      <c r="U306" s="332">
        <v>0</v>
      </c>
      <c r="V306" s="332">
        <v>0</v>
      </c>
      <c r="W306" s="370">
        <v>0</v>
      </c>
      <c r="X306" s="370">
        <v>10</v>
      </c>
      <c r="Y306" s="370">
        <v>0</v>
      </c>
      <c r="Z306" s="370">
        <v>0</v>
      </c>
      <c r="AA306" s="370">
        <v>0</v>
      </c>
      <c r="AB306" s="370">
        <v>-5</v>
      </c>
      <c r="AC306" s="370">
        <v>0</v>
      </c>
      <c r="AD306" s="370">
        <v>0</v>
      </c>
      <c r="AE306" s="370">
        <v>0</v>
      </c>
      <c r="AF306" s="370">
        <v>5</v>
      </c>
      <c r="AG306" s="31">
        <v>-15</v>
      </c>
      <c r="AH306" s="31">
        <v>460</v>
      </c>
      <c r="AI306" s="31">
        <v>1</v>
      </c>
      <c r="AJ306" s="370">
        <v>1</v>
      </c>
      <c r="AK306" s="219">
        <v>460</v>
      </c>
      <c r="AL306" s="219">
        <v>0</v>
      </c>
      <c r="AM306" s="219">
        <v>0</v>
      </c>
      <c r="AN306" s="219">
        <v>0</v>
      </c>
      <c r="AO306" s="116">
        <v>0</v>
      </c>
      <c r="AP306" s="116">
        <v>0</v>
      </c>
      <c r="AQ306" s="116">
        <v>5</v>
      </c>
      <c r="AR306" s="116">
        <v>-6900</v>
      </c>
      <c r="AS306" s="116">
        <v>-2300</v>
      </c>
      <c r="AT306" s="116">
        <v>0</v>
      </c>
      <c r="AU306" s="385">
        <v>51567.1144556</v>
      </c>
      <c r="AV306" s="332">
        <v>-289567.18318825</v>
      </c>
      <c r="AW306" s="332">
        <v>-238000.06873264999</v>
      </c>
      <c r="AX306" s="332">
        <v>2300</v>
      </c>
      <c r="AY306" s="332">
        <v>0</v>
      </c>
      <c r="AZ306" s="332">
        <v>-0.38962195769605701</v>
      </c>
      <c r="BA306" s="332">
        <v>0</v>
      </c>
      <c r="BB306" s="31">
        <v>739549.70542269642</v>
      </c>
      <c r="BC306" s="31">
        <v>739549.70542269642</v>
      </c>
      <c r="BD306" s="29">
        <v>0</v>
      </c>
      <c r="BE306" s="31">
        <v>501598.68961735</v>
      </c>
    </row>
    <row r="307" spans="1:57" ht="13">
      <c r="A307" s="153">
        <v>44572</v>
      </c>
      <c r="B307" s="10" t="s">
        <v>184</v>
      </c>
      <c r="C307" s="10">
        <v>44561000006</v>
      </c>
      <c r="D307" s="10" t="s">
        <v>64</v>
      </c>
      <c r="E307" s="10" t="s">
        <v>64</v>
      </c>
      <c r="F307" s="153">
        <v>44561</v>
      </c>
      <c r="G307" s="116" t="s">
        <v>39</v>
      </c>
      <c r="H307" s="116">
        <v>500000</v>
      </c>
      <c r="I307" s="116">
        <v>0</v>
      </c>
      <c r="J307" s="116">
        <v>500000</v>
      </c>
      <c r="K307" s="219">
        <v>0</v>
      </c>
      <c r="L307" s="116">
        <v>0</v>
      </c>
      <c r="M307" s="31">
        <v>500000</v>
      </c>
      <c r="N307" s="336">
        <v>500000</v>
      </c>
      <c r="O307" s="336">
        <v>0</v>
      </c>
      <c r="P307" s="219">
        <v>0</v>
      </c>
      <c r="Q307" s="332">
        <v>0</v>
      </c>
      <c r="R307" s="219">
        <v>0</v>
      </c>
      <c r="S307" s="332">
        <v>0</v>
      </c>
      <c r="T307" s="219">
        <v>0</v>
      </c>
      <c r="U307" s="332">
        <v>0</v>
      </c>
      <c r="V307" s="332">
        <v>0</v>
      </c>
      <c r="W307" s="370">
        <v>0</v>
      </c>
      <c r="X307" s="370">
        <v>0</v>
      </c>
      <c r="Y307" s="370">
        <v>0</v>
      </c>
      <c r="Z307" s="370">
        <v>0</v>
      </c>
      <c r="AA307" s="370">
        <v>0</v>
      </c>
      <c r="AB307" s="370">
        <v>0</v>
      </c>
      <c r="AC307" s="370">
        <v>0</v>
      </c>
      <c r="AD307" s="370">
        <v>0</v>
      </c>
      <c r="AE307" s="370">
        <v>0</v>
      </c>
      <c r="AF307" s="370">
        <v>0</v>
      </c>
      <c r="AG307" s="31">
        <v>0</v>
      </c>
      <c r="AH307" s="31">
        <v>1</v>
      </c>
      <c r="AI307" s="31">
        <v>0</v>
      </c>
      <c r="AJ307" s="370">
        <v>1</v>
      </c>
      <c r="AK307" s="219">
        <v>0</v>
      </c>
      <c r="AL307" s="219">
        <v>0</v>
      </c>
      <c r="AM307" s="219">
        <v>0</v>
      </c>
      <c r="AN307" s="219">
        <v>0</v>
      </c>
      <c r="AO307" s="116">
        <v>0</v>
      </c>
      <c r="AP307" s="116">
        <v>0</v>
      </c>
      <c r="AQ307" s="116">
        <v>1</v>
      </c>
      <c r="AR307" s="116">
        <v>0</v>
      </c>
      <c r="AS307" s="116">
        <v>0</v>
      </c>
      <c r="AT307" s="116">
        <v>1</v>
      </c>
      <c r="AU307" s="385">
        <v>0</v>
      </c>
      <c r="AV307" s="332">
        <v>0</v>
      </c>
      <c r="AW307" s="332">
        <v>0</v>
      </c>
      <c r="AX307" s="332">
        <v>500000</v>
      </c>
      <c r="AY307" s="332">
        <v>0</v>
      </c>
      <c r="AZ307" s="332">
        <v>0</v>
      </c>
      <c r="BA307" s="332">
        <v>0</v>
      </c>
      <c r="BB307" s="31">
        <v>499858.40909022873</v>
      </c>
      <c r="BC307" s="31">
        <v>0</v>
      </c>
      <c r="BD307" s="29">
        <v>0</v>
      </c>
      <c r="BE307" s="31">
        <v>0</v>
      </c>
    </row>
    <row r="308" spans="1:57" ht="13">
      <c r="A308" s="153">
        <v>44572</v>
      </c>
      <c r="B308" s="10" t="s">
        <v>184</v>
      </c>
      <c r="C308" s="10">
        <v>44563000025</v>
      </c>
      <c r="D308" s="10" t="s">
        <v>16</v>
      </c>
      <c r="E308" s="10" t="s">
        <v>40</v>
      </c>
      <c r="F308" s="153">
        <v>44563</v>
      </c>
      <c r="G308" s="116" t="s">
        <v>29</v>
      </c>
      <c r="H308" s="116">
        <v>450189.84940000001</v>
      </c>
      <c r="I308" s="116">
        <v>49810.150599999994</v>
      </c>
      <c r="J308" s="116">
        <v>500000</v>
      </c>
      <c r="K308" s="219">
        <v>450189.84940000001</v>
      </c>
      <c r="L308" s="116">
        <v>0</v>
      </c>
      <c r="M308" s="31">
        <v>-49810.150599999994</v>
      </c>
      <c r="N308" s="336">
        <v>-49810.150599999994</v>
      </c>
      <c r="O308" s="336">
        <v>49810.150599999994</v>
      </c>
      <c r="P308" s="219">
        <v>0</v>
      </c>
      <c r="Q308" s="332">
        <v>2490.5075299999999</v>
      </c>
      <c r="R308" s="219">
        <v>20</v>
      </c>
      <c r="S308" s="332">
        <v>0</v>
      </c>
      <c r="T308" s="219">
        <v>0</v>
      </c>
      <c r="U308" s="332">
        <v>0</v>
      </c>
      <c r="V308" s="332">
        <v>0</v>
      </c>
      <c r="W308" s="370">
        <v>0</v>
      </c>
      <c r="X308" s="370">
        <v>0</v>
      </c>
      <c r="Y308" s="370">
        <v>0</v>
      </c>
      <c r="Z308" s="370">
        <v>0</v>
      </c>
      <c r="AA308" s="370">
        <v>0</v>
      </c>
      <c r="AB308" s="370">
        <v>20</v>
      </c>
      <c r="AC308" s="370">
        <v>0</v>
      </c>
      <c r="AD308" s="370">
        <v>0</v>
      </c>
      <c r="AE308" s="370">
        <v>0</v>
      </c>
      <c r="AF308" s="370">
        <v>-20</v>
      </c>
      <c r="AG308" s="31">
        <v>20</v>
      </c>
      <c r="AH308" s="31">
        <v>1940.55</v>
      </c>
      <c r="AI308" s="31">
        <v>0</v>
      </c>
      <c r="AJ308" s="370">
        <v>1.223041</v>
      </c>
      <c r="AK308" s="219">
        <v>1940.55</v>
      </c>
      <c r="AL308" s="219">
        <v>0</v>
      </c>
      <c r="AM308" s="219">
        <v>0</v>
      </c>
      <c r="AN308" s="219">
        <v>0</v>
      </c>
      <c r="AO308" s="116">
        <v>0</v>
      </c>
      <c r="AP308" s="116">
        <v>0</v>
      </c>
      <c r="AQ308" s="116">
        <v>2</v>
      </c>
      <c r="AR308" s="116">
        <v>47467.444251000001</v>
      </c>
      <c r="AS308" s="116">
        <v>23733.7221255</v>
      </c>
      <c r="AT308" s="116">
        <v>1</v>
      </c>
      <c r="AU308" s="385">
        <v>0</v>
      </c>
      <c r="AV308" s="332">
        <v>0</v>
      </c>
      <c r="AW308" s="332">
        <v>0</v>
      </c>
      <c r="AX308" s="332">
        <v>-47467.444251000001</v>
      </c>
      <c r="AY308" s="332">
        <v>0</v>
      </c>
      <c r="AZ308" s="332">
        <v>0</v>
      </c>
      <c r="BA308" s="332">
        <v>0</v>
      </c>
      <c r="BB308" s="31">
        <v>450048.25849022873</v>
      </c>
      <c r="BC308" s="31">
        <v>0</v>
      </c>
      <c r="BD308" s="29">
        <v>0</v>
      </c>
      <c r="BE308" s="31">
        <v>0</v>
      </c>
    </row>
    <row r="309" spans="1:57" ht="13">
      <c r="A309" s="153">
        <v>44572</v>
      </c>
      <c r="B309" s="10" t="s">
        <v>184</v>
      </c>
      <c r="C309" s="10">
        <v>44563000026</v>
      </c>
      <c r="D309" s="10" t="s">
        <v>16</v>
      </c>
      <c r="E309" s="10" t="s">
        <v>38</v>
      </c>
      <c r="F309" s="153">
        <v>44563</v>
      </c>
      <c r="G309" s="116" t="s">
        <v>39</v>
      </c>
      <c r="H309" s="116">
        <v>452489.84940000001</v>
      </c>
      <c r="I309" s="116">
        <v>47510.150599999994</v>
      </c>
      <c r="J309" s="116">
        <v>500000</v>
      </c>
      <c r="K309" s="219">
        <v>447889.84940000001</v>
      </c>
      <c r="L309" s="116">
        <v>0</v>
      </c>
      <c r="M309" s="31">
        <v>2300</v>
      </c>
      <c r="N309" s="336">
        <v>-2300</v>
      </c>
      <c r="O309" s="336">
        <v>0</v>
      </c>
      <c r="P309" s="219">
        <v>-2300</v>
      </c>
      <c r="Q309" s="332">
        <v>460</v>
      </c>
      <c r="R309" s="219">
        <v>-5</v>
      </c>
      <c r="S309" s="332">
        <v>0</v>
      </c>
      <c r="T309" s="219">
        <v>0</v>
      </c>
      <c r="U309" s="332">
        <v>0</v>
      </c>
      <c r="V309" s="332">
        <v>0</v>
      </c>
      <c r="W309" s="370">
        <v>0</v>
      </c>
      <c r="X309" s="370">
        <v>0</v>
      </c>
      <c r="Y309" s="370">
        <v>0</v>
      </c>
      <c r="Z309" s="370">
        <v>0</v>
      </c>
      <c r="AA309" s="370">
        <v>0</v>
      </c>
      <c r="AB309" s="370">
        <v>-5</v>
      </c>
      <c r="AC309" s="370">
        <v>0</v>
      </c>
      <c r="AD309" s="370">
        <v>0</v>
      </c>
      <c r="AE309" s="370">
        <v>0</v>
      </c>
      <c r="AF309" s="370">
        <v>-5</v>
      </c>
      <c r="AG309" s="31">
        <v>-5</v>
      </c>
      <c r="AH309" s="31">
        <v>460</v>
      </c>
      <c r="AI309" s="31">
        <v>0</v>
      </c>
      <c r="AJ309" s="370">
        <v>1</v>
      </c>
      <c r="AK309" s="219">
        <v>460</v>
      </c>
      <c r="AL309" s="219">
        <v>0</v>
      </c>
      <c r="AM309" s="219">
        <v>0</v>
      </c>
      <c r="AN309" s="219">
        <v>0</v>
      </c>
      <c r="AO309" s="116">
        <v>0</v>
      </c>
      <c r="AP309" s="116">
        <v>0</v>
      </c>
      <c r="AQ309" s="116">
        <v>3</v>
      </c>
      <c r="AR309" s="116">
        <v>-2300</v>
      </c>
      <c r="AS309" s="116">
        <v>-685400</v>
      </c>
      <c r="AT309" s="116">
        <v>1</v>
      </c>
      <c r="AU309" s="385">
        <v>0</v>
      </c>
      <c r="AV309" s="332">
        <v>0</v>
      </c>
      <c r="AW309" s="332">
        <v>0</v>
      </c>
      <c r="AX309" s="332">
        <v>-2300</v>
      </c>
      <c r="AY309" s="332">
        <v>0</v>
      </c>
      <c r="AZ309" s="332">
        <v>-0.38962195769605701</v>
      </c>
      <c r="BA309" s="332">
        <v>0</v>
      </c>
      <c r="BB309" s="31">
        <v>452348.25849022873</v>
      </c>
      <c r="BC309" s="31">
        <v>0</v>
      </c>
      <c r="BD309" s="29">
        <v>0</v>
      </c>
      <c r="BE309" s="31">
        <v>0</v>
      </c>
    </row>
    <row r="310" spans="1:57" ht="13">
      <c r="A310" s="153">
        <v>44572</v>
      </c>
      <c r="B310" s="10" t="s">
        <v>184</v>
      </c>
      <c r="C310" s="10">
        <v>44564000027</v>
      </c>
      <c r="D310" s="10" t="s">
        <v>16</v>
      </c>
      <c r="E310" s="10" t="s">
        <v>40</v>
      </c>
      <c r="F310" s="153">
        <v>44564</v>
      </c>
      <c r="G310" s="116" t="s">
        <v>29</v>
      </c>
      <c r="H310" s="116">
        <v>477643.14439999999</v>
      </c>
      <c r="I310" s="116">
        <v>22356.855599999995</v>
      </c>
      <c r="J310" s="116">
        <v>500000</v>
      </c>
      <c r="K310" s="219">
        <v>473043.14439999999</v>
      </c>
      <c r="L310" s="116">
        <v>0</v>
      </c>
      <c r="M310" s="31">
        <v>25153.294999999998</v>
      </c>
      <c r="N310" s="336">
        <v>25153.295000000002</v>
      </c>
      <c r="O310" s="336">
        <v>0</v>
      </c>
      <c r="P310" s="219">
        <v>-25153.294999999998</v>
      </c>
      <c r="Q310" s="332">
        <v>2515.3294999999998</v>
      </c>
      <c r="R310" s="219">
        <v>-10</v>
      </c>
      <c r="S310" s="332">
        <v>0</v>
      </c>
      <c r="T310" s="219">
        <v>0</v>
      </c>
      <c r="U310" s="332">
        <v>0</v>
      </c>
      <c r="V310" s="332">
        <v>0</v>
      </c>
      <c r="W310" s="370">
        <v>0</v>
      </c>
      <c r="X310" s="370">
        <v>20</v>
      </c>
      <c r="Y310" s="370">
        <v>0</v>
      </c>
      <c r="Z310" s="370">
        <v>0</v>
      </c>
      <c r="AA310" s="370">
        <v>0</v>
      </c>
      <c r="AB310" s="370">
        <v>10</v>
      </c>
      <c r="AC310" s="370">
        <v>0</v>
      </c>
      <c r="AD310" s="370">
        <v>0</v>
      </c>
      <c r="AE310" s="370">
        <v>0</v>
      </c>
      <c r="AF310" s="370">
        <v>10</v>
      </c>
      <c r="AG310" s="31">
        <v>-10</v>
      </c>
      <c r="AH310" s="31">
        <v>1940.55</v>
      </c>
      <c r="AI310" s="31">
        <v>0</v>
      </c>
      <c r="AJ310" s="370">
        <v>1.223041</v>
      </c>
      <c r="AK310" s="219">
        <v>1940.55</v>
      </c>
      <c r="AL310" s="219">
        <v>0</v>
      </c>
      <c r="AM310" s="219">
        <v>0</v>
      </c>
      <c r="AN310" s="219">
        <v>0</v>
      </c>
      <c r="AO310" s="116">
        <v>0</v>
      </c>
      <c r="AP310" s="116">
        <v>0</v>
      </c>
      <c r="AQ310" s="116">
        <v>3</v>
      </c>
      <c r="AR310" s="116">
        <v>-23733.7221255</v>
      </c>
      <c r="AS310" s="116">
        <v>23733.7221255</v>
      </c>
      <c r="AT310" s="116">
        <v>0</v>
      </c>
      <c r="AU310" s="385">
        <v>0</v>
      </c>
      <c r="AV310" s="332">
        <v>0</v>
      </c>
      <c r="AW310" s="332">
        <v>0</v>
      </c>
      <c r="AX310" s="332">
        <v>23733.7221255</v>
      </c>
      <c r="AY310" s="332">
        <v>0</v>
      </c>
      <c r="AZ310" s="332">
        <v>0</v>
      </c>
      <c r="BA310" s="332">
        <v>0</v>
      </c>
      <c r="BB310" s="31">
        <v>477501.55349022872</v>
      </c>
      <c r="BC310" s="31">
        <v>0</v>
      </c>
      <c r="BD310" s="29">
        <v>0</v>
      </c>
      <c r="BE310" s="31">
        <v>0</v>
      </c>
    </row>
    <row r="311" spans="1:57" ht="13">
      <c r="A311" s="153">
        <v>44572</v>
      </c>
      <c r="B311" s="10" t="s">
        <v>184</v>
      </c>
      <c r="C311" s="10">
        <v>44564000028</v>
      </c>
      <c r="D311" s="10" t="s">
        <v>16</v>
      </c>
      <c r="E311" s="10" t="s">
        <v>38</v>
      </c>
      <c r="F311" s="153">
        <v>44564</v>
      </c>
      <c r="G311" s="116" t="s">
        <v>39</v>
      </c>
      <c r="H311" s="116">
        <v>470743.14439999999</v>
      </c>
      <c r="I311" s="116">
        <v>29256.855599999995</v>
      </c>
      <c r="J311" s="116">
        <v>500000</v>
      </c>
      <c r="K311" s="219">
        <v>470743.14439999999</v>
      </c>
      <c r="L311" s="116">
        <v>0</v>
      </c>
      <c r="M311" s="31">
        <v>-6900</v>
      </c>
      <c r="N311" s="336">
        <v>-2300</v>
      </c>
      <c r="O311" s="336">
        <v>6900</v>
      </c>
      <c r="P311" s="219">
        <v>0</v>
      </c>
      <c r="Q311" s="332">
        <v>460</v>
      </c>
      <c r="R311" s="219">
        <v>15</v>
      </c>
      <c r="S311" s="332">
        <v>0</v>
      </c>
      <c r="T311" s="219">
        <v>0</v>
      </c>
      <c r="U311" s="332">
        <v>0</v>
      </c>
      <c r="V311" s="332">
        <v>0</v>
      </c>
      <c r="W311" s="370">
        <v>0</v>
      </c>
      <c r="X311" s="370">
        <v>-5</v>
      </c>
      <c r="Y311" s="370">
        <v>0</v>
      </c>
      <c r="Z311" s="370">
        <v>0</v>
      </c>
      <c r="AA311" s="370">
        <v>0</v>
      </c>
      <c r="AB311" s="370">
        <v>10</v>
      </c>
      <c r="AC311" s="370">
        <v>0</v>
      </c>
      <c r="AD311" s="370">
        <v>0</v>
      </c>
      <c r="AE311" s="370">
        <v>0</v>
      </c>
      <c r="AF311" s="370">
        <v>-5</v>
      </c>
      <c r="AG311" s="31">
        <v>15</v>
      </c>
      <c r="AH311" s="31">
        <v>460</v>
      </c>
      <c r="AI311" s="31">
        <v>0</v>
      </c>
      <c r="AJ311" s="370">
        <v>1</v>
      </c>
      <c r="AK311" s="219">
        <v>460</v>
      </c>
      <c r="AL311" s="219">
        <v>0</v>
      </c>
      <c r="AM311" s="219">
        <v>0</v>
      </c>
      <c r="AN311" s="219">
        <v>0</v>
      </c>
      <c r="AO311" s="116">
        <v>0</v>
      </c>
      <c r="AP311" s="116">
        <v>0</v>
      </c>
      <c r="AQ311" s="116">
        <v>3</v>
      </c>
      <c r="AR311" s="116">
        <v>6900</v>
      </c>
      <c r="AS311" s="116">
        <v>-685400</v>
      </c>
      <c r="AT311" s="116">
        <v>0</v>
      </c>
      <c r="AU311" s="385">
        <v>0</v>
      </c>
      <c r="AV311" s="332">
        <v>0</v>
      </c>
      <c r="AW311" s="332">
        <v>0</v>
      </c>
      <c r="AX311" s="332">
        <v>-2300</v>
      </c>
      <c r="AY311" s="332">
        <v>0</v>
      </c>
      <c r="AZ311" s="332">
        <v>0</v>
      </c>
      <c r="BA311" s="332">
        <v>0</v>
      </c>
      <c r="BB311" s="31">
        <v>470601.55349022872</v>
      </c>
      <c r="BC311" s="31">
        <v>0</v>
      </c>
      <c r="BD311" s="29">
        <v>0</v>
      </c>
      <c r="BE311" s="31">
        <v>0</v>
      </c>
    </row>
    <row r="312" spans="1:57" ht="13">
      <c r="A312" s="153">
        <v>44572</v>
      </c>
      <c r="B312" s="10" t="s">
        <v>184</v>
      </c>
      <c r="C312" s="10">
        <v>44571000024</v>
      </c>
      <c r="D312" s="10" t="s">
        <v>16</v>
      </c>
      <c r="E312" s="10" t="s">
        <v>38</v>
      </c>
      <c r="F312" s="153">
        <v>44571</v>
      </c>
      <c r="G312" s="116" t="s">
        <v>39</v>
      </c>
      <c r="H312" s="116">
        <v>1138243.1444000001</v>
      </c>
      <c r="I312" s="116">
        <v>-638243.14439999999</v>
      </c>
      <c r="J312" s="116">
        <v>500000.00000000012</v>
      </c>
      <c r="K312" s="219">
        <v>-178656.85560000001</v>
      </c>
      <c r="L312" s="116">
        <v>178656.85560000001</v>
      </c>
      <c r="M312" s="31">
        <v>667500</v>
      </c>
      <c r="N312" s="336">
        <v>-658600</v>
      </c>
      <c r="O312" s="336">
        <v>0</v>
      </c>
      <c r="P312" s="219">
        <v>-667500</v>
      </c>
      <c r="Q312" s="332">
        <v>445</v>
      </c>
      <c r="R312" s="219">
        <v>-1500</v>
      </c>
      <c r="S312" s="332">
        <v>0</v>
      </c>
      <c r="T312" s="219">
        <v>0</v>
      </c>
      <c r="U312" s="332">
        <v>0</v>
      </c>
      <c r="V312" s="332">
        <v>0</v>
      </c>
      <c r="W312" s="370">
        <v>0</v>
      </c>
      <c r="X312" s="370">
        <v>10</v>
      </c>
      <c r="Y312" s="370">
        <v>0</v>
      </c>
      <c r="Z312" s="370">
        <v>0</v>
      </c>
      <c r="AA312" s="370">
        <v>0</v>
      </c>
      <c r="AB312" s="370">
        <v>-1490</v>
      </c>
      <c r="AC312" s="370">
        <v>0</v>
      </c>
      <c r="AD312" s="370">
        <v>0</v>
      </c>
      <c r="AE312" s="370">
        <v>0</v>
      </c>
      <c r="AF312" s="370">
        <v>-1480</v>
      </c>
      <c r="AG312" s="31">
        <v>-1500</v>
      </c>
      <c r="AH312" s="31">
        <v>460</v>
      </c>
      <c r="AI312" s="31">
        <v>1</v>
      </c>
      <c r="AJ312" s="370">
        <v>1</v>
      </c>
      <c r="AK312" s="219">
        <v>460</v>
      </c>
      <c r="AL312" s="219">
        <v>0</v>
      </c>
      <c r="AM312" s="219">
        <v>0</v>
      </c>
      <c r="AN312" s="219">
        <v>0</v>
      </c>
      <c r="AO312" s="116">
        <v>0</v>
      </c>
      <c r="AP312" s="116">
        <v>0</v>
      </c>
      <c r="AQ312" s="116">
        <v>3</v>
      </c>
      <c r="AR312" s="116">
        <v>-690000</v>
      </c>
      <c r="AS312" s="116">
        <v>-685400</v>
      </c>
      <c r="AT312" s="116">
        <v>0</v>
      </c>
      <c r="AU312" s="385">
        <v>23733.7221255</v>
      </c>
      <c r="AV312" s="332">
        <v>-685400</v>
      </c>
      <c r="AW312" s="332">
        <v>-661666.27787450003</v>
      </c>
      <c r="AX312" s="332">
        <v>-680800</v>
      </c>
      <c r="AY312" s="332">
        <v>-25.093944420159584</v>
      </c>
      <c r="AZ312" s="332">
        <v>-116.10734339342498</v>
      </c>
      <c r="BA312" s="332">
        <v>0</v>
      </c>
      <c r="BB312" s="31">
        <v>1138101.5534902287</v>
      </c>
      <c r="BC312" s="31">
        <v>1138101.5534902287</v>
      </c>
      <c r="BD312" s="29">
        <v>178656.85560000001</v>
      </c>
      <c r="BE312" s="31">
        <v>476576.86652550008</v>
      </c>
    </row>
    <row r="313" spans="1:57" ht="13">
      <c r="A313" s="153">
        <v>44572</v>
      </c>
      <c r="B313" s="10" t="s">
        <v>185</v>
      </c>
      <c r="C313" s="10">
        <v>44561000007</v>
      </c>
      <c r="D313" s="10" t="s">
        <v>64</v>
      </c>
      <c r="E313" s="10" t="s">
        <v>64</v>
      </c>
      <c r="F313" s="153">
        <v>44561</v>
      </c>
      <c r="G313" s="116" t="s">
        <v>39</v>
      </c>
      <c r="H313" s="116">
        <v>500000</v>
      </c>
      <c r="I313" s="116">
        <v>0</v>
      </c>
      <c r="J313" s="116">
        <v>500000</v>
      </c>
      <c r="K313" s="219">
        <v>0</v>
      </c>
      <c r="L313" s="116">
        <v>0</v>
      </c>
      <c r="M313" s="31">
        <v>500000</v>
      </c>
      <c r="N313" s="336">
        <v>500000</v>
      </c>
      <c r="O313" s="336">
        <v>0</v>
      </c>
      <c r="P313" s="219">
        <v>0</v>
      </c>
      <c r="Q313" s="332">
        <v>0</v>
      </c>
      <c r="R313" s="219">
        <v>0</v>
      </c>
      <c r="S313" s="332">
        <v>0</v>
      </c>
      <c r="T313" s="219">
        <v>0</v>
      </c>
      <c r="U313" s="332">
        <v>0</v>
      </c>
      <c r="V313" s="332">
        <v>0</v>
      </c>
      <c r="W313" s="370">
        <v>0</v>
      </c>
      <c r="X313" s="370">
        <v>0</v>
      </c>
      <c r="Y313" s="370">
        <v>0</v>
      </c>
      <c r="Z313" s="370">
        <v>0</v>
      </c>
      <c r="AA313" s="370">
        <v>0</v>
      </c>
      <c r="AB313" s="370">
        <v>0</v>
      </c>
      <c r="AC313" s="370">
        <v>0</v>
      </c>
      <c r="AD313" s="370">
        <v>0</v>
      </c>
      <c r="AE313" s="370">
        <v>0</v>
      </c>
      <c r="AF313" s="370">
        <v>0</v>
      </c>
      <c r="AG313" s="31">
        <v>0</v>
      </c>
      <c r="AH313" s="31">
        <v>1</v>
      </c>
      <c r="AI313" s="31">
        <v>0</v>
      </c>
      <c r="AJ313" s="370">
        <v>1</v>
      </c>
      <c r="AK313" s="219">
        <v>0</v>
      </c>
      <c r="AL313" s="219">
        <v>0</v>
      </c>
      <c r="AM313" s="219">
        <v>0</v>
      </c>
      <c r="AN313" s="219">
        <v>0</v>
      </c>
      <c r="AO313" s="116">
        <v>0</v>
      </c>
      <c r="AP313" s="116">
        <v>0</v>
      </c>
      <c r="AQ313" s="116">
        <v>1</v>
      </c>
      <c r="AR313" s="116">
        <v>0</v>
      </c>
      <c r="AS313" s="116">
        <v>0</v>
      </c>
      <c r="AT313" s="116">
        <v>1</v>
      </c>
      <c r="AU313" s="385">
        <v>0</v>
      </c>
      <c r="AV313" s="332">
        <v>0</v>
      </c>
      <c r="AW313" s="332">
        <v>0</v>
      </c>
      <c r="AX313" s="332">
        <v>500000</v>
      </c>
      <c r="AY313" s="332">
        <v>0</v>
      </c>
      <c r="AZ313" s="332">
        <v>0</v>
      </c>
      <c r="BA313" s="332">
        <v>0</v>
      </c>
      <c r="BB313" s="31">
        <v>499999.31750231684</v>
      </c>
      <c r="BC313" s="31">
        <v>0</v>
      </c>
      <c r="BD313" s="29">
        <v>0</v>
      </c>
      <c r="BE313" s="31">
        <v>0</v>
      </c>
    </row>
    <row r="314" spans="1:57" ht="13">
      <c r="A314" s="153">
        <v>44572</v>
      </c>
      <c r="B314" s="10" t="s">
        <v>185</v>
      </c>
      <c r="C314" s="10">
        <v>44562000029</v>
      </c>
      <c r="D314" s="10" t="s">
        <v>61</v>
      </c>
      <c r="E314" s="10" t="s">
        <v>63</v>
      </c>
      <c r="F314" s="153">
        <v>44562</v>
      </c>
      <c r="G314" s="116" t="s">
        <v>39</v>
      </c>
      <c r="H314" s="116">
        <v>490000</v>
      </c>
      <c r="I314" s="116">
        <v>10000</v>
      </c>
      <c r="J314" s="116">
        <v>500000</v>
      </c>
      <c r="K314" s="219">
        <v>490000</v>
      </c>
      <c r="L314" s="116">
        <v>0</v>
      </c>
      <c r="M314" s="31">
        <v>-10000</v>
      </c>
      <c r="N314" s="336">
        <v>-10000</v>
      </c>
      <c r="O314" s="336">
        <v>0</v>
      </c>
      <c r="P314" s="219">
        <v>0</v>
      </c>
      <c r="Q314" s="332">
        <v>0</v>
      </c>
      <c r="R314" s="219">
        <v>0</v>
      </c>
      <c r="S314" s="332">
        <v>0</v>
      </c>
      <c r="T314" s="219">
        <v>0</v>
      </c>
      <c r="U314" s="332">
        <v>0</v>
      </c>
      <c r="V314" s="332">
        <v>0</v>
      </c>
      <c r="W314" s="370">
        <v>10000</v>
      </c>
      <c r="X314" s="370">
        <v>0</v>
      </c>
      <c r="Y314" s="370">
        <v>0</v>
      </c>
      <c r="Z314" s="370">
        <v>0</v>
      </c>
      <c r="AA314" s="370">
        <v>0</v>
      </c>
      <c r="AB314" s="370">
        <v>0</v>
      </c>
      <c r="AC314" s="370">
        <v>0</v>
      </c>
      <c r="AD314" s="370">
        <v>0</v>
      </c>
      <c r="AE314" s="370">
        <v>10000</v>
      </c>
      <c r="AF314" s="370">
        <v>-10000</v>
      </c>
      <c r="AG314" s="31">
        <v>10000</v>
      </c>
      <c r="AH314" s="31">
        <v>1</v>
      </c>
      <c r="AI314" s="31">
        <v>0</v>
      </c>
      <c r="AJ314" s="370">
        <v>1</v>
      </c>
      <c r="AK314" s="219">
        <v>0</v>
      </c>
      <c r="AL314" s="219">
        <v>0</v>
      </c>
      <c r="AM314" s="219">
        <v>0</v>
      </c>
      <c r="AN314" s="219">
        <v>0</v>
      </c>
      <c r="AO314" s="116">
        <v>0</v>
      </c>
      <c r="AP314" s="116">
        <v>1</v>
      </c>
      <c r="AQ314" s="116">
        <v>2</v>
      </c>
      <c r="AR314" s="116">
        <v>10000</v>
      </c>
      <c r="AS314" s="116">
        <v>-5000</v>
      </c>
      <c r="AT314" s="116">
        <v>1</v>
      </c>
      <c r="AU314" s="385">
        <v>0</v>
      </c>
      <c r="AV314" s="332">
        <v>0</v>
      </c>
      <c r="AW314" s="332">
        <v>0</v>
      </c>
      <c r="AX314" s="332">
        <v>-10000</v>
      </c>
      <c r="AY314" s="332">
        <v>0</v>
      </c>
      <c r="AZ314" s="332">
        <v>0</v>
      </c>
      <c r="BA314" s="332">
        <v>4.1126643175088691E-2</v>
      </c>
      <c r="BB314" s="31">
        <v>489999.31750231684</v>
      </c>
      <c r="BC314" s="31">
        <v>0</v>
      </c>
      <c r="BD314" s="29">
        <v>0</v>
      </c>
      <c r="BE314" s="31">
        <v>0</v>
      </c>
    </row>
    <row r="315" spans="1:57" ht="13">
      <c r="A315" s="153">
        <v>44572</v>
      </c>
      <c r="B315" s="10" t="s">
        <v>185</v>
      </c>
      <c r="C315" s="10">
        <v>44562000030</v>
      </c>
      <c r="D315" s="10" t="s">
        <v>18</v>
      </c>
      <c r="E315" s="10" t="s">
        <v>7</v>
      </c>
      <c r="F315" s="153">
        <v>44562</v>
      </c>
      <c r="G315" s="116" t="s">
        <v>41</v>
      </c>
      <c r="H315" s="116">
        <v>448805.40759999998</v>
      </c>
      <c r="I315" s="116">
        <v>51194.592400000009</v>
      </c>
      <c r="J315" s="116">
        <v>500000</v>
      </c>
      <c r="K315" s="219">
        <v>458805.40759999998</v>
      </c>
      <c r="L315" s="116">
        <v>0</v>
      </c>
      <c r="M315" s="31">
        <v>-41194.592400000009</v>
      </c>
      <c r="N315" s="336">
        <v>-41194.592400000001</v>
      </c>
      <c r="O315" s="336">
        <v>0</v>
      </c>
      <c r="P315" s="219">
        <v>0</v>
      </c>
      <c r="Q315" s="332">
        <v>0</v>
      </c>
      <c r="R315" s="219">
        <v>0</v>
      </c>
      <c r="S315" s="332">
        <v>13.21</v>
      </c>
      <c r="T315" s="219">
        <v>40</v>
      </c>
      <c r="U315" s="332">
        <v>0</v>
      </c>
      <c r="V315" s="332">
        <v>0</v>
      </c>
      <c r="W315" s="370">
        <v>0</v>
      </c>
      <c r="X315" s="370">
        <v>0</v>
      </c>
      <c r="Y315" s="370">
        <v>0</v>
      </c>
      <c r="Z315" s="370">
        <v>0</v>
      </c>
      <c r="AA315" s="370">
        <v>0</v>
      </c>
      <c r="AB315" s="370">
        <v>0</v>
      </c>
      <c r="AC315" s="370">
        <v>40</v>
      </c>
      <c r="AD315" s="370">
        <v>0</v>
      </c>
      <c r="AE315" s="370">
        <v>0</v>
      </c>
      <c r="AF315" s="370">
        <v>-40</v>
      </c>
      <c r="AG315" s="31">
        <v>40</v>
      </c>
      <c r="AH315" s="31">
        <v>14.29</v>
      </c>
      <c r="AI315" s="31">
        <v>0</v>
      </c>
      <c r="AJ315" s="370">
        <v>7.7960950000000002</v>
      </c>
      <c r="AK315" s="219">
        <v>0</v>
      </c>
      <c r="AL315" s="219">
        <v>14.29</v>
      </c>
      <c r="AM315" s="219">
        <v>16.71</v>
      </c>
      <c r="AN315" s="219">
        <v>0</v>
      </c>
      <c r="AO315" s="116">
        <v>0</v>
      </c>
      <c r="AP315" s="116">
        <v>0</v>
      </c>
      <c r="AQ315" s="116">
        <v>3</v>
      </c>
      <c r="AR315" s="116">
        <v>44562.479019999999</v>
      </c>
      <c r="AS315" s="116">
        <v>44562.479019999999</v>
      </c>
      <c r="AT315" s="116">
        <v>1</v>
      </c>
      <c r="AU315" s="385">
        <v>0</v>
      </c>
      <c r="AV315" s="332">
        <v>0</v>
      </c>
      <c r="AW315" s="332">
        <v>0</v>
      </c>
      <c r="AX315" s="332">
        <v>-48335.788999999997</v>
      </c>
      <c r="AY315" s="332">
        <v>0</v>
      </c>
      <c r="AZ315" s="332">
        <v>0</v>
      </c>
      <c r="BA315" s="332">
        <v>0</v>
      </c>
      <c r="BB315" s="31">
        <v>448804.72510231682</v>
      </c>
      <c r="BC315" s="31">
        <v>0</v>
      </c>
      <c r="BD315" s="29">
        <v>0</v>
      </c>
      <c r="BE315" s="31">
        <v>0</v>
      </c>
    </row>
    <row r="316" spans="1:57" ht="13">
      <c r="A316" s="153">
        <v>44572</v>
      </c>
      <c r="B316" s="10" t="s">
        <v>185</v>
      </c>
      <c r="C316" s="10">
        <v>44562000031</v>
      </c>
      <c r="D316" s="10" t="s">
        <v>61</v>
      </c>
      <c r="E316" s="10" t="s">
        <v>63</v>
      </c>
      <c r="F316" s="153">
        <v>44562</v>
      </c>
      <c r="G316" s="116" t="s">
        <v>39</v>
      </c>
      <c r="H316" s="116">
        <v>428805.40759999998</v>
      </c>
      <c r="I316" s="116">
        <v>71194.592400000009</v>
      </c>
      <c r="J316" s="116">
        <v>500000</v>
      </c>
      <c r="K316" s="219">
        <v>438805.40759999998</v>
      </c>
      <c r="L316" s="116">
        <v>0</v>
      </c>
      <c r="M316" s="31">
        <v>-20000</v>
      </c>
      <c r="N316" s="336">
        <v>-20000</v>
      </c>
      <c r="O316" s="336">
        <v>0</v>
      </c>
      <c r="P316" s="219">
        <v>0</v>
      </c>
      <c r="Q316" s="332">
        <v>0</v>
      </c>
      <c r="R316" s="219">
        <v>0</v>
      </c>
      <c r="S316" s="332">
        <v>0</v>
      </c>
      <c r="T316" s="219">
        <v>0</v>
      </c>
      <c r="U316" s="332">
        <v>0</v>
      </c>
      <c r="V316" s="332">
        <v>0</v>
      </c>
      <c r="W316" s="370">
        <v>20000</v>
      </c>
      <c r="X316" s="370">
        <v>0</v>
      </c>
      <c r="Y316" s="370">
        <v>0</v>
      </c>
      <c r="Z316" s="370">
        <v>0</v>
      </c>
      <c r="AA316" s="370">
        <v>10000</v>
      </c>
      <c r="AB316" s="370">
        <v>0</v>
      </c>
      <c r="AC316" s="370">
        <v>0</v>
      </c>
      <c r="AD316" s="370">
        <v>0</v>
      </c>
      <c r="AE316" s="370">
        <v>30000</v>
      </c>
      <c r="AF316" s="370">
        <v>-20000</v>
      </c>
      <c r="AG316" s="31">
        <v>20000</v>
      </c>
      <c r="AH316" s="31">
        <v>1</v>
      </c>
      <c r="AI316" s="31">
        <v>0</v>
      </c>
      <c r="AJ316" s="370">
        <v>1</v>
      </c>
      <c r="AK316" s="219">
        <v>0</v>
      </c>
      <c r="AL316" s="219">
        <v>0</v>
      </c>
      <c r="AM316" s="219">
        <v>0</v>
      </c>
      <c r="AN316" s="219">
        <v>0</v>
      </c>
      <c r="AO316" s="116">
        <v>0</v>
      </c>
      <c r="AP316" s="116">
        <v>1</v>
      </c>
      <c r="AQ316" s="116">
        <v>3</v>
      </c>
      <c r="AR316" s="116">
        <v>20000</v>
      </c>
      <c r="AS316" s="116">
        <v>-5000</v>
      </c>
      <c r="AT316" s="116">
        <v>0</v>
      </c>
      <c r="AU316" s="385">
        <v>0</v>
      </c>
      <c r="AV316" s="332">
        <v>0</v>
      </c>
      <c r="AW316" s="332">
        <v>0</v>
      </c>
      <c r="AX316" s="332">
        <v>-20000</v>
      </c>
      <c r="AY316" s="332">
        <v>0</v>
      </c>
      <c r="AZ316" s="332">
        <v>0</v>
      </c>
      <c r="BA316" s="332">
        <v>0.12337992952526605</v>
      </c>
      <c r="BB316" s="31">
        <v>428804.72510231682</v>
      </c>
      <c r="BC316" s="31">
        <v>0</v>
      </c>
      <c r="BD316" s="29">
        <v>0</v>
      </c>
      <c r="BE316" s="31">
        <v>0</v>
      </c>
    </row>
    <row r="317" spans="1:57" ht="13">
      <c r="A317" s="153">
        <v>44572</v>
      </c>
      <c r="B317" s="10" t="s">
        <v>185</v>
      </c>
      <c r="C317" s="10">
        <v>44562000035</v>
      </c>
      <c r="D317" s="10" t="s">
        <v>16</v>
      </c>
      <c r="E317" s="10" t="s">
        <v>38</v>
      </c>
      <c r="F317" s="153">
        <v>44562</v>
      </c>
      <c r="G317" s="116" t="s">
        <v>39</v>
      </c>
      <c r="H317" s="116">
        <v>424205.40759999998</v>
      </c>
      <c r="I317" s="116">
        <v>75794.592400000009</v>
      </c>
      <c r="J317" s="116">
        <v>500000</v>
      </c>
      <c r="K317" s="219">
        <v>444205.40759999998</v>
      </c>
      <c r="L317" s="116">
        <v>0</v>
      </c>
      <c r="M317" s="31">
        <v>-4600</v>
      </c>
      <c r="N317" s="336">
        <v>-4600</v>
      </c>
      <c r="O317" s="336">
        <v>4600</v>
      </c>
      <c r="P317" s="219">
        <v>0</v>
      </c>
      <c r="Q317" s="332">
        <v>460</v>
      </c>
      <c r="R317" s="219">
        <v>10</v>
      </c>
      <c r="S317" s="332">
        <v>0</v>
      </c>
      <c r="T317" s="219">
        <v>0</v>
      </c>
      <c r="U317" s="332">
        <v>0</v>
      </c>
      <c r="V317" s="332">
        <v>0</v>
      </c>
      <c r="W317" s="370">
        <v>0</v>
      </c>
      <c r="X317" s="370">
        <v>0</v>
      </c>
      <c r="Y317" s="370">
        <v>0</v>
      </c>
      <c r="Z317" s="370">
        <v>0</v>
      </c>
      <c r="AA317" s="370">
        <v>0</v>
      </c>
      <c r="AB317" s="370">
        <v>10</v>
      </c>
      <c r="AC317" s="370">
        <v>0</v>
      </c>
      <c r="AD317" s="370">
        <v>0</v>
      </c>
      <c r="AE317" s="370">
        <v>0</v>
      </c>
      <c r="AF317" s="370">
        <v>-10</v>
      </c>
      <c r="AG317" s="31">
        <v>10</v>
      </c>
      <c r="AH317" s="31">
        <v>460</v>
      </c>
      <c r="AI317" s="31">
        <v>0</v>
      </c>
      <c r="AJ317" s="370">
        <v>1</v>
      </c>
      <c r="AK317" s="219">
        <v>460</v>
      </c>
      <c r="AL317" s="219">
        <v>0</v>
      </c>
      <c r="AM317" s="219">
        <v>0</v>
      </c>
      <c r="AN317" s="219">
        <v>0</v>
      </c>
      <c r="AO317" s="116">
        <v>0</v>
      </c>
      <c r="AP317" s="116">
        <v>0</v>
      </c>
      <c r="AQ317" s="116">
        <v>4</v>
      </c>
      <c r="AR317" s="116">
        <v>4600</v>
      </c>
      <c r="AS317" s="116">
        <v>179400</v>
      </c>
      <c r="AT317" s="116">
        <v>1</v>
      </c>
      <c r="AU317" s="385">
        <v>0</v>
      </c>
      <c r="AV317" s="332">
        <v>0</v>
      </c>
      <c r="AW317" s="332">
        <v>0</v>
      </c>
      <c r="AX317" s="332">
        <v>-4600</v>
      </c>
      <c r="AY317" s="332">
        <v>0</v>
      </c>
      <c r="AZ317" s="332">
        <v>0</v>
      </c>
      <c r="BA317" s="332">
        <v>0</v>
      </c>
      <c r="BB317" s="31">
        <v>424204.72510231682</v>
      </c>
      <c r="BC317" s="31">
        <v>0</v>
      </c>
      <c r="BD317" s="29">
        <v>0</v>
      </c>
      <c r="BE317" s="31">
        <v>0</v>
      </c>
    </row>
    <row r="318" spans="1:57" ht="13">
      <c r="A318" s="153">
        <v>44572</v>
      </c>
      <c r="B318" s="10" t="s">
        <v>185</v>
      </c>
      <c r="C318" s="10">
        <v>44563000032</v>
      </c>
      <c r="D318" s="10" t="s">
        <v>61</v>
      </c>
      <c r="E318" s="10" t="s">
        <v>63</v>
      </c>
      <c r="F318" s="153">
        <v>44563</v>
      </c>
      <c r="G318" s="116" t="s">
        <v>39</v>
      </c>
      <c r="H318" s="116">
        <v>459205.40759999998</v>
      </c>
      <c r="I318" s="116">
        <v>40794.592400000009</v>
      </c>
      <c r="J318" s="116">
        <v>500000</v>
      </c>
      <c r="K318" s="219">
        <v>469205.40759999998</v>
      </c>
      <c r="L318" s="116">
        <v>0</v>
      </c>
      <c r="M318" s="31">
        <v>35000</v>
      </c>
      <c r="N318" s="336">
        <v>25000</v>
      </c>
      <c r="O318" s="336">
        <v>0</v>
      </c>
      <c r="P318" s="219">
        <v>0</v>
      </c>
      <c r="Q318" s="332">
        <v>0</v>
      </c>
      <c r="R318" s="219">
        <v>0</v>
      </c>
      <c r="S318" s="332">
        <v>0</v>
      </c>
      <c r="T318" s="219">
        <v>0</v>
      </c>
      <c r="U318" s="332">
        <v>0</v>
      </c>
      <c r="V318" s="332">
        <v>0</v>
      </c>
      <c r="W318" s="370">
        <v>-35000</v>
      </c>
      <c r="X318" s="370">
        <v>0</v>
      </c>
      <c r="Y318" s="370">
        <v>0</v>
      </c>
      <c r="Z318" s="370">
        <v>0</v>
      </c>
      <c r="AA318" s="370">
        <v>30000</v>
      </c>
      <c r="AB318" s="370">
        <v>0</v>
      </c>
      <c r="AC318" s="370">
        <v>0</v>
      </c>
      <c r="AD318" s="370">
        <v>0</v>
      </c>
      <c r="AE318" s="370">
        <v>-5000</v>
      </c>
      <c r="AF318" s="370">
        <v>25000</v>
      </c>
      <c r="AG318" s="31">
        <v>-35000</v>
      </c>
      <c r="AH318" s="31">
        <v>1</v>
      </c>
      <c r="AI318" s="31">
        <v>0</v>
      </c>
      <c r="AJ318" s="370">
        <v>1</v>
      </c>
      <c r="AK318" s="219">
        <v>0</v>
      </c>
      <c r="AL318" s="219">
        <v>0</v>
      </c>
      <c r="AM318" s="219">
        <v>0</v>
      </c>
      <c r="AN318" s="219">
        <v>0</v>
      </c>
      <c r="AO318" s="116">
        <v>0</v>
      </c>
      <c r="AP318" s="116">
        <v>1</v>
      </c>
      <c r="AQ318" s="116">
        <v>4</v>
      </c>
      <c r="AR318" s="116">
        <v>-35000</v>
      </c>
      <c r="AS318" s="116">
        <v>-5000</v>
      </c>
      <c r="AT318" s="116">
        <v>0</v>
      </c>
      <c r="AU318" s="385">
        <v>0</v>
      </c>
      <c r="AV318" s="332">
        <v>0</v>
      </c>
      <c r="AW318" s="332">
        <v>0</v>
      </c>
      <c r="AX318" s="332">
        <v>25000</v>
      </c>
      <c r="AY318" s="332">
        <v>0</v>
      </c>
      <c r="AZ318" s="332">
        <v>-0.84700425586099348</v>
      </c>
      <c r="BA318" s="332">
        <v>0</v>
      </c>
      <c r="BB318" s="31">
        <v>459204.72510231682</v>
      </c>
      <c r="BC318" s="31">
        <v>0</v>
      </c>
      <c r="BD318" s="29">
        <v>0</v>
      </c>
      <c r="BE318" s="31">
        <v>0</v>
      </c>
    </row>
    <row r="319" spans="1:57" ht="13">
      <c r="A319" s="153">
        <v>44572</v>
      </c>
      <c r="B319" s="10" t="s">
        <v>185</v>
      </c>
      <c r="C319" s="10">
        <v>44565000036</v>
      </c>
      <c r="D319" s="10" t="s">
        <v>16</v>
      </c>
      <c r="E319" s="10" t="s">
        <v>38</v>
      </c>
      <c r="F319" s="153">
        <v>44565</v>
      </c>
      <c r="G319" s="116" t="s">
        <v>39</v>
      </c>
      <c r="H319" s="116">
        <v>288205.40759999998</v>
      </c>
      <c r="I319" s="116">
        <v>211794.59240000002</v>
      </c>
      <c r="J319" s="116">
        <v>500000</v>
      </c>
      <c r="K319" s="219">
        <v>238205.40759999998</v>
      </c>
      <c r="L319" s="116">
        <v>0</v>
      </c>
      <c r="M319" s="31">
        <v>-171000</v>
      </c>
      <c r="N319" s="336">
        <v>-171000</v>
      </c>
      <c r="O319" s="336">
        <v>171000</v>
      </c>
      <c r="P319" s="219">
        <v>0</v>
      </c>
      <c r="Q319" s="332">
        <v>450</v>
      </c>
      <c r="R319" s="219">
        <v>380</v>
      </c>
      <c r="S319" s="332">
        <v>0</v>
      </c>
      <c r="T319" s="219">
        <v>0</v>
      </c>
      <c r="U319" s="332">
        <v>0</v>
      </c>
      <c r="V319" s="332">
        <v>0</v>
      </c>
      <c r="W319" s="370">
        <v>0</v>
      </c>
      <c r="X319" s="370">
        <v>10</v>
      </c>
      <c r="Y319" s="370">
        <v>0</v>
      </c>
      <c r="Z319" s="370">
        <v>0</v>
      </c>
      <c r="AA319" s="370">
        <v>0</v>
      </c>
      <c r="AB319" s="370">
        <v>390</v>
      </c>
      <c r="AC319" s="370">
        <v>0</v>
      </c>
      <c r="AD319" s="370">
        <v>0</v>
      </c>
      <c r="AE319" s="370">
        <v>0</v>
      </c>
      <c r="AF319" s="370">
        <v>-380</v>
      </c>
      <c r="AG319" s="31">
        <v>380</v>
      </c>
      <c r="AH319" s="31">
        <v>460</v>
      </c>
      <c r="AI319" s="31">
        <v>1</v>
      </c>
      <c r="AJ319" s="370">
        <v>1</v>
      </c>
      <c r="AK319" s="219">
        <v>460</v>
      </c>
      <c r="AL319" s="219">
        <v>0</v>
      </c>
      <c r="AM319" s="219">
        <v>0</v>
      </c>
      <c r="AN319" s="219">
        <v>0</v>
      </c>
      <c r="AO319" s="116">
        <v>0</v>
      </c>
      <c r="AP319" s="116">
        <v>0</v>
      </c>
      <c r="AQ319" s="116">
        <v>4</v>
      </c>
      <c r="AR319" s="116">
        <v>174800</v>
      </c>
      <c r="AS319" s="116">
        <v>179400</v>
      </c>
      <c r="AT319" s="116">
        <v>0</v>
      </c>
      <c r="AU319" s="385">
        <v>223962.47902</v>
      </c>
      <c r="AV319" s="332">
        <v>-5000</v>
      </c>
      <c r="AW319" s="332">
        <v>218962.47902</v>
      </c>
      <c r="AX319" s="332">
        <v>-174800</v>
      </c>
      <c r="AY319" s="332">
        <v>0</v>
      </c>
      <c r="AZ319" s="332">
        <v>0</v>
      </c>
      <c r="BA319" s="332">
        <v>0</v>
      </c>
      <c r="BB319" s="31">
        <v>288204.72510231682</v>
      </c>
      <c r="BC319" s="31">
        <v>288204.72510231682</v>
      </c>
      <c r="BD319" s="29">
        <v>0</v>
      </c>
      <c r="BE319" s="31">
        <v>507167.88662</v>
      </c>
    </row>
    <row r="320" spans="1:57" ht="13">
      <c r="A320" s="153">
        <v>44572</v>
      </c>
      <c r="B320" s="10" t="s">
        <v>186</v>
      </c>
      <c r="C320" s="10">
        <v>44561000008</v>
      </c>
      <c r="D320" s="10" t="s">
        <v>64</v>
      </c>
      <c r="E320" s="10" t="s">
        <v>64</v>
      </c>
      <c r="F320" s="153">
        <v>44561</v>
      </c>
      <c r="G320" s="116" t="s">
        <v>39</v>
      </c>
      <c r="H320" s="116">
        <v>500000</v>
      </c>
      <c r="I320" s="116">
        <v>0</v>
      </c>
      <c r="J320" s="116">
        <v>500000</v>
      </c>
      <c r="K320" s="219">
        <v>0</v>
      </c>
      <c r="L320" s="116">
        <v>0</v>
      </c>
      <c r="M320" s="31">
        <v>500000</v>
      </c>
      <c r="N320" s="336">
        <v>500000</v>
      </c>
      <c r="O320" s="336">
        <v>0</v>
      </c>
      <c r="P320" s="219">
        <v>0</v>
      </c>
      <c r="Q320" s="332">
        <v>0</v>
      </c>
      <c r="R320" s="219">
        <v>0</v>
      </c>
      <c r="S320" s="332">
        <v>0</v>
      </c>
      <c r="T320" s="219">
        <v>0</v>
      </c>
      <c r="U320" s="332">
        <v>0</v>
      </c>
      <c r="V320" s="332">
        <v>0</v>
      </c>
      <c r="W320" s="370">
        <v>0</v>
      </c>
      <c r="X320" s="370">
        <v>0</v>
      </c>
      <c r="Y320" s="370">
        <v>0</v>
      </c>
      <c r="Z320" s="370">
        <v>0</v>
      </c>
      <c r="AA320" s="370">
        <v>0</v>
      </c>
      <c r="AB320" s="370">
        <v>0</v>
      </c>
      <c r="AC320" s="370">
        <v>0</v>
      </c>
      <c r="AD320" s="370">
        <v>0</v>
      </c>
      <c r="AE320" s="370">
        <v>0</v>
      </c>
      <c r="AF320" s="370">
        <v>0</v>
      </c>
      <c r="AG320" s="31">
        <v>0</v>
      </c>
      <c r="AH320" s="31">
        <v>1</v>
      </c>
      <c r="AI320" s="31">
        <v>0</v>
      </c>
      <c r="AJ320" s="370">
        <v>1</v>
      </c>
      <c r="AK320" s="219">
        <v>0</v>
      </c>
      <c r="AL320" s="219">
        <v>0</v>
      </c>
      <c r="AM320" s="219">
        <v>0</v>
      </c>
      <c r="AN320" s="219">
        <v>0</v>
      </c>
      <c r="AO320" s="116">
        <v>0</v>
      </c>
      <c r="AP320" s="116">
        <v>0</v>
      </c>
      <c r="AQ320" s="116">
        <v>1</v>
      </c>
      <c r="AR320" s="116">
        <v>0</v>
      </c>
      <c r="AS320" s="116">
        <v>0</v>
      </c>
      <c r="AT320" s="116">
        <v>1</v>
      </c>
      <c r="AU320" s="385">
        <v>0</v>
      </c>
      <c r="AV320" s="332">
        <v>0</v>
      </c>
      <c r="AW320" s="332">
        <v>0</v>
      </c>
      <c r="AX320" s="332">
        <v>500000</v>
      </c>
      <c r="AY320" s="332">
        <v>0</v>
      </c>
      <c r="AZ320" s="332">
        <v>0</v>
      </c>
      <c r="BA320" s="332">
        <v>0</v>
      </c>
      <c r="BB320" s="31">
        <v>500000</v>
      </c>
      <c r="BC320" s="31">
        <v>0</v>
      </c>
      <c r="BD320" s="29">
        <v>0</v>
      </c>
      <c r="BE320" s="31">
        <v>0</v>
      </c>
    </row>
    <row r="321" spans="1:57" ht="13">
      <c r="A321" s="153">
        <v>44572</v>
      </c>
      <c r="B321" s="10" t="s">
        <v>186</v>
      </c>
      <c r="C321" s="10">
        <v>44563000037</v>
      </c>
      <c r="D321" s="10" t="s">
        <v>16</v>
      </c>
      <c r="E321" s="10" t="s">
        <v>0</v>
      </c>
      <c r="F321" s="153">
        <v>44563</v>
      </c>
      <c r="G321" s="116" t="s">
        <v>41</v>
      </c>
      <c r="H321" s="116">
        <v>409954.46750000003</v>
      </c>
      <c r="I321" s="116">
        <v>90045.532500000001</v>
      </c>
      <c r="J321" s="116">
        <v>500000</v>
      </c>
      <c r="K321" s="219">
        <v>409954.46750000003</v>
      </c>
      <c r="L321" s="116">
        <v>0</v>
      </c>
      <c r="M321" s="31">
        <v>-90045.532500000001</v>
      </c>
      <c r="N321" s="336">
        <v>-90045.532500000001</v>
      </c>
      <c r="O321" s="336">
        <v>90045.532500000001</v>
      </c>
      <c r="P321" s="219">
        <v>0</v>
      </c>
      <c r="Q321" s="332">
        <v>3001.51775</v>
      </c>
      <c r="R321" s="219">
        <v>30</v>
      </c>
      <c r="S321" s="332">
        <v>0</v>
      </c>
      <c r="T321" s="219">
        <v>0</v>
      </c>
      <c r="U321" s="332">
        <v>0</v>
      </c>
      <c r="V321" s="332">
        <v>0</v>
      </c>
      <c r="W321" s="370">
        <v>0</v>
      </c>
      <c r="X321" s="370">
        <v>0</v>
      </c>
      <c r="Y321" s="370">
        <v>0</v>
      </c>
      <c r="Z321" s="370">
        <v>0</v>
      </c>
      <c r="AA321" s="370">
        <v>0</v>
      </c>
      <c r="AB321" s="370">
        <v>30</v>
      </c>
      <c r="AC321" s="370">
        <v>0</v>
      </c>
      <c r="AD321" s="370">
        <v>0</v>
      </c>
      <c r="AE321" s="370">
        <v>0</v>
      </c>
      <c r="AF321" s="370">
        <v>-30</v>
      </c>
      <c r="AG321" s="31">
        <v>30</v>
      </c>
      <c r="AH321" s="31">
        <v>403.05</v>
      </c>
      <c r="AI321" s="31">
        <v>0</v>
      </c>
      <c r="AJ321" s="370">
        <v>7.7960950000000002</v>
      </c>
      <c r="AK321" s="219">
        <v>403.05</v>
      </c>
      <c r="AL321" s="219">
        <v>0</v>
      </c>
      <c r="AM321" s="219">
        <v>0</v>
      </c>
      <c r="AN321" s="219">
        <v>0</v>
      </c>
      <c r="AO321" s="116">
        <v>0</v>
      </c>
      <c r="AP321" s="116">
        <v>0</v>
      </c>
      <c r="AQ321" s="116">
        <v>2</v>
      </c>
      <c r="AR321" s="116">
        <v>94266.482692500009</v>
      </c>
      <c r="AS321" s="116">
        <v>94266.482692500009</v>
      </c>
      <c r="AT321" s="116">
        <v>1</v>
      </c>
      <c r="AU321" s="385">
        <v>0</v>
      </c>
      <c r="AV321" s="332">
        <v>0</v>
      </c>
      <c r="AW321" s="332">
        <v>0</v>
      </c>
      <c r="AX321" s="332">
        <v>-94266.482692500009</v>
      </c>
      <c r="AY321" s="332">
        <v>0</v>
      </c>
      <c r="AZ321" s="332">
        <v>0</v>
      </c>
      <c r="BA321" s="332">
        <v>0</v>
      </c>
      <c r="BB321" s="31">
        <v>409954.46750000003</v>
      </c>
      <c r="BC321" s="31">
        <v>0</v>
      </c>
      <c r="BD321" s="29">
        <v>0</v>
      </c>
      <c r="BE321" s="31">
        <v>0</v>
      </c>
    </row>
    <row r="322" spans="1:57" ht="13">
      <c r="A322" s="153">
        <v>44572</v>
      </c>
      <c r="B322" s="10" t="s">
        <v>186</v>
      </c>
      <c r="C322" s="10">
        <v>44563000038</v>
      </c>
      <c r="D322" s="10" t="s">
        <v>16</v>
      </c>
      <c r="E322" s="10" t="s">
        <v>38</v>
      </c>
      <c r="F322" s="153">
        <v>44563</v>
      </c>
      <c r="G322" s="116" t="s">
        <v>39</v>
      </c>
      <c r="H322" s="116">
        <v>396154.46750000003</v>
      </c>
      <c r="I322" s="116">
        <v>103845.5325</v>
      </c>
      <c r="J322" s="116">
        <v>500000</v>
      </c>
      <c r="K322" s="219">
        <v>396154.46750000003</v>
      </c>
      <c r="L322" s="116">
        <v>0</v>
      </c>
      <c r="M322" s="31">
        <v>-13800</v>
      </c>
      <c r="N322" s="336">
        <v>-13800</v>
      </c>
      <c r="O322" s="336">
        <v>13800</v>
      </c>
      <c r="P322" s="219">
        <v>0</v>
      </c>
      <c r="Q322" s="332">
        <v>460</v>
      </c>
      <c r="R322" s="219">
        <v>30</v>
      </c>
      <c r="S322" s="332">
        <v>0</v>
      </c>
      <c r="T322" s="219">
        <v>0</v>
      </c>
      <c r="U322" s="332">
        <v>0</v>
      </c>
      <c r="V322" s="332">
        <v>0</v>
      </c>
      <c r="W322" s="370">
        <v>0</v>
      </c>
      <c r="X322" s="370">
        <v>0</v>
      </c>
      <c r="Y322" s="370">
        <v>0</v>
      </c>
      <c r="Z322" s="370">
        <v>0</v>
      </c>
      <c r="AA322" s="370">
        <v>0</v>
      </c>
      <c r="AB322" s="370">
        <v>30</v>
      </c>
      <c r="AC322" s="370">
        <v>0</v>
      </c>
      <c r="AD322" s="370">
        <v>0</v>
      </c>
      <c r="AE322" s="370">
        <v>0</v>
      </c>
      <c r="AF322" s="370">
        <v>-30</v>
      </c>
      <c r="AG322" s="31">
        <v>30</v>
      </c>
      <c r="AH322" s="31">
        <v>460</v>
      </c>
      <c r="AI322" s="31">
        <v>0</v>
      </c>
      <c r="AJ322" s="370">
        <v>1</v>
      </c>
      <c r="AK322" s="219">
        <v>460</v>
      </c>
      <c r="AL322" s="219">
        <v>0</v>
      </c>
      <c r="AM322" s="219">
        <v>0</v>
      </c>
      <c r="AN322" s="219">
        <v>0</v>
      </c>
      <c r="AO322" s="116">
        <v>0</v>
      </c>
      <c r="AP322" s="116">
        <v>0</v>
      </c>
      <c r="AQ322" s="116">
        <v>3</v>
      </c>
      <c r="AR322" s="116">
        <v>13800</v>
      </c>
      <c r="AS322" s="116">
        <v>13800</v>
      </c>
      <c r="AT322" s="116">
        <v>1</v>
      </c>
      <c r="AU322" s="385">
        <v>0</v>
      </c>
      <c r="AV322" s="332">
        <v>0</v>
      </c>
      <c r="AW322" s="332">
        <v>0</v>
      </c>
      <c r="AX322" s="332">
        <v>-13800</v>
      </c>
      <c r="AY322" s="332">
        <v>0</v>
      </c>
      <c r="AZ322" s="332">
        <v>0</v>
      </c>
      <c r="BA322" s="332">
        <v>0</v>
      </c>
      <c r="BB322" s="31">
        <v>396154.46750000003</v>
      </c>
      <c r="BC322" s="31">
        <v>0</v>
      </c>
      <c r="BD322" s="29">
        <v>0</v>
      </c>
      <c r="BE322" s="31">
        <v>0</v>
      </c>
    </row>
    <row r="323" spans="1:57" ht="13">
      <c r="A323" s="153">
        <v>44572</v>
      </c>
      <c r="B323" s="10" t="s">
        <v>186</v>
      </c>
      <c r="C323" s="10">
        <v>44564000045</v>
      </c>
      <c r="D323" s="10" t="s">
        <v>18</v>
      </c>
      <c r="E323" s="10" t="s">
        <v>7</v>
      </c>
      <c r="F323" s="153">
        <v>44564</v>
      </c>
      <c r="G323" s="116" t="s">
        <v>41</v>
      </c>
      <c r="H323" s="116">
        <v>365251.58795000002</v>
      </c>
      <c r="I323" s="116">
        <v>134748.41205000001</v>
      </c>
      <c r="J323" s="116">
        <v>500000</v>
      </c>
      <c r="K323" s="219">
        <v>365251.58795000002</v>
      </c>
      <c r="L323" s="116">
        <v>0</v>
      </c>
      <c r="M323" s="31">
        <v>-30902.879550000001</v>
      </c>
      <c r="N323" s="336">
        <v>-30902.879550000005</v>
      </c>
      <c r="O323" s="336">
        <v>0</v>
      </c>
      <c r="P323" s="219">
        <v>0</v>
      </c>
      <c r="Q323" s="332">
        <v>0</v>
      </c>
      <c r="R323" s="219">
        <v>0</v>
      </c>
      <c r="S323" s="332">
        <v>13.21</v>
      </c>
      <c r="T323" s="219">
        <v>30</v>
      </c>
      <c r="U323" s="332">
        <v>0</v>
      </c>
      <c r="V323" s="332">
        <v>0</v>
      </c>
      <c r="W323" s="370">
        <v>0</v>
      </c>
      <c r="X323" s="370">
        <v>0</v>
      </c>
      <c r="Y323" s="370">
        <v>0</v>
      </c>
      <c r="Z323" s="370">
        <v>0</v>
      </c>
      <c r="AA323" s="370">
        <v>0</v>
      </c>
      <c r="AB323" s="370">
        <v>0</v>
      </c>
      <c r="AC323" s="370">
        <v>30</v>
      </c>
      <c r="AD323" s="370">
        <v>0</v>
      </c>
      <c r="AE323" s="370">
        <v>0</v>
      </c>
      <c r="AF323" s="370">
        <v>-30</v>
      </c>
      <c r="AG323" s="31">
        <v>30</v>
      </c>
      <c r="AH323" s="31">
        <v>14.29</v>
      </c>
      <c r="AI323" s="31">
        <v>0</v>
      </c>
      <c r="AJ323" s="370">
        <v>7.7960950000000002</v>
      </c>
      <c r="AK323" s="219">
        <v>0</v>
      </c>
      <c r="AL323" s="219">
        <v>14.29</v>
      </c>
      <c r="AM323" s="219">
        <v>16.71</v>
      </c>
      <c r="AN323" s="219">
        <v>0</v>
      </c>
      <c r="AO323" s="116">
        <v>0</v>
      </c>
      <c r="AP323" s="116">
        <v>0</v>
      </c>
      <c r="AQ323" s="116">
        <v>4</v>
      </c>
      <c r="AR323" s="116">
        <v>33421.859264999999</v>
      </c>
      <c r="AS323" s="116">
        <v>33421.859264999999</v>
      </c>
      <c r="AT323" s="116">
        <v>1</v>
      </c>
      <c r="AU323" s="385">
        <v>0</v>
      </c>
      <c r="AV323" s="332">
        <v>0</v>
      </c>
      <c r="AW323" s="332">
        <v>0</v>
      </c>
      <c r="AX323" s="332">
        <v>-36251.84175</v>
      </c>
      <c r="AY323" s="332">
        <v>0</v>
      </c>
      <c r="AZ323" s="332">
        <v>0</v>
      </c>
      <c r="BA323" s="332">
        <v>0</v>
      </c>
      <c r="BB323" s="31">
        <v>365251.58795000002</v>
      </c>
      <c r="BC323" s="31">
        <v>0</v>
      </c>
      <c r="BD323" s="29">
        <v>0</v>
      </c>
      <c r="BE323" s="31">
        <v>0</v>
      </c>
    </row>
    <row r="324" spans="1:57" ht="13">
      <c r="A324" s="153">
        <v>44572</v>
      </c>
      <c r="B324" s="10" t="s">
        <v>186</v>
      </c>
      <c r="C324" s="10">
        <v>44565000046</v>
      </c>
      <c r="D324" s="10" t="s">
        <v>18</v>
      </c>
      <c r="E324" s="10" t="s">
        <v>7</v>
      </c>
      <c r="F324" s="153">
        <v>44565</v>
      </c>
      <c r="G324" s="116" t="s">
        <v>41</v>
      </c>
      <c r="H324" s="116">
        <v>382070.50044999999</v>
      </c>
      <c r="I324" s="116">
        <v>117929.49955000001</v>
      </c>
      <c r="J324" s="116">
        <v>500000</v>
      </c>
      <c r="K324" s="219">
        <v>382070.50044999999</v>
      </c>
      <c r="L324" s="116">
        <v>0</v>
      </c>
      <c r="M324" s="31">
        <v>16818.912500000002</v>
      </c>
      <c r="N324" s="336">
        <v>16818.912500000002</v>
      </c>
      <c r="O324" s="336">
        <v>0</v>
      </c>
      <c r="P324" s="219">
        <v>0</v>
      </c>
      <c r="Q324" s="332">
        <v>0</v>
      </c>
      <c r="R324" s="219">
        <v>0</v>
      </c>
      <c r="S324" s="332">
        <v>10.79</v>
      </c>
      <c r="T324" s="219">
        <v>-20</v>
      </c>
      <c r="U324" s="332">
        <v>0</v>
      </c>
      <c r="V324" s="332">
        <v>0</v>
      </c>
      <c r="W324" s="370">
        <v>0</v>
      </c>
      <c r="X324" s="370">
        <v>0</v>
      </c>
      <c r="Y324" s="370">
        <v>30</v>
      </c>
      <c r="Z324" s="370">
        <v>0</v>
      </c>
      <c r="AA324" s="370">
        <v>0</v>
      </c>
      <c r="AB324" s="370">
        <v>0</v>
      </c>
      <c r="AC324" s="370">
        <v>10</v>
      </c>
      <c r="AD324" s="370">
        <v>0</v>
      </c>
      <c r="AE324" s="370">
        <v>0</v>
      </c>
      <c r="AF324" s="370">
        <v>20</v>
      </c>
      <c r="AG324" s="31">
        <v>-20</v>
      </c>
      <c r="AH324" s="31"/>
      <c r="AI324" s="31">
        <v>1</v>
      </c>
      <c r="AJ324" s="370">
        <v>7.7960950000000002</v>
      </c>
      <c r="AK324" s="219">
        <v>0</v>
      </c>
      <c r="AL324" s="219">
        <v>14.29</v>
      </c>
      <c r="AM324" s="219">
        <v>16.71</v>
      </c>
      <c r="AN324" s="219">
        <v>0</v>
      </c>
      <c r="AO324" s="116">
        <v>0</v>
      </c>
      <c r="AP324" s="116">
        <v>0</v>
      </c>
      <c r="AQ324" s="116">
        <v>4</v>
      </c>
      <c r="AR324" s="116">
        <v>0</v>
      </c>
      <c r="AS324" s="116">
        <v>33421.859264999999</v>
      </c>
      <c r="AT324" s="116">
        <v>0</v>
      </c>
      <c r="AU324" s="385">
        <v>141488.3419575</v>
      </c>
      <c r="AV324" s="332">
        <v>0</v>
      </c>
      <c r="AW324" s="332">
        <v>141488.3419575</v>
      </c>
      <c r="AX324" s="332">
        <v>24167.894499999999</v>
      </c>
      <c r="AY324" s="332">
        <v>0</v>
      </c>
      <c r="AZ324" s="332">
        <v>0</v>
      </c>
      <c r="BA324" s="332">
        <v>0</v>
      </c>
      <c r="BB324" s="31">
        <v>382070.50044999999</v>
      </c>
      <c r="BC324" s="31">
        <v>382070.50044999999</v>
      </c>
      <c r="BD324" s="29">
        <v>0</v>
      </c>
      <c r="BE324" s="31">
        <v>523558.84240750002</v>
      </c>
    </row>
    <row r="325" spans="1:57" ht="13">
      <c r="A325" s="153">
        <v>44572</v>
      </c>
      <c r="B325" s="10" t="s">
        <v>187</v>
      </c>
      <c r="C325" s="10">
        <v>44561000009</v>
      </c>
      <c r="D325" s="10" t="s">
        <v>64</v>
      </c>
      <c r="E325" s="10" t="s">
        <v>64</v>
      </c>
      <c r="F325" s="153">
        <v>44561</v>
      </c>
      <c r="G325" s="116" t="s">
        <v>39</v>
      </c>
      <c r="H325" s="116">
        <v>500000</v>
      </c>
      <c r="I325" s="116">
        <v>0</v>
      </c>
      <c r="J325" s="116">
        <v>500000</v>
      </c>
      <c r="K325" s="219">
        <v>0</v>
      </c>
      <c r="L325" s="116">
        <v>0</v>
      </c>
      <c r="M325" s="31">
        <v>500000</v>
      </c>
      <c r="N325" s="336">
        <v>500000</v>
      </c>
      <c r="O325" s="336">
        <v>0</v>
      </c>
      <c r="P325" s="219">
        <v>0</v>
      </c>
      <c r="Q325" s="332">
        <v>0</v>
      </c>
      <c r="R325" s="219">
        <v>0</v>
      </c>
      <c r="S325" s="332">
        <v>0</v>
      </c>
      <c r="T325" s="219">
        <v>0</v>
      </c>
      <c r="U325" s="332">
        <v>0</v>
      </c>
      <c r="V325" s="332">
        <v>0</v>
      </c>
      <c r="W325" s="370">
        <v>0</v>
      </c>
      <c r="X325" s="370">
        <v>0</v>
      </c>
      <c r="Y325" s="370">
        <v>0</v>
      </c>
      <c r="Z325" s="370">
        <v>0</v>
      </c>
      <c r="AA325" s="370">
        <v>0</v>
      </c>
      <c r="AB325" s="370">
        <v>0</v>
      </c>
      <c r="AC325" s="370">
        <v>0</v>
      </c>
      <c r="AD325" s="370">
        <v>0</v>
      </c>
      <c r="AE325" s="370">
        <v>0</v>
      </c>
      <c r="AF325" s="370">
        <v>0</v>
      </c>
      <c r="AG325" s="31">
        <v>0</v>
      </c>
      <c r="AH325" s="31">
        <v>1</v>
      </c>
      <c r="AI325" s="31">
        <v>0</v>
      </c>
      <c r="AJ325" s="370">
        <v>1</v>
      </c>
      <c r="AK325" s="219">
        <v>0</v>
      </c>
      <c r="AL325" s="219">
        <v>0</v>
      </c>
      <c r="AM325" s="219">
        <v>0</v>
      </c>
      <c r="AN325" s="219">
        <v>0</v>
      </c>
      <c r="AO325" s="116">
        <v>0</v>
      </c>
      <c r="AP325" s="116">
        <v>0</v>
      </c>
      <c r="AQ325" s="116">
        <v>1</v>
      </c>
      <c r="AR325" s="116">
        <v>0</v>
      </c>
      <c r="AS325" s="116">
        <v>0</v>
      </c>
      <c r="AT325" s="116">
        <v>1</v>
      </c>
      <c r="AU325" s="385">
        <v>0</v>
      </c>
      <c r="AV325" s="332">
        <v>0</v>
      </c>
      <c r="AW325" s="332">
        <v>0</v>
      </c>
      <c r="AX325" s="332">
        <v>500000</v>
      </c>
      <c r="AY325" s="332">
        <v>0</v>
      </c>
      <c r="AZ325" s="332">
        <v>0</v>
      </c>
      <c r="BA325" s="332">
        <v>0</v>
      </c>
      <c r="BB325" s="31">
        <v>499999.2207560846</v>
      </c>
      <c r="BC325" s="31">
        <v>0</v>
      </c>
      <c r="BD325" s="29">
        <v>0</v>
      </c>
      <c r="BE325" s="31">
        <v>0</v>
      </c>
    </row>
    <row r="326" spans="1:57" ht="13">
      <c r="A326" s="153">
        <v>44572</v>
      </c>
      <c r="B326" s="10" t="s">
        <v>187</v>
      </c>
      <c r="C326" s="10">
        <v>44566000040</v>
      </c>
      <c r="D326" s="10" t="s">
        <v>21</v>
      </c>
      <c r="E326" s="10" t="s">
        <v>4</v>
      </c>
      <c r="F326" s="153">
        <v>44566</v>
      </c>
      <c r="G326" s="116" t="s">
        <v>41</v>
      </c>
      <c r="H326" s="116">
        <v>527283.34</v>
      </c>
      <c r="I326" s="116">
        <v>-27283.34</v>
      </c>
      <c r="J326" s="116">
        <v>499999.99999999994</v>
      </c>
      <c r="K326" s="219">
        <v>149214.20000000001</v>
      </c>
      <c r="L326" s="116">
        <v>0</v>
      </c>
      <c r="M326" s="31">
        <v>27283.34</v>
      </c>
      <c r="N326" s="336">
        <v>-350785.8</v>
      </c>
      <c r="O326" s="336">
        <v>0</v>
      </c>
      <c r="P326" s="219">
        <v>0</v>
      </c>
      <c r="Q326" s="332">
        <v>0</v>
      </c>
      <c r="R326" s="219">
        <v>0</v>
      </c>
      <c r="S326" s="332">
        <v>0</v>
      </c>
      <c r="T326" s="219">
        <v>0</v>
      </c>
      <c r="U326" s="332">
        <v>3.5</v>
      </c>
      <c r="V326" s="332">
        <v>-10</v>
      </c>
      <c r="W326" s="370">
        <v>0</v>
      </c>
      <c r="X326" s="370">
        <v>0</v>
      </c>
      <c r="Y326" s="370">
        <v>0</v>
      </c>
      <c r="Z326" s="370">
        <v>0</v>
      </c>
      <c r="AA326" s="370">
        <v>0</v>
      </c>
      <c r="AB326" s="370">
        <v>0</v>
      </c>
      <c r="AC326" s="370">
        <v>0</v>
      </c>
      <c r="AD326" s="370">
        <v>-10</v>
      </c>
      <c r="AE326" s="370">
        <v>0</v>
      </c>
      <c r="AF326" s="370">
        <v>0</v>
      </c>
      <c r="AG326" s="31">
        <v>-10</v>
      </c>
      <c r="AH326" s="31">
        <v>3.8000000000000003</v>
      </c>
      <c r="AI326" s="31">
        <v>0</v>
      </c>
      <c r="AJ326" s="370">
        <v>7.7960950000000002</v>
      </c>
      <c r="AK326" s="219">
        <v>0</v>
      </c>
      <c r="AL326" s="219">
        <v>0</v>
      </c>
      <c r="AM326" s="219">
        <v>0</v>
      </c>
      <c r="AN326" s="219">
        <v>3.8000000000000003</v>
      </c>
      <c r="AO326" s="116">
        <v>45</v>
      </c>
      <c r="AP326" s="116">
        <v>0</v>
      </c>
      <c r="AQ326" s="116">
        <v>2</v>
      </c>
      <c r="AR326" s="116">
        <v>-29625.161000000004</v>
      </c>
      <c r="AS326" s="116">
        <v>-29625.161000000004</v>
      </c>
      <c r="AT326" s="116">
        <v>1</v>
      </c>
      <c r="AU326" s="385">
        <v>0</v>
      </c>
      <c r="AV326" s="332">
        <v>0</v>
      </c>
      <c r="AW326" s="332">
        <v>0</v>
      </c>
      <c r="AX326" s="332">
        <v>0</v>
      </c>
      <c r="AY326" s="332">
        <v>0</v>
      </c>
      <c r="AZ326" s="332">
        <v>0</v>
      </c>
      <c r="BA326" s="332">
        <v>0</v>
      </c>
      <c r="BB326" s="31">
        <v>527282.56075608463</v>
      </c>
      <c r="BC326" s="31">
        <v>0</v>
      </c>
      <c r="BD326" s="29">
        <v>0</v>
      </c>
      <c r="BE326" s="31">
        <v>0</v>
      </c>
    </row>
    <row r="327" spans="1:57" ht="13">
      <c r="A327" s="153">
        <v>44572</v>
      </c>
      <c r="B327" s="10" t="s">
        <v>187</v>
      </c>
      <c r="C327" s="10">
        <v>44566000041</v>
      </c>
      <c r="D327" s="10" t="s">
        <v>21</v>
      </c>
      <c r="E327" s="10" t="s">
        <v>5</v>
      </c>
      <c r="F327" s="153">
        <v>44566</v>
      </c>
      <c r="G327" s="116" t="s">
        <v>41</v>
      </c>
      <c r="H327" s="116">
        <v>507795.24</v>
      </c>
      <c r="I327" s="116">
        <v>-7795.2400000000016</v>
      </c>
      <c r="J327" s="116">
        <v>500000</v>
      </c>
      <c r="K327" s="219">
        <v>461023.8</v>
      </c>
      <c r="L327" s="116">
        <v>0</v>
      </c>
      <c r="M327" s="31">
        <v>-19488.099999999999</v>
      </c>
      <c r="N327" s="336">
        <v>311809.59999999998</v>
      </c>
      <c r="O327" s="336">
        <v>0</v>
      </c>
      <c r="P327" s="219">
        <v>0</v>
      </c>
      <c r="Q327" s="332">
        <v>0</v>
      </c>
      <c r="R327" s="219">
        <v>0</v>
      </c>
      <c r="S327" s="332">
        <v>0</v>
      </c>
      <c r="T327" s="219">
        <v>0</v>
      </c>
      <c r="U327" s="332">
        <v>2.5</v>
      </c>
      <c r="V327" s="332">
        <v>10</v>
      </c>
      <c r="W327" s="370">
        <v>0</v>
      </c>
      <c r="X327" s="370">
        <v>0</v>
      </c>
      <c r="Y327" s="370">
        <v>0</v>
      </c>
      <c r="Z327" s="370">
        <v>0</v>
      </c>
      <c r="AA327" s="370">
        <v>0</v>
      </c>
      <c r="AB327" s="370">
        <v>0</v>
      </c>
      <c r="AC327" s="370">
        <v>0</v>
      </c>
      <c r="AD327" s="370">
        <v>10</v>
      </c>
      <c r="AE327" s="370">
        <v>0</v>
      </c>
      <c r="AF327" s="370">
        <v>0</v>
      </c>
      <c r="AG327" s="31">
        <v>10</v>
      </c>
      <c r="AH327" s="31">
        <v>2.8000000000000003</v>
      </c>
      <c r="AI327" s="31">
        <v>0</v>
      </c>
      <c r="AJ327" s="370">
        <v>7.7960950000000002</v>
      </c>
      <c r="AK327" s="219">
        <v>0</v>
      </c>
      <c r="AL327" s="219">
        <v>0</v>
      </c>
      <c r="AM327" s="219">
        <v>0</v>
      </c>
      <c r="AN327" s="219">
        <v>2.8000000000000003</v>
      </c>
      <c r="AO327" s="116">
        <v>40</v>
      </c>
      <c r="AP327" s="116">
        <v>0</v>
      </c>
      <c r="AQ327" s="116">
        <v>3</v>
      </c>
      <c r="AR327" s="116">
        <v>21829.066000000003</v>
      </c>
      <c r="AS327" s="116">
        <v>21829.066000000003</v>
      </c>
      <c r="AT327" s="116">
        <v>1</v>
      </c>
      <c r="AU327" s="385">
        <v>0</v>
      </c>
      <c r="AV327" s="332">
        <v>0</v>
      </c>
      <c r="AW327" s="332">
        <v>0</v>
      </c>
      <c r="AX327" s="332">
        <v>0</v>
      </c>
      <c r="AY327" s="332">
        <v>0</v>
      </c>
      <c r="AZ327" s="332">
        <v>0</v>
      </c>
      <c r="BA327" s="332">
        <v>0</v>
      </c>
      <c r="BB327" s="31">
        <v>507794.46075608459</v>
      </c>
      <c r="BC327" s="31">
        <v>0</v>
      </c>
      <c r="BD327" s="29">
        <v>0</v>
      </c>
      <c r="BE327" s="31">
        <v>0</v>
      </c>
    </row>
    <row r="328" spans="1:57" ht="13">
      <c r="A328" s="153">
        <v>44572</v>
      </c>
      <c r="B328" s="10" t="s">
        <v>187</v>
      </c>
      <c r="C328" s="10">
        <v>44567000042</v>
      </c>
      <c r="D328" s="10" t="s">
        <v>16</v>
      </c>
      <c r="E328" s="10" t="s">
        <v>38</v>
      </c>
      <c r="F328" s="153">
        <v>44567</v>
      </c>
      <c r="G328" s="116" t="s">
        <v>39</v>
      </c>
      <c r="H328" s="116">
        <v>490595.24</v>
      </c>
      <c r="I328" s="116">
        <v>9404.7599999999984</v>
      </c>
      <c r="J328" s="116">
        <v>500000</v>
      </c>
      <c r="K328" s="219">
        <v>443823.8</v>
      </c>
      <c r="L328" s="116">
        <v>0</v>
      </c>
      <c r="M328" s="31">
        <v>-17200</v>
      </c>
      <c r="N328" s="336">
        <v>-17200</v>
      </c>
      <c r="O328" s="336">
        <v>17200</v>
      </c>
      <c r="P328" s="219">
        <v>0</v>
      </c>
      <c r="Q328" s="332">
        <v>430</v>
      </c>
      <c r="R328" s="219">
        <v>40</v>
      </c>
      <c r="S328" s="332">
        <v>0</v>
      </c>
      <c r="T328" s="219">
        <v>0</v>
      </c>
      <c r="U328" s="332">
        <v>0</v>
      </c>
      <c r="V328" s="332">
        <v>0</v>
      </c>
      <c r="W328" s="370">
        <v>0</v>
      </c>
      <c r="X328" s="370">
        <v>0</v>
      </c>
      <c r="Y328" s="370">
        <v>0</v>
      </c>
      <c r="Z328" s="370">
        <v>0</v>
      </c>
      <c r="AA328" s="370">
        <v>0</v>
      </c>
      <c r="AB328" s="370">
        <v>40</v>
      </c>
      <c r="AC328" s="370">
        <v>0</v>
      </c>
      <c r="AD328" s="370">
        <v>0</v>
      </c>
      <c r="AE328" s="370">
        <v>0</v>
      </c>
      <c r="AF328" s="370">
        <v>-40</v>
      </c>
      <c r="AG328" s="31">
        <v>40</v>
      </c>
      <c r="AH328" s="31">
        <v>460</v>
      </c>
      <c r="AI328" s="31">
        <v>0</v>
      </c>
      <c r="AJ328" s="370">
        <v>1</v>
      </c>
      <c r="AK328" s="219">
        <v>460</v>
      </c>
      <c r="AL328" s="219">
        <v>0</v>
      </c>
      <c r="AM328" s="219">
        <v>0</v>
      </c>
      <c r="AN328" s="219">
        <v>0</v>
      </c>
      <c r="AO328" s="116">
        <v>0</v>
      </c>
      <c r="AP328" s="116">
        <v>0</v>
      </c>
      <c r="AQ328" s="116">
        <v>4</v>
      </c>
      <c r="AR328" s="116">
        <v>18400</v>
      </c>
      <c r="AS328" s="116">
        <v>-4600</v>
      </c>
      <c r="AT328" s="116">
        <v>1</v>
      </c>
      <c r="AU328" s="385">
        <v>0</v>
      </c>
      <c r="AV328" s="332">
        <v>0</v>
      </c>
      <c r="AW328" s="332">
        <v>0</v>
      </c>
      <c r="AX328" s="332">
        <v>-18400</v>
      </c>
      <c r="AY328" s="332">
        <v>0</v>
      </c>
      <c r="AZ328" s="332">
        <v>0</v>
      </c>
      <c r="BA328" s="332">
        <v>0</v>
      </c>
      <c r="BB328" s="31">
        <v>490594.46075608459</v>
      </c>
      <c r="BC328" s="31">
        <v>0</v>
      </c>
      <c r="BD328" s="29">
        <v>0</v>
      </c>
      <c r="BE328" s="31">
        <v>0</v>
      </c>
    </row>
    <row r="329" spans="1:57" ht="13">
      <c r="A329" s="153">
        <v>44572</v>
      </c>
      <c r="B329" s="10" t="s">
        <v>187</v>
      </c>
      <c r="C329" s="10">
        <v>44568000043</v>
      </c>
      <c r="D329" s="10" t="s">
        <v>16</v>
      </c>
      <c r="E329" s="10" t="s">
        <v>38</v>
      </c>
      <c r="F329" s="153">
        <v>44568</v>
      </c>
      <c r="G329" s="116" t="s">
        <v>39</v>
      </c>
      <c r="H329" s="116">
        <v>512595.24</v>
      </c>
      <c r="I329" s="116">
        <v>-12595.240000000002</v>
      </c>
      <c r="J329" s="116">
        <v>500000</v>
      </c>
      <c r="K329" s="219">
        <v>465623.8</v>
      </c>
      <c r="L329" s="116">
        <v>0</v>
      </c>
      <c r="M329" s="31">
        <v>22000</v>
      </c>
      <c r="N329" s="336">
        <v>13200</v>
      </c>
      <c r="O329" s="336">
        <v>0</v>
      </c>
      <c r="P329" s="219">
        <v>-22000</v>
      </c>
      <c r="Q329" s="332">
        <v>440</v>
      </c>
      <c r="R329" s="219">
        <v>-50</v>
      </c>
      <c r="S329" s="332">
        <v>0</v>
      </c>
      <c r="T329" s="219">
        <v>0</v>
      </c>
      <c r="U329" s="332">
        <v>0</v>
      </c>
      <c r="V329" s="332">
        <v>0</v>
      </c>
      <c r="W329" s="370">
        <v>0</v>
      </c>
      <c r="X329" s="370">
        <v>40</v>
      </c>
      <c r="Y329" s="370">
        <v>0</v>
      </c>
      <c r="Z329" s="370">
        <v>0</v>
      </c>
      <c r="AA329" s="370">
        <v>0</v>
      </c>
      <c r="AB329" s="370">
        <v>-10</v>
      </c>
      <c r="AC329" s="370">
        <v>0</v>
      </c>
      <c r="AD329" s="370">
        <v>0</v>
      </c>
      <c r="AE329" s="370">
        <v>0</v>
      </c>
      <c r="AF329" s="370">
        <v>30</v>
      </c>
      <c r="AG329" s="31">
        <v>-50</v>
      </c>
      <c r="AH329" s="31">
        <v>460</v>
      </c>
      <c r="AI329" s="31">
        <v>0</v>
      </c>
      <c r="AJ329" s="370">
        <v>1</v>
      </c>
      <c r="AK329" s="219">
        <v>460</v>
      </c>
      <c r="AL329" s="219">
        <v>0</v>
      </c>
      <c r="AM329" s="219">
        <v>0</v>
      </c>
      <c r="AN329" s="219">
        <v>0</v>
      </c>
      <c r="AO329" s="116">
        <v>0</v>
      </c>
      <c r="AP329" s="116">
        <v>0</v>
      </c>
      <c r="AQ329" s="116">
        <v>4</v>
      </c>
      <c r="AR329" s="116">
        <v>-23000</v>
      </c>
      <c r="AS329" s="116">
        <v>-4600</v>
      </c>
      <c r="AT329" s="116">
        <v>0</v>
      </c>
      <c r="AU329" s="385">
        <v>0</v>
      </c>
      <c r="AV329" s="332">
        <v>0</v>
      </c>
      <c r="AW329" s="332">
        <v>0</v>
      </c>
      <c r="AX329" s="332">
        <v>13800</v>
      </c>
      <c r="AY329" s="332">
        <v>0</v>
      </c>
      <c r="AZ329" s="332">
        <v>-0.77924391539211402</v>
      </c>
      <c r="BA329" s="332">
        <v>0</v>
      </c>
      <c r="BB329" s="31">
        <v>512594.46075608459</v>
      </c>
      <c r="BC329" s="31">
        <v>0</v>
      </c>
      <c r="BD329" s="29">
        <v>0</v>
      </c>
      <c r="BE329" s="31">
        <v>0</v>
      </c>
    </row>
    <row r="330" spans="1:57" ht="13">
      <c r="A330" s="153">
        <v>44572</v>
      </c>
      <c r="B330" s="10" t="s">
        <v>187</v>
      </c>
      <c r="C330" s="10">
        <v>44568000044</v>
      </c>
      <c r="D330" s="10" t="s">
        <v>18</v>
      </c>
      <c r="E330" s="10" t="s">
        <v>7</v>
      </c>
      <c r="F330" s="153">
        <v>44568</v>
      </c>
      <c r="G330" s="116" t="s">
        <v>41</v>
      </c>
      <c r="H330" s="116">
        <v>529422.61185999995</v>
      </c>
      <c r="I330" s="116">
        <v>-29422.611860000001</v>
      </c>
      <c r="J330" s="116">
        <v>499999.99999999994</v>
      </c>
      <c r="K330" s="219">
        <v>413596.42813999997</v>
      </c>
      <c r="L330" s="116">
        <v>0</v>
      </c>
      <c r="M330" s="31">
        <v>16827.371859999999</v>
      </c>
      <c r="N330" s="336">
        <v>-16827.371859999999</v>
      </c>
      <c r="O330" s="336">
        <v>0</v>
      </c>
      <c r="P330" s="219">
        <v>0</v>
      </c>
      <c r="Q330" s="332">
        <v>0</v>
      </c>
      <c r="R330" s="219">
        <v>0</v>
      </c>
      <c r="S330" s="332">
        <v>10.79</v>
      </c>
      <c r="T330" s="219">
        <v>-20</v>
      </c>
      <c r="U330" s="332">
        <v>0</v>
      </c>
      <c r="V330" s="332">
        <v>0</v>
      </c>
      <c r="W330" s="370">
        <v>0</v>
      </c>
      <c r="X330" s="370">
        <v>0</v>
      </c>
      <c r="Y330" s="370">
        <v>0</v>
      </c>
      <c r="Z330" s="370">
        <v>0</v>
      </c>
      <c r="AA330" s="370">
        <v>0</v>
      </c>
      <c r="AB330" s="370">
        <v>0</v>
      </c>
      <c r="AC330" s="370">
        <v>-20</v>
      </c>
      <c r="AD330" s="370">
        <v>0</v>
      </c>
      <c r="AE330" s="370">
        <v>0</v>
      </c>
      <c r="AF330" s="370">
        <v>-20</v>
      </c>
      <c r="AG330" s="31">
        <v>-20</v>
      </c>
      <c r="AH330" s="31"/>
      <c r="AI330" s="31">
        <v>1</v>
      </c>
      <c r="AJ330" s="370">
        <v>7.7960950000000002</v>
      </c>
      <c r="AK330" s="219">
        <v>0</v>
      </c>
      <c r="AL330" s="219">
        <v>14.29</v>
      </c>
      <c r="AM330" s="219">
        <v>16.71</v>
      </c>
      <c r="AN330" s="219">
        <v>0</v>
      </c>
      <c r="AO330" s="116">
        <v>0</v>
      </c>
      <c r="AP330" s="116">
        <v>0</v>
      </c>
      <c r="AQ330" s="116">
        <v>5</v>
      </c>
      <c r="AR330" s="116">
        <v>0</v>
      </c>
      <c r="AS330" s="116">
        <v>0</v>
      </c>
      <c r="AT330" s="116">
        <v>1</v>
      </c>
      <c r="AU330" s="385">
        <v>21829.066000000003</v>
      </c>
      <c r="AV330" s="332">
        <v>-34225.161000000007</v>
      </c>
      <c r="AW330" s="332">
        <v>-12396.095000000005</v>
      </c>
      <c r="AX330" s="332">
        <v>-24167.894499999999</v>
      </c>
      <c r="AY330" s="332">
        <v>0</v>
      </c>
      <c r="AZ330" s="332">
        <v>0</v>
      </c>
      <c r="BA330" s="332">
        <v>0</v>
      </c>
      <c r="BB330" s="31">
        <v>529421.8326160846</v>
      </c>
      <c r="BC330" s="31">
        <v>529421.8326160846</v>
      </c>
      <c r="BD330" s="29">
        <v>0</v>
      </c>
      <c r="BE330" s="31">
        <v>517026.51685999992</v>
      </c>
    </row>
    <row r="331" spans="1:57" ht="13">
      <c r="A331" s="153">
        <v>44572</v>
      </c>
      <c r="B331" s="10" t="s">
        <v>188</v>
      </c>
      <c r="C331" s="10">
        <v>44561000010</v>
      </c>
      <c r="D331" s="10" t="s">
        <v>64</v>
      </c>
      <c r="E331" s="10" t="s">
        <v>64</v>
      </c>
      <c r="F331" s="153">
        <v>44561</v>
      </c>
      <c r="G331" s="116" t="s">
        <v>39</v>
      </c>
      <c r="H331" s="116">
        <v>500000</v>
      </c>
      <c r="I331" s="116">
        <v>0</v>
      </c>
      <c r="J331" s="116">
        <v>500000</v>
      </c>
      <c r="K331" s="219">
        <v>0</v>
      </c>
      <c r="L331" s="116">
        <v>0</v>
      </c>
      <c r="M331" s="31">
        <v>500000</v>
      </c>
      <c r="N331" s="336">
        <v>500000</v>
      </c>
      <c r="O331" s="336">
        <v>0</v>
      </c>
      <c r="P331" s="219">
        <v>0</v>
      </c>
      <c r="Q331" s="332">
        <v>0</v>
      </c>
      <c r="R331" s="219">
        <v>0</v>
      </c>
      <c r="S331" s="332">
        <v>0</v>
      </c>
      <c r="T331" s="219">
        <v>0</v>
      </c>
      <c r="U331" s="332">
        <v>0</v>
      </c>
      <c r="V331" s="332">
        <v>0</v>
      </c>
      <c r="W331" s="370">
        <v>0</v>
      </c>
      <c r="X331" s="370">
        <v>0</v>
      </c>
      <c r="Y331" s="370">
        <v>0</v>
      </c>
      <c r="Z331" s="370">
        <v>0</v>
      </c>
      <c r="AA331" s="370">
        <v>0</v>
      </c>
      <c r="AB331" s="370">
        <v>0</v>
      </c>
      <c r="AC331" s="370">
        <v>0</v>
      </c>
      <c r="AD331" s="370">
        <v>0</v>
      </c>
      <c r="AE331" s="370">
        <v>0</v>
      </c>
      <c r="AF331" s="370">
        <v>0</v>
      </c>
      <c r="AG331" s="31">
        <v>0</v>
      </c>
      <c r="AH331" s="31">
        <v>1</v>
      </c>
      <c r="AI331" s="31">
        <v>1</v>
      </c>
      <c r="AJ331" s="370">
        <v>1</v>
      </c>
      <c r="AK331" s="219">
        <v>0</v>
      </c>
      <c r="AL331" s="219">
        <v>0</v>
      </c>
      <c r="AM331" s="219">
        <v>0</v>
      </c>
      <c r="AN331" s="219">
        <v>0</v>
      </c>
      <c r="AO331" s="116">
        <v>0</v>
      </c>
      <c r="AP331" s="116">
        <v>0</v>
      </c>
      <c r="AQ331" s="116">
        <v>1</v>
      </c>
      <c r="AR331" s="116">
        <v>0</v>
      </c>
      <c r="AS331" s="116">
        <v>0</v>
      </c>
      <c r="AT331" s="116">
        <v>1</v>
      </c>
      <c r="AU331" s="385">
        <v>0</v>
      </c>
      <c r="AV331" s="332">
        <v>0</v>
      </c>
      <c r="AW331" s="332">
        <v>0</v>
      </c>
      <c r="AX331" s="332">
        <v>500000</v>
      </c>
      <c r="AY331" s="332">
        <v>0</v>
      </c>
      <c r="AZ331" s="332">
        <v>0</v>
      </c>
      <c r="BA331" s="332">
        <v>0</v>
      </c>
      <c r="BB331" s="31">
        <v>500000</v>
      </c>
      <c r="BC331" s="31">
        <v>500000</v>
      </c>
      <c r="BD331" s="29">
        <v>0</v>
      </c>
      <c r="BE331" s="31">
        <v>500000</v>
      </c>
    </row>
    <row r="332" spans="1:57" ht="13">
      <c r="A332" s="153">
        <v>44573</v>
      </c>
      <c r="B332" s="10" t="s">
        <v>183</v>
      </c>
      <c r="C332" s="10">
        <v>44561000005</v>
      </c>
      <c r="D332" s="10" t="s">
        <v>64</v>
      </c>
      <c r="E332" s="10" t="s">
        <v>64</v>
      </c>
      <c r="F332" s="153">
        <v>44561</v>
      </c>
      <c r="G332" s="116" t="s">
        <v>39</v>
      </c>
      <c r="H332" s="116">
        <v>500000</v>
      </c>
      <c r="I332" s="116">
        <v>0</v>
      </c>
      <c r="J332" s="116">
        <v>500000</v>
      </c>
      <c r="K332" s="219">
        <v>0</v>
      </c>
      <c r="L332" s="116">
        <v>0</v>
      </c>
      <c r="M332" s="31">
        <v>500000</v>
      </c>
      <c r="N332" s="336">
        <v>500000</v>
      </c>
      <c r="O332" s="336">
        <v>0</v>
      </c>
      <c r="P332" s="219">
        <v>0</v>
      </c>
      <c r="Q332" s="332">
        <v>0</v>
      </c>
      <c r="R332" s="219">
        <v>0</v>
      </c>
      <c r="S332" s="332">
        <v>0</v>
      </c>
      <c r="T332" s="219">
        <v>0</v>
      </c>
      <c r="U332" s="332">
        <v>0</v>
      </c>
      <c r="V332" s="332">
        <v>0</v>
      </c>
      <c r="W332" s="370">
        <v>0</v>
      </c>
      <c r="X332" s="370">
        <v>0</v>
      </c>
      <c r="Y332" s="370">
        <v>0</v>
      </c>
      <c r="Z332" s="370">
        <v>0</v>
      </c>
      <c r="AA332" s="370">
        <v>0</v>
      </c>
      <c r="AB332" s="370">
        <v>0</v>
      </c>
      <c r="AC332" s="370">
        <v>0</v>
      </c>
      <c r="AD332" s="370">
        <v>0</v>
      </c>
      <c r="AE332" s="370">
        <v>0</v>
      </c>
      <c r="AF332" s="370">
        <v>0</v>
      </c>
      <c r="AG332" s="31">
        <v>0</v>
      </c>
      <c r="AH332" s="31">
        <v>1</v>
      </c>
      <c r="AI332" s="31">
        <v>0</v>
      </c>
      <c r="AJ332" s="370">
        <v>1</v>
      </c>
      <c r="AK332" s="219">
        <v>0</v>
      </c>
      <c r="AL332" s="219">
        <v>0</v>
      </c>
      <c r="AM332" s="219">
        <v>0</v>
      </c>
      <c r="AN332" s="219">
        <v>0</v>
      </c>
      <c r="AO332" s="116">
        <v>0</v>
      </c>
      <c r="AP332" s="116">
        <v>0</v>
      </c>
      <c r="AQ332" s="116">
        <v>1</v>
      </c>
      <c r="AR332" s="116">
        <v>0</v>
      </c>
      <c r="AS332" s="116">
        <v>0</v>
      </c>
      <c r="AT332" s="116">
        <v>1</v>
      </c>
      <c r="AU332" s="385">
        <v>0</v>
      </c>
      <c r="AV332" s="332">
        <v>0</v>
      </c>
      <c r="AW332" s="332">
        <v>0</v>
      </c>
      <c r="AX332" s="332">
        <v>500000</v>
      </c>
      <c r="AY332" s="332">
        <v>0</v>
      </c>
      <c r="AZ332" s="332">
        <v>0</v>
      </c>
      <c r="BA332" s="332">
        <v>0</v>
      </c>
      <c r="BB332" s="31">
        <v>499950.65747187095</v>
      </c>
      <c r="BC332" s="31">
        <v>0</v>
      </c>
      <c r="BD332" s="29">
        <v>0</v>
      </c>
      <c r="BE332" s="29">
        <v>0</v>
      </c>
    </row>
    <row r="333" spans="1:57" ht="13">
      <c r="A333" s="153">
        <v>44573</v>
      </c>
      <c r="B333" s="10" t="s">
        <v>183</v>
      </c>
      <c r="C333" s="10">
        <v>44562000011</v>
      </c>
      <c r="D333" s="10" t="s">
        <v>16</v>
      </c>
      <c r="E333" s="10" t="s">
        <v>42</v>
      </c>
      <c r="F333" s="153">
        <v>44562</v>
      </c>
      <c r="G333" s="116" t="s">
        <v>41</v>
      </c>
      <c r="H333" s="116">
        <v>447610.20799999998</v>
      </c>
      <c r="I333" s="116">
        <v>52389.792000000001</v>
      </c>
      <c r="J333" s="116">
        <v>500000</v>
      </c>
      <c r="K333" s="219">
        <v>447610.20799999998</v>
      </c>
      <c r="L333" s="116">
        <v>0</v>
      </c>
      <c r="M333" s="31">
        <v>-52389.792000000001</v>
      </c>
      <c r="N333" s="336">
        <v>-52389.792000000001</v>
      </c>
      <c r="O333" s="336">
        <v>52389.792000000001</v>
      </c>
      <c r="P333" s="219">
        <v>0</v>
      </c>
      <c r="Q333" s="332">
        <v>26194.896000000001</v>
      </c>
      <c r="R333" s="219">
        <v>2</v>
      </c>
      <c r="S333" s="332">
        <v>0</v>
      </c>
      <c r="T333" s="219">
        <v>0</v>
      </c>
      <c r="U333" s="332">
        <v>0</v>
      </c>
      <c r="V333" s="332">
        <v>0</v>
      </c>
      <c r="W333" s="370">
        <v>0</v>
      </c>
      <c r="X333" s="370">
        <v>0</v>
      </c>
      <c r="Y333" s="370">
        <v>0</v>
      </c>
      <c r="Z333" s="370">
        <v>0</v>
      </c>
      <c r="AA333" s="370">
        <v>0</v>
      </c>
      <c r="AB333" s="370">
        <v>2</v>
      </c>
      <c r="AC333" s="370">
        <v>0</v>
      </c>
      <c r="AD333" s="370">
        <v>0</v>
      </c>
      <c r="AE333" s="370">
        <v>0</v>
      </c>
      <c r="AF333" s="370">
        <v>-2</v>
      </c>
      <c r="AG333" s="31">
        <v>2</v>
      </c>
      <c r="AH333" s="31">
        <v>3304.14</v>
      </c>
      <c r="AI333" s="31">
        <v>0</v>
      </c>
      <c r="AJ333" s="370">
        <v>7.7920499999999997</v>
      </c>
      <c r="AK333" s="219">
        <v>3304.14</v>
      </c>
      <c r="AL333" s="219">
        <v>0</v>
      </c>
      <c r="AM333" s="219">
        <v>0</v>
      </c>
      <c r="AN333" s="219">
        <v>0</v>
      </c>
      <c r="AO333" s="116">
        <v>0</v>
      </c>
      <c r="AP333" s="116">
        <v>0</v>
      </c>
      <c r="AQ333" s="116">
        <v>2</v>
      </c>
      <c r="AR333" s="116">
        <v>51492.048173999996</v>
      </c>
      <c r="AS333" s="116">
        <v>51492.048173999996</v>
      </c>
      <c r="AT333" s="116">
        <v>1</v>
      </c>
      <c r="AU333" s="385">
        <v>0</v>
      </c>
      <c r="AV333" s="332">
        <v>0</v>
      </c>
      <c r="AW333" s="332">
        <v>0</v>
      </c>
      <c r="AX333" s="332">
        <v>-51492.048173999996</v>
      </c>
      <c r="AY333" s="332">
        <v>0</v>
      </c>
      <c r="AZ333" s="332">
        <v>0</v>
      </c>
      <c r="BA333" s="332">
        <v>0</v>
      </c>
      <c r="BB333" s="31">
        <v>447560.86547187093</v>
      </c>
      <c r="BC333" s="31">
        <v>0</v>
      </c>
      <c r="BD333" s="29">
        <v>0</v>
      </c>
      <c r="BE333" s="29">
        <v>0</v>
      </c>
    </row>
    <row r="334" spans="1:57" ht="13">
      <c r="A334" s="153">
        <v>44573</v>
      </c>
      <c r="B334" s="10" t="s">
        <v>183</v>
      </c>
      <c r="C334" s="10">
        <v>44563000012</v>
      </c>
      <c r="D334" s="10" t="s">
        <v>16</v>
      </c>
      <c r="E334" s="10" t="s">
        <v>38</v>
      </c>
      <c r="F334" s="153">
        <v>44563</v>
      </c>
      <c r="G334" s="116" t="s">
        <v>39</v>
      </c>
      <c r="H334" s="116">
        <v>443010.20799999998</v>
      </c>
      <c r="I334" s="116">
        <v>56989.792000000001</v>
      </c>
      <c r="J334" s="116">
        <v>500000</v>
      </c>
      <c r="K334" s="219">
        <v>443010.20799999998</v>
      </c>
      <c r="L334" s="116">
        <v>0</v>
      </c>
      <c r="M334" s="31">
        <v>-4600</v>
      </c>
      <c r="N334" s="336">
        <v>-4600</v>
      </c>
      <c r="O334" s="336">
        <v>4600</v>
      </c>
      <c r="P334" s="219">
        <v>0</v>
      </c>
      <c r="Q334" s="332">
        <v>460</v>
      </c>
      <c r="R334" s="219">
        <v>10</v>
      </c>
      <c r="S334" s="332">
        <v>0</v>
      </c>
      <c r="T334" s="219">
        <v>0</v>
      </c>
      <c r="U334" s="332">
        <v>0</v>
      </c>
      <c r="V334" s="332">
        <v>0</v>
      </c>
      <c r="W334" s="370">
        <v>0</v>
      </c>
      <c r="X334" s="370">
        <v>0</v>
      </c>
      <c r="Y334" s="370">
        <v>0</v>
      </c>
      <c r="Z334" s="370">
        <v>0</v>
      </c>
      <c r="AA334" s="370">
        <v>0</v>
      </c>
      <c r="AB334" s="370">
        <v>10</v>
      </c>
      <c r="AC334" s="370">
        <v>0</v>
      </c>
      <c r="AD334" s="370">
        <v>0</v>
      </c>
      <c r="AE334" s="370">
        <v>0</v>
      </c>
      <c r="AF334" s="370">
        <v>-10</v>
      </c>
      <c r="AG334" s="31">
        <v>10</v>
      </c>
      <c r="AH334" s="31">
        <v>480.8</v>
      </c>
      <c r="AI334" s="31">
        <v>0</v>
      </c>
      <c r="AJ334" s="370">
        <v>1</v>
      </c>
      <c r="AK334" s="219">
        <v>480.8</v>
      </c>
      <c r="AL334" s="219">
        <v>0</v>
      </c>
      <c r="AM334" s="219">
        <v>0</v>
      </c>
      <c r="AN334" s="219">
        <v>0</v>
      </c>
      <c r="AO334" s="116">
        <v>0</v>
      </c>
      <c r="AP334" s="116">
        <v>0</v>
      </c>
      <c r="AQ334" s="116">
        <v>3</v>
      </c>
      <c r="AR334" s="116">
        <v>4808</v>
      </c>
      <c r="AS334" s="116">
        <v>-2404</v>
      </c>
      <c r="AT334" s="116">
        <v>1</v>
      </c>
      <c r="AU334" s="385">
        <v>0</v>
      </c>
      <c r="AV334" s="332">
        <v>0</v>
      </c>
      <c r="AW334" s="332">
        <v>0</v>
      </c>
      <c r="AX334" s="332">
        <v>-4808</v>
      </c>
      <c r="AY334" s="332">
        <v>0</v>
      </c>
      <c r="AZ334" s="332">
        <v>0</v>
      </c>
      <c r="BA334" s="332">
        <v>0</v>
      </c>
      <c r="BB334" s="31">
        <v>442960.86547187093</v>
      </c>
      <c r="BC334" s="31">
        <v>0</v>
      </c>
      <c r="BD334" s="29">
        <v>0</v>
      </c>
      <c r="BE334" s="31">
        <v>0</v>
      </c>
    </row>
    <row r="335" spans="1:57" ht="13">
      <c r="A335" s="153">
        <v>44573</v>
      </c>
      <c r="B335" s="10" t="s">
        <v>183</v>
      </c>
      <c r="C335" s="10">
        <v>44563000013</v>
      </c>
      <c r="D335" s="10" t="s">
        <v>16</v>
      </c>
      <c r="E335" s="10" t="s">
        <v>40</v>
      </c>
      <c r="F335" s="153">
        <v>44563</v>
      </c>
      <c r="G335" s="116" t="s">
        <v>29</v>
      </c>
      <c r="H335" s="116">
        <v>480735.87624999997</v>
      </c>
      <c r="I335" s="116">
        <v>19264.123750000006</v>
      </c>
      <c r="J335" s="116">
        <v>500000</v>
      </c>
      <c r="K335" s="219">
        <v>409884.53975</v>
      </c>
      <c r="L335" s="116">
        <v>0</v>
      </c>
      <c r="M335" s="31">
        <v>37725.668249999995</v>
      </c>
      <c r="N335" s="336">
        <v>-37725.668249999995</v>
      </c>
      <c r="O335" s="336">
        <v>0</v>
      </c>
      <c r="P335" s="219">
        <v>-37725.668249999995</v>
      </c>
      <c r="Q335" s="332">
        <v>2515.0445499999996</v>
      </c>
      <c r="R335" s="219">
        <v>-15</v>
      </c>
      <c r="S335" s="332">
        <v>0</v>
      </c>
      <c r="T335" s="219">
        <v>0</v>
      </c>
      <c r="U335" s="332">
        <v>0</v>
      </c>
      <c r="V335" s="332">
        <v>0</v>
      </c>
      <c r="W335" s="370">
        <v>0</v>
      </c>
      <c r="X335" s="370">
        <v>0</v>
      </c>
      <c r="Y335" s="370">
        <v>0</v>
      </c>
      <c r="Z335" s="370">
        <v>0</v>
      </c>
      <c r="AA335" s="370">
        <v>0</v>
      </c>
      <c r="AB335" s="370">
        <v>-15</v>
      </c>
      <c r="AC335" s="370">
        <v>0</v>
      </c>
      <c r="AD335" s="370">
        <v>0</v>
      </c>
      <c r="AE335" s="370">
        <v>0</v>
      </c>
      <c r="AF335" s="370">
        <v>-15</v>
      </c>
      <c r="AG335" s="31">
        <v>-15</v>
      </c>
      <c r="AH335" s="31">
        <v>1967</v>
      </c>
      <c r="AI335" s="31">
        <v>0</v>
      </c>
      <c r="AJ335" s="370">
        <v>1.2252270000000001</v>
      </c>
      <c r="AK335" s="219">
        <v>1967</v>
      </c>
      <c r="AL335" s="219">
        <v>0</v>
      </c>
      <c r="AM335" s="219">
        <v>0</v>
      </c>
      <c r="AN335" s="219">
        <v>0</v>
      </c>
      <c r="AO335" s="116">
        <v>0</v>
      </c>
      <c r="AP335" s="116">
        <v>0</v>
      </c>
      <c r="AQ335" s="116">
        <v>4</v>
      </c>
      <c r="AR335" s="116">
        <v>-36150.322635000004</v>
      </c>
      <c r="AS335" s="116">
        <v>-36150.322635000004</v>
      </c>
      <c r="AT335" s="116">
        <v>1</v>
      </c>
      <c r="AU335" s="385">
        <v>0</v>
      </c>
      <c r="AV335" s="332">
        <v>0</v>
      </c>
      <c r="AW335" s="332">
        <v>0</v>
      </c>
      <c r="AX335" s="332">
        <v>-36150.322635000004</v>
      </c>
      <c r="AY335" s="332">
        <v>0</v>
      </c>
      <c r="AZ335" s="332">
        <v>-6.1238954245186017</v>
      </c>
      <c r="BA335" s="332">
        <v>0</v>
      </c>
      <c r="BB335" s="31">
        <v>480686.53372187092</v>
      </c>
      <c r="BC335" s="31">
        <v>0</v>
      </c>
      <c r="BD335" s="29">
        <v>0</v>
      </c>
      <c r="BE335" s="31">
        <v>0</v>
      </c>
    </row>
    <row r="336" spans="1:57" ht="13">
      <c r="A336" s="153">
        <v>44573</v>
      </c>
      <c r="B336" s="10" t="s">
        <v>183</v>
      </c>
      <c r="C336" s="10">
        <v>44563000014</v>
      </c>
      <c r="D336" s="10" t="s">
        <v>16</v>
      </c>
      <c r="E336" s="10" t="s">
        <v>36</v>
      </c>
      <c r="F336" s="153">
        <v>44563</v>
      </c>
      <c r="G336" s="116" t="s">
        <v>37</v>
      </c>
      <c r="H336" s="116">
        <v>416011.66724999994</v>
      </c>
      <c r="I336" s="116">
        <v>83988.332750000001</v>
      </c>
      <c r="J336" s="116">
        <v>499999.99999999994</v>
      </c>
      <c r="K336" s="219">
        <v>345160.33075000002</v>
      </c>
      <c r="L336" s="116">
        <v>0</v>
      </c>
      <c r="M336" s="31">
        <v>-64724.209000000003</v>
      </c>
      <c r="N336" s="336">
        <v>-64724.208999999995</v>
      </c>
      <c r="O336" s="336">
        <v>64724.209000000003</v>
      </c>
      <c r="P336" s="219">
        <v>0</v>
      </c>
      <c r="Q336" s="332">
        <v>6472.4209000000001</v>
      </c>
      <c r="R336" s="219">
        <v>10</v>
      </c>
      <c r="S336" s="332">
        <v>0</v>
      </c>
      <c r="T336" s="219">
        <v>0</v>
      </c>
      <c r="U336" s="332">
        <v>0</v>
      </c>
      <c r="V336" s="332">
        <v>0</v>
      </c>
      <c r="W336" s="370">
        <v>0</v>
      </c>
      <c r="X336" s="370">
        <v>0</v>
      </c>
      <c r="Y336" s="370">
        <v>0</v>
      </c>
      <c r="Z336" s="370">
        <v>0</v>
      </c>
      <c r="AA336" s="370">
        <v>0</v>
      </c>
      <c r="AB336" s="370">
        <v>10</v>
      </c>
      <c r="AC336" s="370">
        <v>0</v>
      </c>
      <c r="AD336" s="370">
        <v>0</v>
      </c>
      <c r="AE336" s="370">
        <v>0</v>
      </c>
      <c r="AF336" s="370">
        <v>-10</v>
      </c>
      <c r="AG336" s="31">
        <v>10</v>
      </c>
      <c r="AH336" s="31">
        <v>708.7</v>
      </c>
      <c r="AI336" s="31">
        <v>0</v>
      </c>
      <c r="AJ336" s="370">
        <v>8.9149999999999991</v>
      </c>
      <c r="AK336" s="219">
        <v>708.7</v>
      </c>
      <c r="AL336" s="219">
        <v>0</v>
      </c>
      <c r="AM336" s="219">
        <v>0</v>
      </c>
      <c r="AN336" s="219">
        <v>0</v>
      </c>
      <c r="AO336" s="116">
        <v>0</v>
      </c>
      <c r="AP336" s="116">
        <v>0</v>
      </c>
      <c r="AQ336" s="116">
        <v>5</v>
      </c>
      <c r="AR336" s="116">
        <v>63180.604999999996</v>
      </c>
      <c r="AS336" s="116">
        <v>-252722.41999999998</v>
      </c>
      <c r="AT336" s="116">
        <v>1</v>
      </c>
      <c r="AU336" s="385">
        <v>0</v>
      </c>
      <c r="AV336" s="332">
        <v>0</v>
      </c>
      <c r="AW336" s="332">
        <v>0</v>
      </c>
      <c r="AX336" s="332">
        <v>-63180.604999999996</v>
      </c>
      <c r="AY336" s="332">
        <v>0</v>
      </c>
      <c r="AZ336" s="332">
        <v>0</v>
      </c>
      <c r="BA336" s="332">
        <v>0</v>
      </c>
      <c r="BB336" s="31">
        <v>415962.32472187089</v>
      </c>
      <c r="BC336" s="31">
        <v>0</v>
      </c>
      <c r="BD336" s="29">
        <v>0</v>
      </c>
      <c r="BE336" s="31">
        <v>0</v>
      </c>
    </row>
    <row r="337" spans="1:57" ht="13">
      <c r="A337" s="153">
        <v>44573</v>
      </c>
      <c r="B337" s="10" t="s">
        <v>183</v>
      </c>
      <c r="C337" s="10">
        <v>44565000016</v>
      </c>
      <c r="D337" s="10" t="s">
        <v>16</v>
      </c>
      <c r="E337" s="10" t="s">
        <v>36</v>
      </c>
      <c r="F337" s="153">
        <v>44565</v>
      </c>
      <c r="G337" s="116" t="s">
        <v>37</v>
      </c>
      <c r="H337" s="116">
        <v>448553.16724999994</v>
      </c>
      <c r="I337" s="116">
        <v>51446.832750000001</v>
      </c>
      <c r="J337" s="116">
        <v>499999.99999999994</v>
      </c>
      <c r="K337" s="219">
        <v>507150.24874999997</v>
      </c>
      <c r="L337" s="116">
        <v>0</v>
      </c>
      <c r="M337" s="31">
        <v>32541.5</v>
      </c>
      <c r="N337" s="336">
        <v>32541.5</v>
      </c>
      <c r="O337" s="336">
        <v>0</v>
      </c>
      <c r="P337" s="219">
        <v>-32541.5</v>
      </c>
      <c r="Q337" s="332">
        <v>6508.3</v>
      </c>
      <c r="R337" s="219">
        <v>-5</v>
      </c>
      <c r="S337" s="332">
        <v>0</v>
      </c>
      <c r="T337" s="219">
        <v>0</v>
      </c>
      <c r="U337" s="332">
        <v>0</v>
      </c>
      <c r="V337" s="332">
        <v>0</v>
      </c>
      <c r="W337" s="370">
        <v>0</v>
      </c>
      <c r="X337" s="370">
        <v>10</v>
      </c>
      <c r="Y337" s="370">
        <v>0</v>
      </c>
      <c r="Z337" s="370">
        <v>0</v>
      </c>
      <c r="AA337" s="370">
        <v>0</v>
      </c>
      <c r="AB337" s="370">
        <v>5</v>
      </c>
      <c r="AC337" s="370">
        <v>0</v>
      </c>
      <c r="AD337" s="370">
        <v>0</v>
      </c>
      <c r="AE337" s="370">
        <v>0</v>
      </c>
      <c r="AF337" s="370">
        <v>5</v>
      </c>
      <c r="AG337" s="31">
        <v>-5</v>
      </c>
      <c r="AH337" s="31">
        <v>708.7</v>
      </c>
      <c r="AI337" s="31">
        <v>0</v>
      </c>
      <c r="AJ337" s="370">
        <v>8.9149999999999991</v>
      </c>
      <c r="AK337" s="219">
        <v>708.7</v>
      </c>
      <c r="AL337" s="219">
        <v>0</v>
      </c>
      <c r="AM337" s="219">
        <v>0</v>
      </c>
      <c r="AN337" s="219">
        <v>0</v>
      </c>
      <c r="AO337" s="116">
        <v>0</v>
      </c>
      <c r="AP337" s="116">
        <v>0</v>
      </c>
      <c r="AQ337" s="116">
        <v>5</v>
      </c>
      <c r="AR337" s="116">
        <v>-31590.302499999998</v>
      </c>
      <c r="AS337" s="116">
        <v>-252722.41999999998</v>
      </c>
      <c r="AT337" s="116">
        <v>0</v>
      </c>
      <c r="AU337" s="385">
        <v>0</v>
      </c>
      <c r="AV337" s="332">
        <v>0</v>
      </c>
      <c r="AW337" s="332">
        <v>0</v>
      </c>
      <c r="AX337" s="332">
        <v>31590.302499999998</v>
      </c>
      <c r="AY337" s="332">
        <v>0</v>
      </c>
      <c r="AZ337" s="332">
        <v>0</v>
      </c>
      <c r="BA337" s="332">
        <v>0</v>
      </c>
      <c r="BB337" s="31">
        <v>448503.82472187089</v>
      </c>
      <c r="BC337" s="31">
        <v>0</v>
      </c>
      <c r="BD337" s="29">
        <v>0</v>
      </c>
      <c r="BE337" s="31">
        <v>0</v>
      </c>
    </row>
    <row r="338" spans="1:57" ht="13">
      <c r="A338" s="153">
        <v>44573</v>
      </c>
      <c r="B338" s="10" t="s">
        <v>183</v>
      </c>
      <c r="C338" s="10">
        <v>44566000017</v>
      </c>
      <c r="D338" s="10" t="s">
        <v>16</v>
      </c>
      <c r="E338" s="10" t="s">
        <v>36</v>
      </c>
      <c r="F338" s="153">
        <v>44566</v>
      </c>
      <c r="G338" s="116" t="s">
        <v>37</v>
      </c>
      <c r="H338" s="116">
        <v>422451.84284999996</v>
      </c>
      <c r="I338" s="116">
        <v>77548.157149999999</v>
      </c>
      <c r="J338" s="116">
        <v>499999.99999999994</v>
      </c>
      <c r="K338" s="219">
        <v>415965.92434999999</v>
      </c>
      <c r="L338" s="116">
        <v>0</v>
      </c>
      <c r="M338" s="31">
        <v>-26101.324400000001</v>
      </c>
      <c r="N338" s="336">
        <v>-26101.324400000001</v>
      </c>
      <c r="O338" s="336">
        <v>26101.324400000001</v>
      </c>
      <c r="P338" s="219">
        <v>0</v>
      </c>
      <c r="Q338" s="332">
        <v>6525.3311000000003</v>
      </c>
      <c r="R338" s="219">
        <v>4</v>
      </c>
      <c r="S338" s="332">
        <v>0</v>
      </c>
      <c r="T338" s="219">
        <v>0</v>
      </c>
      <c r="U338" s="332">
        <v>0</v>
      </c>
      <c r="V338" s="332">
        <v>0</v>
      </c>
      <c r="W338" s="370">
        <v>0</v>
      </c>
      <c r="X338" s="370">
        <v>5</v>
      </c>
      <c r="Y338" s="370">
        <v>0</v>
      </c>
      <c r="Z338" s="370">
        <v>0</v>
      </c>
      <c r="AA338" s="370">
        <v>0</v>
      </c>
      <c r="AB338" s="370">
        <v>9</v>
      </c>
      <c r="AC338" s="370">
        <v>0</v>
      </c>
      <c r="AD338" s="370">
        <v>0</v>
      </c>
      <c r="AE338" s="370">
        <v>0</v>
      </c>
      <c r="AF338" s="370">
        <v>-4</v>
      </c>
      <c r="AG338" s="31">
        <v>4</v>
      </c>
      <c r="AH338" s="31">
        <v>708.7</v>
      </c>
      <c r="AI338" s="31">
        <v>0</v>
      </c>
      <c r="AJ338" s="370">
        <v>8.9149999999999991</v>
      </c>
      <c r="AK338" s="219">
        <v>708.7</v>
      </c>
      <c r="AL338" s="219">
        <v>0</v>
      </c>
      <c r="AM338" s="219">
        <v>0</v>
      </c>
      <c r="AN338" s="219">
        <v>0</v>
      </c>
      <c r="AO338" s="116">
        <v>0</v>
      </c>
      <c r="AP338" s="116">
        <v>0</v>
      </c>
      <c r="AQ338" s="116">
        <v>5</v>
      </c>
      <c r="AR338" s="116">
        <v>25272.241999999998</v>
      </c>
      <c r="AS338" s="116">
        <v>-252722.41999999998</v>
      </c>
      <c r="AT338" s="116">
        <v>0</v>
      </c>
      <c r="AU338" s="385">
        <v>0</v>
      </c>
      <c r="AV338" s="332">
        <v>0</v>
      </c>
      <c r="AW338" s="332">
        <v>0</v>
      </c>
      <c r="AX338" s="332">
        <v>-25272.241999999998</v>
      </c>
      <c r="AY338" s="332">
        <v>0</v>
      </c>
      <c r="AZ338" s="332">
        <v>0</v>
      </c>
      <c r="BA338" s="332">
        <v>0</v>
      </c>
      <c r="BB338" s="31">
        <v>422402.5003218709</v>
      </c>
      <c r="BC338" s="31">
        <v>0</v>
      </c>
      <c r="BD338" s="29">
        <v>0</v>
      </c>
      <c r="BE338" s="31">
        <v>0</v>
      </c>
    </row>
    <row r="339" spans="1:57" ht="13">
      <c r="A339" s="153">
        <v>44573</v>
      </c>
      <c r="B339" s="10" t="s">
        <v>183</v>
      </c>
      <c r="C339" s="10">
        <v>44567000018</v>
      </c>
      <c r="D339" s="10" t="s">
        <v>16</v>
      </c>
      <c r="E339" s="10" t="s">
        <v>36</v>
      </c>
      <c r="F339" s="153">
        <v>44567</v>
      </c>
      <c r="G339" s="116" t="s">
        <v>37</v>
      </c>
      <c r="H339" s="116">
        <v>344208.43124999997</v>
      </c>
      <c r="I339" s="116">
        <v>155791.56874999998</v>
      </c>
      <c r="J339" s="116">
        <v>499999.99999999994</v>
      </c>
      <c r="K339" s="219">
        <v>389925.16154999996</v>
      </c>
      <c r="L339" s="116">
        <v>0</v>
      </c>
      <c r="M339" s="31">
        <v>-78243.411599999992</v>
      </c>
      <c r="N339" s="336">
        <v>-78243.411599999992</v>
      </c>
      <c r="O339" s="336">
        <v>78243.411599999992</v>
      </c>
      <c r="P339" s="219">
        <v>0</v>
      </c>
      <c r="Q339" s="332">
        <v>6520.2842999999993</v>
      </c>
      <c r="R339" s="219">
        <v>12</v>
      </c>
      <c r="S339" s="332">
        <v>0</v>
      </c>
      <c r="T339" s="219">
        <v>0</v>
      </c>
      <c r="U339" s="332">
        <v>0</v>
      </c>
      <c r="V339" s="332">
        <v>0</v>
      </c>
      <c r="W339" s="370">
        <v>0</v>
      </c>
      <c r="X339" s="370">
        <v>9</v>
      </c>
      <c r="Y339" s="370">
        <v>0</v>
      </c>
      <c r="Z339" s="370">
        <v>0</v>
      </c>
      <c r="AA339" s="370">
        <v>0</v>
      </c>
      <c r="AB339" s="370">
        <v>21</v>
      </c>
      <c r="AC339" s="370">
        <v>0</v>
      </c>
      <c r="AD339" s="370">
        <v>0</v>
      </c>
      <c r="AE339" s="370">
        <v>0</v>
      </c>
      <c r="AF339" s="370">
        <v>-12</v>
      </c>
      <c r="AG339" s="31">
        <v>12</v>
      </c>
      <c r="AH339" s="31">
        <v>708.7</v>
      </c>
      <c r="AI339" s="31">
        <v>0</v>
      </c>
      <c r="AJ339" s="370">
        <v>8.9149999999999991</v>
      </c>
      <c r="AK339" s="219">
        <v>708.7</v>
      </c>
      <c r="AL339" s="219">
        <v>0</v>
      </c>
      <c r="AM339" s="219">
        <v>0</v>
      </c>
      <c r="AN339" s="219">
        <v>0</v>
      </c>
      <c r="AO339" s="116">
        <v>0</v>
      </c>
      <c r="AP339" s="116">
        <v>0</v>
      </c>
      <c r="AQ339" s="116">
        <v>5</v>
      </c>
      <c r="AR339" s="116">
        <v>75816.72600000001</v>
      </c>
      <c r="AS339" s="116">
        <v>-252722.41999999998</v>
      </c>
      <c r="AT339" s="116">
        <v>0</v>
      </c>
      <c r="AU339" s="385">
        <v>0</v>
      </c>
      <c r="AV339" s="332">
        <v>0</v>
      </c>
      <c r="AW339" s="332">
        <v>0</v>
      </c>
      <c r="AX339" s="332">
        <v>-75816.725999999995</v>
      </c>
      <c r="AY339" s="332">
        <v>0</v>
      </c>
      <c r="AZ339" s="332">
        <v>0</v>
      </c>
      <c r="BA339" s="332">
        <v>0</v>
      </c>
      <c r="BB339" s="31">
        <v>344159.08872187091</v>
      </c>
      <c r="BC339" s="31">
        <v>0</v>
      </c>
      <c r="BD339" s="29">
        <v>0</v>
      </c>
      <c r="BE339" s="31">
        <v>0</v>
      </c>
    </row>
    <row r="340" spans="1:57" ht="13">
      <c r="A340" s="153">
        <v>44573</v>
      </c>
      <c r="B340" s="10" t="s">
        <v>183</v>
      </c>
      <c r="C340" s="10">
        <v>44567000020</v>
      </c>
      <c r="D340" s="10" t="s">
        <v>16</v>
      </c>
      <c r="E340" s="10" t="s">
        <v>36</v>
      </c>
      <c r="F340" s="153">
        <v>44567</v>
      </c>
      <c r="G340" s="116" t="s">
        <v>37</v>
      </c>
      <c r="H340" s="116">
        <v>324647.57834999997</v>
      </c>
      <c r="I340" s="116">
        <v>175352.42164999997</v>
      </c>
      <c r="J340" s="116">
        <v>499999.99999999994</v>
      </c>
      <c r="K340" s="219">
        <v>526851.13185000001</v>
      </c>
      <c r="L340" s="116">
        <v>0</v>
      </c>
      <c r="M340" s="31">
        <v>-19560.852899999998</v>
      </c>
      <c r="N340" s="336">
        <v>-19560.852899999998</v>
      </c>
      <c r="O340" s="336">
        <v>19560.852899999998</v>
      </c>
      <c r="P340" s="219">
        <v>0</v>
      </c>
      <c r="Q340" s="332">
        <v>6520.2842999999993</v>
      </c>
      <c r="R340" s="219">
        <v>3</v>
      </c>
      <c r="S340" s="332">
        <v>0</v>
      </c>
      <c r="T340" s="219">
        <v>0</v>
      </c>
      <c r="U340" s="332">
        <v>0</v>
      </c>
      <c r="V340" s="332">
        <v>0</v>
      </c>
      <c r="W340" s="370">
        <v>0</v>
      </c>
      <c r="X340" s="370">
        <v>21</v>
      </c>
      <c r="Y340" s="370">
        <v>0</v>
      </c>
      <c r="Z340" s="370">
        <v>0</v>
      </c>
      <c r="AA340" s="370">
        <v>0</v>
      </c>
      <c r="AB340" s="370">
        <v>24</v>
      </c>
      <c r="AC340" s="370">
        <v>0</v>
      </c>
      <c r="AD340" s="370">
        <v>0</v>
      </c>
      <c r="AE340" s="370">
        <v>0</v>
      </c>
      <c r="AF340" s="370">
        <v>-3</v>
      </c>
      <c r="AG340" s="31">
        <v>3</v>
      </c>
      <c r="AH340" s="31">
        <v>708.7</v>
      </c>
      <c r="AI340" s="31">
        <v>0</v>
      </c>
      <c r="AJ340" s="370">
        <v>8.9149999999999991</v>
      </c>
      <c r="AK340" s="219">
        <v>708.7</v>
      </c>
      <c r="AL340" s="219">
        <v>0</v>
      </c>
      <c r="AM340" s="219">
        <v>0</v>
      </c>
      <c r="AN340" s="219">
        <v>0</v>
      </c>
      <c r="AO340" s="116">
        <v>0</v>
      </c>
      <c r="AP340" s="116">
        <v>0</v>
      </c>
      <c r="AQ340" s="116">
        <v>5</v>
      </c>
      <c r="AR340" s="116">
        <v>18954.181500000002</v>
      </c>
      <c r="AS340" s="116">
        <v>-252722.41999999998</v>
      </c>
      <c r="AT340" s="116">
        <v>0</v>
      </c>
      <c r="AU340" s="385">
        <v>0</v>
      </c>
      <c r="AV340" s="332">
        <v>0</v>
      </c>
      <c r="AW340" s="332">
        <v>0</v>
      </c>
      <c r="AX340" s="332">
        <v>-18954.181499999999</v>
      </c>
      <c r="AY340" s="332">
        <v>0</v>
      </c>
      <c r="AZ340" s="332">
        <v>0</v>
      </c>
      <c r="BA340" s="332">
        <v>0</v>
      </c>
      <c r="BB340" s="31">
        <v>324598.23582187091</v>
      </c>
      <c r="BC340" s="31">
        <v>0</v>
      </c>
      <c r="BD340" s="29">
        <v>0</v>
      </c>
      <c r="BE340" s="31">
        <v>0</v>
      </c>
    </row>
    <row r="341" spans="1:57" ht="13">
      <c r="A341" s="153">
        <v>44573</v>
      </c>
      <c r="B341" s="10" t="s">
        <v>183</v>
      </c>
      <c r="C341" s="10">
        <v>44568000021</v>
      </c>
      <c r="D341" s="10" t="s">
        <v>16</v>
      </c>
      <c r="E341" s="10" t="s">
        <v>36</v>
      </c>
      <c r="F341" s="153">
        <v>44568</v>
      </c>
      <c r="G341" s="116" t="s">
        <v>37</v>
      </c>
      <c r="H341" s="116">
        <v>407579.05034999998</v>
      </c>
      <c r="I341" s="116">
        <v>92420.949649999966</v>
      </c>
      <c r="J341" s="116">
        <v>499999.99999999994</v>
      </c>
      <c r="K341" s="219">
        <v>648904.30964999995</v>
      </c>
      <c r="L341" s="116">
        <v>0</v>
      </c>
      <c r="M341" s="31">
        <v>82931.472000000009</v>
      </c>
      <c r="N341" s="336">
        <v>82931.472000000009</v>
      </c>
      <c r="O341" s="336">
        <v>0</v>
      </c>
      <c r="P341" s="219">
        <v>-82931.472000000009</v>
      </c>
      <c r="Q341" s="332">
        <v>6379.344000000001</v>
      </c>
      <c r="R341" s="219">
        <v>-13</v>
      </c>
      <c r="S341" s="332">
        <v>0</v>
      </c>
      <c r="T341" s="219">
        <v>0</v>
      </c>
      <c r="U341" s="332">
        <v>0</v>
      </c>
      <c r="V341" s="332">
        <v>0</v>
      </c>
      <c r="W341" s="370">
        <v>0</v>
      </c>
      <c r="X341" s="370">
        <v>24</v>
      </c>
      <c r="Y341" s="370">
        <v>0</v>
      </c>
      <c r="Z341" s="370">
        <v>0</v>
      </c>
      <c r="AA341" s="370">
        <v>0</v>
      </c>
      <c r="AB341" s="370">
        <v>11</v>
      </c>
      <c r="AC341" s="370">
        <v>0</v>
      </c>
      <c r="AD341" s="370">
        <v>0</v>
      </c>
      <c r="AE341" s="370">
        <v>0</v>
      </c>
      <c r="AF341" s="370">
        <v>13</v>
      </c>
      <c r="AG341" s="31">
        <v>-13</v>
      </c>
      <c r="AH341" s="31">
        <v>708.7</v>
      </c>
      <c r="AI341" s="31">
        <v>0</v>
      </c>
      <c r="AJ341" s="370">
        <v>8.9149999999999991</v>
      </c>
      <c r="AK341" s="219">
        <v>708.7</v>
      </c>
      <c r="AL341" s="219">
        <v>0</v>
      </c>
      <c r="AM341" s="219">
        <v>0</v>
      </c>
      <c r="AN341" s="219">
        <v>0</v>
      </c>
      <c r="AO341" s="116">
        <v>0</v>
      </c>
      <c r="AP341" s="116">
        <v>0</v>
      </c>
      <c r="AQ341" s="116">
        <v>5</v>
      </c>
      <c r="AR341" s="116">
        <v>-82134.786500000002</v>
      </c>
      <c r="AS341" s="116">
        <v>-252722.41999999998</v>
      </c>
      <c r="AT341" s="116">
        <v>0</v>
      </c>
      <c r="AU341" s="385">
        <v>0</v>
      </c>
      <c r="AV341" s="332">
        <v>0</v>
      </c>
      <c r="AW341" s="332">
        <v>0</v>
      </c>
      <c r="AX341" s="332">
        <v>82134.786499999987</v>
      </c>
      <c r="AY341" s="332">
        <v>0</v>
      </c>
      <c r="AZ341" s="332">
        <v>0</v>
      </c>
      <c r="BA341" s="332">
        <v>0</v>
      </c>
      <c r="BB341" s="31">
        <v>407529.70782187092</v>
      </c>
      <c r="BC341" s="31">
        <v>0</v>
      </c>
      <c r="BD341" s="29">
        <v>0</v>
      </c>
      <c r="BE341" s="31">
        <v>0</v>
      </c>
    </row>
    <row r="342" spans="1:57" ht="13">
      <c r="A342" s="153">
        <v>44573</v>
      </c>
      <c r="B342" s="10" t="s">
        <v>183</v>
      </c>
      <c r="C342" s="10">
        <v>44569000022</v>
      </c>
      <c r="D342" s="10" t="s">
        <v>16</v>
      </c>
      <c r="E342" s="10" t="s">
        <v>36</v>
      </c>
      <c r="F342" s="153">
        <v>44569</v>
      </c>
      <c r="G342" s="116" t="s">
        <v>37</v>
      </c>
      <c r="H342" s="116">
        <v>732923.75835000002</v>
      </c>
      <c r="I342" s="116">
        <v>-232923.75835000008</v>
      </c>
      <c r="J342" s="116">
        <v>499999.99999999994</v>
      </c>
      <c r="K342" s="219">
        <v>298041.43364999985</v>
      </c>
      <c r="L342" s="116">
        <v>0</v>
      </c>
      <c r="M342" s="31">
        <v>325344.70800000004</v>
      </c>
      <c r="N342" s="336">
        <v>-184999.93200000003</v>
      </c>
      <c r="O342" s="336">
        <v>0</v>
      </c>
      <c r="P342" s="219">
        <v>-325344.70800000004</v>
      </c>
      <c r="Q342" s="332">
        <v>6379.3080000000009</v>
      </c>
      <c r="R342" s="219">
        <v>-51</v>
      </c>
      <c r="S342" s="332">
        <v>0</v>
      </c>
      <c r="T342" s="219">
        <v>0</v>
      </c>
      <c r="U342" s="332">
        <v>0</v>
      </c>
      <c r="V342" s="332">
        <v>0</v>
      </c>
      <c r="W342" s="370">
        <v>0</v>
      </c>
      <c r="X342" s="370">
        <v>11</v>
      </c>
      <c r="Y342" s="370">
        <v>0</v>
      </c>
      <c r="Z342" s="370">
        <v>0</v>
      </c>
      <c r="AA342" s="370">
        <v>0</v>
      </c>
      <c r="AB342" s="370">
        <v>-40</v>
      </c>
      <c r="AC342" s="370">
        <v>0</v>
      </c>
      <c r="AD342" s="370">
        <v>0</v>
      </c>
      <c r="AE342" s="370">
        <v>0</v>
      </c>
      <c r="AF342" s="370">
        <v>-29</v>
      </c>
      <c r="AG342" s="31">
        <v>-51</v>
      </c>
      <c r="AH342" s="31">
        <v>708.7</v>
      </c>
      <c r="AI342" s="31">
        <v>0</v>
      </c>
      <c r="AJ342" s="370">
        <v>8.9149999999999991</v>
      </c>
      <c r="AK342" s="219">
        <v>708.7</v>
      </c>
      <c r="AL342" s="219">
        <v>0</v>
      </c>
      <c r="AM342" s="219">
        <v>0</v>
      </c>
      <c r="AN342" s="219">
        <v>0</v>
      </c>
      <c r="AO342" s="116">
        <v>0</v>
      </c>
      <c r="AP342" s="116">
        <v>0</v>
      </c>
      <c r="AQ342" s="116">
        <v>5</v>
      </c>
      <c r="AR342" s="116">
        <v>-322221.08549999999</v>
      </c>
      <c r="AS342" s="116">
        <v>-252722.41999999998</v>
      </c>
      <c r="AT342" s="116">
        <v>0</v>
      </c>
      <c r="AU342" s="385">
        <v>0</v>
      </c>
      <c r="AV342" s="332">
        <v>0</v>
      </c>
      <c r="AW342" s="332">
        <v>0</v>
      </c>
      <c r="AX342" s="332">
        <v>-183223.75449999998</v>
      </c>
      <c r="AY342" s="332">
        <v>0</v>
      </c>
      <c r="AZ342" s="332">
        <v>-42.811393058297888</v>
      </c>
      <c r="BA342" s="332">
        <v>0</v>
      </c>
      <c r="BB342" s="31">
        <v>732874.41582187102</v>
      </c>
      <c r="BC342" s="31">
        <v>0</v>
      </c>
      <c r="BD342" s="29">
        <v>0</v>
      </c>
      <c r="BE342" s="31">
        <v>0</v>
      </c>
    </row>
    <row r="343" spans="1:57" ht="13">
      <c r="A343" s="153">
        <v>44573</v>
      </c>
      <c r="B343" s="10" t="s">
        <v>183</v>
      </c>
      <c r="C343" s="10">
        <v>44570000023</v>
      </c>
      <c r="D343" s="10" t="s">
        <v>16</v>
      </c>
      <c r="E343" s="10" t="s">
        <v>38</v>
      </c>
      <c r="F343" s="153">
        <v>44570</v>
      </c>
      <c r="G343" s="116" t="s">
        <v>39</v>
      </c>
      <c r="H343" s="116">
        <v>739598.75835000002</v>
      </c>
      <c r="I343" s="116">
        <v>-239598.75835000008</v>
      </c>
      <c r="J343" s="116">
        <v>499999.99999999994</v>
      </c>
      <c r="K343" s="219">
        <v>159921.65764999983</v>
      </c>
      <c r="L343" s="116">
        <v>0</v>
      </c>
      <c r="M343" s="31">
        <v>6675</v>
      </c>
      <c r="N343" s="336">
        <v>2225</v>
      </c>
      <c r="O343" s="336">
        <v>0</v>
      </c>
      <c r="P343" s="219">
        <v>-6675</v>
      </c>
      <c r="Q343" s="332">
        <v>445</v>
      </c>
      <c r="R343" s="219">
        <v>-15</v>
      </c>
      <c r="S343" s="332">
        <v>0</v>
      </c>
      <c r="T343" s="219">
        <v>0</v>
      </c>
      <c r="U343" s="332">
        <v>0</v>
      </c>
      <c r="V343" s="332">
        <v>0</v>
      </c>
      <c r="W343" s="370">
        <v>0</v>
      </c>
      <c r="X343" s="370">
        <v>10</v>
      </c>
      <c r="Y343" s="370">
        <v>0</v>
      </c>
      <c r="Z343" s="370">
        <v>0</v>
      </c>
      <c r="AA343" s="370">
        <v>0</v>
      </c>
      <c r="AB343" s="370">
        <v>-5</v>
      </c>
      <c r="AC343" s="370">
        <v>0</v>
      </c>
      <c r="AD343" s="370">
        <v>0</v>
      </c>
      <c r="AE343" s="370">
        <v>0</v>
      </c>
      <c r="AF343" s="370">
        <v>5</v>
      </c>
      <c r="AG343" s="31">
        <v>-15</v>
      </c>
      <c r="AH343" s="31">
        <v>480.8</v>
      </c>
      <c r="AI343" s="31">
        <v>1</v>
      </c>
      <c r="AJ343" s="370">
        <v>1</v>
      </c>
      <c r="AK343" s="219">
        <v>480.8</v>
      </c>
      <c r="AL343" s="219">
        <v>0</v>
      </c>
      <c r="AM343" s="219">
        <v>0</v>
      </c>
      <c r="AN343" s="219">
        <v>0</v>
      </c>
      <c r="AO343" s="116">
        <v>0</v>
      </c>
      <c r="AP343" s="116">
        <v>0</v>
      </c>
      <c r="AQ343" s="116">
        <v>5</v>
      </c>
      <c r="AR343" s="116">
        <v>-7212</v>
      </c>
      <c r="AS343" s="116">
        <v>-2404</v>
      </c>
      <c r="AT343" s="116">
        <v>0</v>
      </c>
      <c r="AU343" s="385">
        <v>51492.048173999996</v>
      </c>
      <c r="AV343" s="332">
        <v>-291276.74263499997</v>
      </c>
      <c r="AW343" s="332">
        <v>-239784.69446099998</v>
      </c>
      <c r="AX343" s="332">
        <v>2404</v>
      </c>
      <c r="AY343" s="332">
        <v>0</v>
      </c>
      <c r="AZ343" s="332">
        <v>-0.40723964621796566</v>
      </c>
      <c r="BA343" s="332">
        <v>0</v>
      </c>
      <c r="BB343" s="31">
        <v>739549.41582187102</v>
      </c>
      <c r="BC343" s="31">
        <v>739549.41582187102</v>
      </c>
      <c r="BD343" s="29">
        <v>0</v>
      </c>
      <c r="BE343" s="31">
        <v>499814.06388900004</v>
      </c>
    </row>
    <row r="344" spans="1:57" ht="13">
      <c r="A344" s="153">
        <v>44573</v>
      </c>
      <c r="B344" s="10" t="s">
        <v>184</v>
      </c>
      <c r="C344" s="10">
        <v>44561000006</v>
      </c>
      <c r="D344" s="10" t="s">
        <v>64</v>
      </c>
      <c r="E344" s="10" t="s">
        <v>64</v>
      </c>
      <c r="F344" s="153">
        <v>44561</v>
      </c>
      <c r="G344" s="116" t="s">
        <v>39</v>
      </c>
      <c r="H344" s="116">
        <v>500000</v>
      </c>
      <c r="I344" s="116">
        <v>0</v>
      </c>
      <c r="J344" s="116">
        <v>500000</v>
      </c>
      <c r="K344" s="219">
        <v>0</v>
      </c>
      <c r="L344" s="116">
        <v>0</v>
      </c>
      <c r="M344" s="31">
        <v>500000</v>
      </c>
      <c r="N344" s="336">
        <v>500000</v>
      </c>
      <c r="O344" s="336">
        <v>0</v>
      </c>
      <c r="P344" s="219">
        <v>0</v>
      </c>
      <c r="Q344" s="332">
        <v>0</v>
      </c>
      <c r="R344" s="219">
        <v>0</v>
      </c>
      <c r="S344" s="332">
        <v>0</v>
      </c>
      <c r="T344" s="219">
        <v>0</v>
      </c>
      <c r="U344" s="332">
        <v>0</v>
      </c>
      <c r="V344" s="332">
        <v>0</v>
      </c>
      <c r="W344" s="370">
        <v>0</v>
      </c>
      <c r="X344" s="370">
        <v>0</v>
      </c>
      <c r="Y344" s="370">
        <v>0</v>
      </c>
      <c r="Z344" s="370">
        <v>0</v>
      </c>
      <c r="AA344" s="370">
        <v>0</v>
      </c>
      <c r="AB344" s="370">
        <v>0</v>
      </c>
      <c r="AC344" s="370">
        <v>0</v>
      </c>
      <c r="AD344" s="370">
        <v>0</v>
      </c>
      <c r="AE344" s="370">
        <v>0</v>
      </c>
      <c r="AF344" s="370">
        <v>0</v>
      </c>
      <c r="AG344" s="31">
        <v>0</v>
      </c>
      <c r="AH344" s="31">
        <v>1</v>
      </c>
      <c r="AI344" s="31">
        <v>0</v>
      </c>
      <c r="AJ344" s="370">
        <v>1</v>
      </c>
      <c r="AK344" s="219">
        <v>0</v>
      </c>
      <c r="AL344" s="219">
        <v>0</v>
      </c>
      <c r="AM344" s="219">
        <v>0</v>
      </c>
      <c r="AN344" s="219">
        <v>0</v>
      </c>
      <c r="AO344" s="116">
        <v>0</v>
      </c>
      <c r="AP344" s="116">
        <v>0</v>
      </c>
      <c r="AQ344" s="116">
        <v>1</v>
      </c>
      <c r="AR344" s="116">
        <v>0</v>
      </c>
      <c r="AS344" s="116">
        <v>0</v>
      </c>
      <c r="AT344" s="116">
        <v>1</v>
      </c>
      <c r="AU344" s="385">
        <v>0</v>
      </c>
      <c r="AV344" s="332">
        <v>0</v>
      </c>
      <c r="AW344" s="332">
        <v>0</v>
      </c>
      <c r="AX344" s="332">
        <v>500000</v>
      </c>
      <c r="AY344" s="332">
        <v>0</v>
      </c>
      <c r="AZ344" s="332">
        <v>0</v>
      </c>
      <c r="BA344" s="332">
        <v>0</v>
      </c>
      <c r="BB344" s="31">
        <v>499853.14140136068</v>
      </c>
      <c r="BC344" s="31">
        <v>0</v>
      </c>
      <c r="BD344" s="29">
        <v>0</v>
      </c>
      <c r="BE344" s="31">
        <v>0</v>
      </c>
    </row>
    <row r="345" spans="1:57" ht="13">
      <c r="A345" s="153">
        <v>44573</v>
      </c>
      <c r="B345" s="10" t="s">
        <v>184</v>
      </c>
      <c r="C345" s="10">
        <v>44563000025</v>
      </c>
      <c r="D345" s="10" t="s">
        <v>16</v>
      </c>
      <c r="E345" s="10" t="s">
        <v>40</v>
      </c>
      <c r="F345" s="153">
        <v>44563</v>
      </c>
      <c r="G345" s="116" t="s">
        <v>29</v>
      </c>
      <c r="H345" s="116">
        <v>450189.84940000001</v>
      </c>
      <c r="I345" s="116">
        <v>49810.150599999994</v>
      </c>
      <c r="J345" s="116">
        <v>500000</v>
      </c>
      <c r="K345" s="219">
        <v>450189.84940000001</v>
      </c>
      <c r="L345" s="116">
        <v>0</v>
      </c>
      <c r="M345" s="31">
        <v>-49810.150599999994</v>
      </c>
      <c r="N345" s="336">
        <v>-49810.150599999994</v>
      </c>
      <c r="O345" s="336">
        <v>49810.150599999994</v>
      </c>
      <c r="P345" s="219">
        <v>0</v>
      </c>
      <c r="Q345" s="332">
        <v>2490.5075299999999</v>
      </c>
      <c r="R345" s="219">
        <v>20</v>
      </c>
      <c r="S345" s="332">
        <v>0</v>
      </c>
      <c r="T345" s="219">
        <v>0</v>
      </c>
      <c r="U345" s="332">
        <v>0</v>
      </c>
      <c r="V345" s="332">
        <v>0</v>
      </c>
      <c r="W345" s="370">
        <v>0</v>
      </c>
      <c r="X345" s="370">
        <v>0</v>
      </c>
      <c r="Y345" s="370">
        <v>0</v>
      </c>
      <c r="Z345" s="370">
        <v>0</v>
      </c>
      <c r="AA345" s="370">
        <v>0</v>
      </c>
      <c r="AB345" s="370">
        <v>20</v>
      </c>
      <c r="AC345" s="370">
        <v>0</v>
      </c>
      <c r="AD345" s="370">
        <v>0</v>
      </c>
      <c r="AE345" s="370">
        <v>0</v>
      </c>
      <c r="AF345" s="370">
        <v>-20</v>
      </c>
      <c r="AG345" s="31">
        <v>20</v>
      </c>
      <c r="AH345" s="31">
        <v>1967</v>
      </c>
      <c r="AI345" s="31">
        <v>0</v>
      </c>
      <c r="AJ345" s="370">
        <v>1.2252270000000001</v>
      </c>
      <c r="AK345" s="219">
        <v>1967</v>
      </c>
      <c r="AL345" s="219">
        <v>0</v>
      </c>
      <c r="AM345" s="219">
        <v>0</v>
      </c>
      <c r="AN345" s="219">
        <v>0</v>
      </c>
      <c r="AO345" s="116">
        <v>0</v>
      </c>
      <c r="AP345" s="116">
        <v>0</v>
      </c>
      <c r="AQ345" s="116">
        <v>2</v>
      </c>
      <c r="AR345" s="116">
        <v>48200.430180000003</v>
      </c>
      <c r="AS345" s="116">
        <v>24100.215090000002</v>
      </c>
      <c r="AT345" s="116">
        <v>1</v>
      </c>
      <c r="AU345" s="385">
        <v>0</v>
      </c>
      <c r="AV345" s="332">
        <v>0</v>
      </c>
      <c r="AW345" s="332">
        <v>0</v>
      </c>
      <c r="AX345" s="332">
        <v>-48200.430180000003</v>
      </c>
      <c r="AY345" s="332">
        <v>0</v>
      </c>
      <c r="AZ345" s="332">
        <v>0</v>
      </c>
      <c r="BA345" s="332">
        <v>0</v>
      </c>
      <c r="BB345" s="31">
        <v>450042.99080136069</v>
      </c>
      <c r="BC345" s="31">
        <v>0</v>
      </c>
      <c r="BD345" s="29">
        <v>0</v>
      </c>
      <c r="BE345" s="31">
        <v>0</v>
      </c>
    </row>
    <row r="346" spans="1:57" ht="13">
      <c r="A346" s="153">
        <v>44573</v>
      </c>
      <c r="B346" s="10" t="s">
        <v>184</v>
      </c>
      <c r="C346" s="10">
        <v>44563000026</v>
      </c>
      <c r="D346" s="10" t="s">
        <v>16</v>
      </c>
      <c r="E346" s="10" t="s">
        <v>38</v>
      </c>
      <c r="F346" s="153">
        <v>44563</v>
      </c>
      <c r="G346" s="116" t="s">
        <v>39</v>
      </c>
      <c r="H346" s="116">
        <v>452489.84940000001</v>
      </c>
      <c r="I346" s="116">
        <v>47510.150599999994</v>
      </c>
      <c r="J346" s="116">
        <v>500000</v>
      </c>
      <c r="K346" s="219">
        <v>447889.84940000001</v>
      </c>
      <c r="L346" s="116">
        <v>0</v>
      </c>
      <c r="M346" s="31">
        <v>2300</v>
      </c>
      <c r="N346" s="336">
        <v>-2300</v>
      </c>
      <c r="O346" s="336">
        <v>0</v>
      </c>
      <c r="P346" s="219">
        <v>-2300</v>
      </c>
      <c r="Q346" s="332">
        <v>460</v>
      </c>
      <c r="R346" s="219">
        <v>-5</v>
      </c>
      <c r="S346" s="332">
        <v>0</v>
      </c>
      <c r="T346" s="219">
        <v>0</v>
      </c>
      <c r="U346" s="332">
        <v>0</v>
      </c>
      <c r="V346" s="332">
        <v>0</v>
      </c>
      <c r="W346" s="370">
        <v>0</v>
      </c>
      <c r="X346" s="370">
        <v>0</v>
      </c>
      <c r="Y346" s="370">
        <v>0</v>
      </c>
      <c r="Z346" s="370">
        <v>0</v>
      </c>
      <c r="AA346" s="370">
        <v>0</v>
      </c>
      <c r="AB346" s="370">
        <v>-5</v>
      </c>
      <c r="AC346" s="370">
        <v>0</v>
      </c>
      <c r="AD346" s="370">
        <v>0</v>
      </c>
      <c r="AE346" s="370">
        <v>0</v>
      </c>
      <c r="AF346" s="370">
        <v>-5</v>
      </c>
      <c r="AG346" s="31">
        <v>-5</v>
      </c>
      <c r="AH346" s="31">
        <v>480.8</v>
      </c>
      <c r="AI346" s="31">
        <v>0</v>
      </c>
      <c r="AJ346" s="370">
        <v>1</v>
      </c>
      <c r="AK346" s="219">
        <v>480.8</v>
      </c>
      <c r="AL346" s="219">
        <v>0</v>
      </c>
      <c r="AM346" s="219">
        <v>0</v>
      </c>
      <c r="AN346" s="219">
        <v>0</v>
      </c>
      <c r="AO346" s="116">
        <v>0</v>
      </c>
      <c r="AP346" s="116">
        <v>0</v>
      </c>
      <c r="AQ346" s="116">
        <v>3</v>
      </c>
      <c r="AR346" s="116">
        <v>-2404</v>
      </c>
      <c r="AS346" s="116">
        <v>-716392</v>
      </c>
      <c r="AT346" s="116">
        <v>1</v>
      </c>
      <c r="AU346" s="385">
        <v>0</v>
      </c>
      <c r="AV346" s="332">
        <v>0</v>
      </c>
      <c r="AW346" s="332">
        <v>0</v>
      </c>
      <c r="AX346" s="332">
        <v>-2404</v>
      </c>
      <c r="AY346" s="332">
        <v>0</v>
      </c>
      <c r="AZ346" s="332">
        <v>-0.40723964621796566</v>
      </c>
      <c r="BA346" s="332">
        <v>0</v>
      </c>
      <c r="BB346" s="31">
        <v>452342.99080136069</v>
      </c>
      <c r="BC346" s="31">
        <v>0</v>
      </c>
      <c r="BD346" s="29">
        <v>0</v>
      </c>
      <c r="BE346" s="31">
        <v>0</v>
      </c>
    </row>
    <row r="347" spans="1:57" ht="13">
      <c r="A347" s="153">
        <v>44573</v>
      </c>
      <c r="B347" s="10" t="s">
        <v>184</v>
      </c>
      <c r="C347" s="10">
        <v>44564000027</v>
      </c>
      <c r="D347" s="10" t="s">
        <v>16</v>
      </c>
      <c r="E347" s="10" t="s">
        <v>40</v>
      </c>
      <c r="F347" s="153">
        <v>44564</v>
      </c>
      <c r="G347" s="116" t="s">
        <v>29</v>
      </c>
      <c r="H347" s="116">
        <v>477643.14439999999</v>
      </c>
      <c r="I347" s="116">
        <v>22356.855599999995</v>
      </c>
      <c r="J347" s="116">
        <v>500000</v>
      </c>
      <c r="K347" s="219">
        <v>473043.14439999999</v>
      </c>
      <c r="L347" s="116">
        <v>0</v>
      </c>
      <c r="M347" s="31">
        <v>25153.294999999998</v>
      </c>
      <c r="N347" s="336">
        <v>25153.295000000002</v>
      </c>
      <c r="O347" s="336">
        <v>0</v>
      </c>
      <c r="P347" s="219">
        <v>-25153.294999999998</v>
      </c>
      <c r="Q347" s="332">
        <v>2515.3294999999998</v>
      </c>
      <c r="R347" s="219">
        <v>-10</v>
      </c>
      <c r="S347" s="332">
        <v>0</v>
      </c>
      <c r="T347" s="219">
        <v>0</v>
      </c>
      <c r="U347" s="332">
        <v>0</v>
      </c>
      <c r="V347" s="332">
        <v>0</v>
      </c>
      <c r="W347" s="370">
        <v>0</v>
      </c>
      <c r="X347" s="370">
        <v>20</v>
      </c>
      <c r="Y347" s="370">
        <v>0</v>
      </c>
      <c r="Z347" s="370">
        <v>0</v>
      </c>
      <c r="AA347" s="370">
        <v>0</v>
      </c>
      <c r="AB347" s="370">
        <v>10</v>
      </c>
      <c r="AC347" s="370">
        <v>0</v>
      </c>
      <c r="AD347" s="370">
        <v>0</v>
      </c>
      <c r="AE347" s="370">
        <v>0</v>
      </c>
      <c r="AF347" s="370">
        <v>10</v>
      </c>
      <c r="AG347" s="31">
        <v>-10</v>
      </c>
      <c r="AH347" s="31">
        <v>1967</v>
      </c>
      <c r="AI347" s="31">
        <v>0</v>
      </c>
      <c r="AJ347" s="370">
        <v>1.2252270000000001</v>
      </c>
      <c r="AK347" s="219">
        <v>1967</v>
      </c>
      <c r="AL347" s="219">
        <v>0</v>
      </c>
      <c r="AM347" s="219">
        <v>0</v>
      </c>
      <c r="AN347" s="219">
        <v>0</v>
      </c>
      <c r="AO347" s="116">
        <v>0</v>
      </c>
      <c r="AP347" s="116">
        <v>0</v>
      </c>
      <c r="AQ347" s="116">
        <v>3</v>
      </c>
      <c r="AR347" s="116">
        <v>-24100.215090000002</v>
      </c>
      <c r="AS347" s="116">
        <v>24100.215090000002</v>
      </c>
      <c r="AT347" s="116">
        <v>0</v>
      </c>
      <c r="AU347" s="385">
        <v>0</v>
      </c>
      <c r="AV347" s="332">
        <v>0</v>
      </c>
      <c r="AW347" s="332">
        <v>0</v>
      </c>
      <c r="AX347" s="332">
        <v>24100.215090000002</v>
      </c>
      <c r="AY347" s="332">
        <v>0</v>
      </c>
      <c r="AZ347" s="332">
        <v>0</v>
      </c>
      <c r="BA347" s="332">
        <v>0</v>
      </c>
      <c r="BB347" s="31">
        <v>477496.28580136067</v>
      </c>
      <c r="BC347" s="31">
        <v>0</v>
      </c>
      <c r="BD347" s="29">
        <v>0</v>
      </c>
      <c r="BE347" s="31">
        <v>0</v>
      </c>
    </row>
    <row r="348" spans="1:57" ht="13">
      <c r="A348" s="153">
        <v>44573</v>
      </c>
      <c r="B348" s="10" t="s">
        <v>184</v>
      </c>
      <c r="C348" s="10">
        <v>44564000028</v>
      </c>
      <c r="D348" s="10" t="s">
        <v>16</v>
      </c>
      <c r="E348" s="10" t="s">
        <v>38</v>
      </c>
      <c r="F348" s="153">
        <v>44564</v>
      </c>
      <c r="G348" s="116" t="s">
        <v>39</v>
      </c>
      <c r="H348" s="116">
        <v>470743.14439999999</v>
      </c>
      <c r="I348" s="116">
        <v>29256.855599999995</v>
      </c>
      <c r="J348" s="116">
        <v>500000</v>
      </c>
      <c r="K348" s="219">
        <v>470743.14439999999</v>
      </c>
      <c r="L348" s="116">
        <v>0</v>
      </c>
      <c r="M348" s="31">
        <v>-6900</v>
      </c>
      <c r="N348" s="336">
        <v>-2300</v>
      </c>
      <c r="O348" s="336">
        <v>6900</v>
      </c>
      <c r="P348" s="219">
        <v>0</v>
      </c>
      <c r="Q348" s="332">
        <v>460</v>
      </c>
      <c r="R348" s="219">
        <v>15</v>
      </c>
      <c r="S348" s="332">
        <v>0</v>
      </c>
      <c r="T348" s="219">
        <v>0</v>
      </c>
      <c r="U348" s="332">
        <v>0</v>
      </c>
      <c r="V348" s="332">
        <v>0</v>
      </c>
      <c r="W348" s="370">
        <v>0</v>
      </c>
      <c r="X348" s="370">
        <v>-5</v>
      </c>
      <c r="Y348" s="370">
        <v>0</v>
      </c>
      <c r="Z348" s="370">
        <v>0</v>
      </c>
      <c r="AA348" s="370">
        <v>0</v>
      </c>
      <c r="AB348" s="370">
        <v>10</v>
      </c>
      <c r="AC348" s="370">
        <v>0</v>
      </c>
      <c r="AD348" s="370">
        <v>0</v>
      </c>
      <c r="AE348" s="370">
        <v>0</v>
      </c>
      <c r="AF348" s="370">
        <v>-5</v>
      </c>
      <c r="AG348" s="31">
        <v>15</v>
      </c>
      <c r="AH348" s="31">
        <v>480.8</v>
      </c>
      <c r="AI348" s="31">
        <v>0</v>
      </c>
      <c r="AJ348" s="370">
        <v>1</v>
      </c>
      <c r="AK348" s="219">
        <v>480.8</v>
      </c>
      <c r="AL348" s="219">
        <v>0</v>
      </c>
      <c r="AM348" s="219">
        <v>0</v>
      </c>
      <c r="AN348" s="219">
        <v>0</v>
      </c>
      <c r="AO348" s="116">
        <v>0</v>
      </c>
      <c r="AP348" s="116">
        <v>0</v>
      </c>
      <c r="AQ348" s="116">
        <v>3</v>
      </c>
      <c r="AR348" s="116">
        <v>7212</v>
      </c>
      <c r="AS348" s="116">
        <v>-716392</v>
      </c>
      <c r="AT348" s="116">
        <v>0</v>
      </c>
      <c r="AU348" s="385">
        <v>0</v>
      </c>
      <c r="AV348" s="332">
        <v>0</v>
      </c>
      <c r="AW348" s="332">
        <v>0</v>
      </c>
      <c r="AX348" s="332">
        <v>-2404</v>
      </c>
      <c r="AY348" s="332">
        <v>0</v>
      </c>
      <c r="AZ348" s="332">
        <v>0</v>
      </c>
      <c r="BA348" s="332">
        <v>0</v>
      </c>
      <c r="BB348" s="31">
        <v>470596.28580136067</v>
      </c>
      <c r="BC348" s="31">
        <v>0</v>
      </c>
      <c r="BD348" s="29">
        <v>0</v>
      </c>
      <c r="BE348" s="31">
        <v>0</v>
      </c>
    </row>
    <row r="349" spans="1:57" ht="13">
      <c r="A349" s="153">
        <v>44573</v>
      </c>
      <c r="B349" s="10" t="s">
        <v>184</v>
      </c>
      <c r="C349" s="10">
        <v>44571000024</v>
      </c>
      <c r="D349" s="10" t="s">
        <v>16</v>
      </c>
      <c r="E349" s="10" t="s">
        <v>38</v>
      </c>
      <c r="F349" s="153">
        <v>44571</v>
      </c>
      <c r="G349" s="116" t="s">
        <v>39</v>
      </c>
      <c r="H349" s="116">
        <v>1138243.1444000001</v>
      </c>
      <c r="I349" s="116">
        <v>-638243.14439999999</v>
      </c>
      <c r="J349" s="116">
        <v>500000.00000000012</v>
      </c>
      <c r="K349" s="219">
        <v>-178656.85560000001</v>
      </c>
      <c r="L349" s="116">
        <v>178656.85560000001</v>
      </c>
      <c r="M349" s="31">
        <v>667500</v>
      </c>
      <c r="N349" s="336">
        <v>-658600</v>
      </c>
      <c r="O349" s="336">
        <v>0</v>
      </c>
      <c r="P349" s="219">
        <v>-667500</v>
      </c>
      <c r="Q349" s="332">
        <v>445</v>
      </c>
      <c r="R349" s="219">
        <v>-1500</v>
      </c>
      <c r="S349" s="332">
        <v>0</v>
      </c>
      <c r="T349" s="219">
        <v>0</v>
      </c>
      <c r="U349" s="332">
        <v>0</v>
      </c>
      <c r="V349" s="332">
        <v>0</v>
      </c>
      <c r="W349" s="370">
        <v>0</v>
      </c>
      <c r="X349" s="370">
        <v>10</v>
      </c>
      <c r="Y349" s="370">
        <v>0</v>
      </c>
      <c r="Z349" s="370">
        <v>0</v>
      </c>
      <c r="AA349" s="370">
        <v>0</v>
      </c>
      <c r="AB349" s="370">
        <v>-1490</v>
      </c>
      <c r="AC349" s="370">
        <v>0</v>
      </c>
      <c r="AD349" s="370">
        <v>0</v>
      </c>
      <c r="AE349" s="370">
        <v>0</v>
      </c>
      <c r="AF349" s="370">
        <v>-1480</v>
      </c>
      <c r="AG349" s="31">
        <v>-1500</v>
      </c>
      <c r="AH349" s="31">
        <v>480.8</v>
      </c>
      <c r="AI349" s="31">
        <v>1</v>
      </c>
      <c r="AJ349" s="370">
        <v>1</v>
      </c>
      <c r="AK349" s="219">
        <v>480.8</v>
      </c>
      <c r="AL349" s="219">
        <v>0</v>
      </c>
      <c r="AM349" s="219">
        <v>0</v>
      </c>
      <c r="AN349" s="219">
        <v>0</v>
      </c>
      <c r="AO349" s="116">
        <v>0</v>
      </c>
      <c r="AP349" s="116">
        <v>0</v>
      </c>
      <c r="AQ349" s="116">
        <v>3</v>
      </c>
      <c r="AR349" s="116">
        <v>-721200</v>
      </c>
      <c r="AS349" s="116">
        <v>-716392</v>
      </c>
      <c r="AT349" s="116">
        <v>0</v>
      </c>
      <c r="AU349" s="385">
        <v>24100.215090000002</v>
      </c>
      <c r="AV349" s="332">
        <v>-716392</v>
      </c>
      <c r="AW349" s="332">
        <v>-692291.78491000005</v>
      </c>
      <c r="AX349" s="332">
        <v>-711584</v>
      </c>
      <c r="AY349" s="332">
        <v>-25.093944420159584</v>
      </c>
      <c r="AZ349" s="332">
        <v>-121.35741457295377</v>
      </c>
      <c r="BA349" s="332">
        <v>0</v>
      </c>
      <c r="BB349" s="31">
        <v>1138096.2858013608</v>
      </c>
      <c r="BC349" s="31">
        <v>1138096.2858013608</v>
      </c>
      <c r="BD349" s="29">
        <v>178656.85560000001</v>
      </c>
      <c r="BE349" s="31">
        <v>445951.35949000006</v>
      </c>
    </row>
    <row r="350" spans="1:57" ht="13">
      <c r="A350" s="153">
        <v>44573</v>
      </c>
      <c r="B350" s="10" t="s">
        <v>185</v>
      </c>
      <c r="C350" s="10">
        <v>44561000007</v>
      </c>
      <c r="D350" s="10" t="s">
        <v>64</v>
      </c>
      <c r="E350" s="10" t="s">
        <v>64</v>
      </c>
      <c r="F350" s="153">
        <v>44561</v>
      </c>
      <c r="G350" s="116" t="s">
        <v>39</v>
      </c>
      <c r="H350" s="116">
        <v>500000</v>
      </c>
      <c r="I350" s="116">
        <v>0</v>
      </c>
      <c r="J350" s="116">
        <v>500000</v>
      </c>
      <c r="K350" s="219">
        <v>0</v>
      </c>
      <c r="L350" s="116">
        <v>0</v>
      </c>
      <c r="M350" s="31">
        <v>500000</v>
      </c>
      <c r="N350" s="336">
        <v>500000</v>
      </c>
      <c r="O350" s="336">
        <v>0</v>
      </c>
      <c r="P350" s="219">
        <v>0</v>
      </c>
      <c r="Q350" s="332">
        <v>0</v>
      </c>
      <c r="R350" s="219">
        <v>0</v>
      </c>
      <c r="S350" s="332">
        <v>0</v>
      </c>
      <c r="T350" s="219">
        <v>0</v>
      </c>
      <c r="U350" s="332">
        <v>0</v>
      </c>
      <c r="V350" s="332">
        <v>0</v>
      </c>
      <c r="W350" s="370">
        <v>0</v>
      </c>
      <c r="X350" s="370">
        <v>0</v>
      </c>
      <c r="Y350" s="370">
        <v>0</v>
      </c>
      <c r="Z350" s="370">
        <v>0</v>
      </c>
      <c r="AA350" s="370">
        <v>0</v>
      </c>
      <c r="AB350" s="370">
        <v>0</v>
      </c>
      <c r="AC350" s="370">
        <v>0</v>
      </c>
      <c r="AD350" s="370">
        <v>0</v>
      </c>
      <c r="AE350" s="370">
        <v>0</v>
      </c>
      <c r="AF350" s="370">
        <v>0</v>
      </c>
      <c r="AG350" s="31">
        <v>0</v>
      </c>
      <c r="AH350" s="31">
        <v>1</v>
      </c>
      <c r="AI350" s="31">
        <v>0</v>
      </c>
      <c r="AJ350" s="370">
        <v>1</v>
      </c>
      <c r="AK350" s="219">
        <v>0</v>
      </c>
      <c r="AL350" s="219">
        <v>0</v>
      </c>
      <c r="AM350" s="219">
        <v>0</v>
      </c>
      <c r="AN350" s="219">
        <v>0</v>
      </c>
      <c r="AO350" s="116">
        <v>0</v>
      </c>
      <c r="AP350" s="116">
        <v>0</v>
      </c>
      <c r="AQ350" s="116">
        <v>1</v>
      </c>
      <c r="AR350" s="116">
        <v>0</v>
      </c>
      <c r="AS350" s="116">
        <v>0</v>
      </c>
      <c r="AT350" s="116">
        <v>1</v>
      </c>
      <c r="AU350" s="385">
        <v>0</v>
      </c>
      <c r="AV350" s="332">
        <v>0</v>
      </c>
      <c r="AW350" s="332">
        <v>0</v>
      </c>
      <c r="AX350" s="332">
        <v>500000</v>
      </c>
      <c r="AY350" s="332">
        <v>0</v>
      </c>
      <c r="AZ350" s="332">
        <v>0</v>
      </c>
      <c r="BA350" s="332">
        <v>0</v>
      </c>
      <c r="BB350" s="31">
        <v>499999.31750231684</v>
      </c>
      <c r="BC350" s="31">
        <v>0</v>
      </c>
      <c r="BD350" s="29">
        <v>0</v>
      </c>
      <c r="BE350" s="31">
        <v>0</v>
      </c>
    </row>
    <row r="351" spans="1:57" ht="13">
      <c r="A351" s="153">
        <v>44573</v>
      </c>
      <c r="B351" s="10" t="s">
        <v>185</v>
      </c>
      <c r="C351" s="10">
        <v>44562000029</v>
      </c>
      <c r="D351" s="10" t="s">
        <v>61</v>
      </c>
      <c r="E351" s="10" t="s">
        <v>63</v>
      </c>
      <c r="F351" s="153">
        <v>44562</v>
      </c>
      <c r="G351" s="116" t="s">
        <v>39</v>
      </c>
      <c r="H351" s="116">
        <v>490000</v>
      </c>
      <c r="I351" s="116">
        <v>10000</v>
      </c>
      <c r="J351" s="116">
        <v>500000</v>
      </c>
      <c r="K351" s="219">
        <v>490000</v>
      </c>
      <c r="L351" s="116">
        <v>0</v>
      </c>
      <c r="M351" s="31">
        <v>-10000</v>
      </c>
      <c r="N351" s="336">
        <v>-10000</v>
      </c>
      <c r="O351" s="336">
        <v>0</v>
      </c>
      <c r="P351" s="219">
        <v>0</v>
      </c>
      <c r="Q351" s="332">
        <v>0</v>
      </c>
      <c r="R351" s="219">
        <v>0</v>
      </c>
      <c r="S351" s="332">
        <v>0</v>
      </c>
      <c r="T351" s="219">
        <v>0</v>
      </c>
      <c r="U351" s="332">
        <v>0</v>
      </c>
      <c r="V351" s="332">
        <v>0</v>
      </c>
      <c r="W351" s="370">
        <v>10000</v>
      </c>
      <c r="X351" s="370">
        <v>0</v>
      </c>
      <c r="Y351" s="370">
        <v>0</v>
      </c>
      <c r="Z351" s="370">
        <v>0</v>
      </c>
      <c r="AA351" s="370">
        <v>0</v>
      </c>
      <c r="AB351" s="370">
        <v>0</v>
      </c>
      <c r="AC351" s="370">
        <v>0</v>
      </c>
      <c r="AD351" s="370">
        <v>0</v>
      </c>
      <c r="AE351" s="370">
        <v>10000</v>
      </c>
      <c r="AF351" s="370">
        <v>-10000</v>
      </c>
      <c r="AG351" s="31">
        <v>10000</v>
      </c>
      <c r="AH351" s="31">
        <v>1</v>
      </c>
      <c r="AI351" s="31">
        <v>0</v>
      </c>
      <c r="AJ351" s="370">
        <v>1</v>
      </c>
      <c r="AK351" s="219">
        <v>0</v>
      </c>
      <c r="AL351" s="219">
        <v>0</v>
      </c>
      <c r="AM351" s="219">
        <v>0</v>
      </c>
      <c r="AN351" s="219">
        <v>0</v>
      </c>
      <c r="AO351" s="116">
        <v>0</v>
      </c>
      <c r="AP351" s="116">
        <v>1</v>
      </c>
      <c r="AQ351" s="116">
        <v>2</v>
      </c>
      <c r="AR351" s="116">
        <v>10000</v>
      </c>
      <c r="AS351" s="116">
        <v>-5000</v>
      </c>
      <c r="AT351" s="116">
        <v>1</v>
      </c>
      <c r="AU351" s="385">
        <v>0</v>
      </c>
      <c r="AV351" s="332">
        <v>0</v>
      </c>
      <c r="AW351" s="332">
        <v>0</v>
      </c>
      <c r="AX351" s="332">
        <v>-10000</v>
      </c>
      <c r="AY351" s="332">
        <v>0</v>
      </c>
      <c r="AZ351" s="332">
        <v>0</v>
      </c>
      <c r="BA351" s="332">
        <v>4.1126643175088691E-2</v>
      </c>
      <c r="BB351" s="31">
        <v>489999.31750231684</v>
      </c>
      <c r="BC351" s="31">
        <v>0</v>
      </c>
      <c r="BD351" s="29">
        <v>0</v>
      </c>
      <c r="BE351" s="31">
        <v>0</v>
      </c>
    </row>
    <row r="352" spans="1:57" ht="13">
      <c r="A352" s="153">
        <v>44573</v>
      </c>
      <c r="B352" s="10" t="s">
        <v>185</v>
      </c>
      <c r="C352" s="10">
        <v>44562000030</v>
      </c>
      <c r="D352" s="10" t="s">
        <v>18</v>
      </c>
      <c r="E352" s="10" t="s">
        <v>7</v>
      </c>
      <c r="F352" s="153">
        <v>44562</v>
      </c>
      <c r="G352" s="116" t="s">
        <v>41</v>
      </c>
      <c r="H352" s="116">
        <v>448805.40759999998</v>
      </c>
      <c r="I352" s="116">
        <v>51194.592400000009</v>
      </c>
      <c r="J352" s="116">
        <v>500000</v>
      </c>
      <c r="K352" s="219">
        <v>458805.40759999998</v>
      </c>
      <c r="L352" s="116">
        <v>0</v>
      </c>
      <c r="M352" s="31">
        <v>-41194.592400000009</v>
      </c>
      <c r="N352" s="336">
        <v>-41194.592400000001</v>
      </c>
      <c r="O352" s="336">
        <v>0</v>
      </c>
      <c r="P352" s="219">
        <v>0</v>
      </c>
      <c r="Q352" s="332">
        <v>0</v>
      </c>
      <c r="R352" s="219">
        <v>0</v>
      </c>
      <c r="S352" s="332">
        <v>13.21</v>
      </c>
      <c r="T352" s="219">
        <v>40</v>
      </c>
      <c r="U352" s="332">
        <v>0</v>
      </c>
      <c r="V352" s="332">
        <v>0</v>
      </c>
      <c r="W352" s="370">
        <v>0</v>
      </c>
      <c r="X352" s="370">
        <v>0</v>
      </c>
      <c r="Y352" s="370">
        <v>0</v>
      </c>
      <c r="Z352" s="370">
        <v>0</v>
      </c>
      <c r="AA352" s="370">
        <v>0</v>
      </c>
      <c r="AB352" s="370">
        <v>0</v>
      </c>
      <c r="AC352" s="370">
        <v>40</v>
      </c>
      <c r="AD352" s="370">
        <v>0</v>
      </c>
      <c r="AE352" s="370">
        <v>0</v>
      </c>
      <c r="AF352" s="370">
        <v>-40</v>
      </c>
      <c r="AG352" s="31">
        <v>40</v>
      </c>
      <c r="AH352" s="31">
        <v>13.29</v>
      </c>
      <c r="AI352" s="31">
        <v>0</v>
      </c>
      <c r="AJ352" s="370">
        <v>7.7920499999999997</v>
      </c>
      <c r="AK352" s="219">
        <v>0</v>
      </c>
      <c r="AL352" s="219">
        <v>13.29</v>
      </c>
      <c r="AM352" s="219">
        <v>15.71</v>
      </c>
      <c r="AN352" s="219">
        <v>0</v>
      </c>
      <c r="AO352" s="116">
        <v>0</v>
      </c>
      <c r="AP352" s="116">
        <v>0</v>
      </c>
      <c r="AQ352" s="116">
        <v>3</v>
      </c>
      <c r="AR352" s="116">
        <v>41422.537799999998</v>
      </c>
      <c r="AS352" s="116">
        <v>41422.537799999998</v>
      </c>
      <c r="AT352" s="116">
        <v>1</v>
      </c>
      <c r="AU352" s="385">
        <v>0</v>
      </c>
      <c r="AV352" s="332">
        <v>0</v>
      </c>
      <c r="AW352" s="332">
        <v>0</v>
      </c>
      <c r="AX352" s="332">
        <v>-45193.89</v>
      </c>
      <c r="AY352" s="332">
        <v>0</v>
      </c>
      <c r="AZ352" s="332">
        <v>0</v>
      </c>
      <c r="BA352" s="332">
        <v>0</v>
      </c>
      <c r="BB352" s="31">
        <v>448804.72510231682</v>
      </c>
      <c r="BC352" s="31">
        <v>0</v>
      </c>
      <c r="BD352" s="29">
        <v>0</v>
      </c>
      <c r="BE352" s="31">
        <v>0</v>
      </c>
    </row>
    <row r="353" spans="1:57" ht="13">
      <c r="A353" s="153">
        <v>44573</v>
      </c>
      <c r="B353" s="10" t="s">
        <v>185</v>
      </c>
      <c r="C353" s="10">
        <v>44562000031</v>
      </c>
      <c r="D353" s="10" t="s">
        <v>61</v>
      </c>
      <c r="E353" s="10" t="s">
        <v>63</v>
      </c>
      <c r="F353" s="153">
        <v>44562</v>
      </c>
      <c r="G353" s="116" t="s">
        <v>39</v>
      </c>
      <c r="H353" s="116">
        <v>428805.40759999998</v>
      </c>
      <c r="I353" s="116">
        <v>71194.592400000009</v>
      </c>
      <c r="J353" s="116">
        <v>500000</v>
      </c>
      <c r="K353" s="219">
        <v>438805.40759999998</v>
      </c>
      <c r="L353" s="116">
        <v>0</v>
      </c>
      <c r="M353" s="31">
        <v>-20000</v>
      </c>
      <c r="N353" s="336">
        <v>-20000</v>
      </c>
      <c r="O353" s="336">
        <v>0</v>
      </c>
      <c r="P353" s="219">
        <v>0</v>
      </c>
      <c r="Q353" s="332">
        <v>0</v>
      </c>
      <c r="R353" s="219">
        <v>0</v>
      </c>
      <c r="S353" s="332">
        <v>0</v>
      </c>
      <c r="T353" s="219">
        <v>0</v>
      </c>
      <c r="U353" s="332">
        <v>0</v>
      </c>
      <c r="V353" s="332">
        <v>0</v>
      </c>
      <c r="W353" s="370">
        <v>20000</v>
      </c>
      <c r="X353" s="370">
        <v>0</v>
      </c>
      <c r="Y353" s="370">
        <v>0</v>
      </c>
      <c r="Z353" s="370">
        <v>0</v>
      </c>
      <c r="AA353" s="370">
        <v>10000</v>
      </c>
      <c r="AB353" s="370">
        <v>0</v>
      </c>
      <c r="AC353" s="370">
        <v>0</v>
      </c>
      <c r="AD353" s="370">
        <v>0</v>
      </c>
      <c r="AE353" s="370">
        <v>30000</v>
      </c>
      <c r="AF353" s="370">
        <v>-20000</v>
      </c>
      <c r="AG353" s="31">
        <v>20000</v>
      </c>
      <c r="AH353" s="31">
        <v>1</v>
      </c>
      <c r="AI353" s="31">
        <v>0</v>
      </c>
      <c r="AJ353" s="370">
        <v>1</v>
      </c>
      <c r="AK353" s="219">
        <v>0</v>
      </c>
      <c r="AL353" s="219">
        <v>0</v>
      </c>
      <c r="AM353" s="219">
        <v>0</v>
      </c>
      <c r="AN353" s="219">
        <v>0</v>
      </c>
      <c r="AO353" s="116">
        <v>0</v>
      </c>
      <c r="AP353" s="116">
        <v>1</v>
      </c>
      <c r="AQ353" s="116">
        <v>3</v>
      </c>
      <c r="AR353" s="116">
        <v>20000</v>
      </c>
      <c r="AS353" s="116">
        <v>-5000</v>
      </c>
      <c r="AT353" s="116">
        <v>0</v>
      </c>
      <c r="AU353" s="385">
        <v>0</v>
      </c>
      <c r="AV353" s="332">
        <v>0</v>
      </c>
      <c r="AW353" s="332">
        <v>0</v>
      </c>
      <c r="AX353" s="332">
        <v>-20000</v>
      </c>
      <c r="AY353" s="332">
        <v>0</v>
      </c>
      <c r="AZ353" s="332">
        <v>0</v>
      </c>
      <c r="BA353" s="332">
        <v>0.12337992952526605</v>
      </c>
      <c r="BB353" s="31">
        <v>428804.72510231682</v>
      </c>
      <c r="BC353" s="31">
        <v>0</v>
      </c>
      <c r="BD353" s="29">
        <v>0</v>
      </c>
      <c r="BE353" s="31">
        <v>0</v>
      </c>
    </row>
    <row r="354" spans="1:57" ht="13">
      <c r="A354" s="153">
        <v>44573</v>
      </c>
      <c r="B354" s="10" t="s">
        <v>185</v>
      </c>
      <c r="C354" s="10">
        <v>44562000035</v>
      </c>
      <c r="D354" s="10" t="s">
        <v>16</v>
      </c>
      <c r="E354" s="10" t="s">
        <v>38</v>
      </c>
      <c r="F354" s="153">
        <v>44562</v>
      </c>
      <c r="G354" s="116" t="s">
        <v>39</v>
      </c>
      <c r="H354" s="116">
        <v>424205.40759999998</v>
      </c>
      <c r="I354" s="116">
        <v>75794.592400000009</v>
      </c>
      <c r="J354" s="116">
        <v>500000</v>
      </c>
      <c r="K354" s="219">
        <v>444205.40759999998</v>
      </c>
      <c r="L354" s="116">
        <v>0</v>
      </c>
      <c r="M354" s="31">
        <v>-4600</v>
      </c>
      <c r="N354" s="336">
        <v>-4600</v>
      </c>
      <c r="O354" s="336">
        <v>4600</v>
      </c>
      <c r="P354" s="219">
        <v>0</v>
      </c>
      <c r="Q354" s="332">
        <v>460</v>
      </c>
      <c r="R354" s="219">
        <v>10</v>
      </c>
      <c r="S354" s="332">
        <v>0</v>
      </c>
      <c r="T354" s="219">
        <v>0</v>
      </c>
      <c r="U354" s="332">
        <v>0</v>
      </c>
      <c r="V354" s="332">
        <v>0</v>
      </c>
      <c r="W354" s="370">
        <v>0</v>
      </c>
      <c r="X354" s="370">
        <v>0</v>
      </c>
      <c r="Y354" s="370">
        <v>0</v>
      </c>
      <c r="Z354" s="370">
        <v>0</v>
      </c>
      <c r="AA354" s="370">
        <v>0</v>
      </c>
      <c r="AB354" s="370">
        <v>10</v>
      </c>
      <c r="AC354" s="370">
        <v>0</v>
      </c>
      <c r="AD354" s="370">
        <v>0</v>
      </c>
      <c r="AE354" s="370">
        <v>0</v>
      </c>
      <c r="AF354" s="370">
        <v>-10</v>
      </c>
      <c r="AG354" s="31">
        <v>10</v>
      </c>
      <c r="AH354" s="31">
        <v>480.8</v>
      </c>
      <c r="AI354" s="31">
        <v>0</v>
      </c>
      <c r="AJ354" s="370">
        <v>1</v>
      </c>
      <c r="AK354" s="219">
        <v>480.8</v>
      </c>
      <c r="AL354" s="219">
        <v>0</v>
      </c>
      <c r="AM354" s="219">
        <v>0</v>
      </c>
      <c r="AN354" s="219">
        <v>0</v>
      </c>
      <c r="AO354" s="116">
        <v>0</v>
      </c>
      <c r="AP354" s="116">
        <v>0</v>
      </c>
      <c r="AQ354" s="116">
        <v>4</v>
      </c>
      <c r="AR354" s="116">
        <v>4808</v>
      </c>
      <c r="AS354" s="116">
        <v>187512</v>
      </c>
      <c r="AT354" s="116">
        <v>1</v>
      </c>
      <c r="AU354" s="385">
        <v>0</v>
      </c>
      <c r="AV354" s="332">
        <v>0</v>
      </c>
      <c r="AW354" s="332">
        <v>0</v>
      </c>
      <c r="AX354" s="332">
        <v>-4808</v>
      </c>
      <c r="AY354" s="332">
        <v>0</v>
      </c>
      <c r="AZ354" s="332">
        <v>0</v>
      </c>
      <c r="BA354" s="332">
        <v>0</v>
      </c>
      <c r="BB354" s="31">
        <v>424204.72510231682</v>
      </c>
      <c r="BC354" s="31">
        <v>0</v>
      </c>
      <c r="BD354" s="29">
        <v>0</v>
      </c>
      <c r="BE354" s="31">
        <v>0</v>
      </c>
    </row>
    <row r="355" spans="1:57" ht="13">
      <c r="A355" s="153">
        <v>44573</v>
      </c>
      <c r="B355" s="10" t="s">
        <v>185</v>
      </c>
      <c r="C355" s="10">
        <v>44563000032</v>
      </c>
      <c r="D355" s="10" t="s">
        <v>61</v>
      </c>
      <c r="E355" s="10" t="s">
        <v>63</v>
      </c>
      <c r="F355" s="153">
        <v>44563</v>
      </c>
      <c r="G355" s="116" t="s">
        <v>39</v>
      </c>
      <c r="H355" s="116">
        <v>459205.40759999998</v>
      </c>
      <c r="I355" s="116">
        <v>40794.592400000009</v>
      </c>
      <c r="J355" s="116">
        <v>500000</v>
      </c>
      <c r="K355" s="219">
        <v>469205.40759999998</v>
      </c>
      <c r="L355" s="116">
        <v>0</v>
      </c>
      <c r="M355" s="31">
        <v>35000</v>
      </c>
      <c r="N355" s="336">
        <v>25000</v>
      </c>
      <c r="O355" s="336">
        <v>0</v>
      </c>
      <c r="P355" s="219">
        <v>0</v>
      </c>
      <c r="Q355" s="332">
        <v>0</v>
      </c>
      <c r="R355" s="219">
        <v>0</v>
      </c>
      <c r="S355" s="332">
        <v>0</v>
      </c>
      <c r="T355" s="219">
        <v>0</v>
      </c>
      <c r="U355" s="332">
        <v>0</v>
      </c>
      <c r="V355" s="332">
        <v>0</v>
      </c>
      <c r="W355" s="370">
        <v>-35000</v>
      </c>
      <c r="X355" s="370">
        <v>0</v>
      </c>
      <c r="Y355" s="370">
        <v>0</v>
      </c>
      <c r="Z355" s="370">
        <v>0</v>
      </c>
      <c r="AA355" s="370">
        <v>30000</v>
      </c>
      <c r="AB355" s="370">
        <v>0</v>
      </c>
      <c r="AC355" s="370">
        <v>0</v>
      </c>
      <c r="AD355" s="370">
        <v>0</v>
      </c>
      <c r="AE355" s="370">
        <v>-5000</v>
      </c>
      <c r="AF355" s="370">
        <v>25000</v>
      </c>
      <c r="AG355" s="31">
        <v>-35000</v>
      </c>
      <c r="AH355" s="31">
        <v>1</v>
      </c>
      <c r="AI355" s="31">
        <v>0</v>
      </c>
      <c r="AJ355" s="370">
        <v>1</v>
      </c>
      <c r="AK355" s="219">
        <v>0</v>
      </c>
      <c r="AL355" s="219">
        <v>0</v>
      </c>
      <c r="AM355" s="219">
        <v>0</v>
      </c>
      <c r="AN355" s="219">
        <v>0</v>
      </c>
      <c r="AO355" s="116">
        <v>0</v>
      </c>
      <c r="AP355" s="116">
        <v>1</v>
      </c>
      <c r="AQ355" s="116">
        <v>4</v>
      </c>
      <c r="AR355" s="116">
        <v>-35000</v>
      </c>
      <c r="AS355" s="116">
        <v>-5000</v>
      </c>
      <c r="AT355" s="116">
        <v>0</v>
      </c>
      <c r="AU355" s="385">
        <v>0</v>
      </c>
      <c r="AV355" s="332">
        <v>0</v>
      </c>
      <c r="AW355" s="332">
        <v>0</v>
      </c>
      <c r="AX355" s="332">
        <v>25000</v>
      </c>
      <c r="AY355" s="332">
        <v>0</v>
      </c>
      <c r="AZ355" s="332">
        <v>-0.84700425586099348</v>
      </c>
      <c r="BA355" s="332">
        <v>0</v>
      </c>
      <c r="BB355" s="31">
        <v>459204.72510231682</v>
      </c>
      <c r="BC355" s="31">
        <v>0</v>
      </c>
      <c r="BD355" s="29">
        <v>0</v>
      </c>
      <c r="BE355" s="31">
        <v>0</v>
      </c>
    </row>
    <row r="356" spans="1:57" ht="13">
      <c r="A356" s="153">
        <v>44573</v>
      </c>
      <c r="B356" s="10" t="s">
        <v>185</v>
      </c>
      <c r="C356" s="10">
        <v>44565000036</v>
      </c>
      <c r="D356" s="10" t="s">
        <v>16</v>
      </c>
      <c r="E356" s="10" t="s">
        <v>38</v>
      </c>
      <c r="F356" s="153">
        <v>44565</v>
      </c>
      <c r="G356" s="116" t="s">
        <v>39</v>
      </c>
      <c r="H356" s="116">
        <v>288205.40759999998</v>
      </c>
      <c r="I356" s="116">
        <v>211794.59240000002</v>
      </c>
      <c r="J356" s="116">
        <v>500000</v>
      </c>
      <c r="K356" s="219">
        <v>238205.40759999998</v>
      </c>
      <c r="L356" s="116">
        <v>0</v>
      </c>
      <c r="M356" s="31">
        <v>-171000</v>
      </c>
      <c r="N356" s="336">
        <v>-171000</v>
      </c>
      <c r="O356" s="336">
        <v>171000</v>
      </c>
      <c r="P356" s="219">
        <v>0</v>
      </c>
      <c r="Q356" s="332">
        <v>450</v>
      </c>
      <c r="R356" s="219">
        <v>380</v>
      </c>
      <c r="S356" s="332">
        <v>0</v>
      </c>
      <c r="T356" s="219">
        <v>0</v>
      </c>
      <c r="U356" s="332">
        <v>0</v>
      </c>
      <c r="V356" s="332">
        <v>0</v>
      </c>
      <c r="W356" s="370">
        <v>0</v>
      </c>
      <c r="X356" s="370">
        <v>10</v>
      </c>
      <c r="Y356" s="370">
        <v>0</v>
      </c>
      <c r="Z356" s="370">
        <v>0</v>
      </c>
      <c r="AA356" s="370">
        <v>0</v>
      </c>
      <c r="AB356" s="370">
        <v>390</v>
      </c>
      <c r="AC356" s="370">
        <v>0</v>
      </c>
      <c r="AD356" s="370">
        <v>0</v>
      </c>
      <c r="AE356" s="370">
        <v>0</v>
      </c>
      <c r="AF356" s="370">
        <v>-380</v>
      </c>
      <c r="AG356" s="31">
        <v>380</v>
      </c>
      <c r="AH356" s="31">
        <v>480.8</v>
      </c>
      <c r="AI356" s="31">
        <v>1</v>
      </c>
      <c r="AJ356" s="370">
        <v>1</v>
      </c>
      <c r="AK356" s="219">
        <v>480.8</v>
      </c>
      <c r="AL356" s="219">
        <v>0</v>
      </c>
      <c r="AM356" s="219">
        <v>0</v>
      </c>
      <c r="AN356" s="219">
        <v>0</v>
      </c>
      <c r="AO356" s="116">
        <v>0</v>
      </c>
      <c r="AP356" s="116">
        <v>0</v>
      </c>
      <c r="AQ356" s="116">
        <v>4</v>
      </c>
      <c r="AR356" s="116">
        <v>182704</v>
      </c>
      <c r="AS356" s="116">
        <v>187512</v>
      </c>
      <c r="AT356" s="116">
        <v>0</v>
      </c>
      <c r="AU356" s="385">
        <v>228934.53779999999</v>
      </c>
      <c r="AV356" s="332">
        <v>-5000</v>
      </c>
      <c r="AW356" s="332">
        <v>223934.53779999999</v>
      </c>
      <c r="AX356" s="332">
        <v>-182704</v>
      </c>
      <c r="AY356" s="332">
        <v>0</v>
      </c>
      <c r="AZ356" s="332">
        <v>0</v>
      </c>
      <c r="BA356" s="332">
        <v>0</v>
      </c>
      <c r="BB356" s="31">
        <v>288204.72510231682</v>
      </c>
      <c r="BC356" s="31">
        <v>288204.72510231682</v>
      </c>
      <c r="BD356" s="29">
        <v>0</v>
      </c>
      <c r="BE356" s="31">
        <v>512139.94539999997</v>
      </c>
    </row>
    <row r="357" spans="1:57" ht="13">
      <c r="A357" s="153">
        <v>44573</v>
      </c>
      <c r="B357" s="10" t="s">
        <v>186</v>
      </c>
      <c r="C357" s="10">
        <v>44561000008</v>
      </c>
      <c r="D357" s="10" t="s">
        <v>64</v>
      </c>
      <c r="E357" s="10" t="s">
        <v>64</v>
      </c>
      <c r="F357" s="153">
        <v>44561</v>
      </c>
      <c r="G357" s="116" t="s">
        <v>39</v>
      </c>
      <c r="H357" s="116">
        <v>500000</v>
      </c>
      <c r="I357" s="116">
        <v>0</v>
      </c>
      <c r="J357" s="116">
        <v>500000</v>
      </c>
      <c r="K357" s="219">
        <v>0</v>
      </c>
      <c r="L357" s="116">
        <v>0</v>
      </c>
      <c r="M357" s="31">
        <v>500000</v>
      </c>
      <c r="N357" s="336">
        <v>500000</v>
      </c>
      <c r="O357" s="336">
        <v>0</v>
      </c>
      <c r="P357" s="219">
        <v>0</v>
      </c>
      <c r="Q357" s="332">
        <v>0</v>
      </c>
      <c r="R357" s="219">
        <v>0</v>
      </c>
      <c r="S357" s="332">
        <v>0</v>
      </c>
      <c r="T357" s="219">
        <v>0</v>
      </c>
      <c r="U357" s="332">
        <v>0</v>
      </c>
      <c r="V357" s="332">
        <v>0</v>
      </c>
      <c r="W357" s="370">
        <v>0</v>
      </c>
      <c r="X357" s="370">
        <v>0</v>
      </c>
      <c r="Y357" s="370">
        <v>0</v>
      </c>
      <c r="Z357" s="370">
        <v>0</v>
      </c>
      <c r="AA357" s="370">
        <v>0</v>
      </c>
      <c r="AB357" s="370">
        <v>0</v>
      </c>
      <c r="AC357" s="370">
        <v>0</v>
      </c>
      <c r="AD357" s="370">
        <v>0</v>
      </c>
      <c r="AE357" s="370">
        <v>0</v>
      </c>
      <c r="AF357" s="370">
        <v>0</v>
      </c>
      <c r="AG357" s="31">
        <v>0</v>
      </c>
      <c r="AH357" s="31">
        <v>1</v>
      </c>
      <c r="AI357" s="31">
        <v>0</v>
      </c>
      <c r="AJ357" s="370">
        <v>1</v>
      </c>
      <c r="AK357" s="219">
        <v>0</v>
      </c>
      <c r="AL357" s="219">
        <v>0</v>
      </c>
      <c r="AM357" s="219">
        <v>0</v>
      </c>
      <c r="AN357" s="219">
        <v>0</v>
      </c>
      <c r="AO357" s="116">
        <v>0</v>
      </c>
      <c r="AP357" s="116">
        <v>0</v>
      </c>
      <c r="AQ357" s="116">
        <v>1</v>
      </c>
      <c r="AR357" s="116">
        <v>0</v>
      </c>
      <c r="AS357" s="116">
        <v>0</v>
      </c>
      <c r="AT357" s="116">
        <v>1</v>
      </c>
      <c r="AU357" s="385">
        <v>0</v>
      </c>
      <c r="AV357" s="332">
        <v>0</v>
      </c>
      <c r="AW357" s="332">
        <v>0</v>
      </c>
      <c r="AX357" s="332">
        <v>500000</v>
      </c>
      <c r="AY357" s="332">
        <v>0</v>
      </c>
      <c r="AZ357" s="332">
        <v>0</v>
      </c>
      <c r="BA357" s="332">
        <v>0</v>
      </c>
      <c r="BB357" s="31">
        <v>500000</v>
      </c>
      <c r="BC357" s="31">
        <v>0</v>
      </c>
      <c r="BD357" s="29">
        <v>0</v>
      </c>
      <c r="BE357" s="31">
        <v>0</v>
      </c>
    </row>
    <row r="358" spans="1:57" ht="13">
      <c r="A358" s="153">
        <v>44573</v>
      </c>
      <c r="B358" s="10" t="s">
        <v>186</v>
      </c>
      <c r="C358" s="10">
        <v>44563000037</v>
      </c>
      <c r="D358" s="10" t="s">
        <v>16</v>
      </c>
      <c r="E358" s="10" t="s">
        <v>0</v>
      </c>
      <c r="F358" s="153">
        <v>44563</v>
      </c>
      <c r="G358" s="116" t="s">
        <v>41</v>
      </c>
      <c r="H358" s="116">
        <v>409954.46750000003</v>
      </c>
      <c r="I358" s="116">
        <v>90045.532500000001</v>
      </c>
      <c r="J358" s="116">
        <v>500000</v>
      </c>
      <c r="K358" s="219">
        <v>409954.46750000003</v>
      </c>
      <c r="L358" s="116">
        <v>0</v>
      </c>
      <c r="M358" s="31">
        <v>-90045.532500000001</v>
      </c>
      <c r="N358" s="336">
        <v>-90045.532500000001</v>
      </c>
      <c r="O358" s="336">
        <v>90045.532500000001</v>
      </c>
      <c r="P358" s="219">
        <v>0</v>
      </c>
      <c r="Q358" s="332">
        <v>3001.51775</v>
      </c>
      <c r="R358" s="219">
        <v>30</v>
      </c>
      <c r="S358" s="332">
        <v>0</v>
      </c>
      <c r="T358" s="219">
        <v>0</v>
      </c>
      <c r="U358" s="332">
        <v>0</v>
      </c>
      <c r="V358" s="332">
        <v>0</v>
      </c>
      <c r="W358" s="370">
        <v>0</v>
      </c>
      <c r="X358" s="370">
        <v>0</v>
      </c>
      <c r="Y358" s="370">
        <v>0</v>
      </c>
      <c r="Z358" s="370">
        <v>0</v>
      </c>
      <c r="AA358" s="370">
        <v>0</v>
      </c>
      <c r="AB358" s="370">
        <v>30</v>
      </c>
      <c r="AC358" s="370">
        <v>0</v>
      </c>
      <c r="AD358" s="370">
        <v>0</v>
      </c>
      <c r="AE358" s="370">
        <v>0</v>
      </c>
      <c r="AF358" s="370">
        <v>-30</v>
      </c>
      <c r="AG358" s="31">
        <v>30</v>
      </c>
      <c r="AH358" s="31">
        <v>390.31</v>
      </c>
      <c r="AI358" s="31">
        <v>0</v>
      </c>
      <c r="AJ358" s="370">
        <v>7.7920499999999997</v>
      </c>
      <c r="AK358" s="219">
        <v>390.31</v>
      </c>
      <c r="AL358" s="219">
        <v>0</v>
      </c>
      <c r="AM358" s="219">
        <v>0</v>
      </c>
      <c r="AN358" s="219">
        <v>0</v>
      </c>
      <c r="AO358" s="116">
        <v>0</v>
      </c>
      <c r="AP358" s="116">
        <v>0</v>
      </c>
      <c r="AQ358" s="116">
        <v>2</v>
      </c>
      <c r="AR358" s="116">
        <v>91239.451064999987</v>
      </c>
      <c r="AS358" s="116">
        <v>91239.451064999987</v>
      </c>
      <c r="AT358" s="116">
        <v>1</v>
      </c>
      <c r="AU358" s="385">
        <v>0</v>
      </c>
      <c r="AV358" s="332">
        <v>0</v>
      </c>
      <c r="AW358" s="332">
        <v>0</v>
      </c>
      <c r="AX358" s="332">
        <v>-91239.451065000001</v>
      </c>
      <c r="AY358" s="332">
        <v>0</v>
      </c>
      <c r="AZ358" s="332">
        <v>0</v>
      </c>
      <c r="BA358" s="332">
        <v>0</v>
      </c>
      <c r="BB358" s="31">
        <v>409954.46750000003</v>
      </c>
      <c r="BC358" s="31">
        <v>0</v>
      </c>
      <c r="BD358" s="29">
        <v>0</v>
      </c>
      <c r="BE358" s="31">
        <v>0</v>
      </c>
    </row>
    <row r="359" spans="1:57" ht="13">
      <c r="A359" s="153">
        <v>44573</v>
      </c>
      <c r="B359" s="10" t="s">
        <v>186</v>
      </c>
      <c r="C359" s="10">
        <v>44563000038</v>
      </c>
      <c r="D359" s="10" t="s">
        <v>16</v>
      </c>
      <c r="E359" s="10" t="s">
        <v>38</v>
      </c>
      <c r="F359" s="153">
        <v>44563</v>
      </c>
      <c r="G359" s="116" t="s">
        <v>39</v>
      </c>
      <c r="H359" s="116">
        <v>396154.46750000003</v>
      </c>
      <c r="I359" s="116">
        <v>103845.5325</v>
      </c>
      <c r="J359" s="116">
        <v>500000</v>
      </c>
      <c r="K359" s="219">
        <v>396154.46750000003</v>
      </c>
      <c r="L359" s="116">
        <v>0</v>
      </c>
      <c r="M359" s="31">
        <v>-13800</v>
      </c>
      <c r="N359" s="336">
        <v>-13800</v>
      </c>
      <c r="O359" s="336">
        <v>13800</v>
      </c>
      <c r="P359" s="219">
        <v>0</v>
      </c>
      <c r="Q359" s="332">
        <v>460</v>
      </c>
      <c r="R359" s="219">
        <v>30</v>
      </c>
      <c r="S359" s="332">
        <v>0</v>
      </c>
      <c r="T359" s="219">
        <v>0</v>
      </c>
      <c r="U359" s="332">
        <v>0</v>
      </c>
      <c r="V359" s="332">
        <v>0</v>
      </c>
      <c r="W359" s="370">
        <v>0</v>
      </c>
      <c r="X359" s="370">
        <v>0</v>
      </c>
      <c r="Y359" s="370">
        <v>0</v>
      </c>
      <c r="Z359" s="370">
        <v>0</v>
      </c>
      <c r="AA359" s="370">
        <v>0</v>
      </c>
      <c r="AB359" s="370">
        <v>30</v>
      </c>
      <c r="AC359" s="370">
        <v>0</v>
      </c>
      <c r="AD359" s="370">
        <v>0</v>
      </c>
      <c r="AE359" s="370">
        <v>0</v>
      </c>
      <c r="AF359" s="370">
        <v>-30</v>
      </c>
      <c r="AG359" s="31">
        <v>30</v>
      </c>
      <c r="AH359" s="31">
        <v>480.8</v>
      </c>
      <c r="AI359" s="31">
        <v>0</v>
      </c>
      <c r="AJ359" s="370">
        <v>1</v>
      </c>
      <c r="AK359" s="219">
        <v>480.8</v>
      </c>
      <c r="AL359" s="219">
        <v>0</v>
      </c>
      <c r="AM359" s="219">
        <v>0</v>
      </c>
      <c r="AN359" s="219">
        <v>0</v>
      </c>
      <c r="AO359" s="116">
        <v>0</v>
      </c>
      <c r="AP359" s="116">
        <v>0</v>
      </c>
      <c r="AQ359" s="116">
        <v>3</v>
      </c>
      <c r="AR359" s="116">
        <v>14424</v>
      </c>
      <c r="AS359" s="116">
        <v>14424</v>
      </c>
      <c r="AT359" s="116">
        <v>1</v>
      </c>
      <c r="AU359" s="385">
        <v>0</v>
      </c>
      <c r="AV359" s="332">
        <v>0</v>
      </c>
      <c r="AW359" s="332">
        <v>0</v>
      </c>
      <c r="AX359" s="332">
        <v>-14424</v>
      </c>
      <c r="AY359" s="332">
        <v>0</v>
      </c>
      <c r="AZ359" s="332">
        <v>0</v>
      </c>
      <c r="BA359" s="332">
        <v>0</v>
      </c>
      <c r="BB359" s="31">
        <v>396154.46750000003</v>
      </c>
      <c r="BC359" s="31">
        <v>0</v>
      </c>
      <c r="BD359" s="29">
        <v>0</v>
      </c>
      <c r="BE359" s="31">
        <v>0</v>
      </c>
    </row>
    <row r="360" spans="1:57" ht="13">
      <c r="A360" s="153">
        <v>44573</v>
      </c>
      <c r="B360" s="10" t="s">
        <v>186</v>
      </c>
      <c r="C360" s="10">
        <v>44564000045</v>
      </c>
      <c r="D360" s="10" t="s">
        <v>18</v>
      </c>
      <c r="E360" s="10" t="s">
        <v>7</v>
      </c>
      <c r="F360" s="153">
        <v>44564</v>
      </c>
      <c r="G360" s="116" t="s">
        <v>41</v>
      </c>
      <c r="H360" s="116">
        <v>365251.58795000002</v>
      </c>
      <c r="I360" s="116">
        <v>134748.41205000001</v>
      </c>
      <c r="J360" s="116">
        <v>500000</v>
      </c>
      <c r="K360" s="219">
        <v>365251.58795000002</v>
      </c>
      <c r="L360" s="116">
        <v>0</v>
      </c>
      <c r="M360" s="31">
        <v>-30902.879550000001</v>
      </c>
      <c r="N360" s="336">
        <v>-30902.879550000005</v>
      </c>
      <c r="O360" s="336">
        <v>0</v>
      </c>
      <c r="P360" s="219">
        <v>0</v>
      </c>
      <c r="Q360" s="332">
        <v>0</v>
      </c>
      <c r="R360" s="219">
        <v>0</v>
      </c>
      <c r="S360" s="332">
        <v>13.21</v>
      </c>
      <c r="T360" s="219">
        <v>30</v>
      </c>
      <c r="U360" s="332">
        <v>0</v>
      </c>
      <c r="V360" s="332">
        <v>0</v>
      </c>
      <c r="W360" s="370">
        <v>0</v>
      </c>
      <c r="X360" s="370">
        <v>0</v>
      </c>
      <c r="Y360" s="370">
        <v>0</v>
      </c>
      <c r="Z360" s="370">
        <v>0</v>
      </c>
      <c r="AA360" s="370">
        <v>0</v>
      </c>
      <c r="AB360" s="370">
        <v>0</v>
      </c>
      <c r="AC360" s="370">
        <v>30</v>
      </c>
      <c r="AD360" s="370">
        <v>0</v>
      </c>
      <c r="AE360" s="370">
        <v>0</v>
      </c>
      <c r="AF360" s="370">
        <v>-30</v>
      </c>
      <c r="AG360" s="31">
        <v>30</v>
      </c>
      <c r="AH360" s="31">
        <v>13.29</v>
      </c>
      <c r="AI360" s="31">
        <v>0</v>
      </c>
      <c r="AJ360" s="370">
        <v>7.7920499999999997</v>
      </c>
      <c r="AK360" s="219">
        <v>0</v>
      </c>
      <c r="AL360" s="219">
        <v>13.29</v>
      </c>
      <c r="AM360" s="219">
        <v>15.71</v>
      </c>
      <c r="AN360" s="219">
        <v>0</v>
      </c>
      <c r="AO360" s="116">
        <v>0</v>
      </c>
      <c r="AP360" s="116">
        <v>0</v>
      </c>
      <c r="AQ360" s="116">
        <v>4</v>
      </c>
      <c r="AR360" s="116">
        <v>31066.903349999997</v>
      </c>
      <c r="AS360" s="116">
        <v>31066.903349999997</v>
      </c>
      <c r="AT360" s="116">
        <v>1</v>
      </c>
      <c r="AU360" s="385">
        <v>0</v>
      </c>
      <c r="AV360" s="332">
        <v>0</v>
      </c>
      <c r="AW360" s="332">
        <v>0</v>
      </c>
      <c r="AX360" s="332">
        <v>-33895.417499999996</v>
      </c>
      <c r="AY360" s="332">
        <v>0</v>
      </c>
      <c r="AZ360" s="332">
        <v>0</v>
      </c>
      <c r="BA360" s="332">
        <v>0</v>
      </c>
      <c r="BB360" s="31">
        <v>365251.58795000002</v>
      </c>
      <c r="BC360" s="31">
        <v>0</v>
      </c>
      <c r="BD360" s="29">
        <v>0</v>
      </c>
      <c r="BE360" s="31">
        <v>0</v>
      </c>
    </row>
    <row r="361" spans="1:57" ht="13">
      <c r="A361" s="153">
        <v>44573</v>
      </c>
      <c r="B361" s="10" t="s">
        <v>186</v>
      </c>
      <c r="C361" s="10">
        <v>44565000046</v>
      </c>
      <c r="D361" s="10" t="s">
        <v>18</v>
      </c>
      <c r="E361" s="10" t="s">
        <v>7</v>
      </c>
      <c r="F361" s="153">
        <v>44565</v>
      </c>
      <c r="G361" s="116" t="s">
        <v>41</v>
      </c>
      <c r="H361" s="116">
        <v>382070.50044999999</v>
      </c>
      <c r="I361" s="116">
        <v>117929.49955000001</v>
      </c>
      <c r="J361" s="116">
        <v>500000</v>
      </c>
      <c r="K361" s="219">
        <v>382070.50044999999</v>
      </c>
      <c r="L361" s="116">
        <v>0</v>
      </c>
      <c r="M361" s="31">
        <v>16818.912500000002</v>
      </c>
      <c r="N361" s="336">
        <v>16818.912500000002</v>
      </c>
      <c r="O361" s="336">
        <v>0</v>
      </c>
      <c r="P361" s="219">
        <v>0</v>
      </c>
      <c r="Q361" s="332">
        <v>0</v>
      </c>
      <c r="R361" s="219">
        <v>0</v>
      </c>
      <c r="S361" s="332">
        <v>10.79</v>
      </c>
      <c r="T361" s="219">
        <v>-20</v>
      </c>
      <c r="U361" s="332">
        <v>0</v>
      </c>
      <c r="V361" s="332">
        <v>0</v>
      </c>
      <c r="W361" s="370">
        <v>0</v>
      </c>
      <c r="X361" s="370">
        <v>0</v>
      </c>
      <c r="Y361" s="370">
        <v>30</v>
      </c>
      <c r="Z361" s="370">
        <v>0</v>
      </c>
      <c r="AA361" s="370">
        <v>0</v>
      </c>
      <c r="AB361" s="370">
        <v>0</v>
      </c>
      <c r="AC361" s="370">
        <v>10</v>
      </c>
      <c r="AD361" s="370">
        <v>0</v>
      </c>
      <c r="AE361" s="370">
        <v>0</v>
      </c>
      <c r="AF361" s="370">
        <v>20</v>
      </c>
      <c r="AG361" s="31">
        <v>-20</v>
      </c>
      <c r="AH361" s="31"/>
      <c r="AI361" s="31">
        <v>1</v>
      </c>
      <c r="AJ361" s="370">
        <v>7.7920499999999997</v>
      </c>
      <c r="AK361" s="219">
        <v>0</v>
      </c>
      <c r="AL361" s="219">
        <v>13.29</v>
      </c>
      <c r="AM361" s="219">
        <v>15.71</v>
      </c>
      <c r="AN361" s="219">
        <v>0</v>
      </c>
      <c r="AO361" s="116">
        <v>0</v>
      </c>
      <c r="AP361" s="116">
        <v>0</v>
      </c>
      <c r="AQ361" s="116">
        <v>4</v>
      </c>
      <c r="AR361" s="116">
        <v>0</v>
      </c>
      <c r="AS361" s="116">
        <v>31066.903349999997</v>
      </c>
      <c r="AT361" s="116">
        <v>0</v>
      </c>
      <c r="AU361" s="385">
        <v>136730.35441499998</v>
      </c>
      <c r="AV361" s="332">
        <v>0</v>
      </c>
      <c r="AW361" s="332">
        <v>136730.35441499998</v>
      </c>
      <c r="AX361" s="332">
        <v>22596.945</v>
      </c>
      <c r="AY361" s="332">
        <v>0</v>
      </c>
      <c r="AZ361" s="332">
        <v>0</v>
      </c>
      <c r="BA361" s="332">
        <v>0</v>
      </c>
      <c r="BB361" s="31">
        <v>382070.50044999999</v>
      </c>
      <c r="BC361" s="31">
        <v>382070.50044999999</v>
      </c>
      <c r="BD361" s="29">
        <v>0</v>
      </c>
      <c r="BE361" s="31">
        <v>518800.854865</v>
      </c>
    </row>
    <row r="362" spans="1:57" ht="13">
      <c r="A362" s="153">
        <v>44573</v>
      </c>
      <c r="B362" s="10" t="s">
        <v>187</v>
      </c>
      <c r="C362" s="10">
        <v>44561000009</v>
      </c>
      <c r="D362" s="10" t="s">
        <v>64</v>
      </c>
      <c r="E362" s="10" t="s">
        <v>64</v>
      </c>
      <c r="F362" s="153">
        <v>44561</v>
      </c>
      <c r="G362" s="116" t="s">
        <v>39</v>
      </c>
      <c r="H362" s="116">
        <v>500000</v>
      </c>
      <c r="I362" s="116">
        <v>0</v>
      </c>
      <c r="J362" s="116">
        <v>500000</v>
      </c>
      <c r="K362" s="219">
        <v>0</v>
      </c>
      <c r="L362" s="116">
        <v>0</v>
      </c>
      <c r="M362" s="31">
        <v>500000</v>
      </c>
      <c r="N362" s="336">
        <v>500000</v>
      </c>
      <c r="O362" s="336">
        <v>0</v>
      </c>
      <c r="P362" s="219">
        <v>0</v>
      </c>
      <c r="Q362" s="332">
        <v>0</v>
      </c>
      <c r="R362" s="219">
        <v>0</v>
      </c>
      <c r="S362" s="332">
        <v>0</v>
      </c>
      <c r="T362" s="219">
        <v>0</v>
      </c>
      <c r="U362" s="332">
        <v>0</v>
      </c>
      <c r="V362" s="332">
        <v>0</v>
      </c>
      <c r="W362" s="370">
        <v>0</v>
      </c>
      <c r="X362" s="370">
        <v>0</v>
      </c>
      <c r="Y362" s="370">
        <v>0</v>
      </c>
      <c r="Z362" s="370">
        <v>0</v>
      </c>
      <c r="AA362" s="370">
        <v>0</v>
      </c>
      <c r="AB362" s="370">
        <v>0</v>
      </c>
      <c r="AC362" s="370">
        <v>0</v>
      </c>
      <c r="AD362" s="370">
        <v>0</v>
      </c>
      <c r="AE362" s="370">
        <v>0</v>
      </c>
      <c r="AF362" s="370">
        <v>0</v>
      </c>
      <c r="AG362" s="31">
        <v>0</v>
      </c>
      <c r="AH362" s="31">
        <v>1</v>
      </c>
      <c r="AI362" s="31">
        <v>0</v>
      </c>
      <c r="AJ362" s="370">
        <v>1</v>
      </c>
      <c r="AK362" s="219">
        <v>0</v>
      </c>
      <c r="AL362" s="219">
        <v>0</v>
      </c>
      <c r="AM362" s="219">
        <v>0</v>
      </c>
      <c r="AN362" s="219">
        <v>0</v>
      </c>
      <c r="AO362" s="116">
        <v>0</v>
      </c>
      <c r="AP362" s="116">
        <v>0</v>
      </c>
      <c r="AQ362" s="116">
        <v>1</v>
      </c>
      <c r="AR362" s="116">
        <v>0</v>
      </c>
      <c r="AS362" s="116">
        <v>0</v>
      </c>
      <c r="AT362" s="116">
        <v>1</v>
      </c>
      <c r="AU362" s="385">
        <v>0</v>
      </c>
      <c r="AV362" s="332">
        <v>0</v>
      </c>
      <c r="AW362" s="332">
        <v>0</v>
      </c>
      <c r="AX362" s="332">
        <v>500000</v>
      </c>
      <c r="AY362" s="332">
        <v>0</v>
      </c>
      <c r="AZ362" s="332">
        <v>0</v>
      </c>
      <c r="BA362" s="332">
        <v>0</v>
      </c>
      <c r="BB362" s="31">
        <v>499999.18552070757</v>
      </c>
      <c r="BC362" s="31">
        <v>0</v>
      </c>
      <c r="BD362" s="29">
        <v>0</v>
      </c>
      <c r="BE362" s="31">
        <v>0</v>
      </c>
    </row>
    <row r="363" spans="1:57" ht="13">
      <c r="A363" s="153">
        <v>44573</v>
      </c>
      <c r="B363" s="10" t="s">
        <v>187</v>
      </c>
      <c r="C363" s="10">
        <v>44566000040</v>
      </c>
      <c r="D363" s="10" t="s">
        <v>21</v>
      </c>
      <c r="E363" s="10" t="s">
        <v>4</v>
      </c>
      <c r="F363" s="153">
        <v>44566</v>
      </c>
      <c r="G363" s="116" t="s">
        <v>41</v>
      </c>
      <c r="H363" s="116">
        <v>527283.34</v>
      </c>
      <c r="I363" s="116">
        <v>-27283.34</v>
      </c>
      <c r="J363" s="116">
        <v>499999.99999999994</v>
      </c>
      <c r="K363" s="219">
        <v>149214.20000000001</v>
      </c>
      <c r="L363" s="116">
        <v>0</v>
      </c>
      <c r="M363" s="31">
        <v>27283.34</v>
      </c>
      <c r="N363" s="336">
        <v>-350785.8</v>
      </c>
      <c r="O363" s="336">
        <v>0</v>
      </c>
      <c r="P363" s="219">
        <v>0</v>
      </c>
      <c r="Q363" s="332">
        <v>0</v>
      </c>
      <c r="R363" s="219">
        <v>0</v>
      </c>
      <c r="S363" s="332">
        <v>0</v>
      </c>
      <c r="T363" s="219">
        <v>0</v>
      </c>
      <c r="U363" s="332">
        <v>3.5</v>
      </c>
      <c r="V363" s="332">
        <v>-10</v>
      </c>
      <c r="W363" s="370">
        <v>0</v>
      </c>
      <c r="X363" s="370">
        <v>0</v>
      </c>
      <c r="Y363" s="370">
        <v>0</v>
      </c>
      <c r="Z363" s="370">
        <v>0</v>
      </c>
      <c r="AA363" s="370">
        <v>0</v>
      </c>
      <c r="AB363" s="370">
        <v>0</v>
      </c>
      <c r="AC363" s="370">
        <v>0</v>
      </c>
      <c r="AD363" s="370">
        <v>-10</v>
      </c>
      <c r="AE363" s="370">
        <v>0</v>
      </c>
      <c r="AF363" s="370">
        <v>0</v>
      </c>
      <c r="AG363" s="31">
        <v>-10</v>
      </c>
      <c r="AH363" s="31">
        <v>3.7</v>
      </c>
      <c r="AI363" s="31">
        <v>0</v>
      </c>
      <c r="AJ363" s="370">
        <v>7.7920499999999997</v>
      </c>
      <c r="AK363" s="219">
        <v>0</v>
      </c>
      <c r="AL363" s="219">
        <v>0</v>
      </c>
      <c r="AM363" s="219">
        <v>0</v>
      </c>
      <c r="AN363" s="219">
        <v>3.7</v>
      </c>
      <c r="AO363" s="116">
        <v>45</v>
      </c>
      <c r="AP363" s="116">
        <v>0</v>
      </c>
      <c r="AQ363" s="116">
        <v>2</v>
      </c>
      <c r="AR363" s="116">
        <v>-28830.584999999999</v>
      </c>
      <c r="AS363" s="116">
        <v>-28830.584999999999</v>
      </c>
      <c r="AT363" s="116">
        <v>1</v>
      </c>
      <c r="AU363" s="385">
        <v>0</v>
      </c>
      <c r="AV363" s="332">
        <v>0</v>
      </c>
      <c r="AW363" s="332">
        <v>0</v>
      </c>
      <c r="AX363" s="332">
        <v>0</v>
      </c>
      <c r="AY363" s="332">
        <v>0</v>
      </c>
      <c r="AZ363" s="332">
        <v>0</v>
      </c>
      <c r="BA363" s="332">
        <v>0</v>
      </c>
      <c r="BB363" s="31">
        <v>527282.52552070748</v>
      </c>
      <c r="BC363" s="31">
        <v>0</v>
      </c>
      <c r="BD363" s="29">
        <v>0</v>
      </c>
      <c r="BE363" s="31">
        <v>0</v>
      </c>
    </row>
    <row r="364" spans="1:57" ht="13">
      <c r="A364" s="153">
        <v>44573</v>
      </c>
      <c r="B364" s="10" t="s">
        <v>187</v>
      </c>
      <c r="C364" s="10">
        <v>44566000041</v>
      </c>
      <c r="D364" s="10" t="s">
        <v>21</v>
      </c>
      <c r="E364" s="10" t="s">
        <v>5</v>
      </c>
      <c r="F364" s="153">
        <v>44566</v>
      </c>
      <c r="G364" s="116" t="s">
        <v>41</v>
      </c>
      <c r="H364" s="116">
        <v>507795.24</v>
      </c>
      <c r="I364" s="116">
        <v>-7795.2400000000016</v>
      </c>
      <c r="J364" s="116">
        <v>500000</v>
      </c>
      <c r="K364" s="219">
        <v>461023.8</v>
      </c>
      <c r="L364" s="116">
        <v>0</v>
      </c>
      <c r="M364" s="31">
        <v>-19488.099999999999</v>
      </c>
      <c r="N364" s="336">
        <v>311809.59999999998</v>
      </c>
      <c r="O364" s="336">
        <v>0</v>
      </c>
      <c r="P364" s="219">
        <v>0</v>
      </c>
      <c r="Q364" s="332">
        <v>0</v>
      </c>
      <c r="R364" s="219">
        <v>0</v>
      </c>
      <c r="S364" s="332">
        <v>0</v>
      </c>
      <c r="T364" s="219">
        <v>0</v>
      </c>
      <c r="U364" s="332">
        <v>2.5</v>
      </c>
      <c r="V364" s="332">
        <v>10</v>
      </c>
      <c r="W364" s="370">
        <v>0</v>
      </c>
      <c r="X364" s="370">
        <v>0</v>
      </c>
      <c r="Y364" s="370">
        <v>0</v>
      </c>
      <c r="Z364" s="370">
        <v>0</v>
      </c>
      <c r="AA364" s="370">
        <v>0</v>
      </c>
      <c r="AB364" s="370">
        <v>0</v>
      </c>
      <c r="AC364" s="370">
        <v>0</v>
      </c>
      <c r="AD364" s="370">
        <v>10</v>
      </c>
      <c r="AE364" s="370">
        <v>0</v>
      </c>
      <c r="AF364" s="370">
        <v>0</v>
      </c>
      <c r="AG364" s="31">
        <v>10</v>
      </c>
      <c r="AH364" s="31">
        <v>2.7</v>
      </c>
      <c r="AI364" s="31">
        <v>0</v>
      </c>
      <c r="AJ364" s="370">
        <v>7.7920499999999997</v>
      </c>
      <c r="AK364" s="219">
        <v>0</v>
      </c>
      <c r="AL364" s="219">
        <v>0</v>
      </c>
      <c r="AM364" s="219">
        <v>0</v>
      </c>
      <c r="AN364" s="219">
        <v>2.7</v>
      </c>
      <c r="AO364" s="116">
        <v>40</v>
      </c>
      <c r="AP364" s="116">
        <v>0</v>
      </c>
      <c r="AQ364" s="116">
        <v>3</v>
      </c>
      <c r="AR364" s="116">
        <v>21038.535</v>
      </c>
      <c r="AS364" s="116">
        <v>21038.535</v>
      </c>
      <c r="AT364" s="116">
        <v>1</v>
      </c>
      <c r="AU364" s="385">
        <v>0</v>
      </c>
      <c r="AV364" s="332">
        <v>0</v>
      </c>
      <c r="AW364" s="332">
        <v>0</v>
      </c>
      <c r="AX364" s="332">
        <v>0</v>
      </c>
      <c r="AY364" s="332">
        <v>0</v>
      </c>
      <c r="AZ364" s="332">
        <v>0</v>
      </c>
      <c r="BA364" s="332">
        <v>0</v>
      </c>
      <c r="BB364" s="31">
        <v>507794.42552070756</v>
      </c>
      <c r="BC364" s="31">
        <v>0</v>
      </c>
      <c r="BD364" s="29">
        <v>0</v>
      </c>
      <c r="BE364" s="31">
        <v>0</v>
      </c>
    </row>
    <row r="365" spans="1:57" ht="13">
      <c r="A365" s="153">
        <v>44573</v>
      </c>
      <c r="B365" s="10" t="s">
        <v>187</v>
      </c>
      <c r="C365" s="10">
        <v>44567000042</v>
      </c>
      <c r="D365" s="10" t="s">
        <v>16</v>
      </c>
      <c r="E365" s="10" t="s">
        <v>38</v>
      </c>
      <c r="F365" s="153">
        <v>44567</v>
      </c>
      <c r="G365" s="116" t="s">
        <v>39</v>
      </c>
      <c r="H365" s="116">
        <v>490595.24</v>
      </c>
      <c r="I365" s="116">
        <v>9404.7599999999984</v>
      </c>
      <c r="J365" s="116">
        <v>500000</v>
      </c>
      <c r="K365" s="219">
        <v>443823.8</v>
      </c>
      <c r="L365" s="116">
        <v>0</v>
      </c>
      <c r="M365" s="31">
        <v>-17200</v>
      </c>
      <c r="N365" s="336">
        <v>-17200</v>
      </c>
      <c r="O365" s="336">
        <v>17200</v>
      </c>
      <c r="P365" s="219">
        <v>0</v>
      </c>
      <c r="Q365" s="332">
        <v>430</v>
      </c>
      <c r="R365" s="219">
        <v>40</v>
      </c>
      <c r="S365" s="332">
        <v>0</v>
      </c>
      <c r="T365" s="219">
        <v>0</v>
      </c>
      <c r="U365" s="332">
        <v>0</v>
      </c>
      <c r="V365" s="332">
        <v>0</v>
      </c>
      <c r="W365" s="370">
        <v>0</v>
      </c>
      <c r="X365" s="370">
        <v>0</v>
      </c>
      <c r="Y365" s="370">
        <v>0</v>
      </c>
      <c r="Z365" s="370">
        <v>0</v>
      </c>
      <c r="AA365" s="370">
        <v>0</v>
      </c>
      <c r="AB365" s="370">
        <v>40</v>
      </c>
      <c r="AC365" s="370">
        <v>0</v>
      </c>
      <c r="AD365" s="370">
        <v>0</v>
      </c>
      <c r="AE365" s="370">
        <v>0</v>
      </c>
      <c r="AF365" s="370">
        <v>-40</v>
      </c>
      <c r="AG365" s="31">
        <v>40</v>
      </c>
      <c r="AH365" s="31">
        <v>480.8</v>
      </c>
      <c r="AI365" s="31">
        <v>0</v>
      </c>
      <c r="AJ365" s="370">
        <v>1</v>
      </c>
      <c r="AK365" s="219">
        <v>480.8</v>
      </c>
      <c r="AL365" s="219">
        <v>0</v>
      </c>
      <c r="AM365" s="219">
        <v>0</v>
      </c>
      <c r="AN365" s="219">
        <v>0</v>
      </c>
      <c r="AO365" s="116">
        <v>0</v>
      </c>
      <c r="AP365" s="116">
        <v>0</v>
      </c>
      <c r="AQ365" s="116">
        <v>4</v>
      </c>
      <c r="AR365" s="116">
        <v>19232</v>
      </c>
      <c r="AS365" s="116">
        <v>-4808</v>
      </c>
      <c r="AT365" s="116">
        <v>1</v>
      </c>
      <c r="AU365" s="385">
        <v>0</v>
      </c>
      <c r="AV365" s="332">
        <v>0</v>
      </c>
      <c r="AW365" s="332">
        <v>0</v>
      </c>
      <c r="AX365" s="332">
        <v>-19232</v>
      </c>
      <c r="AY365" s="332">
        <v>0</v>
      </c>
      <c r="AZ365" s="332">
        <v>0</v>
      </c>
      <c r="BA365" s="332">
        <v>0</v>
      </c>
      <c r="BB365" s="31">
        <v>490594.42552070756</v>
      </c>
      <c r="BC365" s="31">
        <v>0</v>
      </c>
      <c r="BD365" s="29">
        <v>0</v>
      </c>
      <c r="BE365" s="31">
        <v>0</v>
      </c>
    </row>
    <row r="366" spans="1:57" ht="13">
      <c r="A366" s="153">
        <v>44573</v>
      </c>
      <c r="B366" s="10" t="s">
        <v>187</v>
      </c>
      <c r="C366" s="10">
        <v>44568000043</v>
      </c>
      <c r="D366" s="10" t="s">
        <v>16</v>
      </c>
      <c r="E366" s="10" t="s">
        <v>38</v>
      </c>
      <c r="F366" s="153">
        <v>44568</v>
      </c>
      <c r="G366" s="116" t="s">
        <v>39</v>
      </c>
      <c r="H366" s="116">
        <v>512595.24</v>
      </c>
      <c r="I366" s="116">
        <v>-12595.240000000002</v>
      </c>
      <c r="J366" s="116">
        <v>500000</v>
      </c>
      <c r="K366" s="219">
        <v>465623.8</v>
      </c>
      <c r="L366" s="116">
        <v>0</v>
      </c>
      <c r="M366" s="31">
        <v>22000</v>
      </c>
      <c r="N366" s="336">
        <v>13200</v>
      </c>
      <c r="O366" s="336">
        <v>0</v>
      </c>
      <c r="P366" s="219">
        <v>-22000</v>
      </c>
      <c r="Q366" s="332">
        <v>440</v>
      </c>
      <c r="R366" s="219">
        <v>-50</v>
      </c>
      <c r="S366" s="332">
        <v>0</v>
      </c>
      <c r="T366" s="219">
        <v>0</v>
      </c>
      <c r="U366" s="332">
        <v>0</v>
      </c>
      <c r="V366" s="332">
        <v>0</v>
      </c>
      <c r="W366" s="370">
        <v>0</v>
      </c>
      <c r="X366" s="370">
        <v>40</v>
      </c>
      <c r="Y366" s="370">
        <v>0</v>
      </c>
      <c r="Z366" s="370">
        <v>0</v>
      </c>
      <c r="AA366" s="370">
        <v>0</v>
      </c>
      <c r="AB366" s="370">
        <v>-10</v>
      </c>
      <c r="AC366" s="370">
        <v>0</v>
      </c>
      <c r="AD366" s="370">
        <v>0</v>
      </c>
      <c r="AE366" s="370">
        <v>0</v>
      </c>
      <c r="AF366" s="370">
        <v>30</v>
      </c>
      <c r="AG366" s="31">
        <v>-50</v>
      </c>
      <c r="AH366" s="31">
        <v>480.8</v>
      </c>
      <c r="AI366" s="31">
        <v>0</v>
      </c>
      <c r="AJ366" s="370">
        <v>1</v>
      </c>
      <c r="AK366" s="219">
        <v>480.8</v>
      </c>
      <c r="AL366" s="219">
        <v>0</v>
      </c>
      <c r="AM366" s="219">
        <v>0</v>
      </c>
      <c r="AN366" s="219">
        <v>0</v>
      </c>
      <c r="AO366" s="116">
        <v>0</v>
      </c>
      <c r="AP366" s="116">
        <v>0</v>
      </c>
      <c r="AQ366" s="116">
        <v>4</v>
      </c>
      <c r="AR366" s="116">
        <v>-24040</v>
      </c>
      <c r="AS366" s="116">
        <v>-4808</v>
      </c>
      <c r="AT366" s="116">
        <v>0</v>
      </c>
      <c r="AU366" s="385">
        <v>0</v>
      </c>
      <c r="AV366" s="332">
        <v>0</v>
      </c>
      <c r="AW366" s="332">
        <v>0</v>
      </c>
      <c r="AX366" s="332">
        <v>14424</v>
      </c>
      <c r="AY366" s="332">
        <v>0</v>
      </c>
      <c r="AZ366" s="332">
        <v>-0.81447929243593131</v>
      </c>
      <c r="BA366" s="332">
        <v>0</v>
      </c>
      <c r="BB366" s="31">
        <v>512594.42552070756</v>
      </c>
      <c r="BC366" s="31">
        <v>0</v>
      </c>
      <c r="BD366" s="29">
        <v>0</v>
      </c>
      <c r="BE366" s="31">
        <v>0</v>
      </c>
    </row>
    <row r="367" spans="1:57" ht="13">
      <c r="A367" s="153">
        <v>44573</v>
      </c>
      <c r="B367" s="10" t="s">
        <v>187</v>
      </c>
      <c r="C367" s="10">
        <v>44568000044</v>
      </c>
      <c r="D367" s="10" t="s">
        <v>18</v>
      </c>
      <c r="E367" s="10" t="s">
        <v>7</v>
      </c>
      <c r="F367" s="153">
        <v>44568</v>
      </c>
      <c r="G367" s="116" t="s">
        <v>41</v>
      </c>
      <c r="H367" s="116">
        <v>529422.61185999995</v>
      </c>
      <c r="I367" s="116">
        <v>-29422.611860000001</v>
      </c>
      <c r="J367" s="116">
        <v>499999.99999999994</v>
      </c>
      <c r="K367" s="219">
        <v>413596.42813999997</v>
      </c>
      <c r="L367" s="116">
        <v>0</v>
      </c>
      <c r="M367" s="31">
        <v>16827.371859999999</v>
      </c>
      <c r="N367" s="336">
        <v>-16827.371859999999</v>
      </c>
      <c r="O367" s="336">
        <v>0</v>
      </c>
      <c r="P367" s="219">
        <v>0</v>
      </c>
      <c r="Q367" s="332">
        <v>0</v>
      </c>
      <c r="R367" s="219">
        <v>0</v>
      </c>
      <c r="S367" s="332">
        <v>10.79</v>
      </c>
      <c r="T367" s="219">
        <v>-20</v>
      </c>
      <c r="U367" s="332">
        <v>0</v>
      </c>
      <c r="V367" s="332">
        <v>0</v>
      </c>
      <c r="W367" s="370">
        <v>0</v>
      </c>
      <c r="X367" s="370">
        <v>0</v>
      </c>
      <c r="Y367" s="370">
        <v>0</v>
      </c>
      <c r="Z367" s="370">
        <v>0</v>
      </c>
      <c r="AA367" s="370">
        <v>0</v>
      </c>
      <c r="AB367" s="370">
        <v>0</v>
      </c>
      <c r="AC367" s="370">
        <v>-20</v>
      </c>
      <c r="AD367" s="370">
        <v>0</v>
      </c>
      <c r="AE367" s="370">
        <v>0</v>
      </c>
      <c r="AF367" s="370">
        <v>-20</v>
      </c>
      <c r="AG367" s="31">
        <v>-20</v>
      </c>
      <c r="AH367" s="31"/>
      <c r="AI367" s="31">
        <v>1</v>
      </c>
      <c r="AJ367" s="370">
        <v>7.7920499999999997</v>
      </c>
      <c r="AK367" s="219">
        <v>0</v>
      </c>
      <c r="AL367" s="219">
        <v>13.29</v>
      </c>
      <c r="AM367" s="219">
        <v>15.71</v>
      </c>
      <c r="AN367" s="219">
        <v>0</v>
      </c>
      <c r="AO367" s="116">
        <v>0</v>
      </c>
      <c r="AP367" s="116">
        <v>0</v>
      </c>
      <c r="AQ367" s="116">
        <v>5</v>
      </c>
      <c r="AR367" s="116">
        <v>0</v>
      </c>
      <c r="AS367" s="116">
        <v>0</v>
      </c>
      <c r="AT367" s="116">
        <v>1</v>
      </c>
      <c r="AU367" s="385">
        <v>21038.535</v>
      </c>
      <c r="AV367" s="332">
        <v>-33638.584999999999</v>
      </c>
      <c r="AW367" s="332">
        <v>-12600.05</v>
      </c>
      <c r="AX367" s="332">
        <v>-22596.945</v>
      </c>
      <c r="AY367" s="332">
        <v>0</v>
      </c>
      <c r="AZ367" s="332">
        <v>0</v>
      </c>
      <c r="BA367" s="332">
        <v>0</v>
      </c>
      <c r="BB367" s="31">
        <v>529421.79738070746</v>
      </c>
      <c r="BC367" s="31">
        <v>529421.79738070746</v>
      </c>
      <c r="BD367" s="29">
        <v>0</v>
      </c>
      <c r="BE367" s="31">
        <v>516822.56185999996</v>
      </c>
    </row>
    <row r="368" spans="1:57" ht="13">
      <c r="A368" s="153">
        <v>44573</v>
      </c>
      <c r="B368" s="10" t="s">
        <v>188</v>
      </c>
      <c r="C368" s="10">
        <v>44561000010</v>
      </c>
      <c r="D368" s="10" t="s">
        <v>64</v>
      </c>
      <c r="E368" s="10" t="s">
        <v>64</v>
      </c>
      <c r="F368" s="153">
        <v>44561</v>
      </c>
      <c r="G368" s="116" t="s">
        <v>39</v>
      </c>
      <c r="H368" s="116">
        <v>500000</v>
      </c>
      <c r="I368" s="116">
        <v>0</v>
      </c>
      <c r="J368" s="116">
        <v>500000</v>
      </c>
      <c r="K368" s="219">
        <v>0</v>
      </c>
      <c r="L368" s="116">
        <v>0</v>
      </c>
      <c r="M368" s="31">
        <v>500000</v>
      </c>
      <c r="N368" s="336">
        <v>500000</v>
      </c>
      <c r="O368" s="336">
        <v>0</v>
      </c>
      <c r="P368" s="219">
        <v>0</v>
      </c>
      <c r="Q368" s="332">
        <v>0</v>
      </c>
      <c r="R368" s="219">
        <v>0</v>
      </c>
      <c r="S368" s="332">
        <v>0</v>
      </c>
      <c r="T368" s="219">
        <v>0</v>
      </c>
      <c r="U368" s="332">
        <v>0</v>
      </c>
      <c r="V368" s="332">
        <v>0</v>
      </c>
      <c r="W368" s="370">
        <v>0</v>
      </c>
      <c r="X368" s="370">
        <v>0</v>
      </c>
      <c r="Y368" s="370">
        <v>0</v>
      </c>
      <c r="Z368" s="370">
        <v>0</v>
      </c>
      <c r="AA368" s="370">
        <v>0</v>
      </c>
      <c r="AB368" s="370">
        <v>0</v>
      </c>
      <c r="AC368" s="370">
        <v>0</v>
      </c>
      <c r="AD368" s="370">
        <v>0</v>
      </c>
      <c r="AE368" s="370">
        <v>0</v>
      </c>
      <c r="AF368" s="370">
        <v>0</v>
      </c>
      <c r="AG368" s="31">
        <v>0</v>
      </c>
      <c r="AH368" s="31">
        <v>1</v>
      </c>
      <c r="AI368" s="31">
        <v>1</v>
      </c>
      <c r="AJ368" s="370">
        <v>1</v>
      </c>
      <c r="AK368" s="219">
        <v>0</v>
      </c>
      <c r="AL368" s="219">
        <v>0</v>
      </c>
      <c r="AM368" s="219">
        <v>0</v>
      </c>
      <c r="AN368" s="219">
        <v>0</v>
      </c>
      <c r="AO368" s="116">
        <v>0</v>
      </c>
      <c r="AP368" s="116">
        <v>0</v>
      </c>
      <c r="AQ368" s="116">
        <v>1</v>
      </c>
      <c r="AR368" s="116">
        <v>0</v>
      </c>
      <c r="AS368" s="116">
        <v>0</v>
      </c>
      <c r="AT368" s="116">
        <v>1</v>
      </c>
      <c r="AU368" s="385">
        <v>0</v>
      </c>
      <c r="AV368" s="332">
        <v>0</v>
      </c>
      <c r="AW368" s="332">
        <v>0</v>
      </c>
      <c r="AX368" s="332">
        <v>500000</v>
      </c>
      <c r="AY368" s="332">
        <v>0</v>
      </c>
      <c r="AZ368" s="332">
        <v>0</v>
      </c>
      <c r="BA368" s="332">
        <v>0</v>
      </c>
      <c r="BB368" s="31">
        <v>500000</v>
      </c>
      <c r="BC368" s="31">
        <v>500000</v>
      </c>
      <c r="BD368" s="29">
        <v>0</v>
      </c>
      <c r="BE368" s="31">
        <v>500000</v>
      </c>
    </row>
    <row r="369" spans="1:57" ht="13">
      <c r="A369" s="153">
        <v>44574</v>
      </c>
      <c r="B369" s="10" t="s">
        <v>183</v>
      </c>
      <c r="C369" s="10">
        <v>44561000005</v>
      </c>
      <c r="D369" s="10" t="s">
        <v>64</v>
      </c>
      <c r="E369" s="10" t="s">
        <v>64</v>
      </c>
      <c r="F369" s="153">
        <v>44561</v>
      </c>
      <c r="G369" s="116" t="s">
        <v>39</v>
      </c>
      <c r="H369" s="116">
        <v>500000</v>
      </c>
      <c r="I369" s="116">
        <v>0</v>
      </c>
      <c r="J369" s="116">
        <v>500000</v>
      </c>
      <c r="K369" s="219">
        <v>0</v>
      </c>
      <c r="L369" s="116">
        <v>0</v>
      </c>
      <c r="M369" s="31">
        <v>500000</v>
      </c>
      <c r="N369" s="336">
        <v>500000</v>
      </c>
      <c r="O369" s="336">
        <v>0</v>
      </c>
      <c r="P369" s="219">
        <v>0</v>
      </c>
      <c r="Q369" s="332">
        <v>0</v>
      </c>
      <c r="R369" s="219">
        <v>0</v>
      </c>
      <c r="S369" s="332">
        <v>0</v>
      </c>
      <c r="T369" s="219">
        <v>0</v>
      </c>
      <c r="U369" s="332">
        <v>0</v>
      </c>
      <c r="V369" s="332">
        <v>0</v>
      </c>
      <c r="W369" s="370">
        <v>0</v>
      </c>
      <c r="X369" s="370">
        <v>0</v>
      </c>
      <c r="Y369" s="370">
        <v>0</v>
      </c>
      <c r="Z369" s="370">
        <v>0</v>
      </c>
      <c r="AA369" s="370">
        <v>0</v>
      </c>
      <c r="AB369" s="370">
        <v>0</v>
      </c>
      <c r="AC369" s="370">
        <v>0</v>
      </c>
      <c r="AD369" s="370">
        <v>0</v>
      </c>
      <c r="AE369" s="370">
        <v>0</v>
      </c>
      <c r="AF369" s="370">
        <v>0</v>
      </c>
      <c r="AG369" s="31">
        <v>0</v>
      </c>
      <c r="AH369" s="31">
        <v>1</v>
      </c>
      <c r="AI369" s="31">
        <v>0</v>
      </c>
      <c r="AJ369" s="370">
        <v>1</v>
      </c>
      <c r="AK369" s="219">
        <v>0</v>
      </c>
      <c r="AL369" s="219">
        <v>0</v>
      </c>
      <c r="AM369" s="219">
        <v>0</v>
      </c>
      <c r="AN369" s="219">
        <v>0</v>
      </c>
      <c r="AO369" s="116">
        <v>0</v>
      </c>
      <c r="AP369" s="116">
        <v>0</v>
      </c>
      <c r="AQ369" s="116">
        <v>1</v>
      </c>
      <c r="AR369" s="116">
        <v>0</v>
      </c>
      <c r="AS369" s="116">
        <v>0</v>
      </c>
      <c r="AT369" s="116">
        <v>1</v>
      </c>
      <c r="AU369" s="385">
        <v>0</v>
      </c>
      <c r="AV369" s="332">
        <v>0</v>
      </c>
      <c r="AW369" s="332">
        <v>0</v>
      </c>
      <c r="AX369" s="332">
        <v>500000</v>
      </c>
      <c r="AY369" s="332">
        <v>0</v>
      </c>
      <c r="AZ369" s="332">
        <v>0</v>
      </c>
      <c r="BA369" s="332">
        <v>0</v>
      </c>
      <c r="BB369" s="31">
        <v>499952.04037306481</v>
      </c>
      <c r="BC369" s="31">
        <v>0</v>
      </c>
      <c r="BD369" s="29">
        <v>0</v>
      </c>
      <c r="BE369" s="29">
        <v>0</v>
      </c>
    </row>
    <row r="370" spans="1:57" ht="13">
      <c r="A370" s="153">
        <v>44574</v>
      </c>
      <c r="B370" s="10" t="s">
        <v>183</v>
      </c>
      <c r="C370" s="10">
        <v>44562000011</v>
      </c>
      <c r="D370" s="10" t="s">
        <v>16</v>
      </c>
      <c r="E370" s="10" t="s">
        <v>42</v>
      </c>
      <c r="F370" s="153">
        <v>44562</v>
      </c>
      <c r="G370" s="116" t="s">
        <v>41</v>
      </c>
      <c r="H370" s="116">
        <v>447610.20799999998</v>
      </c>
      <c r="I370" s="116">
        <v>52389.792000000001</v>
      </c>
      <c r="J370" s="116">
        <v>500000</v>
      </c>
      <c r="K370" s="219">
        <v>447610.20799999998</v>
      </c>
      <c r="L370" s="116">
        <v>0</v>
      </c>
      <c r="M370" s="31">
        <v>-52389.792000000001</v>
      </c>
      <c r="N370" s="336">
        <v>-52389.792000000001</v>
      </c>
      <c r="O370" s="336">
        <v>52389.792000000001</v>
      </c>
      <c r="P370" s="219">
        <v>0</v>
      </c>
      <c r="Q370" s="332">
        <v>26194.896000000001</v>
      </c>
      <c r="R370" s="219">
        <v>2</v>
      </c>
      <c r="S370" s="332">
        <v>0</v>
      </c>
      <c r="T370" s="219">
        <v>0</v>
      </c>
      <c r="U370" s="332">
        <v>0</v>
      </c>
      <c r="V370" s="332">
        <v>0</v>
      </c>
      <c r="W370" s="370">
        <v>0</v>
      </c>
      <c r="X370" s="370">
        <v>0</v>
      </c>
      <c r="Y370" s="370">
        <v>0</v>
      </c>
      <c r="Z370" s="370">
        <v>0</v>
      </c>
      <c r="AA370" s="370">
        <v>0</v>
      </c>
      <c r="AB370" s="370">
        <v>2</v>
      </c>
      <c r="AC370" s="370">
        <v>0</v>
      </c>
      <c r="AD370" s="370">
        <v>0</v>
      </c>
      <c r="AE370" s="370">
        <v>0</v>
      </c>
      <c r="AF370" s="370">
        <v>-2</v>
      </c>
      <c r="AG370" s="31">
        <v>2</v>
      </c>
      <c r="AH370" s="31">
        <v>3224.28</v>
      </c>
      <c r="AI370" s="31">
        <v>0</v>
      </c>
      <c r="AJ370" s="370">
        <v>7.7880500000000001</v>
      </c>
      <c r="AK370" s="219">
        <v>3224.28</v>
      </c>
      <c r="AL370" s="219">
        <v>0</v>
      </c>
      <c r="AM370" s="219">
        <v>0</v>
      </c>
      <c r="AN370" s="219">
        <v>0</v>
      </c>
      <c r="AO370" s="116">
        <v>0</v>
      </c>
      <c r="AP370" s="116">
        <v>0</v>
      </c>
      <c r="AQ370" s="116">
        <v>2</v>
      </c>
      <c r="AR370" s="116">
        <v>50221.707708000002</v>
      </c>
      <c r="AS370" s="116">
        <v>50221.707708000002</v>
      </c>
      <c r="AT370" s="116">
        <v>1</v>
      </c>
      <c r="AU370" s="385">
        <v>0</v>
      </c>
      <c r="AV370" s="332">
        <v>0</v>
      </c>
      <c r="AW370" s="332">
        <v>0</v>
      </c>
      <c r="AX370" s="332">
        <v>-50221.707708000002</v>
      </c>
      <c r="AY370" s="332">
        <v>0</v>
      </c>
      <c r="AZ370" s="332">
        <v>0</v>
      </c>
      <c r="BA370" s="332">
        <v>0</v>
      </c>
      <c r="BB370" s="31">
        <v>447562.24837306479</v>
      </c>
      <c r="BC370" s="31">
        <v>0</v>
      </c>
      <c r="BD370" s="29">
        <v>0</v>
      </c>
      <c r="BE370" s="29">
        <v>0</v>
      </c>
    </row>
    <row r="371" spans="1:57" ht="13">
      <c r="A371" s="153">
        <v>44574</v>
      </c>
      <c r="B371" s="10" t="s">
        <v>183</v>
      </c>
      <c r="C371" s="10">
        <v>44563000012</v>
      </c>
      <c r="D371" s="10" t="s">
        <v>16</v>
      </c>
      <c r="E371" s="10" t="s">
        <v>38</v>
      </c>
      <c r="F371" s="153">
        <v>44563</v>
      </c>
      <c r="G371" s="116" t="s">
        <v>39</v>
      </c>
      <c r="H371" s="116">
        <v>443010.20799999998</v>
      </c>
      <c r="I371" s="116">
        <v>56989.792000000001</v>
      </c>
      <c r="J371" s="116">
        <v>500000</v>
      </c>
      <c r="K371" s="219">
        <v>443010.20799999998</v>
      </c>
      <c r="L371" s="116">
        <v>0</v>
      </c>
      <c r="M371" s="31">
        <v>-4600</v>
      </c>
      <c r="N371" s="336">
        <v>-4600</v>
      </c>
      <c r="O371" s="336">
        <v>4600</v>
      </c>
      <c r="P371" s="219">
        <v>0</v>
      </c>
      <c r="Q371" s="332">
        <v>460</v>
      </c>
      <c r="R371" s="219">
        <v>10</v>
      </c>
      <c r="S371" s="332">
        <v>0</v>
      </c>
      <c r="T371" s="219">
        <v>0</v>
      </c>
      <c r="U371" s="332">
        <v>0</v>
      </c>
      <c r="V371" s="332">
        <v>0</v>
      </c>
      <c r="W371" s="370">
        <v>0</v>
      </c>
      <c r="X371" s="370">
        <v>0</v>
      </c>
      <c r="Y371" s="370">
        <v>0</v>
      </c>
      <c r="Z371" s="370">
        <v>0</v>
      </c>
      <c r="AA371" s="370">
        <v>0</v>
      </c>
      <c r="AB371" s="370">
        <v>10</v>
      </c>
      <c r="AC371" s="370">
        <v>0</v>
      </c>
      <c r="AD371" s="370">
        <v>0</v>
      </c>
      <c r="AE371" s="370">
        <v>0</v>
      </c>
      <c r="AF371" s="370">
        <v>-10</v>
      </c>
      <c r="AG371" s="31">
        <v>10</v>
      </c>
      <c r="AH371" s="31">
        <v>475.2</v>
      </c>
      <c r="AI371" s="31">
        <v>0</v>
      </c>
      <c r="AJ371" s="370">
        <v>1</v>
      </c>
      <c r="AK371" s="219">
        <v>475.2</v>
      </c>
      <c r="AL371" s="219">
        <v>0</v>
      </c>
      <c r="AM371" s="219">
        <v>0</v>
      </c>
      <c r="AN371" s="219">
        <v>0</v>
      </c>
      <c r="AO371" s="116">
        <v>0</v>
      </c>
      <c r="AP371" s="116">
        <v>0</v>
      </c>
      <c r="AQ371" s="116">
        <v>3</v>
      </c>
      <c r="AR371" s="116">
        <v>4752</v>
      </c>
      <c r="AS371" s="116">
        <v>-2376</v>
      </c>
      <c r="AT371" s="116">
        <v>1</v>
      </c>
      <c r="AU371" s="385">
        <v>0</v>
      </c>
      <c r="AV371" s="332">
        <v>0</v>
      </c>
      <c r="AW371" s="332">
        <v>0</v>
      </c>
      <c r="AX371" s="332">
        <v>-4752</v>
      </c>
      <c r="AY371" s="332">
        <v>0</v>
      </c>
      <c r="AZ371" s="332">
        <v>0</v>
      </c>
      <c r="BA371" s="332">
        <v>0</v>
      </c>
      <c r="BB371" s="31">
        <v>442962.24837306479</v>
      </c>
      <c r="BC371" s="31">
        <v>0</v>
      </c>
      <c r="BD371" s="29">
        <v>0</v>
      </c>
      <c r="BE371" s="31">
        <v>0</v>
      </c>
    </row>
    <row r="372" spans="1:57" ht="13">
      <c r="A372" s="153">
        <v>44574</v>
      </c>
      <c r="B372" s="10" t="s">
        <v>183</v>
      </c>
      <c r="C372" s="10">
        <v>44563000013</v>
      </c>
      <c r="D372" s="10" t="s">
        <v>16</v>
      </c>
      <c r="E372" s="10" t="s">
        <v>40</v>
      </c>
      <c r="F372" s="153">
        <v>44563</v>
      </c>
      <c r="G372" s="116" t="s">
        <v>29</v>
      </c>
      <c r="H372" s="116">
        <v>480735.87624999997</v>
      </c>
      <c r="I372" s="116">
        <v>19264.123750000006</v>
      </c>
      <c r="J372" s="116">
        <v>500000</v>
      </c>
      <c r="K372" s="219">
        <v>409884.53975</v>
      </c>
      <c r="L372" s="116">
        <v>0</v>
      </c>
      <c r="M372" s="31">
        <v>37725.668249999995</v>
      </c>
      <c r="N372" s="336">
        <v>-37725.668249999995</v>
      </c>
      <c r="O372" s="336">
        <v>0</v>
      </c>
      <c r="P372" s="219">
        <v>-37725.668249999995</v>
      </c>
      <c r="Q372" s="332">
        <v>2515.0445499999996</v>
      </c>
      <c r="R372" s="219">
        <v>-15</v>
      </c>
      <c r="S372" s="332">
        <v>0</v>
      </c>
      <c r="T372" s="219">
        <v>0</v>
      </c>
      <c r="U372" s="332">
        <v>0</v>
      </c>
      <c r="V372" s="332">
        <v>0</v>
      </c>
      <c r="W372" s="370">
        <v>0</v>
      </c>
      <c r="X372" s="370">
        <v>0</v>
      </c>
      <c r="Y372" s="370">
        <v>0</v>
      </c>
      <c r="Z372" s="370">
        <v>0</v>
      </c>
      <c r="AA372" s="370">
        <v>0</v>
      </c>
      <c r="AB372" s="370">
        <v>-15</v>
      </c>
      <c r="AC372" s="370">
        <v>0</v>
      </c>
      <c r="AD372" s="370">
        <v>0</v>
      </c>
      <c r="AE372" s="370">
        <v>0</v>
      </c>
      <c r="AF372" s="370">
        <v>-15</v>
      </c>
      <c r="AG372" s="31">
        <v>-15</v>
      </c>
      <c r="AH372" s="31">
        <v>1877.39</v>
      </c>
      <c r="AI372" s="31">
        <v>0</v>
      </c>
      <c r="AJ372" s="370">
        <v>1.2243599999999999</v>
      </c>
      <c r="AK372" s="219">
        <v>1877.39</v>
      </c>
      <c r="AL372" s="219">
        <v>0</v>
      </c>
      <c r="AM372" s="219">
        <v>0</v>
      </c>
      <c r="AN372" s="219">
        <v>0</v>
      </c>
      <c r="AO372" s="116">
        <v>0</v>
      </c>
      <c r="AP372" s="116">
        <v>0</v>
      </c>
      <c r="AQ372" s="116">
        <v>4</v>
      </c>
      <c r="AR372" s="116">
        <v>-34479.018305999998</v>
      </c>
      <c r="AS372" s="116">
        <v>-34479.018305999998</v>
      </c>
      <c r="AT372" s="116">
        <v>1</v>
      </c>
      <c r="AU372" s="385">
        <v>0</v>
      </c>
      <c r="AV372" s="332">
        <v>0</v>
      </c>
      <c r="AW372" s="332">
        <v>0</v>
      </c>
      <c r="AX372" s="332">
        <v>-34479.018305999998</v>
      </c>
      <c r="AY372" s="332">
        <v>0</v>
      </c>
      <c r="AZ372" s="332">
        <v>-5.8407750486182195</v>
      </c>
      <c r="BA372" s="332">
        <v>0</v>
      </c>
      <c r="BB372" s="31">
        <v>480687.91662306478</v>
      </c>
      <c r="BC372" s="31">
        <v>0</v>
      </c>
      <c r="BD372" s="29">
        <v>0</v>
      </c>
      <c r="BE372" s="31">
        <v>0</v>
      </c>
    </row>
    <row r="373" spans="1:57" ht="13">
      <c r="A373" s="153">
        <v>44574</v>
      </c>
      <c r="B373" s="10" t="s">
        <v>183</v>
      </c>
      <c r="C373" s="10">
        <v>44563000014</v>
      </c>
      <c r="D373" s="10" t="s">
        <v>16</v>
      </c>
      <c r="E373" s="10" t="s">
        <v>36</v>
      </c>
      <c r="F373" s="153">
        <v>44563</v>
      </c>
      <c r="G373" s="116" t="s">
        <v>37</v>
      </c>
      <c r="H373" s="116">
        <v>416011.66724999994</v>
      </c>
      <c r="I373" s="116">
        <v>83988.332750000001</v>
      </c>
      <c r="J373" s="116">
        <v>499999.99999999994</v>
      </c>
      <c r="K373" s="219">
        <v>345160.33075000002</v>
      </c>
      <c r="L373" s="116">
        <v>0</v>
      </c>
      <c r="M373" s="31">
        <v>-64724.209000000003</v>
      </c>
      <c r="N373" s="336">
        <v>-64724.208999999995</v>
      </c>
      <c r="O373" s="336">
        <v>64724.209000000003</v>
      </c>
      <c r="P373" s="219">
        <v>0</v>
      </c>
      <c r="Q373" s="332">
        <v>6472.4209000000001</v>
      </c>
      <c r="R373" s="219">
        <v>10</v>
      </c>
      <c r="S373" s="332">
        <v>0</v>
      </c>
      <c r="T373" s="219">
        <v>0</v>
      </c>
      <c r="U373" s="332">
        <v>0</v>
      </c>
      <c r="V373" s="332">
        <v>0</v>
      </c>
      <c r="W373" s="370">
        <v>0</v>
      </c>
      <c r="X373" s="370">
        <v>0</v>
      </c>
      <c r="Y373" s="370">
        <v>0</v>
      </c>
      <c r="Z373" s="370">
        <v>0</v>
      </c>
      <c r="AA373" s="370">
        <v>0</v>
      </c>
      <c r="AB373" s="370">
        <v>10</v>
      </c>
      <c r="AC373" s="370">
        <v>0</v>
      </c>
      <c r="AD373" s="370">
        <v>0</v>
      </c>
      <c r="AE373" s="370">
        <v>0</v>
      </c>
      <c r="AF373" s="370">
        <v>-10</v>
      </c>
      <c r="AG373" s="31">
        <v>10</v>
      </c>
      <c r="AH373" s="31">
        <v>690</v>
      </c>
      <c r="AI373" s="31">
        <v>0</v>
      </c>
      <c r="AJ373" s="370">
        <v>8.9223999999999997</v>
      </c>
      <c r="AK373" s="219">
        <v>690</v>
      </c>
      <c r="AL373" s="219">
        <v>0</v>
      </c>
      <c r="AM373" s="219">
        <v>0</v>
      </c>
      <c r="AN373" s="219">
        <v>0</v>
      </c>
      <c r="AO373" s="116">
        <v>0</v>
      </c>
      <c r="AP373" s="116">
        <v>0</v>
      </c>
      <c r="AQ373" s="116">
        <v>5</v>
      </c>
      <c r="AR373" s="116">
        <v>61564.56</v>
      </c>
      <c r="AS373" s="116">
        <v>-246258.24</v>
      </c>
      <c r="AT373" s="116">
        <v>1</v>
      </c>
      <c r="AU373" s="385">
        <v>0</v>
      </c>
      <c r="AV373" s="332">
        <v>0</v>
      </c>
      <c r="AW373" s="332">
        <v>0</v>
      </c>
      <c r="AX373" s="332">
        <v>-61564.55999999999</v>
      </c>
      <c r="AY373" s="332">
        <v>0</v>
      </c>
      <c r="AZ373" s="332">
        <v>0</v>
      </c>
      <c r="BA373" s="332">
        <v>0</v>
      </c>
      <c r="BB373" s="31">
        <v>415963.70762306475</v>
      </c>
      <c r="BC373" s="31">
        <v>0</v>
      </c>
      <c r="BD373" s="29">
        <v>0</v>
      </c>
      <c r="BE373" s="31">
        <v>0</v>
      </c>
    </row>
    <row r="374" spans="1:57" ht="13">
      <c r="A374" s="153">
        <v>44574</v>
      </c>
      <c r="B374" s="10" t="s">
        <v>183</v>
      </c>
      <c r="C374" s="10">
        <v>44565000016</v>
      </c>
      <c r="D374" s="10" t="s">
        <v>16</v>
      </c>
      <c r="E374" s="10" t="s">
        <v>36</v>
      </c>
      <c r="F374" s="153">
        <v>44565</v>
      </c>
      <c r="G374" s="116" t="s">
        <v>37</v>
      </c>
      <c r="H374" s="116">
        <v>448553.16724999994</v>
      </c>
      <c r="I374" s="116">
        <v>51446.832750000001</v>
      </c>
      <c r="J374" s="116">
        <v>499999.99999999994</v>
      </c>
      <c r="K374" s="219">
        <v>507150.24874999997</v>
      </c>
      <c r="L374" s="116">
        <v>0</v>
      </c>
      <c r="M374" s="31">
        <v>32541.5</v>
      </c>
      <c r="N374" s="336">
        <v>32541.5</v>
      </c>
      <c r="O374" s="336">
        <v>0</v>
      </c>
      <c r="P374" s="219">
        <v>-32541.5</v>
      </c>
      <c r="Q374" s="332">
        <v>6508.3</v>
      </c>
      <c r="R374" s="219">
        <v>-5</v>
      </c>
      <c r="S374" s="332">
        <v>0</v>
      </c>
      <c r="T374" s="219">
        <v>0</v>
      </c>
      <c r="U374" s="332">
        <v>0</v>
      </c>
      <c r="V374" s="332">
        <v>0</v>
      </c>
      <c r="W374" s="370">
        <v>0</v>
      </c>
      <c r="X374" s="370">
        <v>10</v>
      </c>
      <c r="Y374" s="370">
        <v>0</v>
      </c>
      <c r="Z374" s="370">
        <v>0</v>
      </c>
      <c r="AA374" s="370">
        <v>0</v>
      </c>
      <c r="AB374" s="370">
        <v>5</v>
      </c>
      <c r="AC374" s="370">
        <v>0</v>
      </c>
      <c r="AD374" s="370">
        <v>0</v>
      </c>
      <c r="AE374" s="370">
        <v>0</v>
      </c>
      <c r="AF374" s="370">
        <v>5</v>
      </c>
      <c r="AG374" s="31">
        <v>-5</v>
      </c>
      <c r="AH374" s="31">
        <v>690</v>
      </c>
      <c r="AI374" s="31">
        <v>0</v>
      </c>
      <c r="AJ374" s="370">
        <v>8.9223999999999997</v>
      </c>
      <c r="AK374" s="219">
        <v>690</v>
      </c>
      <c r="AL374" s="219">
        <v>0</v>
      </c>
      <c r="AM374" s="219">
        <v>0</v>
      </c>
      <c r="AN374" s="219">
        <v>0</v>
      </c>
      <c r="AO374" s="116">
        <v>0</v>
      </c>
      <c r="AP374" s="116">
        <v>0</v>
      </c>
      <c r="AQ374" s="116">
        <v>5</v>
      </c>
      <c r="AR374" s="116">
        <v>-30782.28</v>
      </c>
      <c r="AS374" s="116">
        <v>-246258.24</v>
      </c>
      <c r="AT374" s="116">
        <v>0</v>
      </c>
      <c r="AU374" s="385">
        <v>0</v>
      </c>
      <c r="AV374" s="332">
        <v>0</v>
      </c>
      <c r="AW374" s="332">
        <v>0</v>
      </c>
      <c r="AX374" s="332">
        <v>30782.279999999995</v>
      </c>
      <c r="AY374" s="332">
        <v>0</v>
      </c>
      <c r="AZ374" s="332">
        <v>0</v>
      </c>
      <c r="BA374" s="332">
        <v>0</v>
      </c>
      <c r="BB374" s="31">
        <v>448505.20762306475</v>
      </c>
      <c r="BC374" s="31">
        <v>0</v>
      </c>
      <c r="BD374" s="29">
        <v>0</v>
      </c>
      <c r="BE374" s="31">
        <v>0</v>
      </c>
    </row>
    <row r="375" spans="1:57" ht="13">
      <c r="A375" s="153">
        <v>44574</v>
      </c>
      <c r="B375" s="10" t="s">
        <v>183</v>
      </c>
      <c r="C375" s="10">
        <v>44566000017</v>
      </c>
      <c r="D375" s="10" t="s">
        <v>16</v>
      </c>
      <c r="E375" s="10" t="s">
        <v>36</v>
      </c>
      <c r="F375" s="153">
        <v>44566</v>
      </c>
      <c r="G375" s="116" t="s">
        <v>37</v>
      </c>
      <c r="H375" s="116">
        <v>422451.84284999996</v>
      </c>
      <c r="I375" s="116">
        <v>77548.157149999999</v>
      </c>
      <c r="J375" s="116">
        <v>499999.99999999994</v>
      </c>
      <c r="K375" s="219">
        <v>415965.92434999999</v>
      </c>
      <c r="L375" s="116">
        <v>0</v>
      </c>
      <c r="M375" s="31">
        <v>-26101.324400000001</v>
      </c>
      <c r="N375" s="336">
        <v>-26101.324400000001</v>
      </c>
      <c r="O375" s="336">
        <v>26101.324400000001</v>
      </c>
      <c r="P375" s="219">
        <v>0</v>
      </c>
      <c r="Q375" s="332">
        <v>6525.3311000000003</v>
      </c>
      <c r="R375" s="219">
        <v>4</v>
      </c>
      <c r="S375" s="332">
        <v>0</v>
      </c>
      <c r="T375" s="219">
        <v>0</v>
      </c>
      <c r="U375" s="332">
        <v>0</v>
      </c>
      <c r="V375" s="332">
        <v>0</v>
      </c>
      <c r="W375" s="370">
        <v>0</v>
      </c>
      <c r="X375" s="370">
        <v>5</v>
      </c>
      <c r="Y375" s="370">
        <v>0</v>
      </c>
      <c r="Z375" s="370">
        <v>0</v>
      </c>
      <c r="AA375" s="370">
        <v>0</v>
      </c>
      <c r="AB375" s="370">
        <v>9</v>
      </c>
      <c r="AC375" s="370">
        <v>0</v>
      </c>
      <c r="AD375" s="370">
        <v>0</v>
      </c>
      <c r="AE375" s="370">
        <v>0</v>
      </c>
      <c r="AF375" s="370">
        <v>-4</v>
      </c>
      <c r="AG375" s="31">
        <v>4</v>
      </c>
      <c r="AH375" s="31">
        <v>690</v>
      </c>
      <c r="AI375" s="31">
        <v>0</v>
      </c>
      <c r="AJ375" s="370">
        <v>8.9223999999999997</v>
      </c>
      <c r="AK375" s="219">
        <v>690</v>
      </c>
      <c r="AL375" s="219">
        <v>0</v>
      </c>
      <c r="AM375" s="219">
        <v>0</v>
      </c>
      <c r="AN375" s="219">
        <v>0</v>
      </c>
      <c r="AO375" s="116">
        <v>0</v>
      </c>
      <c r="AP375" s="116">
        <v>0</v>
      </c>
      <c r="AQ375" s="116">
        <v>5</v>
      </c>
      <c r="AR375" s="116">
        <v>24625.824000000001</v>
      </c>
      <c r="AS375" s="116">
        <v>-246258.24</v>
      </c>
      <c r="AT375" s="116">
        <v>0</v>
      </c>
      <c r="AU375" s="385">
        <v>0</v>
      </c>
      <c r="AV375" s="332">
        <v>0</v>
      </c>
      <c r="AW375" s="332">
        <v>0</v>
      </c>
      <c r="AX375" s="332">
        <v>-24625.824000000001</v>
      </c>
      <c r="AY375" s="332">
        <v>0</v>
      </c>
      <c r="AZ375" s="332">
        <v>0</v>
      </c>
      <c r="BA375" s="332">
        <v>0</v>
      </c>
      <c r="BB375" s="31">
        <v>422403.88322306477</v>
      </c>
      <c r="BC375" s="31">
        <v>0</v>
      </c>
      <c r="BD375" s="29">
        <v>0</v>
      </c>
      <c r="BE375" s="31">
        <v>0</v>
      </c>
    </row>
    <row r="376" spans="1:57" ht="13">
      <c r="A376" s="153">
        <v>44574</v>
      </c>
      <c r="B376" s="10" t="s">
        <v>183</v>
      </c>
      <c r="C376" s="10">
        <v>44567000018</v>
      </c>
      <c r="D376" s="10" t="s">
        <v>16</v>
      </c>
      <c r="E376" s="10" t="s">
        <v>36</v>
      </c>
      <c r="F376" s="153">
        <v>44567</v>
      </c>
      <c r="G376" s="116" t="s">
        <v>37</v>
      </c>
      <c r="H376" s="116">
        <v>344208.43124999997</v>
      </c>
      <c r="I376" s="116">
        <v>155791.56874999998</v>
      </c>
      <c r="J376" s="116">
        <v>499999.99999999994</v>
      </c>
      <c r="K376" s="219">
        <v>389925.16154999996</v>
      </c>
      <c r="L376" s="116">
        <v>0</v>
      </c>
      <c r="M376" s="31">
        <v>-78243.411599999992</v>
      </c>
      <c r="N376" s="336">
        <v>-78243.411599999992</v>
      </c>
      <c r="O376" s="336">
        <v>78243.411599999992</v>
      </c>
      <c r="P376" s="219">
        <v>0</v>
      </c>
      <c r="Q376" s="332">
        <v>6520.2842999999993</v>
      </c>
      <c r="R376" s="219">
        <v>12</v>
      </c>
      <c r="S376" s="332">
        <v>0</v>
      </c>
      <c r="T376" s="219">
        <v>0</v>
      </c>
      <c r="U376" s="332">
        <v>0</v>
      </c>
      <c r="V376" s="332">
        <v>0</v>
      </c>
      <c r="W376" s="370">
        <v>0</v>
      </c>
      <c r="X376" s="370">
        <v>9</v>
      </c>
      <c r="Y376" s="370">
        <v>0</v>
      </c>
      <c r="Z376" s="370">
        <v>0</v>
      </c>
      <c r="AA376" s="370">
        <v>0</v>
      </c>
      <c r="AB376" s="370">
        <v>21</v>
      </c>
      <c r="AC376" s="370">
        <v>0</v>
      </c>
      <c r="AD376" s="370">
        <v>0</v>
      </c>
      <c r="AE376" s="370">
        <v>0</v>
      </c>
      <c r="AF376" s="370">
        <v>-12</v>
      </c>
      <c r="AG376" s="31">
        <v>12</v>
      </c>
      <c r="AH376" s="31">
        <v>690</v>
      </c>
      <c r="AI376" s="31">
        <v>0</v>
      </c>
      <c r="AJ376" s="370">
        <v>8.9223999999999997</v>
      </c>
      <c r="AK376" s="219">
        <v>690</v>
      </c>
      <c r="AL376" s="219">
        <v>0</v>
      </c>
      <c r="AM376" s="219">
        <v>0</v>
      </c>
      <c r="AN376" s="219">
        <v>0</v>
      </c>
      <c r="AO376" s="116">
        <v>0</v>
      </c>
      <c r="AP376" s="116">
        <v>0</v>
      </c>
      <c r="AQ376" s="116">
        <v>5</v>
      </c>
      <c r="AR376" s="116">
        <v>73877.471999999994</v>
      </c>
      <c r="AS376" s="116">
        <v>-246258.24</v>
      </c>
      <c r="AT376" s="116">
        <v>0</v>
      </c>
      <c r="AU376" s="385">
        <v>0</v>
      </c>
      <c r="AV376" s="332">
        <v>0</v>
      </c>
      <c r="AW376" s="332">
        <v>0</v>
      </c>
      <c r="AX376" s="332">
        <v>-73877.471999999994</v>
      </c>
      <c r="AY376" s="332">
        <v>0</v>
      </c>
      <c r="AZ376" s="332">
        <v>0</v>
      </c>
      <c r="BA376" s="332">
        <v>0</v>
      </c>
      <c r="BB376" s="31">
        <v>344160.47162306478</v>
      </c>
      <c r="BC376" s="31">
        <v>0</v>
      </c>
      <c r="BD376" s="29">
        <v>0</v>
      </c>
      <c r="BE376" s="31">
        <v>0</v>
      </c>
    </row>
    <row r="377" spans="1:57" ht="13">
      <c r="A377" s="153">
        <v>44574</v>
      </c>
      <c r="B377" s="10" t="s">
        <v>183</v>
      </c>
      <c r="C377" s="10">
        <v>44567000020</v>
      </c>
      <c r="D377" s="10" t="s">
        <v>16</v>
      </c>
      <c r="E377" s="10" t="s">
        <v>36</v>
      </c>
      <c r="F377" s="153">
        <v>44567</v>
      </c>
      <c r="G377" s="116" t="s">
        <v>37</v>
      </c>
      <c r="H377" s="116">
        <v>324647.57834999997</v>
      </c>
      <c r="I377" s="116">
        <v>175352.42164999997</v>
      </c>
      <c r="J377" s="116">
        <v>499999.99999999994</v>
      </c>
      <c r="K377" s="219">
        <v>526851.13185000001</v>
      </c>
      <c r="L377" s="116">
        <v>0</v>
      </c>
      <c r="M377" s="31">
        <v>-19560.852899999998</v>
      </c>
      <c r="N377" s="336">
        <v>-19560.852899999998</v>
      </c>
      <c r="O377" s="336">
        <v>19560.852899999998</v>
      </c>
      <c r="P377" s="219">
        <v>0</v>
      </c>
      <c r="Q377" s="332">
        <v>6520.2842999999993</v>
      </c>
      <c r="R377" s="219">
        <v>3</v>
      </c>
      <c r="S377" s="332">
        <v>0</v>
      </c>
      <c r="T377" s="219">
        <v>0</v>
      </c>
      <c r="U377" s="332">
        <v>0</v>
      </c>
      <c r="V377" s="332">
        <v>0</v>
      </c>
      <c r="W377" s="370">
        <v>0</v>
      </c>
      <c r="X377" s="370">
        <v>21</v>
      </c>
      <c r="Y377" s="370">
        <v>0</v>
      </c>
      <c r="Z377" s="370">
        <v>0</v>
      </c>
      <c r="AA377" s="370">
        <v>0</v>
      </c>
      <c r="AB377" s="370">
        <v>24</v>
      </c>
      <c r="AC377" s="370">
        <v>0</v>
      </c>
      <c r="AD377" s="370">
        <v>0</v>
      </c>
      <c r="AE377" s="370">
        <v>0</v>
      </c>
      <c r="AF377" s="370">
        <v>-3</v>
      </c>
      <c r="AG377" s="31">
        <v>3</v>
      </c>
      <c r="AH377" s="31">
        <v>690</v>
      </c>
      <c r="AI377" s="31">
        <v>0</v>
      </c>
      <c r="AJ377" s="370">
        <v>8.9223999999999997</v>
      </c>
      <c r="AK377" s="219">
        <v>690</v>
      </c>
      <c r="AL377" s="219">
        <v>0</v>
      </c>
      <c r="AM377" s="219">
        <v>0</v>
      </c>
      <c r="AN377" s="219">
        <v>0</v>
      </c>
      <c r="AO377" s="116">
        <v>0</v>
      </c>
      <c r="AP377" s="116">
        <v>0</v>
      </c>
      <c r="AQ377" s="116">
        <v>5</v>
      </c>
      <c r="AR377" s="116">
        <v>18469.367999999999</v>
      </c>
      <c r="AS377" s="116">
        <v>-246258.24</v>
      </c>
      <c r="AT377" s="116">
        <v>0</v>
      </c>
      <c r="AU377" s="385">
        <v>0</v>
      </c>
      <c r="AV377" s="332">
        <v>0</v>
      </c>
      <c r="AW377" s="332">
        <v>0</v>
      </c>
      <c r="AX377" s="332">
        <v>-18469.367999999999</v>
      </c>
      <c r="AY377" s="332">
        <v>0</v>
      </c>
      <c r="AZ377" s="332">
        <v>0</v>
      </c>
      <c r="BA377" s="332">
        <v>0</v>
      </c>
      <c r="BB377" s="31">
        <v>324599.61872306478</v>
      </c>
      <c r="BC377" s="31">
        <v>0</v>
      </c>
      <c r="BD377" s="29">
        <v>0</v>
      </c>
      <c r="BE377" s="31">
        <v>0</v>
      </c>
    </row>
    <row r="378" spans="1:57" ht="13">
      <c r="A378" s="153">
        <v>44574</v>
      </c>
      <c r="B378" s="10" t="s">
        <v>183</v>
      </c>
      <c r="C378" s="10">
        <v>44568000021</v>
      </c>
      <c r="D378" s="10" t="s">
        <v>16</v>
      </c>
      <c r="E378" s="10" t="s">
        <v>36</v>
      </c>
      <c r="F378" s="153">
        <v>44568</v>
      </c>
      <c r="G378" s="116" t="s">
        <v>37</v>
      </c>
      <c r="H378" s="116">
        <v>407579.05034999998</v>
      </c>
      <c r="I378" s="116">
        <v>92420.949649999966</v>
      </c>
      <c r="J378" s="116">
        <v>499999.99999999994</v>
      </c>
      <c r="K378" s="219">
        <v>648904.30964999995</v>
      </c>
      <c r="L378" s="116">
        <v>0</v>
      </c>
      <c r="M378" s="31">
        <v>82931.472000000009</v>
      </c>
      <c r="N378" s="336">
        <v>82931.472000000009</v>
      </c>
      <c r="O378" s="336">
        <v>0</v>
      </c>
      <c r="P378" s="219">
        <v>-82931.472000000009</v>
      </c>
      <c r="Q378" s="332">
        <v>6379.344000000001</v>
      </c>
      <c r="R378" s="219">
        <v>-13</v>
      </c>
      <c r="S378" s="332">
        <v>0</v>
      </c>
      <c r="T378" s="219">
        <v>0</v>
      </c>
      <c r="U378" s="332">
        <v>0</v>
      </c>
      <c r="V378" s="332">
        <v>0</v>
      </c>
      <c r="W378" s="370">
        <v>0</v>
      </c>
      <c r="X378" s="370">
        <v>24</v>
      </c>
      <c r="Y378" s="370">
        <v>0</v>
      </c>
      <c r="Z378" s="370">
        <v>0</v>
      </c>
      <c r="AA378" s="370">
        <v>0</v>
      </c>
      <c r="AB378" s="370">
        <v>11</v>
      </c>
      <c r="AC378" s="370">
        <v>0</v>
      </c>
      <c r="AD378" s="370">
        <v>0</v>
      </c>
      <c r="AE378" s="370">
        <v>0</v>
      </c>
      <c r="AF378" s="370">
        <v>13</v>
      </c>
      <c r="AG378" s="31">
        <v>-13</v>
      </c>
      <c r="AH378" s="31">
        <v>690</v>
      </c>
      <c r="AI378" s="31">
        <v>0</v>
      </c>
      <c r="AJ378" s="370">
        <v>8.9223999999999997</v>
      </c>
      <c r="AK378" s="219">
        <v>690</v>
      </c>
      <c r="AL378" s="219">
        <v>0</v>
      </c>
      <c r="AM378" s="219">
        <v>0</v>
      </c>
      <c r="AN378" s="219">
        <v>0</v>
      </c>
      <c r="AO378" s="116">
        <v>0</v>
      </c>
      <c r="AP378" s="116">
        <v>0</v>
      </c>
      <c r="AQ378" s="116">
        <v>5</v>
      </c>
      <c r="AR378" s="116">
        <v>-80033.928</v>
      </c>
      <c r="AS378" s="116">
        <v>-246258.24</v>
      </c>
      <c r="AT378" s="116">
        <v>0</v>
      </c>
      <c r="AU378" s="385">
        <v>0</v>
      </c>
      <c r="AV378" s="332">
        <v>0</v>
      </c>
      <c r="AW378" s="332">
        <v>0</v>
      </c>
      <c r="AX378" s="332">
        <v>80033.928</v>
      </c>
      <c r="AY378" s="332">
        <v>0</v>
      </c>
      <c r="AZ378" s="332">
        <v>0</v>
      </c>
      <c r="BA378" s="332">
        <v>0</v>
      </c>
      <c r="BB378" s="31">
        <v>407531.09072306479</v>
      </c>
      <c r="BC378" s="31">
        <v>0</v>
      </c>
      <c r="BD378" s="29">
        <v>0</v>
      </c>
      <c r="BE378" s="31">
        <v>0</v>
      </c>
    </row>
    <row r="379" spans="1:57" ht="13">
      <c r="A379" s="153">
        <v>44574</v>
      </c>
      <c r="B379" s="10" t="s">
        <v>183</v>
      </c>
      <c r="C379" s="10">
        <v>44569000022</v>
      </c>
      <c r="D379" s="10" t="s">
        <v>16</v>
      </c>
      <c r="E379" s="10" t="s">
        <v>36</v>
      </c>
      <c r="F379" s="153">
        <v>44569</v>
      </c>
      <c r="G379" s="116" t="s">
        <v>37</v>
      </c>
      <c r="H379" s="116">
        <v>732923.75835000002</v>
      </c>
      <c r="I379" s="116">
        <v>-232923.75835000008</v>
      </c>
      <c r="J379" s="116">
        <v>499999.99999999994</v>
      </c>
      <c r="K379" s="219">
        <v>298041.43364999985</v>
      </c>
      <c r="L379" s="116">
        <v>0</v>
      </c>
      <c r="M379" s="31">
        <v>325344.70800000004</v>
      </c>
      <c r="N379" s="336">
        <v>-184999.93200000003</v>
      </c>
      <c r="O379" s="336">
        <v>0</v>
      </c>
      <c r="P379" s="219">
        <v>-325344.70800000004</v>
      </c>
      <c r="Q379" s="332">
        <v>6379.3080000000009</v>
      </c>
      <c r="R379" s="219">
        <v>-51</v>
      </c>
      <c r="S379" s="332">
        <v>0</v>
      </c>
      <c r="T379" s="219">
        <v>0</v>
      </c>
      <c r="U379" s="332">
        <v>0</v>
      </c>
      <c r="V379" s="332">
        <v>0</v>
      </c>
      <c r="W379" s="370">
        <v>0</v>
      </c>
      <c r="X379" s="370">
        <v>11</v>
      </c>
      <c r="Y379" s="370">
        <v>0</v>
      </c>
      <c r="Z379" s="370">
        <v>0</v>
      </c>
      <c r="AA379" s="370">
        <v>0</v>
      </c>
      <c r="AB379" s="370">
        <v>-40</v>
      </c>
      <c r="AC379" s="370">
        <v>0</v>
      </c>
      <c r="AD379" s="370">
        <v>0</v>
      </c>
      <c r="AE379" s="370">
        <v>0</v>
      </c>
      <c r="AF379" s="370">
        <v>-29</v>
      </c>
      <c r="AG379" s="31">
        <v>-51</v>
      </c>
      <c r="AH379" s="31">
        <v>690</v>
      </c>
      <c r="AI379" s="31">
        <v>0</v>
      </c>
      <c r="AJ379" s="370">
        <v>8.9223999999999997</v>
      </c>
      <c r="AK379" s="219">
        <v>690</v>
      </c>
      <c r="AL379" s="219">
        <v>0</v>
      </c>
      <c r="AM379" s="219">
        <v>0</v>
      </c>
      <c r="AN379" s="219">
        <v>0</v>
      </c>
      <c r="AO379" s="116">
        <v>0</v>
      </c>
      <c r="AP379" s="116">
        <v>0</v>
      </c>
      <c r="AQ379" s="116">
        <v>5</v>
      </c>
      <c r="AR379" s="116">
        <v>-313979.25599999999</v>
      </c>
      <c r="AS379" s="116">
        <v>-246258.24</v>
      </c>
      <c r="AT379" s="116">
        <v>0</v>
      </c>
      <c r="AU379" s="385">
        <v>0</v>
      </c>
      <c r="AV379" s="332">
        <v>0</v>
      </c>
      <c r="AW379" s="332">
        <v>0</v>
      </c>
      <c r="AX379" s="332">
        <v>-178537.22399999999</v>
      </c>
      <c r="AY379" s="332">
        <v>0</v>
      </c>
      <c r="AZ379" s="332">
        <v>-41.716355464167584</v>
      </c>
      <c r="BA379" s="332">
        <v>0</v>
      </c>
      <c r="BB379" s="31">
        <v>732875.79872306483</v>
      </c>
      <c r="BC379" s="31">
        <v>0</v>
      </c>
      <c r="BD379" s="29">
        <v>0</v>
      </c>
      <c r="BE379" s="31">
        <v>0</v>
      </c>
    </row>
    <row r="380" spans="1:57" ht="13">
      <c r="A380" s="153">
        <v>44574</v>
      </c>
      <c r="B380" s="10" t="s">
        <v>183</v>
      </c>
      <c r="C380" s="10">
        <v>44570000023</v>
      </c>
      <c r="D380" s="10" t="s">
        <v>16</v>
      </c>
      <c r="E380" s="10" t="s">
        <v>38</v>
      </c>
      <c r="F380" s="153">
        <v>44570</v>
      </c>
      <c r="G380" s="116" t="s">
        <v>39</v>
      </c>
      <c r="H380" s="116">
        <v>739598.75835000002</v>
      </c>
      <c r="I380" s="116">
        <v>-239598.75835000008</v>
      </c>
      <c r="J380" s="116">
        <v>499999.99999999994</v>
      </c>
      <c r="K380" s="219">
        <v>159921.65764999983</v>
      </c>
      <c r="L380" s="116">
        <v>0</v>
      </c>
      <c r="M380" s="31">
        <v>6675</v>
      </c>
      <c r="N380" s="336">
        <v>2225</v>
      </c>
      <c r="O380" s="336">
        <v>0</v>
      </c>
      <c r="P380" s="219">
        <v>-6675</v>
      </c>
      <c r="Q380" s="332">
        <v>445</v>
      </c>
      <c r="R380" s="219">
        <v>-15</v>
      </c>
      <c r="S380" s="332">
        <v>0</v>
      </c>
      <c r="T380" s="219">
        <v>0</v>
      </c>
      <c r="U380" s="332">
        <v>0</v>
      </c>
      <c r="V380" s="332">
        <v>0</v>
      </c>
      <c r="W380" s="370">
        <v>0</v>
      </c>
      <c r="X380" s="370">
        <v>10</v>
      </c>
      <c r="Y380" s="370">
        <v>0</v>
      </c>
      <c r="Z380" s="370">
        <v>0</v>
      </c>
      <c r="AA380" s="370">
        <v>0</v>
      </c>
      <c r="AB380" s="370">
        <v>-5</v>
      </c>
      <c r="AC380" s="370">
        <v>0</v>
      </c>
      <c r="AD380" s="370">
        <v>0</v>
      </c>
      <c r="AE380" s="370">
        <v>0</v>
      </c>
      <c r="AF380" s="370">
        <v>5</v>
      </c>
      <c r="AG380" s="31">
        <v>-15</v>
      </c>
      <c r="AH380" s="31">
        <v>475.2</v>
      </c>
      <c r="AI380" s="31">
        <v>1</v>
      </c>
      <c r="AJ380" s="370">
        <v>1</v>
      </c>
      <c r="AK380" s="219">
        <v>475.2</v>
      </c>
      <c r="AL380" s="219">
        <v>0</v>
      </c>
      <c r="AM380" s="219">
        <v>0</v>
      </c>
      <c r="AN380" s="219">
        <v>0</v>
      </c>
      <c r="AO380" s="116">
        <v>0</v>
      </c>
      <c r="AP380" s="116">
        <v>0</v>
      </c>
      <c r="AQ380" s="116">
        <v>5</v>
      </c>
      <c r="AR380" s="116">
        <v>-7128</v>
      </c>
      <c r="AS380" s="116">
        <v>-2376</v>
      </c>
      <c r="AT380" s="116">
        <v>0</v>
      </c>
      <c r="AU380" s="385">
        <v>50221.707708000002</v>
      </c>
      <c r="AV380" s="332">
        <v>-283113.25830599997</v>
      </c>
      <c r="AW380" s="332">
        <v>-232891.55059799997</v>
      </c>
      <c r="AX380" s="332">
        <v>2376</v>
      </c>
      <c r="AY380" s="332">
        <v>0</v>
      </c>
      <c r="AZ380" s="332">
        <v>-0.4024964223851441</v>
      </c>
      <c r="BA380" s="332">
        <v>0</v>
      </c>
      <c r="BB380" s="31">
        <v>739550.79872306483</v>
      </c>
      <c r="BC380" s="31">
        <v>739550.79872306483</v>
      </c>
      <c r="BD380" s="29">
        <v>0</v>
      </c>
      <c r="BE380" s="31">
        <v>506707.20775200007</v>
      </c>
    </row>
    <row r="381" spans="1:57" ht="13">
      <c r="A381" s="153">
        <v>44574</v>
      </c>
      <c r="B381" s="10" t="s">
        <v>184</v>
      </c>
      <c r="C381" s="10">
        <v>44561000006</v>
      </c>
      <c r="D381" s="10" t="s">
        <v>64</v>
      </c>
      <c r="E381" s="10" t="s">
        <v>64</v>
      </c>
      <c r="F381" s="153">
        <v>44561</v>
      </c>
      <c r="G381" s="116" t="s">
        <v>39</v>
      </c>
      <c r="H381" s="116">
        <v>500000</v>
      </c>
      <c r="I381" s="116">
        <v>0</v>
      </c>
      <c r="J381" s="116">
        <v>500000</v>
      </c>
      <c r="K381" s="219">
        <v>0</v>
      </c>
      <c r="L381" s="116">
        <v>0</v>
      </c>
      <c r="M381" s="31">
        <v>500000</v>
      </c>
      <c r="N381" s="336">
        <v>500000</v>
      </c>
      <c r="O381" s="336">
        <v>0</v>
      </c>
      <c r="P381" s="219">
        <v>0</v>
      </c>
      <c r="Q381" s="332">
        <v>0</v>
      </c>
      <c r="R381" s="219">
        <v>0</v>
      </c>
      <c r="S381" s="332">
        <v>0</v>
      </c>
      <c r="T381" s="219">
        <v>0</v>
      </c>
      <c r="U381" s="332">
        <v>0</v>
      </c>
      <c r="V381" s="332">
        <v>0</v>
      </c>
      <c r="W381" s="370">
        <v>0</v>
      </c>
      <c r="X381" s="370">
        <v>0</v>
      </c>
      <c r="Y381" s="370">
        <v>0</v>
      </c>
      <c r="Z381" s="370">
        <v>0</v>
      </c>
      <c r="AA381" s="370">
        <v>0</v>
      </c>
      <c r="AB381" s="370">
        <v>0</v>
      </c>
      <c r="AC381" s="370">
        <v>0</v>
      </c>
      <c r="AD381" s="370">
        <v>0</v>
      </c>
      <c r="AE381" s="370">
        <v>0</v>
      </c>
      <c r="AF381" s="370">
        <v>0</v>
      </c>
      <c r="AG381" s="31">
        <v>0</v>
      </c>
      <c r="AH381" s="31">
        <v>1</v>
      </c>
      <c r="AI381" s="31">
        <v>0</v>
      </c>
      <c r="AJ381" s="370">
        <v>1</v>
      </c>
      <c r="AK381" s="219">
        <v>0</v>
      </c>
      <c r="AL381" s="219">
        <v>0</v>
      </c>
      <c r="AM381" s="219">
        <v>0</v>
      </c>
      <c r="AN381" s="219">
        <v>0</v>
      </c>
      <c r="AO381" s="116">
        <v>0</v>
      </c>
      <c r="AP381" s="116">
        <v>0</v>
      </c>
      <c r="AQ381" s="116">
        <v>1</v>
      </c>
      <c r="AR381" s="116">
        <v>0</v>
      </c>
      <c r="AS381" s="116">
        <v>0</v>
      </c>
      <c r="AT381" s="116">
        <v>1</v>
      </c>
      <c r="AU381" s="385">
        <v>0</v>
      </c>
      <c r="AV381" s="332">
        <v>0</v>
      </c>
      <c r="AW381" s="332">
        <v>0</v>
      </c>
      <c r="AX381" s="332">
        <v>500000</v>
      </c>
      <c r="AY381" s="332">
        <v>0</v>
      </c>
      <c r="AZ381" s="332">
        <v>0</v>
      </c>
      <c r="BA381" s="332">
        <v>0</v>
      </c>
      <c r="BB381" s="31">
        <v>499854.55962528667</v>
      </c>
      <c r="BC381" s="31">
        <v>0</v>
      </c>
      <c r="BD381" s="29">
        <v>0</v>
      </c>
      <c r="BE381" s="31">
        <v>0</v>
      </c>
    </row>
    <row r="382" spans="1:57" ht="13">
      <c r="A382" s="153">
        <v>44574</v>
      </c>
      <c r="B382" s="10" t="s">
        <v>184</v>
      </c>
      <c r="C382" s="10">
        <v>44563000025</v>
      </c>
      <c r="D382" s="10" t="s">
        <v>16</v>
      </c>
      <c r="E382" s="10" t="s">
        <v>40</v>
      </c>
      <c r="F382" s="153">
        <v>44563</v>
      </c>
      <c r="G382" s="116" t="s">
        <v>29</v>
      </c>
      <c r="H382" s="116">
        <v>450189.84940000001</v>
      </c>
      <c r="I382" s="116">
        <v>49810.150599999994</v>
      </c>
      <c r="J382" s="116">
        <v>500000</v>
      </c>
      <c r="K382" s="219">
        <v>450189.84940000001</v>
      </c>
      <c r="L382" s="116">
        <v>0</v>
      </c>
      <c r="M382" s="31">
        <v>-49810.150599999994</v>
      </c>
      <c r="N382" s="336">
        <v>-49810.150599999994</v>
      </c>
      <c r="O382" s="336">
        <v>49810.150599999994</v>
      </c>
      <c r="P382" s="219">
        <v>0</v>
      </c>
      <c r="Q382" s="332">
        <v>2490.5075299999999</v>
      </c>
      <c r="R382" s="219">
        <v>20</v>
      </c>
      <c r="S382" s="332">
        <v>0</v>
      </c>
      <c r="T382" s="219">
        <v>0</v>
      </c>
      <c r="U382" s="332">
        <v>0</v>
      </c>
      <c r="V382" s="332">
        <v>0</v>
      </c>
      <c r="W382" s="370">
        <v>0</v>
      </c>
      <c r="X382" s="370">
        <v>0</v>
      </c>
      <c r="Y382" s="370">
        <v>0</v>
      </c>
      <c r="Z382" s="370">
        <v>0</v>
      </c>
      <c r="AA382" s="370">
        <v>0</v>
      </c>
      <c r="AB382" s="370">
        <v>20</v>
      </c>
      <c r="AC382" s="370">
        <v>0</v>
      </c>
      <c r="AD382" s="370">
        <v>0</v>
      </c>
      <c r="AE382" s="370">
        <v>0</v>
      </c>
      <c r="AF382" s="370">
        <v>-20</v>
      </c>
      <c r="AG382" s="31">
        <v>20</v>
      </c>
      <c r="AH382" s="31">
        <v>1877.39</v>
      </c>
      <c r="AI382" s="31">
        <v>0</v>
      </c>
      <c r="AJ382" s="370">
        <v>1.2243599999999999</v>
      </c>
      <c r="AK382" s="219">
        <v>1877.39</v>
      </c>
      <c r="AL382" s="219">
        <v>0</v>
      </c>
      <c r="AM382" s="219">
        <v>0</v>
      </c>
      <c r="AN382" s="219">
        <v>0</v>
      </c>
      <c r="AO382" s="116">
        <v>0</v>
      </c>
      <c r="AP382" s="116">
        <v>0</v>
      </c>
      <c r="AQ382" s="116">
        <v>2</v>
      </c>
      <c r="AR382" s="116">
        <v>45972.024407999997</v>
      </c>
      <c r="AS382" s="116">
        <v>22986.012203999999</v>
      </c>
      <c r="AT382" s="116">
        <v>1</v>
      </c>
      <c r="AU382" s="385">
        <v>0</v>
      </c>
      <c r="AV382" s="332">
        <v>0</v>
      </c>
      <c r="AW382" s="332">
        <v>0</v>
      </c>
      <c r="AX382" s="332">
        <v>-45972.024407999997</v>
      </c>
      <c r="AY382" s="332">
        <v>0</v>
      </c>
      <c r="AZ382" s="332">
        <v>0</v>
      </c>
      <c r="BA382" s="332">
        <v>0</v>
      </c>
      <c r="BB382" s="31">
        <v>450044.40902528667</v>
      </c>
      <c r="BC382" s="31">
        <v>0</v>
      </c>
      <c r="BD382" s="29">
        <v>0</v>
      </c>
      <c r="BE382" s="31">
        <v>0</v>
      </c>
    </row>
    <row r="383" spans="1:57" ht="13">
      <c r="A383" s="153">
        <v>44574</v>
      </c>
      <c r="B383" s="10" t="s">
        <v>184</v>
      </c>
      <c r="C383" s="10">
        <v>44563000026</v>
      </c>
      <c r="D383" s="10" t="s">
        <v>16</v>
      </c>
      <c r="E383" s="10" t="s">
        <v>38</v>
      </c>
      <c r="F383" s="153">
        <v>44563</v>
      </c>
      <c r="G383" s="116" t="s">
        <v>39</v>
      </c>
      <c r="H383" s="116">
        <v>452489.84940000001</v>
      </c>
      <c r="I383" s="116">
        <v>47510.150599999994</v>
      </c>
      <c r="J383" s="116">
        <v>500000</v>
      </c>
      <c r="K383" s="219">
        <v>447889.84940000001</v>
      </c>
      <c r="L383" s="116">
        <v>0</v>
      </c>
      <c r="M383" s="31">
        <v>2300</v>
      </c>
      <c r="N383" s="336">
        <v>-2300</v>
      </c>
      <c r="O383" s="336">
        <v>0</v>
      </c>
      <c r="P383" s="219">
        <v>-2300</v>
      </c>
      <c r="Q383" s="332">
        <v>460</v>
      </c>
      <c r="R383" s="219">
        <v>-5</v>
      </c>
      <c r="S383" s="332">
        <v>0</v>
      </c>
      <c r="T383" s="219">
        <v>0</v>
      </c>
      <c r="U383" s="332">
        <v>0</v>
      </c>
      <c r="V383" s="332">
        <v>0</v>
      </c>
      <c r="W383" s="370">
        <v>0</v>
      </c>
      <c r="X383" s="370">
        <v>0</v>
      </c>
      <c r="Y383" s="370">
        <v>0</v>
      </c>
      <c r="Z383" s="370">
        <v>0</v>
      </c>
      <c r="AA383" s="370">
        <v>0</v>
      </c>
      <c r="AB383" s="370">
        <v>-5</v>
      </c>
      <c r="AC383" s="370">
        <v>0</v>
      </c>
      <c r="AD383" s="370">
        <v>0</v>
      </c>
      <c r="AE383" s="370">
        <v>0</v>
      </c>
      <c r="AF383" s="370">
        <v>-5</v>
      </c>
      <c r="AG383" s="31">
        <v>-5</v>
      </c>
      <c r="AH383" s="31">
        <v>475.2</v>
      </c>
      <c r="AI383" s="31">
        <v>0</v>
      </c>
      <c r="AJ383" s="370">
        <v>1</v>
      </c>
      <c r="AK383" s="219">
        <v>475.2</v>
      </c>
      <c r="AL383" s="219">
        <v>0</v>
      </c>
      <c r="AM383" s="219">
        <v>0</v>
      </c>
      <c r="AN383" s="219">
        <v>0</v>
      </c>
      <c r="AO383" s="116">
        <v>0</v>
      </c>
      <c r="AP383" s="116">
        <v>0</v>
      </c>
      <c r="AQ383" s="116">
        <v>3</v>
      </c>
      <c r="AR383" s="116">
        <v>-2376</v>
      </c>
      <c r="AS383" s="116">
        <v>-708048</v>
      </c>
      <c r="AT383" s="116">
        <v>1</v>
      </c>
      <c r="AU383" s="385">
        <v>0</v>
      </c>
      <c r="AV383" s="332">
        <v>0</v>
      </c>
      <c r="AW383" s="332">
        <v>0</v>
      </c>
      <c r="AX383" s="332">
        <v>-2376</v>
      </c>
      <c r="AY383" s="332">
        <v>0</v>
      </c>
      <c r="AZ383" s="332">
        <v>-0.4024964223851441</v>
      </c>
      <c r="BA383" s="332">
        <v>0</v>
      </c>
      <c r="BB383" s="31">
        <v>452344.40902528667</v>
      </c>
      <c r="BC383" s="31">
        <v>0</v>
      </c>
      <c r="BD383" s="29">
        <v>0</v>
      </c>
      <c r="BE383" s="31">
        <v>0</v>
      </c>
    </row>
    <row r="384" spans="1:57" ht="13">
      <c r="A384" s="153">
        <v>44574</v>
      </c>
      <c r="B384" s="10" t="s">
        <v>184</v>
      </c>
      <c r="C384" s="10">
        <v>44564000027</v>
      </c>
      <c r="D384" s="10" t="s">
        <v>16</v>
      </c>
      <c r="E384" s="10" t="s">
        <v>40</v>
      </c>
      <c r="F384" s="153">
        <v>44564</v>
      </c>
      <c r="G384" s="116" t="s">
        <v>29</v>
      </c>
      <c r="H384" s="116">
        <v>477643.14439999999</v>
      </c>
      <c r="I384" s="116">
        <v>22356.855599999995</v>
      </c>
      <c r="J384" s="116">
        <v>500000</v>
      </c>
      <c r="K384" s="219">
        <v>473043.14439999999</v>
      </c>
      <c r="L384" s="116">
        <v>0</v>
      </c>
      <c r="M384" s="31">
        <v>25153.294999999998</v>
      </c>
      <c r="N384" s="336">
        <v>25153.295000000002</v>
      </c>
      <c r="O384" s="336">
        <v>0</v>
      </c>
      <c r="P384" s="219">
        <v>-25153.294999999998</v>
      </c>
      <c r="Q384" s="332">
        <v>2515.3294999999998</v>
      </c>
      <c r="R384" s="219">
        <v>-10</v>
      </c>
      <c r="S384" s="332">
        <v>0</v>
      </c>
      <c r="T384" s="219">
        <v>0</v>
      </c>
      <c r="U384" s="332">
        <v>0</v>
      </c>
      <c r="V384" s="332">
        <v>0</v>
      </c>
      <c r="W384" s="370">
        <v>0</v>
      </c>
      <c r="X384" s="370">
        <v>20</v>
      </c>
      <c r="Y384" s="370">
        <v>0</v>
      </c>
      <c r="Z384" s="370">
        <v>0</v>
      </c>
      <c r="AA384" s="370">
        <v>0</v>
      </c>
      <c r="AB384" s="370">
        <v>10</v>
      </c>
      <c r="AC384" s="370">
        <v>0</v>
      </c>
      <c r="AD384" s="370">
        <v>0</v>
      </c>
      <c r="AE384" s="370">
        <v>0</v>
      </c>
      <c r="AF384" s="370">
        <v>10</v>
      </c>
      <c r="AG384" s="31">
        <v>-10</v>
      </c>
      <c r="AH384" s="31">
        <v>1877.39</v>
      </c>
      <c r="AI384" s="31">
        <v>0</v>
      </c>
      <c r="AJ384" s="370">
        <v>1.2243599999999999</v>
      </c>
      <c r="AK384" s="219">
        <v>1877.39</v>
      </c>
      <c r="AL384" s="219">
        <v>0</v>
      </c>
      <c r="AM384" s="219">
        <v>0</v>
      </c>
      <c r="AN384" s="219">
        <v>0</v>
      </c>
      <c r="AO384" s="116">
        <v>0</v>
      </c>
      <c r="AP384" s="116">
        <v>0</v>
      </c>
      <c r="AQ384" s="116">
        <v>3</v>
      </c>
      <c r="AR384" s="116">
        <v>-22986.012203999999</v>
      </c>
      <c r="AS384" s="116">
        <v>22986.012203999999</v>
      </c>
      <c r="AT384" s="116">
        <v>0</v>
      </c>
      <c r="AU384" s="385">
        <v>0</v>
      </c>
      <c r="AV384" s="332">
        <v>0</v>
      </c>
      <c r="AW384" s="332">
        <v>0</v>
      </c>
      <c r="AX384" s="332">
        <v>22986.012203999999</v>
      </c>
      <c r="AY384" s="332">
        <v>0</v>
      </c>
      <c r="AZ384" s="332">
        <v>0</v>
      </c>
      <c r="BA384" s="332">
        <v>0</v>
      </c>
      <c r="BB384" s="31">
        <v>477497.70402528666</v>
      </c>
      <c r="BC384" s="31">
        <v>0</v>
      </c>
      <c r="BD384" s="29">
        <v>0</v>
      </c>
      <c r="BE384" s="31">
        <v>0</v>
      </c>
    </row>
    <row r="385" spans="1:57" ht="13">
      <c r="A385" s="153">
        <v>44574</v>
      </c>
      <c r="B385" s="10" t="s">
        <v>184</v>
      </c>
      <c r="C385" s="10">
        <v>44564000028</v>
      </c>
      <c r="D385" s="10" t="s">
        <v>16</v>
      </c>
      <c r="E385" s="10" t="s">
        <v>38</v>
      </c>
      <c r="F385" s="153">
        <v>44564</v>
      </c>
      <c r="G385" s="116" t="s">
        <v>39</v>
      </c>
      <c r="H385" s="116">
        <v>470743.14439999999</v>
      </c>
      <c r="I385" s="116">
        <v>29256.855599999995</v>
      </c>
      <c r="J385" s="116">
        <v>500000</v>
      </c>
      <c r="K385" s="219">
        <v>470743.14439999999</v>
      </c>
      <c r="L385" s="116">
        <v>0</v>
      </c>
      <c r="M385" s="31">
        <v>-6900</v>
      </c>
      <c r="N385" s="336">
        <v>-2300</v>
      </c>
      <c r="O385" s="336">
        <v>6900</v>
      </c>
      <c r="P385" s="219">
        <v>0</v>
      </c>
      <c r="Q385" s="332">
        <v>460</v>
      </c>
      <c r="R385" s="219">
        <v>15</v>
      </c>
      <c r="S385" s="332">
        <v>0</v>
      </c>
      <c r="T385" s="219">
        <v>0</v>
      </c>
      <c r="U385" s="332">
        <v>0</v>
      </c>
      <c r="V385" s="332">
        <v>0</v>
      </c>
      <c r="W385" s="370">
        <v>0</v>
      </c>
      <c r="X385" s="370">
        <v>-5</v>
      </c>
      <c r="Y385" s="370">
        <v>0</v>
      </c>
      <c r="Z385" s="370">
        <v>0</v>
      </c>
      <c r="AA385" s="370">
        <v>0</v>
      </c>
      <c r="AB385" s="370">
        <v>10</v>
      </c>
      <c r="AC385" s="370">
        <v>0</v>
      </c>
      <c r="AD385" s="370">
        <v>0</v>
      </c>
      <c r="AE385" s="370">
        <v>0</v>
      </c>
      <c r="AF385" s="370">
        <v>-5</v>
      </c>
      <c r="AG385" s="31">
        <v>15</v>
      </c>
      <c r="AH385" s="31">
        <v>475.2</v>
      </c>
      <c r="AI385" s="31">
        <v>0</v>
      </c>
      <c r="AJ385" s="370">
        <v>1</v>
      </c>
      <c r="AK385" s="219">
        <v>475.2</v>
      </c>
      <c r="AL385" s="219">
        <v>0</v>
      </c>
      <c r="AM385" s="219">
        <v>0</v>
      </c>
      <c r="AN385" s="219">
        <v>0</v>
      </c>
      <c r="AO385" s="116">
        <v>0</v>
      </c>
      <c r="AP385" s="116">
        <v>0</v>
      </c>
      <c r="AQ385" s="116">
        <v>3</v>
      </c>
      <c r="AR385" s="116">
        <v>7128</v>
      </c>
      <c r="AS385" s="116">
        <v>-708048</v>
      </c>
      <c r="AT385" s="116">
        <v>0</v>
      </c>
      <c r="AU385" s="385">
        <v>0</v>
      </c>
      <c r="AV385" s="332">
        <v>0</v>
      </c>
      <c r="AW385" s="332">
        <v>0</v>
      </c>
      <c r="AX385" s="332">
        <v>-2376</v>
      </c>
      <c r="AY385" s="332">
        <v>0</v>
      </c>
      <c r="AZ385" s="332">
        <v>0</v>
      </c>
      <c r="BA385" s="332">
        <v>0</v>
      </c>
      <c r="BB385" s="31">
        <v>470597.70402528666</v>
      </c>
      <c r="BC385" s="31">
        <v>0</v>
      </c>
      <c r="BD385" s="29">
        <v>0</v>
      </c>
      <c r="BE385" s="31">
        <v>0</v>
      </c>
    </row>
    <row r="386" spans="1:57" ht="13">
      <c r="A386" s="153">
        <v>44574</v>
      </c>
      <c r="B386" s="10" t="s">
        <v>184</v>
      </c>
      <c r="C386" s="10">
        <v>44571000024</v>
      </c>
      <c r="D386" s="10" t="s">
        <v>16</v>
      </c>
      <c r="E386" s="10" t="s">
        <v>38</v>
      </c>
      <c r="F386" s="153">
        <v>44571</v>
      </c>
      <c r="G386" s="116" t="s">
        <v>39</v>
      </c>
      <c r="H386" s="116">
        <v>1138243.1444000001</v>
      </c>
      <c r="I386" s="116">
        <v>-638243.14439999999</v>
      </c>
      <c r="J386" s="116">
        <v>500000.00000000012</v>
      </c>
      <c r="K386" s="219">
        <v>-178656.85560000001</v>
      </c>
      <c r="L386" s="116">
        <v>178656.85560000001</v>
      </c>
      <c r="M386" s="31">
        <v>667500</v>
      </c>
      <c r="N386" s="336">
        <v>-658600</v>
      </c>
      <c r="O386" s="336">
        <v>0</v>
      </c>
      <c r="P386" s="219">
        <v>-667500</v>
      </c>
      <c r="Q386" s="332">
        <v>445</v>
      </c>
      <c r="R386" s="219">
        <v>-1500</v>
      </c>
      <c r="S386" s="332">
        <v>0</v>
      </c>
      <c r="T386" s="219">
        <v>0</v>
      </c>
      <c r="U386" s="332">
        <v>0</v>
      </c>
      <c r="V386" s="332">
        <v>0</v>
      </c>
      <c r="W386" s="370">
        <v>0</v>
      </c>
      <c r="X386" s="370">
        <v>10</v>
      </c>
      <c r="Y386" s="370">
        <v>0</v>
      </c>
      <c r="Z386" s="370">
        <v>0</v>
      </c>
      <c r="AA386" s="370">
        <v>0</v>
      </c>
      <c r="AB386" s="370">
        <v>-1490</v>
      </c>
      <c r="AC386" s="370">
        <v>0</v>
      </c>
      <c r="AD386" s="370">
        <v>0</v>
      </c>
      <c r="AE386" s="370">
        <v>0</v>
      </c>
      <c r="AF386" s="370">
        <v>-1480</v>
      </c>
      <c r="AG386" s="31">
        <v>-1500</v>
      </c>
      <c r="AH386" s="31">
        <v>475.2</v>
      </c>
      <c r="AI386" s="31">
        <v>1</v>
      </c>
      <c r="AJ386" s="370">
        <v>1</v>
      </c>
      <c r="AK386" s="219">
        <v>475.2</v>
      </c>
      <c r="AL386" s="219">
        <v>0</v>
      </c>
      <c r="AM386" s="219">
        <v>0</v>
      </c>
      <c r="AN386" s="219">
        <v>0</v>
      </c>
      <c r="AO386" s="116">
        <v>0</v>
      </c>
      <c r="AP386" s="116">
        <v>0</v>
      </c>
      <c r="AQ386" s="116">
        <v>3</v>
      </c>
      <c r="AR386" s="116">
        <v>-712800</v>
      </c>
      <c r="AS386" s="116">
        <v>-708048</v>
      </c>
      <c r="AT386" s="116">
        <v>0</v>
      </c>
      <c r="AU386" s="385">
        <v>22986.012203999999</v>
      </c>
      <c r="AV386" s="332">
        <v>-708048</v>
      </c>
      <c r="AW386" s="332">
        <v>-685061.98779599997</v>
      </c>
      <c r="AX386" s="332">
        <v>-703296</v>
      </c>
      <c r="AY386" s="332">
        <v>-25.093944420159584</v>
      </c>
      <c r="AZ386" s="332">
        <v>-119.94393387077295</v>
      </c>
      <c r="BA386" s="332">
        <v>0</v>
      </c>
      <c r="BB386" s="31">
        <v>1138097.7040252867</v>
      </c>
      <c r="BC386" s="31">
        <v>1138097.7040252867</v>
      </c>
      <c r="BD386" s="29">
        <v>178656.85560000001</v>
      </c>
      <c r="BE386" s="31">
        <v>453181.15660400013</v>
      </c>
    </row>
    <row r="387" spans="1:57" ht="13">
      <c r="A387" s="153">
        <v>44574</v>
      </c>
      <c r="B387" s="10" t="s">
        <v>185</v>
      </c>
      <c r="C387" s="10">
        <v>44561000007</v>
      </c>
      <c r="D387" s="10" t="s">
        <v>64</v>
      </c>
      <c r="E387" s="10" t="s">
        <v>64</v>
      </c>
      <c r="F387" s="153">
        <v>44561</v>
      </c>
      <c r="G387" s="116" t="s">
        <v>39</v>
      </c>
      <c r="H387" s="116">
        <v>500000</v>
      </c>
      <c r="I387" s="116">
        <v>0</v>
      </c>
      <c r="J387" s="116">
        <v>500000</v>
      </c>
      <c r="K387" s="219">
        <v>0</v>
      </c>
      <c r="L387" s="116">
        <v>0</v>
      </c>
      <c r="M387" s="31">
        <v>500000</v>
      </c>
      <c r="N387" s="336">
        <v>500000</v>
      </c>
      <c r="O387" s="336">
        <v>0</v>
      </c>
      <c r="P387" s="219">
        <v>0</v>
      </c>
      <c r="Q387" s="332">
        <v>0</v>
      </c>
      <c r="R387" s="219">
        <v>0</v>
      </c>
      <c r="S387" s="332">
        <v>0</v>
      </c>
      <c r="T387" s="219">
        <v>0</v>
      </c>
      <c r="U387" s="332">
        <v>0</v>
      </c>
      <c r="V387" s="332">
        <v>0</v>
      </c>
      <c r="W387" s="370">
        <v>0</v>
      </c>
      <c r="X387" s="370">
        <v>0</v>
      </c>
      <c r="Y387" s="370">
        <v>0</v>
      </c>
      <c r="Z387" s="370">
        <v>0</v>
      </c>
      <c r="AA387" s="370">
        <v>0</v>
      </c>
      <c r="AB387" s="370">
        <v>0</v>
      </c>
      <c r="AC387" s="370">
        <v>0</v>
      </c>
      <c r="AD387" s="370">
        <v>0</v>
      </c>
      <c r="AE387" s="370">
        <v>0</v>
      </c>
      <c r="AF387" s="370">
        <v>0</v>
      </c>
      <c r="AG387" s="31">
        <v>0</v>
      </c>
      <c r="AH387" s="31">
        <v>1</v>
      </c>
      <c r="AI387" s="31">
        <v>0</v>
      </c>
      <c r="AJ387" s="370">
        <v>1</v>
      </c>
      <c r="AK387" s="219">
        <v>0</v>
      </c>
      <c r="AL387" s="219">
        <v>0</v>
      </c>
      <c r="AM387" s="219">
        <v>0</v>
      </c>
      <c r="AN387" s="219">
        <v>0</v>
      </c>
      <c r="AO387" s="116">
        <v>0</v>
      </c>
      <c r="AP387" s="116">
        <v>0</v>
      </c>
      <c r="AQ387" s="116">
        <v>1</v>
      </c>
      <c r="AR387" s="116">
        <v>0</v>
      </c>
      <c r="AS387" s="116">
        <v>0</v>
      </c>
      <c r="AT387" s="116">
        <v>1</v>
      </c>
      <c r="AU387" s="385">
        <v>0</v>
      </c>
      <c r="AV387" s="332">
        <v>0</v>
      </c>
      <c r="AW387" s="332">
        <v>0</v>
      </c>
      <c r="AX387" s="332">
        <v>500000</v>
      </c>
      <c r="AY387" s="332">
        <v>0</v>
      </c>
      <c r="AZ387" s="332">
        <v>0</v>
      </c>
      <c r="BA387" s="332">
        <v>0</v>
      </c>
      <c r="BB387" s="31">
        <v>499999.31750231684</v>
      </c>
      <c r="BC387" s="31">
        <v>0</v>
      </c>
      <c r="BD387" s="29">
        <v>0</v>
      </c>
      <c r="BE387" s="31">
        <v>0</v>
      </c>
    </row>
    <row r="388" spans="1:57" ht="13">
      <c r="A388" s="153">
        <v>44574</v>
      </c>
      <c r="B388" s="10" t="s">
        <v>185</v>
      </c>
      <c r="C388" s="10">
        <v>44562000029</v>
      </c>
      <c r="D388" s="10" t="s">
        <v>61</v>
      </c>
      <c r="E388" s="10" t="s">
        <v>63</v>
      </c>
      <c r="F388" s="153">
        <v>44562</v>
      </c>
      <c r="G388" s="116" t="s">
        <v>39</v>
      </c>
      <c r="H388" s="116">
        <v>490000</v>
      </c>
      <c r="I388" s="116">
        <v>10000</v>
      </c>
      <c r="J388" s="116">
        <v>500000</v>
      </c>
      <c r="K388" s="219">
        <v>490000</v>
      </c>
      <c r="L388" s="116">
        <v>0</v>
      </c>
      <c r="M388" s="31">
        <v>-10000</v>
      </c>
      <c r="N388" s="336">
        <v>-10000</v>
      </c>
      <c r="O388" s="336">
        <v>0</v>
      </c>
      <c r="P388" s="219">
        <v>0</v>
      </c>
      <c r="Q388" s="332">
        <v>0</v>
      </c>
      <c r="R388" s="219">
        <v>0</v>
      </c>
      <c r="S388" s="332">
        <v>0</v>
      </c>
      <c r="T388" s="219">
        <v>0</v>
      </c>
      <c r="U388" s="332">
        <v>0</v>
      </c>
      <c r="V388" s="332">
        <v>0</v>
      </c>
      <c r="W388" s="370">
        <v>10000</v>
      </c>
      <c r="X388" s="370">
        <v>0</v>
      </c>
      <c r="Y388" s="370">
        <v>0</v>
      </c>
      <c r="Z388" s="370">
        <v>0</v>
      </c>
      <c r="AA388" s="370">
        <v>0</v>
      </c>
      <c r="AB388" s="370">
        <v>0</v>
      </c>
      <c r="AC388" s="370">
        <v>0</v>
      </c>
      <c r="AD388" s="370">
        <v>0</v>
      </c>
      <c r="AE388" s="370">
        <v>10000</v>
      </c>
      <c r="AF388" s="370">
        <v>-10000</v>
      </c>
      <c r="AG388" s="31">
        <v>10000</v>
      </c>
      <c r="AH388" s="31">
        <v>1</v>
      </c>
      <c r="AI388" s="31">
        <v>0</v>
      </c>
      <c r="AJ388" s="370">
        <v>1</v>
      </c>
      <c r="AK388" s="219">
        <v>0</v>
      </c>
      <c r="AL388" s="219">
        <v>0</v>
      </c>
      <c r="AM388" s="219">
        <v>0</v>
      </c>
      <c r="AN388" s="219">
        <v>0</v>
      </c>
      <c r="AO388" s="116">
        <v>0</v>
      </c>
      <c r="AP388" s="116">
        <v>1</v>
      </c>
      <c r="AQ388" s="116">
        <v>2</v>
      </c>
      <c r="AR388" s="116">
        <v>10000</v>
      </c>
      <c r="AS388" s="116">
        <v>-5000</v>
      </c>
      <c r="AT388" s="116">
        <v>1</v>
      </c>
      <c r="AU388" s="385">
        <v>0</v>
      </c>
      <c r="AV388" s="332">
        <v>0</v>
      </c>
      <c r="AW388" s="332">
        <v>0</v>
      </c>
      <c r="AX388" s="332">
        <v>-10000</v>
      </c>
      <c r="AY388" s="332">
        <v>0</v>
      </c>
      <c r="AZ388" s="332">
        <v>0</v>
      </c>
      <c r="BA388" s="332">
        <v>4.1126643175088691E-2</v>
      </c>
      <c r="BB388" s="31">
        <v>489999.31750231684</v>
      </c>
      <c r="BC388" s="31">
        <v>0</v>
      </c>
      <c r="BD388" s="29">
        <v>0</v>
      </c>
      <c r="BE388" s="31">
        <v>0</v>
      </c>
    </row>
    <row r="389" spans="1:57" ht="13">
      <c r="A389" s="153">
        <v>44574</v>
      </c>
      <c r="B389" s="10" t="s">
        <v>185</v>
      </c>
      <c r="C389" s="10">
        <v>44562000030</v>
      </c>
      <c r="D389" s="10" t="s">
        <v>18</v>
      </c>
      <c r="E389" s="10" t="s">
        <v>7</v>
      </c>
      <c r="F389" s="153">
        <v>44562</v>
      </c>
      <c r="G389" s="116" t="s">
        <v>41</v>
      </c>
      <c r="H389" s="116">
        <v>448805.40759999998</v>
      </c>
      <c r="I389" s="116">
        <v>51194.592400000009</v>
      </c>
      <c r="J389" s="116">
        <v>500000</v>
      </c>
      <c r="K389" s="219">
        <v>458805.40759999998</v>
      </c>
      <c r="L389" s="116">
        <v>0</v>
      </c>
      <c r="M389" s="31">
        <v>-41194.592400000009</v>
      </c>
      <c r="N389" s="336">
        <v>-41194.592400000001</v>
      </c>
      <c r="O389" s="336">
        <v>0</v>
      </c>
      <c r="P389" s="219">
        <v>0</v>
      </c>
      <c r="Q389" s="332">
        <v>0</v>
      </c>
      <c r="R389" s="219">
        <v>0</v>
      </c>
      <c r="S389" s="332">
        <v>13.21</v>
      </c>
      <c r="T389" s="219">
        <v>40</v>
      </c>
      <c r="U389" s="332">
        <v>0</v>
      </c>
      <c r="V389" s="332">
        <v>0</v>
      </c>
      <c r="W389" s="370">
        <v>0</v>
      </c>
      <c r="X389" s="370">
        <v>0</v>
      </c>
      <c r="Y389" s="370">
        <v>0</v>
      </c>
      <c r="Z389" s="370">
        <v>0</v>
      </c>
      <c r="AA389" s="370">
        <v>0</v>
      </c>
      <c r="AB389" s="370">
        <v>0</v>
      </c>
      <c r="AC389" s="370">
        <v>40</v>
      </c>
      <c r="AD389" s="370">
        <v>0</v>
      </c>
      <c r="AE389" s="370">
        <v>0</v>
      </c>
      <c r="AF389" s="370">
        <v>-40</v>
      </c>
      <c r="AG389" s="31">
        <v>40</v>
      </c>
      <c r="AH389" s="31">
        <v>12.29</v>
      </c>
      <c r="AI389" s="31">
        <v>0</v>
      </c>
      <c r="AJ389" s="370">
        <v>7.7880500000000001</v>
      </c>
      <c r="AK389" s="219">
        <v>0</v>
      </c>
      <c r="AL389" s="219">
        <v>12.29</v>
      </c>
      <c r="AM389" s="219">
        <v>14.71</v>
      </c>
      <c r="AN389" s="219">
        <v>0</v>
      </c>
      <c r="AO389" s="116">
        <v>0</v>
      </c>
      <c r="AP389" s="116">
        <v>0</v>
      </c>
      <c r="AQ389" s="116">
        <v>3</v>
      </c>
      <c r="AR389" s="116">
        <v>38286.053800000002</v>
      </c>
      <c r="AS389" s="116">
        <v>38286.053800000002</v>
      </c>
      <c r="AT389" s="116">
        <v>1</v>
      </c>
      <c r="AU389" s="385">
        <v>0</v>
      </c>
      <c r="AV389" s="332">
        <v>0</v>
      </c>
      <c r="AW389" s="332">
        <v>0</v>
      </c>
      <c r="AX389" s="332">
        <v>-42055.47</v>
      </c>
      <c r="AY389" s="332">
        <v>0</v>
      </c>
      <c r="AZ389" s="332">
        <v>0</v>
      </c>
      <c r="BA389" s="332">
        <v>0</v>
      </c>
      <c r="BB389" s="31">
        <v>448804.72510231682</v>
      </c>
      <c r="BC389" s="31">
        <v>0</v>
      </c>
      <c r="BD389" s="29">
        <v>0</v>
      </c>
      <c r="BE389" s="31">
        <v>0</v>
      </c>
    </row>
    <row r="390" spans="1:57" ht="13">
      <c r="A390" s="153">
        <v>44574</v>
      </c>
      <c r="B390" s="10" t="s">
        <v>185</v>
      </c>
      <c r="C390" s="10">
        <v>44562000031</v>
      </c>
      <c r="D390" s="10" t="s">
        <v>61</v>
      </c>
      <c r="E390" s="10" t="s">
        <v>63</v>
      </c>
      <c r="F390" s="153">
        <v>44562</v>
      </c>
      <c r="G390" s="116" t="s">
        <v>39</v>
      </c>
      <c r="H390" s="116">
        <v>428805.40759999998</v>
      </c>
      <c r="I390" s="116">
        <v>71194.592400000009</v>
      </c>
      <c r="J390" s="116">
        <v>500000</v>
      </c>
      <c r="K390" s="219">
        <v>438805.40759999998</v>
      </c>
      <c r="L390" s="116">
        <v>0</v>
      </c>
      <c r="M390" s="31">
        <v>-20000</v>
      </c>
      <c r="N390" s="336">
        <v>-20000</v>
      </c>
      <c r="O390" s="336">
        <v>0</v>
      </c>
      <c r="P390" s="219">
        <v>0</v>
      </c>
      <c r="Q390" s="332">
        <v>0</v>
      </c>
      <c r="R390" s="219">
        <v>0</v>
      </c>
      <c r="S390" s="332">
        <v>0</v>
      </c>
      <c r="T390" s="219">
        <v>0</v>
      </c>
      <c r="U390" s="332">
        <v>0</v>
      </c>
      <c r="V390" s="332">
        <v>0</v>
      </c>
      <c r="W390" s="370">
        <v>20000</v>
      </c>
      <c r="X390" s="370">
        <v>0</v>
      </c>
      <c r="Y390" s="370">
        <v>0</v>
      </c>
      <c r="Z390" s="370">
        <v>0</v>
      </c>
      <c r="AA390" s="370">
        <v>10000</v>
      </c>
      <c r="AB390" s="370">
        <v>0</v>
      </c>
      <c r="AC390" s="370">
        <v>0</v>
      </c>
      <c r="AD390" s="370">
        <v>0</v>
      </c>
      <c r="AE390" s="370">
        <v>30000</v>
      </c>
      <c r="AF390" s="370">
        <v>-20000</v>
      </c>
      <c r="AG390" s="31">
        <v>20000</v>
      </c>
      <c r="AH390" s="31">
        <v>1</v>
      </c>
      <c r="AI390" s="31">
        <v>0</v>
      </c>
      <c r="AJ390" s="370">
        <v>1</v>
      </c>
      <c r="AK390" s="219">
        <v>0</v>
      </c>
      <c r="AL390" s="219">
        <v>0</v>
      </c>
      <c r="AM390" s="219">
        <v>0</v>
      </c>
      <c r="AN390" s="219">
        <v>0</v>
      </c>
      <c r="AO390" s="116">
        <v>0</v>
      </c>
      <c r="AP390" s="116">
        <v>1</v>
      </c>
      <c r="AQ390" s="116">
        <v>3</v>
      </c>
      <c r="AR390" s="116">
        <v>20000</v>
      </c>
      <c r="AS390" s="116">
        <v>-5000</v>
      </c>
      <c r="AT390" s="116">
        <v>0</v>
      </c>
      <c r="AU390" s="385">
        <v>0</v>
      </c>
      <c r="AV390" s="332">
        <v>0</v>
      </c>
      <c r="AW390" s="332">
        <v>0</v>
      </c>
      <c r="AX390" s="332">
        <v>-20000</v>
      </c>
      <c r="AY390" s="332">
        <v>0</v>
      </c>
      <c r="AZ390" s="332">
        <v>0</v>
      </c>
      <c r="BA390" s="332">
        <v>0.12337992952526605</v>
      </c>
      <c r="BB390" s="31">
        <v>428804.72510231682</v>
      </c>
      <c r="BC390" s="31">
        <v>0</v>
      </c>
      <c r="BD390" s="29">
        <v>0</v>
      </c>
      <c r="BE390" s="31">
        <v>0</v>
      </c>
    </row>
    <row r="391" spans="1:57" ht="13">
      <c r="A391" s="153">
        <v>44574</v>
      </c>
      <c r="B391" s="10" t="s">
        <v>185</v>
      </c>
      <c r="C391" s="10">
        <v>44562000035</v>
      </c>
      <c r="D391" s="10" t="s">
        <v>16</v>
      </c>
      <c r="E391" s="10" t="s">
        <v>38</v>
      </c>
      <c r="F391" s="153">
        <v>44562</v>
      </c>
      <c r="G391" s="116" t="s">
        <v>39</v>
      </c>
      <c r="H391" s="116">
        <v>424205.40759999998</v>
      </c>
      <c r="I391" s="116">
        <v>75794.592400000009</v>
      </c>
      <c r="J391" s="116">
        <v>500000</v>
      </c>
      <c r="K391" s="219">
        <v>444205.40759999998</v>
      </c>
      <c r="L391" s="116">
        <v>0</v>
      </c>
      <c r="M391" s="31">
        <v>-4600</v>
      </c>
      <c r="N391" s="336">
        <v>-4600</v>
      </c>
      <c r="O391" s="336">
        <v>4600</v>
      </c>
      <c r="P391" s="219">
        <v>0</v>
      </c>
      <c r="Q391" s="332">
        <v>460</v>
      </c>
      <c r="R391" s="219">
        <v>10</v>
      </c>
      <c r="S391" s="332">
        <v>0</v>
      </c>
      <c r="T391" s="219">
        <v>0</v>
      </c>
      <c r="U391" s="332">
        <v>0</v>
      </c>
      <c r="V391" s="332">
        <v>0</v>
      </c>
      <c r="W391" s="370">
        <v>0</v>
      </c>
      <c r="X391" s="370">
        <v>0</v>
      </c>
      <c r="Y391" s="370">
        <v>0</v>
      </c>
      <c r="Z391" s="370">
        <v>0</v>
      </c>
      <c r="AA391" s="370">
        <v>0</v>
      </c>
      <c r="AB391" s="370">
        <v>10</v>
      </c>
      <c r="AC391" s="370">
        <v>0</v>
      </c>
      <c r="AD391" s="370">
        <v>0</v>
      </c>
      <c r="AE391" s="370">
        <v>0</v>
      </c>
      <c r="AF391" s="370">
        <v>-10</v>
      </c>
      <c r="AG391" s="31">
        <v>10</v>
      </c>
      <c r="AH391" s="31">
        <v>475.2</v>
      </c>
      <c r="AI391" s="31">
        <v>0</v>
      </c>
      <c r="AJ391" s="370">
        <v>1</v>
      </c>
      <c r="AK391" s="219">
        <v>475.2</v>
      </c>
      <c r="AL391" s="219">
        <v>0</v>
      </c>
      <c r="AM391" s="219">
        <v>0</v>
      </c>
      <c r="AN391" s="219">
        <v>0</v>
      </c>
      <c r="AO391" s="116">
        <v>0</v>
      </c>
      <c r="AP391" s="116">
        <v>0</v>
      </c>
      <c r="AQ391" s="116">
        <v>4</v>
      </c>
      <c r="AR391" s="116">
        <v>4752</v>
      </c>
      <c r="AS391" s="116">
        <v>185328</v>
      </c>
      <c r="AT391" s="116">
        <v>1</v>
      </c>
      <c r="AU391" s="385">
        <v>0</v>
      </c>
      <c r="AV391" s="332">
        <v>0</v>
      </c>
      <c r="AW391" s="332">
        <v>0</v>
      </c>
      <c r="AX391" s="332">
        <v>-4752</v>
      </c>
      <c r="AY391" s="332">
        <v>0</v>
      </c>
      <c r="AZ391" s="332">
        <v>0</v>
      </c>
      <c r="BA391" s="332">
        <v>0</v>
      </c>
      <c r="BB391" s="31">
        <v>424204.72510231682</v>
      </c>
      <c r="BC391" s="31">
        <v>0</v>
      </c>
      <c r="BD391" s="29">
        <v>0</v>
      </c>
      <c r="BE391" s="31">
        <v>0</v>
      </c>
    </row>
    <row r="392" spans="1:57" ht="13">
      <c r="A392" s="153">
        <v>44574</v>
      </c>
      <c r="B392" s="10" t="s">
        <v>185</v>
      </c>
      <c r="C392" s="10">
        <v>44563000032</v>
      </c>
      <c r="D392" s="10" t="s">
        <v>61</v>
      </c>
      <c r="E392" s="10" t="s">
        <v>63</v>
      </c>
      <c r="F392" s="153">
        <v>44563</v>
      </c>
      <c r="G392" s="116" t="s">
        <v>39</v>
      </c>
      <c r="H392" s="116">
        <v>459205.40759999998</v>
      </c>
      <c r="I392" s="116">
        <v>40794.592400000009</v>
      </c>
      <c r="J392" s="116">
        <v>500000</v>
      </c>
      <c r="K392" s="219">
        <v>469205.40759999998</v>
      </c>
      <c r="L392" s="116">
        <v>0</v>
      </c>
      <c r="M392" s="31">
        <v>35000</v>
      </c>
      <c r="N392" s="336">
        <v>25000</v>
      </c>
      <c r="O392" s="336">
        <v>0</v>
      </c>
      <c r="P392" s="219">
        <v>0</v>
      </c>
      <c r="Q392" s="332">
        <v>0</v>
      </c>
      <c r="R392" s="219">
        <v>0</v>
      </c>
      <c r="S392" s="332">
        <v>0</v>
      </c>
      <c r="T392" s="219">
        <v>0</v>
      </c>
      <c r="U392" s="332">
        <v>0</v>
      </c>
      <c r="V392" s="332">
        <v>0</v>
      </c>
      <c r="W392" s="370">
        <v>-35000</v>
      </c>
      <c r="X392" s="370">
        <v>0</v>
      </c>
      <c r="Y392" s="370">
        <v>0</v>
      </c>
      <c r="Z392" s="370">
        <v>0</v>
      </c>
      <c r="AA392" s="370">
        <v>30000</v>
      </c>
      <c r="AB392" s="370">
        <v>0</v>
      </c>
      <c r="AC392" s="370">
        <v>0</v>
      </c>
      <c r="AD392" s="370">
        <v>0</v>
      </c>
      <c r="AE392" s="370">
        <v>-5000</v>
      </c>
      <c r="AF392" s="370">
        <v>25000</v>
      </c>
      <c r="AG392" s="31">
        <v>-35000</v>
      </c>
      <c r="AH392" s="31">
        <v>1</v>
      </c>
      <c r="AI392" s="31">
        <v>0</v>
      </c>
      <c r="AJ392" s="370">
        <v>1</v>
      </c>
      <c r="AK392" s="219">
        <v>0</v>
      </c>
      <c r="AL392" s="219">
        <v>0</v>
      </c>
      <c r="AM392" s="219">
        <v>0</v>
      </c>
      <c r="AN392" s="219">
        <v>0</v>
      </c>
      <c r="AO392" s="116">
        <v>0</v>
      </c>
      <c r="AP392" s="116">
        <v>1</v>
      </c>
      <c r="AQ392" s="116">
        <v>4</v>
      </c>
      <c r="AR392" s="116">
        <v>-35000</v>
      </c>
      <c r="AS392" s="116">
        <v>-5000</v>
      </c>
      <c r="AT392" s="116">
        <v>0</v>
      </c>
      <c r="AU392" s="385">
        <v>0</v>
      </c>
      <c r="AV392" s="332">
        <v>0</v>
      </c>
      <c r="AW392" s="332">
        <v>0</v>
      </c>
      <c r="AX392" s="332">
        <v>25000</v>
      </c>
      <c r="AY392" s="332">
        <v>0</v>
      </c>
      <c r="AZ392" s="332">
        <v>-0.84700425586099348</v>
      </c>
      <c r="BA392" s="332">
        <v>0</v>
      </c>
      <c r="BB392" s="31">
        <v>459204.72510231682</v>
      </c>
      <c r="BC392" s="31">
        <v>0</v>
      </c>
      <c r="BD392" s="29">
        <v>0</v>
      </c>
      <c r="BE392" s="31">
        <v>0</v>
      </c>
    </row>
    <row r="393" spans="1:57" ht="13">
      <c r="A393" s="153">
        <v>44574</v>
      </c>
      <c r="B393" s="10" t="s">
        <v>185</v>
      </c>
      <c r="C393" s="10">
        <v>44565000036</v>
      </c>
      <c r="D393" s="10" t="s">
        <v>16</v>
      </c>
      <c r="E393" s="10" t="s">
        <v>38</v>
      </c>
      <c r="F393" s="153">
        <v>44565</v>
      </c>
      <c r="G393" s="116" t="s">
        <v>39</v>
      </c>
      <c r="H393" s="116">
        <v>288205.40759999998</v>
      </c>
      <c r="I393" s="116">
        <v>211794.59240000002</v>
      </c>
      <c r="J393" s="116">
        <v>500000</v>
      </c>
      <c r="K393" s="219">
        <v>238205.40759999998</v>
      </c>
      <c r="L393" s="116">
        <v>0</v>
      </c>
      <c r="M393" s="31">
        <v>-171000</v>
      </c>
      <c r="N393" s="336">
        <v>-171000</v>
      </c>
      <c r="O393" s="336">
        <v>171000</v>
      </c>
      <c r="P393" s="219">
        <v>0</v>
      </c>
      <c r="Q393" s="332">
        <v>450</v>
      </c>
      <c r="R393" s="219">
        <v>380</v>
      </c>
      <c r="S393" s="332">
        <v>0</v>
      </c>
      <c r="T393" s="219">
        <v>0</v>
      </c>
      <c r="U393" s="332">
        <v>0</v>
      </c>
      <c r="V393" s="332">
        <v>0</v>
      </c>
      <c r="W393" s="370">
        <v>0</v>
      </c>
      <c r="X393" s="370">
        <v>10</v>
      </c>
      <c r="Y393" s="370">
        <v>0</v>
      </c>
      <c r="Z393" s="370">
        <v>0</v>
      </c>
      <c r="AA393" s="370">
        <v>0</v>
      </c>
      <c r="AB393" s="370">
        <v>390</v>
      </c>
      <c r="AC393" s="370">
        <v>0</v>
      </c>
      <c r="AD393" s="370">
        <v>0</v>
      </c>
      <c r="AE393" s="370">
        <v>0</v>
      </c>
      <c r="AF393" s="370">
        <v>-380</v>
      </c>
      <c r="AG393" s="31">
        <v>380</v>
      </c>
      <c r="AH393" s="31">
        <v>475.2</v>
      </c>
      <c r="AI393" s="31">
        <v>1</v>
      </c>
      <c r="AJ393" s="370">
        <v>1</v>
      </c>
      <c r="AK393" s="219">
        <v>475.2</v>
      </c>
      <c r="AL393" s="219">
        <v>0</v>
      </c>
      <c r="AM393" s="219">
        <v>0</v>
      </c>
      <c r="AN393" s="219">
        <v>0</v>
      </c>
      <c r="AO393" s="116">
        <v>0</v>
      </c>
      <c r="AP393" s="116">
        <v>0</v>
      </c>
      <c r="AQ393" s="116">
        <v>4</v>
      </c>
      <c r="AR393" s="116">
        <v>180576</v>
      </c>
      <c r="AS393" s="116">
        <v>185328</v>
      </c>
      <c r="AT393" s="116">
        <v>0</v>
      </c>
      <c r="AU393" s="385">
        <v>223614.05379999999</v>
      </c>
      <c r="AV393" s="332">
        <v>-5000</v>
      </c>
      <c r="AW393" s="332">
        <v>218614.05379999999</v>
      </c>
      <c r="AX393" s="332">
        <v>-180576</v>
      </c>
      <c r="AY393" s="332">
        <v>0</v>
      </c>
      <c r="AZ393" s="332">
        <v>0</v>
      </c>
      <c r="BA393" s="332">
        <v>0</v>
      </c>
      <c r="BB393" s="31">
        <v>288204.72510231682</v>
      </c>
      <c r="BC393" s="31">
        <v>288204.72510231682</v>
      </c>
      <c r="BD393" s="29">
        <v>0</v>
      </c>
      <c r="BE393" s="31">
        <v>506819.46139999997</v>
      </c>
    </row>
    <row r="394" spans="1:57" ht="13">
      <c r="A394" s="153">
        <v>44574</v>
      </c>
      <c r="B394" s="10" t="s">
        <v>186</v>
      </c>
      <c r="C394" s="10">
        <v>44561000008</v>
      </c>
      <c r="D394" s="10" t="s">
        <v>64</v>
      </c>
      <c r="E394" s="10" t="s">
        <v>64</v>
      </c>
      <c r="F394" s="153">
        <v>44561</v>
      </c>
      <c r="G394" s="116" t="s">
        <v>39</v>
      </c>
      <c r="H394" s="116">
        <v>500000</v>
      </c>
      <c r="I394" s="116">
        <v>0</v>
      </c>
      <c r="J394" s="116">
        <v>500000</v>
      </c>
      <c r="K394" s="219">
        <v>0</v>
      </c>
      <c r="L394" s="116">
        <v>0</v>
      </c>
      <c r="M394" s="31">
        <v>500000</v>
      </c>
      <c r="N394" s="336">
        <v>500000</v>
      </c>
      <c r="O394" s="336">
        <v>0</v>
      </c>
      <c r="P394" s="219">
        <v>0</v>
      </c>
      <c r="Q394" s="332">
        <v>0</v>
      </c>
      <c r="R394" s="219">
        <v>0</v>
      </c>
      <c r="S394" s="332">
        <v>0</v>
      </c>
      <c r="T394" s="219">
        <v>0</v>
      </c>
      <c r="U394" s="332">
        <v>0</v>
      </c>
      <c r="V394" s="332">
        <v>0</v>
      </c>
      <c r="W394" s="370">
        <v>0</v>
      </c>
      <c r="X394" s="370">
        <v>0</v>
      </c>
      <c r="Y394" s="370">
        <v>0</v>
      </c>
      <c r="Z394" s="370">
        <v>0</v>
      </c>
      <c r="AA394" s="370">
        <v>0</v>
      </c>
      <c r="AB394" s="370">
        <v>0</v>
      </c>
      <c r="AC394" s="370">
        <v>0</v>
      </c>
      <c r="AD394" s="370">
        <v>0</v>
      </c>
      <c r="AE394" s="370">
        <v>0</v>
      </c>
      <c r="AF394" s="370">
        <v>0</v>
      </c>
      <c r="AG394" s="31">
        <v>0</v>
      </c>
      <c r="AH394" s="31">
        <v>1</v>
      </c>
      <c r="AI394" s="31">
        <v>0</v>
      </c>
      <c r="AJ394" s="370">
        <v>1</v>
      </c>
      <c r="AK394" s="219">
        <v>0</v>
      </c>
      <c r="AL394" s="219">
        <v>0</v>
      </c>
      <c r="AM394" s="219">
        <v>0</v>
      </c>
      <c r="AN394" s="219">
        <v>0</v>
      </c>
      <c r="AO394" s="116">
        <v>0</v>
      </c>
      <c r="AP394" s="116">
        <v>0</v>
      </c>
      <c r="AQ394" s="116">
        <v>1</v>
      </c>
      <c r="AR394" s="116">
        <v>0</v>
      </c>
      <c r="AS394" s="116">
        <v>0</v>
      </c>
      <c r="AT394" s="116">
        <v>1</v>
      </c>
      <c r="AU394" s="385">
        <v>0</v>
      </c>
      <c r="AV394" s="332">
        <v>0</v>
      </c>
      <c r="AW394" s="332">
        <v>0</v>
      </c>
      <c r="AX394" s="332">
        <v>500000</v>
      </c>
      <c r="AY394" s="332">
        <v>0</v>
      </c>
      <c r="AZ394" s="332">
        <v>0</v>
      </c>
      <c r="BA394" s="332">
        <v>0</v>
      </c>
      <c r="BB394" s="31">
        <v>500000</v>
      </c>
      <c r="BC394" s="31">
        <v>0</v>
      </c>
      <c r="BD394" s="29">
        <v>0</v>
      </c>
      <c r="BE394" s="31">
        <v>0</v>
      </c>
    </row>
    <row r="395" spans="1:57" ht="13">
      <c r="A395" s="153">
        <v>44574</v>
      </c>
      <c r="B395" s="10" t="s">
        <v>186</v>
      </c>
      <c r="C395" s="10">
        <v>44563000037</v>
      </c>
      <c r="D395" s="10" t="s">
        <v>16</v>
      </c>
      <c r="E395" s="10" t="s">
        <v>0</v>
      </c>
      <c r="F395" s="153">
        <v>44563</v>
      </c>
      <c r="G395" s="116" t="s">
        <v>41</v>
      </c>
      <c r="H395" s="116">
        <v>409954.46750000003</v>
      </c>
      <c r="I395" s="116">
        <v>90045.532500000001</v>
      </c>
      <c r="J395" s="116">
        <v>500000</v>
      </c>
      <c r="K395" s="219">
        <v>409954.46750000003</v>
      </c>
      <c r="L395" s="116">
        <v>0</v>
      </c>
      <c r="M395" s="31">
        <v>-90045.532500000001</v>
      </c>
      <c r="N395" s="336">
        <v>-90045.532500000001</v>
      </c>
      <c r="O395" s="336">
        <v>90045.532500000001</v>
      </c>
      <c r="P395" s="219">
        <v>0</v>
      </c>
      <c r="Q395" s="332">
        <v>3001.51775</v>
      </c>
      <c r="R395" s="219">
        <v>30</v>
      </c>
      <c r="S395" s="332">
        <v>0</v>
      </c>
      <c r="T395" s="219">
        <v>0</v>
      </c>
      <c r="U395" s="332">
        <v>0</v>
      </c>
      <c r="V395" s="332">
        <v>0</v>
      </c>
      <c r="W395" s="370">
        <v>0</v>
      </c>
      <c r="X395" s="370">
        <v>0</v>
      </c>
      <c r="Y395" s="370">
        <v>0</v>
      </c>
      <c r="Z395" s="370">
        <v>0</v>
      </c>
      <c r="AA395" s="370">
        <v>0</v>
      </c>
      <c r="AB395" s="370">
        <v>30</v>
      </c>
      <c r="AC395" s="370">
        <v>0</v>
      </c>
      <c r="AD395" s="370">
        <v>0</v>
      </c>
      <c r="AE395" s="370">
        <v>0</v>
      </c>
      <c r="AF395" s="370">
        <v>-30</v>
      </c>
      <c r="AG395" s="31">
        <v>30</v>
      </c>
      <c r="AH395" s="31">
        <v>390.8</v>
      </c>
      <c r="AI395" s="31">
        <v>0</v>
      </c>
      <c r="AJ395" s="370">
        <v>7.7880500000000001</v>
      </c>
      <c r="AK395" s="219">
        <v>390.8</v>
      </c>
      <c r="AL395" s="219">
        <v>0</v>
      </c>
      <c r="AM395" s="219">
        <v>0</v>
      </c>
      <c r="AN395" s="219">
        <v>0</v>
      </c>
      <c r="AO395" s="116">
        <v>0</v>
      </c>
      <c r="AP395" s="116">
        <v>0</v>
      </c>
      <c r="AQ395" s="116">
        <v>2</v>
      </c>
      <c r="AR395" s="116">
        <v>91307.098200000008</v>
      </c>
      <c r="AS395" s="116">
        <v>91307.098200000008</v>
      </c>
      <c r="AT395" s="116">
        <v>1</v>
      </c>
      <c r="AU395" s="385">
        <v>0</v>
      </c>
      <c r="AV395" s="332">
        <v>0</v>
      </c>
      <c r="AW395" s="332">
        <v>0</v>
      </c>
      <c r="AX395" s="332">
        <v>-91307.098200000008</v>
      </c>
      <c r="AY395" s="332">
        <v>0</v>
      </c>
      <c r="AZ395" s="332">
        <v>0</v>
      </c>
      <c r="BA395" s="332">
        <v>0</v>
      </c>
      <c r="BB395" s="31">
        <v>409954.46750000003</v>
      </c>
      <c r="BC395" s="31">
        <v>0</v>
      </c>
      <c r="BD395" s="29">
        <v>0</v>
      </c>
      <c r="BE395" s="31">
        <v>0</v>
      </c>
    </row>
    <row r="396" spans="1:57" ht="13">
      <c r="A396" s="153">
        <v>44574</v>
      </c>
      <c r="B396" s="10" t="s">
        <v>186</v>
      </c>
      <c r="C396" s="10">
        <v>44563000038</v>
      </c>
      <c r="D396" s="10" t="s">
        <v>16</v>
      </c>
      <c r="E396" s="10" t="s">
        <v>38</v>
      </c>
      <c r="F396" s="153">
        <v>44563</v>
      </c>
      <c r="G396" s="116" t="s">
        <v>39</v>
      </c>
      <c r="H396" s="116">
        <v>396154.46750000003</v>
      </c>
      <c r="I396" s="116">
        <v>103845.5325</v>
      </c>
      <c r="J396" s="116">
        <v>500000</v>
      </c>
      <c r="K396" s="219">
        <v>396154.46750000003</v>
      </c>
      <c r="L396" s="116">
        <v>0</v>
      </c>
      <c r="M396" s="31">
        <v>-13800</v>
      </c>
      <c r="N396" s="336">
        <v>-13800</v>
      </c>
      <c r="O396" s="336">
        <v>13800</v>
      </c>
      <c r="P396" s="219">
        <v>0</v>
      </c>
      <c r="Q396" s="332">
        <v>460</v>
      </c>
      <c r="R396" s="219">
        <v>30</v>
      </c>
      <c r="S396" s="332">
        <v>0</v>
      </c>
      <c r="T396" s="219">
        <v>0</v>
      </c>
      <c r="U396" s="332">
        <v>0</v>
      </c>
      <c r="V396" s="332">
        <v>0</v>
      </c>
      <c r="W396" s="370">
        <v>0</v>
      </c>
      <c r="X396" s="370">
        <v>0</v>
      </c>
      <c r="Y396" s="370">
        <v>0</v>
      </c>
      <c r="Z396" s="370">
        <v>0</v>
      </c>
      <c r="AA396" s="370">
        <v>0</v>
      </c>
      <c r="AB396" s="370">
        <v>30</v>
      </c>
      <c r="AC396" s="370">
        <v>0</v>
      </c>
      <c r="AD396" s="370">
        <v>0</v>
      </c>
      <c r="AE396" s="370">
        <v>0</v>
      </c>
      <c r="AF396" s="370">
        <v>-30</v>
      </c>
      <c r="AG396" s="31">
        <v>30</v>
      </c>
      <c r="AH396" s="31">
        <v>475.2</v>
      </c>
      <c r="AI396" s="31">
        <v>0</v>
      </c>
      <c r="AJ396" s="370">
        <v>1</v>
      </c>
      <c r="AK396" s="219">
        <v>475.2</v>
      </c>
      <c r="AL396" s="219">
        <v>0</v>
      </c>
      <c r="AM396" s="219">
        <v>0</v>
      </c>
      <c r="AN396" s="219">
        <v>0</v>
      </c>
      <c r="AO396" s="116">
        <v>0</v>
      </c>
      <c r="AP396" s="116">
        <v>0</v>
      </c>
      <c r="AQ396" s="116">
        <v>3</v>
      </c>
      <c r="AR396" s="116">
        <v>14256</v>
      </c>
      <c r="AS396" s="116">
        <v>14256</v>
      </c>
      <c r="AT396" s="116">
        <v>1</v>
      </c>
      <c r="AU396" s="385">
        <v>0</v>
      </c>
      <c r="AV396" s="332">
        <v>0</v>
      </c>
      <c r="AW396" s="332">
        <v>0</v>
      </c>
      <c r="AX396" s="332">
        <v>-14256</v>
      </c>
      <c r="AY396" s="332">
        <v>0</v>
      </c>
      <c r="AZ396" s="332">
        <v>0</v>
      </c>
      <c r="BA396" s="332">
        <v>0</v>
      </c>
      <c r="BB396" s="31">
        <v>396154.46750000003</v>
      </c>
      <c r="BC396" s="31">
        <v>0</v>
      </c>
      <c r="BD396" s="29">
        <v>0</v>
      </c>
      <c r="BE396" s="31">
        <v>0</v>
      </c>
    </row>
    <row r="397" spans="1:57" ht="13">
      <c r="A397" s="153">
        <v>44574</v>
      </c>
      <c r="B397" s="10" t="s">
        <v>186</v>
      </c>
      <c r="C397" s="10">
        <v>44564000045</v>
      </c>
      <c r="D397" s="10" t="s">
        <v>18</v>
      </c>
      <c r="E397" s="10" t="s">
        <v>7</v>
      </c>
      <c r="F397" s="153">
        <v>44564</v>
      </c>
      <c r="G397" s="116" t="s">
        <v>41</v>
      </c>
      <c r="H397" s="116">
        <v>365251.58795000002</v>
      </c>
      <c r="I397" s="116">
        <v>134748.41205000001</v>
      </c>
      <c r="J397" s="116">
        <v>500000</v>
      </c>
      <c r="K397" s="219">
        <v>365251.58795000002</v>
      </c>
      <c r="L397" s="116">
        <v>0</v>
      </c>
      <c r="M397" s="31">
        <v>-30902.879550000001</v>
      </c>
      <c r="N397" s="336">
        <v>-30902.879550000005</v>
      </c>
      <c r="O397" s="336">
        <v>0</v>
      </c>
      <c r="P397" s="219">
        <v>0</v>
      </c>
      <c r="Q397" s="332">
        <v>0</v>
      </c>
      <c r="R397" s="219">
        <v>0</v>
      </c>
      <c r="S397" s="332">
        <v>13.21</v>
      </c>
      <c r="T397" s="219">
        <v>30</v>
      </c>
      <c r="U397" s="332">
        <v>0</v>
      </c>
      <c r="V397" s="332">
        <v>0</v>
      </c>
      <c r="W397" s="370">
        <v>0</v>
      </c>
      <c r="X397" s="370">
        <v>0</v>
      </c>
      <c r="Y397" s="370">
        <v>0</v>
      </c>
      <c r="Z397" s="370">
        <v>0</v>
      </c>
      <c r="AA397" s="370">
        <v>0</v>
      </c>
      <c r="AB397" s="370">
        <v>0</v>
      </c>
      <c r="AC397" s="370">
        <v>30</v>
      </c>
      <c r="AD397" s="370">
        <v>0</v>
      </c>
      <c r="AE397" s="370">
        <v>0</v>
      </c>
      <c r="AF397" s="370">
        <v>-30</v>
      </c>
      <c r="AG397" s="31">
        <v>30</v>
      </c>
      <c r="AH397" s="31">
        <v>12.29</v>
      </c>
      <c r="AI397" s="31">
        <v>0</v>
      </c>
      <c r="AJ397" s="370">
        <v>7.7880500000000001</v>
      </c>
      <c r="AK397" s="219">
        <v>0</v>
      </c>
      <c r="AL397" s="219">
        <v>12.29</v>
      </c>
      <c r="AM397" s="219">
        <v>14.71</v>
      </c>
      <c r="AN397" s="219">
        <v>0</v>
      </c>
      <c r="AO397" s="116">
        <v>0</v>
      </c>
      <c r="AP397" s="116">
        <v>0</v>
      </c>
      <c r="AQ397" s="116">
        <v>4</v>
      </c>
      <c r="AR397" s="116">
        <v>28714.540349999996</v>
      </c>
      <c r="AS397" s="116">
        <v>28714.540349999996</v>
      </c>
      <c r="AT397" s="116">
        <v>1</v>
      </c>
      <c r="AU397" s="385">
        <v>0</v>
      </c>
      <c r="AV397" s="332">
        <v>0</v>
      </c>
      <c r="AW397" s="332">
        <v>0</v>
      </c>
      <c r="AX397" s="332">
        <v>-31541.602500000001</v>
      </c>
      <c r="AY397" s="332">
        <v>0</v>
      </c>
      <c r="AZ397" s="332">
        <v>0</v>
      </c>
      <c r="BA397" s="332">
        <v>0</v>
      </c>
      <c r="BB397" s="31">
        <v>365251.58795000002</v>
      </c>
      <c r="BC397" s="31">
        <v>0</v>
      </c>
      <c r="BD397" s="29">
        <v>0</v>
      </c>
      <c r="BE397" s="31">
        <v>0</v>
      </c>
    </row>
    <row r="398" spans="1:57" ht="13">
      <c r="A398" s="153">
        <v>44574</v>
      </c>
      <c r="B398" s="10" t="s">
        <v>186</v>
      </c>
      <c r="C398" s="10">
        <v>44565000046</v>
      </c>
      <c r="D398" s="10" t="s">
        <v>18</v>
      </c>
      <c r="E398" s="10" t="s">
        <v>7</v>
      </c>
      <c r="F398" s="153">
        <v>44565</v>
      </c>
      <c r="G398" s="116" t="s">
        <v>41</v>
      </c>
      <c r="H398" s="116">
        <v>382070.50044999999</v>
      </c>
      <c r="I398" s="116">
        <v>117929.49955000001</v>
      </c>
      <c r="J398" s="116">
        <v>500000</v>
      </c>
      <c r="K398" s="219">
        <v>382070.50044999999</v>
      </c>
      <c r="L398" s="116">
        <v>0</v>
      </c>
      <c r="M398" s="31">
        <v>16818.912500000002</v>
      </c>
      <c r="N398" s="336">
        <v>16818.912500000002</v>
      </c>
      <c r="O398" s="336">
        <v>0</v>
      </c>
      <c r="P398" s="219">
        <v>0</v>
      </c>
      <c r="Q398" s="332">
        <v>0</v>
      </c>
      <c r="R398" s="219">
        <v>0</v>
      </c>
      <c r="S398" s="332">
        <v>10.79</v>
      </c>
      <c r="T398" s="219">
        <v>-20</v>
      </c>
      <c r="U398" s="332">
        <v>0</v>
      </c>
      <c r="V398" s="332">
        <v>0</v>
      </c>
      <c r="W398" s="370">
        <v>0</v>
      </c>
      <c r="X398" s="370">
        <v>0</v>
      </c>
      <c r="Y398" s="370">
        <v>30</v>
      </c>
      <c r="Z398" s="370">
        <v>0</v>
      </c>
      <c r="AA398" s="370">
        <v>0</v>
      </c>
      <c r="AB398" s="370">
        <v>0</v>
      </c>
      <c r="AC398" s="370">
        <v>10</v>
      </c>
      <c r="AD398" s="370">
        <v>0</v>
      </c>
      <c r="AE398" s="370">
        <v>0</v>
      </c>
      <c r="AF398" s="370">
        <v>20</v>
      </c>
      <c r="AG398" s="31">
        <v>-20</v>
      </c>
      <c r="AH398" s="31"/>
      <c r="AI398" s="31">
        <v>1</v>
      </c>
      <c r="AJ398" s="370">
        <v>7.7880500000000001</v>
      </c>
      <c r="AK398" s="219">
        <v>0</v>
      </c>
      <c r="AL398" s="219">
        <v>12.29</v>
      </c>
      <c r="AM398" s="219">
        <v>14.71</v>
      </c>
      <c r="AN398" s="219">
        <v>0</v>
      </c>
      <c r="AO398" s="116">
        <v>0</v>
      </c>
      <c r="AP398" s="116">
        <v>0</v>
      </c>
      <c r="AQ398" s="116">
        <v>4</v>
      </c>
      <c r="AR398" s="116">
        <v>0</v>
      </c>
      <c r="AS398" s="116">
        <v>28714.540349999996</v>
      </c>
      <c r="AT398" s="116">
        <v>0</v>
      </c>
      <c r="AU398" s="385">
        <v>134277.63855</v>
      </c>
      <c r="AV398" s="332">
        <v>0</v>
      </c>
      <c r="AW398" s="332">
        <v>134277.63855</v>
      </c>
      <c r="AX398" s="332">
        <v>21027.735000000001</v>
      </c>
      <c r="AY398" s="332">
        <v>0</v>
      </c>
      <c r="AZ398" s="332">
        <v>0</v>
      </c>
      <c r="BA398" s="332">
        <v>0</v>
      </c>
      <c r="BB398" s="31">
        <v>382070.50044999999</v>
      </c>
      <c r="BC398" s="31">
        <v>382070.50044999999</v>
      </c>
      <c r="BD398" s="29">
        <v>0</v>
      </c>
      <c r="BE398" s="31">
        <v>516348.13899999997</v>
      </c>
    </row>
    <row r="399" spans="1:57" ht="13">
      <c r="A399" s="153">
        <v>44574</v>
      </c>
      <c r="B399" s="10" t="s">
        <v>187</v>
      </c>
      <c r="C399" s="10">
        <v>44561000009</v>
      </c>
      <c r="D399" s="10" t="s">
        <v>64</v>
      </c>
      <c r="E399" s="10" t="s">
        <v>64</v>
      </c>
      <c r="F399" s="153">
        <v>44561</v>
      </c>
      <c r="G399" s="116" t="s">
        <v>39</v>
      </c>
      <c r="H399" s="116">
        <v>500000</v>
      </c>
      <c r="I399" s="116">
        <v>0</v>
      </c>
      <c r="J399" s="116">
        <v>500000</v>
      </c>
      <c r="K399" s="219">
        <v>0</v>
      </c>
      <c r="L399" s="116">
        <v>0</v>
      </c>
      <c r="M399" s="31">
        <v>500000</v>
      </c>
      <c r="N399" s="336">
        <v>500000</v>
      </c>
      <c r="O399" s="336">
        <v>0</v>
      </c>
      <c r="P399" s="219">
        <v>0</v>
      </c>
      <c r="Q399" s="332">
        <v>0</v>
      </c>
      <c r="R399" s="219">
        <v>0</v>
      </c>
      <c r="S399" s="332">
        <v>0</v>
      </c>
      <c r="T399" s="219">
        <v>0</v>
      </c>
      <c r="U399" s="332">
        <v>0</v>
      </c>
      <c r="V399" s="332">
        <v>0</v>
      </c>
      <c r="W399" s="370">
        <v>0</v>
      </c>
      <c r="X399" s="370">
        <v>0</v>
      </c>
      <c r="Y399" s="370">
        <v>0</v>
      </c>
      <c r="Z399" s="370">
        <v>0</v>
      </c>
      <c r="AA399" s="370">
        <v>0</v>
      </c>
      <c r="AB399" s="370">
        <v>0</v>
      </c>
      <c r="AC399" s="370">
        <v>0</v>
      </c>
      <c r="AD399" s="370">
        <v>0</v>
      </c>
      <c r="AE399" s="370">
        <v>0</v>
      </c>
      <c r="AF399" s="370">
        <v>0</v>
      </c>
      <c r="AG399" s="31">
        <v>0</v>
      </c>
      <c r="AH399" s="31">
        <v>1</v>
      </c>
      <c r="AI399" s="31">
        <v>0</v>
      </c>
      <c r="AJ399" s="370">
        <v>1</v>
      </c>
      <c r="AK399" s="219">
        <v>0</v>
      </c>
      <c r="AL399" s="219">
        <v>0</v>
      </c>
      <c r="AM399" s="219">
        <v>0</v>
      </c>
      <c r="AN399" s="219">
        <v>0</v>
      </c>
      <c r="AO399" s="116">
        <v>0</v>
      </c>
      <c r="AP399" s="116">
        <v>0</v>
      </c>
      <c r="AQ399" s="116">
        <v>1</v>
      </c>
      <c r="AR399" s="116">
        <v>0</v>
      </c>
      <c r="AS399" s="116">
        <v>0</v>
      </c>
      <c r="AT399" s="116">
        <v>1</v>
      </c>
      <c r="AU399" s="385">
        <v>0</v>
      </c>
      <c r="AV399" s="332">
        <v>0</v>
      </c>
      <c r="AW399" s="332">
        <v>0</v>
      </c>
      <c r="AX399" s="332">
        <v>500000</v>
      </c>
      <c r="AY399" s="332">
        <v>0</v>
      </c>
      <c r="AZ399" s="332">
        <v>0</v>
      </c>
      <c r="BA399" s="332">
        <v>0</v>
      </c>
      <c r="BB399" s="31">
        <v>499999.19500715524</v>
      </c>
      <c r="BC399" s="31">
        <v>0</v>
      </c>
      <c r="BD399" s="29">
        <v>0</v>
      </c>
      <c r="BE399" s="31">
        <v>0</v>
      </c>
    </row>
    <row r="400" spans="1:57" ht="13">
      <c r="A400" s="153">
        <v>44574</v>
      </c>
      <c r="B400" s="10" t="s">
        <v>187</v>
      </c>
      <c r="C400" s="10">
        <v>44566000040</v>
      </c>
      <c r="D400" s="10" t="s">
        <v>21</v>
      </c>
      <c r="E400" s="10" t="s">
        <v>4</v>
      </c>
      <c r="F400" s="153">
        <v>44566</v>
      </c>
      <c r="G400" s="116" t="s">
        <v>41</v>
      </c>
      <c r="H400" s="116">
        <v>527283.34</v>
      </c>
      <c r="I400" s="116">
        <v>-27283.34</v>
      </c>
      <c r="J400" s="116">
        <v>499999.99999999994</v>
      </c>
      <c r="K400" s="219">
        <v>149214.20000000001</v>
      </c>
      <c r="L400" s="116">
        <v>0</v>
      </c>
      <c r="M400" s="31">
        <v>27283.34</v>
      </c>
      <c r="N400" s="336">
        <v>-350785.8</v>
      </c>
      <c r="O400" s="336">
        <v>0</v>
      </c>
      <c r="P400" s="219">
        <v>0</v>
      </c>
      <c r="Q400" s="332">
        <v>0</v>
      </c>
      <c r="R400" s="219">
        <v>0</v>
      </c>
      <c r="S400" s="332">
        <v>0</v>
      </c>
      <c r="T400" s="219">
        <v>0</v>
      </c>
      <c r="U400" s="332">
        <v>3.5</v>
      </c>
      <c r="V400" s="332">
        <v>-10</v>
      </c>
      <c r="W400" s="370">
        <v>0</v>
      </c>
      <c r="X400" s="370">
        <v>0</v>
      </c>
      <c r="Y400" s="370">
        <v>0</v>
      </c>
      <c r="Z400" s="370">
        <v>0</v>
      </c>
      <c r="AA400" s="370">
        <v>0</v>
      </c>
      <c r="AB400" s="370">
        <v>0</v>
      </c>
      <c r="AC400" s="370">
        <v>0</v>
      </c>
      <c r="AD400" s="370">
        <v>-10</v>
      </c>
      <c r="AE400" s="370">
        <v>0</v>
      </c>
      <c r="AF400" s="370">
        <v>0</v>
      </c>
      <c r="AG400" s="31">
        <v>-10</v>
      </c>
      <c r="AH400" s="31">
        <v>3.6</v>
      </c>
      <c r="AI400" s="31">
        <v>0</v>
      </c>
      <c r="AJ400" s="370">
        <v>7.7880500000000001</v>
      </c>
      <c r="AK400" s="219">
        <v>0</v>
      </c>
      <c r="AL400" s="219">
        <v>0</v>
      </c>
      <c r="AM400" s="219">
        <v>0</v>
      </c>
      <c r="AN400" s="219">
        <v>3.6</v>
      </c>
      <c r="AO400" s="116">
        <v>45</v>
      </c>
      <c r="AP400" s="116">
        <v>0</v>
      </c>
      <c r="AQ400" s="116">
        <v>2</v>
      </c>
      <c r="AR400" s="116">
        <v>-28036.98</v>
      </c>
      <c r="AS400" s="116">
        <v>-28036.98</v>
      </c>
      <c r="AT400" s="116">
        <v>1</v>
      </c>
      <c r="AU400" s="385">
        <v>0</v>
      </c>
      <c r="AV400" s="332">
        <v>0</v>
      </c>
      <c r="AW400" s="332">
        <v>0</v>
      </c>
      <c r="AX400" s="332">
        <v>0</v>
      </c>
      <c r="AY400" s="332">
        <v>0</v>
      </c>
      <c r="AZ400" s="332">
        <v>0</v>
      </c>
      <c r="BA400" s="332">
        <v>0</v>
      </c>
      <c r="BB400" s="31">
        <v>527282.53500715515</v>
      </c>
      <c r="BC400" s="31">
        <v>0</v>
      </c>
      <c r="BD400" s="29">
        <v>0</v>
      </c>
      <c r="BE400" s="31">
        <v>0</v>
      </c>
    </row>
    <row r="401" spans="1:57" ht="13">
      <c r="A401" s="153">
        <v>44574</v>
      </c>
      <c r="B401" s="10" t="s">
        <v>187</v>
      </c>
      <c r="C401" s="10">
        <v>44566000041</v>
      </c>
      <c r="D401" s="10" t="s">
        <v>21</v>
      </c>
      <c r="E401" s="10" t="s">
        <v>5</v>
      </c>
      <c r="F401" s="153">
        <v>44566</v>
      </c>
      <c r="G401" s="116" t="s">
        <v>41</v>
      </c>
      <c r="H401" s="116">
        <v>507795.24</v>
      </c>
      <c r="I401" s="116">
        <v>-7795.2400000000016</v>
      </c>
      <c r="J401" s="116">
        <v>500000</v>
      </c>
      <c r="K401" s="219">
        <v>461023.8</v>
      </c>
      <c r="L401" s="116">
        <v>0</v>
      </c>
      <c r="M401" s="31">
        <v>-19488.099999999999</v>
      </c>
      <c r="N401" s="336">
        <v>311809.59999999998</v>
      </c>
      <c r="O401" s="336">
        <v>0</v>
      </c>
      <c r="P401" s="219">
        <v>0</v>
      </c>
      <c r="Q401" s="332">
        <v>0</v>
      </c>
      <c r="R401" s="219">
        <v>0</v>
      </c>
      <c r="S401" s="332">
        <v>0</v>
      </c>
      <c r="T401" s="219">
        <v>0</v>
      </c>
      <c r="U401" s="332">
        <v>2.5</v>
      </c>
      <c r="V401" s="332">
        <v>10</v>
      </c>
      <c r="W401" s="370">
        <v>0</v>
      </c>
      <c r="X401" s="370">
        <v>0</v>
      </c>
      <c r="Y401" s="370">
        <v>0</v>
      </c>
      <c r="Z401" s="370">
        <v>0</v>
      </c>
      <c r="AA401" s="370">
        <v>0</v>
      </c>
      <c r="AB401" s="370">
        <v>0</v>
      </c>
      <c r="AC401" s="370">
        <v>0</v>
      </c>
      <c r="AD401" s="370">
        <v>10</v>
      </c>
      <c r="AE401" s="370">
        <v>0</v>
      </c>
      <c r="AF401" s="370">
        <v>0</v>
      </c>
      <c r="AG401" s="31">
        <v>10</v>
      </c>
      <c r="AH401" s="31">
        <v>2.6</v>
      </c>
      <c r="AI401" s="31">
        <v>0</v>
      </c>
      <c r="AJ401" s="370">
        <v>7.7880500000000001</v>
      </c>
      <c r="AK401" s="219">
        <v>0</v>
      </c>
      <c r="AL401" s="219">
        <v>0</v>
      </c>
      <c r="AM401" s="219">
        <v>0</v>
      </c>
      <c r="AN401" s="219">
        <v>2.6</v>
      </c>
      <c r="AO401" s="116">
        <v>40</v>
      </c>
      <c r="AP401" s="116">
        <v>0</v>
      </c>
      <c r="AQ401" s="116">
        <v>3</v>
      </c>
      <c r="AR401" s="116">
        <v>20248.93</v>
      </c>
      <c r="AS401" s="116">
        <v>20248.93</v>
      </c>
      <c r="AT401" s="116">
        <v>1</v>
      </c>
      <c r="AU401" s="385">
        <v>0</v>
      </c>
      <c r="AV401" s="332">
        <v>0</v>
      </c>
      <c r="AW401" s="332">
        <v>0</v>
      </c>
      <c r="AX401" s="332">
        <v>0</v>
      </c>
      <c r="AY401" s="332">
        <v>0</v>
      </c>
      <c r="AZ401" s="332">
        <v>0</v>
      </c>
      <c r="BA401" s="332">
        <v>0</v>
      </c>
      <c r="BB401" s="31">
        <v>507794.43500715523</v>
      </c>
      <c r="BC401" s="31">
        <v>0</v>
      </c>
      <c r="BD401" s="29">
        <v>0</v>
      </c>
      <c r="BE401" s="31">
        <v>0</v>
      </c>
    </row>
    <row r="402" spans="1:57" ht="13">
      <c r="A402" s="153">
        <v>44574</v>
      </c>
      <c r="B402" s="10" t="s">
        <v>187</v>
      </c>
      <c r="C402" s="10">
        <v>44567000042</v>
      </c>
      <c r="D402" s="10" t="s">
        <v>16</v>
      </c>
      <c r="E402" s="10" t="s">
        <v>38</v>
      </c>
      <c r="F402" s="153">
        <v>44567</v>
      </c>
      <c r="G402" s="116" t="s">
        <v>39</v>
      </c>
      <c r="H402" s="116">
        <v>490595.24</v>
      </c>
      <c r="I402" s="116">
        <v>9404.7599999999984</v>
      </c>
      <c r="J402" s="116">
        <v>500000</v>
      </c>
      <c r="K402" s="219">
        <v>443823.8</v>
      </c>
      <c r="L402" s="116">
        <v>0</v>
      </c>
      <c r="M402" s="31">
        <v>-17200</v>
      </c>
      <c r="N402" s="336">
        <v>-17200</v>
      </c>
      <c r="O402" s="336">
        <v>17200</v>
      </c>
      <c r="P402" s="219">
        <v>0</v>
      </c>
      <c r="Q402" s="332">
        <v>430</v>
      </c>
      <c r="R402" s="219">
        <v>40</v>
      </c>
      <c r="S402" s="332">
        <v>0</v>
      </c>
      <c r="T402" s="219">
        <v>0</v>
      </c>
      <c r="U402" s="332">
        <v>0</v>
      </c>
      <c r="V402" s="332">
        <v>0</v>
      </c>
      <c r="W402" s="370">
        <v>0</v>
      </c>
      <c r="X402" s="370">
        <v>0</v>
      </c>
      <c r="Y402" s="370">
        <v>0</v>
      </c>
      <c r="Z402" s="370">
        <v>0</v>
      </c>
      <c r="AA402" s="370">
        <v>0</v>
      </c>
      <c r="AB402" s="370">
        <v>40</v>
      </c>
      <c r="AC402" s="370">
        <v>0</v>
      </c>
      <c r="AD402" s="370">
        <v>0</v>
      </c>
      <c r="AE402" s="370">
        <v>0</v>
      </c>
      <c r="AF402" s="370">
        <v>-40</v>
      </c>
      <c r="AG402" s="31">
        <v>40</v>
      </c>
      <c r="AH402" s="31">
        <v>475.2</v>
      </c>
      <c r="AI402" s="31">
        <v>0</v>
      </c>
      <c r="AJ402" s="370">
        <v>1</v>
      </c>
      <c r="AK402" s="219">
        <v>475.2</v>
      </c>
      <c r="AL402" s="219">
        <v>0</v>
      </c>
      <c r="AM402" s="219">
        <v>0</v>
      </c>
      <c r="AN402" s="219">
        <v>0</v>
      </c>
      <c r="AO402" s="116">
        <v>0</v>
      </c>
      <c r="AP402" s="116">
        <v>0</v>
      </c>
      <c r="AQ402" s="116">
        <v>4</v>
      </c>
      <c r="AR402" s="116">
        <v>19008</v>
      </c>
      <c r="AS402" s="116">
        <v>-4752</v>
      </c>
      <c r="AT402" s="116">
        <v>1</v>
      </c>
      <c r="AU402" s="385">
        <v>0</v>
      </c>
      <c r="AV402" s="332">
        <v>0</v>
      </c>
      <c r="AW402" s="332">
        <v>0</v>
      </c>
      <c r="AX402" s="332">
        <v>-19008</v>
      </c>
      <c r="AY402" s="332">
        <v>0</v>
      </c>
      <c r="AZ402" s="332">
        <v>0</v>
      </c>
      <c r="BA402" s="332">
        <v>0</v>
      </c>
      <c r="BB402" s="31">
        <v>490594.43500715523</v>
      </c>
      <c r="BC402" s="31">
        <v>0</v>
      </c>
      <c r="BD402" s="29">
        <v>0</v>
      </c>
      <c r="BE402" s="31">
        <v>0</v>
      </c>
    </row>
    <row r="403" spans="1:57" ht="13">
      <c r="A403" s="153">
        <v>44574</v>
      </c>
      <c r="B403" s="10" t="s">
        <v>187</v>
      </c>
      <c r="C403" s="10">
        <v>44568000043</v>
      </c>
      <c r="D403" s="10" t="s">
        <v>16</v>
      </c>
      <c r="E403" s="10" t="s">
        <v>38</v>
      </c>
      <c r="F403" s="153">
        <v>44568</v>
      </c>
      <c r="G403" s="116" t="s">
        <v>39</v>
      </c>
      <c r="H403" s="116">
        <v>512595.24</v>
      </c>
      <c r="I403" s="116">
        <v>-12595.240000000002</v>
      </c>
      <c r="J403" s="116">
        <v>500000</v>
      </c>
      <c r="K403" s="219">
        <v>465623.8</v>
      </c>
      <c r="L403" s="116">
        <v>0</v>
      </c>
      <c r="M403" s="31">
        <v>22000</v>
      </c>
      <c r="N403" s="336">
        <v>13200</v>
      </c>
      <c r="O403" s="336">
        <v>0</v>
      </c>
      <c r="P403" s="219">
        <v>-22000</v>
      </c>
      <c r="Q403" s="332">
        <v>440</v>
      </c>
      <c r="R403" s="219">
        <v>-50</v>
      </c>
      <c r="S403" s="332">
        <v>0</v>
      </c>
      <c r="T403" s="219">
        <v>0</v>
      </c>
      <c r="U403" s="332">
        <v>0</v>
      </c>
      <c r="V403" s="332">
        <v>0</v>
      </c>
      <c r="W403" s="370">
        <v>0</v>
      </c>
      <c r="X403" s="370">
        <v>40</v>
      </c>
      <c r="Y403" s="370">
        <v>0</v>
      </c>
      <c r="Z403" s="370">
        <v>0</v>
      </c>
      <c r="AA403" s="370">
        <v>0</v>
      </c>
      <c r="AB403" s="370">
        <v>-10</v>
      </c>
      <c r="AC403" s="370">
        <v>0</v>
      </c>
      <c r="AD403" s="370">
        <v>0</v>
      </c>
      <c r="AE403" s="370">
        <v>0</v>
      </c>
      <c r="AF403" s="370">
        <v>30</v>
      </c>
      <c r="AG403" s="31">
        <v>-50</v>
      </c>
      <c r="AH403" s="31">
        <v>475.2</v>
      </c>
      <c r="AI403" s="31">
        <v>0</v>
      </c>
      <c r="AJ403" s="370">
        <v>1</v>
      </c>
      <c r="AK403" s="219">
        <v>475.2</v>
      </c>
      <c r="AL403" s="219">
        <v>0</v>
      </c>
      <c r="AM403" s="219">
        <v>0</v>
      </c>
      <c r="AN403" s="219">
        <v>0</v>
      </c>
      <c r="AO403" s="116">
        <v>0</v>
      </c>
      <c r="AP403" s="116">
        <v>0</v>
      </c>
      <c r="AQ403" s="116">
        <v>4</v>
      </c>
      <c r="AR403" s="116">
        <v>-23760</v>
      </c>
      <c r="AS403" s="116">
        <v>-4752</v>
      </c>
      <c r="AT403" s="116">
        <v>0</v>
      </c>
      <c r="AU403" s="385">
        <v>0</v>
      </c>
      <c r="AV403" s="332">
        <v>0</v>
      </c>
      <c r="AW403" s="332">
        <v>0</v>
      </c>
      <c r="AX403" s="332">
        <v>14256</v>
      </c>
      <c r="AY403" s="332">
        <v>0</v>
      </c>
      <c r="AZ403" s="332">
        <v>-0.80499284477028821</v>
      </c>
      <c r="BA403" s="332">
        <v>0</v>
      </c>
      <c r="BB403" s="31">
        <v>512594.43500715523</v>
      </c>
      <c r="BC403" s="31">
        <v>0</v>
      </c>
      <c r="BD403" s="29">
        <v>0</v>
      </c>
      <c r="BE403" s="31">
        <v>0</v>
      </c>
    </row>
    <row r="404" spans="1:57" ht="13">
      <c r="A404" s="153">
        <v>44574</v>
      </c>
      <c r="B404" s="10" t="s">
        <v>187</v>
      </c>
      <c r="C404" s="10">
        <v>44568000044</v>
      </c>
      <c r="D404" s="10" t="s">
        <v>18</v>
      </c>
      <c r="E404" s="10" t="s">
        <v>7</v>
      </c>
      <c r="F404" s="153">
        <v>44568</v>
      </c>
      <c r="G404" s="116" t="s">
        <v>41</v>
      </c>
      <c r="H404" s="116">
        <v>529422.61185999995</v>
      </c>
      <c r="I404" s="116">
        <v>-29422.611860000001</v>
      </c>
      <c r="J404" s="116">
        <v>499999.99999999994</v>
      </c>
      <c r="K404" s="219">
        <v>413596.42813999997</v>
      </c>
      <c r="L404" s="116">
        <v>0</v>
      </c>
      <c r="M404" s="31">
        <v>16827.371859999999</v>
      </c>
      <c r="N404" s="336">
        <v>-16827.371859999999</v>
      </c>
      <c r="O404" s="336">
        <v>0</v>
      </c>
      <c r="P404" s="219">
        <v>0</v>
      </c>
      <c r="Q404" s="332">
        <v>0</v>
      </c>
      <c r="R404" s="219">
        <v>0</v>
      </c>
      <c r="S404" s="332">
        <v>10.79</v>
      </c>
      <c r="T404" s="219">
        <v>-20</v>
      </c>
      <c r="U404" s="332">
        <v>0</v>
      </c>
      <c r="V404" s="332">
        <v>0</v>
      </c>
      <c r="W404" s="370">
        <v>0</v>
      </c>
      <c r="X404" s="370">
        <v>0</v>
      </c>
      <c r="Y404" s="370">
        <v>0</v>
      </c>
      <c r="Z404" s="370">
        <v>0</v>
      </c>
      <c r="AA404" s="370">
        <v>0</v>
      </c>
      <c r="AB404" s="370">
        <v>0</v>
      </c>
      <c r="AC404" s="370">
        <v>-20</v>
      </c>
      <c r="AD404" s="370">
        <v>0</v>
      </c>
      <c r="AE404" s="370">
        <v>0</v>
      </c>
      <c r="AF404" s="370">
        <v>-20</v>
      </c>
      <c r="AG404" s="31">
        <v>-20</v>
      </c>
      <c r="AH404" s="31"/>
      <c r="AI404" s="31">
        <v>1</v>
      </c>
      <c r="AJ404" s="370">
        <v>7.7880500000000001</v>
      </c>
      <c r="AK404" s="219">
        <v>0</v>
      </c>
      <c r="AL404" s="219">
        <v>12.29</v>
      </c>
      <c r="AM404" s="219">
        <v>14.71</v>
      </c>
      <c r="AN404" s="219">
        <v>0</v>
      </c>
      <c r="AO404" s="116">
        <v>0</v>
      </c>
      <c r="AP404" s="116">
        <v>0</v>
      </c>
      <c r="AQ404" s="116">
        <v>5</v>
      </c>
      <c r="AR404" s="116">
        <v>0</v>
      </c>
      <c r="AS404" s="116">
        <v>0</v>
      </c>
      <c r="AT404" s="116">
        <v>1</v>
      </c>
      <c r="AU404" s="385">
        <v>20248.93</v>
      </c>
      <c r="AV404" s="332">
        <v>-32788.979999999996</v>
      </c>
      <c r="AW404" s="332">
        <v>-12540.049999999996</v>
      </c>
      <c r="AX404" s="332">
        <v>-21027.735000000001</v>
      </c>
      <c r="AY404" s="332">
        <v>0</v>
      </c>
      <c r="AZ404" s="332">
        <v>0</v>
      </c>
      <c r="BA404" s="332">
        <v>0</v>
      </c>
      <c r="BB404" s="31">
        <v>529421.80686715513</v>
      </c>
      <c r="BC404" s="31">
        <v>529421.80686715513</v>
      </c>
      <c r="BD404" s="29">
        <v>0</v>
      </c>
      <c r="BE404" s="31">
        <v>516882.56185999996</v>
      </c>
    </row>
    <row r="405" spans="1:57" ht="13">
      <c r="A405" s="153">
        <v>44574</v>
      </c>
      <c r="B405" s="10" t="s">
        <v>188</v>
      </c>
      <c r="C405" s="10">
        <v>44561000010</v>
      </c>
      <c r="D405" s="10" t="s">
        <v>64</v>
      </c>
      <c r="E405" s="10" t="s">
        <v>64</v>
      </c>
      <c r="F405" s="153">
        <v>44561</v>
      </c>
      <c r="G405" s="116" t="s">
        <v>39</v>
      </c>
      <c r="H405" s="116">
        <v>500000</v>
      </c>
      <c r="I405" s="116">
        <v>0</v>
      </c>
      <c r="J405" s="116">
        <v>500000</v>
      </c>
      <c r="K405" s="219">
        <v>0</v>
      </c>
      <c r="L405" s="116">
        <v>0</v>
      </c>
      <c r="M405" s="31">
        <v>500000</v>
      </c>
      <c r="N405" s="336">
        <v>500000</v>
      </c>
      <c r="O405" s="336">
        <v>0</v>
      </c>
      <c r="P405" s="219">
        <v>0</v>
      </c>
      <c r="Q405" s="332">
        <v>0</v>
      </c>
      <c r="R405" s="219">
        <v>0</v>
      </c>
      <c r="S405" s="332">
        <v>0</v>
      </c>
      <c r="T405" s="219">
        <v>0</v>
      </c>
      <c r="U405" s="332">
        <v>0</v>
      </c>
      <c r="V405" s="332">
        <v>0</v>
      </c>
      <c r="W405" s="370">
        <v>0</v>
      </c>
      <c r="X405" s="370">
        <v>0</v>
      </c>
      <c r="Y405" s="370">
        <v>0</v>
      </c>
      <c r="Z405" s="370">
        <v>0</v>
      </c>
      <c r="AA405" s="370">
        <v>0</v>
      </c>
      <c r="AB405" s="370">
        <v>0</v>
      </c>
      <c r="AC405" s="370">
        <v>0</v>
      </c>
      <c r="AD405" s="370">
        <v>0</v>
      </c>
      <c r="AE405" s="370">
        <v>0</v>
      </c>
      <c r="AF405" s="370">
        <v>0</v>
      </c>
      <c r="AG405" s="31">
        <v>0</v>
      </c>
      <c r="AH405" s="31">
        <v>1</v>
      </c>
      <c r="AI405" s="31">
        <v>1</v>
      </c>
      <c r="AJ405" s="370">
        <v>1</v>
      </c>
      <c r="AK405" s="219">
        <v>0</v>
      </c>
      <c r="AL405" s="219">
        <v>0</v>
      </c>
      <c r="AM405" s="219">
        <v>0</v>
      </c>
      <c r="AN405" s="219">
        <v>0</v>
      </c>
      <c r="AO405" s="116">
        <v>0</v>
      </c>
      <c r="AP405" s="116">
        <v>0</v>
      </c>
      <c r="AQ405" s="116">
        <v>1</v>
      </c>
      <c r="AR405" s="116">
        <v>0</v>
      </c>
      <c r="AS405" s="116">
        <v>0</v>
      </c>
      <c r="AT405" s="116">
        <v>1</v>
      </c>
      <c r="AU405" s="385">
        <v>0</v>
      </c>
      <c r="AV405" s="332">
        <v>0</v>
      </c>
      <c r="AW405" s="332">
        <v>0</v>
      </c>
      <c r="AX405" s="332">
        <v>500000</v>
      </c>
      <c r="AY405" s="332">
        <v>0</v>
      </c>
      <c r="AZ405" s="332">
        <v>0</v>
      </c>
      <c r="BA405" s="332">
        <v>0</v>
      </c>
      <c r="BB405" s="31">
        <v>500000</v>
      </c>
      <c r="BC405" s="31">
        <v>500000</v>
      </c>
      <c r="BD405" s="29">
        <v>0</v>
      </c>
      <c r="BE405" s="31">
        <v>500000</v>
      </c>
    </row>
    <row r="406" spans="1:57" ht="13">
      <c r="A406" s="153">
        <v>44575</v>
      </c>
      <c r="B406" s="10" t="s">
        <v>183</v>
      </c>
      <c r="C406" s="10">
        <v>44561000005</v>
      </c>
      <c r="D406" s="10" t="s">
        <v>64</v>
      </c>
      <c r="E406" s="10" t="s">
        <v>64</v>
      </c>
      <c r="F406" s="153">
        <v>44561</v>
      </c>
      <c r="G406" s="116" t="s">
        <v>39</v>
      </c>
      <c r="H406" s="116">
        <v>500000</v>
      </c>
      <c r="I406" s="116">
        <v>0</v>
      </c>
      <c r="J406" s="116">
        <v>500000</v>
      </c>
      <c r="K406" s="219">
        <v>0</v>
      </c>
      <c r="L406" s="116">
        <v>0</v>
      </c>
      <c r="M406" s="31">
        <v>500000</v>
      </c>
      <c r="N406" s="336">
        <v>500000</v>
      </c>
      <c r="O406" s="336">
        <v>0</v>
      </c>
      <c r="P406" s="219">
        <v>0</v>
      </c>
      <c r="Q406" s="332">
        <v>0</v>
      </c>
      <c r="R406" s="219">
        <v>0</v>
      </c>
      <c r="S406" s="332">
        <v>0</v>
      </c>
      <c r="T406" s="219">
        <v>0</v>
      </c>
      <c r="U406" s="332">
        <v>0</v>
      </c>
      <c r="V406" s="332">
        <v>0</v>
      </c>
      <c r="W406" s="370">
        <v>0</v>
      </c>
      <c r="X406" s="370">
        <v>0</v>
      </c>
      <c r="Y406" s="370">
        <v>0</v>
      </c>
      <c r="Z406" s="370">
        <v>0</v>
      </c>
      <c r="AA406" s="370">
        <v>0</v>
      </c>
      <c r="AB406" s="370">
        <v>0</v>
      </c>
      <c r="AC406" s="370">
        <v>0</v>
      </c>
      <c r="AD406" s="370">
        <v>0</v>
      </c>
      <c r="AE406" s="370">
        <v>0</v>
      </c>
      <c r="AF406" s="370">
        <v>0</v>
      </c>
      <c r="AG406" s="31">
        <v>0</v>
      </c>
      <c r="AH406" s="31">
        <v>1</v>
      </c>
      <c r="AI406" s="31">
        <v>0</v>
      </c>
      <c r="AJ406" s="370">
        <v>1</v>
      </c>
      <c r="AK406" s="219">
        <v>0</v>
      </c>
      <c r="AL406" s="219">
        <v>0</v>
      </c>
      <c r="AM406" s="219">
        <v>0</v>
      </c>
      <c r="AN406" s="219">
        <v>0</v>
      </c>
      <c r="AO406" s="116">
        <v>0</v>
      </c>
      <c r="AP406" s="116">
        <v>0</v>
      </c>
      <c r="AQ406" s="116">
        <v>1</v>
      </c>
      <c r="AR406" s="116">
        <v>0</v>
      </c>
      <c r="AS406" s="116">
        <v>0</v>
      </c>
      <c r="AT406" s="116">
        <v>1</v>
      </c>
      <c r="AU406" s="385">
        <v>0</v>
      </c>
      <c r="AV406" s="332">
        <v>0</v>
      </c>
      <c r="AW406" s="332">
        <v>0</v>
      </c>
      <c r="AX406" s="332">
        <v>500000</v>
      </c>
      <c r="AY406" s="332">
        <v>0</v>
      </c>
      <c r="AZ406" s="332">
        <v>0</v>
      </c>
      <c r="BA406" s="332">
        <v>0</v>
      </c>
      <c r="BB406" s="31">
        <v>499953.11695004639</v>
      </c>
      <c r="BC406" s="31">
        <v>0</v>
      </c>
      <c r="BD406" s="29">
        <v>0</v>
      </c>
      <c r="BE406" s="29">
        <v>0</v>
      </c>
    </row>
    <row r="407" spans="1:57" ht="13">
      <c r="A407" s="153">
        <v>44575</v>
      </c>
      <c r="B407" s="10" t="s">
        <v>183</v>
      </c>
      <c r="C407" s="10">
        <v>44562000011</v>
      </c>
      <c r="D407" s="10" t="s">
        <v>16</v>
      </c>
      <c r="E407" s="10" t="s">
        <v>42</v>
      </c>
      <c r="F407" s="153">
        <v>44562</v>
      </c>
      <c r="G407" s="116" t="s">
        <v>41</v>
      </c>
      <c r="H407" s="116">
        <v>447610.20799999998</v>
      </c>
      <c r="I407" s="116">
        <v>52389.792000000001</v>
      </c>
      <c r="J407" s="116">
        <v>500000</v>
      </c>
      <c r="K407" s="219">
        <v>447610.20799999998</v>
      </c>
      <c r="L407" s="116">
        <v>0</v>
      </c>
      <c r="M407" s="31">
        <v>-52389.792000000001</v>
      </c>
      <c r="N407" s="336">
        <v>-52389.792000000001</v>
      </c>
      <c r="O407" s="336">
        <v>52389.792000000001</v>
      </c>
      <c r="P407" s="219">
        <v>0</v>
      </c>
      <c r="Q407" s="332">
        <v>26194.896000000001</v>
      </c>
      <c r="R407" s="219">
        <v>2</v>
      </c>
      <c r="S407" s="332">
        <v>0</v>
      </c>
      <c r="T407" s="219">
        <v>0</v>
      </c>
      <c r="U407" s="332">
        <v>0</v>
      </c>
      <c r="V407" s="332">
        <v>0</v>
      </c>
      <c r="W407" s="370">
        <v>0</v>
      </c>
      <c r="X407" s="370">
        <v>0</v>
      </c>
      <c r="Y407" s="370">
        <v>0</v>
      </c>
      <c r="Z407" s="370">
        <v>0</v>
      </c>
      <c r="AA407" s="370">
        <v>0</v>
      </c>
      <c r="AB407" s="370">
        <v>2</v>
      </c>
      <c r="AC407" s="370">
        <v>0</v>
      </c>
      <c r="AD407" s="370">
        <v>0</v>
      </c>
      <c r="AE407" s="370">
        <v>0</v>
      </c>
      <c r="AF407" s="370">
        <v>-2</v>
      </c>
      <c r="AG407" s="31">
        <v>2</v>
      </c>
      <c r="AH407" s="31">
        <v>3242.76</v>
      </c>
      <c r="AI407" s="31">
        <v>0</v>
      </c>
      <c r="AJ407" s="370">
        <v>7.7849000000000004</v>
      </c>
      <c r="AK407" s="219">
        <v>3242.76</v>
      </c>
      <c r="AL407" s="219">
        <v>0</v>
      </c>
      <c r="AM407" s="219">
        <v>0</v>
      </c>
      <c r="AN407" s="219">
        <v>0</v>
      </c>
      <c r="AO407" s="116">
        <v>0</v>
      </c>
      <c r="AP407" s="116">
        <v>0</v>
      </c>
      <c r="AQ407" s="116">
        <v>2</v>
      </c>
      <c r="AR407" s="116">
        <v>50489.124648000005</v>
      </c>
      <c r="AS407" s="116">
        <v>50489.124648000005</v>
      </c>
      <c r="AT407" s="116">
        <v>1</v>
      </c>
      <c r="AU407" s="385">
        <v>0</v>
      </c>
      <c r="AV407" s="332">
        <v>0</v>
      </c>
      <c r="AW407" s="332">
        <v>0</v>
      </c>
      <c r="AX407" s="332">
        <v>-50489.124648000005</v>
      </c>
      <c r="AY407" s="332">
        <v>0</v>
      </c>
      <c r="AZ407" s="332">
        <v>0</v>
      </c>
      <c r="BA407" s="332">
        <v>0</v>
      </c>
      <c r="BB407" s="31">
        <v>447563.32495004637</v>
      </c>
      <c r="BC407" s="31">
        <v>0</v>
      </c>
      <c r="BD407" s="29">
        <v>0</v>
      </c>
      <c r="BE407" s="29">
        <v>0</v>
      </c>
    </row>
    <row r="408" spans="1:57" ht="13">
      <c r="A408" s="153">
        <v>44575</v>
      </c>
      <c r="B408" s="10" t="s">
        <v>183</v>
      </c>
      <c r="C408" s="10">
        <v>44563000012</v>
      </c>
      <c r="D408" s="10" t="s">
        <v>16</v>
      </c>
      <c r="E408" s="10" t="s">
        <v>38</v>
      </c>
      <c r="F408" s="153">
        <v>44563</v>
      </c>
      <c r="G408" s="116" t="s">
        <v>39</v>
      </c>
      <c r="H408" s="116">
        <v>443010.20799999998</v>
      </c>
      <c r="I408" s="116">
        <v>56989.792000000001</v>
      </c>
      <c r="J408" s="116">
        <v>500000</v>
      </c>
      <c r="K408" s="219">
        <v>443010.20799999998</v>
      </c>
      <c r="L408" s="116">
        <v>0</v>
      </c>
      <c r="M408" s="31">
        <v>-4600</v>
      </c>
      <c r="N408" s="336">
        <v>-4600</v>
      </c>
      <c r="O408" s="336">
        <v>4600</v>
      </c>
      <c r="P408" s="219">
        <v>0</v>
      </c>
      <c r="Q408" s="332">
        <v>460</v>
      </c>
      <c r="R408" s="219">
        <v>10</v>
      </c>
      <c r="S408" s="332">
        <v>0</v>
      </c>
      <c r="T408" s="219">
        <v>0</v>
      </c>
      <c r="U408" s="332">
        <v>0</v>
      </c>
      <c r="V408" s="332">
        <v>0</v>
      </c>
      <c r="W408" s="370">
        <v>0</v>
      </c>
      <c r="X408" s="370">
        <v>0</v>
      </c>
      <c r="Y408" s="370">
        <v>0</v>
      </c>
      <c r="Z408" s="370">
        <v>0</v>
      </c>
      <c r="AA408" s="370">
        <v>0</v>
      </c>
      <c r="AB408" s="370">
        <v>10</v>
      </c>
      <c r="AC408" s="370">
        <v>0</v>
      </c>
      <c r="AD408" s="370">
        <v>0</v>
      </c>
      <c r="AE408" s="370">
        <v>0</v>
      </c>
      <c r="AF408" s="370">
        <v>-10</v>
      </c>
      <c r="AG408" s="31">
        <v>10</v>
      </c>
      <c r="AH408" s="31">
        <v>473.4</v>
      </c>
      <c r="AI408" s="31">
        <v>0</v>
      </c>
      <c r="AJ408" s="370">
        <v>1</v>
      </c>
      <c r="AK408" s="219">
        <v>473.4</v>
      </c>
      <c r="AL408" s="219">
        <v>0</v>
      </c>
      <c r="AM408" s="219">
        <v>0</v>
      </c>
      <c r="AN408" s="219">
        <v>0</v>
      </c>
      <c r="AO408" s="116">
        <v>0</v>
      </c>
      <c r="AP408" s="116">
        <v>0</v>
      </c>
      <c r="AQ408" s="116">
        <v>3</v>
      </c>
      <c r="AR408" s="116">
        <v>4734</v>
      </c>
      <c r="AS408" s="116">
        <v>-2367</v>
      </c>
      <c r="AT408" s="116">
        <v>1</v>
      </c>
      <c r="AU408" s="385">
        <v>0</v>
      </c>
      <c r="AV408" s="332">
        <v>0</v>
      </c>
      <c r="AW408" s="332">
        <v>0</v>
      </c>
      <c r="AX408" s="332">
        <v>-4734</v>
      </c>
      <c r="AY408" s="332">
        <v>0</v>
      </c>
      <c r="AZ408" s="332">
        <v>0</v>
      </c>
      <c r="BA408" s="332">
        <v>0</v>
      </c>
      <c r="BB408" s="31">
        <v>442963.32495004637</v>
      </c>
      <c r="BC408" s="31">
        <v>0</v>
      </c>
      <c r="BD408" s="29">
        <v>0</v>
      </c>
      <c r="BE408" s="31">
        <v>0</v>
      </c>
    </row>
    <row r="409" spans="1:57" ht="13">
      <c r="A409" s="153">
        <v>44575</v>
      </c>
      <c r="B409" s="10" t="s">
        <v>183</v>
      </c>
      <c r="C409" s="10">
        <v>44563000013</v>
      </c>
      <c r="D409" s="10" t="s">
        <v>16</v>
      </c>
      <c r="E409" s="10" t="s">
        <v>40</v>
      </c>
      <c r="F409" s="153">
        <v>44563</v>
      </c>
      <c r="G409" s="116" t="s">
        <v>29</v>
      </c>
      <c r="H409" s="116">
        <v>480735.87624999997</v>
      </c>
      <c r="I409" s="116">
        <v>19264.123750000006</v>
      </c>
      <c r="J409" s="116">
        <v>500000</v>
      </c>
      <c r="K409" s="219">
        <v>409884.53975</v>
      </c>
      <c r="L409" s="116">
        <v>0</v>
      </c>
      <c r="M409" s="31">
        <v>37725.668249999995</v>
      </c>
      <c r="N409" s="336">
        <v>-37725.668249999995</v>
      </c>
      <c r="O409" s="336">
        <v>0</v>
      </c>
      <c r="P409" s="219">
        <v>-37725.668249999995</v>
      </c>
      <c r="Q409" s="332">
        <v>2515.0445499999996</v>
      </c>
      <c r="R409" s="219">
        <v>-15</v>
      </c>
      <c r="S409" s="332">
        <v>0</v>
      </c>
      <c r="T409" s="219">
        <v>0</v>
      </c>
      <c r="U409" s="332">
        <v>0</v>
      </c>
      <c r="V409" s="332">
        <v>0</v>
      </c>
      <c r="W409" s="370">
        <v>0</v>
      </c>
      <c r="X409" s="370">
        <v>0</v>
      </c>
      <c r="Y409" s="370">
        <v>0</v>
      </c>
      <c r="Z409" s="370">
        <v>0</v>
      </c>
      <c r="AA409" s="370">
        <v>0</v>
      </c>
      <c r="AB409" s="370">
        <v>-15</v>
      </c>
      <c r="AC409" s="370">
        <v>0</v>
      </c>
      <c r="AD409" s="370">
        <v>0</v>
      </c>
      <c r="AE409" s="370">
        <v>0</v>
      </c>
      <c r="AF409" s="370">
        <v>-15</v>
      </c>
      <c r="AG409" s="31">
        <v>-15</v>
      </c>
      <c r="AH409" s="31">
        <v>1867</v>
      </c>
      <c r="AI409" s="31">
        <v>0</v>
      </c>
      <c r="AJ409" s="370">
        <v>1.2255240000000001</v>
      </c>
      <c r="AK409" s="219">
        <v>1867</v>
      </c>
      <c r="AL409" s="219">
        <v>0</v>
      </c>
      <c r="AM409" s="219">
        <v>0</v>
      </c>
      <c r="AN409" s="219">
        <v>0</v>
      </c>
      <c r="AO409" s="116">
        <v>0</v>
      </c>
      <c r="AP409" s="116">
        <v>0</v>
      </c>
      <c r="AQ409" s="116">
        <v>4</v>
      </c>
      <c r="AR409" s="116">
        <v>-34320.799620000005</v>
      </c>
      <c r="AS409" s="116">
        <v>-34320.799620000005</v>
      </c>
      <c r="AT409" s="116">
        <v>1</v>
      </c>
      <c r="AU409" s="385">
        <v>0</v>
      </c>
      <c r="AV409" s="332">
        <v>0</v>
      </c>
      <c r="AW409" s="332">
        <v>0</v>
      </c>
      <c r="AX409" s="332">
        <v>-34320.799620000005</v>
      </c>
      <c r="AY409" s="332">
        <v>0</v>
      </c>
      <c r="AZ409" s="332">
        <v>-5.8139726685384741</v>
      </c>
      <c r="BA409" s="332">
        <v>0</v>
      </c>
      <c r="BB409" s="31">
        <v>480688.99320004636</v>
      </c>
      <c r="BC409" s="31">
        <v>0</v>
      </c>
      <c r="BD409" s="29">
        <v>0</v>
      </c>
      <c r="BE409" s="31">
        <v>0</v>
      </c>
    </row>
    <row r="410" spans="1:57" ht="13">
      <c r="A410" s="153">
        <v>44575</v>
      </c>
      <c r="B410" s="10" t="s">
        <v>183</v>
      </c>
      <c r="C410" s="10">
        <v>44563000014</v>
      </c>
      <c r="D410" s="10" t="s">
        <v>16</v>
      </c>
      <c r="E410" s="10" t="s">
        <v>36</v>
      </c>
      <c r="F410" s="153">
        <v>44563</v>
      </c>
      <c r="G410" s="116" t="s">
        <v>37</v>
      </c>
      <c r="H410" s="116">
        <v>416011.66724999994</v>
      </c>
      <c r="I410" s="116">
        <v>83988.332750000001</v>
      </c>
      <c r="J410" s="116">
        <v>499999.99999999994</v>
      </c>
      <c r="K410" s="219">
        <v>345160.33075000002</v>
      </c>
      <c r="L410" s="116">
        <v>0</v>
      </c>
      <c r="M410" s="31">
        <v>-64724.209000000003</v>
      </c>
      <c r="N410" s="336">
        <v>-64724.208999999995</v>
      </c>
      <c r="O410" s="336">
        <v>64724.209000000003</v>
      </c>
      <c r="P410" s="219">
        <v>0</v>
      </c>
      <c r="Q410" s="332">
        <v>6472.4209000000001</v>
      </c>
      <c r="R410" s="219">
        <v>10</v>
      </c>
      <c r="S410" s="332">
        <v>0</v>
      </c>
      <c r="T410" s="219">
        <v>0</v>
      </c>
      <c r="U410" s="332">
        <v>0</v>
      </c>
      <c r="V410" s="332">
        <v>0</v>
      </c>
      <c r="W410" s="370">
        <v>0</v>
      </c>
      <c r="X410" s="370">
        <v>0</v>
      </c>
      <c r="Y410" s="370">
        <v>0</v>
      </c>
      <c r="Z410" s="370">
        <v>0</v>
      </c>
      <c r="AA410" s="370">
        <v>0</v>
      </c>
      <c r="AB410" s="370">
        <v>10</v>
      </c>
      <c r="AC410" s="370">
        <v>0</v>
      </c>
      <c r="AD410" s="370">
        <v>0</v>
      </c>
      <c r="AE410" s="370">
        <v>0</v>
      </c>
      <c r="AF410" s="370">
        <v>-10</v>
      </c>
      <c r="AG410" s="31">
        <v>10</v>
      </c>
      <c r="AH410" s="31">
        <v>675.4</v>
      </c>
      <c r="AI410" s="31">
        <v>0</v>
      </c>
      <c r="AJ410" s="370">
        <v>8.8862249999999996</v>
      </c>
      <c r="AK410" s="219">
        <v>675.4</v>
      </c>
      <c r="AL410" s="219">
        <v>0</v>
      </c>
      <c r="AM410" s="219">
        <v>0</v>
      </c>
      <c r="AN410" s="219">
        <v>0</v>
      </c>
      <c r="AO410" s="116">
        <v>0</v>
      </c>
      <c r="AP410" s="116">
        <v>0</v>
      </c>
      <c r="AQ410" s="116">
        <v>5</v>
      </c>
      <c r="AR410" s="116">
        <v>60017.563649999996</v>
      </c>
      <c r="AS410" s="116">
        <v>-240070.25460000001</v>
      </c>
      <c r="AT410" s="116">
        <v>1</v>
      </c>
      <c r="AU410" s="385">
        <v>0</v>
      </c>
      <c r="AV410" s="332">
        <v>0</v>
      </c>
      <c r="AW410" s="332">
        <v>0</v>
      </c>
      <c r="AX410" s="332">
        <v>-60017.563649999989</v>
      </c>
      <c r="AY410" s="332">
        <v>0</v>
      </c>
      <c r="AZ410" s="332">
        <v>0</v>
      </c>
      <c r="BA410" s="332">
        <v>0</v>
      </c>
      <c r="BB410" s="31">
        <v>415964.78420004633</v>
      </c>
      <c r="BC410" s="31">
        <v>0</v>
      </c>
      <c r="BD410" s="29">
        <v>0</v>
      </c>
      <c r="BE410" s="31">
        <v>0</v>
      </c>
    </row>
    <row r="411" spans="1:57" ht="13">
      <c r="A411" s="153">
        <v>44575</v>
      </c>
      <c r="B411" s="10" t="s">
        <v>183</v>
      </c>
      <c r="C411" s="10">
        <v>44565000016</v>
      </c>
      <c r="D411" s="10" t="s">
        <v>16</v>
      </c>
      <c r="E411" s="10" t="s">
        <v>36</v>
      </c>
      <c r="F411" s="153">
        <v>44565</v>
      </c>
      <c r="G411" s="116" t="s">
        <v>37</v>
      </c>
      <c r="H411" s="116">
        <v>448553.16724999994</v>
      </c>
      <c r="I411" s="116">
        <v>51446.832750000001</v>
      </c>
      <c r="J411" s="116">
        <v>499999.99999999994</v>
      </c>
      <c r="K411" s="219">
        <v>507150.24874999997</v>
      </c>
      <c r="L411" s="116">
        <v>0</v>
      </c>
      <c r="M411" s="31">
        <v>32541.5</v>
      </c>
      <c r="N411" s="336">
        <v>32541.5</v>
      </c>
      <c r="O411" s="336">
        <v>0</v>
      </c>
      <c r="P411" s="219">
        <v>-32541.5</v>
      </c>
      <c r="Q411" s="332">
        <v>6508.3</v>
      </c>
      <c r="R411" s="219">
        <v>-5</v>
      </c>
      <c r="S411" s="332">
        <v>0</v>
      </c>
      <c r="T411" s="219">
        <v>0</v>
      </c>
      <c r="U411" s="332">
        <v>0</v>
      </c>
      <c r="V411" s="332">
        <v>0</v>
      </c>
      <c r="W411" s="370">
        <v>0</v>
      </c>
      <c r="X411" s="370">
        <v>10</v>
      </c>
      <c r="Y411" s="370">
        <v>0</v>
      </c>
      <c r="Z411" s="370">
        <v>0</v>
      </c>
      <c r="AA411" s="370">
        <v>0</v>
      </c>
      <c r="AB411" s="370">
        <v>5</v>
      </c>
      <c r="AC411" s="370">
        <v>0</v>
      </c>
      <c r="AD411" s="370">
        <v>0</v>
      </c>
      <c r="AE411" s="370">
        <v>0</v>
      </c>
      <c r="AF411" s="370">
        <v>5</v>
      </c>
      <c r="AG411" s="31">
        <v>-5</v>
      </c>
      <c r="AH411" s="31">
        <v>675.4</v>
      </c>
      <c r="AI411" s="31">
        <v>0</v>
      </c>
      <c r="AJ411" s="370">
        <v>8.8862249999999996</v>
      </c>
      <c r="AK411" s="219">
        <v>675.4</v>
      </c>
      <c r="AL411" s="219">
        <v>0</v>
      </c>
      <c r="AM411" s="219">
        <v>0</v>
      </c>
      <c r="AN411" s="219">
        <v>0</v>
      </c>
      <c r="AO411" s="116">
        <v>0</v>
      </c>
      <c r="AP411" s="116">
        <v>0</v>
      </c>
      <c r="AQ411" s="116">
        <v>5</v>
      </c>
      <c r="AR411" s="116">
        <v>-30008.781824999998</v>
      </c>
      <c r="AS411" s="116">
        <v>-240070.25460000001</v>
      </c>
      <c r="AT411" s="116">
        <v>0</v>
      </c>
      <c r="AU411" s="385">
        <v>0</v>
      </c>
      <c r="AV411" s="332">
        <v>0</v>
      </c>
      <c r="AW411" s="332">
        <v>0</v>
      </c>
      <c r="AX411" s="332">
        <v>30008.781824999995</v>
      </c>
      <c r="AY411" s="332">
        <v>0</v>
      </c>
      <c r="AZ411" s="332">
        <v>0</v>
      </c>
      <c r="BA411" s="332">
        <v>0</v>
      </c>
      <c r="BB411" s="31">
        <v>448506.28420004633</v>
      </c>
      <c r="BC411" s="31">
        <v>0</v>
      </c>
      <c r="BD411" s="29">
        <v>0</v>
      </c>
      <c r="BE411" s="31">
        <v>0</v>
      </c>
    </row>
    <row r="412" spans="1:57" ht="13">
      <c r="A412" s="153">
        <v>44575</v>
      </c>
      <c r="B412" s="10" t="s">
        <v>183</v>
      </c>
      <c r="C412" s="10">
        <v>44566000017</v>
      </c>
      <c r="D412" s="10" t="s">
        <v>16</v>
      </c>
      <c r="E412" s="10" t="s">
        <v>36</v>
      </c>
      <c r="F412" s="153">
        <v>44566</v>
      </c>
      <c r="G412" s="116" t="s">
        <v>37</v>
      </c>
      <c r="H412" s="116">
        <v>422451.84284999996</v>
      </c>
      <c r="I412" s="116">
        <v>77548.157149999999</v>
      </c>
      <c r="J412" s="116">
        <v>499999.99999999994</v>
      </c>
      <c r="K412" s="219">
        <v>415965.92434999999</v>
      </c>
      <c r="L412" s="116">
        <v>0</v>
      </c>
      <c r="M412" s="31">
        <v>-26101.324400000001</v>
      </c>
      <c r="N412" s="336">
        <v>-26101.324400000001</v>
      </c>
      <c r="O412" s="336">
        <v>26101.324400000001</v>
      </c>
      <c r="P412" s="219">
        <v>0</v>
      </c>
      <c r="Q412" s="332">
        <v>6525.3311000000003</v>
      </c>
      <c r="R412" s="219">
        <v>4</v>
      </c>
      <c r="S412" s="332">
        <v>0</v>
      </c>
      <c r="T412" s="219">
        <v>0</v>
      </c>
      <c r="U412" s="332">
        <v>0</v>
      </c>
      <c r="V412" s="332">
        <v>0</v>
      </c>
      <c r="W412" s="370">
        <v>0</v>
      </c>
      <c r="X412" s="370">
        <v>5</v>
      </c>
      <c r="Y412" s="370">
        <v>0</v>
      </c>
      <c r="Z412" s="370">
        <v>0</v>
      </c>
      <c r="AA412" s="370">
        <v>0</v>
      </c>
      <c r="AB412" s="370">
        <v>9</v>
      </c>
      <c r="AC412" s="370">
        <v>0</v>
      </c>
      <c r="AD412" s="370">
        <v>0</v>
      </c>
      <c r="AE412" s="370">
        <v>0</v>
      </c>
      <c r="AF412" s="370">
        <v>-4</v>
      </c>
      <c r="AG412" s="31">
        <v>4</v>
      </c>
      <c r="AH412" s="31">
        <v>675.4</v>
      </c>
      <c r="AI412" s="31">
        <v>0</v>
      </c>
      <c r="AJ412" s="370">
        <v>8.8862249999999996</v>
      </c>
      <c r="AK412" s="219">
        <v>675.4</v>
      </c>
      <c r="AL412" s="219">
        <v>0</v>
      </c>
      <c r="AM412" s="219">
        <v>0</v>
      </c>
      <c r="AN412" s="219">
        <v>0</v>
      </c>
      <c r="AO412" s="116">
        <v>0</v>
      </c>
      <c r="AP412" s="116">
        <v>0</v>
      </c>
      <c r="AQ412" s="116">
        <v>5</v>
      </c>
      <c r="AR412" s="116">
        <v>24007.025459999997</v>
      </c>
      <c r="AS412" s="116">
        <v>-240070.25460000001</v>
      </c>
      <c r="AT412" s="116">
        <v>0</v>
      </c>
      <c r="AU412" s="385">
        <v>0</v>
      </c>
      <c r="AV412" s="332">
        <v>0</v>
      </c>
      <c r="AW412" s="332">
        <v>0</v>
      </c>
      <c r="AX412" s="332">
        <v>-24007.025459999997</v>
      </c>
      <c r="AY412" s="332">
        <v>0</v>
      </c>
      <c r="AZ412" s="332">
        <v>0</v>
      </c>
      <c r="BA412" s="332">
        <v>0</v>
      </c>
      <c r="BB412" s="31">
        <v>422404.95980004634</v>
      </c>
      <c r="BC412" s="31">
        <v>0</v>
      </c>
      <c r="BD412" s="29">
        <v>0</v>
      </c>
      <c r="BE412" s="31">
        <v>0</v>
      </c>
    </row>
    <row r="413" spans="1:57" ht="13">
      <c r="A413" s="153">
        <v>44575</v>
      </c>
      <c r="B413" s="10" t="s">
        <v>183</v>
      </c>
      <c r="C413" s="10">
        <v>44567000018</v>
      </c>
      <c r="D413" s="10" t="s">
        <v>16</v>
      </c>
      <c r="E413" s="10" t="s">
        <v>36</v>
      </c>
      <c r="F413" s="153">
        <v>44567</v>
      </c>
      <c r="G413" s="116" t="s">
        <v>37</v>
      </c>
      <c r="H413" s="116">
        <v>344208.43124999997</v>
      </c>
      <c r="I413" s="116">
        <v>155791.56874999998</v>
      </c>
      <c r="J413" s="116">
        <v>499999.99999999994</v>
      </c>
      <c r="K413" s="219">
        <v>389925.16154999996</v>
      </c>
      <c r="L413" s="116">
        <v>0</v>
      </c>
      <c r="M413" s="31">
        <v>-78243.411599999992</v>
      </c>
      <c r="N413" s="336">
        <v>-78243.411599999992</v>
      </c>
      <c r="O413" s="336">
        <v>78243.411599999992</v>
      </c>
      <c r="P413" s="219">
        <v>0</v>
      </c>
      <c r="Q413" s="332">
        <v>6520.2842999999993</v>
      </c>
      <c r="R413" s="219">
        <v>12</v>
      </c>
      <c r="S413" s="332">
        <v>0</v>
      </c>
      <c r="T413" s="219">
        <v>0</v>
      </c>
      <c r="U413" s="332">
        <v>0</v>
      </c>
      <c r="V413" s="332">
        <v>0</v>
      </c>
      <c r="W413" s="370">
        <v>0</v>
      </c>
      <c r="X413" s="370">
        <v>9</v>
      </c>
      <c r="Y413" s="370">
        <v>0</v>
      </c>
      <c r="Z413" s="370">
        <v>0</v>
      </c>
      <c r="AA413" s="370">
        <v>0</v>
      </c>
      <c r="AB413" s="370">
        <v>21</v>
      </c>
      <c r="AC413" s="370">
        <v>0</v>
      </c>
      <c r="AD413" s="370">
        <v>0</v>
      </c>
      <c r="AE413" s="370">
        <v>0</v>
      </c>
      <c r="AF413" s="370">
        <v>-12</v>
      </c>
      <c r="AG413" s="31">
        <v>12</v>
      </c>
      <c r="AH413" s="31">
        <v>675.4</v>
      </c>
      <c r="AI413" s="31">
        <v>0</v>
      </c>
      <c r="AJ413" s="370">
        <v>8.8862249999999996</v>
      </c>
      <c r="AK413" s="219">
        <v>675.4</v>
      </c>
      <c r="AL413" s="219">
        <v>0</v>
      </c>
      <c r="AM413" s="219">
        <v>0</v>
      </c>
      <c r="AN413" s="219">
        <v>0</v>
      </c>
      <c r="AO413" s="116">
        <v>0</v>
      </c>
      <c r="AP413" s="116">
        <v>0</v>
      </c>
      <c r="AQ413" s="116">
        <v>5</v>
      </c>
      <c r="AR413" s="116">
        <v>72021.076379999984</v>
      </c>
      <c r="AS413" s="116">
        <v>-240070.25460000001</v>
      </c>
      <c r="AT413" s="116">
        <v>0</v>
      </c>
      <c r="AU413" s="385">
        <v>0</v>
      </c>
      <c r="AV413" s="332">
        <v>0</v>
      </c>
      <c r="AW413" s="332">
        <v>0</v>
      </c>
      <c r="AX413" s="332">
        <v>-72021.076379999999</v>
      </c>
      <c r="AY413" s="332">
        <v>0</v>
      </c>
      <c r="AZ413" s="332">
        <v>0</v>
      </c>
      <c r="BA413" s="332">
        <v>0</v>
      </c>
      <c r="BB413" s="31">
        <v>344161.54820004635</v>
      </c>
      <c r="BC413" s="31">
        <v>0</v>
      </c>
      <c r="BD413" s="29">
        <v>0</v>
      </c>
      <c r="BE413" s="31">
        <v>0</v>
      </c>
    </row>
    <row r="414" spans="1:57" ht="13">
      <c r="A414" s="153">
        <v>44575</v>
      </c>
      <c r="B414" s="10" t="s">
        <v>183</v>
      </c>
      <c r="C414" s="10">
        <v>44567000020</v>
      </c>
      <c r="D414" s="10" t="s">
        <v>16</v>
      </c>
      <c r="E414" s="10" t="s">
        <v>36</v>
      </c>
      <c r="F414" s="153">
        <v>44567</v>
      </c>
      <c r="G414" s="116" t="s">
        <v>37</v>
      </c>
      <c r="H414" s="116">
        <v>324647.57834999997</v>
      </c>
      <c r="I414" s="116">
        <v>175352.42164999997</v>
      </c>
      <c r="J414" s="116">
        <v>499999.99999999994</v>
      </c>
      <c r="K414" s="219">
        <v>526851.13185000001</v>
      </c>
      <c r="L414" s="116">
        <v>0</v>
      </c>
      <c r="M414" s="31">
        <v>-19560.852899999998</v>
      </c>
      <c r="N414" s="336">
        <v>-19560.852899999998</v>
      </c>
      <c r="O414" s="336">
        <v>19560.852899999998</v>
      </c>
      <c r="P414" s="219">
        <v>0</v>
      </c>
      <c r="Q414" s="332">
        <v>6520.2842999999993</v>
      </c>
      <c r="R414" s="219">
        <v>3</v>
      </c>
      <c r="S414" s="332">
        <v>0</v>
      </c>
      <c r="T414" s="219">
        <v>0</v>
      </c>
      <c r="U414" s="332">
        <v>0</v>
      </c>
      <c r="V414" s="332">
        <v>0</v>
      </c>
      <c r="W414" s="370">
        <v>0</v>
      </c>
      <c r="X414" s="370">
        <v>21</v>
      </c>
      <c r="Y414" s="370">
        <v>0</v>
      </c>
      <c r="Z414" s="370">
        <v>0</v>
      </c>
      <c r="AA414" s="370">
        <v>0</v>
      </c>
      <c r="AB414" s="370">
        <v>24</v>
      </c>
      <c r="AC414" s="370">
        <v>0</v>
      </c>
      <c r="AD414" s="370">
        <v>0</v>
      </c>
      <c r="AE414" s="370">
        <v>0</v>
      </c>
      <c r="AF414" s="370">
        <v>-3</v>
      </c>
      <c r="AG414" s="31">
        <v>3</v>
      </c>
      <c r="AH414" s="31">
        <v>675.4</v>
      </c>
      <c r="AI414" s="31">
        <v>0</v>
      </c>
      <c r="AJ414" s="370">
        <v>8.8862249999999996</v>
      </c>
      <c r="AK414" s="219">
        <v>675.4</v>
      </c>
      <c r="AL414" s="219">
        <v>0</v>
      </c>
      <c r="AM414" s="219">
        <v>0</v>
      </c>
      <c r="AN414" s="219">
        <v>0</v>
      </c>
      <c r="AO414" s="116">
        <v>0</v>
      </c>
      <c r="AP414" s="116">
        <v>0</v>
      </c>
      <c r="AQ414" s="116">
        <v>5</v>
      </c>
      <c r="AR414" s="116">
        <v>18005.269094999996</v>
      </c>
      <c r="AS414" s="116">
        <v>-240070.25460000001</v>
      </c>
      <c r="AT414" s="116">
        <v>0</v>
      </c>
      <c r="AU414" s="385">
        <v>0</v>
      </c>
      <c r="AV414" s="332">
        <v>0</v>
      </c>
      <c r="AW414" s="332">
        <v>0</v>
      </c>
      <c r="AX414" s="332">
        <v>-18005.269095</v>
      </c>
      <c r="AY414" s="332">
        <v>0</v>
      </c>
      <c r="AZ414" s="332">
        <v>0</v>
      </c>
      <c r="BA414" s="332">
        <v>0</v>
      </c>
      <c r="BB414" s="31">
        <v>324600.69530004635</v>
      </c>
      <c r="BC414" s="31">
        <v>0</v>
      </c>
      <c r="BD414" s="29">
        <v>0</v>
      </c>
      <c r="BE414" s="31">
        <v>0</v>
      </c>
    </row>
    <row r="415" spans="1:57" ht="13">
      <c r="A415" s="153">
        <v>44575</v>
      </c>
      <c r="B415" s="10" t="s">
        <v>183</v>
      </c>
      <c r="C415" s="10">
        <v>44568000021</v>
      </c>
      <c r="D415" s="10" t="s">
        <v>16</v>
      </c>
      <c r="E415" s="10" t="s">
        <v>36</v>
      </c>
      <c r="F415" s="153">
        <v>44568</v>
      </c>
      <c r="G415" s="116" t="s">
        <v>37</v>
      </c>
      <c r="H415" s="116">
        <v>407579.05034999998</v>
      </c>
      <c r="I415" s="116">
        <v>92420.949649999966</v>
      </c>
      <c r="J415" s="116">
        <v>499999.99999999994</v>
      </c>
      <c r="K415" s="219">
        <v>648904.30964999995</v>
      </c>
      <c r="L415" s="116">
        <v>0</v>
      </c>
      <c r="M415" s="31">
        <v>82931.472000000009</v>
      </c>
      <c r="N415" s="336">
        <v>82931.472000000009</v>
      </c>
      <c r="O415" s="336">
        <v>0</v>
      </c>
      <c r="P415" s="219">
        <v>-82931.472000000009</v>
      </c>
      <c r="Q415" s="332">
        <v>6379.344000000001</v>
      </c>
      <c r="R415" s="219">
        <v>-13</v>
      </c>
      <c r="S415" s="332">
        <v>0</v>
      </c>
      <c r="T415" s="219">
        <v>0</v>
      </c>
      <c r="U415" s="332">
        <v>0</v>
      </c>
      <c r="V415" s="332">
        <v>0</v>
      </c>
      <c r="W415" s="370">
        <v>0</v>
      </c>
      <c r="X415" s="370">
        <v>24</v>
      </c>
      <c r="Y415" s="370">
        <v>0</v>
      </c>
      <c r="Z415" s="370">
        <v>0</v>
      </c>
      <c r="AA415" s="370">
        <v>0</v>
      </c>
      <c r="AB415" s="370">
        <v>11</v>
      </c>
      <c r="AC415" s="370">
        <v>0</v>
      </c>
      <c r="AD415" s="370">
        <v>0</v>
      </c>
      <c r="AE415" s="370">
        <v>0</v>
      </c>
      <c r="AF415" s="370">
        <v>13</v>
      </c>
      <c r="AG415" s="31">
        <v>-13</v>
      </c>
      <c r="AH415" s="31">
        <v>675.4</v>
      </c>
      <c r="AI415" s="31">
        <v>0</v>
      </c>
      <c r="AJ415" s="370">
        <v>8.8862249999999996</v>
      </c>
      <c r="AK415" s="219">
        <v>675.4</v>
      </c>
      <c r="AL415" s="219">
        <v>0</v>
      </c>
      <c r="AM415" s="219">
        <v>0</v>
      </c>
      <c r="AN415" s="219">
        <v>0</v>
      </c>
      <c r="AO415" s="116">
        <v>0</v>
      </c>
      <c r="AP415" s="116">
        <v>0</v>
      </c>
      <c r="AQ415" s="116">
        <v>5</v>
      </c>
      <c r="AR415" s="116">
        <v>-78022.832744999992</v>
      </c>
      <c r="AS415" s="116">
        <v>-240070.25460000001</v>
      </c>
      <c r="AT415" s="116">
        <v>0</v>
      </c>
      <c r="AU415" s="385">
        <v>0</v>
      </c>
      <c r="AV415" s="332">
        <v>0</v>
      </c>
      <c r="AW415" s="332">
        <v>0</v>
      </c>
      <c r="AX415" s="332">
        <v>78022.832744999992</v>
      </c>
      <c r="AY415" s="332">
        <v>0</v>
      </c>
      <c r="AZ415" s="332">
        <v>0</v>
      </c>
      <c r="BA415" s="332">
        <v>0</v>
      </c>
      <c r="BB415" s="31">
        <v>407532.16730004636</v>
      </c>
      <c r="BC415" s="31">
        <v>0</v>
      </c>
      <c r="BD415" s="29">
        <v>0</v>
      </c>
      <c r="BE415" s="31">
        <v>0</v>
      </c>
    </row>
    <row r="416" spans="1:57" ht="13">
      <c r="A416" s="153">
        <v>44575</v>
      </c>
      <c r="B416" s="10" t="s">
        <v>183</v>
      </c>
      <c r="C416" s="10">
        <v>44569000022</v>
      </c>
      <c r="D416" s="10" t="s">
        <v>16</v>
      </c>
      <c r="E416" s="10" t="s">
        <v>36</v>
      </c>
      <c r="F416" s="153">
        <v>44569</v>
      </c>
      <c r="G416" s="116" t="s">
        <v>37</v>
      </c>
      <c r="H416" s="116">
        <v>732923.75835000002</v>
      </c>
      <c r="I416" s="116">
        <v>-232923.75835000008</v>
      </c>
      <c r="J416" s="116">
        <v>499999.99999999994</v>
      </c>
      <c r="K416" s="219">
        <v>298041.43364999985</v>
      </c>
      <c r="L416" s="116">
        <v>0</v>
      </c>
      <c r="M416" s="31">
        <v>325344.70800000004</v>
      </c>
      <c r="N416" s="336">
        <v>-184999.93200000003</v>
      </c>
      <c r="O416" s="336">
        <v>0</v>
      </c>
      <c r="P416" s="219">
        <v>-325344.70800000004</v>
      </c>
      <c r="Q416" s="332">
        <v>6379.3080000000009</v>
      </c>
      <c r="R416" s="219">
        <v>-51</v>
      </c>
      <c r="S416" s="332">
        <v>0</v>
      </c>
      <c r="T416" s="219">
        <v>0</v>
      </c>
      <c r="U416" s="332">
        <v>0</v>
      </c>
      <c r="V416" s="332">
        <v>0</v>
      </c>
      <c r="W416" s="370">
        <v>0</v>
      </c>
      <c r="X416" s="370">
        <v>11</v>
      </c>
      <c r="Y416" s="370">
        <v>0</v>
      </c>
      <c r="Z416" s="370">
        <v>0</v>
      </c>
      <c r="AA416" s="370">
        <v>0</v>
      </c>
      <c r="AB416" s="370">
        <v>-40</v>
      </c>
      <c r="AC416" s="370">
        <v>0</v>
      </c>
      <c r="AD416" s="370">
        <v>0</v>
      </c>
      <c r="AE416" s="370">
        <v>0</v>
      </c>
      <c r="AF416" s="370">
        <v>-29</v>
      </c>
      <c r="AG416" s="31">
        <v>-51</v>
      </c>
      <c r="AH416" s="31">
        <v>675.4</v>
      </c>
      <c r="AI416" s="31">
        <v>0</v>
      </c>
      <c r="AJ416" s="370">
        <v>8.8862249999999996</v>
      </c>
      <c r="AK416" s="219">
        <v>675.4</v>
      </c>
      <c r="AL416" s="219">
        <v>0</v>
      </c>
      <c r="AM416" s="219">
        <v>0</v>
      </c>
      <c r="AN416" s="219">
        <v>0</v>
      </c>
      <c r="AO416" s="116">
        <v>0</v>
      </c>
      <c r="AP416" s="116">
        <v>0</v>
      </c>
      <c r="AQ416" s="116">
        <v>5</v>
      </c>
      <c r="AR416" s="116">
        <v>-306089.57461499999</v>
      </c>
      <c r="AS416" s="116">
        <v>-240070.25460000001</v>
      </c>
      <c r="AT416" s="116">
        <v>0</v>
      </c>
      <c r="AU416" s="385">
        <v>0</v>
      </c>
      <c r="AV416" s="332">
        <v>0</v>
      </c>
      <c r="AW416" s="332">
        <v>0</v>
      </c>
      <c r="AX416" s="332">
        <v>-174050.93458499998</v>
      </c>
      <c r="AY416" s="332">
        <v>0</v>
      </c>
      <c r="AZ416" s="332">
        <v>-40.668105470366449</v>
      </c>
      <c r="BA416" s="332">
        <v>0</v>
      </c>
      <c r="BB416" s="31">
        <v>732876.87530004641</v>
      </c>
      <c r="BC416" s="31">
        <v>0</v>
      </c>
      <c r="BD416" s="29">
        <v>0</v>
      </c>
      <c r="BE416" s="31">
        <v>0</v>
      </c>
    </row>
    <row r="417" spans="1:57" ht="13">
      <c r="A417" s="153">
        <v>44575</v>
      </c>
      <c r="B417" s="10" t="s">
        <v>183</v>
      </c>
      <c r="C417" s="10">
        <v>44570000023</v>
      </c>
      <c r="D417" s="10" t="s">
        <v>16</v>
      </c>
      <c r="E417" s="10" t="s">
        <v>38</v>
      </c>
      <c r="F417" s="153">
        <v>44570</v>
      </c>
      <c r="G417" s="116" t="s">
        <v>39</v>
      </c>
      <c r="H417" s="116">
        <v>739598.75835000002</v>
      </c>
      <c r="I417" s="116">
        <v>-239598.75835000008</v>
      </c>
      <c r="J417" s="116">
        <v>499999.99999999994</v>
      </c>
      <c r="K417" s="219">
        <v>159921.65764999983</v>
      </c>
      <c r="L417" s="116">
        <v>0</v>
      </c>
      <c r="M417" s="31">
        <v>6675</v>
      </c>
      <c r="N417" s="336">
        <v>2225</v>
      </c>
      <c r="O417" s="336">
        <v>0</v>
      </c>
      <c r="P417" s="219">
        <v>-6675</v>
      </c>
      <c r="Q417" s="332">
        <v>445</v>
      </c>
      <c r="R417" s="219">
        <v>-15</v>
      </c>
      <c r="S417" s="332">
        <v>0</v>
      </c>
      <c r="T417" s="219">
        <v>0</v>
      </c>
      <c r="U417" s="332">
        <v>0</v>
      </c>
      <c r="V417" s="332">
        <v>0</v>
      </c>
      <c r="W417" s="370">
        <v>0</v>
      </c>
      <c r="X417" s="370">
        <v>10</v>
      </c>
      <c r="Y417" s="370">
        <v>0</v>
      </c>
      <c r="Z417" s="370">
        <v>0</v>
      </c>
      <c r="AA417" s="370">
        <v>0</v>
      </c>
      <c r="AB417" s="370">
        <v>-5</v>
      </c>
      <c r="AC417" s="370">
        <v>0</v>
      </c>
      <c r="AD417" s="370">
        <v>0</v>
      </c>
      <c r="AE417" s="370">
        <v>0</v>
      </c>
      <c r="AF417" s="370">
        <v>5</v>
      </c>
      <c r="AG417" s="31">
        <v>-15</v>
      </c>
      <c r="AH417" s="31">
        <v>473.4</v>
      </c>
      <c r="AI417" s="31">
        <v>1</v>
      </c>
      <c r="AJ417" s="370">
        <v>1</v>
      </c>
      <c r="AK417" s="219">
        <v>473.4</v>
      </c>
      <c r="AL417" s="219">
        <v>0</v>
      </c>
      <c r="AM417" s="219">
        <v>0</v>
      </c>
      <c r="AN417" s="219">
        <v>0</v>
      </c>
      <c r="AO417" s="116">
        <v>0</v>
      </c>
      <c r="AP417" s="116">
        <v>0</v>
      </c>
      <c r="AQ417" s="116">
        <v>5</v>
      </c>
      <c r="AR417" s="116">
        <v>-7101</v>
      </c>
      <c r="AS417" s="116">
        <v>-2367</v>
      </c>
      <c r="AT417" s="116">
        <v>0</v>
      </c>
      <c r="AU417" s="385">
        <v>50489.124648000005</v>
      </c>
      <c r="AV417" s="332">
        <v>-276758.05422000005</v>
      </c>
      <c r="AW417" s="332">
        <v>-226268.92957200005</v>
      </c>
      <c r="AX417" s="332">
        <v>2367</v>
      </c>
      <c r="AY417" s="332">
        <v>0</v>
      </c>
      <c r="AZ417" s="332">
        <v>-0.40097181472459431</v>
      </c>
      <c r="BA417" s="332">
        <v>0</v>
      </c>
      <c r="BB417" s="31">
        <v>739551.87530004641</v>
      </c>
      <c r="BC417" s="31">
        <v>739551.87530004641</v>
      </c>
      <c r="BD417" s="29">
        <v>0</v>
      </c>
      <c r="BE417" s="31">
        <v>513329.82877799997</v>
      </c>
    </row>
    <row r="418" spans="1:57" ht="13">
      <c r="A418" s="153">
        <v>44575</v>
      </c>
      <c r="B418" s="10" t="s">
        <v>184</v>
      </c>
      <c r="C418" s="10">
        <v>44561000006</v>
      </c>
      <c r="D418" s="10" t="s">
        <v>64</v>
      </c>
      <c r="E418" s="10" t="s">
        <v>64</v>
      </c>
      <c r="F418" s="153">
        <v>44561</v>
      </c>
      <c r="G418" s="116" t="s">
        <v>39</v>
      </c>
      <c r="H418" s="116">
        <v>500000</v>
      </c>
      <c r="I418" s="116">
        <v>0</v>
      </c>
      <c r="J418" s="116">
        <v>500000</v>
      </c>
      <c r="K418" s="219">
        <v>0</v>
      </c>
      <c r="L418" s="116">
        <v>0</v>
      </c>
      <c r="M418" s="31">
        <v>500000</v>
      </c>
      <c r="N418" s="336">
        <v>500000</v>
      </c>
      <c r="O418" s="336">
        <v>0</v>
      </c>
      <c r="P418" s="219">
        <v>0</v>
      </c>
      <c r="Q418" s="332">
        <v>0</v>
      </c>
      <c r="R418" s="219">
        <v>0</v>
      </c>
      <c r="S418" s="332">
        <v>0</v>
      </c>
      <c r="T418" s="219">
        <v>0</v>
      </c>
      <c r="U418" s="332">
        <v>0</v>
      </c>
      <c r="V418" s="332">
        <v>0</v>
      </c>
      <c r="W418" s="370">
        <v>0</v>
      </c>
      <c r="X418" s="370">
        <v>0</v>
      </c>
      <c r="Y418" s="370">
        <v>0</v>
      </c>
      <c r="Z418" s="370">
        <v>0</v>
      </c>
      <c r="AA418" s="370">
        <v>0</v>
      </c>
      <c r="AB418" s="370">
        <v>0</v>
      </c>
      <c r="AC418" s="370">
        <v>0</v>
      </c>
      <c r="AD418" s="370">
        <v>0</v>
      </c>
      <c r="AE418" s="370">
        <v>0</v>
      </c>
      <c r="AF418" s="370">
        <v>0</v>
      </c>
      <c r="AG418" s="31">
        <v>0</v>
      </c>
      <c r="AH418" s="31">
        <v>1</v>
      </c>
      <c r="AI418" s="31">
        <v>0</v>
      </c>
      <c r="AJ418" s="370">
        <v>1</v>
      </c>
      <c r="AK418" s="219">
        <v>0</v>
      </c>
      <c r="AL418" s="219">
        <v>0</v>
      </c>
      <c r="AM418" s="219">
        <v>0</v>
      </c>
      <c r="AN418" s="219">
        <v>0</v>
      </c>
      <c r="AO418" s="116">
        <v>0</v>
      </c>
      <c r="AP418" s="116">
        <v>0</v>
      </c>
      <c r="AQ418" s="116">
        <v>1</v>
      </c>
      <c r="AR418" s="116">
        <v>0</v>
      </c>
      <c r="AS418" s="116">
        <v>0</v>
      </c>
      <c r="AT418" s="116">
        <v>1</v>
      </c>
      <c r="AU418" s="385">
        <v>0</v>
      </c>
      <c r="AV418" s="332">
        <v>0</v>
      </c>
      <c r="AW418" s="332">
        <v>0</v>
      </c>
      <c r="AX418" s="332">
        <v>500000</v>
      </c>
      <c r="AY418" s="332">
        <v>0</v>
      </c>
      <c r="AZ418" s="332">
        <v>0</v>
      </c>
      <c r="BA418" s="332">
        <v>0</v>
      </c>
      <c r="BB418" s="31">
        <v>499855.01548297721</v>
      </c>
      <c r="BC418" s="31">
        <v>0</v>
      </c>
      <c r="BD418" s="29">
        <v>0</v>
      </c>
      <c r="BE418" s="31">
        <v>0</v>
      </c>
    </row>
    <row r="419" spans="1:57" ht="13">
      <c r="A419" s="153">
        <v>44575</v>
      </c>
      <c r="B419" s="10" t="s">
        <v>184</v>
      </c>
      <c r="C419" s="10">
        <v>44563000025</v>
      </c>
      <c r="D419" s="10" t="s">
        <v>16</v>
      </c>
      <c r="E419" s="10" t="s">
        <v>40</v>
      </c>
      <c r="F419" s="153">
        <v>44563</v>
      </c>
      <c r="G419" s="116" t="s">
        <v>29</v>
      </c>
      <c r="H419" s="116">
        <v>450189.84940000001</v>
      </c>
      <c r="I419" s="116">
        <v>49810.150599999994</v>
      </c>
      <c r="J419" s="116">
        <v>500000</v>
      </c>
      <c r="K419" s="219">
        <v>450189.84940000001</v>
      </c>
      <c r="L419" s="116">
        <v>0</v>
      </c>
      <c r="M419" s="31">
        <v>-49810.150599999994</v>
      </c>
      <c r="N419" s="336">
        <v>-49810.150599999994</v>
      </c>
      <c r="O419" s="336">
        <v>49810.150599999994</v>
      </c>
      <c r="P419" s="219">
        <v>0</v>
      </c>
      <c r="Q419" s="332">
        <v>2490.5075299999999</v>
      </c>
      <c r="R419" s="219">
        <v>20</v>
      </c>
      <c r="S419" s="332">
        <v>0</v>
      </c>
      <c r="T419" s="219">
        <v>0</v>
      </c>
      <c r="U419" s="332">
        <v>0</v>
      </c>
      <c r="V419" s="332">
        <v>0</v>
      </c>
      <c r="W419" s="370">
        <v>0</v>
      </c>
      <c r="X419" s="370">
        <v>0</v>
      </c>
      <c r="Y419" s="370">
        <v>0</v>
      </c>
      <c r="Z419" s="370">
        <v>0</v>
      </c>
      <c r="AA419" s="370">
        <v>0</v>
      </c>
      <c r="AB419" s="370">
        <v>20</v>
      </c>
      <c r="AC419" s="370">
        <v>0</v>
      </c>
      <c r="AD419" s="370">
        <v>0</v>
      </c>
      <c r="AE419" s="370">
        <v>0</v>
      </c>
      <c r="AF419" s="370">
        <v>-20</v>
      </c>
      <c r="AG419" s="31">
        <v>20</v>
      </c>
      <c r="AH419" s="31">
        <v>1867</v>
      </c>
      <c r="AI419" s="31">
        <v>0</v>
      </c>
      <c r="AJ419" s="370">
        <v>1.2255240000000001</v>
      </c>
      <c r="AK419" s="219">
        <v>1867</v>
      </c>
      <c r="AL419" s="219">
        <v>0</v>
      </c>
      <c r="AM419" s="219">
        <v>0</v>
      </c>
      <c r="AN419" s="219">
        <v>0</v>
      </c>
      <c r="AO419" s="116">
        <v>0</v>
      </c>
      <c r="AP419" s="116">
        <v>0</v>
      </c>
      <c r="AQ419" s="116">
        <v>2</v>
      </c>
      <c r="AR419" s="116">
        <v>45761.066160000002</v>
      </c>
      <c r="AS419" s="116">
        <v>22880.533080000001</v>
      </c>
      <c r="AT419" s="116">
        <v>1</v>
      </c>
      <c r="AU419" s="385">
        <v>0</v>
      </c>
      <c r="AV419" s="332">
        <v>0</v>
      </c>
      <c r="AW419" s="332">
        <v>0</v>
      </c>
      <c r="AX419" s="332">
        <v>-45761.066160000002</v>
      </c>
      <c r="AY419" s="332">
        <v>0</v>
      </c>
      <c r="AZ419" s="332">
        <v>0</v>
      </c>
      <c r="BA419" s="332">
        <v>0</v>
      </c>
      <c r="BB419" s="31">
        <v>450044.86488297721</v>
      </c>
      <c r="BC419" s="31">
        <v>0</v>
      </c>
      <c r="BD419" s="29">
        <v>0</v>
      </c>
      <c r="BE419" s="31">
        <v>0</v>
      </c>
    </row>
    <row r="420" spans="1:57" ht="13">
      <c r="A420" s="153">
        <v>44575</v>
      </c>
      <c r="B420" s="10" t="s">
        <v>184</v>
      </c>
      <c r="C420" s="10">
        <v>44563000026</v>
      </c>
      <c r="D420" s="10" t="s">
        <v>16</v>
      </c>
      <c r="E420" s="10" t="s">
        <v>38</v>
      </c>
      <c r="F420" s="153">
        <v>44563</v>
      </c>
      <c r="G420" s="116" t="s">
        <v>39</v>
      </c>
      <c r="H420" s="116">
        <v>452489.84940000001</v>
      </c>
      <c r="I420" s="116">
        <v>47510.150599999994</v>
      </c>
      <c r="J420" s="116">
        <v>500000</v>
      </c>
      <c r="K420" s="219">
        <v>447889.84940000001</v>
      </c>
      <c r="L420" s="116">
        <v>0</v>
      </c>
      <c r="M420" s="31">
        <v>2300</v>
      </c>
      <c r="N420" s="336">
        <v>-2300</v>
      </c>
      <c r="O420" s="336">
        <v>0</v>
      </c>
      <c r="P420" s="219">
        <v>-2300</v>
      </c>
      <c r="Q420" s="332">
        <v>460</v>
      </c>
      <c r="R420" s="219">
        <v>-5</v>
      </c>
      <c r="S420" s="332">
        <v>0</v>
      </c>
      <c r="T420" s="219">
        <v>0</v>
      </c>
      <c r="U420" s="332">
        <v>0</v>
      </c>
      <c r="V420" s="332">
        <v>0</v>
      </c>
      <c r="W420" s="370">
        <v>0</v>
      </c>
      <c r="X420" s="370">
        <v>0</v>
      </c>
      <c r="Y420" s="370">
        <v>0</v>
      </c>
      <c r="Z420" s="370">
        <v>0</v>
      </c>
      <c r="AA420" s="370">
        <v>0</v>
      </c>
      <c r="AB420" s="370">
        <v>-5</v>
      </c>
      <c r="AC420" s="370">
        <v>0</v>
      </c>
      <c r="AD420" s="370">
        <v>0</v>
      </c>
      <c r="AE420" s="370">
        <v>0</v>
      </c>
      <c r="AF420" s="370">
        <v>-5</v>
      </c>
      <c r="AG420" s="31">
        <v>-5</v>
      </c>
      <c r="AH420" s="31">
        <v>473.4</v>
      </c>
      <c r="AI420" s="31">
        <v>0</v>
      </c>
      <c r="AJ420" s="370">
        <v>1</v>
      </c>
      <c r="AK420" s="219">
        <v>473.4</v>
      </c>
      <c r="AL420" s="219">
        <v>0</v>
      </c>
      <c r="AM420" s="219">
        <v>0</v>
      </c>
      <c r="AN420" s="219">
        <v>0</v>
      </c>
      <c r="AO420" s="116">
        <v>0</v>
      </c>
      <c r="AP420" s="116">
        <v>0</v>
      </c>
      <c r="AQ420" s="116">
        <v>3</v>
      </c>
      <c r="AR420" s="116">
        <v>-2367</v>
      </c>
      <c r="AS420" s="116">
        <v>-705366</v>
      </c>
      <c r="AT420" s="116">
        <v>1</v>
      </c>
      <c r="AU420" s="385">
        <v>0</v>
      </c>
      <c r="AV420" s="332">
        <v>0</v>
      </c>
      <c r="AW420" s="332">
        <v>0</v>
      </c>
      <c r="AX420" s="332">
        <v>-2367</v>
      </c>
      <c r="AY420" s="332">
        <v>0</v>
      </c>
      <c r="AZ420" s="332">
        <v>-0.40097181472459431</v>
      </c>
      <c r="BA420" s="332">
        <v>0</v>
      </c>
      <c r="BB420" s="31">
        <v>452344.86488297721</v>
      </c>
      <c r="BC420" s="31">
        <v>0</v>
      </c>
      <c r="BD420" s="29">
        <v>0</v>
      </c>
      <c r="BE420" s="31">
        <v>0</v>
      </c>
    </row>
    <row r="421" spans="1:57" ht="13">
      <c r="A421" s="153">
        <v>44575</v>
      </c>
      <c r="B421" s="10" t="s">
        <v>184</v>
      </c>
      <c r="C421" s="10">
        <v>44564000027</v>
      </c>
      <c r="D421" s="10" t="s">
        <v>16</v>
      </c>
      <c r="E421" s="10" t="s">
        <v>40</v>
      </c>
      <c r="F421" s="153">
        <v>44564</v>
      </c>
      <c r="G421" s="116" t="s">
        <v>29</v>
      </c>
      <c r="H421" s="116">
        <v>477643.14439999999</v>
      </c>
      <c r="I421" s="116">
        <v>22356.855599999995</v>
      </c>
      <c r="J421" s="116">
        <v>500000</v>
      </c>
      <c r="K421" s="219">
        <v>473043.14439999999</v>
      </c>
      <c r="L421" s="116">
        <v>0</v>
      </c>
      <c r="M421" s="31">
        <v>25153.294999999998</v>
      </c>
      <c r="N421" s="336">
        <v>25153.295000000002</v>
      </c>
      <c r="O421" s="336">
        <v>0</v>
      </c>
      <c r="P421" s="219">
        <v>-25153.294999999998</v>
      </c>
      <c r="Q421" s="332">
        <v>2515.3294999999998</v>
      </c>
      <c r="R421" s="219">
        <v>-10</v>
      </c>
      <c r="S421" s="332">
        <v>0</v>
      </c>
      <c r="T421" s="219">
        <v>0</v>
      </c>
      <c r="U421" s="332">
        <v>0</v>
      </c>
      <c r="V421" s="332">
        <v>0</v>
      </c>
      <c r="W421" s="370">
        <v>0</v>
      </c>
      <c r="X421" s="370">
        <v>20</v>
      </c>
      <c r="Y421" s="370">
        <v>0</v>
      </c>
      <c r="Z421" s="370">
        <v>0</v>
      </c>
      <c r="AA421" s="370">
        <v>0</v>
      </c>
      <c r="AB421" s="370">
        <v>10</v>
      </c>
      <c r="AC421" s="370">
        <v>0</v>
      </c>
      <c r="AD421" s="370">
        <v>0</v>
      </c>
      <c r="AE421" s="370">
        <v>0</v>
      </c>
      <c r="AF421" s="370">
        <v>10</v>
      </c>
      <c r="AG421" s="31">
        <v>-10</v>
      </c>
      <c r="AH421" s="31">
        <v>1867</v>
      </c>
      <c r="AI421" s="31">
        <v>0</v>
      </c>
      <c r="AJ421" s="370">
        <v>1.2255240000000001</v>
      </c>
      <c r="AK421" s="219">
        <v>1867</v>
      </c>
      <c r="AL421" s="219">
        <v>0</v>
      </c>
      <c r="AM421" s="219">
        <v>0</v>
      </c>
      <c r="AN421" s="219">
        <v>0</v>
      </c>
      <c r="AO421" s="116">
        <v>0</v>
      </c>
      <c r="AP421" s="116">
        <v>0</v>
      </c>
      <c r="AQ421" s="116">
        <v>3</v>
      </c>
      <c r="AR421" s="116">
        <v>-22880.533080000001</v>
      </c>
      <c r="AS421" s="116">
        <v>22880.533080000001</v>
      </c>
      <c r="AT421" s="116">
        <v>0</v>
      </c>
      <c r="AU421" s="385">
        <v>0</v>
      </c>
      <c r="AV421" s="332">
        <v>0</v>
      </c>
      <c r="AW421" s="332">
        <v>0</v>
      </c>
      <c r="AX421" s="332">
        <v>22880.533080000001</v>
      </c>
      <c r="AY421" s="332">
        <v>0</v>
      </c>
      <c r="AZ421" s="332">
        <v>0</v>
      </c>
      <c r="BA421" s="332">
        <v>0</v>
      </c>
      <c r="BB421" s="31">
        <v>477498.1598829772</v>
      </c>
      <c r="BC421" s="31">
        <v>0</v>
      </c>
      <c r="BD421" s="29">
        <v>0</v>
      </c>
      <c r="BE421" s="31">
        <v>0</v>
      </c>
    </row>
    <row r="422" spans="1:57" ht="13">
      <c r="A422" s="153">
        <v>44575</v>
      </c>
      <c r="B422" s="10" t="s">
        <v>184</v>
      </c>
      <c r="C422" s="10">
        <v>44564000028</v>
      </c>
      <c r="D422" s="10" t="s">
        <v>16</v>
      </c>
      <c r="E422" s="10" t="s">
        <v>38</v>
      </c>
      <c r="F422" s="153">
        <v>44564</v>
      </c>
      <c r="G422" s="116" t="s">
        <v>39</v>
      </c>
      <c r="H422" s="116">
        <v>470743.14439999999</v>
      </c>
      <c r="I422" s="116">
        <v>29256.855599999995</v>
      </c>
      <c r="J422" s="116">
        <v>500000</v>
      </c>
      <c r="K422" s="219">
        <v>470743.14439999999</v>
      </c>
      <c r="L422" s="116">
        <v>0</v>
      </c>
      <c r="M422" s="31">
        <v>-6900</v>
      </c>
      <c r="N422" s="336">
        <v>-2300</v>
      </c>
      <c r="O422" s="336">
        <v>6900</v>
      </c>
      <c r="P422" s="219">
        <v>0</v>
      </c>
      <c r="Q422" s="332">
        <v>460</v>
      </c>
      <c r="R422" s="219">
        <v>15</v>
      </c>
      <c r="S422" s="332">
        <v>0</v>
      </c>
      <c r="T422" s="219">
        <v>0</v>
      </c>
      <c r="U422" s="332">
        <v>0</v>
      </c>
      <c r="V422" s="332">
        <v>0</v>
      </c>
      <c r="W422" s="370">
        <v>0</v>
      </c>
      <c r="X422" s="370">
        <v>-5</v>
      </c>
      <c r="Y422" s="370">
        <v>0</v>
      </c>
      <c r="Z422" s="370">
        <v>0</v>
      </c>
      <c r="AA422" s="370">
        <v>0</v>
      </c>
      <c r="AB422" s="370">
        <v>10</v>
      </c>
      <c r="AC422" s="370">
        <v>0</v>
      </c>
      <c r="AD422" s="370">
        <v>0</v>
      </c>
      <c r="AE422" s="370">
        <v>0</v>
      </c>
      <c r="AF422" s="370">
        <v>-5</v>
      </c>
      <c r="AG422" s="31">
        <v>15</v>
      </c>
      <c r="AH422" s="31">
        <v>473.4</v>
      </c>
      <c r="AI422" s="31">
        <v>0</v>
      </c>
      <c r="AJ422" s="370">
        <v>1</v>
      </c>
      <c r="AK422" s="219">
        <v>473.4</v>
      </c>
      <c r="AL422" s="219">
        <v>0</v>
      </c>
      <c r="AM422" s="219">
        <v>0</v>
      </c>
      <c r="AN422" s="219">
        <v>0</v>
      </c>
      <c r="AO422" s="116">
        <v>0</v>
      </c>
      <c r="AP422" s="116">
        <v>0</v>
      </c>
      <c r="AQ422" s="116">
        <v>3</v>
      </c>
      <c r="AR422" s="116">
        <v>7101</v>
      </c>
      <c r="AS422" s="116">
        <v>-705366</v>
      </c>
      <c r="AT422" s="116">
        <v>0</v>
      </c>
      <c r="AU422" s="385">
        <v>0</v>
      </c>
      <c r="AV422" s="332">
        <v>0</v>
      </c>
      <c r="AW422" s="332">
        <v>0</v>
      </c>
      <c r="AX422" s="332">
        <v>-2367</v>
      </c>
      <c r="AY422" s="332">
        <v>0</v>
      </c>
      <c r="AZ422" s="332">
        <v>0</v>
      </c>
      <c r="BA422" s="332">
        <v>0</v>
      </c>
      <c r="BB422" s="31">
        <v>470598.1598829772</v>
      </c>
      <c r="BC422" s="31">
        <v>0</v>
      </c>
      <c r="BD422" s="29">
        <v>0</v>
      </c>
      <c r="BE422" s="31">
        <v>0</v>
      </c>
    </row>
    <row r="423" spans="1:57" ht="13">
      <c r="A423" s="153">
        <v>44575</v>
      </c>
      <c r="B423" s="10" t="s">
        <v>184</v>
      </c>
      <c r="C423" s="10">
        <v>44571000024</v>
      </c>
      <c r="D423" s="10" t="s">
        <v>16</v>
      </c>
      <c r="E423" s="10" t="s">
        <v>38</v>
      </c>
      <c r="F423" s="153">
        <v>44571</v>
      </c>
      <c r="G423" s="116" t="s">
        <v>39</v>
      </c>
      <c r="H423" s="116">
        <v>1138243.1444000001</v>
      </c>
      <c r="I423" s="116">
        <v>-638243.14439999999</v>
      </c>
      <c r="J423" s="116">
        <v>500000.00000000012</v>
      </c>
      <c r="K423" s="219">
        <v>-178656.85560000001</v>
      </c>
      <c r="L423" s="116">
        <v>178656.85560000001</v>
      </c>
      <c r="M423" s="31">
        <v>667500</v>
      </c>
      <c r="N423" s="336">
        <v>-658600</v>
      </c>
      <c r="O423" s="336">
        <v>0</v>
      </c>
      <c r="P423" s="219">
        <v>-667500</v>
      </c>
      <c r="Q423" s="332">
        <v>445</v>
      </c>
      <c r="R423" s="219">
        <v>-1500</v>
      </c>
      <c r="S423" s="332">
        <v>0</v>
      </c>
      <c r="T423" s="219">
        <v>0</v>
      </c>
      <c r="U423" s="332">
        <v>0</v>
      </c>
      <c r="V423" s="332">
        <v>0</v>
      </c>
      <c r="W423" s="370">
        <v>0</v>
      </c>
      <c r="X423" s="370">
        <v>10</v>
      </c>
      <c r="Y423" s="370">
        <v>0</v>
      </c>
      <c r="Z423" s="370">
        <v>0</v>
      </c>
      <c r="AA423" s="370">
        <v>0</v>
      </c>
      <c r="AB423" s="370">
        <v>-1490</v>
      </c>
      <c r="AC423" s="370">
        <v>0</v>
      </c>
      <c r="AD423" s="370">
        <v>0</v>
      </c>
      <c r="AE423" s="370">
        <v>0</v>
      </c>
      <c r="AF423" s="370">
        <v>-1480</v>
      </c>
      <c r="AG423" s="31">
        <v>-1500</v>
      </c>
      <c r="AH423" s="31">
        <v>473.4</v>
      </c>
      <c r="AI423" s="31">
        <v>1</v>
      </c>
      <c r="AJ423" s="370">
        <v>1</v>
      </c>
      <c r="AK423" s="219">
        <v>473.4</v>
      </c>
      <c r="AL423" s="219">
        <v>0</v>
      </c>
      <c r="AM423" s="219">
        <v>0</v>
      </c>
      <c r="AN423" s="219">
        <v>0</v>
      </c>
      <c r="AO423" s="116">
        <v>0</v>
      </c>
      <c r="AP423" s="116">
        <v>0</v>
      </c>
      <c r="AQ423" s="116">
        <v>3</v>
      </c>
      <c r="AR423" s="116">
        <v>-710100</v>
      </c>
      <c r="AS423" s="116">
        <v>-705366</v>
      </c>
      <c r="AT423" s="116">
        <v>0</v>
      </c>
      <c r="AU423" s="385">
        <v>22880.533080000001</v>
      </c>
      <c r="AV423" s="332">
        <v>-705366</v>
      </c>
      <c r="AW423" s="332">
        <v>-682485.46692000004</v>
      </c>
      <c r="AX423" s="332">
        <v>-700632</v>
      </c>
      <c r="AY423" s="332">
        <v>-25.093944420159584</v>
      </c>
      <c r="AZ423" s="332">
        <v>-119.48960078792911</v>
      </c>
      <c r="BA423" s="332">
        <v>0</v>
      </c>
      <c r="BB423" s="31">
        <v>1138098.1598829774</v>
      </c>
      <c r="BC423" s="31">
        <v>1138098.1598829774</v>
      </c>
      <c r="BD423" s="29">
        <v>178656.85560000001</v>
      </c>
      <c r="BE423" s="31">
        <v>455757.67748000007</v>
      </c>
    </row>
    <row r="424" spans="1:57" ht="13">
      <c r="A424" s="153">
        <v>44575</v>
      </c>
      <c r="B424" s="10" t="s">
        <v>185</v>
      </c>
      <c r="C424" s="10">
        <v>44561000007</v>
      </c>
      <c r="D424" s="10" t="s">
        <v>64</v>
      </c>
      <c r="E424" s="10" t="s">
        <v>64</v>
      </c>
      <c r="F424" s="153">
        <v>44561</v>
      </c>
      <c r="G424" s="116" t="s">
        <v>39</v>
      </c>
      <c r="H424" s="116">
        <v>500000</v>
      </c>
      <c r="I424" s="116">
        <v>0</v>
      </c>
      <c r="J424" s="116">
        <v>500000</v>
      </c>
      <c r="K424" s="219">
        <v>0</v>
      </c>
      <c r="L424" s="116">
        <v>0</v>
      </c>
      <c r="M424" s="31">
        <v>500000</v>
      </c>
      <c r="N424" s="336">
        <v>500000</v>
      </c>
      <c r="O424" s="336">
        <v>0</v>
      </c>
      <c r="P424" s="219">
        <v>0</v>
      </c>
      <c r="Q424" s="332">
        <v>0</v>
      </c>
      <c r="R424" s="219">
        <v>0</v>
      </c>
      <c r="S424" s="332">
        <v>0</v>
      </c>
      <c r="T424" s="219">
        <v>0</v>
      </c>
      <c r="U424" s="332">
        <v>0</v>
      </c>
      <c r="V424" s="332">
        <v>0</v>
      </c>
      <c r="W424" s="370">
        <v>0</v>
      </c>
      <c r="X424" s="370">
        <v>0</v>
      </c>
      <c r="Y424" s="370">
        <v>0</v>
      </c>
      <c r="Z424" s="370">
        <v>0</v>
      </c>
      <c r="AA424" s="370">
        <v>0</v>
      </c>
      <c r="AB424" s="370">
        <v>0</v>
      </c>
      <c r="AC424" s="370">
        <v>0</v>
      </c>
      <c r="AD424" s="370">
        <v>0</v>
      </c>
      <c r="AE424" s="370">
        <v>0</v>
      </c>
      <c r="AF424" s="370">
        <v>0</v>
      </c>
      <c r="AG424" s="31">
        <v>0</v>
      </c>
      <c r="AH424" s="31">
        <v>1</v>
      </c>
      <c r="AI424" s="31">
        <v>0</v>
      </c>
      <c r="AJ424" s="370">
        <v>1</v>
      </c>
      <c r="AK424" s="219">
        <v>0</v>
      </c>
      <c r="AL424" s="219">
        <v>0</v>
      </c>
      <c r="AM424" s="219">
        <v>0</v>
      </c>
      <c r="AN424" s="219">
        <v>0</v>
      </c>
      <c r="AO424" s="116">
        <v>0</v>
      </c>
      <c r="AP424" s="116">
        <v>0</v>
      </c>
      <c r="AQ424" s="116">
        <v>1</v>
      </c>
      <c r="AR424" s="116">
        <v>0</v>
      </c>
      <c r="AS424" s="116">
        <v>0</v>
      </c>
      <c r="AT424" s="116">
        <v>1</v>
      </c>
      <c r="AU424" s="385">
        <v>0</v>
      </c>
      <c r="AV424" s="332">
        <v>0</v>
      </c>
      <c r="AW424" s="332">
        <v>0</v>
      </c>
      <c r="AX424" s="332">
        <v>500000</v>
      </c>
      <c r="AY424" s="332">
        <v>0</v>
      </c>
      <c r="AZ424" s="332">
        <v>0</v>
      </c>
      <c r="BA424" s="332">
        <v>0</v>
      </c>
      <c r="BB424" s="31">
        <v>499999.31750231684</v>
      </c>
      <c r="BC424" s="31">
        <v>0</v>
      </c>
      <c r="BD424" s="29">
        <v>0</v>
      </c>
      <c r="BE424" s="31">
        <v>0</v>
      </c>
    </row>
    <row r="425" spans="1:57" ht="13">
      <c r="A425" s="153">
        <v>44575</v>
      </c>
      <c r="B425" s="10" t="s">
        <v>185</v>
      </c>
      <c r="C425" s="10">
        <v>44562000029</v>
      </c>
      <c r="D425" s="10" t="s">
        <v>61</v>
      </c>
      <c r="E425" s="10" t="s">
        <v>63</v>
      </c>
      <c r="F425" s="153">
        <v>44562</v>
      </c>
      <c r="G425" s="116" t="s">
        <v>39</v>
      </c>
      <c r="H425" s="116">
        <v>490000</v>
      </c>
      <c r="I425" s="116">
        <v>10000</v>
      </c>
      <c r="J425" s="116">
        <v>500000</v>
      </c>
      <c r="K425" s="219">
        <v>490000</v>
      </c>
      <c r="L425" s="116">
        <v>0</v>
      </c>
      <c r="M425" s="31">
        <v>-10000</v>
      </c>
      <c r="N425" s="336">
        <v>-10000</v>
      </c>
      <c r="O425" s="336">
        <v>0</v>
      </c>
      <c r="P425" s="219">
        <v>0</v>
      </c>
      <c r="Q425" s="332">
        <v>0</v>
      </c>
      <c r="R425" s="219">
        <v>0</v>
      </c>
      <c r="S425" s="332">
        <v>0</v>
      </c>
      <c r="T425" s="219">
        <v>0</v>
      </c>
      <c r="U425" s="332">
        <v>0</v>
      </c>
      <c r="V425" s="332">
        <v>0</v>
      </c>
      <c r="W425" s="370">
        <v>10000</v>
      </c>
      <c r="X425" s="370">
        <v>0</v>
      </c>
      <c r="Y425" s="370">
        <v>0</v>
      </c>
      <c r="Z425" s="370">
        <v>0</v>
      </c>
      <c r="AA425" s="370">
        <v>0</v>
      </c>
      <c r="AB425" s="370">
        <v>0</v>
      </c>
      <c r="AC425" s="370">
        <v>0</v>
      </c>
      <c r="AD425" s="370">
        <v>0</v>
      </c>
      <c r="AE425" s="370">
        <v>10000</v>
      </c>
      <c r="AF425" s="370">
        <v>-10000</v>
      </c>
      <c r="AG425" s="31">
        <v>10000</v>
      </c>
      <c r="AH425" s="31">
        <v>1</v>
      </c>
      <c r="AI425" s="31">
        <v>0</v>
      </c>
      <c r="AJ425" s="370">
        <v>1</v>
      </c>
      <c r="AK425" s="219">
        <v>0</v>
      </c>
      <c r="AL425" s="219">
        <v>0</v>
      </c>
      <c r="AM425" s="219">
        <v>0</v>
      </c>
      <c r="AN425" s="219">
        <v>0</v>
      </c>
      <c r="AO425" s="116">
        <v>0</v>
      </c>
      <c r="AP425" s="116">
        <v>1</v>
      </c>
      <c r="AQ425" s="116">
        <v>2</v>
      </c>
      <c r="AR425" s="116">
        <v>10000</v>
      </c>
      <c r="AS425" s="116">
        <v>-5000</v>
      </c>
      <c r="AT425" s="116">
        <v>1</v>
      </c>
      <c r="AU425" s="385">
        <v>0</v>
      </c>
      <c r="AV425" s="332">
        <v>0</v>
      </c>
      <c r="AW425" s="332">
        <v>0</v>
      </c>
      <c r="AX425" s="332">
        <v>-10000</v>
      </c>
      <c r="AY425" s="332">
        <v>0</v>
      </c>
      <c r="AZ425" s="332">
        <v>0</v>
      </c>
      <c r="BA425" s="332">
        <v>4.1126643175088691E-2</v>
      </c>
      <c r="BB425" s="31">
        <v>489999.31750231684</v>
      </c>
      <c r="BC425" s="31">
        <v>0</v>
      </c>
      <c r="BD425" s="29">
        <v>0</v>
      </c>
      <c r="BE425" s="31">
        <v>0</v>
      </c>
    </row>
    <row r="426" spans="1:57" ht="13">
      <c r="A426" s="153">
        <v>44575</v>
      </c>
      <c r="B426" s="10" t="s">
        <v>185</v>
      </c>
      <c r="C426" s="10">
        <v>44562000030</v>
      </c>
      <c r="D426" s="10" t="s">
        <v>18</v>
      </c>
      <c r="E426" s="10" t="s">
        <v>7</v>
      </c>
      <c r="F426" s="153">
        <v>44562</v>
      </c>
      <c r="G426" s="116" t="s">
        <v>41</v>
      </c>
      <c r="H426" s="116">
        <v>448805.40759999998</v>
      </c>
      <c r="I426" s="116">
        <v>51194.592400000009</v>
      </c>
      <c r="J426" s="116">
        <v>500000</v>
      </c>
      <c r="K426" s="219">
        <v>458805.40759999998</v>
      </c>
      <c r="L426" s="116">
        <v>0</v>
      </c>
      <c r="M426" s="31">
        <v>-41194.592400000009</v>
      </c>
      <c r="N426" s="336">
        <v>-41194.592400000001</v>
      </c>
      <c r="O426" s="336">
        <v>0</v>
      </c>
      <c r="P426" s="219">
        <v>0</v>
      </c>
      <c r="Q426" s="332">
        <v>0</v>
      </c>
      <c r="R426" s="219">
        <v>0</v>
      </c>
      <c r="S426" s="332">
        <v>13.21</v>
      </c>
      <c r="T426" s="219">
        <v>40</v>
      </c>
      <c r="U426" s="332">
        <v>0</v>
      </c>
      <c r="V426" s="332">
        <v>0</v>
      </c>
      <c r="W426" s="370">
        <v>0</v>
      </c>
      <c r="X426" s="370">
        <v>0</v>
      </c>
      <c r="Y426" s="370">
        <v>0</v>
      </c>
      <c r="Z426" s="370">
        <v>0</v>
      </c>
      <c r="AA426" s="370">
        <v>0</v>
      </c>
      <c r="AB426" s="370">
        <v>0</v>
      </c>
      <c r="AC426" s="370">
        <v>40</v>
      </c>
      <c r="AD426" s="370">
        <v>0</v>
      </c>
      <c r="AE426" s="370">
        <v>0</v>
      </c>
      <c r="AF426" s="370">
        <v>-40</v>
      </c>
      <c r="AG426" s="31">
        <v>40</v>
      </c>
      <c r="AH426" s="31">
        <v>11.29</v>
      </c>
      <c r="AI426" s="31">
        <v>0</v>
      </c>
      <c r="AJ426" s="370">
        <v>7.7849000000000004</v>
      </c>
      <c r="AK426" s="219">
        <v>0</v>
      </c>
      <c r="AL426" s="219">
        <v>11.29</v>
      </c>
      <c r="AM426" s="219">
        <v>13.71</v>
      </c>
      <c r="AN426" s="219">
        <v>0</v>
      </c>
      <c r="AO426" s="116">
        <v>0</v>
      </c>
      <c r="AP426" s="116">
        <v>0</v>
      </c>
      <c r="AQ426" s="116">
        <v>3</v>
      </c>
      <c r="AR426" s="116">
        <v>35156.608400000005</v>
      </c>
      <c r="AS426" s="116">
        <v>35156.608400000005</v>
      </c>
      <c r="AT426" s="116">
        <v>1</v>
      </c>
      <c r="AU426" s="385">
        <v>0</v>
      </c>
      <c r="AV426" s="332">
        <v>0</v>
      </c>
      <c r="AW426" s="332">
        <v>0</v>
      </c>
      <c r="AX426" s="332">
        <v>-38924.5</v>
      </c>
      <c r="AY426" s="332">
        <v>0</v>
      </c>
      <c r="AZ426" s="332">
        <v>0</v>
      </c>
      <c r="BA426" s="332">
        <v>0</v>
      </c>
      <c r="BB426" s="31">
        <v>448804.72510231682</v>
      </c>
      <c r="BC426" s="31">
        <v>0</v>
      </c>
      <c r="BD426" s="29">
        <v>0</v>
      </c>
      <c r="BE426" s="31">
        <v>0</v>
      </c>
    </row>
    <row r="427" spans="1:57" ht="13">
      <c r="A427" s="153">
        <v>44575</v>
      </c>
      <c r="B427" s="10" t="s">
        <v>185</v>
      </c>
      <c r="C427" s="10">
        <v>44562000031</v>
      </c>
      <c r="D427" s="10" t="s">
        <v>61</v>
      </c>
      <c r="E427" s="10" t="s">
        <v>63</v>
      </c>
      <c r="F427" s="153">
        <v>44562</v>
      </c>
      <c r="G427" s="116" t="s">
        <v>39</v>
      </c>
      <c r="H427" s="116">
        <v>428805.40759999998</v>
      </c>
      <c r="I427" s="116">
        <v>71194.592400000009</v>
      </c>
      <c r="J427" s="116">
        <v>500000</v>
      </c>
      <c r="K427" s="219">
        <v>438805.40759999998</v>
      </c>
      <c r="L427" s="116">
        <v>0</v>
      </c>
      <c r="M427" s="31">
        <v>-20000</v>
      </c>
      <c r="N427" s="336">
        <v>-20000</v>
      </c>
      <c r="O427" s="336">
        <v>0</v>
      </c>
      <c r="P427" s="219">
        <v>0</v>
      </c>
      <c r="Q427" s="332">
        <v>0</v>
      </c>
      <c r="R427" s="219">
        <v>0</v>
      </c>
      <c r="S427" s="332">
        <v>0</v>
      </c>
      <c r="T427" s="219">
        <v>0</v>
      </c>
      <c r="U427" s="332">
        <v>0</v>
      </c>
      <c r="V427" s="332">
        <v>0</v>
      </c>
      <c r="W427" s="370">
        <v>20000</v>
      </c>
      <c r="X427" s="370">
        <v>0</v>
      </c>
      <c r="Y427" s="370">
        <v>0</v>
      </c>
      <c r="Z427" s="370">
        <v>0</v>
      </c>
      <c r="AA427" s="370">
        <v>10000</v>
      </c>
      <c r="AB427" s="370">
        <v>0</v>
      </c>
      <c r="AC427" s="370">
        <v>0</v>
      </c>
      <c r="AD427" s="370">
        <v>0</v>
      </c>
      <c r="AE427" s="370">
        <v>30000</v>
      </c>
      <c r="AF427" s="370">
        <v>-20000</v>
      </c>
      <c r="AG427" s="31">
        <v>20000</v>
      </c>
      <c r="AH427" s="31">
        <v>1</v>
      </c>
      <c r="AI427" s="31">
        <v>0</v>
      </c>
      <c r="AJ427" s="370">
        <v>1</v>
      </c>
      <c r="AK427" s="219">
        <v>0</v>
      </c>
      <c r="AL427" s="219">
        <v>0</v>
      </c>
      <c r="AM427" s="219">
        <v>0</v>
      </c>
      <c r="AN427" s="219">
        <v>0</v>
      </c>
      <c r="AO427" s="116">
        <v>0</v>
      </c>
      <c r="AP427" s="116">
        <v>1</v>
      </c>
      <c r="AQ427" s="116">
        <v>3</v>
      </c>
      <c r="AR427" s="116">
        <v>20000</v>
      </c>
      <c r="AS427" s="116">
        <v>-5000</v>
      </c>
      <c r="AT427" s="116">
        <v>0</v>
      </c>
      <c r="AU427" s="385">
        <v>0</v>
      </c>
      <c r="AV427" s="332">
        <v>0</v>
      </c>
      <c r="AW427" s="332">
        <v>0</v>
      </c>
      <c r="AX427" s="332">
        <v>-20000</v>
      </c>
      <c r="AY427" s="332">
        <v>0</v>
      </c>
      <c r="AZ427" s="332">
        <v>0</v>
      </c>
      <c r="BA427" s="332">
        <v>0.12337992952526605</v>
      </c>
      <c r="BB427" s="31">
        <v>428804.72510231682</v>
      </c>
      <c r="BC427" s="31">
        <v>0</v>
      </c>
      <c r="BD427" s="29">
        <v>0</v>
      </c>
      <c r="BE427" s="31">
        <v>0</v>
      </c>
    </row>
    <row r="428" spans="1:57" ht="13">
      <c r="A428" s="153">
        <v>44575</v>
      </c>
      <c r="B428" s="10" t="s">
        <v>185</v>
      </c>
      <c r="C428" s="10">
        <v>44562000035</v>
      </c>
      <c r="D428" s="10" t="s">
        <v>16</v>
      </c>
      <c r="E428" s="10" t="s">
        <v>38</v>
      </c>
      <c r="F428" s="153">
        <v>44562</v>
      </c>
      <c r="G428" s="116" t="s">
        <v>39</v>
      </c>
      <c r="H428" s="116">
        <v>424205.40759999998</v>
      </c>
      <c r="I428" s="116">
        <v>75794.592400000009</v>
      </c>
      <c r="J428" s="116">
        <v>500000</v>
      </c>
      <c r="K428" s="219">
        <v>444205.40759999998</v>
      </c>
      <c r="L428" s="116">
        <v>0</v>
      </c>
      <c r="M428" s="31">
        <v>-4600</v>
      </c>
      <c r="N428" s="336">
        <v>-4600</v>
      </c>
      <c r="O428" s="336">
        <v>4600</v>
      </c>
      <c r="P428" s="219">
        <v>0</v>
      </c>
      <c r="Q428" s="332">
        <v>460</v>
      </c>
      <c r="R428" s="219">
        <v>10</v>
      </c>
      <c r="S428" s="332">
        <v>0</v>
      </c>
      <c r="T428" s="219">
        <v>0</v>
      </c>
      <c r="U428" s="332">
        <v>0</v>
      </c>
      <c r="V428" s="332">
        <v>0</v>
      </c>
      <c r="W428" s="370">
        <v>0</v>
      </c>
      <c r="X428" s="370">
        <v>0</v>
      </c>
      <c r="Y428" s="370">
        <v>0</v>
      </c>
      <c r="Z428" s="370">
        <v>0</v>
      </c>
      <c r="AA428" s="370">
        <v>0</v>
      </c>
      <c r="AB428" s="370">
        <v>10</v>
      </c>
      <c r="AC428" s="370">
        <v>0</v>
      </c>
      <c r="AD428" s="370">
        <v>0</v>
      </c>
      <c r="AE428" s="370">
        <v>0</v>
      </c>
      <c r="AF428" s="370">
        <v>-10</v>
      </c>
      <c r="AG428" s="31">
        <v>10</v>
      </c>
      <c r="AH428" s="31">
        <v>473.4</v>
      </c>
      <c r="AI428" s="31">
        <v>0</v>
      </c>
      <c r="AJ428" s="370">
        <v>1</v>
      </c>
      <c r="AK428" s="219">
        <v>473.4</v>
      </c>
      <c r="AL428" s="219">
        <v>0</v>
      </c>
      <c r="AM428" s="219">
        <v>0</v>
      </c>
      <c r="AN428" s="219">
        <v>0</v>
      </c>
      <c r="AO428" s="116">
        <v>0</v>
      </c>
      <c r="AP428" s="116">
        <v>0</v>
      </c>
      <c r="AQ428" s="116">
        <v>4</v>
      </c>
      <c r="AR428" s="116">
        <v>4734</v>
      </c>
      <c r="AS428" s="116">
        <v>184626</v>
      </c>
      <c r="AT428" s="116">
        <v>1</v>
      </c>
      <c r="AU428" s="385">
        <v>0</v>
      </c>
      <c r="AV428" s="332">
        <v>0</v>
      </c>
      <c r="AW428" s="332">
        <v>0</v>
      </c>
      <c r="AX428" s="332">
        <v>-4734</v>
      </c>
      <c r="AY428" s="332">
        <v>0</v>
      </c>
      <c r="AZ428" s="332">
        <v>0</v>
      </c>
      <c r="BA428" s="332">
        <v>0</v>
      </c>
      <c r="BB428" s="31">
        <v>424204.72510231682</v>
      </c>
      <c r="BC428" s="31">
        <v>0</v>
      </c>
      <c r="BD428" s="29">
        <v>0</v>
      </c>
      <c r="BE428" s="31">
        <v>0</v>
      </c>
    </row>
    <row r="429" spans="1:57" ht="13">
      <c r="A429" s="153">
        <v>44575</v>
      </c>
      <c r="B429" s="10" t="s">
        <v>185</v>
      </c>
      <c r="C429" s="10">
        <v>44563000032</v>
      </c>
      <c r="D429" s="10" t="s">
        <v>61</v>
      </c>
      <c r="E429" s="10" t="s">
        <v>63</v>
      </c>
      <c r="F429" s="153">
        <v>44563</v>
      </c>
      <c r="G429" s="116" t="s">
        <v>39</v>
      </c>
      <c r="H429" s="116">
        <v>459205.40759999998</v>
      </c>
      <c r="I429" s="116">
        <v>40794.592400000009</v>
      </c>
      <c r="J429" s="116">
        <v>500000</v>
      </c>
      <c r="K429" s="219">
        <v>469205.40759999998</v>
      </c>
      <c r="L429" s="116">
        <v>0</v>
      </c>
      <c r="M429" s="31">
        <v>35000</v>
      </c>
      <c r="N429" s="336">
        <v>25000</v>
      </c>
      <c r="O429" s="336">
        <v>0</v>
      </c>
      <c r="P429" s="219">
        <v>0</v>
      </c>
      <c r="Q429" s="332">
        <v>0</v>
      </c>
      <c r="R429" s="219">
        <v>0</v>
      </c>
      <c r="S429" s="332">
        <v>0</v>
      </c>
      <c r="T429" s="219">
        <v>0</v>
      </c>
      <c r="U429" s="332">
        <v>0</v>
      </c>
      <c r="V429" s="332">
        <v>0</v>
      </c>
      <c r="W429" s="370">
        <v>-35000</v>
      </c>
      <c r="X429" s="370">
        <v>0</v>
      </c>
      <c r="Y429" s="370">
        <v>0</v>
      </c>
      <c r="Z429" s="370">
        <v>0</v>
      </c>
      <c r="AA429" s="370">
        <v>30000</v>
      </c>
      <c r="AB429" s="370">
        <v>0</v>
      </c>
      <c r="AC429" s="370">
        <v>0</v>
      </c>
      <c r="AD429" s="370">
        <v>0</v>
      </c>
      <c r="AE429" s="370">
        <v>-5000</v>
      </c>
      <c r="AF429" s="370">
        <v>25000</v>
      </c>
      <c r="AG429" s="31">
        <v>-35000</v>
      </c>
      <c r="AH429" s="31">
        <v>1</v>
      </c>
      <c r="AI429" s="31">
        <v>0</v>
      </c>
      <c r="AJ429" s="370">
        <v>1</v>
      </c>
      <c r="AK429" s="219">
        <v>0</v>
      </c>
      <c r="AL429" s="219">
        <v>0</v>
      </c>
      <c r="AM429" s="219">
        <v>0</v>
      </c>
      <c r="AN429" s="219">
        <v>0</v>
      </c>
      <c r="AO429" s="116">
        <v>0</v>
      </c>
      <c r="AP429" s="116">
        <v>1</v>
      </c>
      <c r="AQ429" s="116">
        <v>4</v>
      </c>
      <c r="AR429" s="116">
        <v>-35000</v>
      </c>
      <c r="AS429" s="116">
        <v>-5000</v>
      </c>
      <c r="AT429" s="116">
        <v>0</v>
      </c>
      <c r="AU429" s="385">
        <v>0</v>
      </c>
      <c r="AV429" s="332">
        <v>0</v>
      </c>
      <c r="AW429" s="332">
        <v>0</v>
      </c>
      <c r="AX429" s="332">
        <v>25000</v>
      </c>
      <c r="AY429" s="332">
        <v>0</v>
      </c>
      <c r="AZ429" s="332">
        <v>-0.84700425586099348</v>
      </c>
      <c r="BA429" s="332">
        <v>0</v>
      </c>
      <c r="BB429" s="31">
        <v>459204.72510231682</v>
      </c>
      <c r="BC429" s="31">
        <v>0</v>
      </c>
      <c r="BD429" s="29">
        <v>0</v>
      </c>
      <c r="BE429" s="31">
        <v>0</v>
      </c>
    </row>
    <row r="430" spans="1:57" ht="13">
      <c r="A430" s="153">
        <v>44575</v>
      </c>
      <c r="B430" s="10" t="s">
        <v>185</v>
      </c>
      <c r="C430" s="10">
        <v>44565000036</v>
      </c>
      <c r="D430" s="10" t="s">
        <v>16</v>
      </c>
      <c r="E430" s="10" t="s">
        <v>38</v>
      </c>
      <c r="F430" s="153">
        <v>44565</v>
      </c>
      <c r="G430" s="116" t="s">
        <v>39</v>
      </c>
      <c r="H430" s="116">
        <v>288205.40759999998</v>
      </c>
      <c r="I430" s="116">
        <v>211794.59240000002</v>
      </c>
      <c r="J430" s="116">
        <v>500000</v>
      </c>
      <c r="K430" s="219">
        <v>238205.40759999998</v>
      </c>
      <c r="L430" s="116">
        <v>0</v>
      </c>
      <c r="M430" s="31">
        <v>-171000</v>
      </c>
      <c r="N430" s="336">
        <v>-171000</v>
      </c>
      <c r="O430" s="336">
        <v>171000</v>
      </c>
      <c r="P430" s="219">
        <v>0</v>
      </c>
      <c r="Q430" s="332">
        <v>450</v>
      </c>
      <c r="R430" s="219">
        <v>380</v>
      </c>
      <c r="S430" s="332">
        <v>0</v>
      </c>
      <c r="T430" s="219">
        <v>0</v>
      </c>
      <c r="U430" s="332">
        <v>0</v>
      </c>
      <c r="V430" s="332">
        <v>0</v>
      </c>
      <c r="W430" s="370">
        <v>0</v>
      </c>
      <c r="X430" s="370">
        <v>10</v>
      </c>
      <c r="Y430" s="370">
        <v>0</v>
      </c>
      <c r="Z430" s="370">
        <v>0</v>
      </c>
      <c r="AA430" s="370">
        <v>0</v>
      </c>
      <c r="AB430" s="370">
        <v>390</v>
      </c>
      <c r="AC430" s="370">
        <v>0</v>
      </c>
      <c r="AD430" s="370">
        <v>0</v>
      </c>
      <c r="AE430" s="370">
        <v>0</v>
      </c>
      <c r="AF430" s="370">
        <v>-380</v>
      </c>
      <c r="AG430" s="31">
        <v>380</v>
      </c>
      <c r="AH430" s="31">
        <v>473.4</v>
      </c>
      <c r="AI430" s="31">
        <v>1</v>
      </c>
      <c r="AJ430" s="370">
        <v>1</v>
      </c>
      <c r="AK430" s="219">
        <v>473.4</v>
      </c>
      <c r="AL430" s="219">
        <v>0</v>
      </c>
      <c r="AM430" s="219">
        <v>0</v>
      </c>
      <c r="AN430" s="219">
        <v>0</v>
      </c>
      <c r="AO430" s="116">
        <v>0</v>
      </c>
      <c r="AP430" s="116">
        <v>0</v>
      </c>
      <c r="AQ430" s="116">
        <v>4</v>
      </c>
      <c r="AR430" s="116">
        <v>179892</v>
      </c>
      <c r="AS430" s="116">
        <v>184626</v>
      </c>
      <c r="AT430" s="116">
        <v>0</v>
      </c>
      <c r="AU430" s="385">
        <v>219782.6084</v>
      </c>
      <c r="AV430" s="332">
        <v>-5000</v>
      </c>
      <c r="AW430" s="332">
        <v>214782.6084</v>
      </c>
      <c r="AX430" s="332">
        <v>-179892</v>
      </c>
      <c r="AY430" s="332">
        <v>0</v>
      </c>
      <c r="AZ430" s="332">
        <v>0</v>
      </c>
      <c r="BA430" s="332">
        <v>0</v>
      </c>
      <c r="BB430" s="31">
        <v>288204.72510231682</v>
      </c>
      <c r="BC430" s="31">
        <v>288204.72510231682</v>
      </c>
      <c r="BD430" s="29">
        <v>0</v>
      </c>
      <c r="BE430" s="31">
        <v>502988.01599999995</v>
      </c>
    </row>
    <row r="431" spans="1:57" ht="13">
      <c r="A431" s="153">
        <v>44575</v>
      </c>
      <c r="B431" s="10" t="s">
        <v>186</v>
      </c>
      <c r="C431" s="10">
        <v>44561000008</v>
      </c>
      <c r="D431" s="10" t="s">
        <v>64</v>
      </c>
      <c r="E431" s="10" t="s">
        <v>64</v>
      </c>
      <c r="F431" s="153">
        <v>44561</v>
      </c>
      <c r="G431" s="116" t="s">
        <v>39</v>
      </c>
      <c r="H431" s="116">
        <v>500000</v>
      </c>
      <c r="I431" s="116">
        <v>0</v>
      </c>
      <c r="J431" s="116">
        <v>500000</v>
      </c>
      <c r="K431" s="219">
        <v>0</v>
      </c>
      <c r="L431" s="116">
        <v>0</v>
      </c>
      <c r="M431" s="31">
        <v>500000</v>
      </c>
      <c r="N431" s="336">
        <v>500000</v>
      </c>
      <c r="O431" s="336">
        <v>0</v>
      </c>
      <c r="P431" s="219">
        <v>0</v>
      </c>
      <c r="Q431" s="332">
        <v>0</v>
      </c>
      <c r="R431" s="219">
        <v>0</v>
      </c>
      <c r="S431" s="332">
        <v>0</v>
      </c>
      <c r="T431" s="219">
        <v>0</v>
      </c>
      <c r="U431" s="332">
        <v>0</v>
      </c>
      <c r="V431" s="332">
        <v>0</v>
      </c>
      <c r="W431" s="370">
        <v>0</v>
      </c>
      <c r="X431" s="370">
        <v>0</v>
      </c>
      <c r="Y431" s="370">
        <v>0</v>
      </c>
      <c r="Z431" s="370">
        <v>0</v>
      </c>
      <c r="AA431" s="370">
        <v>0</v>
      </c>
      <c r="AB431" s="370">
        <v>0</v>
      </c>
      <c r="AC431" s="370">
        <v>0</v>
      </c>
      <c r="AD431" s="370">
        <v>0</v>
      </c>
      <c r="AE431" s="370">
        <v>0</v>
      </c>
      <c r="AF431" s="370">
        <v>0</v>
      </c>
      <c r="AG431" s="31">
        <v>0</v>
      </c>
      <c r="AH431" s="31">
        <v>1</v>
      </c>
      <c r="AI431" s="31">
        <v>0</v>
      </c>
      <c r="AJ431" s="370">
        <v>1</v>
      </c>
      <c r="AK431" s="219">
        <v>0</v>
      </c>
      <c r="AL431" s="219">
        <v>0</v>
      </c>
      <c r="AM431" s="219">
        <v>0</v>
      </c>
      <c r="AN431" s="219">
        <v>0</v>
      </c>
      <c r="AO431" s="116">
        <v>0</v>
      </c>
      <c r="AP431" s="116">
        <v>0</v>
      </c>
      <c r="AQ431" s="116">
        <v>1</v>
      </c>
      <c r="AR431" s="116">
        <v>0</v>
      </c>
      <c r="AS431" s="116">
        <v>0</v>
      </c>
      <c r="AT431" s="116">
        <v>1</v>
      </c>
      <c r="AU431" s="385">
        <v>0</v>
      </c>
      <c r="AV431" s="332">
        <v>0</v>
      </c>
      <c r="AW431" s="332">
        <v>0</v>
      </c>
      <c r="AX431" s="332">
        <v>500000</v>
      </c>
      <c r="AY431" s="332">
        <v>0</v>
      </c>
      <c r="AZ431" s="332">
        <v>0</v>
      </c>
      <c r="BA431" s="332">
        <v>0</v>
      </c>
      <c r="BB431" s="31">
        <v>500000</v>
      </c>
      <c r="BC431" s="31">
        <v>0</v>
      </c>
      <c r="BD431" s="29">
        <v>0</v>
      </c>
      <c r="BE431" s="31">
        <v>0</v>
      </c>
    </row>
    <row r="432" spans="1:57" ht="13">
      <c r="A432" s="153">
        <v>44575</v>
      </c>
      <c r="B432" s="10" t="s">
        <v>186</v>
      </c>
      <c r="C432" s="10">
        <v>44563000037</v>
      </c>
      <c r="D432" s="10" t="s">
        <v>16</v>
      </c>
      <c r="E432" s="10" t="s">
        <v>0</v>
      </c>
      <c r="F432" s="153">
        <v>44563</v>
      </c>
      <c r="G432" s="116" t="s">
        <v>41</v>
      </c>
      <c r="H432" s="116">
        <v>409954.46750000003</v>
      </c>
      <c r="I432" s="116">
        <v>90045.532500000001</v>
      </c>
      <c r="J432" s="116">
        <v>500000</v>
      </c>
      <c r="K432" s="219">
        <v>409954.46750000003</v>
      </c>
      <c r="L432" s="116">
        <v>0</v>
      </c>
      <c r="M432" s="31">
        <v>-90045.532500000001</v>
      </c>
      <c r="N432" s="336">
        <v>-90045.532500000001</v>
      </c>
      <c r="O432" s="336">
        <v>90045.532500000001</v>
      </c>
      <c r="P432" s="219">
        <v>0</v>
      </c>
      <c r="Q432" s="332">
        <v>3001.51775</v>
      </c>
      <c r="R432" s="219">
        <v>30</v>
      </c>
      <c r="S432" s="332">
        <v>0</v>
      </c>
      <c r="T432" s="219">
        <v>0</v>
      </c>
      <c r="U432" s="332">
        <v>0</v>
      </c>
      <c r="V432" s="332">
        <v>0</v>
      </c>
      <c r="W432" s="370">
        <v>0</v>
      </c>
      <c r="X432" s="370">
        <v>0</v>
      </c>
      <c r="Y432" s="370">
        <v>0</v>
      </c>
      <c r="Z432" s="370">
        <v>0</v>
      </c>
      <c r="AA432" s="370">
        <v>0</v>
      </c>
      <c r="AB432" s="370">
        <v>30</v>
      </c>
      <c r="AC432" s="370">
        <v>0</v>
      </c>
      <c r="AD432" s="370">
        <v>0</v>
      </c>
      <c r="AE432" s="370">
        <v>0</v>
      </c>
      <c r="AF432" s="370">
        <v>-30</v>
      </c>
      <c r="AG432" s="31">
        <v>30</v>
      </c>
      <c r="AH432" s="31">
        <v>380.94</v>
      </c>
      <c r="AI432" s="31">
        <v>0</v>
      </c>
      <c r="AJ432" s="370">
        <v>7.7849000000000004</v>
      </c>
      <c r="AK432" s="219">
        <v>380.94</v>
      </c>
      <c r="AL432" s="219">
        <v>0</v>
      </c>
      <c r="AM432" s="219">
        <v>0</v>
      </c>
      <c r="AN432" s="219">
        <v>0</v>
      </c>
      <c r="AO432" s="116">
        <v>0</v>
      </c>
      <c r="AP432" s="116">
        <v>0</v>
      </c>
      <c r="AQ432" s="116">
        <v>2</v>
      </c>
      <c r="AR432" s="116">
        <v>88967.394180000003</v>
      </c>
      <c r="AS432" s="116">
        <v>88967.394180000003</v>
      </c>
      <c r="AT432" s="116">
        <v>1</v>
      </c>
      <c r="AU432" s="385">
        <v>0</v>
      </c>
      <c r="AV432" s="332">
        <v>0</v>
      </c>
      <c r="AW432" s="332">
        <v>0</v>
      </c>
      <c r="AX432" s="332">
        <v>-88967.394180000003</v>
      </c>
      <c r="AY432" s="332">
        <v>0</v>
      </c>
      <c r="AZ432" s="332">
        <v>0</v>
      </c>
      <c r="BA432" s="332">
        <v>0</v>
      </c>
      <c r="BB432" s="31">
        <v>409954.46750000003</v>
      </c>
      <c r="BC432" s="31">
        <v>0</v>
      </c>
      <c r="BD432" s="29">
        <v>0</v>
      </c>
      <c r="BE432" s="31">
        <v>0</v>
      </c>
    </row>
    <row r="433" spans="1:57" ht="13">
      <c r="A433" s="153">
        <v>44575</v>
      </c>
      <c r="B433" s="10" t="s">
        <v>186</v>
      </c>
      <c r="C433" s="10">
        <v>44563000038</v>
      </c>
      <c r="D433" s="10" t="s">
        <v>16</v>
      </c>
      <c r="E433" s="10" t="s">
        <v>38</v>
      </c>
      <c r="F433" s="153">
        <v>44563</v>
      </c>
      <c r="G433" s="116" t="s">
        <v>39</v>
      </c>
      <c r="H433" s="116">
        <v>396154.46750000003</v>
      </c>
      <c r="I433" s="116">
        <v>103845.5325</v>
      </c>
      <c r="J433" s="116">
        <v>500000</v>
      </c>
      <c r="K433" s="219">
        <v>396154.46750000003</v>
      </c>
      <c r="L433" s="116">
        <v>0</v>
      </c>
      <c r="M433" s="31">
        <v>-13800</v>
      </c>
      <c r="N433" s="336">
        <v>-13800</v>
      </c>
      <c r="O433" s="336">
        <v>13800</v>
      </c>
      <c r="P433" s="219">
        <v>0</v>
      </c>
      <c r="Q433" s="332">
        <v>460</v>
      </c>
      <c r="R433" s="219">
        <v>30</v>
      </c>
      <c r="S433" s="332">
        <v>0</v>
      </c>
      <c r="T433" s="219">
        <v>0</v>
      </c>
      <c r="U433" s="332">
        <v>0</v>
      </c>
      <c r="V433" s="332">
        <v>0</v>
      </c>
      <c r="W433" s="370">
        <v>0</v>
      </c>
      <c r="X433" s="370">
        <v>0</v>
      </c>
      <c r="Y433" s="370">
        <v>0</v>
      </c>
      <c r="Z433" s="370">
        <v>0</v>
      </c>
      <c r="AA433" s="370">
        <v>0</v>
      </c>
      <c r="AB433" s="370">
        <v>30</v>
      </c>
      <c r="AC433" s="370">
        <v>0</v>
      </c>
      <c r="AD433" s="370">
        <v>0</v>
      </c>
      <c r="AE433" s="370">
        <v>0</v>
      </c>
      <c r="AF433" s="370">
        <v>-30</v>
      </c>
      <c r="AG433" s="31">
        <v>30</v>
      </c>
      <c r="AH433" s="31">
        <v>473.4</v>
      </c>
      <c r="AI433" s="31">
        <v>0</v>
      </c>
      <c r="AJ433" s="370">
        <v>1</v>
      </c>
      <c r="AK433" s="219">
        <v>473.4</v>
      </c>
      <c r="AL433" s="219">
        <v>0</v>
      </c>
      <c r="AM433" s="219">
        <v>0</v>
      </c>
      <c r="AN433" s="219">
        <v>0</v>
      </c>
      <c r="AO433" s="116">
        <v>0</v>
      </c>
      <c r="AP433" s="116">
        <v>0</v>
      </c>
      <c r="AQ433" s="116">
        <v>3</v>
      </c>
      <c r="AR433" s="116">
        <v>14202</v>
      </c>
      <c r="AS433" s="116">
        <v>14202</v>
      </c>
      <c r="AT433" s="116">
        <v>1</v>
      </c>
      <c r="AU433" s="385">
        <v>0</v>
      </c>
      <c r="AV433" s="332">
        <v>0</v>
      </c>
      <c r="AW433" s="332">
        <v>0</v>
      </c>
      <c r="AX433" s="332">
        <v>-14202</v>
      </c>
      <c r="AY433" s="332">
        <v>0</v>
      </c>
      <c r="AZ433" s="332">
        <v>0</v>
      </c>
      <c r="BA433" s="332">
        <v>0</v>
      </c>
      <c r="BB433" s="31">
        <v>396154.46750000003</v>
      </c>
      <c r="BC433" s="31">
        <v>0</v>
      </c>
      <c r="BD433" s="29">
        <v>0</v>
      </c>
      <c r="BE433" s="31">
        <v>0</v>
      </c>
    </row>
    <row r="434" spans="1:57" ht="13">
      <c r="A434" s="153">
        <v>44575</v>
      </c>
      <c r="B434" s="10" t="s">
        <v>186</v>
      </c>
      <c r="C434" s="10">
        <v>44564000045</v>
      </c>
      <c r="D434" s="10" t="s">
        <v>18</v>
      </c>
      <c r="E434" s="10" t="s">
        <v>7</v>
      </c>
      <c r="F434" s="153">
        <v>44564</v>
      </c>
      <c r="G434" s="116" t="s">
        <v>41</v>
      </c>
      <c r="H434" s="116">
        <v>365251.58795000002</v>
      </c>
      <c r="I434" s="116">
        <v>134748.41205000001</v>
      </c>
      <c r="J434" s="116">
        <v>500000</v>
      </c>
      <c r="K434" s="219">
        <v>365251.58795000002</v>
      </c>
      <c r="L434" s="116">
        <v>0</v>
      </c>
      <c r="M434" s="31">
        <v>-30902.879550000001</v>
      </c>
      <c r="N434" s="336">
        <v>-30902.879550000005</v>
      </c>
      <c r="O434" s="336">
        <v>0</v>
      </c>
      <c r="P434" s="219">
        <v>0</v>
      </c>
      <c r="Q434" s="332">
        <v>0</v>
      </c>
      <c r="R434" s="219">
        <v>0</v>
      </c>
      <c r="S434" s="332">
        <v>13.21</v>
      </c>
      <c r="T434" s="219">
        <v>30</v>
      </c>
      <c r="U434" s="332">
        <v>0</v>
      </c>
      <c r="V434" s="332">
        <v>0</v>
      </c>
      <c r="W434" s="370">
        <v>0</v>
      </c>
      <c r="X434" s="370">
        <v>0</v>
      </c>
      <c r="Y434" s="370">
        <v>0</v>
      </c>
      <c r="Z434" s="370">
        <v>0</v>
      </c>
      <c r="AA434" s="370">
        <v>0</v>
      </c>
      <c r="AB434" s="370">
        <v>0</v>
      </c>
      <c r="AC434" s="370">
        <v>30</v>
      </c>
      <c r="AD434" s="370">
        <v>0</v>
      </c>
      <c r="AE434" s="370">
        <v>0</v>
      </c>
      <c r="AF434" s="370">
        <v>-30</v>
      </c>
      <c r="AG434" s="31">
        <v>30</v>
      </c>
      <c r="AH434" s="31">
        <v>11.29</v>
      </c>
      <c r="AI434" s="31">
        <v>0</v>
      </c>
      <c r="AJ434" s="370">
        <v>7.7849000000000004</v>
      </c>
      <c r="AK434" s="219">
        <v>0</v>
      </c>
      <c r="AL434" s="219">
        <v>11.29</v>
      </c>
      <c r="AM434" s="219">
        <v>13.71</v>
      </c>
      <c r="AN434" s="219">
        <v>0</v>
      </c>
      <c r="AO434" s="116">
        <v>0</v>
      </c>
      <c r="AP434" s="116">
        <v>0</v>
      </c>
      <c r="AQ434" s="116">
        <v>4</v>
      </c>
      <c r="AR434" s="116">
        <v>26367.456299999998</v>
      </c>
      <c r="AS434" s="116">
        <v>26367.456299999998</v>
      </c>
      <c r="AT434" s="116">
        <v>1</v>
      </c>
      <c r="AU434" s="385">
        <v>0</v>
      </c>
      <c r="AV434" s="332">
        <v>0</v>
      </c>
      <c r="AW434" s="332">
        <v>0</v>
      </c>
      <c r="AX434" s="332">
        <v>-29193.375000000004</v>
      </c>
      <c r="AY434" s="332">
        <v>0</v>
      </c>
      <c r="AZ434" s="332">
        <v>0</v>
      </c>
      <c r="BA434" s="332">
        <v>0</v>
      </c>
      <c r="BB434" s="31">
        <v>365251.58795000002</v>
      </c>
      <c r="BC434" s="31">
        <v>0</v>
      </c>
      <c r="BD434" s="29">
        <v>0</v>
      </c>
      <c r="BE434" s="31">
        <v>0</v>
      </c>
    </row>
    <row r="435" spans="1:57" ht="13">
      <c r="A435" s="153">
        <v>44575</v>
      </c>
      <c r="B435" s="10" t="s">
        <v>186</v>
      </c>
      <c r="C435" s="10">
        <v>44565000046</v>
      </c>
      <c r="D435" s="10" t="s">
        <v>18</v>
      </c>
      <c r="E435" s="10" t="s">
        <v>7</v>
      </c>
      <c r="F435" s="153">
        <v>44565</v>
      </c>
      <c r="G435" s="116" t="s">
        <v>41</v>
      </c>
      <c r="H435" s="116">
        <v>382070.50044999999</v>
      </c>
      <c r="I435" s="116">
        <v>117929.49955000001</v>
      </c>
      <c r="J435" s="116">
        <v>500000</v>
      </c>
      <c r="K435" s="219">
        <v>382070.50044999999</v>
      </c>
      <c r="L435" s="116">
        <v>0</v>
      </c>
      <c r="M435" s="31">
        <v>16818.912500000002</v>
      </c>
      <c r="N435" s="336">
        <v>16818.912500000002</v>
      </c>
      <c r="O435" s="336">
        <v>0</v>
      </c>
      <c r="P435" s="219">
        <v>0</v>
      </c>
      <c r="Q435" s="332">
        <v>0</v>
      </c>
      <c r="R435" s="219">
        <v>0</v>
      </c>
      <c r="S435" s="332">
        <v>10.79</v>
      </c>
      <c r="T435" s="219">
        <v>-20</v>
      </c>
      <c r="U435" s="332">
        <v>0</v>
      </c>
      <c r="V435" s="332">
        <v>0</v>
      </c>
      <c r="W435" s="370">
        <v>0</v>
      </c>
      <c r="X435" s="370">
        <v>0</v>
      </c>
      <c r="Y435" s="370">
        <v>30</v>
      </c>
      <c r="Z435" s="370">
        <v>0</v>
      </c>
      <c r="AA435" s="370">
        <v>0</v>
      </c>
      <c r="AB435" s="370">
        <v>0</v>
      </c>
      <c r="AC435" s="370">
        <v>10</v>
      </c>
      <c r="AD435" s="370">
        <v>0</v>
      </c>
      <c r="AE435" s="370">
        <v>0</v>
      </c>
      <c r="AF435" s="370">
        <v>20</v>
      </c>
      <c r="AG435" s="31">
        <v>-20</v>
      </c>
      <c r="AH435" s="31"/>
      <c r="AI435" s="31">
        <v>1</v>
      </c>
      <c r="AJ435" s="370">
        <v>7.7849000000000004</v>
      </c>
      <c r="AK435" s="219">
        <v>0</v>
      </c>
      <c r="AL435" s="219">
        <v>11.29</v>
      </c>
      <c r="AM435" s="219">
        <v>13.71</v>
      </c>
      <c r="AN435" s="219">
        <v>0</v>
      </c>
      <c r="AO435" s="116">
        <v>0</v>
      </c>
      <c r="AP435" s="116">
        <v>0</v>
      </c>
      <c r="AQ435" s="116">
        <v>4</v>
      </c>
      <c r="AR435" s="116">
        <v>0</v>
      </c>
      <c r="AS435" s="116">
        <v>26367.456299999998</v>
      </c>
      <c r="AT435" s="116">
        <v>0</v>
      </c>
      <c r="AU435" s="385">
        <v>129536.85047999999</v>
      </c>
      <c r="AV435" s="332">
        <v>0</v>
      </c>
      <c r="AW435" s="332">
        <v>129536.85047999999</v>
      </c>
      <c r="AX435" s="332">
        <v>19462.25</v>
      </c>
      <c r="AY435" s="332">
        <v>0</v>
      </c>
      <c r="AZ435" s="332">
        <v>0</v>
      </c>
      <c r="BA435" s="332">
        <v>0</v>
      </c>
      <c r="BB435" s="31">
        <v>382070.50044999999</v>
      </c>
      <c r="BC435" s="31">
        <v>382070.50044999999</v>
      </c>
      <c r="BD435" s="29">
        <v>0</v>
      </c>
      <c r="BE435" s="31">
        <v>511607.35092999996</v>
      </c>
    </row>
    <row r="436" spans="1:57" ht="13">
      <c r="A436" s="153">
        <v>44575</v>
      </c>
      <c r="B436" s="10" t="s">
        <v>187</v>
      </c>
      <c r="C436" s="10">
        <v>44561000009</v>
      </c>
      <c r="D436" s="10" t="s">
        <v>64</v>
      </c>
      <c r="E436" s="10" t="s">
        <v>64</v>
      </c>
      <c r="F436" s="153">
        <v>44561</v>
      </c>
      <c r="G436" s="116" t="s">
        <v>39</v>
      </c>
      <c r="H436" s="116">
        <v>500000</v>
      </c>
      <c r="I436" s="116">
        <v>0</v>
      </c>
      <c r="J436" s="116">
        <v>500000</v>
      </c>
      <c r="K436" s="219">
        <v>0</v>
      </c>
      <c r="L436" s="116">
        <v>0</v>
      </c>
      <c r="M436" s="31">
        <v>500000</v>
      </c>
      <c r="N436" s="336">
        <v>500000</v>
      </c>
      <c r="O436" s="336">
        <v>0</v>
      </c>
      <c r="P436" s="219">
        <v>0</v>
      </c>
      <c r="Q436" s="332">
        <v>0</v>
      </c>
      <c r="R436" s="219">
        <v>0</v>
      </c>
      <c r="S436" s="332">
        <v>0</v>
      </c>
      <c r="T436" s="219">
        <v>0</v>
      </c>
      <c r="U436" s="332">
        <v>0</v>
      </c>
      <c r="V436" s="332">
        <v>0</v>
      </c>
      <c r="W436" s="370">
        <v>0</v>
      </c>
      <c r="X436" s="370">
        <v>0</v>
      </c>
      <c r="Y436" s="370">
        <v>0</v>
      </c>
      <c r="Z436" s="370">
        <v>0</v>
      </c>
      <c r="AA436" s="370">
        <v>0</v>
      </c>
      <c r="AB436" s="370">
        <v>0</v>
      </c>
      <c r="AC436" s="370">
        <v>0</v>
      </c>
      <c r="AD436" s="370">
        <v>0</v>
      </c>
      <c r="AE436" s="370">
        <v>0</v>
      </c>
      <c r="AF436" s="370">
        <v>0</v>
      </c>
      <c r="AG436" s="31">
        <v>0</v>
      </c>
      <c r="AH436" s="31">
        <v>1</v>
      </c>
      <c r="AI436" s="31">
        <v>0</v>
      </c>
      <c r="AJ436" s="370">
        <v>1</v>
      </c>
      <c r="AK436" s="219">
        <v>0</v>
      </c>
      <c r="AL436" s="219">
        <v>0</v>
      </c>
      <c r="AM436" s="219">
        <v>0</v>
      </c>
      <c r="AN436" s="219">
        <v>0</v>
      </c>
      <c r="AO436" s="116">
        <v>0</v>
      </c>
      <c r="AP436" s="116">
        <v>0</v>
      </c>
      <c r="AQ436" s="116">
        <v>1</v>
      </c>
      <c r="AR436" s="116">
        <v>0</v>
      </c>
      <c r="AS436" s="116">
        <v>0</v>
      </c>
      <c r="AT436" s="116">
        <v>1</v>
      </c>
      <c r="AU436" s="385">
        <v>0</v>
      </c>
      <c r="AV436" s="332">
        <v>0</v>
      </c>
      <c r="AW436" s="332">
        <v>0</v>
      </c>
      <c r="AX436" s="332">
        <v>500000</v>
      </c>
      <c r="AY436" s="332">
        <v>0</v>
      </c>
      <c r="AZ436" s="332">
        <v>0</v>
      </c>
      <c r="BA436" s="332">
        <v>0</v>
      </c>
      <c r="BB436" s="31">
        <v>499999.19805637054</v>
      </c>
      <c r="BC436" s="31">
        <v>0</v>
      </c>
      <c r="BD436" s="29">
        <v>0</v>
      </c>
      <c r="BE436" s="31">
        <v>0</v>
      </c>
    </row>
    <row r="437" spans="1:57" ht="13">
      <c r="A437" s="153">
        <v>44575</v>
      </c>
      <c r="B437" s="10" t="s">
        <v>187</v>
      </c>
      <c r="C437" s="10">
        <v>44566000040</v>
      </c>
      <c r="D437" s="10" t="s">
        <v>21</v>
      </c>
      <c r="E437" s="10" t="s">
        <v>4</v>
      </c>
      <c r="F437" s="153">
        <v>44566</v>
      </c>
      <c r="G437" s="116" t="s">
        <v>41</v>
      </c>
      <c r="H437" s="116">
        <v>527283.34</v>
      </c>
      <c r="I437" s="116">
        <v>-27283.34</v>
      </c>
      <c r="J437" s="116">
        <v>499999.99999999994</v>
      </c>
      <c r="K437" s="219">
        <v>149214.20000000001</v>
      </c>
      <c r="L437" s="116">
        <v>0</v>
      </c>
      <c r="M437" s="31">
        <v>27283.34</v>
      </c>
      <c r="N437" s="336">
        <v>-350785.8</v>
      </c>
      <c r="O437" s="336">
        <v>0</v>
      </c>
      <c r="P437" s="219">
        <v>0</v>
      </c>
      <c r="Q437" s="332">
        <v>0</v>
      </c>
      <c r="R437" s="219">
        <v>0</v>
      </c>
      <c r="S437" s="332">
        <v>0</v>
      </c>
      <c r="T437" s="219">
        <v>0</v>
      </c>
      <c r="U437" s="332">
        <v>3.5</v>
      </c>
      <c r="V437" s="332">
        <v>-10</v>
      </c>
      <c r="W437" s="370">
        <v>0</v>
      </c>
      <c r="X437" s="370">
        <v>0</v>
      </c>
      <c r="Y437" s="370">
        <v>0</v>
      </c>
      <c r="Z437" s="370">
        <v>0</v>
      </c>
      <c r="AA437" s="370">
        <v>0</v>
      </c>
      <c r="AB437" s="370">
        <v>0</v>
      </c>
      <c r="AC437" s="370">
        <v>0</v>
      </c>
      <c r="AD437" s="370">
        <v>-10</v>
      </c>
      <c r="AE437" s="370">
        <v>0</v>
      </c>
      <c r="AF437" s="370">
        <v>0</v>
      </c>
      <c r="AG437" s="31">
        <v>-10</v>
      </c>
      <c r="AH437" s="31">
        <v>3.5</v>
      </c>
      <c r="AI437" s="31">
        <v>0</v>
      </c>
      <c r="AJ437" s="370">
        <v>7.7849000000000004</v>
      </c>
      <c r="AK437" s="219">
        <v>0</v>
      </c>
      <c r="AL437" s="219">
        <v>0</v>
      </c>
      <c r="AM437" s="219">
        <v>0</v>
      </c>
      <c r="AN437" s="219">
        <v>3.5</v>
      </c>
      <c r="AO437" s="116">
        <v>45</v>
      </c>
      <c r="AP437" s="116">
        <v>0</v>
      </c>
      <c r="AQ437" s="116">
        <v>2</v>
      </c>
      <c r="AR437" s="116">
        <v>-27247.15</v>
      </c>
      <c r="AS437" s="116">
        <v>-27247.15</v>
      </c>
      <c r="AT437" s="116">
        <v>1</v>
      </c>
      <c r="AU437" s="385">
        <v>0</v>
      </c>
      <c r="AV437" s="332">
        <v>0</v>
      </c>
      <c r="AW437" s="332">
        <v>0</v>
      </c>
      <c r="AX437" s="332">
        <v>0</v>
      </c>
      <c r="AY437" s="332">
        <v>0</v>
      </c>
      <c r="AZ437" s="332">
        <v>0</v>
      </c>
      <c r="BA437" s="332">
        <v>0</v>
      </c>
      <c r="BB437" s="31">
        <v>527282.53805637057</v>
      </c>
      <c r="BC437" s="31">
        <v>0</v>
      </c>
      <c r="BD437" s="29">
        <v>0</v>
      </c>
      <c r="BE437" s="31">
        <v>0</v>
      </c>
    </row>
    <row r="438" spans="1:57" ht="13">
      <c r="A438" s="153">
        <v>44575</v>
      </c>
      <c r="B438" s="10" t="s">
        <v>187</v>
      </c>
      <c r="C438" s="10">
        <v>44566000041</v>
      </c>
      <c r="D438" s="10" t="s">
        <v>21</v>
      </c>
      <c r="E438" s="10" t="s">
        <v>5</v>
      </c>
      <c r="F438" s="153">
        <v>44566</v>
      </c>
      <c r="G438" s="116" t="s">
        <v>41</v>
      </c>
      <c r="H438" s="116">
        <v>507795.24</v>
      </c>
      <c r="I438" s="116">
        <v>-7795.2400000000016</v>
      </c>
      <c r="J438" s="116">
        <v>500000</v>
      </c>
      <c r="K438" s="219">
        <v>461023.8</v>
      </c>
      <c r="L438" s="116">
        <v>0</v>
      </c>
      <c r="M438" s="31">
        <v>-19488.099999999999</v>
      </c>
      <c r="N438" s="336">
        <v>311809.59999999998</v>
      </c>
      <c r="O438" s="336">
        <v>0</v>
      </c>
      <c r="P438" s="219">
        <v>0</v>
      </c>
      <c r="Q438" s="332">
        <v>0</v>
      </c>
      <c r="R438" s="219">
        <v>0</v>
      </c>
      <c r="S438" s="332">
        <v>0</v>
      </c>
      <c r="T438" s="219">
        <v>0</v>
      </c>
      <c r="U438" s="332">
        <v>2.5</v>
      </c>
      <c r="V438" s="332">
        <v>10</v>
      </c>
      <c r="W438" s="370">
        <v>0</v>
      </c>
      <c r="X438" s="370">
        <v>0</v>
      </c>
      <c r="Y438" s="370">
        <v>0</v>
      </c>
      <c r="Z438" s="370">
        <v>0</v>
      </c>
      <c r="AA438" s="370">
        <v>0</v>
      </c>
      <c r="AB438" s="370">
        <v>0</v>
      </c>
      <c r="AC438" s="370">
        <v>0</v>
      </c>
      <c r="AD438" s="370">
        <v>10</v>
      </c>
      <c r="AE438" s="370">
        <v>0</v>
      </c>
      <c r="AF438" s="370">
        <v>0</v>
      </c>
      <c r="AG438" s="31">
        <v>10</v>
      </c>
      <c r="AH438" s="31">
        <v>2.5</v>
      </c>
      <c r="AI438" s="31">
        <v>0</v>
      </c>
      <c r="AJ438" s="370">
        <v>7.7849000000000004</v>
      </c>
      <c r="AK438" s="219">
        <v>0</v>
      </c>
      <c r="AL438" s="219">
        <v>0</v>
      </c>
      <c r="AM438" s="219">
        <v>0</v>
      </c>
      <c r="AN438" s="219">
        <v>2.5</v>
      </c>
      <c r="AO438" s="116">
        <v>40</v>
      </c>
      <c r="AP438" s="116">
        <v>0</v>
      </c>
      <c r="AQ438" s="116">
        <v>3</v>
      </c>
      <c r="AR438" s="116">
        <v>19462.25</v>
      </c>
      <c r="AS438" s="116">
        <v>19462.25</v>
      </c>
      <c r="AT438" s="116">
        <v>1</v>
      </c>
      <c r="AU438" s="385">
        <v>0</v>
      </c>
      <c r="AV438" s="332">
        <v>0</v>
      </c>
      <c r="AW438" s="332">
        <v>0</v>
      </c>
      <c r="AX438" s="332">
        <v>0</v>
      </c>
      <c r="AY438" s="332">
        <v>0</v>
      </c>
      <c r="AZ438" s="332">
        <v>0</v>
      </c>
      <c r="BA438" s="332">
        <v>0</v>
      </c>
      <c r="BB438" s="31">
        <v>507794.43805637053</v>
      </c>
      <c r="BC438" s="31">
        <v>0</v>
      </c>
      <c r="BD438" s="29">
        <v>0</v>
      </c>
      <c r="BE438" s="31">
        <v>0</v>
      </c>
    </row>
    <row r="439" spans="1:57" ht="13">
      <c r="A439" s="153">
        <v>44575</v>
      </c>
      <c r="B439" s="10" t="s">
        <v>187</v>
      </c>
      <c r="C439" s="10">
        <v>44567000042</v>
      </c>
      <c r="D439" s="10" t="s">
        <v>16</v>
      </c>
      <c r="E439" s="10" t="s">
        <v>38</v>
      </c>
      <c r="F439" s="153">
        <v>44567</v>
      </c>
      <c r="G439" s="116" t="s">
        <v>39</v>
      </c>
      <c r="H439" s="116">
        <v>490595.24</v>
      </c>
      <c r="I439" s="116">
        <v>9404.7599999999984</v>
      </c>
      <c r="J439" s="116">
        <v>500000</v>
      </c>
      <c r="K439" s="219">
        <v>443823.8</v>
      </c>
      <c r="L439" s="116">
        <v>0</v>
      </c>
      <c r="M439" s="31">
        <v>-17200</v>
      </c>
      <c r="N439" s="336">
        <v>-17200</v>
      </c>
      <c r="O439" s="336">
        <v>17200</v>
      </c>
      <c r="P439" s="219">
        <v>0</v>
      </c>
      <c r="Q439" s="332">
        <v>430</v>
      </c>
      <c r="R439" s="219">
        <v>40</v>
      </c>
      <c r="S439" s="332">
        <v>0</v>
      </c>
      <c r="T439" s="219">
        <v>0</v>
      </c>
      <c r="U439" s="332">
        <v>0</v>
      </c>
      <c r="V439" s="332">
        <v>0</v>
      </c>
      <c r="W439" s="370">
        <v>0</v>
      </c>
      <c r="X439" s="370">
        <v>0</v>
      </c>
      <c r="Y439" s="370">
        <v>0</v>
      </c>
      <c r="Z439" s="370">
        <v>0</v>
      </c>
      <c r="AA439" s="370">
        <v>0</v>
      </c>
      <c r="AB439" s="370">
        <v>40</v>
      </c>
      <c r="AC439" s="370">
        <v>0</v>
      </c>
      <c r="AD439" s="370">
        <v>0</v>
      </c>
      <c r="AE439" s="370">
        <v>0</v>
      </c>
      <c r="AF439" s="370">
        <v>-40</v>
      </c>
      <c r="AG439" s="31">
        <v>40</v>
      </c>
      <c r="AH439" s="31">
        <v>473.4</v>
      </c>
      <c r="AI439" s="31">
        <v>0</v>
      </c>
      <c r="AJ439" s="370">
        <v>1</v>
      </c>
      <c r="AK439" s="219">
        <v>473.4</v>
      </c>
      <c r="AL439" s="219">
        <v>0</v>
      </c>
      <c r="AM439" s="219">
        <v>0</v>
      </c>
      <c r="AN439" s="219">
        <v>0</v>
      </c>
      <c r="AO439" s="116">
        <v>0</v>
      </c>
      <c r="AP439" s="116">
        <v>0</v>
      </c>
      <c r="AQ439" s="116">
        <v>4</v>
      </c>
      <c r="AR439" s="116">
        <v>18936</v>
      </c>
      <c r="AS439" s="116">
        <v>-4734</v>
      </c>
      <c r="AT439" s="116">
        <v>1</v>
      </c>
      <c r="AU439" s="385">
        <v>0</v>
      </c>
      <c r="AV439" s="332">
        <v>0</v>
      </c>
      <c r="AW439" s="332">
        <v>0</v>
      </c>
      <c r="AX439" s="332">
        <v>-18936</v>
      </c>
      <c r="AY439" s="332">
        <v>0</v>
      </c>
      <c r="AZ439" s="332">
        <v>0</v>
      </c>
      <c r="BA439" s="332">
        <v>0</v>
      </c>
      <c r="BB439" s="31">
        <v>490594.43805637053</v>
      </c>
      <c r="BC439" s="31">
        <v>0</v>
      </c>
      <c r="BD439" s="29">
        <v>0</v>
      </c>
      <c r="BE439" s="31">
        <v>0</v>
      </c>
    </row>
    <row r="440" spans="1:57" ht="13">
      <c r="A440" s="153">
        <v>44575</v>
      </c>
      <c r="B440" s="10" t="s">
        <v>187</v>
      </c>
      <c r="C440" s="10">
        <v>44568000043</v>
      </c>
      <c r="D440" s="10" t="s">
        <v>16</v>
      </c>
      <c r="E440" s="10" t="s">
        <v>38</v>
      </c>
      <c r="F440" s="153">
        <v>44568</v>
      </c>
      <c r="G440" s="116" t="s">
        <v>39</v>
      </c>
      <c r="H440" s="116">
        <v>512595.24</v>
      </c>
      <c r="I440" s="116">
        <v>-12595.240000000002</v>
      </c>
      <c r="J440" s="116">
        <v>500000</v>
      </c>
      <c r="K440" s="219">
        <v>465623.8</v>
      </c>
      <c r="L440" s="116">
        <v>0</v>
      </c>
      <c r="M440" s="31">
        <v>22000</v>
      </c>
      <c r="N440" s="336">
        <v>13200</v>
      </c>
      <c r="O440" s="336">
        <v>0</v>
      </c>
      <c r="P440" s="219">
        <v>-22000</v>
      </c>
      <c r="Q440" s="332">
        <v>440</v>
      </c>
      <c r="R440" s="219">
        <v>-50</v>
      </c>
      <c r="S440" s="332">
        <v>0</v>
      </c>
      <c r="T440" s="219">
        <v>0</v>
      </c>
      <c r="U440" s="332">
        <v>0</v>
      </c>
      <c r="V440" s="332">
        <v>0</v>
      </c>
      <c r="W440" s="370">
        <v>0</v>
      </c>
      <c r="X440" s="370">
        <v>40</v>
      </c>
      <c r="Y440" s="370">
        <v>0</v>
      </c>
      <c r="Z440" s="370">
        <v>0</v>
      </c>
      <c r="AA440" s="370">
        <v>0</v>
      </c>
      <c r="AB440" s="370">
        <v>-10</v>
      </c>
      <c r="AC440" s="370">
        <v>0</v>
      </c>
      <c r="AD440" s="370">
        <v>0</v>
      </c>
      <c r="AE440" s="370">
        <v>0</v>
      </c>
      <c r="AF440" s="370">
        <v>30</v>
      </c>
      <c r="AG440" s="31">
        <v>-50</v>
      </c>
      <c r="AH440" s="31">
        <v>473.4</v>
      </c>
      <c r="AI440" s="31">
        <v>0</v>
      </c>
      <c r="AJ440" s="370">
        <v>1</v>
      </c>
      <c r="AK440" s="219">
        <v>473.4</v>
      </c>
      <c r="AL440" s="219">
        <v>0</v>
      </c>
      <c r="AM440" s="219">
        <v>0</v>
      </c>
      <c r="AN440" s="219">
        <v>0</v>
      </c>
      <c r="AO440" s="116">
        <v>0</v>
      </c>
      <c r="AP440" s="116">
        <v>0</v>
      </c>
      <c r="AQ440" s="116">
        <v>4</v>
      </c>
      <c r="AR440" s="116">
        <v>-23670</v>
      </c>
      <c r="AS440" s="116">
        <v>-4734</v>
      </c>
      <c r="AT440" s="116">
        <v>0</v>
      </c>
      <c r="AU440" s="385">
        <v>0</v>
      </c>
      <c r="AV440" s="332">
        <v>0</v>
      </c>
      <c r="AW440" s="332">
        <v>0</v>
      </c>
      <c r="AX440" s="332">
        <v>14202</v>
      </c>
      <c r="AY440" s="332">
        <v>0</v>
      </c>
      <c r="AZ440" s="332">
        <v>-0.80194362944918862</v>
      </c>
      <c r="BA440" s="332">
        <v>0</v>
      </c>
      <c r="BB440" s="31">
        <v>512594.43805637053</v>
      </c>
      <c r="BC440" s="31">
        <v>0</v>
      </c>
      <c r="BD440" s="29">
        <v>0</v>
      </c>
      <c r="BE440" s="31">
        <v>0</v>
      </c>
    </row>
    <row r="441" spans="1:57" ht="13">
      <c r="A441" s="153">
        <v>44575</v>
      </c>
      <c r="B441" s="10" t="s">
        <v>187</v>
      </c>
      <c r="C441" s="10">
        <v>44568000044</v>
      </c>
      <c r="D441" s="10" t="s">
        <v>18</v>
      </c>
      <c r="E441" s="10" t="s">
        <v>7</v>
      </c>
      <c r="F441" s="153">
        <v>44568</v>
      </c>
      <c r="G441" s="116" t="s">
        <v>41</v>
      </c>
      <c r="H441" s="116">
        <v>529422.61185999995</v>
      </c>
      <c r="I441" s="116">
        <v>-29422.611860000001</v>
      </c>
      <c r="J441" s="116">
        <v>499999.99999999994</v>
      </c>
      <c r="K441" s="219">
        <v>413596.42813999997</v>
      </c>
      <c r="L441" s="116">
        <v>0</v>
      </c>
      <c r="M441" s="31">
        <v>16827.371859999999</v>
      </c>
      <c r="N441" s="336">
        <v>-16827.371859999999</v>
      </c>
      <c r="O441" s="336">
        <v>0</v>
      </c>
      <c r="P441" s="219">
        <v>0</v>
      </c>
      <c r="Q441" s="332">
        <v>0</v>
      </c>
      <c r="R441" s="219">
        <v>0</v>
      </c>
      <c r="S441" s="332">
        <v>10.79</v>
      </c>
      <c r="T441" s="219">
        <v>-20</v>
      </c>
      <c r="U441" s="332">
        <v>0</v>
      </c>
      <c r="V441" s="332">
        <v>0</v>
      </c>
      <c r="W441" s="370">
        <v>0</v>
      </c>
      <c r="X441" s="370">
        <v>0</v>
      </c>
      <c r="Y441" s="370">
        <v>0</v>
      </c>
      <c r="Z441" s="370">
        <v>0</v>
      </c>
      <c r="AA441" s="370">
        <v>0</v>
      </c>
      <c r="AB441" s="370">
        <v>0</v>
      </c>
      <c r="AC441" s="370">
        <v>-20</v>
      </c>
      <c r="AD441" s="370">
        <v>0</v>
      </c>
      <c r="AE441" s="370">
        <v>0</v>
      </c>
      <c r="AF441" s="370">
        <v>-20</v>
      </c>
      <c r="AG441" s="31">
        <v>-20</v>
      </c>
      <c r="AH441" s="31"/>
      <c r="AI441" s="31">
        <v>1</v>
      </c>
      <c r="AJ441" s="370">
        <v>7.7849000000000004</v>
      </c>
      <c r="AK441" s="219">
        <v>0</v>
      </c>
      <c r="AL441" s="219">
        <v>11.29</v>
      </c>
      <c r="AM441" s="219">
        <v>13.71</v>
      </c>
      <c r="AN441" s="219">
        <v>0</v>
      </c>
      <c r="AO441" s="116">
        <v>0</v>
      </c>
      <c r="AP441" s="116">
        <v>0</v>
      </c>
      <c r="AQ441" s="116">
        <v>5</v>
      </c>
      <c r="AR441" s="116">
        <v>0</v>
      </c>
      <c r="AS441" s="116">
        <v>0</v>
      </c>
      <c r="AT441" s="116">
        <v>1</v>
      </c>
      <c r="AU441" s="385">
        <v>19462.25</v>
      </c>
      <c r="AV441" s="332">
        <v>-31981.15</v>
      </c>
      <c r="AW441" s="332">
        <v>-12518.900000000001</v>
      </c>
      <c r="AX441" s="332">
        <v>-19462.25</v>
      </c>
      <c r="AY441" s="332">
        <v>0</v>
      </c>
      <c r="AZ441" s="332">
        <v>0</v>
      </c>
      <c r="BA441" s="332">
        <v>0</v>
      </c>
      <c r="BB441" s="31">
        <v>529421.80991637055</v>
      </c>
      <c r="BC441" s="31">
        <v>529421.80991637055</v>
      </c>
      <c r="BD441" s="29">
        <v>0</v>
      </c>
      <c r="BE441" s="31">
        <v>516903.71185999992</v>
      </c>
    </row>
    <row r="442" spans="1:57" ht="13">
      <c r="A442" s="153">
        <v>44575</v>
      </c>
      <c r="B442" s="10" t="s">
        <v>188</v>
      </c>
      <c r="C442" s="10">
        <v>44561000010</v>
      </c>
      <c r="D442" s="10" t="s">
        <v>64</v>
      </c>
      <c r="E442" s="10" t="s">
        <v>64</v>
      </c>
      <c r="F442" s="153">
        <v>44561</v>
      </c>
      <c r="G442" s="116" t="s">
        <v>39</v>
      </c>
      <c r="H442" s="116">
        <v>500000</v>
      </c>
      <c r="I442" s="116">
        <v>0</v>
      </c>
      <c r="J442" s="116">
        <v>500000</v>
      </c>
      <c r="K442" s="219">
        <v>0</v>
      </c>
      <c r="L442" s="116">
        <v>0</v>
      </c>
      <c r="M442" s="31">
        <v>500000</v>
      </c>
      <c r="N442" s="336">
        <v>500000</v>
      </c>
      <c r="O442" s="336">
        <v>0</v>
      </c>
      <c r="P442" s="219">
        <v>0</v>
      </c>
      <c r="Q442" s="332">
        <v>0</v>
      </c>
      <c r="R442" s="219">
        <v>0</v>
      </c>
      <c r="S442" s="332">
        <v>0</v>
      </c>
      <c r="T442" s="219">
        <v>0</v>
      </c>
      <c r="U442" s="332">
        <v>0</v>
      </c>
      <c r="V442" s="332">
        <v>0</v>
      </c>
      <c r="W442" s="370">
        <v>0</v>
      </c>
      <c r="X442" s="370">
        <v>0</v>
      </c>
      <c r="Y442" s="370">
        <v>0</v>
      </c>
      <c r="Z442" s="370">
        <v>0</v>
      </c>
      <c r="AA442" s="370">
        <v>0</v>
      </c>
      <c r="AB442" s="370">
        <v>0</v>
      </c>
      <c r="AC442" s="370">
        <v>0</v>
      </c>
      <c r="AD442" s="370">
        <v>0</v>
      </c>
      <c r="AE442" s="370">
        <v>0</v>
      </c>
      <c r="AF442" s="370">
        <v>0</v>
      </c>
      <c r="AG442" s="31">
        <v>0</v>
      </c>
      <c r="AH442" s="31">
        <v>1</v>
      </c>
      <c r="AI442" s="31">
        <v>1</v>
      </c>
      <c r="AJ442" s="370">
        <v>1</v>
      </c>
      <c r="AK442" s="219">
        <v>0</v>
      </c>
      <c r="AL442" s="219">
        <v>0</v>
      </c>
      <c r="AM442" s="219">
        <v>0</v>
      </c>
      <c r="AN442" s="219">
        <v>0</v>
      </c>
      <c r="AO442" s="116">
        <v>0</v>
      </c>
      <c r="AP442" s="116">
        <v>0</v>
      </c>
      <c r="AQ442" s="116">
        <v>1</v>
      </c>
      <c r="AR442" s="116">
        <v>0</v>
      </c>
      <c r="AS442" s="116">
        <v>0</v>
      </c>
      <c r="AT442" s="116">
        <v>1</v>
      </c>
      <c r="AU442" s="385">
        <v>0</v>
      </c>
      <c r="AV442" s="332">
        <v>0</v>
      </c>
      <c r="AW442" s="332">
        <v>0</v>
      </c>
      <c r="AX442" s="332">
        <v>500000</v>
      </c>
      <c r="AY442" s="332">
        <v>0</v>
      </c>
      <c r="AZ442" s="332">
        <v>0</v>
      </c>
      <c r="BA442" s="332">
        <v>0</v>
      </c>
      <c r="BB442" s="31">
        <v>500000</v>
      </c>
      <c r="BC442" s="31">
        <v>500000</v>
      </c>
      <c r="BD442" s="29">
        <v>0</v>
      </c>
      <c r="BE442" s="31">
        <v>500000</v>
      </c>
    </row>
    <row r="443" spans="1:57" ht="13">
      <c r="A443" s="153"/>
      <c r="F443" s="153"/>
      <c r="G443" s="116"/>
      <c r="H443" s="116"/>
      <c r="I443" s="116"/>
      <c r="J443" s="116"/>
      <c r="K443" s="219"/>
      <c r="L443" s="116"/>
      <c r="M443" s="31"/>
      <c r="N443" s="336"/>
      <c r="O443" s="336"/>
      <c r="P443" s="219"/>
      <c r="Q443" s="332"/>
      <c r="R443" s="219"/>
      <c r="S443" s="332"/>
      <c r="T443" s="219"/>
      <c r="U443" s="332"/>
      <c r="V443" s="332"/>
      <c r="W443" s="370"/>
      <c r="X443" s="370"/>
      <c r="Y443" s="370"/>
      <c r="Z443" s="370"/>
      <c r="AA443" s="370"/>
      <c r="AB443" s="370"/>
      <c r="AC443" s="370"/>
      <c r="AD443" s="370"/>
      <c r="AE443" s="370"/>
      <c r="AF443" s="370"/>
      <c r="AG443" s="370"/>
      <c r="AH443" s="370"/>
      <c r="AI443" s="370"/>
      <c r="AJ443" s="370"/>
      <c r="AK443" s="219"/>
      <c r="AL443" s="219"/>
      <c r="AM443" s="219"/>
      <c r="AN443" s="219"/>
      <c r="AO443" s="116"/>
      <c r="AP443" s="116"/>
      <c r="AQ443" s="116"/>
      <c r="AR443" s="116"/>
      <c r="AS443" s="116"/>
      <c r="AT443" s="116"/>
      <c r="AU443" s="332"/>
      <c r="AV443" s="332"/>
      <c r="AW443" s="332"/>
      <c r="AX443" s="332"/>
      <c r="AY443" s="332"/>
      <c r="AZ443" s="332"/>
      <c r="BA443" s="332"/>
      <c r="BB443" s="31"/>
      <c r="BC443" s="31"/>
      <c r="BD443" s="31"/>
      <c r="BE443" s="31"/>
    </row>
    <row r="444" spans="1:57" ht="13">
      <c r="A444" s="153"/>
      <c r="F444" s="153"/>
      <c r="G444" s="116"/>
      <c r="H444" s="116"/>
      <c r="I444" s="116"/>
      <c r="J444" s="116"/>
      <c r="K444" s="219"/>
      <c r="L444" s="116"/>
      <c r="M444" s="31"/>
      <c r="N444" s="336"/>
      <c r="O444" s="336"/>
      <c r="P444" s="219"/>
      <c r="Q444" s="332"/>
      <c r="R444" s="219"/>
      <c r="S444" s="332"/>
      <c r="T444" s="219"/>
      <c r="U444" s="332"/>
      <c r="V444" s="332"/>
      <c r="W444" s="370"/>
      <c r="X444" s="370"/>
      <c r="Y444" s="370"/>
      <c r="Z444" s="370"/>
      <c r="AA444" s="370"/>
      <c r="AB444" s="370"/>
      <c r="AC444" s="370"/>
      <c r="AD444" s="370"/>
      <c r="AE444" s="370"/>
      <c r="AF444" s="370"/>
      <c r="AG444" s="370"/>
      <c r="AH444" s="370"/>
      <c r="AI444" s="370"/>
      <c r="AJ444" s="370"/>
      <c r="AK444" s="219"/>
      <c r="AL444" s="219"/>
      <c r="AM444" s="219"/>
      <c r="AN444" s="219"/>
      <c r="AO444" s="116"/>
      <c r="AP444" s="116"/>
      <c r="AQ444" s="116"/>
      <c r="AR444" s="116"/>
      <c r="AS444" s="116"/>
      <c r="AT444" s="116"/>
      <c r="AU444" s="332"/>
      <c r="AV444" s="332"/>
      <c r="AW444" s="332"/>
      <c r="AX444" s="332"/>
      <c r="AY444" s="332"/>
      <c r="AZ444" s="332"/>
      <c r="BA444" s="332"/>
      <c r="BB444" s="31"/>
      <c r="BC444" s="31"/>
      <c r="BD444" s="31"/>
      <c r="BE444" s="31"/>
    </row>
    <row r="445" spans="1:57" ht="13">
      <c r="A445" s="153"/>
      <c r="F445" s="153"/>
      <c r="G445" s="116"/>
      <c r="H445" s="116"/>
      <c r="I445" s="116"/>
      <c r="J445" s="116"/>
      <c r="K445" s="219"/>
      <c r="L445" s="116"/>
      <c r="M445" s="31"/>
      <c r="N445" s="336"/>
      <c r="O445" s="336"/>
      <c r="P445" s="219"/>
      <c r="Q445" s="332"/>
      <c r="R445" s="219"/>
      <c r="S445" s="332"/>
      <c r="T445" s="219"/>
      <c r="U445" s="332"/>
      <c r="V445" s="332"/>
      <c r="W445" s="370"/>
      <c r="X445" s="370"/>
      <c r="Y445" s="370"/>
      <c r="Z445" s="370"/>
      <c r="AA445" s="370"/>
      <c r="AB445" s="370"/>
      <c r="AC445" s="370"/>
      <c r="AD445" s="370"/>
      <c r="AE445" s="370"/>
      <c r="AF445" s="370"/>
      <c r="AG445" s="370"/>
      <c r="AH445" s="370"/>
      <c r="AI445" s="370"/>
      <c r="AJ445" s="370"/>
      <c r="AK445" s="219"/>
      <c r="AL445" s="219"/>
      <c r="AM445" s="219"/>
      <c r="AN445" s="219"/>
      <c r="AO445" s="116"/>
      <c r="AP445" s="116"/>
      <c r="AQ445" s="116"/>
      <c r="AR445" s="116"/>
      <c r="AS445" s="116"/>
      <c r="AT445" s="116"/>
      <c r="AU445" s="332"/>
      <c r="AV445" s="332"/>
      <c r="AW445" s="332"/>
      <c r="AX445" s="332"/>
      <c r="AY445" s="332"/>
      <c r="AZ445" s="332"/>
      <c r="BA445" s="332"/>
      <c r="BB445" s="31"/>
      <c r="BC445" s="31"/>
      <c r="BD445" s="31"/>
      <c r="BE445" s="31"/>
    </row>
    <row r="446" spans="1:57" ht="13">
      <c r="A446" s="153"/>
      <c r="F446" s="153"/>
      <c r="G446" s="116"/>
      <c r="H446" s="116"/>
      <c r="I446" s="116"/>
      <c r="J446" s="116"/>
      <c r="K446" s="219"/>
      <c r="L446" s="116"/>
      <c r="M446" s="31"/>
      <c r="N446" s="336"/>
      <c r="O446" s="336"/>
      <c r="P446" s="219"/>
      <c r="Q446" s="332"/>
      <c r="R446" s="219"/>
      <c r="S446" s="332"/>
      <c r="T446" s="219"/>
      <c r="U446" s="332"/>
      <c r="V446" s="332"/>
      <c r="W446" s="370"/>
      <c r="X446" s="370"/>
      <c r="Y446" s="370"/>
      <c r="Z446" s="370"/>
      <c r="AA446" s="370"/>
      <c r="AB446" s="370"/>
      <c r="AC446" s="370"/>
      <c r="AD446" s="370"/>
      <c r="AE446" s="370"/>
      <c r="AF446" s="370"/>
      <c r="AG446" s="370"/>
      <c r="AH446" s="370"/>
      <c r="AI446" s="370"/>
      <c r="AJ446" s="370"/>
      <c r="AK446" s="219"/>
      <c r="AL446" s="219"/>
      <c r="AM446" s="219"/>
      <c r="AN446" s="219"/>
      <c r="AO446" s="116"/>
      <c r="AP446" s="116"/>
      <c r="AQ446" s="116"/>
      <c r="AR446" s="116"/>
      <c r="AS446" s="116"/>
      <c r="AT446" s="116"/>
      <c r="AU446" s="332"/>
      <c r="AV446" s="332"/>
      <c r="AW446" s="332"/>
      <c r="AX446" s="332"/>
      <c r="AY446" s="332"/>
      <c r="AZ446" s="332"/>
      <c r="BA446" s="332"/>
      <c r="BB446" s="31"/>
      <c r="BC446" s="31"/>
      <c r="BD446" s="31"/>
      <c r="BE446" s="31"/>
    </row>
    <row r="447" spans="1:57" ht="13">
      <c r="A447" s="153"/>
      <c r="F447" s="153"/>
      <c r="G447" s="116"/>
      <c r="H447" s="116"/>
      <c r="I447" s="116"/>
      <c r="J447" s="116"/>
      <c r="K447" s="219"/>
      <c r="L447" s="116"/>
      <c r="M447" s="31"/>
      <c r="N447" s="336"/>
      <c r="O447" s="336"/>
      <c r="P447" s="219"/>
      <c r="Q447" s="332"/>
      <c r="R447" s="219"/>
      <c r="S447" s="332"/>
      <c r="T447" s="219"/>
      <c r="U447" s="332"/>
      <c r="V447" s="332"/>
      <c r="W447" s="370"/>
      <c r="X447" s="370"/>
      <c r="Y447" s="370"/>
      <c r="Z447" s="370"/>
      <c r="AA447" s="370"/>
      <c r="AB447" s="370"/>
      <c r="AC447" s="370"/>
      <c r="AD447" s="370"/>
      <c r="AE447" s="370"/>
      <c r="AF447" s="370"/>
      <c r="AG447" s="370"/>
      <c r="AH447" s="370"/>
      <c r="AI447" s="370"/>
      <c r="AJ447" s="370"/>
      <c r="AK447" s="219"/>
      <c r="AL447" s="219"/>
      <c r="AM447" s="219"/>
      <c r="AN447" s="219"/>
      <c r="AO447" s="116"/>
      <c r="AP447" s="116"/>
      <c r="AQ447" s="116"/>
      <c r="AR447" s="116"/>
      <c r="AS447" s="116"/>
      <c r="AT447" s="116"/>
      <c r="AU447" s="332"/>
      <c r="AV447" s="332"/>
      <c r="AW447" s="332"/>
      <c r="AX447" s="332"/>
      <c r="AY447" s="332"/>
      <c r="AZ447" s="332"/>
      <c r="BA447" s="332"/>
      <c r="BB447" s="31"/>
      <c r="BC447" s="31"/>
      <c r="BD447" s="31"/>
      <c r="BE447" s="31"/>
    </row>
    <row r="448" spans="1:57" ht="13">
      <c r="A448" s="153"/>
      <c r="F448" s="153"/>
      <c r="G448" s="116"/>
      <c r="H448" s="116"/>
      <c r="I448" s="116"/>
      <c r="J448" s="116"/>
      <c r="K448" s="219"/>
      <c r="L448" s="116"/>
      <c r="M448" s="31"/>
      <c r="N448" s="336"/>
      <c r="O448" s="336"/>
      <c r="P448" s="219"/>
      <c r="Q448" s="332"/>
      <c r="R448" s="219"/>
      <c r="S448" s="332"/>
      <c r="T448" s="219"/>
      <c r="U448" s="332"/>
      <c r="V448" s="332"/>
      <c r="W448" s="370"/>
      <c r="X448" s="370"/>
      <c r="Y448" s="370"/>
      <c r="Z448" s="370"/>
      <c r="AA448" s="370"/>
      <c r="AB448" s="370"/>
      <c r="AC448" s="370"/>
      <c r="AD448" s="370"/>
      <c r="AE448" s="370"/>
      <c r="AF448" s="370"/>
      <c r="AG448" s="370"/>
      <c r="AH448" s="370"/>
      <c r="AI448" s="370"/>
      <c r="AJ448" s="370"/>
      <c r="AK448" s="219"/>
      <c r="AL448" s="219"/>
      <c r="AM448" s="219"/>
      <c r="AN448" s="219"/>
      <c r="AO448" s="116"/>
      <c r="AP448" s="116"/>
      <c r="AQ448" s="116"/>
      <c r="AR448" s="116"/>
      <c r="AS448" s="116"/>
      <c r="AT448" s="116"/>
      <c r="AU448" s="332"/>
      <c r="AV448" s="332"/>
      <c r="AW448" s="332"/>
      <c r="AX448" s="332"/>
      <c r="AY448" s="332"/>
      <c r="AZ448" s="332"/>
      <c r="BA448" s="332"/>
      <c r="BB448" s="31"/>
      <c r="BC448" s="31"/>
      <c r="BD448" s="31"/>
      <c r="BE448" s="31"/>
    </row>
    <row r="449" spans="1:57" ht="13">
      <c r="A449" s="153"/>
      <c r="F449" s="153"/>
      <c r="G449" s="116"/>
      <c r="H449" s="116"/>
      <c r="I449" s="116"/>
      <c r="J449" s="116"/>
      <c r="K449" s="219"/>
      <c r="L449" s="116"/>
      <c r="M449" s="31"/>
      <c r="N449" s="336"/>
      <c r="O449" s="336"/>
      <c r="P449" s="219"/>
      <c r="Q449" s="332"/>
      <c r="R449" s="219"/>
      <c r="S449" s="332"/>
      <c r="T449" s="219"/>
      <c r="U449" s="332"/>
      <c r="V449" s="332"/>
      <c r="W449" s="370"/>
      <c r="X449" s="370"/>
      <c r="Y449" s="370"/>
      <c r="Z449" s="370"/>
      <c r="AA449" s="370"/>
      <c r="AB449" s="370"/>
      <c r="AC449" s="370"/>
      <c r="AD449" s="370"/>
      <c r="AE449" s="370"/>
      <c r="AF449" s="370"/>
      <c r="AG449" s="370"/>
      <c r="AH449" s="370"/>
      <c r="AI449" s="370"/>
      <c r="AJ449" s="370"/>
      <c r="AK449" s="219"/>
      <c r="AL449" s="219"/>
      <c r="AM449" s="219"/>
      <c r="AN449" s="219"/>
      <c r="AO449" s="116"/>
      <c r="AP449" s="116"/>
      <c r="AQ449" s="116"/>
      <c r="AR449" s="116"/>
      <c r="AS449" s="116"/>
      <c r="AT449" s="116"/>
      <c r="AU449" s="332"/>
      <c r="AV449" s="332"/>
      <c r="AW449" s="332"/>
      <c r="AX449" s="332"/>
      <c r="AY449" s="332"/>
      <c r="AZ449" s="332"/>
      <c r="BA449" s="332"/>
      <c r="BB449" s="31"/>
      <c r="BC449" s="31"/>
      <c r="BD449" s="31"/>
      <c r="BE449" s="31"/>
    </row>
    <row r="450" spans="1:57" ht="13">
      <c r="A450" s="153"/>
      <c r="F450" s="153"/>
      <c r="G450" s="116"/>
      <c r="H450" s="116"/>
      <c r="I450" s="116"/>
      <c r="J450" s="116"/>
      <c r="K450" s="219"/>
      <c r="L450" s="116"/>
      <c r="M450" s="31"/>
      <c r="N450" s="336"/>
      <c r="O450" s="336"/>
      <c r="P450" s="219"/>
      <c r="Q450" s="332"/>
      <c r="R450" s="219"/>
      <c r="S450" s="332"/>
      <c r="T450" s="219"/>
      <c r="U450" s="332"/>
      <c r="V450" s="332"/>
      <c r="W450" s="370"/>
      <c r="X450" s="370"/>
      <c r="Y450" s="370"/>
      <c r="Z450" s="370"/>
      <c r="AA450" s="370"/>
      <c r="AB450" s="370"/>
      <c r="AC450" s="370"/>
      <c r="AD450" s="370"/>
      <c r="AE450" s="370"/>
      <c r="AF450" s="370"/>
      <c r="AG450" s="370"/>
      <c r="AH450" s="370"/>
      <c r="AI450" s="370"/>
      <c r="AJ450" s="370"/>
      <c r="AK450" s="219"/>
      <c r="AL450" s="219"/>
      <c r="AM450" s="219"/>
      <c r="AN450" s="219"/>
      <c r="AO450" s="116"/>
      <c r="AP450" s="116"/>
      <c r="AQ450" s="116"/>
      <c r="AR450" s="116"/>
      <c r="AS450" s="116"/>
      <c r="AT450" s="116"/>
      <c r="AU450" s="332"/>
      <c r="AV450" s="332"/>
      <c r="AW450" s="332"/>
      <c r="AX450" s="332"/>
      <c r="AY450" s="332"/>
      <c r="AZ450" s="332"/>
      <c r="BA450" s="332"/>
      <c r="BB450" s="31"/>
      <c r="BC450" s="31"/>
      <c r="BD450" s="31"/>
      <c r="BE450" s="31"/>
    </row>
    <row r="451" spans="1:57" ht="13">
      <c r="A451" s="153"/>
      <c r="F451" s="153"/>
      <c r="G451" s="116"/>
      <c r="H451" s="116"/>
      <c r="I451" s="116"/>
      <c r="J451" s="116"/>
      <c r="K451" s="219"/>
      <c r="L451" s="116"/>
      <c r="M451" s="31"/>
      <c r="N451" s="336"/>
      <c r="O451" s="336"/>
      <c r="P451" s="219"/>
      <c r="Q451" s="332"/>
      <c r="R451" s="219"/>
      <c r="S451" s="332"/>
      <c r="T451" s="219"/>
      <c r="U451" s="332"/>
      <c r="V451" s="332"/>
      <c r="W451" s="370"/>
      <c r="X451" s="370"/>
      <c r="Y451" s="370"/>
      <c r="Z451" s="370"/>
      <c r="AA451" s="370"/>
      <c r="AB451" s="370"/>
      <c r="AC451" s="370"/>
      <c r="AD451" s="370"/>
      <c r="AE451" s="370"/>
      <c r="AF451" s="370"/>
      <c r="AG451" s="370"/>
      <c r="AH451" s="370"/>
      <c r="AI451" s="370"/>
      <c r="AJ451" s="370"/>
      <c r="AK451" s="219"/>
      <c r="AL451" s="219"/>
      <c r="AM451" s="219"/>
      <c r="AN451" s="219"/>
      <c r="AO451" s="116"/>
      <c r="AP451" s="116"/>
      <c r="AQ451" s="116"/>
      <c r="AR451" s="116"/>
      <c r="AS451" s="116"/>
      <c r="AT451" s="116"/>
      <c r="AU451" s="332"/>
      <c r="AV451" s="332"/>
      <c r="AW451" s="332"/>
      <c r="AX451" s="332"/>
      <c r="AY451" s="332"/>
      <c r="AZ451" s="332"/>
      <c r="BA451" s="332"/>
      <c r="BB451" s="31"/>
      <c r="BC451" s="31"/>
      <c r="BD451" s="31"/>
      <c r="BE451" s="31"/>
    </row>
    <row r="452" spans="1:57" ht="13">
      <c r="A452" s="153"/>
      <c r="F452" s="153"/>
      <c r="G452" s="116"/>
      <c r="H452" s="116"/>
      <c r="I452" s="116"/>
      <c r="J452" s="116"/>
      <c r="K452" s="219"/>
      <c r="L452" s="116"/>
      <c r="M452" s="31"/>
      <c r="N452" s="336"/>
      <c r="O452" s="336"/>
      <c r="P452" s="219"/>
      <c r="Q452" s="332"/>
      <c r="R452" s="219"/>
      <c r="S452" s="332"/>
      <c r="T452" s="219"/>
      <c r="U452" s="332"/>
      <c r="V452" s="332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  <c r="AH452" s="370"/>
      <c r="AI452" s="370"/>
      <c r="AJ452" s="370"/>
      <c r="AK452" s="219"/>
      <c r="AL452" s="219"/>
      <c r="AM452" s="219"/>
      <c r="AN452" s="219"/>
      <c r="AO452" s="116"/>
      <c r="AP452" s="116"/>
      <c r="AQ452" s="116"/>
      <c r="AR452" s="116"/>
      <c r="AS452" s="116"/>
      <c r="AT452" s="116"/>
      <c r="AU452" s="332"/>
      <c r="AV452" s="332"/>
      <c r="AW452" s="332"/>
      <c r="AX452" s="332"/>
      <c r="AY452" s="332"/>
      <c r="AZ452" s="332"/>
      <c r="BA452" s="332"/>
      <c r="BB452" s="31"/>
      <c r="BC452" s="31"/>
      <c r="BD452" s="31"/>
      <c r="BE452" s="31"/>
    </row>
    <row r="453" spans="1:57" ht="13">
      <c r="A453" s="153"/>
      <c r="F453" s="153"/>
      <c r="G453" s="116"/>
      <c r="H453" s="116"/>
      <c r="I453" s="116"/>
      <c r="J453" s="116"/>
      <c r="K453" s="219"/>
      <c r="L453" s="116"/>
      <c r="M453" s="31"/>
      <c r="N453" s="336"/>
      <c r="O453" s="336"/>
      <c r="P453" s="219"/>
      <c r="Q453" s="332"/>
      <c r="R453" s="219"/>
      <c r="S453" s="332"/>
      <c r="T453" s="219"/>
      <c r="U453" s="332"/>
      <c r="V453" s="332"/>
      <c r="W453" s="370"/>
      <c r="X453" s="370"/>
      <c r="Y453" s="370"/>
      <c r="Z453" s="370"/>
      <c r="AA453" s="370"/>
      <c r="AB453" s="370"/>
      <c r="AC453" s="370"/>
      <c r="AD453" s="370"/>
      <c r="AE453" s="370"/>
      <c r="AF453" s="370"/>
      <c r="AG453" s="370"/>
      <c r="AH453" s="370"/>
      <c r="AI453" s="370"/>
      <c r="AJ453" s="370"/>
      <c r="AK453" s="219"/>
      <c r="AL453" s="219"/>
      <c r="AM453" s="219"/>
      <c r="AN453" s="219"/>
      <c r="AO453" s="116"/>
      <c r="AP453" s="116"/>
      <c r="AQ453" s="116"/>
      <c r="AR453" s="116"/>
      <c r="AS453" s="116"/>
      <c r="AT453" s="116"/>
      <c r="AU453" s="332"/>
      <c r="AV453" s="332"/>
      <c r="AW453" s="332"/>
      <c r="AX453" s="332"/>
      <c r="AY453" s="332"/>
      <c r="AZ453" s="332"/>
      <c r="BA453" s="332"/>
      <c r="BB453" s="31"/>
      <c r="BC453" s="31"/>
      <c r="BD453" s="31"/>
      <c r="BE453" s="31"/>
    </row>
    <row r="454" spans="1:57" ht="13">
      <c r="A454" s="153"/>
      <c r="F454" s="153"/>
      <c r="G454" s="116"/>
      <c r="H454" s="116"/>
      <c r="I454" s="116"/>
      <c r="J454" s="116"/>
      <c r="K454" s="219"/>
      <c r="L454" s="116"/>
      <c r="M454" s="31"/>
      <c r="N454" s="336"/>
      <c r="O454" s="336"/>
      <c r="P454" s="219"/>
      <c r="Q454" s="332"/>
      <c r="R454" s="219"/>
      <c r="S454" s="332"/>
      <c r="T454" s="219"/>
      <c r="U454" s="332"/>
      <c r="V454" s="332"/>
      <c r="W454" s="370"/>
      <c r="X454" s="370"/>
      <c r="Y454" s="370"/>
      <c r="Z454" s="370"/>
      <c r="AA454" s="370"/>
      <c r="AB454" s="370"/>
      <c r="AC454" s="370"/>
      <c r="AD454" s="370"/>
      <c r="AE454" s="370"/>
      <c r="AF454" s="370"/>
      <c r="AG454" s="370"/>
      <c r="AH454" s="370"/>
      <c r="AI454" s="370"/>
      <c r="AJ454" s="370"/>
      <c r="AK454" s="219"/>
      <c r="AL454" s="219"/>
      <c r="AM454" s="219"/>
      <c r="AN454" s="219"/>
      <c r="AO454" s="116"/>
      <c r="AP454" s="116"/>
      <c r="AQ454" s="116"/>
      <c r="AR454" s="116"/>
      <c r="AS454" s="116"/>
      <c r="AT454" s="116"/>
      <c r="AU454" s="332"/>
      <c r="AV454" s="332"/>
      <c r="AW454" s="332"/>
      <c r="AX454" s="332"/>
      <c r="AY454" s="332"/>
      <c r="AZ454" s="332"/>
      <c r="BA454" s="332"/>
      <c r="BB454" s="31"/>
      <c r="BC454" s="31"/>
      <c r="BD454" s="31"/>
      <c r="BE454" s="31"/>
    </row>
    <row r="455" spans="1:57" ht="13">
      <c r="A455" s="153"/>
      <c r="F455" s="153"/>
      <c r="G455" s="116"/>
      <c r="H455" s="116"/>
      <c r="I455" s="116"/>
      <c r="J455" s="116"/>
      <c r="K455" s="219"/>
      <c r="L455" s="116"/>
      <c r="M455" s="31"/>
      <c r="N455" s="336"/>
      <c r="O455" s="336"/>
      <c r="P455" s="219"/>
      <c r="Q455" s="332"/>
      <c r="R455" s="219"/>
      <c r="S455" s="332"/>
      <c r="T455" s="219"/>
      <c r="U455" s="332"/>
      <c r="V455" s="332"/>
      <c r="W455" s="370"/>
      <c r="X455" s="370"/>
      <c r="Y455" s="370"/>
      <c r="Z455" s="370"/>
      <c r="AA455" s="370"/>
      <c r="AB455" s="370"/>
      <c r="AC455" s="370"/>
      <c r="AD455" s="370"/>
      <c r="AE455" s="370"/>
      <c r="AF455" s="370"/>
      <c r="AG455" s="370"/>
      <c r="AH455" s="370"/>
      <c r="AI455" s="370"/>
      <c r="AJ455" s="370"/>
      <c r="AK455" s="219"/>
      <c r="AL455" s="219"/>
      <c r="AM455" s="219"/>
      <c r="AN455" s="219"/>
      <c r="AO455" s="116"/>
      <c r="AP455" s="116"/>
      <c r="AQ455" s="116"/>
      <c r="AR455" s="116"/>
      <c r="AS455" s="116"/>
      <c r="AT455" s="116"/>
      <c r="AU455" s="332"/>
      <c r="AV455" s="332"/>
      <c r="AW455" s="332"/>
      <c r="AX455" s="332"/>
      <c r="AY455" s="332"/>
      <c r="AZ455" s="332"/>
      <c r="BA455" s="332"/>
      <c r="BB455" s="31"/>
      <c r="BC455" s="31"/>
      <c r="BD455" s="31"/>
      <c r="BE455" s="31"/>
    </row>
    <row r="456" spans="1:57" ht="13">
      <c r="A456" s="153"/>
      <c r="F456" s="153"/>
      <c r="G456" s="116"/>
      <c r="H456" s="116"/>
      <c r="I456" s="116"/>
      <c r="J456" s="116"/>
      <c r="K456" s="219"/>
      <c r="L456" s="116"/>
      <c r="M456" s="31"/>
      <c r="N456" s="336"/>
      <c r="O456" s="336"/>
      <c r="P456" s="219"/>
      <c r="Q456" s="332"/>
      <c r="R456" s="219"/>
      <c r="S456" s="332"/>
      <c r="T456" s="219"/>
      <c r="U456" s="332"/>
      <c r="V456" s="332"/>
      <c r="W456" s="370"/>
      <c r="X456" s="370"/>
      <c r="Y456" s="370"/>
      <c r="Z456" s="370"/>
      <c r="AA456" s="370"/>
      <c r="AB456" s="370"/>
      <c r="AC456" s="370"/>
      <c r="AD456" s="370"/>
      <c r="AE456" s="370"/>
      <c r="AF456" s="370"/>
      <c r="AG456" s="370"/>
      <c r="AH456" s="370"/>
      <c r="AI456" s="370"/>
      <c r="AJ456" s="370"/>
      <c r="AK456" s="219"/>
      <c r="AL456" s="219"/>
      <c r="AM456" s="219"/>
      <c r="AN456" s="219"/>
      <c r="AO456" s="116"/>
      <c r="AP456" s="116"/>
      <c r="AQ456" s="116"/>
      <c r="AR456" s="116"/>
      <c r="AS456" s="116"/>
      <c r="AT456" s="116"/>
      <c r="AU456" s="332"/>
      <c r="AV456" s="332"/>
      <c r="AW456" s="332"/>
      <c r="AX456" s="332"/>
      <c r="AY456" s="332"/>
      <c r="AZ456" s="332"/>
      <c r="BA456" s="332"/>
      <c r="BB456" s="31"/>
      <c r="BC456" s="31"/>
      <c r="BD456" s="31"/>
      <c r="BE456" s="31"/>
    </row>
    <row r="457" spans="1:57" ht="13">
      <c r="A457" s="153"/>
      <c r="F457" s="153"/>
      <c r="G457" s="116"/>
      <c r="H457" s="116"/>
      <c r="I457" s="116"/>
      <c r="J457" s="116"/>
      <c r="K457" s="219"/>
      <c r="L457" s="116"/>
      <c r="M457" s="31"/>
      <c r="N457" s="336"/>
      <c r="O457" s="336"/>
      <c r="P457" s="219"/>
      <c r="Q457" s="332"/>
      <c r="R457" s="219"/>
      <c r="S457" s="332"/>
      <c r="T457" s="219"/>
      <c r="U457" s="332"/>
      <c r="V457" s="332"/>
      <c r="W457" s="370"/>
      <c r="X457" s="370"/>
      <c r="Y457" s="370"/>
      <c r="Z457" s="370"/>
      <c r="AA457" s="370"/>
      <c r="AB457" s="370"/>
      <c r="AC457" s="370"/>
      <c r="AD457" s="370"/>
      <c r="AE457" s="370"/>
      <c r="AF457" s="370"/>
      <c r="AG457" s="370"/>
      <c r="AH457" s="370"/>
      <c r="AI457" s="370"/>
      <c r="AJ457" s="370"/>
      <c r="AK457" s="219"/>
      <c r="AL457" s="219"/>
      <c r="AM457" s="219"/>
      <c r="AN457" s="219"/>
      <c r="AO457" s="116"/>
      <c r="AP457" s="116"/>
      <c r="AQ457" s="116"/>
      <c r="AR457" s="116"/>
      <c r="AS457" s="116"/>
      <c r="AT457" s="116"/>
      <c r="AU457" s="332"/>
      <c r="AV457" s="332"/>
      <c r="AW457" s="332"/>
      <c r="AX457" s="332"/>
      <c r="AY457" s="332"/>
      <c r="AZ457" s="332"/>
      <c r="BA457" s="332"/>
      <c r="BB457" s="31"/>
      <c r="BC457" s="31"/>
      <c r="BD457" s="31"/>
      <c r="BE457" s="31"/>
    </row>
    <row r="458" spans="1:57" ht="13">
      <c r="A458" s="153"/>
      <c r="F458" s="153"/>
      <c r="G458" s="116"/>
      <c r="H458" s="116"/>
      <c r="I458" s="116"/>
      <c r="J458" s="116"/>
      <c r="K458" s="219"/>
      <c r="L458" s="116"/>
      <c r="M458" s="31"/>
      <c r="N458" s="336"/>
      <c r="O458" s="336"/>
      <c r="P458" s="219"/>
      <c r="Q458" s="332"/>
      <c r="R458" s="219"/>
      <c r="S458" s="332"/>
      <c r="T458" s="219"/>
      <c r="U458" s="332"/>
      <c r="V458" s="332"/>
      <c r="W458" s="370"/>
      <c r="X458" s="370"/>
      <c r="Y458" s="370"/>
      <c r="Z458" s="370"/>
      <c r="AA458" s="370"/>
      <c r="AB458" s="370"/>
      <c r="AC458" s="370"/>
      <c r="AD458" s="370"/>
      <c r="AE458" s="370"/>
      <c r="AF458" s="370"/>
      <c r="AG458" s="370"/>
      <c r="AH458" s="370"/>
      <c r="AI458" s="370"/>
      <c r="AJ458" s="370"/>
      <c r="AK458" s="219"/>
      <c r="AL458" s="219"/>
      <c r="AM458" s="219"/>
      <c r="AN458" s="219"/>
      <c r="AO458" s="116"/>
      <c r="AP458" s="116"/>
      <c r="AQ458" s="116"/>
      <c r="AR458" s="116"/>
      <c r="AS458" s="116"/>
      <c r="AT458" s="116"/>
      <c r="AU458" s="332"/>
      <c r="AV458" s="332"/>
      <c r="AW458" s="332"/>
      <c r="AX458" s="332"/>
      <c r="AY458" s="332"/>
      <c r="AZ458" s="332"/>
      <c r="BA458" s="332"/>
      <c r="BB458" s="31"/>
      <c r="BC458" s="31"/>
      <c r="BD458" s="31"/>
      <c r="BE458" s="31"/>
    </row>
    <row r="459" spans="1:57" ht="13">
      <c r="A459" s="153"/>
      <c r="F459" s="153"/>
      <c r="G459" s="116"/>
      <c r="H459" s="116"/>
      <c r="I459" s="116"/>
      <c r="J459" s="116"/>
      <c r="K459" s="219"/>
      <c r="L459" s="116"/>
      <c r="M459" s="31"/>
      <c r="N459" s="336"/>
      <c r="O459" s="336"/>
      <c r="P459" s="219"/>
      <c r="Q459" s="332"/>
      <c r="R459" s="219"/>
      <c r="S459" s="332"/>
      <c r="T459" s="219"/>
      <c r="U459" s="332"/>
      <c r="V459" s="332"/>
      <c r="W459" s="370"/>
      <c r="X459" s="370"/>
      <c r="Y459" s="370"/>
      <c r="Z459" s="370"/>
      <c r="AA459" s="370"/>
      <c r="AB459" s="370"/>
      <c r="AC459" s="370"/>
      <c r="AD459" s="370"/>
      <c r="AE459" s="370"/>
      <c r="AF459" s="370"/>
      <c r="AG459" s="370"/>
      <c r="AH459" s="370"/>
      <c r="AI459" s="370"/>
      <c r="AJ459" s="370"/>
      <c r="AK459" s="219"/>
      <c r="AL459" s="219"/>
      <c r="AM459" s="219"/>
      <c r="AN459" s="219"/>
      <c r="AO459" s="116"/>
      <c r="AP459" s="116"/>
      <c r="AQ459" s="116"/>
      <c r="AR459" s="116"/>
      <c r="AS459" s="116"/>
      <c r="AT459" s="116"/>
      <c r="AU459" s="332"/>
      <c r="AV459" s="332"/>
      <c r="AW459" s="332"/>
      <c r="AX459" s="332"/>
      <c r="AY459" s="332"/>
      <c r="AZ459" s="332"/>
      <c r="BA459" s="332"/>
      <c r="BB459" s="31"/>
      <c r="BC459" s="31"/>
      <c r="BD459" s="31"/>
      <c r="BE459" s="31"/>
    </row>
    <row r="460" spans="1:57" ht="13">
      <c r="A460" s="153"/>
      <c r="F460" s="153"/>
      <c r="G460" s="116"/>
      <c r="H460" s="116"/>
      <c r="I460" s="116"/>
      <c r="J460" s="116"/>
      <c r="K460" s="219"/>
      <c r="L460" s="116"/>
      <c r="M460" s="31"/>
      <c r="N460" s="336"/>
      <c r="O460" s="336"/>
      <c r="P460" s="219"/>
      <c r="Q460" s="332"/>
      <c r="R460" s="219"/>
      <c r="S460" s="332"/>
      <c r="T460" s="219"/>
      <c r="U460" s="332"/>
      <c r="V460" s="332"/>
      <c r="W460" s="370"/>
      <c r="X460" s="370"/>
      <c r="Y460" s="370"/>
      <c r="Z460" s="370"/>
      <c r="AA460" s="370"/>
      <c r="AB460" s="370"/>
      <c r="AC460" s="370"/>
      <c r="AD460" s="370"/>
      <c r="AE460" s="370"/>
      <c r="AF460" s="370"/>
      <c r="AG460" s="370"/>
      <c r="AH460" s="370"/>
      <c r="AI460" s="370"/>
      <c r="AJ460" s="370"/>
      <c r="AK460" s="219"/>
      <c r="AL460" s="219"/>
      <c r="AM460" s="219"/>
      <c r="AN460" s="219"/>
      <c r="AO460" s="116"/>
      <c r="AP460" s="116"/>
      <c r="AQ460" s="116"/>
      <c r="AR460" s="116"/>
      <c r="AS460" s="116"/>
      <c r="AT460" s="116"/>
      <c r="AU460" s="332"/>
      <c r="AV460" s="332"/>
      <c r="AW460" s="332"/>
      <c r="AX460" s="332"/>
      <c r="AY460" s="332"/>
      <c r="AZ460" s="332"/>
      <c r="BA460" s="332"/>
      <c r="BB460" s="31"/>
      <c r="BC460" s="31"/>
      <c r="BD460" s="31"/>
      <c r="BE460" s="31"/>
    </row>
    <row r="461" spans="1:57" ht="13">
      <c r="A461" s="153"/>
      <c r="F461" s="153"/>
      <c r="G461" s="116"/>
      <c r="H461" s="116"/>
      <c r="I461" s="116"/>
      <c r="J461" s="116"/>
      <c r="K461" s="219"/>
      <c r="L461" s="116"/>
      <c r="M461" s="31"/>
      <c r="N461" s="336"/>
      <c r="O461" s="336"/>
      <c r="P461" s="219"/>
      <c r="Q461" s="332"/>
      <c r="R461" s="219"/>
      <c r="S461" s="332"/>
      <c r="T461" s="219"/>
      <c r="U461" s="332"/>
      <c r="V461" s="332"/>
      <c r="W461" s="370"/>
      <c r="X461" s="370"/>
      <c r="Y461" s="370"/>
      <c r="Z461" s="370"/>
      <c r="AA461" s="370"/>
      <c r="AB461" s="370"/>
      <c r="AC461" s="370"/>
      <c r="AD461" s="370"/>
      <c r="AE461" s="370"/>
      <c r="AF461" s="370"/>
      <c r="AG461" s="370"/>
      <c r="AH461" s="370"/>
      <c r="AI461" s="370"/>
      <c r="AJ461" s="370"/>
      <c r="AK461" s="219"/>
      <c r="AL461" s="219"/>
      <c r="AM461" s="219"/>
      <c r="AN461" s="219"/>
      <c r="AO461" s="116"/>
      <c r="AP461" s="116"/>
      <c r="AQ461" s="116"/>
      <c r="AR461" s="116"/>
      <c r="AS461" s="116"/>
      <c r="AT461" s="116"/>
      <c r="AU461" s="332"/>
      <c r="AV461" s="332"/>
      <c r="AW461" s="332"/>
      <c r="AX461" s="332"/>
      <c r="AY461" s="332"/>
      <c r="AZ461" s="332"/>
      <c r="BA461" s="332"/>
      <c r="BB461" s="31"/>
      <c r="BC461" s="31"/>
      <c r="BD461" s="31"/>
      <c r="BE461" s="31"/>
    </row>
    <row r="462" spans="1:57" ht="13">
      <c r="A462" s="153"/>
      <c r="F462" s="153"/>
      <c r="G462" s="116"/>
      <c r="H462" s="116"/>
      <c r="I462" s="116"/>
      <c r="J462" s="116"/>
      <c r="K462" s="219"/>
      <c r="L462" s="116"/>
      <c r="M462" s="31"/>
      <c r="N462" s="336"/>
      <c r="O462" s="336"/>
      <c r="P462" s="219"/>
      <c r="Q462" s="332"/>
      <c r="R462" s="219"/>
      <c r="S462" s="332"/>
      <c r="T462" s="219"/>
      <c r="U462" s="332"/>
      <c r="V462" s="332"/>
      <c r="W462" s="370"/>
      <c r="X462" s="370"/>
      <c r="Y462" s="370"/>
      <c r="Z462" s="370"/>
      <c r="AA462" s="370"/>
      <c r="AB462" s="370"/>
      <c r="AC462" s="370"/>
      <c r="AD462" s="370"/>
      <c r="AE462" s="370"/>
      <c r="AF462" s="370"/>
      <c r="AG462" s="370"/>
      <c r="AH462" s="370"/>
      <c r="AI462" s="370"/>
      <c r="AJ462" s="370"/>
      <c r="AK462" s="219"/>
      <c r="AL462" s="219"/>
      <c r="AM462" s="219"/>
      <c r="AN462" s="219"/>
      <c r="AO462" s="116"/>
      <c r="AP462" s="116"/>
      <c r="AQ462" s="116"/>
      <c r="AR462" s="116"/>
      <c r="AS462" s="116"/>
      <c r="AT462" s="116"/>
      <c r="AU462" s="332"/>
      <c r="AV462" s="332"/>
      <c r="AW462" s="332"/>
      <c r="AX462" s="332"/>
      <c r="AY462" s="332"/>
      <c r="AZ462" s="332"/>
      <c r="BA462" s="332"/>
      <c r="BB462" s="31"/>
      <c r="BC462" s="31"/>
      <c r="BD462" s="31"/>
      <c r="BE462" s="31"/>
    </row>
    <row r="463" spans="1:57" ht="13">
      <c r="A463" s="153"/>
      <c r="F463" s="153"/>
      <c r="G463" s="116"/>
      <c r="H463" s="116"/>
      <c r="I463" s="116"/>
      <c r="J463" s="116"/>
      <c r="K463" s="219"/>
      <c r="L463" s="116"/>
      <c r="M463" s="31"/>
      <c r="N463" s="336"/>
      <c r="O463" s="336"/>
      <c r="P463" s="219"/>
      <c r="Q463" s="332"/>
      <c r="R463" s="219"/>
      <c r="S463" s="332"/>
      <c r="T463" s="219"/>
      <c r="U463" s="332"/>
      <c r="V463" s="332"/>
      <c r="W463" s="370"/>
      <c r="X463" s="370"/>
      <c r="Y463" s="370"/>
      <c r="Z463" s="370"/>
      <c r="AA463" s="370"/>
      <c r="AB463" s="370"/>
      <c r="AC463" s="370"/>
      <c r="AD463" s="370"/>
      <c r="AE463" s="370"/>
      <c r="AF463" s="370"/>
      <c r="AG463" s="370"/>
      <c r="AH463" s="370"/>
      <c r="AI463" s="370"/>
      <c r="AJ463" s="370"/>
      <c r="AK463" s="219"/>
      <c r="AL463" s="219"/>
      <c r="AM463" s="219"/>
      <c r="AN463" s="219"/>
      <c r="AO463" s="116"/>
      <c r="AP463" s="116"/>
      <c r="AQ463" s="116"/>
      <c r="AR463" s="116"/>
      <c r="AS463" s="116"/>
      <c r="AT463" s="116"/>
      <c r="AU463" s="332"/>
      <c r="AV463" s="332"/>
      <c r="AW463" s="332"/>
      <c r="AX463" s="332"/>
      <c r="AY463" s="332"/>
      <c r="AZ463" s="332"/>
      <c r="BA463" s="332"/>
      <c r="BB463" s="31"/>
      <c r="BC463" s="31"/>
      <c r="BD463" s="31"/>
      <c r="BE463" s="31"/>
    </row>
    <row r="464" spans="1:57" ht="13">
      <c r="A464" s="153"/>
      <c r="F464" s="153"/>
      <c r="G464" s="116"/>
      <c r="H464" s="116"/>
      <c r="I464" s="116"/>
      <c r="J464" s="116"/>
      <c r="K464" s="219"/>
      <c r="L464" s="116"/>
      <c r="M464" s="31"/>
      <c r="N464" s="336"/>
      <c r="O464" s="336"/>
      <c r="P464" s="219"/>
      <c r="Q464" s="332"/>
      <c r="R464" s="219"/>
      <c r="S464" s="332"/>
      <c r="T464" s="219"/>
      <c r="U464" s="332"/>
      <c r="V464" s="332"/>
      <c r="W464" s="370"/>
      <c r="X464" s="370"/>
      <c r="Y464" s="370"/>
      <c r="Z464" s="370"/>
      <c r="AA464" s="370"/>
      <c r="AB464" s="370"/>
      <c r="AC464" s="370"/>
      <c r="AD464" s="370"/>
      <c r="AE464" s="370"/>
      <c r="AF464" s="370"/>
      <c r="AG464" s="370"/>
      <c r="AH464" s="370"/>
      <c r="AI464" s="370"/>
      <c r="AJ464" s="370"/>
      <c r="AK464" s="219"/>
      <c r="AL464" s="219"/>
      <c r="AM464" s="219"/>
      <c r="AN464" s="219"/>
      <c r="AO464" s="116"/>
      <c r="AP464" s="116"/>
      <c r="AQ464" s="116"/>
      <c r="AR464" s="116"/>
      <c r="AS464" s="116"/>
      <c r="AT464" s="116"/>
      <c r="AU464" s="332"/>
      <c r="AV464" s="332"/>
      <c r="AW464" s="332"/>
      <c r="AX464" s="332"/>
      <c r="AY464" s="332"/>
      <c r="AZ464" s="332"/>
      <c r="BA464" s="332"/>
      <c r="BB464" s="31"/>
      <c r="BC464" s="31"/>
      <c r="BD464" s="31"/>
      <c r="BE464" s="31"/>
    </row>
    <row r="465" spans="1:57" ht="13">
      <c r="A465" s="153"/>
      <c r="F465" s="153"/>
      <c r="G465" s="116"/>
      <c r="H465" s="116"/>
      <c r="I465" s="116"/>
      <c r="J465" s="116"/>
      <c r="K465" s="219"/>
      <c r="L465" s="116"/>
      <c r="M465" s="31"/>
      <c r="N465" s="336"/>
      <c r="O465" s="336"/>
      <c r="P465" s="219"/>
      <c r="Q465" s="332"/>
      <c r="R465" s="219"/>
      <c r="S465" s="332"/>
      <c r="T465" s="219"/>
      <c r="U465" s="332"/>
      <c r="V465" s="332"/>
      <c r="W465" s="370"/>
      <c r="X465" s="370"/>
      <c r="Y465" s="370"/>
      <c r="Z465" s="370"/>
      <c r="AA465" s="370"/>
      <c r="AB465" s="370"/>
      <c r="AC465" s="370"/>
      <c r="AD465" s="370"/>
      <c r="AE465" s="370"/>
      <c r="AF465" s="370"/>
      <c r="AG465" s="370"/>
      <c r="AH465" s="370"/>
      <c r="AI465" s="370"/>
      <c r="AJ465" s="370"/>
      <c r="AK465" s="219"/>
      <c r="AL465" s="219"/>
      <c r="AM465" s="219"/>
      <c r="AN465" s="219"/>
      <c r="AO465" s="116"/>
      <c r="AP465" s="116"/>
      <c r="AQ465" s="116"/>
      <c r="AR465" s="116"/>
      <c r="AS465" s="116"/>
      <c r="AT465" s="116"/>
      <c r="AU465" s="332"/>
      <c r="AV465" s="332"/>
      <c r="AW465" s="332"/>
      <c r="AX465" s="332"/>
      <c r="AY465" s="332"/>
      <c r="AZ465" s="332"/>
      <c r="BA465" s="332"/>
      <c r="BB465" s="31"/>
      <c r="BC465" s="31"/>
      <c r="BD465" s="31"/>
      <c r="BE465" s="31"/>
    </row>
    <row r="466" spans="1:57" ht="13">
      <c r="A466" s="153"/>
      <c r="F466" s="153"/>
      <c r="G466" s="116"/>
      <c r="H466" s="116"/>
      <c r="I466" s="116"/>
      <c r="J466" s="116"/>
      <c r="K466" s="219"/>
      <c r="L466" s="116"/>
      <c r="M466" s="31"/>
      <c r="N466" s="336"/>
      <c r="O466" s="336"/>
      <c r="P466" s="219"/>
      <c r="Q466" s="332"/>
      <c r="R466" s="219"/>
      <c r="S466" s="332"/>
      <c r="T466" s="219"/>
      <c r="U466" s="332"/>
      <c r="V466" s="332"/>
      <c r="W466" s="370"/>
      <c r="X466" s="370"/>
      <c r="Y466" s="370"/>
      <c r="Z466" s="370"/>
      <c r="AA466" s="370"/>
      <c r="AB466" s="370"/>
      <c r="AC466" s="370"/>
      <c r="AD466" s="370"/>
      <c r="AE466" s="370"/>
      <c r="AF466" s="370"/>
      <c r="AG466" s="370"/>
      <c r="AH466" s="370"/>
      <c r="AI466" s="370"/>
      <c r="AJ466" s="370"/>
      <c r="AK466" s="219"/>
      <c r="AL466" s="219"/>
      <c r="AM466" s="219"/>
      <c r="AN466" s="219"/>
      <c r="AO466" s="116"/>
      <c r="AP466" s="116"/>
      <c r="AQ466" s="116"/>
      <c r="AR466" s="116"/>
      <c r="AS466" s="116"/>
      <c r="AT466" s="116"/>
      <c r="AU466" s="332"/>
      <c r="AV466" s="332"/>
      <c r="AW466" s="332"/>
      <c r="AX466" s="332"/>
      <c r="AY466" s="332"/>
      <c r="AZ466" s="332"/>
      <c r="BA466" s="332"/>
      <c r="BB466" s="31"/>
      <c r="BC466" s="31"/>
      <c r="BD466" s="31"/>
      <c r="BE466" s="31"/>
    </row>
    <row r="467" spans="1:57" ht="13">
      <c r="A467" s="153"/>
      <c r="F467" s="153"/>
      <c r="G467" s="116"/>
      <c r="H467" s="116"/>
      <c r="I467" s="116"/>
      <c r="J467" s="116"/>
      <c r="K467" s="219"/>
      <c r="L467" s="116"/>
      <c r="M467" s="31"/>
      <c r="N467" s="336"/>
      <c r="O467" s="336"/>
      <c r="P467" s="219"/>
      <c r="Q467" s="332"/>
      <c r="R467" s="219"/>
      <c r="S467" s="332"/>
      <c r="T467" s="219"/>
      <c r="U467" s="332"/>
      <c r="V467" s="332"/>
      <c r="W467" s="370"/>
      <c r="X467" s="370"/>
      <c r="Y467" s="370"/>
      <c r="Z467" s="370"/>
      <c r="AA467" s="370"/>
      <c r="AB467" s="370"/>
      <c r="AC467" s="370"/>
      <c r="AD467" s="370"/>
      <c r="AE467" s="370"/>
      <c r="AF467" s="370"/>
      <c r="AG467" s="370"/>
      <c r="AH467" s="370"/>
      <c r="AI467" s="370"/>
      <c r="AJ467" s="370"/>
      <c r="AK467" s="219"/>
      <c r="AL467" s="219"/>
      <c r="AM467" s="219"/>
      <c r="AN467" s="219"/>
      <c r="AO467" s="116"/>
      <c r="AP467" s="116"/>
      <c r="AQ467" s="116"/>
      <c r="AR467" s="116"/>
      <c r="AS467" s="116"/>
      <c r="AT467" s="116"/>
      <c r="AU467" s="332"/>
      <c r="AV467" s="332"/>
      <c r="AW467" s="332"/>
      <c r="AX467" s="332"/>
      <c r="AY467" s="332"/>
      <c r="AZ467" s="332"/>
      <c r="BA467" s="332"/>
      <c r="BB467" s="31"/>
      <c r="BC467" s="31"/>
      <c r="BD467" s="31"/>
      <c r="BE467" s="31"/>
    </row>
    <row r="468" spans="1:57" ht="13">
      <c r="A468" s="153"/>
      <c r="F468" s="153"/>
      <c r="G468" s="116"/>
      <c r="H468" s="116"/>
      <c r="I468" s="116"/>
      <c r="J468" s="116"/>
      <c r="K468" s="219"/>
      <c r="L468" s="116"/>
      <c r="M468" s="31"/>
      <c r="N468" s="336"/>
      <c r="O468" s="336"/>
      <c r="P468" s="219"/>
      <c r="Q468" s="332"/>
      <c r="R468" s="219"/>
      <c r="S468" s="332"/>
      <c r="T468" s="219"/>
      <c r="U468" s="332"/>
      <c r="V468" s="332"/>
      <c r="W468" s="370"/>
      <c r="X468" s="370"/>
      <c r="Y468" s="370"/>
      <c r="Z468" s="370"/>
      <c r="AA468" s="370"/>
      <c r="AB468" s="370"/>
      <c r="AC468" s="370"/>
      <c r="AD468" s="370"/>
      <c r="AE468" s="370"/>
      <c r="AF468" s="370"/>
      <c r="AG468" s="370"/>
      <c r="AH468" s="370"/>
      <c r="AI468" s="370"/>
      <c r="AJ468" s="370"/>
      <c r="AK468" s="219"/>
      <c r="AL468" s="219"/>
      <c r="AM468" s="219"/>
      <c r="AN468" s="219"/>
      <c r="AO468" s="116"/>
      <c r="AP468" s="116"/>
      <c r="AQ468" s="116"/>
      <c r="AR468" s="116"/>
      <c r="AS468" s="116"/>
      <c r="AT468" s="116"/>
      <c r="AU468" s="332"/>
      <c r="AV468" s="332"/>
      <c r="AW468" s="332"/>
      <c r="AX468" s="332"/>
      <c r="AY468" s="332"/>
      <c r="AZ468" s="332"/>
      <c r="BA468" s="332"/>
      <c r="BB468" s="31"/>
      <c r="BC468" s="31"/>
      <c r="BD468" s="31"/>
      <c r="BE468" s="31"/>
    </row>
    <row r="469" spans="1:57" ht="13">
      <c r="A469" s="153"/>
      <c r="F469" s="153"/>
      <c r="G469" s="116"/>
      <c r="H469" s="116"/>
      <c r="I469" s="116"/>
      <c r="J469" s="116"/>
      <c r="K469" s="219"/>
      <c r="L469" s="116"/>
      <c r="M469" s="31"/>
      <c r="N469" s="336"/>
      <c r="O469" s="336"/>
      <c r="P469" s="219"/>
      <c r="Q469" s="332"/>
      <c r="R469" s="219"/>
      <c r="S469" s="332"/>
      <c r="T469" s="219"/>
      <c r="U469" s="332"/>
      <c r="V469" s="332"/>
      <c r="W469" s="370"/>
      <c r="X469" s="370"/>
      <c r="Y469" s="370"/>
      <c r="Z469" s="370"/>
      <c r="AA469" s="370"/>
      <c r="AB469" s="370"/>
      <c r="AC469" s="370"/>
      <c r="AD469" s="370"/>
      <c r="AE469" s="370"/>
      <c r="AF469" s="370"/>
      <c r="AG469" s="370"/>
      <c r="AH469" s="370"/>
      <c r="AI469" s="370"/>
      <c r="AJ469" s="370"/>
      <c r="AK469" s="219"/>
      <c r="AL469" s="219"/>
      <c r="AM469" s="219"/>
      <c r="AN469" s="219"/>
      <c r="AO469" s="116"/>
      <c r="AP469" s="116"/>
      <c r="AQ469" s="116"/>
      <c r="AR469" s="116"/>
      <c r="AS469" s="116"/>
      <c r="AT469" s="116"/>
      <c r="AU469" s="332"/>
      <c r="AV469" s="332"/>
      <c r="AW469" s="332"/>
      <c r="AX469" s="332"/>
      <c r="AY469" s="332"/>
      <c r="AZ469" s="332"/>
      <c r="BA469" s="332"/>
      <c r="BB469" s="31"/>
      <c r="BC469" s="31"/>
      <c r="BD469" s="31"/>
      <c r="BE469" s="31"/>
    </row>
    <row r="470" spans="1:57" ht="13">
      <c r="A470" s="153"/>
      <c r="F470" s="153"/>
      <c r="G470" s="116"/>
      <c r="H470" s="116"/>
      <c r="I470" s="116"/>
      <c r="J470" s="116"/>
      <c r="K470" s="219"/>
      <c r="L470" s="116"/>
      <c r="M470" s="31"/>
      <c r="N470" s="336"/>
      <c r="O470" s="336"/>
      <c r="P470" s="219"/>
      <c r="Q470" s="332"/>
      <c r="R470" s="219"/>
      <c r="S470" s="332"/>
      <c r="T470" s="219"/>
      <c r="U470" s="332"/>
      <c r="V470" s="332"/>
      <c r="W470" s="370"/>
      <c r="X470" s="370"/>
      <c r="Y470" s="370"/>
      <c r="Z470" s="370"/>
      <c r="AA470" s="370"/>
      <c r="AB470" s="370"/>
      <c r="AC470" s="370"/>
      <c r="AD470" s="370"/>
      <c r="AE470" s="370"/>
      <c r="AF470" s="370"/>
      <c r="AG470" s="370"/>
      <c r="AH470" s="370"/>
      <c r="AI470" s="370"/>
      <c r="AJ470" s="370"/>
      <c r="AK470" s="219"/>
      <c r="AL470" s="219"/>
      <c r="AM470" s="219"/>
      <c r="AN470" s="219"/>
      <c r="AO470" s="116"/>
      <c r="AP470" s="116"/>
      <c r="AQ470" s="116"/>
      <c r="AR470" s="116"/>
      <c r="AS470" s="116"/>
      <c r="AT470" s="116"/>
      <c r="AU470" s="332"/>
      <c r="AV470" s="332"/>
      <c r="AW470" s="332"/>
      <c r="AX470" s="332"/>
      <c r="AY470" s="332"/>
      <c r="AZ470" s="332"/>
      <c r="BA470" s="332"/>
      <c r="BB470" s="31"/>
      <c r="BC470" s="31"/>
      <c r="BD470" s="31"/>
      <c r="BE470" s="31"/>
    </row>
    <row r="471" spans="1:57" ht="13">
      <c r="A471" s="153"/>
      <c r="F471" s="153"/>
      <c r="G471" s="116"/>
      <c r="H471" s="116"/>
      <c r="I471" s="116"/>
      <c r="J471" s="116"/>
      <c r="K471" s="219"/>
      <c r="L471" s="116"/>
      <c r="M471" s="31"/>
      <c r="N471" s="336"/>
      <c r="O471" s="336"/>
      <c r="P471" s="219"/>
      <c r="Q471" s="332"/>
      <c r="R471" s="219"/>
      <c r="S471" s="332"/>
      <c r="T471" s="219"/>
      <c r="U471" s="332"/>
      <c r="V471" s="332"/>
      <c r="W471" s="370"/>
      <c r="X471" s="370"/>
      <c r="Y471" s="370"/>
      <c r="Z471" s="370"/>
      <c r="AA471" s="370"/>
      <c r="AB471" s="370"/>
      <c r="AC471" s="370"/>
      <c r="AD471" s="370"/>
      <c r="AE471" s="370"/>
      <c r="AF471" s="370"/>
      <c r="AG471" s="370"/>
      <c r="AH471" s="370"/>
      <c r="AI471" s="370"/>
      <c r="AJ471" s="370"/>
      <c r="AK471" s="219"/>
      <c r="AL471" s="219"/>
      <c r="AM471" s="219"/>
      <c r="AN471" s="219"/>
      <c r="AO471" s="116"/>
      <c r="AP471" s="116"/>
      <c r="AQ471" s="116"/>
      <c r="AR471" s="116"/>
      <c r="AS471" s="116"/>
      <c r="AT471" s="116"/>
      <c r="AU471" s="332"/>
      <c r="AV471" s="332"/>
      <c r="AW471" s="332"/>
      <c r="AX471" s="332"/>
      <c r="AY471" s="332"/>
      <c r="AZ471" s="332"/>
      <c r="BA471" s="332"/>
      <c r="BB471" s="31"/>
      <c r="BC471" s="31"/>
      <c r="BD471" s="31"/>
      <c r="BE471" s="31"/>
    </row>
    <row r="472" spans="1:57" ht="13">
      <c r="A472" s="153"/>
      <c r="F472" s="153"/>
      <c r="G472" s="116"/>
      <c r="H472" s="116"/>
      <c r="I472" s="116"/>
      <c r="J472" s="116"/>
      <c r="K472" s="219"/>
      <c r="L472" s="116"/>
      <c r="M472" s="31"/>
      <c r="N472" s="336"/>
      <c r="O472" s="336"/>
      <c r="P472" s="219"/>
      <c r="Q472" s="332"/>
      <c r="R472" s="219"/>
      <c r="S472" s="332"/>
      <c r="T472" s="219"/>
      <c r="U472" s="332"/>
      <c r="V472" s="332"/>
      <c r="W472" s="370"/>
      <c r="X472" s="370"/>
      <c r="Y472" s="370"/>
      <c r="Z472" s="370"/>
      <c r="AA472" s="370"/>
      <c r="AB472" s="370"/>
      <c r="AC472" s="370"/>
      <c r="AD472" s="370"/>
      <c r="AE472" s="370"/>
      <c r="AF472" s="370"/>
      <c r="AG472" s="370"/>
      <c r="AH472" s="370"/>
      <c r="AI472" s="370"/>
      <c r="AJ472" s="370"/>
      <c r="AK472" s="219"/>
      <c r="AL472" s="219"/>
      <c r="AM472" s="219"/>
      <c r="AN472" s="219"/>
      <c r="AO472" s="116"/>
      <c r="AP472" s="116"/>
      <c r="AQ472" s="116"/>
      <c r="AR472" s="116"/>
      <c r="AS472" s="116"/>
      <c r="AT472" s="116"/>
      <c r="AU472" s="332"/>
      <c r="AV472" s="332"/>
      <c r="AW472" s="332"/>
      <c r="AX472" s="332"/>
      <c r="AY472" s="332"/>
      <c r="AZ472" s="332"/>
      <c r="BA472" s="332"/>
      <c r="BB472" s="31"/>
      <c r="BC472" s="31"/>
      <c r="BD472" s="31"/>
      <c r="BE472" s="31"/>
    </row>
    <row r="473" spans="1:57" ht="13">
      <c r="A473" s="153"/>
      <c r="F473" s="153"/>
      <c r="G473" s="116"/>
      <c r="H473" s="116"/>
      <c r="I473" s="116"/>
      <c r="J473" s="116"/>
      <c r="K473" s="219"/>
      <c r="L473" s="116"/>
      <c r="M473" s="31"/>
      <c r="N473" s="336"/>
      <c r="O473" s="336"/>
      <c r="P473" s="219"/>
      <c r="Q473" s="332"/>
      <c r="R473" s="219"/>
      <c r="S473" s="332"/>
      <c r="T473" s="219"/>
      <c r="U473" s="332"/>
      <c r="V473" s="332"/>
      <c r="W473" s="370"/>
      <c r="X473" s="370"/>
      <c r="Y473" s="370"/>
      <c r="Z473" s="370"/>
      <c r="AA473" s="370"/>
      <c r="AB473" s="370"/>
      <c r="AC473" s="370"/>
      <c r="AD473" s="370"/>
      <c r="AE473" s="370"/>
      <c r="AF473" s="370"/>
      <c r="AG473" s="370"/>
      <c r="AH473" s="370"/>
      <c r="AI473" s="370"/>
      <c r="AJ473" s="370"/>
      <c r="AK473" s="219"/>
      <c r="AL473" s="219"/>
      <c r="AM473" s="219"/>
      <c r="AN473" s="219"/>
      <c r="AO473" s="116"/>
      <c r="AP473" s="116"/>
      <c r="AQ473" s="116"/>
      <c r="AR473" s="116"/>
      <c r="AS473" s="116"/>
      <c r="AT473" s="116"/>
      <c r="AU473" s="332"/>
      <c r="AV473" s="332"/>
      <c r="AW473" s="332"/>
      <c r="AX473" s="332"/>
      <c r="AY473" s="332"/>
      <c r="AZ473" s="332"/>
      <c r="BA473" s="332"/>
      <c r="BB473" s="31"/>
      <c r="BC473" s="31"/>
      <c r="BD473" s="31"/>
      <c r="BE473" s="31"/>
    </row>
    <row r="474" spans="1:57" ht="13">
      <c r="A474" s="153"/>
      <c r="F474" s="153"/>
      <c r="G474" s="116"/>
      <c r="H474" s="116"/>
      <c r="I474" s="116"/>
      <c r="J474" s="116"/>
      <c r="K474" s="219"/>
      <c r="L474" s="116"/>
      <c r="M474" s="31"/>
      <c r="N474" s="336"/>
      <c r="O474" s="336"/>
      <c r="P474" s="219"/>
      <c r="Q474" s="332"/>
      <c r="R474" s="219"/>
      <c r="S474" s="332"/>
      <c r="T474" s="219"/>
      <c r="U474" s="332"/>
      <c r="V474" s="332"/>
      <c r="W474" s="370"/>
      <c r="X474" s="370"/>
      <c r="Y474" s="370"/>
      <c r="Z474" s="370"/>
      <c r="AA474" s="370"/>
      <c r="AB474" s="370"/>
      <c r="AC474" s="370"/>
      <c r="AD474" s="370"/>
      <c r="AE474" s="370"/>
      <c r="AF474" s="370"/>
      <c r="AG474" s="370"/>
      <c r="AH474" s="370"/>
      <c r="AI474" s="370"/>
      <c r="AJ474" s="370"/>
      <c r="AK474" s="219"/>
      <c r="AL474" s="219"/>
      <c r="AM474" s="219"/>
      <c r="AN474" s="219"/>
      <c r="AO474" s="116"/>
      <c r="AP474" s="116"/>
      <c r="AQ474" s="116"/>
      <c r="AR474" s="116"/>
      <c r="AS474" s="116"/>
      <c r="AT474" s="116"/>
      <c r="AU474" s="332"/>
      <c r="AV474" s="332"/>
      <c r="AW474" s="332"/>
      <c r="AX474" s="332"/>
      <c r="AY474" s="332"/>
      <c r="AZ474" s="332"/>
      <c r="BA474" s="332"/>
      <c r="BB474" s="31"/>
      <c r="BC474" s="31"/>
      <c r="BD474" s="31"/>
      <c r="BE474" s="31"/>
    </row>
    <row r="475" spans="1:57" ht="13">
      <c r="A475" s="153"/>
      <c r="F475" s="153"/>
      <c r="G475" s="116"/>
      <c r="H475" s="116"/>
      <c r="I475" s="116"/>
      <c r="J475" s="116"/>
      <c r="K475" s="219"/>
      <c r="L475" s="116"/>
      <c r="M475" s="31"/>
      <c r="N475" s="336"/>
      <c r="O475" s="336"/>
      <c r="P475" s="219"/>
      <c r="Q475" s="332"/>
      <c r="R475" s="219"/>
      <c r="S475" s="332"/>
      <c r="T475" s="219"/>
      <c r="U475" s="332"/>
      <c r="V475" s="332"/>
      <c r="W475" s="370"/>
      <c r="X475" s="370"/>
      <c r="Y475" s="370"/>
      <c r="Z475" s="370"/>
      <c r="AA475" s="370"/>
      <c r="AB475" s="370"/>
      <c r="AC475" s="370"/>
      <c r="AD475" s="370"/>
      <c r="AE475" s="370"/>
      <c r="AF475" s="370"/>
      <c r="AG475" s="370"/>
      <c r="AH475" s="370"/>
      <c r="AI475" s="370"/>
      <c r="AJ475" s="370"/>
      <c r="AK475" s="219"/>
      <c r="AL475" s="219"/>
      <c r="AM475" s="219"/>
      <c r="AN475" s="219"/>
      <c r="AO475" s="116"/>
      <c r="AP475" s="116"/>
      <c r="AQ475" s="116"/>
      <c r="AR475" s="116"/>
      <c r="AS475" s="116"/>
      <c r="AT475" s="116"/>
      <c r="AU475" s="332"/>
      <c r="AV475" s="332"/>
      <c r="AW475" s="332"/>
      <c r="AX475" s="332"/>
      <c r="AY475" s="332"/>
      <c r="AZ475" s="332"/>
      <c r="BA475" s="332"/>
      <c r="BB475" s="31"/>
      <c r="BC475" s="31"/>
      <c r="BD475" s="31"/>
      <c r="BE475" s="31"/>
    </row>
    <row r="476" spans="1:57" ht="13">
      <c r="A476" s="153"/>
      <c r="F476" s="153"/>
      <c r="G476" s="116"/>
      <c r="H476" s="116"/>
      <c r="I476" s="116"/>
      <c r="J476" s="116"/>
      <c r="K476" s="219"/>
      <c r="L476" s="116"/>
      <c r="M476" s="31"/>
      <c r="N476" s="336"/>
      <c r="O476" s="336"/>
      <c r="P476" s="219"/>
      <c r="Q476" s="332"/>
      <c r="R476" s="219"/>
      <c r="S476" s="332"/>
      <c r="T476" s="219"/>
      <c r="U476" s="332"/>
      <c r="V476" s="332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219"/>
      <c r="AL476" s="219"/>
      <c r="AM476" s="219"/>
      <c r="AN476" s="219"/>
      <c r="AO476" s="116"/>
      <c r="AP476" s="116"/>
      <c r="AQ476" s="116"/>
      <c r="AR476" s="116"/>
      <c r="AS476" s="116"/>
      <c r="AT476" s="116"/>
      <c r="AU476" s="332"/>
      <c r="AV476" s="332"/>
      <c r="AW476" s="332"/>
      <c r="AX476" s="332"/>
      <c r="AY476" s="332"/>
      <c r="AZ476" s="332"/>
      <c r="BA476" s="332"/>
      <c r="BB476" s="31"/>
      <c r="BC476" s="31"/>
      <c r="BD476" s="31"/>
      <c r="BE476" s="31"/>
    </row>
    <row r="477" spans="1:57" ht="13">
      <c r="A477" s="153"/>
      <c r="F477" s="153"/>
      <c r="G477" s="116"/>
      <c r="H477" s="116"/>
      <c r="I477" s="116"/>
      <c r="J477" s="116"/>
      <c r="K477" s="219"/>
      <c r="L477" s="116"/>
      <c r="M477" s="31"/>
      <c r="N477" s="336"/>
      <c r="O477" s="336"/>
      <c r="P477" s="219"/>
      <c r="Q477" s="332"/>
      <c r="R477" s="219"/>
      <c r="S477" s="332"/>
      <c r="T477" s="219"/>
      <c r="U477" s="332"/>
      <c r="V477" s="332"/>
      <c r="W477" s="370"/>
      <c r="X477" s="370"/>
      <c r="Y477" s="370"/>
      <c r="Z477" s="370"/>
      <c r="AA477" s="370"/>
      <c r="AB477" s="370"/>
      <c r="AC477" s="370"/>
      <c r="AD477" s="370"/>
      <c r="AE477" s="370"/>
      <c r="AF477" s="370"/>
      <c r="AG477" s="370"/>
      <c r="AH477" s="370"/>
      <c r="AI477" s="370"/>
      <c r="AJ477" s="370"/>
      <c r="AK477" s="219"/>
      <c r="AL477" s="219"/>
      <c r="AM477" s="219"/>
      <c r="AN477" s="219"/>
      <c r="AO477" s="116"/>
      <c r="AP477" s="116"/>
      <c r="AQ477" s="116"/>
      <c r="AR477" s="116"/>
      <c r="AS477" s="116"/>
      <c r="AT477" s="116"/>
      <c r="AU477" s="332"/>
      <c r="AV477" s="332"/>
      <c r="AW477" s="332"/>
      <c r="AX477" s="332"/>
      <c r="AY477" s="332"/>
      <c r="AZ477" s="332"/>
      <c r="BA477" s="332"/>
      <c r="BB477" s="31"/>
      <c r="BC477" s="31"/>
      <c r="BD477" s="31"/>
      <c r="BE477" s="31"/>
    </row>
    <row r="478" spans="1:57" ht="13">
      <c r="A478" s="153"/>
      <c r="F478" s="153"/>
      <c r="G478" s="116"/>
      <c r="H478" s="116"/>
      <c r="I478" s="116"/>
      <c r="J478" s="116"/>
      <c r="K478" s="219"/>
      <c r="L478" s="116"/>
      <c r="M478" s="31"/>
      <c r="N478" s="336"/>
      <c r="O478" s="336"/>
      <c r="P478" s="219"/>
      <c r="Q478" s="332"/>
      <c r="R478" s="219"/>
      <c r="S478" s="332"/>
      <c r="T478" s="219"/>
      <c r="U478" s="332"/>
      <c r="V478" s="332"/>
      <c r="W478" s="370"/>
      <c r="X478" s="370"/>
      <c r="Y478" s="370"/>
      <c r="Z478" s="370"/>
      <c r="AA478" s="370"/>
      <c r="AB478" s="370"/>
      <c r="AC478" s="370"/>
      <c r="AD478" s="370"/>
      <c r="AE478" s="370"/>
      <c r="AF478" s="370"/>
      <c r="AG478" s="370"/>
      <c r="AH478" s="370"/>
      <c r="AI478" s="370"/>
      <c r="AJ478" s="370"/>
      <c r="AK478" s="219"/>
      <c r="AL478" s="219"/>
      <c r="AM478" s="219"/>
      <c r="AN478" s="219"/>
      <c r="AO478" s="116"/>
      <c r="AP478" s="116"/>
      <c r="AQ478" s="116"/>
      <c r="AR478" s="116"/>
      <c r="AS478" s="116"/>
      <c r="AT478" s="116"/>
      <c r="AU478" s="332"/>
      <c r="AV478" s="332"/>
      <c r="AW478" s="332"/>
      <c r="AX478" s="332"/>
      <c r="AY478" s="332"/>
      <c r="AZ478" s="332"/>
      <c r="BA478" s="332"/>
      <c r="BB478" s="31"/>
      <c r="BC478" s="31"/>
      <c r="BD478" s="31"/>
      <c r="BE478" s="31"/>
    </row>
    <row r="479" spans="1:57" ht="13">
      <c r="A479" s="153"/>
      <c r="F479" s="153"/>
      <c r="G479" s="116"/>
      <c r="H479" s="116"/>
      <c r="I479" s="116"/>
      <c r="J479" s="116"/>
      <c r="K479" s="219"/>
      <c r="L479" s="116"/>
      <c r="M479" s="31"/>
      <c r="N479" s="336"/>
      <c r="O479" s="336"/>
      <c r="P479" s="219"/>
      <c r="Q479" s="332"/>
      <c r="R479" s="219"/>
      <c r="S479" s="332"/>
      <c r="T479" s="219"/>
      <c r="U479" s="332"/>
      <c r="V479" s="332"/>
      <c r="W479" s="370"/>
      <c r="X479" s="370"/>
      <c r="Y479" s="370"/>
      <c r="Z479" s="370"/>
      <c r="AA479" s="370"/>
      <c r="AB479" s="370"/>
      <c r="AC479" s="370"/>
      <c r="AD479" s="370"/>
      <c r="AE479" s="370"/>
      <c r="AF479" s="370"/>
      <c r="AG479" s="370"/>
      <c r="AH479" s="370"/>
      <c r="AI479" s="370"/>
      <c r="AJ479" s="370"/>
      <c r="AK479" s="219"/>
      <c r="AL479" s="219"/>
      <c r="AM479" s="219"/>
      <c r="AN479" s="219"/>
      <c r="AO479" s="116"/>
      <c r="AP479" s="116"/>
      <c r="AQ479" s="116"/>
      <c r="AR479" s="116"/>
      <c r="AS479" s="116"/>
      <c r="AT479" s="116"/>
      <c r="AU479" s="332"/>
      <c r="AV479" s="332"/>
      <c r="AW479" s="332"/>
      <c r="AX479" s="332"/>
      <c r="AY479" s="332"/>
      <c r="AZ479" s="332"/>
      <c r="BA479" s="332"/>
      <c r="BB479" s="31"/>
      <c r="BC479" s="31"/>
      <c r="BD479" s="31"/>
      <c r="BE479" s="31"/>
    </row>
    <row r="480" spans="1:57" ht="13">
      <c r="A480" s="153"/>
      <c r="F480" s="153"/>
      <c r="G480" s="116"/>
      <c r="H480" s="116"/>
      <c r="I480" s="116"/>
      <c r="J480" s="116"/>
      <c r="K480" s="219"/>
      <c r="L480" s="116"/>
      <c r="M480" s="31"/>
      <c r="N480" s="336"/>
      <c r="O480" s="336"/>
      <c r="P480" s="219"/>
      <c r="Q480" s="332"/>
      <c r="R480" s="219"/>
      <c r="S480" s="332"/>
      <c r="T480" s="219"/>
      <c r="U480" s="332"/>
      <c r="V480" s="332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219"/>
      <c r="AL480" s="219"/>
      <c r="AM480" s="219"/>
      <c r="AN480" s="219"/>
      <c r="AO480" s="116"/>
      <c r="AP480" s="116"/>
      <c r="AQ480" s="116"/>
      <c r="AR480" s="116"/>
      <c r="AS480" s="116"/>
      <c r="AT480" s="116"/>
      <c r="AU480" s="332"/>
      <c r="AV480" s="332"/>
      <c r="AW480" s="332"/>
      <c r="AX480" s="332"/>
      <c r="AY480" s="332"/>
      <c r="AZ480" s="332"/>
      <c r="BA480" s="332"/>
      <c r="BB480" s="31"/>
      <c r="BC480" s="31"/>
      <c r="BD480" s="31"/>
      <c r="BE480" s="31"/>
    </row>
    <row r="481" spans="1:57" ht="13">
      <c r="A481" s="153"/>
      <c r="F481" s="153"/>
      <c r="G481" s="116"/>
      <c r="H481" s="116"/>
      <c r="I481" s="116"/>
      <c r="J481" s="116"/>
      <c r="K481" s="219"/>
      <c r="L481" s="116"/>
      <c r="M481" s="31"/>
      <c r="N481" s="336"/>
      <c r="O481" s="336"/>
      <c r="P481" s="219"/>
      <c r="Q481" s="332"/>
      <c r="R481" s="219"/>
      <c r="S481" s="332"/>
      <c r="T481" s="219"/>
      <c r="U481" s="332"/>
      <c r="V481" s="332"/>
      <c r="W481" s="370"/>
      <c r="X481" s="370"/>
      <c r="Y481" s="370"/>
      <c r="Z481" s="370"/>
      <c r="AA481" s="370"/>
      <c r="AB481" s="370"/>
      <c r="AC481" s="370"/>
      <c r="AD481" s="370"/>
      <c r="AE481" s="370"/>
      <c r="AF481" s="370"/>
      <c r="AG481" s="370"/>
      <c r="AH481" s="370"/>
      <c r="AI481" s="370"/>
      <c r="AJ481" s="370"/>
      <c r="AK481" s="219"/>
      <c r="AL481" s="219"/>
      <c r="AM481" s="219"/>
      <c r="AN481" s="219"/>
      <c r="AO481" s="116"/>
      <c r="AP481" s="116"/>
      <c r="AQ481" s="116"/>
      <c r="AR481" s="116"/>
      <c r="AS481" s="116"/>
      <c r="AT481" s="116"/>
      <c r="AU481" s="332"/>
      <c r="AV481" s="332"/>
      <c r="AW481" s="332"/>
      <c r="AX481" s="332"/>
      <c r="AY481" s="332"/>
      <c r="AZ481" s="332"/>
      <c r="BA481" s="332"/>
      <c r="BB481" s="31"/>
      <c r="BC481" s="31"/>
      <c r="BD481" s="31"/>
      <c r="BE481" s="31"/>
    </row>
    <row r="482" spans="1:57" ht="13">
      <c r="A482" s="153"/>
      <c r="F482" s="153"/>
      <c r="G482" s="116"/>
      <c r="H482" s="116"/>
      <c r="I482" s="116"/>
      <c r="J482" s="116"/>
      <c r="K482" s="219"/>
      <c r="L482" s="116"/>
      <c r="M482" s="31"/>
      <c r="N482" s="336"/>
      <c r="O482" s="336"/>
      <c r="P482" s="219"/>
      <c r="Q482" s="332"/>
      <c r="R482" s="219"/>
      <c r="S482" s="332"/>
      <c r="T482" s="219"/>
      <c r="U482" s="332"/>
      <c r="V482" s="332"/>
      <c r="W482" s="370"/>
      <c r="X482" s="370"/>
      <c r="Y482" s="370"/>
      <c r="Z482" s="370"/>
      <c r="AA482" s="370"/>
      <c r="AB482" s="370"/>
      <c r="AC482" s="370"/>
      <c r="AD482" s="370"/>
      <c r="AE482" s="370"/>
      <c r="AF482" s="370"/>
      <c r="AG482" s="370"/>
      <c r="AH482" s="370"/>
      <c r="AI482" s="370"/>
      <c r="AJ482" s="370"/>
      <c r="AK482" s="219"/>
      <c r="AL482" s="219"/>
      <c r="AM482" s="219"/>
      <c r="AN482" s="219"/>
      <c r="AO482" s="116"/>
      <c r="AP482" s="116"/>
      <c r="AQ482" s="116"/>
      <c r="AR482" s="116"/>
      <c r="AS482" s="116"/>
      <c r="AT482" s="116"/>
      <c r="AU482" s="332"/>
      <c r="AV482" s="332"/>
      <c r="AW482" s="332"/>
      <c r="AX482" s="332"/>
      <c r="AY482" s="332"/>
      <c r="AZ482" s="332"/>
      <c r="BA482" s="332"/>
      <c r="BB482" s="31"/>
      <c r="BC482" s="31"/>
      <c r="BD482" s="31"/>
      <c r="BE482" s="31"/>
    </row>
    <row r="483" spans="1:57" ht="13">
      <c r="A483" s="153"/>
      <c r="F483" s="153"/>
      <c r="G483" s="116"/>
      <c r="H483" s="116"/>
      <c r="I483" s="116"/>
      <c r="J483" s="116"/>
      <c r="K483" s="219"/>
      <c r="L483" s="116"/>
      <c r="M483" s="31"/>
      <c r="N483" s="336"/>
      <c r="O483" s="336"/>
      <c r="P483" s="219"/>
      <c r="Q483" s="332"/>
      <c r="R483" s="219"/>
      <c r="S483" s="332"/>
      <c r="T483" s="219"/>
      <c r="U483" s="332"/>
      <c r="V483" s="332"/>
      <c r="W483" s="370"/>
      <c r="X483" s="370"/>
      <c r="Y483" s="370"/>
      <c r="Z483" s="370"/>
      <c r="AA483" s="370"/>
      <c r="AB483" s="370"/>
      <c r="AC483" s="370"/>
      <c r="AD483" s="370"/>
      <c r="AE483" s="370"/>
      <c r="AF483" s="370"/>
      <c r="AG483" s="370"/>
      <c r="AH483" s="370"/>
      <c r="AI483" s="370"/>
      <c r="AJ483" s="370"/>
      <c r="AK483" s="219"/>
      <c r="AL483" s="219"/>
      <c r="AM483" s="219"/>
      <c r="AN483" s="219"/>
      <c r="AO483" s="116"/>
      <c r="AP483" s="116"/>
      <c r="AQ483" s="116"/>
      <c r="AR483" s="116"/>
      <c r="AS483" s="116"/>
      <c r="AT483" s="116"/>
      <c r="AU483" s="332"/>
      <c r="AV483" s="332"/>
      <c r="AW483" s="332"/>
      <c r="AX483" s="332"/>
      <c r="AY483" s="332"/>
      <c r="AZ483" s="332"/>
      <c r="BA483" s="332"/>
      <c r="BB483" s="31"/>
      <c r="BC483" s="31"/>
      <c r="BD483" s="31"/>
      <c r="BE483" s="31"/>
    </row>
    <row r="484" spans="1:57" ht="13">
      <c r="A484" s="153"/>
      <c r="F484" s="153"/>
      <c r="G484" s="116"/>
      <c r="H484" s="116"/>
      <c r="I484" s="116"/>
      <c r="J484" s="116"/>
      <c r="K484" s="219"/>
      <c r="L484" s="116"/>
      <c r="M484" s="31"/>
      <c r="N484" s="336"/>
      <c r="O484" s="336"/>
      <c r="P484" s="219"/>
      <c r="Q484" s="332"/>
      <c r="R484" s="219"/>
      <c r="S484" s="332"/>
      <c r="T484" s="219"/>
      <c r="U484" s="332"/>
      <c r="V484" s="332"/>
      <c r="W484" s="370"/>
      <c r="X484" s="370"/>
      <c r="Y484" s="370"/>
      <c r="Z484" s="370"/>
      <c r="AA484" s="370"/>
      <c r="AB484" s="370"/>
      <c r="AC484" s="370"/>
      <c r="AD484" s="370"/>
      <c r="AE484" s="370"/>
      <c r="AF484" s="370"/>
      <c r="AG484" s="370"/>
      <c r="AH484" s="370"/>
      <c r="AI484" s="370"/>
      <c r="AJ484" s="370"/>
      <c r="AK484" s="219"/>
      <c r="AL484" s="219"/>
      <c r="AM484" s="219"/>
      <c r="AN484" s="219"/>
      <c r="AO484" s="116"/>
      <c r="AP484" s="116"/>
      <c r="AQ484" s="116"/>
      <c r="AR484" s="116"/>
      <c r="AS484" s="116"/>
      <c r="AT484" s="116"/>
      <c r="AU484" s="332"/>
      <c r="AV484" s="332"/>
      <c r="AW484" s="332"/>
      <c r="AX484" s="332"/>
      <c r="AY484" s="332"/>
      <c r="AZ484" s="332"/>
      <c r="BA484" s="332"/>
      <c r="BB484" s="31"/>
      <c r="BC484" s="31"/>
      <c r="BD484" s="31"/>
      <c r="BE484" s="31"/>
    </row>
    <row r="485" spans="1:57" ht="13">
      <c r="A485" s="153"/>
      <c r="F485" s="153"/>
      <c r="G485" s="116"/>
      <c r="H485" s="116"/>
      <c r="I485" s="116"/>
      <c r="J485" s="116"/>
      <c r="K485" s="219"/>
      <c r="L485" s="116"/>
      <c r="M485" s="31"/>
      <c r="N485" s="336"/>
      <c r="O485" s="336"/>
      <c r="P485" s="219"/>
      <c r="Q485" s="332"/>
      <c r="R485" s="219"/>
      <c r="S485" s="332"/>
      <c r="T485" s="219"/>
      <c r="U485" s="332"/>
      <c r="V485" s="332"/>
      <c r="W485" s="370"/>
      <c r="X485" s="370"/>
      <c r="Y485" s="370"/>
      <c r="Z485" s="370"/>
      <c r="AA485" s="370"/>
      <c r="AB485" s="370"/>
      <c r="AC485" s="370"/>
      <c r="AD485" s="370"/>
      <c r="AE485" s="370"/>
      <c r="AF485" s="370"/>
      <c r="AG485" s="370"/>
      <c r="AH485" s="370"/>
      <c r="AI485" s="370"/>
      <c r="AJ485" s="370"/>
      <c r="AK485" s="219"/>
      <c r="AL485" s="219"/>
      <c r="AM485" s="219"/>
      <c r="AN485" s="219"/>
      <c r="AO485" s="116"/>
      <c r="AP485" s="116"/>
      <c r="AQ485" s="116"/>
      <c r="AR485" s="116"/>
      <c r="AS485" s="116"/>
      <c r="AT485" s="116"/>
      <c r="AU485" s="332"/>
      <c r="AV485" s="332"/>
      <c r="AW485" s="332"/>
      <c r="AX485" s="332"/>
      <c r="AY485" s="332"/>
      <c r="AZ485" s="332"/>
      <c r="BA485" s="332"/>
      <c r="BB485" s="31"/>
      <c r="BC485" s="31"/>
      <c r="BD485" s="31"/>
      <c r="BE485" s="31"/>
    </row>
    <row r="486" spans="1:57" ht="13">
      <c r="A486" s="153"/>
      <c r="F486" s="153"/>
      <c r="G486" s="116"/>
      <c r="H486" s="116"/>
      <c r="I486" s="116"/>
      <c r="J486" s="116"/>
      <c r="K486" s="219"/>
      <c r="L486" s="116"/>
      <c r="M486" s="31"/>
      <c r="N486" s="336"/>
      <c r="O486" s="336"/>
      <c r="P486" s="219"/>
      <c r="Q486" s="332"/>
      <c r="R486" s="219"/>
      <c r="S486" s="332"/>
      <c r="T486" s="219"/>
      <c r="U486" s="332"/>
      <c r="V486" s="332"/>
      <c r="W486" s="370"/>
      <c r="X486" s="370"/>
      <c r="Y486" s="370"/>
      <c r="Z486" s="370"/>
      <c r="AA486" s="370"/>
      <c r="AB486" s="370"/>
      <c r="AC486" s="370"/>
      <c r="AD486" s="370"/>
      <c r="AE486" s="370"/>
      <c r="AF486" s="370"/>
      <c r="AG486" s="370"/>
      <c r="AH486" s="370"/>
      <c r="AI486" s="370"/>
      <c r="AJ486" s="370"/>
      <c r="AK486" s="219"/>
      <c r="AL486" s="219"/>
      <c r="AM486" s="219"/>
      <c r="AN486" s="219"/>
      <c r="AO486" s="116"/>
      <c r="AP486" s="116"/>
      <c r="AQ486" s="116"/>
      <c r="AR486" s="116"/>
      <c r="AS486" s="116"/>
      <c r="AT486" s="116"/>
      <c r="AU486" s="332"/>
      <c r="AV486" s="332"/>
      <c r="AW486" s="332"/>
      <c r="AX486" s="332"/>
      <c r="AY486" s="332"/>
      <c r="AZ486" s="332"/>
      <c r="BA486" s="332"/>
      <c r="BB486" s="31"/>
      <c r="BC486" s="31"/>
      <c r="BD486" s="31"/>
      <c r="BE486" s="31"/>
    </row>
    <row r="487" spans="1:57" ht="13">
      <c r="A487" s="153"/>
      <c r="F487" s="153"/>
      <c r="G487" s="116"/>
      <c r="H487" s="116"/>
      <c r="I487" s="116"/>
      <c r="J487" s="116"/>
      <c r="K487" s="219"/>
      <c r="L487" s="116"/>
      <c r="M487" s="31"/>
      <c r="N487" s="336"/>
      <c r="O487" s="336"/>
      <c r="P487" s="219"/>
      <c r="Q487" s="332"/>
      <c r="R487" s="219"/>
      <c r="S487" s="332"/>
      <c r="T487" s="219"/>
      <c r="U487" s="332"/>
      <c r="V487" s="332"/>
      <c r="W487" s="370"/>
      <c r="X487" s="370"/>
      <c r="Y487" s="370"/>
      <c r="Z487" s="370"/>
      <c r="AA487" s="370"/>
      <c r="AB487" s="370"/>
      <c r="AC487" s="370"/>
      <c r="AD487" s="370"/>
      <c r="AE487" s="370"/>
      <c r="AF487" s="370"/>
      <c r="AG487" s="370"/>
      <c r="AH487" s="370"/>
      <c r="AI487" s="370"/>
      <c r="AJ487" s="370"/>
      <c r="AK487" s="219"/>
      <c r="AL487" s="219"/>
      <c r="AM487" s="219"/>
      <c r="AN487" s="219"/>
      <c r="AO487" s="116"/>
      <c r="AP487" s="116"/>
      <c r="AQ487" s="116"/>
      <c r="AR487" s="116"/>
      <c r="AS487" s="116"/>
      <c r="AT487" s="116"/>
      <c r="AU487" s="332"/>
      <c r="AV487" s="332"/>
      <c r="AW487" s="332"/>
      <c r="AX487" s="332"/>
      <c r="AY487" s="332"/>
      <c r="AZ487" s="332"/>
      <c r="BA487" s="332"/>
      <c r="BB487" s="31"/>
      <c r="BC487" s="31"/>
      <c r="BD487" s="31"/>
      <c r="BE487" s="31"/>
    </row>
    <row r="488" spans="1:57" ht="13">
      <c r="A488" s="153"/>
      <c r="F488" s="153"/>
      <c r="G488" s="116"/>
      <c r="H488" s="116"/>
      <c r="I488" s="116"/>
      <c r="J488" s="116"/>
      <c r="K488" s="219"/>
      <c r="L488" s="116"/>
      <c r="M488" s="31"/>
      <c r="N488" s="336"/>
      <c r="O488" s="336"/>
      <c r="P488" s="219"/>
      <c r="Q488" s="332"/>
      <c r="R488" s="219"/>
      <c r="S488" s="332"/>
      <c r="T488" s="219"/>
      <c r="U488" s="332"/>
      <c r="V488" s="332"/>
      <c r="W488" s="370"/>
      <c r="X488" s="370"/>
      <c r="Y488" s="370"/>
      <c r="Z488" s="370"/>
      <c r="AA488" s="370"/>
      <c r="AB488" s="370"/>
      <c r="AC488" s="370"/>
      <c r="AD488" s="370"/>
      <c r="AE488" s="370"/>
      <c r="AF488" s="370"/>
      <c r="AG488" s="370"/>
      <c r="AH488" s="370"/>
      <c r="AI488" s="370"/>
      <c r="AJ488" s="370"/>
      <c r="AK488" s="219"/>
      <c r="AL488" s="219"/>
      <c r="AM488" s="219"/>
      <c r="AN488" s="219"/>
      <c r="AO488" s="116"/>
      <c r="AP488" s="116"/>
      <c r="AQ488" s="116"/>
      <c r="AR488" s="116"/>
      <c r="AS488" s="116"/>
      <c r="AT488" s="116"/>
      <c r="AU488" s="332"/>
      <c r="AV488" s="332"/>
      <c r="AW488" s="332"/>
      <c r="AX488" s="332"/>
      <c r="AY488" s="332"/>
      <c r="AZ488" s="332"/>
      <c r="BA488" s="332"/>
      <c r="BB488" s="31"/>
      <c r="BC488" s="31"/>
      <c r="BD488" s="31"/>
      <c r="BE488" s="31"/>
    </row>
    <row r="489" spans="1:57" ht="13">
      <c r="A489" s="153"/>
      <c r="F489" s="153"/>
      <c r="G489" s="116"/>
      <c r="H489" s="116"/>
      <c r="I489" s="116"/>
      <c r="J489" s="116"/>
      <c r="K489" s="219"/>
      <c r="L489" s="116"/>
      <c r="M489" s="31"/>
      <c r="N489" s="336"/>
      <c r="O489" s="336"/>
      <c r="P489" s="219"/>
      <c r="Q489" s="332"/>
      <c r="R489" s="219"/>
      <c r="S489" s="332"/>
      <c r="T489" s="219"/>
      <c r="U489" s="332"/>
      <c r="V489" s="332"/>
      <c r="W489" s="370"/>
      <c r="X489" s="370"/>
      <c r="Y489" s="370"/>
      <c r="Z489" s="370"/>
      <c r="AA489" s="370"/>
      <c r="AB489" s="370"/>
      <c r="AC489" s="370"/>
      <c r="AD489" s="370"/>
      <c r="AE489" s="370"/>
      <c r="AF489" s="370"/>
      <c r="AG489" s="370"/>
      <c r="AH489" s="370"/>
      <c r="AI489" s="370"/>
      <c r="AJ489" s="370"/>
      <c r="AK489" s="219"/>
      <c r="AL489" s="219"/>
      <c r="AM489" s="219"/>
      <c r="AN489" s="219"/>
      <c r="AO489" s="116"/>
      <c r="AP489" s="116"/>
      <c r="AQ489" s="116"/>
      <c r="AR489" s="116"/>
      <c r="AS489" s="116"/>
      <c r="AT489" s="116"/>
      <c r="AU489" s="332"/>
      <c r="AV489" s="332"/>
      <c r="AW489" s="332"/>
      <c r="AX489" s="332"/>
      <c r="AY489" s="332"/>
      <c r="AZ489" s="332"/>
      <c r="BA489" s="332"/>
      <c r="BB489" s="31"/>
      <c r="BC489" s="31"/>
      <c r="BD489" s="31"/>
      <c r="BE489" s="31"/>
    </row>
    <row r="490" spans="1:57" ht="13">
      <c r="A490" s="153"/>
      <c r="F490" s="153"/>
      <c r="G490" s="116"/>
      <c r="H490" s="116"/>
      <c r="I490" s="116"/>
      <c r="J490" s="116"/>
      <c r="K490" s="219"/>
      <c r="L490" s="116"/>
      <c r="M490" s="31"/>
      <c r="N490" s="336"/>
      <c r="O490" s="336"/>
      <c r="P490" s="219"/>
      <c r="Q490" s="332"/>
      <c r="R490" s="219"/>
      <c r="S490" s="332"/>
      <c r="T490" s="219"/>
      <c r="U490" s="332"/>
      <c r="V490" s="332"/>
      <c r="W490" s="370"/>
      <c r="X490" s="370"/>
      <c r="Y490" s="370"/>
      <c r="Z490" s="370"/>
      <c r="AA490" s="370"/>
      <c r="AB490" s="370"/>
      <c r="AC490" s="370"/>
      <c r="AD490" s="370"/>
      <c r="AE490" s="370"/>
      <c r="AF490" s="370"/>
      <c r="AG490" s="370"/>
      <c r="AH490" s="370"/>
      <c r="AI490" s="370"/>
      <c r="AJ490" s="370"/>
      <c r="AK490" s="219"/>
      <c r="AL490" s="219"/>
      <c r="AM490" s="219"/>
      <c r="AN490" s="219"/>
      <c r="AO490" s="116"/>
      <c r="AP490" s="116"/>
      <c r="AQ490" s="116"/>
      <c r="AR490" s="116"/>
      <c r="AS490" s="116"/>
      <c r="AT490" s="116"/>
      <c r="AU490" s="332"/>
      <c r="AV490" s="332"/>
      <c r="AW490" s="332"/>
      <c r="AX490" s="332"/>
      <c r="AY490" s="332"/>
      <c r="AZ490" s="332"/>
      <c r="BA490" s="332"/>
      <c r="BB490" s="31"/>
      <c r="BC490" s="31"/>
      <c r="BD490" s="31"/>
      <c r="BE490" s="31"/>
    </row>
    <row r="491" spans="1:57" ht="13">
      <c r="A491" s="153"/>
      <c r="F491" s="153"/>
      <c r="G491" s="116"/>
      <c r="H491" s="116"/>
      <c r="I491" s="116"/>
      <c r="J491" s="116"/>
      <c r="K491" s="219"/>
      <c r="L491" s="116"/>
      <c r="M491" s="31"/>
      <c r="N491" s="336"/>
      <c r="O491" s="336"/>
      <c r="P491" s="219"/>
      <c r="Q491" s="332"/>
      <c r="R491" s="219"/>
      <c r="S491" s="332"/>
      <c r="T491" s="219"/>
      <c r="U491" s="332"/>
      <c r="V491" s="332"/>
      <c r="W491" s="370"/>
      <c r="X491" s="370"/>
      <c r="Y491" s="370"/>
      <c r="Z491" s="370"/>
      <c r="AA491" s="370"/>
      <c r="AB491" s="370"/>
      <c r="AC491" s="370"/>
      <c r="AD491" s="370"/>
      <c r="AE491" s="370"/>
      <c r="AF491" s="370"/>
      <c r="AG491" s="370"/>
      <c r="AH491" s="370"/>
      <c r="AI491" s="370"/>
      <c r="AJ491" s="370"/>
      <c r="AK491" s="219"/>
      <c r="AL491" s="219"/>
      <c r="AM491" s="219"/>
      <c r="AN491" s="219"/>
      <c r="AO491" s="116"/>
      <c r="AP491" s="116"/>
      <c r="AQ491" s="116"/>
      <c r="AR491" s="116"/>
      <c r="AS491" s="116"/>
      <c r="AT491" s="116"/>
      <c r="AU491" s="332"/>
      <c r="AV491" s="332"/>
      <c r="AW491" s="332"/>
      <c r="AX491" s="332"/>
      <c r="AY491" s="332"/>
      <c r="AZ491" s="332"/>
      <c r="BA491" s="332"/>
      <c r="BB491" s="31"/>
      <c r="BC491" s="31"/>
      <c r="BD491" s="31"/>
      <c r="BE491" s="31"/>
    </row>
    <row r="492" spans="1:57" ht="13">
      <c r="A492" s="153"/>
      <c r="F492" s="153"/>
      <c r="G492" s="116"/>
      <c r="H492" s="116"/>
      <c r="I492" s="116"/>
      <c r="J492" s="116"/>
      <c r="K492" s="219"/>
      <c r="L492" s="116"/>
      <c r="M492" s="31"/>
      <c r="N492" s="336"/>
      <c r="O492" s="336"/>
      <c r="P492" s="219"/>
      <c r="Q492" s="332"/>
      <c r="R492" s="219"/>
      <c r="S492" s="332"/>
      <c r="T492" s="219"/>
      <c r="U492" s="332"/>
      <c r="V492" s="332"/>
      <c r="W492" s="370"/>
      <c r="X492" s="370"/>
      <c r="Y492" s="370"/>
      <c r="Z492" s="370"/>
      <c r="AA492" s="370"/>
      <c r="AB492" s="370"/>
      <c r="AC492" s="370"/>
      <c r="AD492" s="370"/>
      <c r="AE492" s="370"/>
      <c r="AF492" s="370"/>
      <c r="AG492" s="370"/>
      <c r="AH492" s="370"/>
      <c r="AI492" s="370"/>
      <c r="AJ492" s="370"/>
      <c r="AK492" s="219"/>
      <c r="AL492" s="219"/>
      <c r="AM492" s="219"/>
      <c r="AN492" s="219"/>
      <c r="AO492" s="116"/>
      <c r="AP492" s="116"/>
      <c r="AQ492" s="116"/>
      <c r="AR492" s="116"/>
      <c r="AS492" s="116"/>
      <c r="AT492" s="116"/>
      <c r="AU492" s="332"/>
      <c r="AV492" s="332"/>
      <c r="AW492" s="332"/>
      <c r="AX492" s="332"/>
      <c r="AY492" s="332"/>
      <c r="AZ492" s="332"/>
      <c r="BA492" s="332"/>
      <c r="BB492" s="31"/>
      <c r="BC492" s="31"/>
      <c r="BD492" s="31"/>
      <c r="BE492" s="31"/>
    </row>
    <row r="493" spans="1:57" ht="13">
      <c r="A493" s="153"/>
      <c r="F493" s="153"/>
      <c r="G493" s="116"/>
      <c r="H493" s="116"/>
      <c r="I493" s="116"/>
      <c r="J493" s="116"/>
      <c r="K493" s="219"/>
      <c r="L493" s="116"/>
      <c r="M493" s="31"/>
      <c r="N493" s="336"/>
      <c r="O493" s="336"/>
      <c r="P493" s="219"/>
      <c r="Q493" s="332"/>
      <c r="R493" s="219"/>
      <c r="S493" s="332"/>
      <c r="T493" s="219"/>
      <c r="U493" s="332"/>
      <c r="V493" s="332"/>
      <c r="W493" s="370"/>
      <c r="X493" s="370"/>
      <c r="Y493" s="370"/>
      <c r="Z493" s="370"/>
      <c r="AA493" s="370"/>
      <c r="AB493" s="370"/>
      <c r="AC493" s="370"/>
      <c r="AD493" s="370"/>
      <c r="AE493" s="370"/>
      <c r="AF493" s="370"/>
      <c r="AG493" s="370"/>
      <c r="AH493" s="370"/>
      <c r="AI493" s="370"/>
      <c r="AJ493" s="370"/>
      <c r="AK493" s="219"/>
      <c r="AL493" s="219"/>
      <c r="AM493" s="219"/>
      <c r="AN493" s="219"/>
      <c r="AO493" s="116"/>
      <c r="AP493" s="116"/>
      <c r="AQ493" s="116"/>
      <c r="AR493" s="116"/>
      <c r="AS493" s="116"/>
      <c r="AT493" s="116"/>
      <c r="AU493" s="332"/>
      <c r="AV493" s="332"/>
      <c r="AW493" s="332"/>
      <c r="AX493" s="332"/>
      <c r="AY493" s="332"/>
      <c r="AZ493" s="332"/>
      <c r="BA493" s="332"/>
      <c r="BB493" s="31"/>
      <c r="BC493" s="31"/>
      <c r="BD493" s="31"/>
      <c r="BE493" s="31"/>
    </row>
    <row r="494" spans="1:57" ht="13">
      <c r="A494" s="153"/>
      <c r="F494" s="153"/>
      <c r="G494" s="116"/>
      <c r="H494" s="116"/>
      <c r="I494" s="116"/>
      <c r="J494" s="116"/>
      <c r="K494" s="219"/>
      <c r="L494" s="116"/>
      <c r="M494" s="31"/>
      <c r="N494" s="336"/>
      <c r="O494" s="336"/>
      <c r="P494" s="219"/>
      <c r="Q494" s="332"/>
      <c r="R494" s="219"/>
      <c r="S494" s="332"/>
      <c r="T494" s="219"/>
      <c r="U494" s="332"/>
      <c r="V494" s="332"/>
      <c r="W494" s="370"/>
      <c r="X494" s="370"/>
      <c r="Y494" s="370"/>
      <c r="Z494" s="370"/>
      <c r="AA494" s="370"/>
      <c r="AB494" s="370"/>
      <c r="AC494" s="370"/>
      <c r="AD494" s="370"/>
      <c r="AE494" s="370"/>
      <c r="AF494" s="370"/>
      <c r="AG494" s="370"/>
      <c r="AH494" s="370"/>
      <c r="AI494" s="370"/>
      <c r="AJ494" s="370"/>
      <c r="AK494" s="219"/>
      <c r="AL494" s="219"/>
      <c r="AM494" s="219"/>
      <c r="AN494" s="219"/>
      <c r="AO494" s="116"/>
      <c r="AP494" s="116"/>
      <c r="AQ494" s="116"/>
      <c r="AR494" s="116"/>
      <c r="AS494" s="116"/>
      <c r="AT494" s="116"/>
      <c r="AU494" s="332"/>
      <c r="AV494" s="332"/>
      <c r="AW494" s="332"/>
      <c r="AX494" s="332"/>
      <c r="AY494" s="332"/>
      <c r="AZ494" s="332"/>
      <c r="BA494" s="332"/>
      <c r="BB494" s="31"/>
      <c r="BC494" s="31"/>
      <c r="BD494" s="31"/>
      <c r="BE494" s="31"/>
    </row>
    <row r="495" spans="1:57" ht="13">
      <c r="A495" s="153"/>
      <c r="F495" s="153"/>
      <c r="G495" s="116"/>
      <c r="H495" s="116"/>
      <c r="I495" s="116"/>
      <c r="J495" s="116"/>
      <c r="K495" s="219"/>
      <c r="L495" s="116"/>
      <c r="M495" s="31"/>
      <c r="N495" s="336"/>
      <c r="O495" s="336"/>
      <c r="P495" s="219"/>
      <c r="Q495" s="332"/>
      <c r="R495" s="219"/>
      <c r="S495" s="332"/>
      <c r="T495" s="219"/>
      <c r="U495" s="332"/>
      <c r="V495" s="332"/>
      <c r="W495" s="370"/>
      <c r="X495" s="370"/>
      <c r="Y495" s="370"/>
      <c r="Z495" s="370"/>
      <c r="AA495" s="370"/>
      <c r="AB495" s="370"/>
      <c r="AC495" s="370"/>
      <c r="AD495" s="370"/>
      <c r="AE495" s="370"/>
      <c r="AF495" s="370"/>
      <c r="AG495" s="370"/>
      <c r="AH495" s="370"/>
      <c r="AI495" s="370"/>
      <c r="AJ495" s="370"/>
      <c r="AK495" s="219"/>
      <c r="AL495" s="219"/>
      <c r="AM495" s="219"/>
      <c r="AN495" s="219"/>
      <c r="AO495" s="116"/>
      <c r="AP495" s="116"/>
      <c r="AQ495" s="116"/>
      <c r="AR495" s="116"/>
      <c r="AS495" s="116"/>
      <c r="AT495" s="116"/>
      <c r="AU495" s="332"/>
      <c r="AV495" s="332"/>
      <c r="AW495" s="332"/>
      <c r="AX495" s="332"/>
      <c r="AY495" s="332"/>
      <c r="AZ495" s="332"/>
      <c r="BA495" s="332"/>
      <c r="BB495" s="31"/>
      <c r="BC495" s="31"/>
      <c r="BD495" s="31"/>
      <c r="BE495" s="31"/>
    </row>
    <row r="496" spans="1:57" ht="13">
      <c r="A496" s="153"/>
      <c r="F496" s="153"/>
      <c r="G496" s="116"/>
      <c r="H496" s="116"/>
      <c r="I496" s="116"/>
      <c r="J496" s="116"/>
      <c r="K496" s="219"/>
      <c r="L496" s="116"/>
      <c r="M496" s="31"/>
      <c r="N496" s="336"/>
      <c r="O496" s="336"/>
      <c r="P496" s="219"/>
      <c r="Q496" s="332"/>
      <c r="R496" s="219"/>
      <c r="S496" s="332"/>
      <c r="T496" s="219"/>
      <c r="U496" s="332"/>
      <c r="V496" s="332"/>
      <c r="W496" s="370"/>
      <c r="X496" s="370"/>
      <c r="Y496" s="370"/>
      <c r="Z496" s="370"/>
      <c r="AA496" s="370"/>
      <c r="AB496" s="370"/>
      <c r="AC496" s="370"/>
      <c r="AD496" s="370"/>
      <c r="AE496" s="370"/>
      <c r="AF496" s="370"/>
      <c r="AG496" s="370"/>
      <c r="AH496" s="370"/>
      <c r="AI496" s="370"/>
      <c r="AJ496" s="370"/>
      <c r="AK496" s="219"/>
      <c r="AL496" s="219"/>
      <c r="AM496" s="219"/>
      <c r="AN496" s="219"/>
      <c r="AO496" s="116"/>
      <c r="AP496" s="116"/>
      <c r="AQ496" s="116"/>
      <c r="AR496" s="116"/>
      <c r="AS496" s="116"/>
      <c r="AT496" s="116"/>
      <c r="AU496" s="332"/>
      <c r="AV496" s="332"/>
      <c r="AW496" s="332"/>
      <c r="AX496" s="332"/>
      <c r="AY496" s="332"/>
      <c r="AZ496" s="332"/>
      <c r="BA496" s="332"/>
      <c r="BB496" s="31"/>
      <c r="BC496" s="31"/>
      <c r="BD496" s="31"/>
      <c r="BE496" s="31"/>
    </row>
    <row r="497" spans="1:57" ht="13">
      <c r="A497" s="153"/>
      <c r="F497" s="153"/>
      <c r="G497" s="116"/>
      <c r="H497" s="116"/>
      <c r="I497" s="116"/>
      <c r="J497" s="116"/>
      <c r="K497" s="219"/>
      <c r="L497" s="116"/>
      <c r="M497" s="31"/>
      <c r="N497" s="336"/>
      <c r="O497" s="336"/>
      <c r="P497" s="219"/>
      <c r="Q497" s="332"/>
      <c r="R497" s="219"/>
      <c r="S497" s="332"/>
      <c r="T497" s="219"/>
      <c r="U497" s="332"/>
      <c r="V497" s="332"/>
      <c r="W497" s="370"/>
      <c r="X497" s="370"/>
      <c r="Y497" s="370"/>
      <c r="Z497" s="370"/>
      <c r="AA497" s="370"/>
      <c r="AB497" s="370"/>
      <c r="AC497" s="370"/>
      <c r="AD497" s="370"/>
      <c r="AE497" s="370"/>
      <c r="AF497" s="370"/>
      <c r="AG497" s="370"/>
      <c r="AH497" s="370"/>
      <c r="AI497" s="370"/>
      <c r="AJ497" s="370"/>
      <c r="AK497" s="219"/>
      <c r="AL497" s="219"/>
      <c r="AM497" s="219"/>
      <c r="AN497" s="219"/>
      <c r="AO497" s="116"/>
      <c r="AP497" s="116"/>
      <c r="AQ497" s="116"/>
      <c r="AR497" s="116"/>
      <c r="AS497" s="116"/>
      <c r="AT497" s="116"/>
      <c r="AU497" s="332"/>
      <c r="AV497" s="332"/>
      <c r="AW497" s="332"/>
      <c r="AX497" s="332"/>
      <c r="AY497" s="332"/>
      <c r="AZ497" s="332"/>
      <c r="BA497" s="332"/>
      <c r="BB497" s="31"/>
      <c r="BC497" s="31"/>
      <c r="BD497" s="31"/>
      <c r="BE497" s="31"/>
    </row>
    <row r="498" spans="1:57" ht="13">
      <c r="A498" s="153"/>
      <c r="F498" s="153"/>
      <c r="G498" s="116"/>
      <c r="H498" s="116"/>
      <c r="I498" s="116"/>
      <c r="J498" s="116"/>
      <c r="K498" s="219"/>
      <c r="L498" s="116"/>
      <c r="M498" s="31"/>
      <c r="N498" s="336"/>
      <c r="O498" s="336"/>
      <c r="P498" s="219"/>
      <c r="Q498" s="332"/>
      <c r="R498" s="219"/>
      <c r="S498" s="332"/>
      <c r="T498" s="219"/>
      <c r="U498" s="332"/>
      <c r="V498" s="332"/>
      <c r="W498" s="370"/>
      <c r="X498" s="370"/>
      <c r="Y498" s="370"/>
      <c r="Z498" s="370"/>
      <c r="AA498" s="370"/>
      <c r="AB498" s="370"/>
      <c r="AC498" s="370"/>
      <c r="AD498" s="370"/>
      <c r="AE498" s="370"/>
      <c r="AF498" s="370"/>
      <c r="AG498" s="370"/>
      <c r="AH498" s="370"/>
      <c r="AI498" s="370"/>
      <c r="AJ498" s="370"/>
      <c r="AK498" s="219"/>
      <c r="AL498" s="219"/>
      <c r="AM498" s="219"/>
      <c r="AN498" s="219"/>
      <c r="AO498" s="116"/>
      <c r="AP498" s="116"/>
      <c r="AQ498" s="116"/>
      <c r="AR498" s="116"/>
      <c r="AS498" s="116"/>
      <c r="AT498" s="116"/>
      <c r="AU498" s="332"/>
      <c r="AV498" s="332"/>
      <c r="AW498" s="332"/>
      <c r="AX498" s="332"/>
      <c r="AY498" s="332"/>
      <c r="AZ498" s="332"/>
      <c r="BA498" s="332"/>
      <c r="BB498" s="31"/>
      <c r="BC498" s="31"/>
      <c r="BD498" s="31"/>
      <c r="BE498" s="31"/>
    </row>
    <row r="499" spans="1:57" ht="13">
      <c r="A499" s="153"/>
      <c r="F499" s="153"/>
      <c r="G499" s="116"/>
      <c r="H499" s="116"/>
      <c r="I499" s="116"/>
      <c r="J499" s="116"/>
      <c r="K499" s="219"/>
      <c r="L499" s="116"/>
      <c r="M499" s="31"/>
      <c r="N499" s="336"/>
      <c r="O499" s="336"/>
      <c r="P499" s="219"/>
      <c r="Q499" s="332"/>
      <c r="R499" s="219"/>
      <c r="S499" s="332"/>
      <c r="T499" s="219"/>
      <c r="U499" s="332"/>
      <c r="V499" s="332"/>
      <c r="W499" s="370"/>
      <c r="X499" s="370"/>
      <c r="Y499" s="370"/>
      <c r="Z499" s="370"/>
      <c r="AA499" s="370"/>
      <c r="AB499" s="370"/>
      <c r="AC499" s="370"/>
      <c r="AD499" s="370"/>
      <c r="AE499" s="370"/>
      <c r="AF499" s="370"/>
      <c r="AG499" s="370"/>
      <c r="AH499" s="370"/>
      <c r="AI499" s="370"/>
      <c r="AJ499" s="370"/>
      <c r="AK499" s="219"/>
      <c r="AL499" s="219"/>
      <c r="AM499" s="219"/>
      <c r="AN499" s="219"/>
      <c r="AO499" s="116"/>
      <c r="AP499" s="116"/>
      <c r="AQ499" s="116"/>
      <c r="AR499" s="116"/>
      <c r="AS499" s="116"/>
      <c r="AT499" s="116"/>
      <c r="AU499" s="332"/>
      <c r="AV499" s="332"/>
      <c r="AW499" s="332"/>
      <c r="AX499" s="332"/>
      <c r="AY499" s="332"/>
      <c r="AZ499" s="332"/>
      <c r="BA499" s="332"/>
      <c r="BB499" s="31"/>
      <c r="BC499" s="31"/>
      <c r="BD499" s="31"/>
      <c r="BE499" s="31"/>
    </row>
    <row r="500" spans="1:57" ht="13">
      <c r="A500" s="153"/>
      <c r="F500" s="153"/>
      <c r="G500" s="116"/>
      <c r="H500" s="116"/>
      <c r="I500" s="116"/>
      <c r="J500" s="116"/>
      <c r="K500" s="219"/>
      <c r="L500" s="116"/>
      <c r="M500" s="31"/>
      <c r="N500" s="336"/>
      <c r="O500" s="336"/>
      <c r="P500" s="219"/>
      <c r="Q500" s="332"/>
      <c r="R500" s="219"/>
      <c r="S500" s="332"/>
      <c r="T500" s="219"/>
      <c r="U500" s="332"/>
      <c r="V500" s="332"/>
      <c r="W500" s="370"/>
      <c r="X500" s="370"/>
      <c r="Y500" s="370"/>
      <c r="Z500" s="370"/>
      <c r="AA500" s="370"/>
      <c r="AB500" s="370"/>
      <c r="AC500" s="370"/>
      <c r="AD500" s="370"/>
      <c r="AE500" s="370"/>
      <c r="AF500" s="370"/>
      <c r="AG500" s="370"/>
      <c r="AH500" s="370"/>
      <c r="AI500" s="370"/>
      <c r="AJ500" s="370"/>
      <c r="AK500" s="219"/>
      <c r="AL500" s="219"/>
      <c r="AM500" s="219"/>
      <c r="AN500" s="219"/>
      <c r="AO500" s="116"/>
      <c r="AP500" s="116"/>
      <c r="AQ500" s="116"/>
      <c r="AR500" s="116"/>
      <c r="AS500" s="116"/>
      <c r="AT500" s="116"/>
      <c r="AU500" s="332"/>
      <c r="AV500" s="332"/>
      <c r="AW500" s="332"/>
      <c r="AX500" s="332"/>
      <c r="AY500" s="332"/>
      <c r="AZ500" s="332"/>
      <c r="BA500" s="332"/>
      <c r="BB500" s="31"/>
      <c r="BC500" s="31"/>
      <c r="BD500" s="31"/>
      <c r="BE500" s="31"/>
    </row>
    <row r="501" spans="1:57" ht="13">
      <c r="A501" s="153"/>
      <c r="F501" s="153"/>
      <c r="G501" s="116"/>
      <c r="H501" s="116"/>
      <c r="I501" s="116"/>
      <c r="J501" s="116"/>
      <c r="K501" s="219"/>
      <c r="L501" s="116"/>
      <c r="M501" s="31"/>
      <c r="N501" s="336"/>
      <c r="O501" s="336"/>
      <c r="P501" s="219"/>
      <c r="Q501" s="332"/>
      <c r="R501" s="219"/>
      <c r="S501" s="332"/>
      <c r="T501" s="219"/>
      <c r="U501" s="332"/>
      <c r="V501" s="332"/>
      <c r="W501" s="370"/>
      <c r="X501" s="370"/>
      <c r="Y501" s="370"/>
      <c r="Z501" s="370"/>
      <c r="AA501" s="370"/>
      <c r="AB501" s="370"/>
      <c r="AC501" s="370"/>
      <c r="AD501" s="370"/>
      <c r="AE501" s="370"/>
      <c r="AF501" s="370"/>
      <c r="AG501" s="370"/>
      <c r="AH501" s="370"/>
      <c r="AI501" s="370"/>
      <c r="AJ501" s="370"/>
      <c r="AK501" s="219"/>
      <c r="AL501" s="219"/>
      <c r="AM501" s="219"/>
      <c r="AN501" s="219"/>
      <c r="AO501" s="116"/>
      <c r="AP501" s="116"/>
      <c r="AQ501" s="116"/>
      <c r="AR501" s="116"/>
      <c r="AS501" s="116"/>
      <c r="AT501" s="116"/>
      <c r="AU501" s="332"/>
      <c r="AV501" s="332"/>
      <c r="AW501" s="332"/>
      <c r="AX501" s="332"/>
      <c r="AY501" s="332"/>
      <c r="AZ501" s="332"/>
      <c r="BA501" s="332"/>
      <c r="BB501" s="31"/>
      <c r="BC501" s="31"/>
      <c r="BD501" s="31"/>
      <c r="BE501" s="31"/>
    </row>
    <row r="502" spans="1:57" ht="13">
      <c r="A502" s="153"/>
      <c r="F502" s="153"/>
      <c r="G502" s="116"/>
      <c r="H502" s="116"/>
      <c r="I502" s="116"/>
      <c r="J502" s="116"/>
      <c r="K502" s="219"/>
      <c r="L502" s="116"/>
      <c r="M502" s="31"/>
      <c r="N502" s="336"/>
      <c r="O502" s="336"/>
      <c r="P502" s="219"/>
      <c r="Q502" s="332"/>
      <c r="R502" s="219"/>
      <c r="S502" s="332"/>
      <c r="T502" s="219"/>
      <c r="U502" s="332"/>
      <c r="V502" s="332"/>
      <c r="W502" s="370"/>
      <c r="X502" s="370"/>
      <c r="Y502" s="370"/>
      <c r="Z502" s="370"/>
      <c r="AA502" s="370"/>
      <c r="AB502" s="370"/>
      <c r="AC502" s="370"/>
      <c r="AD502" s="370"/>
      <c r="AE502" s="370"/>
      <c r="AF502" s="370"/>
      <c r="AG502" s="370"/>
      <c r="AH502" s="370"/>
      <c r="AI502" s="370"/>
      <c r="AJ502" s="370"/>
      <c r="AK502" s="219"/>
      <c r="AL502" s="219"/>
      <c r="AM502" s="219"/>
      <c r="AN502" s="219"/>
      <c r="AO502" s="116"/>
      <c r="AP502" s="116"/>
      <c r="AQ502" s="116"/>
      <c r="AR502" s="116"/>
      <c r="AS502" s="116"/>
      <c r="AT502" s="116"/>
      <c r="AU502" s="332"/>
      <c r="AV502" s="332"/>
      <c r="AW502" s="332"/>
      <c r="AX502" s="332"/>
      <c r="AY502" s="332"/>
      <c r="AZ502" s="332"/>
      <c r="BA502" s="332"/>
      <c r="BB502" s="31"/>
      <c r="BC502" s="31"/>
      <c r="BD502" s="31"/>
      <c r="BE502" s="31"/>
    </row>
    <row r="503" spans="1:57" ht="13">
      <c r="A503" s="153"/>
      <c r="F503" s="153"/>
      <c r="G503" s="116"/>
      <c r="H503" s="116"/>
      <c r="I503" s="116"/>
      <c r="J503" s="116"/>
      <c r="K503" s="219"/>
      <c r="L503" s="116"/>
      <c r="M503" s="31"/>
      <c r="N503" s="336"/>
      <c r="O503" s="336"/>
      <c r="P503" s="219"/>
      <c r="Q503" s="332"/>
      <c r="R503" s="219"/>
      <c r="S503" s="332"/>
      <c r="T503" s="219"/>
      <c r="U503" s="332"/>
      <c r="V503" s="332"/>
      <c r="W503" s="370"/>
      <c r="X503" s="370"/>
      <c r="Y503" s="370"/>
      <c r="Z503" s="370"/>
      <c r="AA503" s="370"/>
      <c r="AB503" s="370"/>
      <c r="AC503" s="370"/>
      <c r="AD503" s="370"/>
      <c r="AE503" s="370"/>
      <c r="AF503" s="370"/>
      <c r="AG503" s="370"/>
      <c r="AH503" s="370"/>
      <c r="AI503" s="370"/>
      <c r="AJ503" s="370"/>
      <c r="AK503" s="219"/>
      <c r="AL503" s="219"/>
      <c r="AM503" s="219"/>
      <c r="AN503" s="219"/>
      <c r="AO503" s="116"/>
      <c r="AP503" s="116"/>
      <c r="AQ503" s="116"/>
      <c r="AR503" s="116"/>
      <c r="AS503" s="116"/>
      <c r="AT503" s="116"/>
      <c r="AU503" s="332"/>
      <c r="AV503" s="332"/>
      <c r="AW503" s="332"/>
      <c r="AX503" s="332"/>
      <c r="AY503" s="332"/>
      <c r="AZ503" s="332"/>
      <c r="BA503" s="332"/>
      <c r="BB503" s="31"/>
      <c r="BC503" s="31"/>
      <c r="BD503" s="31"/>
      <c r="BE503" s="31"/>
    </row>
    <row r="504" spans="1:57" ht="13">
      <c r="A504" s="153"/>
      <c r="F504" s="153"/>
      <c r="G504" s="116"/>
      <c r="H504" s="116"/>
      <c r="I504" s="116"/>
      <c r="J504" s="116"/>
      <c r="K504" s="219"/>
      <c r="L504" s="116"/>
      <c r="M504" s="31"/>
      <c r="N504" s="336"/>
      <c r="O504" s="336"/>
      <c r="P504" s="219"/>
      <c r="Q504" s="332"/>
      <c r="R504" s="219"/>
      <c r="S504" s="332"/>
      <c r="T504" s="219"/>
      <c r="U504" s="332"/>
      <c r="V504" s="332"/>
      <c r="W504" s="370"/>
      <c r="X504" s="370"/>
      <c r="Y504" s="370"/>
      <c r="Z504" s="370"/>
      <c r="AA504" s="370"/>
      <c r="AB504" s="370"/>
      <c r="AC504" s="370"/>
      <c r="AD504" s="370"/>
      <c r="AE504" s="370"/>
      <c r="AF504" s="370"/>
      <c r="AG504" s="370"/>
      <c r="AH504" s="370"/>
      <c r="AI504" s="370"/>
      <c r="AJ504" s="370"/>
      <c r="AK504" s="219"/>
      <c r="AL504" s="219"/>
      <c r="AM504" s="219"/>
      <c r="AN504" s="219"/>
      <c r="AO504" s="116"/>
      <c r="AP504" s="116"/>
      <c r="AQ504" s="116"/>
      <c r="AR504" s="116"/>
      <c r="AS504" s="116"/>
      <c r="AT504" s="116"/>
      <c r="AU504" s="332"/>
      <c r="AV504" s="332"/>
      <c r="AW504" s="332"/>
      <c r="AX504" s="332"/>
      <c r="AY504" s="332"/>
      <c r="AZ504" s="332"/>
      <c r="BA504" s="332"/>
      <c r="BB504" s="31"/>
      <c r="BC504" s="31"/>
      <c r="BD504" s="31"/>
      <c r="BE504" s="31"/>
    </row>
    <row r="505" spans="1:57" ht="13">
      <c r="A505" s="153"/>
      <c r="F505" s="153"/>
      <c r="G505" s="116"/>
      <c r="H505" s="116"/>
      <c r="I505" s="116"/>
      <c r="J505" s="116"/>
      <c r="K505" s="219"/>
      <c r="L505" s="116"/>
      <c r="M505" s="31"/>
      <c r="N505" s="336"/>
      <c r="O505" s="336"/>
      <c r="P505" s="219"/>
      <c r="Q505" s="332"/>
      <c r="R505" s="219"/>
      <c r="S505" s="332"/>
      <c r="T505" s="219"/>
      <c r="U505" s="332"/>
      <c r="V505" s="332"/>
      <c r="W505" s="370"/>
      <c r="X505" s="370"/>
      <c r="Y505" s="370"/>
      <c r="Z505" s="370"/>
      <c r="AA505" s="370"/>
      <c r="AB505" s="370"/>
      <c r="AC505" s="370"/>
      <c r="AD505" s="370"/>
      <c r="AE505" s="370"/>
      <c r="AF505" s="370"/>
      <c r="AG505" s="370"/>
      <c r="AH505" s="370"/>
      <c r="AI505" s="370"/>
      <c r="AJ505" s="370"/>
      <c r="AK505" s="219"/>
      <c r="AL505" s="219"/>
      <c r="AM505" s="219"/>
      <c r="AN505" s="219"/>
      <c r="AO505" s="116"/>
      <c r="AP505" s="116"/>
      <c r="AQ505" s="116"/>
      <c r="AR505" s="116"/>
      <c r="AS505" s="116"/>
      <c r="AT505" s="116"/>
      <c r="AU505" s="332"/>
      <c r="AV505" s="332"/>
      <c r="AW505" s="332"/>
      <c r="AX505" s="332"/>
      <c r="AY505" s="332"/>
      <c r="AZ505" s="332"/>
      <c r="BA505" s="332"/>
      <c r="BB505" s="31"/>
      <c r="BC505" s="31"/>
      <c r="BD505" s="31"/>
      <c r="BE505" s="31"/>
    </row>
    <row r="506" spans="1:57" ht="13">
      <c r="A506" s="153"/>
      <c r="F506" s="153"/>
      <c r="G506" s="116"/>
      <c r="H506" s="116"/>
      <c r="I506" s="116"/>
      <c r="J506" s="116"/>
      <c r="K506" s="219"/>
      <c r="L506" s="116"/>
      <c r="M506" s="31"/>
      <c r="N506" s="336"/>
      <c r="O506" s="336"/>
      <c r="P506" s="219"/>
      <c r="Q506" s="332"/>
      <c r="R506" s="219"/>
      <c r="S506" s="332"/>
      <c r="T506" s="219"/>
      <c r="U506" s="332"/>
      <c r="V506" s="332"/>
      <c r="W506" s="370"/>
      <c r="X506" s="370"/>
      <c r="Y506" s="370"/>
      <c r="Z506" s="370"/>
      <c r="AA506" s="370"/>
      <c r="AB506" s="370"/>
      <c r="AC506" s="370"/>
      <c r="AD506" s="370"/>
      <c r="AE506" s="370"/>
      <c r="AF506" s="370"/>
      <c r="AG506" s="370"/>
      <c r="AH506" s="370"/>
      <c r="AI506" s="370"/>
      <c r="AJ506" s="370"/>
      <c r="AK506" s="219"/>
      <c r="AL506" s="219"/>
      <c r="AM506" s="219"/>
      <c r="AN506" s="219"/>
      <c r="AO506" s="116"/>
      <c r="AP506" s="116"/>
      <c r="AQ506" s="116"/>
      <c r="AR506" s="116"/>
      <c r="AS506" s="116"/>
      <c r="AT506" s="116"/>
      <c r="AU506" s="332"/>
      <c r="AV506" s="332"/>
      <c r="AW506" s="332"/>
      <c r="AX506" s="332"/>
      <c r="AY506" s="332"/>
      <c r="AZ506" s="332"/>
      <c r="BA506" s="332"/>
      <c r="BB506" s="31"/>
      <c r="BC506" s="31"/>
      <c r="BD506" s="31"/>
      <c r="BE506" s="31"/>
    </row>
    <row r="507" spans="1:57" ht="13">
      <c r="A507" s="153"/>
      <c r="F507" s="153"/>
      <c r="G507" s="116"/>
      <c r="H507" s="116"/>
      <c r="I507" s="116"/>
      <c r="J507" s="116"/>
      <c r="K507" s="219"/>
      <c r="L507" s="116"/>
      <c r="M507" s="31"/>
      <c r="N507" s="336"/>
      <c r="O507" s="336"/>
      <c r="P507" s="219"/>
      <c r="Q507" s="332"/>
      <c r="R507" s="219"/>
      <c r="S507" s="332"/>
      <c r="T507" s="219"/>
      <c r="U507" s="332"/>
      <c r="V507" s="332"/>
      <c r="W507" s="370"/>
      <c r="X507" s="370"/>
      <c r="Y507" s="370"/>
      <c r="Z507" s="370"/>
      <c r="AA507" s="370"/>
      <c r="AB507" s="370"/>
      <c r="AC507" s="370"/>
      <c r="AD507" s="370"/>
      <c r="AE507" s="370"/>
      <c r="AF507" s="370"/>
      <c r="AG507" s="370"/>
      <c r="AH507" s="370"/>
      <c r="AI507" s="370"/>
      <c r="AJ507" s="370"/>
      <c r="AK507" s="219"/>
      <c r="AL507" s="219"/>
      <c r="AM507" s="219"/>
      <c r="AN507" s="219"/>
      <c r="AO507" s="116"/>
      <c r="AP507" s="116"/>
      <c r="AQ507" s="116"/>
      <c r="AR507" s="116"/>
      <c r="AS507" s="116"/>
      <c r="AT507" s="116"/>
      <c r="AU507" s="332"/>
      <c r="AV507" s="332"/>
      <c r="AW507" s="332"/>
      <c r="AX507" s="332"/>
      <c r="AY507" s="332"/>
      <c r="AZ507" s="332"/>
      <c r="BA507" s="332"/>
      <c r="BB507" s="31"/>
      <c r="BC507" s="31"/>
      <c r="BD507" s="31"/>
      <c r="BE507" s="31"/>
    </row>
    <row r="508" spans="1:57" ht="13">
      <c r="A508" s="153"/>
      <c r="F508" s="153"/>
      <c r="G508" s="116"/>
      <c r="H508" s="116"/>
      <c r="I508" s="116"/>
      <c r="J508" s="116"/>
      <c r="K508" s="219"/>
      <c r="L508" s="116"/>
      <c r="M508" s="31"/>
      <c r="N508" s="336"/>
      <c r="O508" s="336"/>
      <c r="P508" s="219"/>
      <c r="Q508" s="332"/>
      <c r="R508" s="219"/>
      <c r="S508" s="332"/>
      <c r="T508" s="219"/>
      <c r="U508" s="332"/>
      <c r="V508" s="332"/>
      <c r="W508" s="370"/>
      <c r="X508" s="370"/>
      <c r="Y508" s="370"/>
      <c r="Z508" s="370"/>
      <c r="AA508" s="370"/>
      <c r="AB508" s="370"/>
      <c r="AC508" s="370"/>
      <c r="AD508" s="370"/>
      <c r="AE508" s="370"/>
      <c r="AF508" s="370"/>
      <c r="AG508" s="370"/>
      <c r="AH508" s="370"/>
      <c r="AI508" s="370"/>
      <c r="AJ508" s="370"/>
      <c r="AK508" s="219"/>
      <c r="AL508" s="219"/>
      <c r="AM508" s="219"/>
      <c r="AN508" s="219"/>
      <c r="AO508" s="116"/>
      <c r="AP508" s="116"/>
      <c r="AQ508" s="116"/>
      <c r="AR508" s="116"/>
      <c r="AS508" s="116"/>
      <c r="AT508" s="116"/>
      <c r="AU508" s="332"/>
      <c r="AV508" s="332"/>
      <c r="AW508" s="332"/>
      <c r="AX508" s="332"/>
      <c r="AY508" s="332"/>
      <c r="AZ508" s="332"/>
      <c r="BA508" s="332"/>
      <c r="BB508" s="31"/>
      <c r="BC508" s="31"/>
      <c r="BD508" s="31"/>
      <c r="BE508" s="31"/>
    </row>
    <row r="509" spans="1:57" ht="13">
      <c r="A509" s="153"/>
      <c r="F509" s="153"/>
      <c r="G509" s="116"/>
      <c r="H509" s="116"/>
      <c r="I509" s="116"/>
      <c r="J509" s="116"/>
      <c r="K509" s="219"/>
      <c r="L509" s="116"/>
      <c r="M509" s="31"/>
      <c r="N509" s="336"/>
      <c r="O509" s="336"/>
      <c r="P509" s="219"/>
      <c r="Q509" s="332"/>
      <c r="R509" s="219"/>
      <c r="S509" s="332"/>
      <c r="T509" s="219"/>
      <c r="U509" s="332"/>
      <c r="V509" s="332"/>
      <c r="W509" s="370"/>
      <c r="X509" s="370"/>
      <c r="Y509" s="370"/>
      <c r="Z509" s="370"/>
      <c r="AA509" s="370"/>
      <c r="AB509" s="370"/>
      <c r="AC509" s="370"/>
      <c r="AD509" s="370"/>
      <c r="AE509" s="370"/>
      <c r="AF509" s="370"/>
      <c r="AG509" s="370"/>
      <c r="AH509" s="370"/>
      <c r="AI509" s="370"/>
      <c r="AJ509" s="370"/>
      <c r="AK509" s="219"/>
      <c r="AL509" s="219"/>
      <c r="AM509" s="219"/>
      <c r="AN509" s="219"/>
      <c r="AO509" s="116"/>
      <c r="AP509" s="116"/>
      <c r="AQ509" s="116"/>
      <c r="AR509" s="116"/>
      <c r="AS509" s="116"/>
      <c r="AT509" s="116"/>
      <c r="AU509" s="332"/>
      <c r="AV509" s="332"/>
      <c r="AW509" s="332"/>
      <c r="AX509" s="332"/>
      <c r="AY509" s="332"/>
      <c r="AZ509" s="332"/>
      <c r="BA509" s="332"/>
      <c r="BB509" s="31"/>
      <c r="BC509" s="31"/>
      <c r="BD509" s="31"/>
      <c r="BE509" s="31"/>
    </row>
    <row r="510" spans="1:57" ht="13">
      <c r="A510" s="153"/>
      <c r="F510" s="153"/>
      <c r="G510" s="116"/>
      <c r="H510" s="116"/>
      <c r="I510" s="116"/>
      <c r="J510" s="116"/>
      <c r="K510" s="219"/>
      <c r="L510" s="116"/>
      <c r="M510" s="31"/>
      <c r="N510" s="336"/>
      <c r="O510" s="336"/>
      <c r="P510" s="219"/>
      <c r="Q510" s="332"/>
      <c r="R510" s="219"/>
      <c r="S510" s="332"/>
      <c r="T510" s="219"/>
      <c r="U510" s="332"/>
      <c r="V510" s="332"/>
      <c r="W510" s="370"/>
      <c r="X510" s="370"/>
      <c r="Y510" s="370"/>
      <c r="Z510" s="370"/>
      <c r="AA510" s="370"/>
      <c r="AB510" s="370"/>
      <c r="AC510" s="370"/>
      <c r="AD510" s="370"/>
      <c r="AE510" s="370"/>
      <c r="AF510" s="370"/>
      <c r="AG510" s="370"/>
      <c r="AH510" s="370"/>
      <c r="AI510" s="370"/>
      <c r="AJ510" s="370"/>
      <c r="AK510" s="219"/>
      <c r="AL510" s="219"/>
      <c r="AM510" s="219"/>
      <c r="AN510" s="219"/>
      <c r="AO510" s="116"/>
      <c r="AP510" s="116"/>
      <c r="AQ510" s="116"/>
      <c r="AR510" s="116"/>
      <c r="AS510" s="116"/>
      <c r="AT510" s="116"/>
      <c r="AU510" s="332"/>
      <c r="AV510" s="332"/>
      <c r="AW510" s="332"/>
      <c r="AX510" s="332"/>
      <c r="AY510" s="332"/>
      <c r="AZ510" s="332"/>
      <c r="BA510" s="332"/>
      <c r="BB510" s="31"/>
      <c r="BC510" s="31"/>
      <c r="BD510" s="31"/>
      <c r="BE510" s="31"/>
    </row>
    <row r="511" spans="1:57" ht="13">
      <c r="A511" s="153"/>
      <c r="F511" s="153"/>
      <c r="G511" s="116"/>
      <c r="H511" s="116"/>
      <c r="I511" s="116"/>
      <c r="J511" s="116"/>
      <c r="K511" s="219"/>
      <c r="L511" s="116"/>
      <c r="M511" s="31"/>
      <c r="N511" s="336"/>
      <c r="O511" s="336"/>
      <c r="P511" s="219"/>
      <c r="Q511" s="332"/>
      <c r="R511" s="219"/>
      <c r="S511" s="332"/>
      <c r="T511" s="219"/>
      <c r="U511" s="332"/>
      <c r="V511" s="332"/>
      <c r="W511" s="370"/>
      <c r="X511" s="370"/>
      <c r="Y511" s="370"/>
      <c r="Z511" s="370"/>
      <c r="AA511" s="370"/>
      <c r="AB511" s="370"/>
      <c r="AC511" s="370"/>
      <c r="AD511" s="370"/>
      <c r="AE511" s="370"/>
      <c r="AF511" s="370"/>
      <c r="AG511" s="370"/>
      <c r="AH511" s="370"/>
      <c r="AI511" s="370"/>
      <c r="AJ511" s="370"/>
      <c r="AK511" s="219"/>
      <c r="AL511" s="219"/>
      <c r="AM511" s="219"/>
      <c r="AN511" s="219"/>
      <c r="AO511" s="116"/>
      <c r="AP511" s="116"/>
      <c r="AQ511" s="116"/>
      <c r="AR511" s="116"/>
      <c r="AS511" s="116"/>
      <c r="AT511" s="116"/>
      <c r="AU511" s="332"/>
      <c r="AV511" s="332"/>
      <c r="AW511" s="332"/>
      <c r="AX511" s="332"/>
      <c r="AY511" s="332"/>
      <c r="AZ511" s="332"/>
      <c r="BA511" s="332"/>
      <c r="BB511" s="31"/>
      <c r="BC511" s="31"/>
      <c r="BD511" s="31"/>
      <c r="BE511" s="31"/>
    </row>
    <row r="512" spans="1:57" ht="13">
      <c r="A512" s="153"/>
      <c r="F512" s="153"/>
      <c r="G512" s="116"/>
      <c r="H512" s="116"/>
      <c r="I512" s="116"/>
      <c r="J512" s="116"/>
      <c r="K512" s="219"/>
      <c r="L512" s="116"/>
      <c r="M512" s="31"/>
      <c r="N512" s="336"/>
      <c r="O512" s="336"/>
      <c r="P512" s="219"/>
      <c r="Q512" s="332"/>
      <c r="R512" s="219"/>
      <c r="S512" s="332"/>
      <c r="T512" s="219"/>
      <c r="U512" s="332"/>
      <c r="V512" s="332"/>
      <c r="W512" s="370"/>
      <c r="X512" s="370"/>
      <c r="Y512" s="370"/>
      <c r="Z512" s="370"/>
      <c r="AA512" s="370"/>
      <c r="AB512" s="370"/>
      <c r="AC512" s="370"/>
      <c r="AD512" s="370"/>
      <c r="AE512" s="370"/>
      <c r="AF512" s="370"/>
      <c r="AG512" s="370"/>
      <c r="AH512" s="370"/>
      <c r="AI512" s="370"/>
      <c r="AJ512" s="370"/>
      <c r="AK512" s="219"/>
      <c r="AL512" s="219"/>
      <c r="AM512" s="219"/>
      <c r="AN512" s="219"/>
      <c r="AO512" s="116"/>
      <c r="AP512" s="116"/>
      <c r="AQ512" s="116"/>
      <c r="AR512" s="116"/>
      <c r="AS512" s="116"/>
      <c r="AT512" s="116"/>
      <c r="AU512" s="332"/>
      <c r="AV512" s="332"/>
      <c r="AW512" s="332"/>
      <c r="AX512" s="332"/>
      <c r="AY512" s="332"/>
      <c r="AZ512" s="332"/>
      <c r="BA512" s="332"/>
      <c r="BB512" s="31"/>
      <c r="BC512" s="31"/>
      <c r="BD512" s="31"/>
      <c r="BE512" s="31"/>
    </row>
    <row r="513" spans="1:57" ht="13">
      <c r="A513" s="153"/>
      <c r="F513" s="153"/>
      <c r="G513" s="116"/>
      <c r="H513" s="116"/>
      <c r="I513" s="116"/>
      <c r="J513" s="116"/>
      <c r="K513" s="219"/>
      <c r="L513" s="116"/>
      <c r="M513" s="31"/>
      <c r="N513" s="336"/>
      <c r="O513" s="336"/>
      <c r="P513" s="219"/>
      <c r="Q513" s="332"/>
      <c r="R513" s="219"/>
      <c r="S513" s="332"/>
      <c r="T513" s="219"/>
      <c r="U513" s="332"/>
      <c r="V513" s="332"/>
      <c r="W513" s="370"/>
      <c r="X513" s="370"/>
      <c r="Y513" s="370"/>
      <c r="Z513" s="370"/>
      <c r="AA513" s="370"/>
      <c r="AB513" s="370"/>
      <c r="AC513" s="370"/>
      <c r="AD513" s="370"/>
      <c r="AE513" s="370"/>
      <c r="AF513" s="370"/>
      <c r="AG513" s="370"/>
      <c r="AH513" s="370"/>
      <c r="AI513" s="370"/>
      <c r="AJ513" s="370"/>
      <c r="AK513" s="219"/>
      <c r="AL513" s="219"/>
      <c r="AM513" s="219"/>
      <c r="AN513" s="219"/>
      <c r="AO513" s="116"/>
      <c r="AP513" s="116"/>
      <c r="AQ513" s="116"/>
      <c r="AR513" s="116"/>
      <c r="AS513" s="116"/>
      <c r="AT513" s="116"/>
      <c r="AU513" s="332"/>
      <c r="AV513" s="332"/>
      <c r="AW513" s="332"/>
      <c r="AX513" s="332"/>
      <c r="AY513" s="332"/>
      <c r="AZ513" s="332"/>
      <c r="BA513" s="332"/>
      <c r="BB513" s="31"/>
      <c r="BC513" s="31"/>
      <c r="BD513" s="31"/>
      <c r="BE513" s="31"/>
    </row>
    <row r="514" spans="1:57" ht="13">
      <c r="A514" s="153"/>
      <c r="F514" s="153"/>
      <c r="G514" s="116"/>
      <c r="H514" s="116"/>
      <c r="I514" s="116"/>
      <c r="J514" s="116"/>
      <c r="K514" s="219"/>
      <c r="L514" s="116"/>
      <c r="M514" s="31"/>
      <c r="N514" s="336"/>
      <c r="O514" s="336"/>
      <c r="P514" s="219"/>
      <c r="Q514" s="332"/>
      <c r="R514" s="219"/>
      <c r="S514" s="332"/>
      <c r="T514" s="219"/>
      <c r="U514" s="332"/>
      <c r="V514" s="332"/>
      <c r="W514" s="370"/>
      <c r="X514" s="370"/>
      <c r="Y514" s="370"/>
      <c r="Z514" s="370"/>
      <c r="AA514" s="370"/>
      <c r="AB514" s="370"/>
      <c r="AC514" s="370"/>
      <c r="AD514" s="370"/>
      <c r="AE514" s="370"/>
      <c r="AF514" s="370"/>
      <c r="AG514" s="370"/>
      <c r="AH514" s="370"/>
      <c r="AI514" s="370"/>
      <c r="AJ514" s="370"/>
      <c r="AK514" s="219"/>
      <c r="AL514" s="219"/>
      <c r="AM514" s="219"/>
      <c r="AN514" s="219"/>
      <c r="AO514" s="116"/>
      <c r="AP514" s="116"/>
      <c r="AQ514" s="116"/>
      <c r="AR514" s="116"/>
      <c r="AS514" s="116"/>
      <c r="AT514" s="116"/>
      <c r="AU514" s="332"/>
      <c r="AV514" s="332"/>
      <c r="AW514" s="332"/>
      <c r="AX514" s="332"/>
      <c r="AY514" s="332"/>
      <c r="AZ514" s="332"/>
      <c r="BA514" s="332"/>
      <c r="BB514" s="31"/>
      <c r="BC514" s="31"/>
      <c r="BD514" s="31"/>
      <c r="BE514" s="31"/>
    </row>
    <row r="515" spans="1:57" ht="13">
      <c r="A515" s="153"/>
      <c r="F515" s="153"/>
      <c r="G515" s="116"/>
      <c r="H515" s="116"/>
      <c r="I515" s="116"/>
      <c r="J515" s="116"/>
      <c r="K515" s="219"/>
      <c r="L515" s="116"/>
      <c r="M515" s="31"/>
      <c r="N515" s="336"/>
      <c r="O515" s="336"/>
      <c r="P515" s="219"/>
      <c r="Q515" s="332"/>
      <c r="R515" s="219"/>
      <c r="S515" s="332"/>
      <c r="T515" s="219"/>
      <c r="U515" s="332"/>
      <c r="V515" s="332"/>
      <c r="W515" s="370"/>
      <c r="X515" s="370"/>
      <c r="Y515" s="370"/>
      <c r="Z515" s="370"/>
      <c r="AA515" s="370"/>
      <c r="AB515" s="370"/>
      <c r="AC515" s="370"/>
      <c r="AD515" s="370"/>
      <c r="AE515" s="370"/>
      <c r="AF515" s="370"/>
      <c r="AG515" s="370"/>
      <c r="AH515" s="370"/>
      <c r="AI515" s="370"/>
      <c r="AJ515" s="370"/>
      <c r="AK515" s="219"/>
      <c r="AL515" s="219"/>
      <c r="AM515" s="219"/>
      <c r="AN515" s="219"/>
      <c r="AO515" s="116"/>
      <c r="AP515" s="116"/>
      <c r="AQ515" s="116"/>
      <c r="AR515" s="116"/>
      <c r="AS515" s="116"/>
      <c r="AT515" s="116"/>
      <c r="AU515" s="332"/>
      <c r="AV515" s="332"/>
      <c r="AW515" s="332"/>
      <c r="AX515" s="332"/>
      <c r="AY515" s="332"/>
      <c r="AZ515" s="332"/>
      <c r="BA515" s="332"/>
      <c r="BB515" s="31"/>
      <c r="BC515" s="31"/>
      <c r="BD515" s="31"/>
      <c r="BE515" s="31"/>
    </row>
    <row r="516" spans="1:57" ht="13">
      <c r="A516" s="153"/>
      <c r="F516" s="153"/>
      <c r="G516" s="116"/>
      <c r="H516" s="116"/>
      <c r="I516" s="116"/>
      <c r="J516" s="116"/>
      <c r="K516" s="219"/>
      <c r="L516" s="116"/>
      <c r="M516" s="31"/>
      <c r="N516" s="336"/>
      <c r="O516" s="336"/>
      <c r="P516" s="219"/>
      <c r="Q516" s="332"/>
      <c r="R516" s="219"/>
      <c r="S516" s="332"/>
      <c r="T516" s="219"/>
      <c r="U516" s="332"/>
      <c r="V516" s="332"/>
      <c r="W516" s="370"/>
      <c r="X516" s="370"/>
      <c r="Y516" s="370"/>
      <c r="Z516" s="370"/>
      <c r="AA516" s="370"/>
      <c r="AB516" s="370"/>
      <c r="AC516" s="370"/>
      <c r="AD516" s="370"/>
      <c r="AE516" s="370"/>
      <c r="AF516" s="370"/>
      <c r="AG516" s="370"/>
      <c r="AH516" s="370"/>
      <c r="AI516" s="370"/>
      <c r="AJ516" s="370"/>
      <c r="AK516" s="219"/>
      <c r="AL516" s="219"/>
      <c r="AM516" s="219"/>
      <c r="AN516" s="219"/>
      <c r="AO516" s="116"/>
      <c r="AP516" s="116"/>
      <c r="AQ516" s="116"/>
      <c r="AR516" s="116"/>
      <c r="AS516" s="116"/>
      <c r="AT516" s="116"/>
      <c r="AU516" s="332"/>
      <c r="AV516" s="332"/>
      <c r="AW516" s="332"/>
      <c r="AX516" s="332"/>
      <c r="AY516" s="332"/>
      <c r="AZ516" s="332"/>
      <c r="BA516" s="332"/>
      <c r="BB516" s="31"/>
      <c r="BC516" s="31"/>
      <c r="BD516" s="31"/>
      <c r="BE516" s="31"/>
    </row>
    <row r="517" spans="1:57" ht="13">
      <c r="A517" s="153"/>
      <c r="F517" s="153"/>
      <c r="G517" s="116"/>
      <c r="H517" s="116"/>
      <c r="I517" s="116"/>
      <c r="J517" s="116"/>
      <c r="K517" s="219"/>
      <c r="L517" s="116"/>
      <c r="M517" s="31"/>
      <c r="N517" s="336"/>
      <c r="O517" s="336"/>
      <c r="P517" s="219"/>
      <c r="Q517" s="332"/>
      <c r="R517" s="219"/>
      <c r="S517" s="332"/>
      <c r="T517" s="219"/>
      <c r="U517" s="332"/>
      <c r="V517" s="332"/>
      <c r="W517" s="370"/>
      <c r="X517" s="370"/>
      <c r="Y517" s="370"/>
      <c r="Z517" s="370"/>
      <c r="AA517" s="370"/>
      <c r="AB517" s="370"/>
      <c r="AC517" s="370"/>
      <c r="AD517" s="370"/>
      <c r="AE517" s="370"/>
      <c r="AF517" s="370"/>
      <c r="AG517" s="370"/>
      <c r="AH517" s="370"/>
      <c r="AI517" s="370"/>
      <c r="AJ517" s="370"/>
      <c r="AK517" s="219"/>
      <c r="AL517" s="219"/>
      <c r="AM517" s="219"/>
      <c r="AN517" s="219"/>
      <c r="AO517" s="116"/>
      <c r="AP517" s="116"/>
      <c r="AQ517" s="116"/>
      <c r="AR517" s="116"/>
      <c r="AS517" s="116"/>
      <c r="AT517" s="116"/>
      <c r="AU517" s="332"/>
      <c r="AV517" s="332"/>
      <c r="AW517" s="332"/>
      <c r="AX517" s="332"/>
      <c r="AY517" s="332"/>
      <c r="AZ517" s="332"/>
      <c r="BA517" s="332"/>
      <c r="BB517" s="31"/>
      <c r="BC517" s="31"/>
      <c r="BD517" s="31"/>
      <c r="BE517" s="31"/>
    </row>
    <row r="518" spans="1:57" ht="13">
      <c r="A518" s="153"/>
      <c r="F518" s="153"/>
      <c r="G518" s="116"/>
      <c r="H518" s="116"/>
      <c r="I518" s="116"/>
      <c r="J518" s="116"/>
      <c r="K518" s="219"/>
      <c r="L518" s="116"/>
      <c r="M518" s="31"/>
      <c r="N518" s="336"/>
      <c r="O518" s="336"/>
      <c r="P518" s="219"/>
      <c r="Q518" s="332"/>
      <c r="R518" s="219"/>
      <c r="S518" s="332"/>
      <c r="T518" s="219"/>
      <c r="U518" s="332"/>
      <c r="V518" s="332"/>
      <c r="W518" s="370"/>
      <c r="X518" s="370"/>
      <c r="Y518" s="370"/>
      <c r="Z518" s="370"/>
      <c r="AA518" s="370"/>
      <c r="AB518" s="370"/>
      <c r="AC518" s="370"/>
      <c r="AD518" s="370"/>
      <c r="AE518" s="370"/>
      <c r="AF518" s="370"/>
      <c r="AG518" s="370"/>
      <c r="AH518" s="370"/>
      <c r="AI518" s="370"/>
      <c r="AJ518" s="370"/>
      <c r="AK518" s="219"/>
      <c r="AL518" s="219"/>
      <c r="AM518" s="219"/>
      <c r="AN518" s="219"/>
      <c r="AO518" s="116"/>
      <c r="AP518" s="116"/>
      <c r="AQ518" s="116"/>
      <c r="AR518" s="116"/>
      <c r="AS518" s="116"/>
      <c r="AT518" s="116"/>
      <c r="AU518" s="332"/>
      <c r="AV518" s="332"/>
      <c r="AW518" s="332"/>
      <c r="AX518" s="332"/>
      <c r="AY518" s="332"/>
      <c r="AZ518" s="332"/>
      <c r="BA518" s="332"/>
      <c r="BB518" s="31"/>
      <c r="BC518" s="31"/>
      <c r="BD518" s="31"/>
      <c r="BE518" s="31"/>
    </row>
    <row r="519" spans="1:57" ht="13">
      <c r="A519" s="153"/>
      <c r="F519" s="153"/>
      <c r="G519" s="116"/>
      <c r="H519" s="116"/>
      <c r="I519" s="116"/>
      <c r="J519" s="116"/>
      <c r="K519" s="219"/>
      <c r="L519" s="116"/>
      <c r="M519" s="31"/>
      <c r="N519" s="336"/>
      <c r="O519" s="336"/>
      <c r="P519" s="219"/>
      <c r="Q519" s="332"/>
      <c r="R519" s="219"/>
      <c r="S519" s="332"/>
      <c r="T519" s="219"/>
      <c r="U519" s="332"/>
      <c r="V519" s="332"/>
      <c r="W519" s="370"/>
      <c r="X519" s="370"/>
      <c r="Y519" s="370"/>
      <c r="Z519" s="370"/>
      <c r="AA519" s="370"/>
      <c r="AB519" s="370"/>
      <c r="AC519" s="370"/>
      <c r="AD519" s="370"/>
      <c r="AE519" s="370"/>
      <c r="AF519" s="370"/>
      <c r="AG519" s="370"/>
      <c r="AH519" s="370"/>
      <c r="AI519" s="370"/>
      <c r="AJ519" s="370"/>
      <c r="AK519" s="219"/>
      <c r="AL519" s="219"/>
      <c r="AM519" s="219"/>
      <c r="AN519" s="219"/>
      <c r="AO519" s="116"/>
      <c r="AP519" s="116"/>
      <c r="AQ519" s="116"/>
      <c r="AR519" s="116"/>
      <c r="AS519" s="116"/>
      <c r="AT519" s="116"/>
      <c r="AU519" s="332"/>
      <c r="AV519" s="332"/>
      <c r="AW519" s="332"/>
      <c r="AX519" s="332"/>
      <c r="AY519" s="332"/>
      <c r="AZ519" s="332"/>
      <c r="BA519" s="332"/>
      <c r="BB519" s="31"/>
      <c r="BC519" s="31"/>
      <c r="BD519" s="31"/>
      <c r="BE519" s="31"/>
    </row>
    <row r="520" spans="1:57" ht="13">
      <c r="A520" s="153"/>
      <c r="F520" s="153"/>
      <c r="G520" s="116"/>
      <c r="H520" s="116"/>
      <c r="I520" s="116"/>
      <c r="J520" s="116"/>
      <c r="K520" s="219"/>
      <c r="L520" s="116"/>
      <c r="M520" s="31"/>
      <c r="N520" s="336"/>
      <c r="O520" s="336"/>
      <c r="P520" s="219"/>
      <c r="Q520" s="332"/>
      <c r="R520" s="219"/>
      <c r="S520" s="332"/>
      <c r="T520" s="219"/>
      <c r="U520" s="332"/>
      <c r="V520" s="332"/>
      <c r="W520" s="370"/>
      <c r="X520" s="370"/>
      <c r="Y520" s="370"/>
      <c r="Z520" s="370"/>
      <c r="AA520" s="370"/>
      <c r="AB520" s="370"/>
      <c r="AC520" s="370"/>
      <c r="AD520" s="370"/>
      <c r="AE520" s="370"/>
      <c r="AF520" s="370"/>
      <c r="AG520" s="370"/>
      <c r="AH520" s="370"/>
      <c r="AI520" s="370"/>
      <c r="AJ520" s="370"/>
      <c r="AK520" s="219"/>
      <c r="AL520" s="219"/>
      <c r="AM520" s="219"/>
      <c r="AN520" s="219"/>
      <c r="AO520" s="116"/>
      <c r="AP520" s="116"/>
      <c r="AQ520" s="116"/>
      <c r="AR520" s="116"/>
      <c r="AS520" s="116"/>
      <c r="AT520" s="116"/>
      <c r="AU520" s="332"/>
      <c r="AV520" s="332"/>
      <c r="AW520" s="332"/>
      <c r="AX520" s="332"/>
      <c r="AY520" s="332"/>
      <c r="AZ520" s="332"/>
      <c r="BA520" s="332"/>
      <c r="BB520" s="31"/>
      <c r="BC520" s="31"/>
      <c r="BD520" s="31"/>
      <c r="BE520" s="31"/>
    </row>
    <row r="521" spans="1:57" ht="13">
      <c r="A521" s="153"/>
      <c r="F521" s="153"/>
      <c r="G521" s="116"/>
      <c r="H521" s="116"/>
      <c r="I521" s="116"/>
      <c r="J521" s="116"/>
      <c r="K521" s="219"/>
      <c r="L521" s="116"/>
      <c r="M521" s="31"/>
      <c r="N521" s="336"/>
      <c r="O521" s="336"/>
      <c r="P521" s="219"/>
      <c r="Q521" s="332"/>
      <c r="R521" s="219"/>
      <c r="S521" s="332"/>
      <c r="T521" s="219"/>
      <c r="U521" s="332"/>
      <c r="V521" s="332"/>
      <c r="W521" s="370"/>
      <c r="X521" s="370"/>
      <c r="Y521" s="370"/>
      <c r="Z521" s="370"/>
      <c r="AA521" s="370"/>
      <c r="AB521" s="370"/>
      <c r="AC521" s="370"/>
      <c r="AD521" s="370"/>
      <c r="AE521" s="370"/>
      <c r="AF521" s="370"/>
      <c r="AG521" s="370"/>
      <c r="AH521" s="370"/>
      <c r="AI521" s="370"/>
      <c r="AJ521" s="370"/>
      <c r="AK521" s="219"/>
      <c r="AL521" s="219"/>
      <c r="AM521" s="219"/>
      <c r="AN521" s="219"/>
      <c r="AO521" s="116"/>
      <c r="AP521" s="116"/>
      <c r="AQ521" s="116"/>
      <c r="AR521" s="116"/>
      <c r="AS521" s="116"/>
      <c r="AT521" s="116"/>
      <c r="AU521" s="332"/>
      <c r="AV521" s="332"/>
      <c r="AW521" s="332"/>
      <c r="AX521" s="332"/>
      <c r="AY521" s="332"/>
      <c r="AZ521" s="332"/>
      <c r="BA521" s="332"/>
      <c r="BB521" s="31"/>
      <c r="BC521" s="31"/>
      <c r="BD521" s="31"/>
      <c r="BE521" s="31"/>
    </row>
    <row r="522" spans="1:57" ht="13">
      <c r="A522" s="153"/>
      <c r="F522" s="153"/>
      <c r="G522" s="116"/>
      <c r="H522" s="116"/>
      <c r="I522" s="116"/>
      <c r="J522" s="116"/>
      <c r="K522" s="219"/>
      <c r="L522" s="116"/>
      <c r="M522" s="31"/>
      <c r="N522" s="336"/>
      <c r="O522" s="336"/>
      <c r="P522" s="219"/>
      <c r="Q522" s="332"/>
      <c r="R522" s="219"/>
      <c r="S522" s="332"/>
      <c r="T522" s="219"/>
      <c r="U522" s="332"/>
      <c r="V522" s="332"/>
      <c r="W522" s="370"/>
      <c r="X522" s="370"/>
      <c r="Y522" s="370"/>
      <c r="Z522" s="370"/>
      <c r="AA522" s="370"/>
      <c r="AB522" s="370"/>
      <c r="AC522" s="370"/>
      <c r="AD522" s="370"/>
      <c r="AE522" s="370"/>
      <c r="AF522" s="370"/>
      <c r="AG522" s="370"/>
      <c r="AH522" s="370"/>
      <c r="AI522" s="370"/>
      <c r="AJ522" s="370"/>
      <c r="AK522" s="219"/>
      <c r="AL522" s="219"/>
      <c r="AM522" s="219"/>
      <c r="AN522" s="219"/>
      <c r="AO522" s="116"/>
      <c r="AP522" s="116"/>
      <c r="AQ522" s="116"/>
      <c r="AR522" s="116"/>
      <c r="AS522" s="116"/>
      <c r="AT522" s="116"/>
      <c r="AU522" s="332"/>
      <c r="AV522" s="332"/>
      <c r="AW522" s="332"/>
      <c r="AX522" s="332"/>
      <c r="AY522" s="332"/>
      <c r="AZ522" s="332"/>
      <c r="BA522" s="332"/>
      <c r="BB522" s="31"/>
      <c r="BC522" s="31"/>
      <c r="BD522" s="31"/>
      <c r="BE522" s="31"/>
    </row>
    <row r="523" spans="1:57" ht="13">
      <c r="A523" s="153"/>
      <c r="F523" s="153"/>
      <c r="G523" s="116"/>
      <c r="H523" s="116"/>
      <c r="I523" s="116"/>
      <c r="J523" s="116"/>
      <c r="K523" s="219"/>
      <c r="L523" s="116"/>
      <c r="M523" s="31"/>
      <c r="N523" s="336"/>
      <c r="O523" s="336"/>
      <c r="P523" s="219"/>
      <c r="Q523" s="332"/>
      <c r="R523" s="219"/>
      <c r="S523" s="332"/>
      <c r="T523" s="219"/>
      <c r="U523" s="332"/>
      <c r="V523" s="332"/>
      <c r="W523" s="370"/>
      <c r="X523" s="370"/>
      <c r="Y523" s="370"/>
      <c r="Z523" s="370"/>
      <c r="AA523" s="370"/>
      <c r="AB523" s="370"/>
      <c r="AC523" s="370"/>
      <c r="AD523" s="370"/>
      <c r="AE523" s="370"/>
      <c r="AF523" s="370"/>
      <c r="AG523" s="370"/>
      <c r="AH523" s="370"/>
      <c r="AI523" s="370"/>
      <c r="AJ523" s="370"/>
      <c r="AK523" s="219"/>
      <c r="AL523" s="219"/>
      <c r="AM523" s="219"/>
      <c r="AN523" s="219"/>
      <c r="AO523" s="116"/>
      <c r="AP523" s="116"/>
      <c r="AQ523" s="116"/>
      <c r="AR523" s="116"/>
      <c r="AS523" s="116"/>
      <c r="AT523" s="116"/>
      <c r="AU523" s="332"/>
      <c r="AV523" s="332"/>
      <c r="AW523" s="332"/>
      <c r="AX523" s="332"/>
      <c r="AY523" s="332"/>
      <c r="AZ523" s="332"/>
      <c r="BA523" s="332"/>
      <c r="BB523" s="31"/>
      <c r="BC523" s="31"/>
      <c r="BD523" s="31"/>
      <c r="BE523" s="31"/>
    </row>
    <row r="524" spans="1:57" ht="13">
      <c r="A524" s="153"/>
      <c r="F524" s="153"/>
      <c r="G524" s="116"/>
      <c r="H524" s="116"/>
      <c r="I524" s="116"/>
      <c r="J524" s="116"/>
      <c r="K524" s="219"/>
      <c r="L524" s="116"/>
      <c r="M524" s="31"/>
      <c r="N524" s="336"/>
      <c r="O524" s="336"/>
      <c r="P524" s="219"/>
      <c r="Q524" s="332"/>
      <c r="R524" s="219"/>
      <c r="S524" s="332"/>
      <c r="T524" s="219"/>
      <c r="U524" s="332"/>
      <c r="V524" s="332"/>
      <c r="W524" s="370"/>
      <c r="X524" s="370"/>
      <c r="Y524" s="370"/>
      <c r="Z524" s="370"/>
      <c r="AA524" s="370"/>
      <c r="AB524" s="370"/>
      <c r="AC524" s="370"/>
      <c r="AD524" s="370"/>
      <c r="AE524" s="370"/>
      <c r="AF524" s="370"/>
      <c r="AG524" s="370"/>
      <c r="AH524" s="370"/>
      <c r="AI524" s="370"/>
      <c r="AJ524" s="370"/>
      <c r="AK524" s="219"/>
      <c r="AL524" s="219"/>
      <c r="AM524" s="219"/>
      <c r="AN524" s="219"/>
      <c r="AO524" s="116"/>
      <c r="AP524" s="116"/>
      <c r="AQ524" s="116"/>
      <c r="AR524" s="116"/>
      <c r="AS524" s="116"/>
      <c r="AT524" s="116"/>
      <c r="AU524" s="332"/>
      <c r="AV524" s="332"/>
      <c r="AW524" s="332"/>
      <c r="AX524" s="332"/>
      <c r="AY524" s="332"/>
      <c r="AZ524" s="332"/>
      <c r="BA524" s="332"/>
      <c r="BB524" s="31"/>
      <c r="BC524" s="31"/>
      <c r="BD524" s="31"/>
      <c r="BE524" s="31"/>
    </row>
    <row r="525" spans="1:57" ht="13">
      <c r="A525" s="153"/>
      <c r="F525" s="153"/>
      <c r="G525" s="116"/>
      <c r="H525" s="116"/>
      <c r="I525" s="116"/>
      <c r="J525" s="116"/>
      <c r="K525" s="219"/>
      <c r="L525" s="116"/>
      <c r="M525" s="31"/>
      <c r="N525" s="336"/>
      <c r="O525" s="336"/>
      <c r="P525" s="219"/>
      <c r="Q525" s="332"/>
      <c r="R525" s="219"/>
      <c r="S525" s="332"/>
      <c r="T525" s="219"/>
      <c r="U525" s="332"/>
      <c r="V525" s="332"/>
      <c r="W525" s="370"/>
      <c r="X525" s="370"/>
      <c r="Y525" s="370"/>
      <c r="Z525" s="370"/>
      <c r="AA525" s="370"/>
      <c r="AB525" s="370"/>
      <c r="AC525" s="370"/>
      <c r="AD525" s="370"/>
      <c r="AE525" s="370"/>
      <c r="AF525" s="370"/>
      <c r="AG525" s="370"/>
      <c r="AH525" s="370"/>
      <c r="AI525" s="370"/>
      <c r="AJ525" s="370"/>
      <c r="AK525" s="219"/>
      <c r="AL525" s="219"/>
      <c r="AM525" s="219"/>
      <c r="AN525" s="219"/>
      <c r="AO525" s="116"/>
      <c r="AP525" s="116"/>
      <c r="AQ525" s="116"/>
      <c r="AR525" s="116"/>
      <c r="AS525" s="116"/>
      <c r="AT525" s="116"/>
      <c r="AU525" s="332"/>
      <c r="AV525" s="332"/>
      <c r="AW525" s="332"/>
      <c r="AX525" s="332"/>
      <c r="AY525" s="332"/>
      <c r="AZ525" s="332"/>
      <c r="BA525" s="332"/>
      <c r="BB525" s="31"/>
      <c r="BC525" s="31"/>
      <c r="BD525" s="31"/>
      <c r="BE525" s="31"/>
    </row>
    <row r="526" spans="1:57" ht="13">
      <c r="A526" s="153"/>
      <c r="F526" s="153"/>
      <c r="G526" s="116"/>
      <c r="H526" s="116"/>
      <c r="I526" s="116"/>
      <c r="J526" s="116"/>
      <c r="K526" s="219"/>
      <c r="L526" s="116"/>
      <c r="M526" s="31"/>
      <c r="N526" s="336"/>
      <c r="O526" s="336"/>
      <c r="P526" s="219"/>
      <c r="Q526" s="332"/>
      <c r="R526" s="219"/>
      <c r="S526" s="332"/>
      <c r="T526" s="219"/>
      <c r="U526" s="332"/>
      <c r="V526" s="332"/>
      <c r="W526" s="370"/>
      <c r="X526" s="370"/>
      <c r="Y526" s="370"/>
      <c r="Z526" s="370"/>
      <c r="AA526" s="370"/>
      <c r="AB526" s="370"/>
      <c r="AC526" s="370"/>
      <c r="AD526" s="370"/>
      <c r="AE526" s="370"/>
      <c r="AF526" s="370"/>
      <c r="AG526" s="370"/>
      <c r="AH526" s="370"/>
      <c r="AI526" s="370"/>
      <c r="AJ526" s="370"/>
      <c r="AK526" s="219"/>
      <c r="AL526" s="219"/>
      <c r="AM526" s="219"/>
      <c r="AN526" s="219"/>
      <c r="AO526" s="116"/>
      <c r="AP526" s="116"/>
      <c r="AQ526" s="116"/>
      <c r="AR526" s="116"/>
      <c r="AS526" s="116"/>
      <c r="AT526" s="116"/>
      <c r="AU526" s="332"/>
      <c r="AV526" s="332"/>
      <c r="AW526" s="332"/>
      <c r="AX526" s="332"/>
      <c r="AY526" s="332"/>
      <c r="AZ526" s="332"/>
      <c r="BA526" s="332"/>
      <c r="BB526" s="31"/>
      <c r="BC526" s="31"/>
      <c r="BD526" s="31"/>
      <c r="BE526" s="31"/>
    </row>
    <row r="527" spans="1:57" ht="13">
      <c r="A527" s="153"/>
      <c r="F527" s="153"/>
      <c r="G527" s="116"/>
      <c r="H527" s="116"/>
      <c r="I527" s="116"/>
      <c r="J527" s="116"/>
      <c r="K527" s="219"/>
      <c r="L527" s="116"/>
      <c r="M527" s="31"/>
      <c r="N527" s="336"/>
      <c r="O527" s="336"/>
      <c r="P527" s="219"/>
      <c r="Q527" s="332"/>
      <c r="R527" s="219"/>
      <c r="S527" s="332"/>
      <c r="T527" s="219"/>
      <c r="U527" s="332"/>
      <c r="V527" s="332"/>
      <c r="W527" s="370"/>
      <c r="X527" s="370"/>
      <c r="Y527" s="370"/>
      <c r="Z527" s="370"/>
      <c r="AA527" s="370"/>
      <c r="AB527" s="370"/>
      <c r="AC527" s="370"/>
      <c r="AD527" s="370"/>
      <c r="AE527" s="370"/>
      <c r="AF527" s="370"/>
      <c r="AG527" s="370"/>
      <c r="AH527" s="370"/>
      <c r="AI527" s="370"/>
      <c r="AJ527" s="370"/>
      <c r="AK527" s="219"/>
      <c r="AL527" s="219"/>
      <c r="AM527" s="219"/>
      <c r="AN527" s="219"/>
      <c r="AO527" s="116"/>
      <c r="AP527" s="116"/>
      <c r="AQ527" s="116"/>
      <c r="AR527" s="116"/>
      <c r="AS527" s="116"/>
      <c r="AT527" s="116"/>
      <c r="AU527" s="332"/>
      <c r="AV527" s="332"/>
      <c r="AW527" s="332"/>
      <c r="AX527" s="332"/>
      <c r="AY527" s="332"/>
      <c r="AZ527" s="332"/>
      <c r="BA527" s="332"/>
      <c r="BB527" s="31"/>
      <c r="BC527" s="31"/>
      <c r="BD527" s="31"/>
      <c r="BE527" s="31"/>
    </row>
    <row r="528" spans="1:57" ht="13">
      <c r="A528" s="153"/>
      <c r="F528" s="153"/>
      <c r="G528" s="116"/>
      <c r="H528" s="116"/>
      <c r="I528" s="116"/>
      <c r="J528" s="116"/>
      <c r="K528" s="219"/>
      <c r="L528" s="116"/>
      <c r="M528" s="31"/>
      <c r="N528" s="336"/>
      <c r="O528" s="336"/>
      <c r="P528" s="219"/>
      <c r="Q528" s="332"/>
      <c r="R528" s="219"/>
      <c r="S528" s="332"/>
      <c r="T528" s="219"/>
      <c r="U528" s="332"/>
      <c r="V528" s="332"/>
      <c r="W528" s="370"/>
      <c r="X528" s="370"/>
      <c r="Y528" s="370"/>
      <c r="Z528" s="370"/>
      <c r="AA528" s="370"/>
      <c r="AB528" s="370"/>
      <c r="AC528" s="370"/>
      <c r="AD528" s="370"/>
      <c r="AE528" s="370"/>
      <c r="AF528" s="370"/>
      <c r="AG528" s="370"/>
      <c r="AH528" s="370"/>
      <c r="AI528" s="370"/>
      <c r="AJ528" s="370"/>
      <c r="AK528" s="219"/>
      <c r="AL528" s="219"/>
      <c r="AM528" s="219"/>
      <c r="AN528" s="219"/>
      <c r="AO528" s="116"/>
      <c r="AP528" s="116"/>
      <c r="AQ528" s="116"/>
      <c r="AR528" s="116"/>
      <c r="AS528" s="116"/>
      <c r="AT528" s="116"/>
      <c r="AU528" s="332"/>
      <c r="AV528" s="332"/>
      <c r="AW528" s="332"/>
      <c r="AX528" s="332"/>
      <c r="AY528" s="332"/>
      <c r="AZ528" s="332"/>
      <c r="BA528" s="332"/>
      <c r="BB528" s="31"/>
      <c r="BC528" s="31"/>
      <c r="BD528" s="31"/>
      <c r="BE528" s="31"/>
    </row>
    <row r="529" spans="1:57" ht="13">
      <c r="A529" s="153"/>
      <c r="F529" s="153"/>
      <c r="G529" s="116"/>
      <c r="H529" s="116"/>
      <c r="I529" s="116"/>
      <c r="J529" s="116"/>
      <c r="K529" s="219"/>
      <c r="L529" s="116"/>
      <c r="M529" s="31"/>
      <c r="N529" s="336"/>
      <c r="O529" s="336"/>
      <c r="P529" s="219"/>
      <c r="Q529" s="332"/>
      <c r="R529" s="219"/>
      <c r="S529" s="332"/>
      <c r="T529" s="219"/>
      <c r="U529" s="332"/>
      <c r="V529" s="332"/>
      <c r="W529" s="370"/>
      <c r="X529" s="370"/>
      <c r="Y529" s="370"/>
      <c r="Z529" s="370"/>
      <c r="AA529" s="370"/>
      <c r="AB529" s="370"/>
      <c r="AC529" s="370"/>
      <c r="AD529" s="370"/>
      <c r="AE529" s="370"/>
      <c r="AF529" s="370"/>
      <c r="AG529" s="370"/>
      <c r="AH529" s="370"/>
      <c r="AI529" s="370"/>
      <c r="AJ529" s="370"/>
      <c r="AK529" s="219"/>
      <c r="AL529" s="219"/>
      <c r="AM529" s="219"/>
      <c r="AN529" s="219"/>
      <c r="AO529" s="116"/>
      <c r="AP529" s="116"/>
      <c r="AQ529" s="116"/>
      <c r="AR529" s="116"/>
      <c r="AS529" s="116"/>
      <c r="AT529" s="116"/>
      <c r="AU529" s="332"/>
      <c r="AV529" s="332"/>
      <c r="AW529" s="332"/>
      <c r="AX529" s="332"/>
      <c r="AY529" s="332"/>
      <c r="AZ529" s="332"/>
      <c r="BA529" s="332"/>
      <c r="BB529" s="31"/>
      <c r="BC529" s="31"/>
      <c r="BD529" s="31"/>
      <c r="BE529" s="31"/>
    </row>
    <row r="530" spans="1:57" ht="13">
      <c r="A530" s="153"/>
      <c r="F530" s="153"/>
      <c r="G530" s="116"/>
      <c r="H530" s="116"/>
      <c r="I530" s="116"/>
      <c r="J530" s="116"/>
      <c r="K530" s="219"/>
      <c r="L530" s="116"/>
      <c r="M530" s="31"/>
      <c r="N530" s="336"/>
      <c r="O530" s="336"/>
      <c r="P530" s="219"/>
      <c r="Q530" s="332"/>
      <c r="R530" s="219"/>
      <c r="S530" s="332"/>
      <c r="T530" s="219"/>
      <c r="U530" s="332"/>
      <c r="V530" s="332"/>
      <c r="W530" s="370"/>
      <c r="X530" s="370"/>
      <c r="Y530" s="370"/>
      <c r="Z530" s="370"/>
      <c r="AA530" s="370"/>
      <c r="AB530" s="370"/>
      <c r="AC530" s="370"/>
      <c r="AD530" s="370"/>
      <c r="AE530" s="370"/>
      <c r="AF530" s="370"/>
      <c r="AG530" s="370"/>
      <c r="AH530" s="370"/>
      <c r="AI530" s="370"/>
      <c r="AJ530" s="370"/>
      <c r="AK530" s="219"/>
      <c r="AL530" s="219"/>
      <c r="AM530" s="219"/>
      <c r="AN530" s="219"/>
      <c r="AO530" s="116"/>
      <c r="AP530" s="116"/>
      <c r="AQ530" s="116"/>
      <c r="AR530" s="116"/>
      <c r="AS530" s="116"/>
      <c r="AT530" s="116"/>
      <c r="AU530" s="332"/>
      <c r="AV530" s="332"/>
      <c r="AW530" s="332"/>
      <c r="AX530" s="332"/>
      <c r="AY530" s="332"/>
      <c r="AZ530" s="332"/>
      <c r="BA530" s="332"/>
      <c r="BB530" s="31"/>
      <c r="BC530" s="31"/>
      <c r="BD530" s="31"/>
      <c r="BE530" s="31"/>
    </row>
    <row r="531" spans="1:57" ht="13">
      <c r="A531" s="153"/>
      <c r="F531" s="153"/>
      <c r="G531" s="116"/>
      <c r="H531" s="116"/>
      <c r="I531" s="116"/>
      <c r="J531" s="116"/>
      <c r="K531" s="219"/>
      <c r="L531" s="116"/>
      <c r="M531" s="31"/>
      <c r="N531" s="336"/>
      <c r="O531" s="336"/>
      <c r="P531" s="219"/>
      <c r="Q531" s="332"/>
      <c r="R531" s="219"/>
      <c r="S531" s="332"/>
      <c r="T531" s="219"/>
      <c r="U531" s="332"/>
      <c r="V531" s="332"/>
      <c r="W531" s="370"/>
      <c r="X531" s="370"/>
      <c r="Y531" s="370"/>
      <c r="Z531" s="370"/>
      <c r="AA531" s="370"/>
      <c r="AB531" s="370"/>
      <c r="AC531" s="370"/>
      <c r="AD531" s="370"/>
      <c r="AE531" s="370"/>
      <c r="AF531" s="370"/>
      <c r="AG531" s="370"/>
      <c r="AH531" s="370"/>
      <c r="AI531" s="370"/>
      <c r="AJ531" s="370"/>
      <c r="AK531" s="219"/>
      <c r="AL531" s="219"/>
      <c r="AM531" s="219"/>
      <c r="AN531" s="219"/>
      <c r="AO531" s="116"/>
      <c r="AP531" s="116"/>
      <c r="AQ531" s="116"/>
      <c r="AR531" s="116"/>
      <c r="AS531" s="116"/>
      <c r="AT531" s="116"/>
      <c r="AU531" s="332"/>
      <c r="AV531" s="332"/>
      <c r="AW531" s="332"/>
      <c r="AX531" s="332"/>
      <c r="AY531" s="332"/>
      <c r="AZ531" s="332"/>
      <c r="BA531" s="332"/>
      <c r="BB531" s="31"/>
      <c r="BC531" s="31"/>
      <c r="BD531" s="31"/>
      <c r="BE531" s="31"/>
    </row>
    <row r="532" spans="1:57" ht="13">
      <c r="A532" s="153"/>
      <c r="F532" s="153"/>
      <c r="G532" s="116"/>
      <c r="H532" s="116"/>
      <c r="I532" s="116"/>
      <c r="J532" s="116"/>
      <c r="K532" s="219"/>
      <c r="L532" s="116"/>
      <c r="M532" s="31"/>
      <c r="N532" s="336"/>
      <c r="O532" s="336"/>
      <c r="P532" s="219"/>
      <c r="Q532" s="332"/>
      <c r="R532" s="219"/>
      <c r="S532" s="332"/>
      <c r="T532" s="219"/>
      <c r="U532" s="332"/>
      <c r="V532" s="332"/>
      <c r="W532" s="370"/>
      <c r="X532" s="370"/>
      <c r="Y532" s="370"/>
      <c r="Z532" s="370"/>
      <c r="AA532" s="370"/>
      <c r="AB532" s="370"/>
      <c r="AC532" s="370"/>
      <c r="AD532" s="370"/>
      <c r="AE532" s="370"/>
      <c r="AF532" s="370"/>
      <c r="AG532" s="370"/>
      <c r="AH532" s="370"/>
      <c r="AI532" s="370"/>
      <c r="AJ532" s="370"/>
      <c r="AK532" s="219"/>
      <c r="AL532" s="219"/>
      <c r="AM532" s="219"/>
      <c r="AN532" s="219"/>
      <c r="AO532" s="116"/>
      <c r="AP532" s="116"/>
      <c r="AQ532" s="116"/>
      <c r="AR532" s="116"/>
      <c r="AS532" s="116"/>
      <c r="AT532" s="116"/>
      <c r="AU532" s="332"/>
      <c r="AV532" s="332"/>
      <c r="AW532" s="332"/>
      <c r="AX532" s="332"/>
      <c r="AY532" s="332"/>
      <c r="AZ532" s="332"/>
      <c r="BA532" s="332"/>
      <c r="BB532" s="31"/>
      <c r="BC532" s="31"/>
      <c r="BD532" s="31"/>
      <c r="BE532" s="31"/>
    </row>
    <row r="533" spans="1:57" ht="13">
      <c r="A533" s="153"/>
      <c r="F533" s="153"/>
      <c r="G533" s="116"/>
      <c r="H533" s="116"/>
      <c r="I533" s="116"/>
      <c r="J533" s="116"/>
      <c r="K533" s="219"/>
      <c r="L533" s="116"/>
      <c r="M533" s="31"/>
      <c r="N533" s="336"/>
      <c r="O533" s="336"/>
      <c r="P533" s="219"/>
      <c r="Q533" s="332"/>
      <c r="R533" s="219"/>
      <c r="S533" s="332"/>
      <c r="T533" s="219"/>
      <c r="U533" s="332"/>
      <c r="V533" s="332"/>
      <c r="W533" s="370"/>
      <c r="X533" s="370"/>
      <c r="Y533" s="370"/>
      <c r="Z533" s="370"/>
      <c r="AA533" s="370"/>
      <c r="AB533" s="370"/>
      <c r="AC533" s="370"/>
      <c r="AD533" s="370"/>
      <c r="AE533" s="370"/>
      <c r="AF533" s="370"/>
      <c r="AG533" s="370"/>
      <c r="AH533" s="370"/>
      <c r="AI533" s="370"/>
      <c r="AJ533" s="370"/>
      <c r="AK533" s="219"/>
      <c r="AL533" s="219"/>
      <c r="AM533" s="219"/>
      <c r="AN533" s="219"/>
      <c r="AO533" s="116"/>
      <c r="AP533" s="116"/>
      <c r="AQ533" s="116"/>
      <c r="AR533" s="116"/>
      <c r="AS533" s="116"/>
      <c r="AT533" s="116"/>
      <c r="AU533" s="332"/>
      <c r="AV533" s="332"/>
      <c r="AW533" s="332"/>
      <c r="AX533" s="332"/>
      <c r="AY533" s="332"/>
      <c r="AZ533" s="332"/>
      <c r="BA533" s="332"/>
      <c r="BB533" s="31"/>
      <c r="BC533" s="31"/>
      <c r="BD533" s="31"/>
      <c r="BE533" s="31"/>
    </row>
    <row r="534" spans="1:57" ht="13">
      <c r="A534" s="153"/>
      <c r="F534" s="153"/>
      <c r="G534" s="116"/>
      <c r="H534" s="116"/>
      <c r="I534" s="116"/>
      <c r="J534" s="116"/>
      <c r="K534" s="219"/>
      <c r="L534" s="116"/>
      <c r="M534" s="31"/>
      <c r="N534" s="336"/>
      <c r="O534" s="336"/>
      <c r="P534" s="219"/>
      <c r="Q534" s="332"/>
      <c r="R534" s="219"/>
      <c r="S534" s="332"/>
      <c r="T534" s="219"/>
      <c r="U534" s="332"/>
      <c r="V534" s="332"/>
      <c r="W534" s="370"/>
      <c r="X534" s="370"/>
      <c r="Y534" s="370"/>
      <c r="Z534" s="370"/>
      <c r="AA534" s="370"/>
      <c r="AB534" s="370"/>
      <c r="AC534" s="370"/>
      <c r="AD534" s="370"/>
      <c r="AE534" s="370"/>
      <c r="AF534" s="370"/>
      <c r="AG534" s="370"/>
      <c r="AH534" s="370"/>
      <c r="AI534" s="370"/>
      <c r="AJ534" s="370"/>
      <c r="AK534" s="219"/>
      <c r="AL534" s="219"/>
      <c r="AM534" s="219"/>
      <c r="AN534" s="219"/>
      <c r="AO534" s="116"/>
      <c r="AP534" s="116"/>
      <c r="AQ534" s="116"/>
      <c r="AR534" s="116"/>
      <c r="AS534" s="116"/>
      <c r="AT534" s="116"/>
      <c r="AU534" s="332"/>
      <c r="AV534" s="332"/>
      <c r="AW534" s="332"/>
      <c r="AX534" s="332"/>
      <c r="AY534" s="332"/>
      <c r="AZ534" s="332"/>
      <c r="BA534" s="332"/>
      <c r="BB534" s="31"/>
      <c r="BC534" s="31"/>
      <c r="BD534" s="31"/>
      <c r="BE534" s="31"/>
    </row>
    <row r="535" spans="1:57" ht="13">
      <c r="A535" s="153"/>
      <c r="F535" s="153"/>
      <c r="G535" s="116"/>
      <c r="H535" s="116"/>
      <c r="I535" s="116"/>
      <c r="J535" s="116"/>
      <c r="K535" s="219"/>
      <c r="L535" s="116"/>
      <c r="M535" s="31"/>
      <c r="N535" s="336"/>
      <c r="O535" s="336"/>
      <c r="P535" s="219"/>
      <c r="Q535" s="332"/>
      <c r="R535" s="219"/>
      <c r="S535" s="332"/>
      <c r="T535" s="219"/>
      <c r="U535" s="332"/>
      <c r="V535" s="332"/>
      <c r="W535" s="370"/>
      <c r="X535" s="370"/>
      <c r="Y535" s="370"/>
      <c r="Z535" s="370"/>
      <c r="AA535" s="370"/>
      <c r="AB535" s="370"/>
      <c r="AC535" s="370"/>
      <c r="AD535" s="370"/>
      <c r="AE535" s="370"/>
      <c r="AF535" s="370"/>
      <c r="AG535" s="370"/>
      <c r="AH535" s="370"/>
      <c r="AI535" s="370"/>
      <c r="AJ535" s="370"/>
      <c r="AK535" s="219"/>
      <c r="AL535" s="219"/>
      <c r="AM535" s="219"/>
      <c r="AN535" s="219"/>
      <c r="AO535" s="116"/>
      <c r="AP535" s="116"/>
      <c r="AQ535" s="116"/>
      <c r="AR535" s="116"/>
      <c r="AS535" s="116"/>
      <c r="AT535" s="116"/>
      <c r="AU535" s="332"/>
      <c r="AV535" s="332"/>
      <c r="AW535" s="332"/>
      <c r="AX535" s="332"/>
      <c r="AY535" s="332"/>
      <c r="AZ535" s="332"/>
      <c r="BA535" s="332"/>
      <c r="BB535" s="31"/>
      <c r="BC535" s="31"/>
      <c r="BD535" s="31"/>
      <c r="BE535" s="31"/>
    </row>
    <row r="536" spans="1:57" ht="13">
      <c r="A536" s="153"/>
      <c r="F536" s="153"/>
      <c r="G536" s="116"/>
      <c r="H536" s="116"/>
      <c r="I536" s="116"/>
      <c r="J536" s="116"/>
      <c r="K536" s="219"/>
      <c r="L536" s="116"/>
      <c r="M536" s="31"/>
      <c r="N536" s="336"/>
      <c r="O536" s="336"/>
      <c r="P536" s="219"/>
      <c r="Q536" s="332"/>
      <c r="R536" s="219"/>
      <c r="S536" s="332"/>
      <c r="T536" s="219"/>
      <c r="U536" s="332"/>
      <c r="V536" s="332"/>
      <c r="W536" s="370"/>
      <c r="X536" s="370"/>
      <c r="Y536" s="370"/>
      <c r="Z536" s="370"/>
      <c r="AA536" s="370"/>
      <c r="AB536" s="370"/>
      <c r="AC536" s="370"/>
      <c r="AD536" s="370"/>
      <c r="AE536" s="370"/>
      <c r="AF536" s="370"/>
      <c r="AG536" s="370"/>
      <c r="AH536" s="370"/>
      <c r="AI536" s="370"/>
      <c r="AJ536" s="370"/>
      <c r="AK536" s="219"/>
      <c r="AL536" s="219"/>
      <c r="AM536" s="219"/>
      <c r="AN536" s="219"/>
      <c r="AO536" s="116"/>
      <c r="AP536" s="116"/>
      <c r="AQ536" s="116"/>
      <c r="AR536" s="116"/>
      <c r="AS536" s="116"/>
      <c r="AT536" s="116"/>
      <c r="AU536" s="332"/>
      <c r="AV536" s="332"/>
      <c r="AW536" s="332"/>
      <c r="AX536" s="332"/>
      <c r="AY536" s="332"/>
      <c r="AZ536" s="332"/>
      <c r="BA536" s="332"/>
      <c r="BB536" s="31"/>
      <c r="BC536" s="31"/>
      <c r="BD536" s="31"/>
      <c r="BE536" s="31"/>
    </row>
    <row r="537" spans="1:57" ht="13">
      <c r="A537" s="153"/>
      <c r="F537" s="153"/>
      <c r="G537" s="116"/>
      <c r="H537" s="116"/>
      <c r="I537" s="116"/>
      <c r="J537" s="116"/>
      <c r="K537" s="219"/>
      <c r="L537" s="116"/>
      <c r="M537" s="31"/>
      <c r="N537" s="336"/>
      <c r="O537" s="336"/>
      <c r="P537" s="219"/>
      <c r="Q537" s="332"/>
      <c r="R537" s="219"/>
      <c r="S537" s="332"/>
      <c r="T537" s="219"/>
      <c r="U537" s="332"/>
      <c r="V537" s="332"/>
      <c r="W537" s="370"/>
      <c r="X537" s="370"/>
      <c r="Y537" s="370"/>
      <c r="Z537" s="370"/>
      <c r="AA537" s="370"/>
      <c r="AB537" s="370"/>
      <c r="AC537" s="370"/>
      <c r="AD537" s="370"/>
      <c r="AE537" s="370"/>
      <c r="AF537" s="370"/>
      <c r="AG537" s="370"/>
      <c r="AH537" s="370"/>
      <c r="AI537" s="370"/>
      <c r="AJ537" s="370"/>
      <c r="AK537" s="219"/>
      <c r="AL537" s="219"/>
      <c r="AM537" s="219"/>
      <c r="AN537" s="219"/>
      <c r="AO537" s="116"/>
      <c r="AP537" s="116"/>
      <c r="AQ537" s="116"/>
      <c r="AR537" s="116"/>
      <c r="AS537" s="116"/>
      <c r="AT537" s="116"/>
      <c r="AU537" s="332"/>
      <c r="AV537" s="332"/>
      <c r="AW537" s="332"/>
      <c r="AX537" s="332"/>
      <c r="AY537" s="332"/>
      <c r="AZ537" s="332"/>
      <c r="BA537" s="332"/>
      <c r="BB537" s="31"/>
      <c r="BC537" s="31"/>
      <c r="BD537" s="31"/>
      <c r="BE537" s="31"/>
    </row>
    <row r="538" spans="1:57" ht="13">
      <c r="A538" s="153"/>
      <c r="F538" s="153"/>
      <c r="G538" s="116"/>
      <c r="H538" s="116"/>
      <c r="I538" s="116"/>
      <c r="J538" s="116"/>
      <c r="K538" s="219"/>
      <c r="L538" s="116"/>
      <c r="M538" s="31"/>
      <c r="N538" s="336"/>
      <c r="O538" s="336"/>
      <c r="P538" s="219"/>
      <c r="Q538" s="332"/>
      <c r="R538" s="219"/>
      <c r="S538" s="332"/>
      <c r="T538" s="219"/>
      <c r="U538" s="332"/>
      <c r="V538" s="332"/>
      <c r="W538" s="370"/>
      <c r="X538" s="370"/>
      <c r="Y538" s="370"/>
      <c r="Z538" s="370"/>
      <c r="AA538" s="370"/>
      <c r="AB538" s="370"/>
      <c r="AC538" s="370"/>
      <c r="AD538" s="370"/>
      <c r="AE538" s="370"/>
      <c r="AF538" s="370"/>
      <c r="AG538" s="370"/>
      <c r="AH538" s="370"/>
      <c r="AI538" s="370"/>
      <c r="AJ538" s="370"/>
      <c r="AK538" s="219"/>
      <c r="AL538" s="219"/>
      <c r="AM538" s="219"/>
      <c r="AN538" s="219"/>
      <c r="AO538" s="116"/>
      <c r="AP538" s="116"/>
      <c r="AQ538" s="116"/>
      <c r="AR538" s="116"/>
      <c r="AS538" s="116"/>
      <c r="AT538" s="116"/>
      <c r="AU538" s="332"/>
      <c r="AV538" s="332"/>
      <c r="AW538" s="332"/>
      <c r="AX538" s="332"/>
      <c r="AY538" s="332"/>
      <c r="AZ538" s="332"/>
      <c r="BA538" s="332"/>
      <c r="BB538" s="31"/>
      <c r="BC538" s="31"/>
      <c r="BD538" s="31"/>
      <c r="BE538" s="31"/>
    </row>
    <row r="539" spans="1:57" ht="13">
      <c r="A539" s="153"/>
      <c r="F539" s="153"/>
      <c r="G539" s="116"/>
      <c r="H539" s="116"/>
      <c r="I539" s="116"/>
      <c r="J539" s="116"/>
      <c r="K539" s="219"/>
      <c r="L539" s="116"/>
      <c r="M539" s="31"/>
      <c r="N539" s="336"/>
      <c r="O539" s="336"/>
      <c r="P539" s="219"/>
      <c r="Q539" s="332"/>
      <c r="R539" s="219"/>
      <c r="S539" s="332"/>
      <c r="T539" s="219"/>
      <c r="U539" s="332"/>
      <c r="V539" s="332"/>
      <c r="W539" s="370"/>
      <c r="X539" s="370"/>
      <c r="Y539" s="370"/>
      <c r="Z539" s="370"/>
      <c r="AA539" s="370"/>
      <c r="AB539" s="370"/>
      <c r="AC539" s="370"/>
      <c r="AD539" s="370"/>
      <c r="AE539" s="370"/>
      <c r="AF539" s="370"/>
      <c r="AG539" s="370"/>
      <c r="AH539" s="370"/>
      <c r="AI539" s="370"/>
      <c r="AJ539" s="370"/>
      <c r="AK539" s="219"/>
      <c r="AL539" s="219"/>
      <c r="AM539" s="219"/>
      <c r="AN539" s="219"/>
      <c r="AO539" s="116"/>
      <c r="AP539" s="116"/>
      <c r="AQ539" s="116"/>
      <c r="AR539" s="116"/>
      <c r="AS539" s="116"/>
      <c r="AT539" s="116"/>
      <c r="AU539" s="332"/>
      <c r="AV539" s="332"/>
      <c r="AW539" s="332"/>
      <c r="AX539" s="332"/>
      <c r="AY539" s="332"/>
      <c r="AZ539" s="332"/>
      <c r="BA539" s="332"/>
      <c r="BB539" s="31"/>
      <c r="BC539" s="31"/>
      <c r="BD539" s="31"/>
      <c r="BE539" s="31"/>
    </row>
    <row r="540" spans="1:57" ht="13">
      <c r="A540" s="153"/>
      <c r="F540" s="153"/>
      <c r="G540" s="116"/>
      <c r="H540" s="116"/>
      <c r="I540" s="116"/>
      <c r="J540" s="116"/>
      <c r="K540" s="219"/>
      <c r="L540" s="116"/>
      <c r="M540" s="31"/>
      <c r="N540" s="336"/>
      <c r="O540" s="336"/>
      <c r="P540" s="219"/>
      <c r="Q540" s="332"/>
      <c r="R540" s="219"/>
      <c r="S540" s="332"/>
      <c r="T540" s="219"/>
      <c r="U540" s="332"/>
      <c r="V540" s="332"/>
      <c r="W540" s="370"/>
      <c r="X540" s="370"/>
      <c r="Y540" s="370"/>
      <c r="Z540" s="370"/>
      <c r="AA540" s="370"/>
      <c r="AB540" s="370"/>
      <c r="AC540" s="370"/>
      <c r="AD540" s="370"/>
      <c r="AE540" s="370"/>
      <c r="AF540" s="370"/>
      <c r="AG540" s="370"/>
      <c r="AH540" s="370"/>
      <c r="AI540" s="370"/>
      <c r="AJ540" s="370"/>
      <c r="AK540" s="219"/>
      <c r="AL540" s="219"/>
      <c r="AM540" s="219"/>
      <c r="AN540" s="219"/>
      <c r="AO540" s="116"/>
      <c r="AP540" s="116"/>
      <c r="AQ540" s="116"/>
      <c r="AR540" s="116"/>
      <c r="AS540" s="116"/>
      <c r="AT540" s="116"/>
      <c r="AU540" s="332"/>
      <c r="AV540" s="332"/>
      <c r="AW540" s="332"/>
      <c r="AX540" s="332"/>
      <c r="AY540" s="332"/>
      <c r="AZ540" s="332"/>
      <c r="BA540" s="332"/>
      <c r="BB540" s="31"/>
      <c r="BC540" s="31"/>
      <c r="BD540" s="31"/>
      <c r="BE540" s="31"/>
    </row>
    <row r="541" spans="1:57" ht="13">
      <c r="A541" s="153"/>
      <c r="F541" s="153"/>
      <c r="G541" s="116"/>
      <c r="H541" s="116"/>
      <c r="I541" s="116"/>
      <c r="J541" s="116"/>
      <c r="K541" s="219"/>
      <c r="L541" s="116"/>
      <c r="M541" s="31"/>
      <c r="N541" s="336"/>
      <c r="O541" s="336"/>
      <c r="P541" s="219"/>
      <c r="Q541" s="332"/>
      <c r="R541" s="219"/>
      <c r="S541" s="332"/>
      <c r="T541" s="219"/>
      <c r="U541" s="332"/>
      <c r="V541" s="332"/>
      <c r="W541" s="370"/>
      <c r="X541" s="370"/>
      <c r="Y541" s="370"/>
      <c r="Z541" s="370"/>
      <c r="AA541" s="370"/>
      <c r="AB541" s="370"/>
      <c r="AC541" s="370"/>
      <c r="AD541" s="370"/>
      <c r="AE541" s="370"/>
      <c r="AF541" s="370"/>
      <c r="AG541" s="370"/>
      <c r="AH541" s="370"/>
      <c r="AI541" s="370"/>
      <c r="AJ541" s="370"/>
      <c r="AK541" s="219"/>
      <c r="AL541" s="219"/>
      <c r="AM541" s="219"/>
      <c r="AN541" s="219"/>
      <c r="AO541" s="116"/>
      <c r="AP541" s="116"/>
      <c r="AQ541" s="116"/>
      <c r="AR541" s="116"/>
      <c r="AS541" s="116"/>
      <c r="AT541" s="116"/>
      <c r="AU541" s="332"/>
      <c r="AV541" s="332"/>
      <c r="AW541" s="332"/>
      <c r="AX541" s="332"/>
      <c r="AY541" s="332"/>
      <c r="AZ541" s="332"/>
      <c r="BA541" s="332"/>
      <c r="BB541" s="31"/>
      <c r="BC541" s="31"/>
      <c r="BD541" s="31"/>
      <c r="BE541" s="31"/>
    </row>
    <row r="542" spans="1:57" ht="13">
      <c r="A542" s="153"/>
      <c r="F542" s="153"/>
      <c r="G542" s="116"/>
      <c r="H542" s="116"/>
      <c r="I542" s="116"/>
      <c r="J542" s="116"/>
      <c r="K542" s="219"/>
      <c r="L542" s="116"/>
      <c r="M542" s="31"/>
      <c r="N542" s="336"/>
      <c r="O542" s="336"/>
      <c r="P542" s="219"/>
      <c r="Q542" s="332"/>
      <c r="R542" s="219"/>
      <c r="S542" s="332"/>
      <c r="T542" s="219"/>
      <c r="U542" s="332"/>
      <c r="V542" s="332"/>
      <c r="W542" s="370"/>
      <c r="X542" s="370"/>
      <c r="Y542" s="370"/>
      <c r="Z542" s="370"/>
      <c r="AA542" s="370"/>
      <c r="AB542" s="370"/>
      <c r="AC542" s="370"/>
      <c r="AD542" s="370"/>
      <c r="AE542" s="370"/>
      <c r="AF542" s="370"/>
      <c r="AG542" s="370"/>
      <c r="AH542" s="370"/>
      <c r="AI542" s="370"/>
      <c r="AJ542" s="370"/>
      <c r="AK542" s="219"/>
      <c r="AL542" s="219"/>
      <c r="AM542" s="219"/>
      <c r="AN542" s="219"/>
      <c r="AO542" s="116"/>
      <c r="AP542" s="116"/>
      <c r="AQ542" s="116"/>
      <c r="AR542" s="116"/>
      <c r="AS542" s="116"/>
      <c r="AT542" s="116"/>
      <c r="AU542" s="332"/>
      <c r="AV542" s="332"/>
      <c r="AW542" s="332"/>
      <c r="AX542" s="332"/>
      <c r="AY542" s="332"/>
      <c r="AZ542" s="332"/>
      <c r="BA542" s="332"/>
      <c r="BB542" s="31"/>
      <c r="BC542" s="31"/>
      <c r="BD542" s="31"/>
      <c r="BE542" s="31"/>
    </row>
    <row r="543" spans="1:57" ht="13">
      <c r="A543" s="153"/>
      <c r="F543" s="153"/>
      <c r="G543" s="116"/>
      <c r="H543" s="116"/>
      <c r="I543" s="116"/>
      <c r="J543" s="116"/>
      <c r="K543" s="219"/>
      <c r="L543" s="116"/>
      <c r="M543" s="31"/>
      <c r="N543" s="336"/>
      <c r="O543" s="336"/>
      <c r="P543" s="219"/>
      <c r="Q543" s="332"/>
      <c r="R543" s="219"/>
      <c r="S543" s="332"/>
      <c r="T543" s="219"/>
      <c r="U543" s="332"/>
      <c r="V543" s="332"/>
      <c r="W543" s="370"/>
      <c r="X543" s="370"/>
      <c r="Y543" s="370"/>
      <c r="Z543" s="370"/>
      <c r="AA543" s="370"/>
      <c r="AB543" s="370"/>
      <c r="AC543" s="370"/>
      <c r="AD543" s="370"/>
      <c r="AE543" s="370"/>
      <c r="AF543" s="370"/>
      <c r="AG543" s="370"/>
      <c r="AH543" s="370"/>
      <c r="AI543" s="370"/>
      <c r="AJ543" s="370"/>
      <c r="AK543" s="219"/>
      <c r="AL543" s="219"/>
      <c r="AM543" s="219"/>
      <c r="AN543" s="219"/>
      <c r="AO543" s="116"/>
      <c r="AP543" s="116"/>
      <c r="AQ543" s="116"/>
      <c r="AR543" s="116"/>
      <c r="AS543" s="116"/>
      <c r="AT543" s="116"/>
      <c r="AU543" s="332"/>
      <c r="AV543" s="332"/>
      <c r="AW543" s="332"/>
      <c r="AX543" s="332"/>
      <c r="AY543" s="332"/>
      <c r="AZ543" s="332"/>
      <c r="BA543" s="332"/>
      <c r="BB543" s="31"/>
      <c r="BC543" s="31"/>
      <c r="BD543" s="31"/>
      <c r="BE543" s="31"/>
    </row>
    <row r="544" spans="1:57" ht="13">
      <c r="A544" s="153"/>
      <c r="F544" s="153"/>
      <c r="G544" s="116"/>
      <c r="H544" s="116"/>
      <c r="I544" s="116"/>
      <c r="J544" s="116"/>
      <c r="K544" s="219"/>
      <c r="L544" s="116"/>
      <c r="M544" s="31"/>
      <c r="N544" s="336"/>
      <c r="O544" s="336"/>
      <c r="P544" s="219"/>
      <c r="Q544" s="332"/>
      <c r="R544" s="219"/>
      <c r="S544" s="332"/>
      <c r="T544" s="219"/>
      <c r="U544" s="332"/>
      <c r="V544" s="332"/>
      <c r="W544" s="370"/>
      <c r="X544" s="370"/>
      <c r="Y544" s="370"/>
      <c r="Z544" s="370"/>
      <c r="AA544" s="370"/>
      <c r="AB544" s="370"/>
      <c r="AC544" s="370"/>
      <c r="AD544" s="370"/>
      <c r="AE544" s="370"/>
      <c r="AF544" s="370"/>
      <c r="AG544" s="370"/>
      <c r="AH544" s="370"/>
      <c r="AI544" s="370"/>
      <c r="AJ544" s="370"/>
      <c r="AK544" s="219"/>
      <c r="AL544" s="219"/>
      <c r="AM544" s="219"/>
      <c r="AN544" s="219"/>
      <c r="AO544" s="116"/>
      <c r="AP544" s="116"/>
      <c r="AQ544" s="116"/>
      <c r="AR544" s="116"/>
      <c r="AS544" s="116"/>
      <c r="AT544" s="116"/>
      <c r="AU544" s="332"/>
      <c r="AV544" s="332"/>
      <c r="AW544" s="332"/>
      <c r="AX544" s="332"/>
      <c r="AY544" s="332"/>
      <c r="AZ544" s="332"/>
      <c r="BA544" s="332"/>
      <c r="BB544" s="31"/>
      <c r="BC544" s="31"/>
      <c r="BD544" s="31"/>
      <c r="BE544" s="31"/>
    </row>
    <row r="545" spans="1:57" ht="13">
      <c r="A545" s="153"/>
      <c r="F545" s="153"/>
      <c r="G545" s="116"/>
      <c r="H545" s="116"/>
      <c r="I545" s="116"/>
      <c r="J545" s="116"/>
      <c r="K545" s="219"/>
      <c r="L545" s="116"/>
      <c r="M545" s="31"/>
      <c r="N545" s="336"/>
      <c r="O545" s="336"/>
      <c r="P545" s="219"/>
      <c r="Q545" s="332"/>
      <c r="R545" s="219"/>
      <c r="S545" s="332"/>
      <c r="T545" s="219"/>
      <c r="U545" s="332"/>
      <c r="V545" s="332"/>
      <c r="W545" s="370"/>
      <c r="X545" s="370"/>
      <c r="Y545" s="370"/>
      <c r="Z545" s="370"/>
      <c r="AA545" s="370"/>
      <c r="AB545" s="370"/>
      <c r="AC545" s="370"/>
      <c r="AD545" s="370"/>
      <c r="AE545" s="370"/>
      <c r="AF545" s="370"/>
      <c r="AG545" s="370"/>
      <c r="AH545" s="370"/>
      <c r="AI545" s="370"/>
      <c r="AJ545" s="370"/>
      <c r="AK545" s="219"/>
      <c r="AL545" s="219"/>
      <c r="AM545" s="219"/>
      <c r="AN545" s="219"/>
      <c r="AO545" s="116"/>
      <c r="AP545" s="116"/>
      <c r="AQ545" s="116"/>
      <c r="AR545" s="116"/>
      <c r="AS545" s="116"/>
      <c r="AT545" s="116"/>
      <c r="AU545" s="332"/>
      <c r="AV545" s="332"/>
      <c r="AW545" s="332"/>
      <c r="AX545" s="332"/>
      <c r="AY545" s="332"/>
      <c r="AZ545" s="332"/>
      <c r="BA545" s="332"/>
      <c r="BB545" s="31"/>
      <c r="BC545" s="31"/>
      <c r="BD545" s="31"/>
      <c r="BE545" s="31"/>
    </row>
    <row r="546" spans="1:57" ht="13">
      <c r="A546" s="153"/>
      <c r="F546" s="153"/>
      <c r="G546" s="116"/>
      <c r="H546" s="116"/>
      <c r="I546" s="116"/>
      <c r="J546" s="116"/>
      <c r="K546" s="219"/>
      <c r="L546" s="116"/>
      <c r="M546" s="31"/>
      <c r="N546" s="336"/>
      <c r="O546" s="336"/>
      <c r="P546" s="219"/>
      <c r="Q546" s="332"/>
      <c r="R546" s="219"/>
      <c r="S546" s="332"/>
      <c r="T546" s="219"/>
      <c r="U546" s="332"/>
      <c r="V546" s="332"/>
      <c r="W546" s="370"/>
      <c r="X546" s="370"/>
      <c r="Y546" s="370"/>
      <c r="Z546" s="370"/>
      <c r="AA546" s="370"/>
      <c r="AB546" s="370"/>
      <c r="AC546" s="370"/>
      <c r="AD546" s="370"/>
      <c r="AE546" s="370"/>
      <c r="AF546" s="370"/>
      <c r="AG546" s="370"/>
      <c r="AH546" s="370"/>
      <c r="AI546" s="370"/>
      <c r="AJ546" s="370"/>
      <c r="AK546" s="219"/>
      <c r="AL546" s="219"/>
      <c r="AM546" s="219"/>
      <c r="AN546" s="219"/>
      <c r="AO546" s="116"/>
      <c r="AP546" s="116"/>
      <c r="AQ546" s="116"/>
      <c r="AR546" s="116"/>
      <c r="AS546" s="116"/>
      <c r="AT546" s="116"/>
      <c r="AU546" s="332"/>
      <c r="AV546" s="332"/>
      <c r="AW546" s="332"/>
      <c r="AX546" s="332"/>
      <c r="AY546" s="332"/>
      <c r="AZ546" s="332"/>
      <c r="BA546" s="332"/>
      <c r="BB546" s="31"/>
      <c r="BC546" s="31"/>
      <c r="BD546" s="31"/>
      <c r="BE546" s="31"/>
    </row>
    <row r="547" spans="1:57" ht="13">
      <c r="A547" s="153"/>
      <c r="F547" s="153"/>
      <c r="G547" s="116"/>
      <c r="H547" s="116"/>
      <c r="I547" s="116"/>
      <c r="J547" s="116"/>
      <c r="K547" s="219"/>
      <c r="L547" s="116"/>
      <c r="M547" s="31"/>
      <c r="N547" s="336"/>
      <c r="O547" s="336"/>
      <c r="P547" s="219"/>
      <c r="Q547" s="332"/>
      <c r="R547" s="219"/>
      <c r="S547" s="332"/>
      <c r="T547" s="219"/>
      <c r="U547" s="332"/>
      <c r="V547" s="332"/>
      <c r="W547" s="370"/>
      <c r="X547" s="370"/>
      <c r="Y547" s="370"/>
      <c r="Z547" s="370"/>
      <c r="AA547" s="370"/>
      <c r="AB547" s="370"/>
      <c r="AC547" s="370"/>
      <c r="AD547" s="370"/>
      <c r="AE547" s="370"/>
      <c r="AF547" s="370"/>
      <c r="AG547" s="370"/>
      <c r="AH547" s="370"/>
      <c r="AI547" s="370"/>
      <c r="AJ547" s="370"/>
      <c r="AK547" s="219"/>
      <c r="AL547" s="219"/>
      <c r="AM547" s="219"/>
      <c r="AN547" s="219"/>
      <c r="AO547" s="116"/>
      <c r="AP547" s="116"/>
      <c r="AQ547" s="116"/>
      <c r="AR547" s="116"/>
      <c r="AS547" s="116"/>
      <c r="AT547" s="116"/>
      <c r="AU547" s="332"/>
      <c r="AV547" s="332"/>
      <c r="AW547" s="332"/>
      <c r="AX547" s="332"/>
      <c r="AY547" s="332"/>
      <c r="AZ547" s="332"/>
      <c r="BA547" s="332"/>
      <c r="BB547" s="31"/>
      <c r="BC547" s="31"/>
      <c r="BD547" s="31"/>
      <c r="BE547" s="31"/>
    </row>
    <row r="548" spans="1:57" ht="13">
      <c r="A548" s="153"/>
      <c r="F548" s="153"/>
      <c r="G548" s="116"/>
      <c r="H548" s="116"/>
      <c r="I548" s="116"/>
      <c r="J548" s="116"/>
      <c r="K548" s="219"/>
      <c r="L548" s="116"/>
      <c r="M548" s="31"/>
      <c r="N548" s="336"/>
      <c r="O548" s="336"/>
      <c r="P548" s="219"/>
      <c r="Q548" s="332"/>
      <c r="R548" s="219"/>
      <c r="S548" s="332"/>
      <c r="T548" s="219"/>
      <c r="U548" s="332"/>
      <c r="V548" s="332"/>
      <c r="W548" s="370"/>
      <c r="X548" s="370"/>
      <c r="Y548" s="370"/>
      <c r="Z548" s="370"/>
      <c r="AA548" s="370"/>
      <c r="AB548" s="370"/>
      <c r="AC548" s="370"/>
      <c r="AD548" s="370"/>
      <c r="AE548" s="370"/>
      <c r="AF548" s="370"/>
      <c r="AG548" s="370"/>
      <c r="AH548" s="370"/>
      <c r="AI548" s="370"/>
      <c r="AJ548" s="370"/>
      <c r="AK548" s="219"/>
      <c r="AL548" s="219"/>
      <c r="AM548" s="219"/>
      <c r="AN548" s="219"/>
      <c r="AO548" s="116"/>
      <c r="AP548" s="116"/>
      <c r="AQ548" s="116"/>
      <c r="AR548" s="116"/>
      <c r="AS548" s="116"/>
      <c r="AT548" s="116"/>
      <c r="AU548" s="332"/>
      <c r="AV548" s="332"/>
      <c r="AW548" s="332"/>
      <c r="AX548" s="332"/>
      <c r="AY548" s="332"/>
      <c r="AZ548" s="332"/>
      <c r="BA548" s="332"/>
      <c r="BB548" s="31"/>
      <c r="BC548" s="31"/>
      <c r="BD548" s="31"/>
      <c r="BE548" s="31"/>
    </row>
    <row r="549" spans="1:57" ht="13">
      <c r="A549" s="153"/>
      <c r="F549" s="153"/>
      <c r="G549" s="116"/>
      <c r="H549" s="116"/>
      <c r="I549" s="116"/>
      <c r="J549" s="116"/>
      <c r="K549" s="219"/>
      <c r="L549" s="116"/>
      <c r="M549" s="31"/>
      <c r="N549" s="336"/>
      <c r="O549" s="336"/>
      <c r="P549" s="219"/>
      <c r="Q549" s="332"/>
      <c r="R549" s="219"/>
      <c r="S549" s="332"/>
      <c r="T549" s="219"/>
      <c r="U549" s="332"/>
      <c r="V549" s="332"/>
      <c r="W549" s="370"/>
      <c r="X549" s="370"/>
      <c r="Y549" s="370"/>
      <c r="Z549" s="370"/>
      <c r="AA549" s="370"/>
      <c r="AB549" s="370"/>
      <c r="AC549" s="370"/>
      <c r="AD549" s="370"/>
      <c r="AE549" s="370"/>
      <c r="AF549" s="370"/>
      <c r="AG549" s="370"/>
      <c r="AH549" s="370"/>
      <c r="AI549" s="370"/>
      <c r="AJ549" s="370"/>
      <c r="AK549" s="219"/>
      <c r="AL549" s="219"/>
      <c r="AM549" s="219"/>
      <c r="AN549" s="219"/>
      <c r="AO549" s="116"/>
      <c r="AP549" s="116"/>
      <c r="AQ549" s="116"/>
      <c r="AR549" s="116"/>
      <c r="AS549" s="116"/>
      <c r="AT549" s="116"/>
      <c r="AU549" s="332"/>
      <c r="AV549" s="332"/>
      <c r="AW549" s="332"/>
      <c r="AX549" s="332"/>
      <c r="AY549" s="332"/>
      <c r="AZ549" s="332"/>
      <c r="BA549" s="332"/>
      <c r="BB549" s="31"/>
      <c r="BC549" s="31"/>
      <c r="BD549" s="31"/>
      <c r="BE549" s="31"/>
    </row>
    <row r="550" spans="1:57" ht="13">
      <c r="A550" s="153"/>
      <c r="F550" s="153"/>
      <c r="G550" s="116"/>
      <c r="H550" s="116"/>
      <c r="I550" s="116"/>
      <c r="J550" s="116"/>
      <c r="K550" s="219"/>
      <c r="L550" s="116"/>
      <c r="M550" s="31"/>
      <c r="N550" s="336"/>
      <c r="O550" s="336"/>
      <c r="P550" s="219"/>
      <c r="Q550" s="332"/>
      <c r="R550" s="219"/>
      <c r="S550" s="332"/>
      <c r="T550" s="219"/>
      <c r="U550" s="332"/>
      <c r="V550" s="332"/>
      <c r="W550" s="370"/>
      <c r="X550" s="370"/>
      <c r="Y550" s="370"/>
      <c r="Z550" s="370"/>
      <c r="AA550" s="370"/>
      <c r="AB550" s="370"/>
      <c r="AC550" s="370"/>
      <c r="AD550" s="370"/>
      <c r="AE550" s="370"/>
      <c r="AF550" s="370"/>
      <c r="AG550" s="370"/>
      <c r="AH550" s="370"/>
      <c r="AI550" s="370"/>
      <c r="AJ550" s="370"/>
      <c r="AK550" s="219"/>
      <c r="AL550" s="219"/>
      <c r="AM550" s="219"/>
      <c r="AN550" s="219"/>
      <c r="AO550" s="116"/>
      <c r="AP550" s="116"/>
      <c r="AQ550" s="116"/>
      <c r="AR550" s="116"/>
      <c r="AS550" s="116"/>
      <c r="AT550" s="116"/>
      <c r="AU550" s="332"/>
      <c r="AV550" s="332"/>
      <c r="AW550" s="332"/>
      <c r="AX550" s="332"/>
      <c r="AY550" s="332"/>
      <c r="AZ550" s="332"/>
      <c r="BA550" s="332"/>
      <c r="BB550" s="31"/>
      <c r="BC550" s="31"/>
      <c r="BD550" s="31"/>
      <c r="BE550" s="31"/>
    </row>
    <row r="551" spans="1:57" ht="13">
      <c r="A551" s="153"/>
      <c r="F551" s="153"/>
      <c r="G551" s="116"/>
      <c r="H551" s="116"/>
      <c r="I551" s="116"/>
      <c r="J551" s="116"/>
      <c r="K551" s="219"/>
      <c r="L551" s="116"/>
      <c r="M551" s="31"/>
      <c r="N551" s="336"/>
      <c r="O551" s="336"/>
      <c r="P551" s="219"/>
      <c r="Q551" s="332"/>
      <c r="R551" s="219"/>
      <c r="S551" s="332"/>
      <c r="T551" s="219"/>
      <c r="U551" s="332"/>
      <c r="V551" s="332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  <c r="AH551" s="370"/>
      <c r="AI551" s="370"/>
      <c r="AJ551" s="370"/>
      <c r="AK551" s="219"/>
      <c r="AL551" s="219"/>
      <c r="AM551" s="219"/>
      <c r="AN551" s="219"/>
      <c r="AO551" s="116"/>
      <c r="AP551" s="116"/>
      <c r="AQ551" s="116"/>
      <c r="AR551" s="116"/>
      <c r="AS551" s="116"/>
      <c r="AT551" s="116"/>
      <c r="AU551" s="332"/>
      <c r="AV551" s="332"/>
      <c r="AW551" s="332"/>
      <c r="AX551" s="332"/>
      <c r="AY551" s="332"/>
      <c r="AZ551" s="332"/>
      <c r="BA551" s="332"/>
      <c r="BB551" s="31"/>
      <c r="BC551" s="31"/>
      <c r="BD551" s="31"/>
      <c r="BE551" s="31"/>
    </row>
    <row r="552" spans="1:57" ht="13">
      <c r="A552" s="153"/>
      <c r="F552" s="153"/>
      <c r="G552" s="116"/>
      <c r="H552" s="116"/>
      <c r="I552" s="116"/>
      <c r="J552" s="116"/>
      <c r="K552" s="219"/>
      <c r="L552" s="116"/>
      <c r="M552" s="31"/>
      <c r="N552" s="336"/>
      <c r="O552" s="336"/>
      <c r="P552" s="219"/>
      <c r="Q552" s="332"/>
      <c r="R552" s="219"/>
      <c r="S552" s="332"/>
      <c r="T552" s="219"/>
      <c r="U552" s="332"/>
      <c r="V552" s="332"/>
      <c r="W552" s="370"/>
      <c r="X552" s="370"/>
      <c r="Y552" s="370"/>
      <c r="Z552" s="370"/>
      <c r="AA552" s="370"/>
      <c r="AB552" s="370"/>
      <c r="AC552" s="370"/>
      <c r="AD552" s="370"/>
      <c r="AE552" s="370"/>
      <c r="AF552" s="370"/>
      <c r="AG552" s="370"/>
      <c r="AH552" s="370"/>
      <c r="AI552" s="370"/>
      <c r="AJ552" s="370"/>
      <c r="AK552" s="219"/>
      <c r="AL552" s="219"/>
      <c r="AM552" s="219"/>
      <c r="AN552" s="219"/>
      <c r="AO552" s="116"/>
      <c r="AP552" s="116"/>
      <c r="AQ552" s="116"/>
      <c r="AR552" s="116"/>
      <c r="AS552" s="116"/>
      <c r="AT552" s="116"/>
      <c r="AU552" s="332"/>
      <c r="AV552" s="332"/>
      <c r="AW552" s="332"/>
      <c r="AX552" s="332"/>
      <c r="AY552" s="332"/>
      <c r="AZ552" s="332"/>
      <c r="BA552" s="332"/>
      <c r="BB552" s="31"/>
      <c r="BC552" s="31"/>
      <c r="BD552" s="31"/>
      <c r="BE552" s="31"/>
    </row>
    <row r="553" spans="1:57" ht="13">
      <c r="A553" s="153"/>
      <c r="F553" s="153"/>
      <c r="G553" s="116"/>
      <c r="H553" s="116"/>
      <c r="I553" s="116"/>
      <c r="J553" s="116"/>
      <c r="K553" s="219"/>
      <c r="L553" s="116"/>
      <c r="M553" s="31"/>
      <c r="N553" s="336"/>
      <c r="O553" s="336"/>
      <c r="P553" s="219"/>
      <c r="Q553" s="332"/>
      <c r="R553" s="219"/>
      <c r="S553" s="332"/>
      <c r="T553" s="219"/>
      <c r="U553" s="332"/>
      <c r="V553" s="332"/>
      <c r="W553" s="370"/>
      <c r="X553" s="370"/>
      <c r="Y553" s="370"/>
      <c r="Z553" s="370"/>
      <c r="AA553" s="370"/>
      <c r="AB553" s="370"/>
      <c r="AC553" s="370"/>
      <c r="AD553" s="370"/>
      <c r="AE553" s="370"/>
      <c r="AF553" s="370"/>
      <c r="AG553" s="370"/>
      <c r="AH553" s="370"/>
      <c r="AI553" s="370"/>
      <c r="AJ553" s="370"/>
      <c r="AK553" s="219"/>
      <c r="AL553" s="219"/>
      <c r="AM553" s="219"/>
      <c r="AN553" s="219"/>
      <c r="AO553" s="116"/>
      <c r="AP553" s="116"/>
      <c r="AQ553" s="116"/>
      <c r="AR553" s="116"/>
      <c r="AS553" s="116"/>
      <c r="AT553" s="116"/>
      <c r="AU553" s="332"/>
      <c r="AV553" s="332"/>
      <c r="AW553" s="332"/>
      <c r="AX553" s="332"/>
      <c r="AY553" s="332"/>
      <c r="AZ553" s="332"/>
      <c r="BA553" s="332"/>
      <c r="BB553" s="31"/>
      <c r="BC553" s="31"/>
      <c r="BD553" s="31"/>
      <c r="BE553" s="31"/>
    </row>
    <row r="554" spans="1:57" ht="13">
      <c r="A554" s="153"/>
      <c r="F554" s="153"/>
      <c r="G554" s="116"/>
      <c r="H554" s="116"/>
      <c r="I554" s="116"/>
      <c r="J554" s="116"/>
      <c r="K554" s="219"/>
      <c r="L554" s="116"/>
      <c r="M554" s="31"/>
      <c r="N554" s="336"/>
      <c r="O554" s="336"/>
      <c r="P554" s="219"/>
      <c r="Q554" s="332"/>
      <c r="R554" s="219"/>
      <c r="S554" s="332"/>
      <c r="T554" s="219"/>
      <c r="U554" s="332"/>
      <c r="V554" s="332"/>
      <c r="W554" s="370"/>
      <c r="X554" s="370"/>
      <c r="Y554" s="370"/>
      <c r="Z554" s="370"/>
      <c r="AA554" s="370"/>
      <c r="AB554" s="370"/>
      <c r="AC554" s="370"/>
      <c r="AD554" s="370"/>
      <c r="AE554" s="370"/>
      <c r="AF554" s="370"/>
      <c r="AG554" s="370"/>
      <c r="AH554" s="370"/>
      <c r="AI554" s="370"/>
      <c r="AJ554" s="370"/>
      <c r="AK554" s="219"/>
      <c r="AL554" s="219"/>
      <c r="AM554" s="219"/>
      <c r="AN554" s="219"/>
      <c r="AO554" s="116"/>
      <c r="AP554" s="116"/>
      <c r="AQ554" s="116"/>
      <c r="AR554" s="116"/>
      <c r="AS554" s="116"/>
      <c r="AT554" s="116"/>
      <c r="AU554" s="332"/>
      <c r="AV554" s="332"/>
      <c r="AW554" s="332"/>
      <c r="AX554" s="332"/>
      <c r="AY554" s="332"/>
      <c r="AZ554" s="332"/>
      <c r="BA554" s="332"/>
      <c r="BB554" s="31"/>
      <c r="BC554" s="31"/>
      <c r="BD554" s="31"/>
      <c r="BE554" s="31"/>
    </row>
    <row r="555" spans="1:57" ht="13">
      <c r="A555" s="153"/>
      <c r="F555" s="153"/>
      <c r="G555" s="116"/>
      <c r="H555" s="116"/>
      <c r="I555" s="116"/>
      <c r="J555" s="116"/>
      <c r="K555" s="219"/>
      <c r="L555" s="116"/>
      <c r="M555" s="31"/>
      <c r="N555" s="336"/>
      <c r="O555" s="336"/>
      <c r="P555" s="219"/>
      <c r="Q555" s="332"/>
      <c r="R555" s="219"/>
      <c r="S555" s="332"/>
      <c r="T555" s="219"/>
      <c r="U555" s="332"/>
      <c r="V555" s="332"/>
      <c r="W555" s="370"/>
      <c r="X555" s="370"/>
      <c r="Y555" s="370"/>
      <c r="Z555" s="370"/>
      <c r="AA555" s="370"/>
      <c r="AB555" s="370"/>
      <c r="AC555" s="370"/>
      <c r="AD555" s="370"/>
      <c r="AE555" s="370"/>
      <c r="AF555" s="370"/>
      <c r="AG555" s="370"/>
      <c r="AH555" s="370"/>
      <c r="AI555" s="370"/>
      <c r="AJ555" s="370"/>
      <c r="AK555" s="219"/>
      <c r="AL555" s="219"/>
      <c r="AM555" s="219"/>
      <c r="AN555" s="219"/>
      <c r="AO555" s="116"/>
      <c r="AP555" s="116"/>
      <c r="AQ555" s="116"/>
      <c r="AR555" s="116"/>
      <c r="AS555" s="116"/>
      <c r="AT555" s="116"/>
      <c r="AU555" s="332"/>
      <c r="AV555" s="332"/>
      <c r="AW555" s="332"/>
      <c r="AX555" s="332"/>
      <c r="AY555" s="332"/>
      <c r="AZ555" s="332"/>
      <c r="BA555" s="332"/>
      <c r="BB555" s="31"/>
      <c r="BC555" s="31"/>
      <c r="BD555" s="31"/>
      <c r="BE555" s="31"/>
    </row>
    <row r="556" spans="1:57" ht="13">
      <c r="A556" s="153"/>
      <c r="F556" s="153"/>
      <c r="G556" s="116"/>
      <c r="H556" s="116"/>
      <c r="I556" s="116"/>
      <c r="J556" s="116"/>
      <c r="K556" s="219"/>
      <c r="L556" s="116"/>
      <c r="M556" s="31"/>
      <c r="N556" s="336"/>
      <c r="O556" s="336"/>
      <c r="P556" s="219"/>
      <c r="Q556" s="332"/>
      <c r="R556" s="219"/>
      <c r="S556" s="332"/>
      <c r="T556" s="219"/>
      <c r="U556" s="332"/>
      <c r="V556" s="332"/>
      <c r="W556" s="370"/>
      <c r="X556" s="370"/>
      <c r="Y556" s="370"/>
      <c r="Z556" s="370"/>
      <c r="AA556" s="370"/>
      <c r="AB556" s="370"/>
      <c r="AC556" s="370"/>
      <c r="AD556" s="370"/>
      <c r="AE556" s="370"/>
      <c r="AF556" s="370"/>
      <c r="AG556" s="370"/>
      <c r="AH556" s="370"/>
      <c r="AI556" s="370"/>
      <c r="AJ556" s="370"/>
      <c r="AK556" s="219"/>
      <c r="AL556" s="219"/>
      <c r="AM556" s="219"/>
      <c r="AN556" s="219"/>
      <c r="AO556" s="116"/>
      <c r="AP556" s="116"/>
      <c r="AQ556" s="116"/>
      <c r="AR556" s="116"/>
      <c r="AS556" s="116"/>
      <c r="AT556" s="116"/>
      <c r="AU556" s="332"/>
      <c r="AV556" s="332"/>
      <c r="AW556" s="332"/>
      <c r="AX556" s="332"/>
      <c r="AY556" s="332"/>
      <c r="AZ556" s="332"/>
      <c r="BA556" s="332"/>
      <c r="BB556" s="31"/>
      <c r="BC556" s="31"/>
      <c r="BD556" s="31"/>
      <c r="BE556" s="31"/>
    </row>
    <row r="557" spans="1:57" ht="13">
      <c r="A557" s="153"/>
      <c r="F557" s="153"/>
      <c r="G557" s="116"/>
      <c r="H557" s="116"/>
      <c r="I557" s="116"/>
      <c r="J557" s="116"/>
      <c r="K557" s="219"/>
      <c r="L557" s="116"/>
      <c r="M557" s="31"/>
      <c r="N557" s="336"/>
      <c r="O557" s="336"/>
      <c r="P557" s="219"/>
      <c r="Q557" s="332"/>
      <c r="R557" s="219"/>
      <c r="S557" s="332"/>
      <c r="T557" s="219"/>
      <c r="U557" s="332"/>
      <c r="V557" s="332"/>
      <c r="W557" s="370"/>
      <c r="X557" s="370"/>
      <c r="Y557" s="370"/>
      <c r="Z557" s="370"/>
      <c r="AA557" s="370"/>
      <c r="AB557" s="370"/>
      <c r="AC557" s="370"/>
      <c r="AD557" s="370"/>
      <c r="AE557" s="370"/>
      <c r="AF557" s="370"/>
      <c r="AG557" s="370"/>
      <c r="AH557" s="370"/>
      <c r="AI557" s="370"/>
      <c r="AJ557" s="370"/>
      <c r="AK557" s="219"/>
      <c r="AL557" s="219"/>
      <c r="AM557" s="219"/>
      <c r="AN557" s="219"/>
      <c r="AO557" s="116"/>
      <c r="AP557" s="116"/>
      <c r="AQ557" s="116"/>
      <c r="AR557" s="116"/>
      <c r="AS557" s="116"/>
      <c r="AT557" s="116"/>
      <c r="AU557" s="332"/>
      <c r="AV557" s="332"/>
      <c r="AW557" s="332"/>
      <c r="AX557" s="332"/>
      <c r="AY557" s="332"/>
      <c r="AZ557" s="332"/>
      <c r="BA557" s="332"/>
      <c r="BB557" s="31"/>
      <c r="BC557" s="31"/>
      <c r="BD557" s="31"/>
      <c r="BE557" s="31"/>
    </row>
    <row r="558" spans="1:57" ht="13">
      <c r="A558" s="153"/>
      <c r="F558" s="153"/>
      <c r="G558" s="116"/>
      <c r="H558" s="116"/>
      <c r="I558" s="116"/>
      <c r="J558" s="116"/>
      <c r="K558" s="219"/>
      <c r="L558" s="116"/>
      <c r="M558" s="31"/>
      <c r="N558" s="336"/>
      <c r="O558" s="336"/>
      <c r="P558" s="219"/>
      <c r="Q558" s="332"/>
      <c r="R558" s="219"/>
      <c r="S558" s="332"/>
      <c r="T558" s="219"/>
      <c r="U558" s="332"/>
      <c r="V558" s="332"/>
      <c r="W558" s="370"/>
      <c r="X558" s="370"/>
      <c r="Y558" s="370"/>
      <c r="Z558" s="370"/>
      <c r="AA558" s="370"/>
      <c r="AB558" s="370"/>
      <c r="AC558" s="370"/>
      <c r="AD558" s="370"/>
      <c r="AE558" s="370"/>
      <c r="AF558" s="370"/>
      <c r="AG558" s="370"/>
      <c r="AH558" s="370"/>
      <c r="AI558" s="370"/>
      <c r="AJ558" s="370"/>
      <c r="AK558" s="219"/>
      <c r="AL558" s="219"/>
      <c r="AM558" s="219"/>
      <c r="AN558" s="219"/>
      <c r="AO558" s="116"/>
      <c r="AP558" s="116"/>
      <c r="AQ558" s="116"/>
      <c r="AR558" s="116"/>
      <c r="AS558" s="116"/>
      <c r="AT558" s="116"/>
      <c r="AU558" s="332"/>
      <c r="AV558" s="332"/>
      <c r="AW558" s="332"/>
      <c r="AX558" s="332"/>
      <c r="AY558" s="332"/>
      <c r="AZ558" s="332"/>
      <c r="BA558" s="332"/>
      <c r="BB558" s="31"/>
      <c r="BC558" s="31"/>
      <c r="BD558" s="31"/>
      <c r="BE558" s="31"/>
    </row>
    <row r="559" spans="1:57" ht="13">
      <c r="A559" s="153"/>
      <c r="F559" s="153"/>
      <c r="G559" s="116"/>
      <c r="H559" s="116"/>
      <c r="I559" s="116"/>
      <c r="J559" s="116"/>
      <c r="K559" s="219"/>
      <c r="L559" s="116"/>
      <c r="M559" s="31"/>
      <c r="N559" s="336"/>
      <c r="O559" s="336"/>
      <c r="P559" s="219"/>
      <c r="Q559" s="332"/>
      <c r="R559" s="219"/>
      <c r="S559" s="332"/>
      <c r="T559" s="219"/>
      <c r="U559" s="332"/>
      <c r="V559" s="332"/>
      <c r="W559" s="370"/>
      <c r="X559" s="370"/>
      <c r="Y559" s="370"/>
      <c r="Z559" s="370"/>
      <c r="AA559" s="370"/>
      <c r="AB559" s="370"/>
      <c r="AC559" s="370"/>
      <c r="AD559" s="370"/>
      <c r="AE559" s="370"/>
      <c r="AF559" s="370"/>
      <c r="AG559" s="370"/>
      <c r="AH559" s="370"/>
      <c r="AI559" s="370"/>
      <c r="AJ559" s="370"/>
      <c r="AK559" s="219"/>
      <c r="AL559" s="219"/>
      <c r="AM559" s="219"/>
      <c r="AN559" s="219"/>
      <c r="AO559" s="116"/>
      <c r="AP559" s="116"/>
      <c r="AQ559" s="116"/>
      <c r="AR559" s="116"/>
      <c r="AS559" s="116"/>
      <c r="AT559" s="116"/>
      <c r="AU559" s="332"/>
      <c r="AV559" s="332"/>
      <c r="AW559" s="332"/>
      <c r="AX559" s="332"/>
      <c r="AY559" s="332"/>
      <c r="AZ559" s="332"/>
      <c r="BA559" s="332"/>
      <c r="BB559" s="31"/>
      <c r="BC559" s="31"/>
      <c r="BD559" s="31"/>
      <c r="BE559" s="31"/>
    </row>
    <row r="560" spans="1:57" ht="13">
      <c r="A560" s="153"/>
      <c r="F560" s="153"/>
      <c r="G560" s="116"/>
      <c r="H560" s="116"/>
      <c r="I560" s="116"/>
      <c r="J560" s="116"/>
      <c r="K560" s="219"/>
      <c r="L560" s="116"/>
      <c r="M560" s="31"/>
      <c r="N560" s="336"/>
      <c r="O560" s="336"/>
      <c r="P560" s="219"/>
      <c r="Q560" s="332"/>
      <c r="R560" s="219"/>
      <c r="S560" s="332"/>
      <c r="T560" s="219"/>
      <c r="U560" s="332"/>
      <c r="V560" s="332"/>
      <c r="W560" s="370"/>
      <c r="X560" s="370"/>
      <c r="Y560" s="370"/>
      <c r="Z560" s="370"/>
      <c r="AA560" s="370"/>
      <c r="AB560" s="370"/>
      <c r="AC560" s="370"/>
      <c r="AD560" s="370"/>
      <c r="AE560" s="370"/>
      <c r="AF560" s="370"/>
      <c r="AG560" s="370"/>
      <c r="AH560" s="370"/>
      <c r="AI560" s="370"/>
      <c r="AJ560" s="370"/>
      <c r="AK560" s="219"/>
      <c r="AL560" s="219"/>
      <c r="AM560" s="219"/>
      <c r="AN560" s="219"/>
      <c r="AO560" s="116"/>
      <c r="AP560" s="116"/>
      <c r="AQ560" s="116"/>
      <c r="AR560" s="116"/>
      <c r="AS560" s="116"/>
      <c r="AT560" s="116"/>
      <c r="AU560" s="332"/>
      <c r="AV560" s="332"/>
      <c r="AW560" s="332"/>
      <c r="AX560" s="332"/>
      <c r="AY560" s="332"/>
      <c r="AZ560" s="332"/>
      <c r="BA560" s="332"/>
      <c r="BB560" s="31"/>
      <c r="BC560" s="31"/>
      <c r="BD560" s="31"/>
      <c r="BE560" s="31"/>
    </row>
    <row r="561" spans="1:57" ht="13">
      <c r="A561" s="153"/>
      <c r="F561" s="153"/>
      <c r="G561" s="116"/>
      <c r="H561" s="116"/>
      <c r="I561" s="116"/>
      <c r="J561" s="116"/>
      <c r="K561" s="219"/>
      <c r="L561" s="116"/>
      <c r="M561" s="31"/>
      <c r="N561" s="336"/>
      <c r="O561" s="336"/>
      <c r="P561" s="219"/>
      <c r="Q561" s="332"/>
      <c r="R561" s="219"/>
      <c r="S561" s="332"/>
      <c r="T561" s="219"/>
      <c r="U561" s="332"/>
      <c r="V561" s="332"/>
      <c r="W561" s="370"/>
      <c r="X561" s="370"/>
      <c r="Y561" s="370"/>
      <c r="Z561" s="370"/>
      <c r="AA561" s="370"/>
      <c r="AB561" s="370"/>
      <c r="AC561" s="370"/>
      <c r="AD561" s="370"/>
      <c r="AE561" s="370"/>
      <c r="AF561" s="370"/>
      <c r="AG561" s="370"/>
      <c r="AH561" s="370"/>
      <c r="AI561" s="370"/>
      <c r="AJ561" s="370"/>
      <c r="AK561" s="219"/>
      <c r="AL561" s="219"/>
      <c r="AM561" s="219"/>
      <c r="AN561" s="219"/>
      <c r="AO561" s="116"/>
      <c r="AP561" s="116"/>
      <c r="AQ561" s="116"/>
      <c r="AR561" s="116"/>
      <c r="AS561" s="116"/>
      <c r="AT561" s="116"/>
      <c r="AU561" s="332"/>
      <c r="AV561" s="332"/>
      <c r="AW561" s="332"/>
      <c r="AX561" s="332"/>
      <c r="AY561" s="332"/>
      <c r="AZ561" s="332"/>
      <c r="BA561" s="332"/>
      <c r="BB561" s="31"/>
      <c r="BC561" s="31"/>
      <c r="BD561" s="31"/>
      <c r="BE561" s="31"/>
    </row>
    <row r="562" spans="1:57" ht="13">
      <c r="A562" s="153"/>
      <c r="F562" s="153"/>
      <c r="G562" s="116"/>
      <c r="H562" s="116"/>
      <c r="I562" s="116"/>
      <c r="J562" s="116"/>
      <c r="K562" s="219"/>
      <c r="L562" s="116"/>
      <c r="M562" s="31"/>
      <c r="N562" s="336"/>
      <c r="O562" s="336"/>
      <c r="P562" s="219"/>
      <c r="Q562" s="332"/>
      <c r="R562" s="219"/>
      <c r="S562" s="332"/>
      <c r="T562" s="219"/>
      <c r="U562" s="332"/>
      <c r="V562" s="332"/>
      <c r="W562" s="370"/>
      <c r="X562" s="370"/>
      <c r="Y562" s="370"/>
      <c r="Z562" s="370"/>
      <c r="AA562" s="370"/>
      <c r="AB562" s="370"/>
      <c r="AC562" s="370"/>
      <c r="AD562" s="370"/>
      <c r="AE562" s="370"/>
      <c r="AF562" s="370"/>
      <c r="AG562" s="370"/>
      <c r="AH562" s="370"/>
      <c r="AI562" s="370"/>
      <c r="AJ562" s="370"/>
      <c r="AK562" s="219"/>
      <c r="AL562" s="219"/>
      <c r="AM562" s="219"/>
      <c r="AN562" s="219"/>
      <c r="AO562" s="116"/>
      <c r="AP562" s="116"/>
      <c r="AQ562" s="116"/>
      <c r="AR562" s="116"/>
      <c r="AS562" s="116"/>
      <c r="AT562" s="116"/>
      <c r="AU562" s="332"/>
      <c r="AV562" s="332"/>
      <c r="AW562" s="332"/>
      <c r="AX562" s="332"/>
      <c r="AY562" s="332"/>
      <c r="AZ562" s="332"/>
      <c r="BA562" s="332"/>
      <c r="BB562" s="31"/>
      <c r="BC562" s="31"/>
      <c r="BD562" s="31"/>
      <c r="BE562" s="31"/>
    </row>
    <row r="563" spans="1:57" ht="13">
      <c r="A563" s="153"/>
      <c r="F563" s="153"/>
      <c r="G563" s="116"/>
      <c r="H563" s="116"/>
      <c r="I563" s="116"/>
      <c r="J563" s="116"/>
      <c r="K563" s="219"/>
      <c r="L563" s="116"/>
      <c r="M563" s="31"/>
      <c r="N563" s="336"/>
      <c r="O563" s="336"/>
      <c r="P563" s="219"/>
      <c r="Q563" s="332"/>
      <c r="R563" s="219"/>
      <c r="S563" s="332"/>
      <c r="T563" s="219"/>
      <c r="U563" s="332"/>
      <c r="V563" s="332"/>
      <c r="W563" s="370"/>
      <c r="X563" s="370"/>
      <c r="Y563" s="370"/>
      <c r="Z563" s="370"/>
      <c r="AA563" s="370"/>
      <c r="AB563" s="370"/>
      <c r="AC563" s="370"/>
      <c r="AD563" s="370"/>
      <c r="AE563" s="370"/>
      <c r="AF563" s="370"/>
      <c r="AG563" s="370"/>
      <c r="AH563" s="370"/>
      <c r="AI563" s="370"/>
      <c r="AJ563" s="370"/>
      <c r="AK563" s="219"/>
      <c r="AL563" s="219"/>
      <c r="AM563" s="219"/>
      <c r="AN563" s="219"/>
      <c r="AO563" s="116"/>
      <c r="AP563" s="116"/>
      <c r="AQ563" s="116"/>
      <c r="AR563" s="116"/>
      <c r="AS563" s="116"/>
      <c r="AT563" s="116"/>
      <c r="AU563" s="332"/>
      <c r="AV563" s="332"/>
      <c r="AW563" s="332"/>
      <c r="AX563" s="332"/>
      <c r="AY563" s="332"/>
      <c r="AZ563" s="332"/>
      <c r="BA563" s="332"/>
      <c r="BB563" s="31"/>
      <c r="BC563" s="31"/>
      <c r="BD563" s="31"/>
      <c r="BE563" s="31"/>
    </row>
    <row r="564" spans="1:57" ht="13">
      <c r="A564" s="153"/>
      <c r="F564" s="153"/>
      <c r="G564" s="116"/>
      <c r="H564" s="116"/>
      <c r="I564" s="116"/>
      <c r="J564" s="116"/>
      <c r="K564" s="219"/>
      <c r="L564" s="116"/>
      <c r="M564" s="31"/>
      <c r="N564" s="336"/>
      <c r="O564" s="336"/>
      <c r="P564" s="219"/>
      <c r="Q564" s="332"/>
      <c r="R564" s="219"/>
      <c r="S564" s="332"/>
      <c r="T564" s="219"/>
      <c r="U564" s="332"/>
      <c r="V564" s="332"/>
      <c r="W564" s="370"/>
      <c r="X564" s="370"/>
      <c r="Y564" s="370"/>
      <c r="Z564" s="370"/>
      <c r="AA564" s="370"/>
      <c r="AB564" s="370"/>
      <c r="AC564" s="370"/>
      <c r="AD564" s="370"/>
      <c r="AE564" s="370"/>
      <c r="AF564" s="370"/>
      <c r="AG564" s="370"/>
      <c r="AH564" s="370"/>
      <c r="AI564" s="370"/>
      <c r="AJ564" s="370"/>
      <c r="AK564" s="219"/>
      <c r="AL564" s="219"/>
      <c r="AM564" s="219"/>
      <c r="AN564" s="219"/>
      <c r="AO564" s="116"/>
      <c r="AP564" s="116"/>
      <c r="AQ564" s="116"/>
      <c r="AR564" s="116"/>
      <c r="AS564" s="116"/>
      <c r="AT564" s="116"/>
      <c r="AU564" s="332"/>
      <c r="AV564" s="332"/>
      <c r="AW564" s="332"/>
      <c r="AX564" s="332"/>
      <c r="AY564" s="332"/>
      <c r="AZ564" s="332"/>
      <c r="BA564" s="332"/>
      <c r="BB564" s="31"/>
      <c r="BC564" s="31"/>
      <c r="BD564" s="31"/>
      <c r="BE564" s="31"/>
    </row>
    <row r="565" spans="1:57" ht="13">
      <c r="A565" s="153"/>
      <c r="F565" s="153"/>
      <c r="G565" s="116"/>
      <c r="H565" s="116"/>
      <c r="I565" s="116"/>
      <c r="J565" s="116"/>
      <c r="K565" s="219"/>
      <c r="L565" s="116"/>
      <c r="M565" s="31"/>
      <c r="N565" s="336"/>
      <c r="O565" s="336"/>
      <c r="P565" s="219"/>
      <c r="Q565" s="332"/>
      <c r="R565" s="219"/>
      <c r="S565" s="332"/>
      <c r="T565" s="219"/>
      <c r="U565" s="332"/>
      <c r="V565" s="332"/>
      <c r="W565" s="370"/>
      <c r="X565" s="370"/>
      <c r="Y565" s="370"/>
      <c r="Z565" s="370"/>
      <c r="AA565" s="370"/>
      <c r="AB565" s="370"/>
      <c r="AC565" s="370"/>
      <c r="AD565" s="370"/>
      <c r="AE565" s="370"/>
      <c r="AF565" s="370"/>
      <c r="AG565" s="370"/>
      <c r="AH565" s="370"/>
      <c r="AI565" s="370"/>
      <c r="AJ565" s="370"/>
      <c r="AK565" s="219"/>
      <c r="AL565" s="219"/>
      <c r="AM565" s="219"/>
      <c r="AN565" s="219"/>
      <c r="AO565" s="116"/>
      <c r="AP565" s="116"/>
      <c r="AQ565" s="116"/>
      <c r="AR565" s="116"/>
      <c r="AS565" s="116"/>
      <c r="AT565" s="116"/>
      <c r="AU565" s="332"/>
      <c r="AV565" s="332"/>
      <c r="AW565" s="332"/>
      <c r="AX565" s="332"/>
      <c r="AY565" s="332"/>
      <c r="AZ565" s="332"/>
      <c r="BA565" s="332"/>
      <c r="BB565" s="31"/>
      <c r="BC565" s="31"/>
      <c r="BD565" s="31"/>
      <c r="BE565" s="31"/>
    </row>
    <row r="566" spans="1:57" ht="13">
      <c r="A566" s="153"/>
      <c r="F566" s="153"/>
      <c r="G566" s="116"/>
      <c r="H566" s="116"/>
      <c r="I566" s="116"/>
      <c r="J566" s="116"/>
      <c r="K566" s="219"/>
      <c r="L566" s="116"/>
      <c r="M566" s="31"/>
      <c r="N566" s="336"/>
      <c r="O566" s="336"/>
      <c r="P566" s="219"/>
      <c r="Q566" s="332"/>
      <c r="R566" s="219"/>
      <c r="S566" s="332"/>
      <c r="T566" s="219"/>
      <c r="U566" s="332"/>
      <c r="V566" s="332"/>
      <c r="W566" s="370"/>
      <c r="X566" s="370"/>
      <c r="Y566" s="370"/>
      <c r="Z566" s="370"/>
      <c r="AA566" s="370"/>
      <c r="AB566" s="370"/>
      <c r="AC566" s="370"/>
      <c r="AD566" s="370"/>
      <c r="AE566" s="370"/>
      <c r="AF566" s="370"/>
      <c r="AG566" s="370"/>
      <c r="AH566" s="370"/>
      <c r="AI566" s="370"/>
      <c r="AJ566" s="370"/>
      <c r="AK566" s="219"/>
      <c r="AL566" s="219"/>
      <c r="AM566" s="219"/>
      <c r="AN566" s="219"/>
      <c r="AO566" s="116"/>
      <c r="AP566" s="116"/>
      <c r="AQ566" s="116"/>
      <c r="AR566" s="116"/>
      <c r="AS566" s="116"/>
      <c r="AT566" s="116"/>
      <c r="AU566" s="332"/>
      <c r="AV566" s="332"/>
      <c r="AW566" s="332"/>
      <c r="AX566" s="332"/>
      <c r="AY566" s="332"/>
      <c r="AZ566" s="332"/>
      <c r="BA566" s="332"/>
      <c r="BB566" s="31"/>
      <c r="BC566" s="31"/>
      <c r="BD566" s="31"/>
      <c r="BE566" s="31"/>
    </row>
    <row r="567" spans="1:57" ht="13">
      <c r="A567" s="153"/>
      <c r="F567" s="153"/>
      <c r="G567" s="116"/>
      <c r="H567" s="116"/>
      <c r="I567" s="116"/>
      <c r="J567" s="116"/>
      <c r="K567" s="219"/>
      <c r="L567" s="116"/>
      <c r="M567" s="31"/>
      <c r="N567" s="336"/>
      <c r="O567" s="336"/>
      <c r="P567" s="219"/>
      <c r="Q567" s="332"/>
      <c r="R567" s="219"/>
      <c r="S567" s="332"/>
      <c r="T567" s="219"/>
      <c r="U567" s="332"/>
      <c r="V567" s="332"/>
      <c r="W567" s="370"/>
      <c r="X567" s="370"/>
      <c r="Y567" s="370"/>
      <c r="Z567" s="370"/>
      <c r="AA567" s="370"/>
      <c r="AB567" s="370"/>
      <c r="AC567" s="370"/>
      <c r="AD567" s="370"/>
      <c r="AE567" s="370"/>
      <c r="AF567" s="370"/>
      <c r="AG567" s="370"/>
      <c r="AH567" s="370"/>
      <c r="AI567" s="370"/>
      <c r="AJ567" s="370"/>
      <c r="AK567" s="219"/>
      <c r="AL567" s="219"/>
      <c r="AM567" s="219"/>
      <c r="AN567" s="219"/>
      <c r="AO567" s="116"/>
      <c r="AP567" s="116"/>
      <c r="AQ567" s="116"/>
      <c r="AR567" s="116"/>
      <c r="AS567" s="116"/>
      <c r="AT567" s="116"/>
      <c r="AU567" s="332"/>
      <c r="AV567" s="332"/>
      <c r="AW567" s="332"/>
      <c r="AX567" s="332"/>
      <c r="AY567" s="332"/>
      <c r="AZ567" s="332"/>
      <c r="BA567" s="332"/>
      <c r="BB567" s="31"/>
      <c r="BC567" s="31"/>
      <c r="BD567" s="31"/>
      <c r="BE567" s="31"/>
    </row>
    <row r="568" spans="1:57" ht="13">
      <c r="A568" s="153"/>
      <c r="F568" s="153"/>
      <c r="G568" s="116"/>
      <c r="H568" s="116"/>
      <c r="I568" s="116"/>
      <c r="J568" s="116"/>
      <c r="K568" s="219"/>
      <c r="L568" s="116"/>
      <c r="M568" s="31"/>
      <c r="N568" s="336"/>
      <c r="O568" s="336"/>
      <c r="P568" s="219"/>
      <c r="Q568" s="332"/>
      <c r="R568" s="219"/>
      <c r="S568" s="332"/>
      <c r="T568" s="219"/>
      <c r="U568" s="332"/>
      <c r="V568" s="332"/>
      <c r="W568" s="370"/>
      <c r="X568" s="370"/>
      <c r="Y568" s="370"/>
      <c r="Z568" s="370"/>
      <c r="AA568" s="370"/>
      <c r="AB568" s="370"/>
      <c r="AC568" s="370"/>
      <c r="AD568" s="370"/>
      <c r="AE568" s="370"/>
      <c r="AF568" s="370"/>
      <c r="AG568" s="370"/>
      <c r="AH568" s="370"/>
      <c r="AI568" s="370"/>
      <c r="AJ568" s="370"/>
      <c r="AK568" s="219"/>
      <c r="AL568" s="219"/>
      <c r="AM568" s="219"/>
      <c r="AN568" s="219"/>
      <c r="AO568" s="116"/>
      <c r="AP568" s="116"/>
      <c r="AQ568" s="116"/>
      <c r="AR568" s="116"/>
      <c r="AS568" s="116"/>
      <c r="AT568" s="116"/>
      <c r="AU568" s="332"/>
      <c r="AV568" s="332"/>
      <c r="AW568" s="332"/>
      <c r="AX568" s="332"/>
      <c r="AY568" s="332"/>
      <c r="AZ568" s="332"/>
      <c r="BA568" s="332"/>
      <c r="BB568" s="31"/>
      <c r="BC568" s="31"/>
      <c r="BD568" s="31"/>
      <c r="BE568" s="31"/>
    </row>
    <row r="569" spans="1:57" ht="13">
      <c r="A569" s="153"/>
      <c r="F569" s="153"/>
      <c r="G569" s="116"/>
      <c r="H569" s="116"/>
      <c r="I569" s="116"/>
      <c r="J569" s="116"/>
      <c r="K569" s="219"/>
      <c r="L569" s="116"/>
      <c r="M569" s="31"/>
      <c r="N569" s="336"/>
      <c r="O569" s="336"/>
      <c r="P569" s="219"/>
      <c r="Q569" s="332"/>
      <c r="R569" s="219"/>
      <c r="S569" s="332"/>
      <c r="T569" s="219"/>
      <c r="U569" s="332"/>
      <c r="V569" s="332"/>
      <c r="W569" s="370"/>
      <c r="X569" s="370"/>
      <c r="Y569" s="370"/>
      <c r="Z569" s="370"/>
      <c r="AA569" s="370"/>
      <c r="AB569" s="370"/>
      <c r="AC569" s="370"/>
      <c r="AD569" s="370"/>
      <c r="AE569" s="370"/>
      <c r="AF569" s="370"/>
      <c r="AG569" s="370"/>
      <c r="AH569" s="370"/>
      <c r="AI569" s="370"/>
      <c r="AJ569" s="370"/>
      <c r="AK569" s="219"/>
      <c r="AL569" s="219"/>
      <c r="AM569" s="219"/>
      <c r="AN569" s="219"/>
      <c r="AO569" s="116"/>
      <c r="AP569" s="116"/>
      <c r="AQ569" s="116"/>
      <c r="AR569" s="116"/>
      <c r="AS569" s="116"/>
      <c r="AT569" s="116"/>
      <c r="AU569" s="332"/>
      <c r="AV569" s="332"/>
      <c r="AW569" s="332"/>
      <c r="AX569" s="332"/>
      <c r="AY569" s="332"/>
      <c r="AZ569" s="332"/>
      <c r="BA569" s="332"/>
      <c r="BB569" s="31"/>
      <c r="BC569" s="31"/>
      <c r="BD569" s="31"/>
      <c r="BE569" s="31"/>
    </row>
    <row r="570" spans="1:57" ht="13">
      <c r="A570" s="153"/>
      <c r="F570" s="153"/>
      <c r="G570" s="116"/>
      <c r="H570" s="116"/>
      <c r="I570" s="116"/>
      <c r="J570" s="116"/>
      <c r="K570" s="219"/>
      <c r="L570" s="116"/>
      <c r="M570" s="31"/>
      <c r="N570" s="336"/>
      <c r="O570" s="336"/>
      <c r="P570" s="219"/>
      <c r="Q570" s="332"/>
      <c r="R570" s="219"/>
      <c r="S570" s="332"/>
      <c r="T570" s="219"/>
      <c r="U570" s="332"/>
      <c r="V570" s="332"/>
      <c r="W570" s="370"/>
      <c r="X570" s="370"/>
      <c r="Y570" s="370"/>
      <c r="Z570" s="370"/>
      <c r="AA570" s="370"/>
      <c r="AB570" s="370"/>
      <c r="AC570" s="370"/>
      <c r="AD570" s="370"/>
      <c r="AE570" s="370"/>
      <c r="AF570" s="370"/>
      <c r="AG570" s="370"/>
      <c r="AH570" s="370"/>
      <c r="AI570" s="370"/>
      <c r="AJ570" s="370"/>
      <c r="AK570" s="219"/>
      <c r="AL570" s="219"/>
      <c r="AM570" s="219"/>
      <c r="AN570" s="219"/>
      <c r="AO570" s="116"/>
      <c r="AP570" s="116"/>
      <c r="AQ570" s="116"/>
      <c r="AR570" s="116"/>
      <c r="AS570" s="116"/>
      <c r="AT570" s="116"/>
      <c r="AU570" s="332"/>
      <c r="AV570" s="332"/>
      <c r="AW570" s="332"/>
      <c r="AX570" s="332"/>
      <c r="AY570" s="332"/>
      <c r="AZ570" s="332"/>
      <c r="BA570" s="332"/>
      <c r="BB570" s="31"/>
      <c r="BC570" s="31"/>
      <c r="BD570" s="31"/>
      <c r="BE570" s="31"/>
    </row>
    <row r="571" spans="1:57" ht="13">
      <c r="A571" s="153"/>
      <c r="F571" s="153"/>
      <c r="G571" s="116"/>
      <c r="H571" s="116"/>
      <c r="I571" s="116"/>
      <c r="J571" s="116"/>
      <c r="K571" s="219"/>
      <c r="L571" s="116"/>
      <c r="M571" s="31"/>
      <c r="N571" s="336"/>
      <c r="O571" s="336"/>
      <c r="P571" s="219"/>
      <c r="Q571" s="332"/>
      <c r="R571" s="219"/>
      <c r="S571" s="332"/>
      <c r="T571" s="219"/>
      <c r="U571" s="332"/>
      <c r="V571" s="332"/>
      <c r="W571" s="370"/>
      <c r="X571" s="370"/>
      <c r="Y571" s="370"/>
      <c r="Z571" s="370"/>
      <c r="AA571" s="370"/>
      <c r="AB571" s="370"/>
      <c r="AC571" s="370"/>
      <c r="AD571" s="370"/>
      <c r="AE571" s="370"/>
      <c r="AF571" s="370"/>
      <c r="AG571" s="370"/>
      <c r="AH571" s="370"/>
      <c r="AI571" s="370"/>
      <c r="AJ571" s="370"/>
      <c r="AK571" s="219"/>
      <c r="AL571" s="219"/>
      <c r="AM571" s="219"/>
      <c r="AN571" s="219"/>
      <c r="AO571" s="116"/>
      <c r="AP571" s="116"/>
      <c r="AQ571" s="116"/>
      <c r="AR571" s="116"/>
      <c r="AS571" s="116"/>
      <c r="AT571" s="116"/>
      <c r="AU571" s="332"/>
      <c r="AV571" s="332"/>
      <c r="AW571" s="332"/>
      <c r="AX571" s="332"/>
      <c r="AY571" s="332"/>
      <c r="AZ571" s="332"/>
      <c r="BA571" s="332"/>
      <c r="BB571" s="31"/>
      <c r="BC571" s="31"/>
      <c r="BD571" s="31"/>
      <c r="BE571" s="31"/>
    </row>
    <row r="572" spans="1:57" ht="13">
      <c r="A572" s="153"/>
      <c r="F572" s="153"/>
      <c r="G572" s="116"/>
      <c r="H572" s="116"/>
      <c r="I572" s="116"/>
      <c r="J572" s="116"/>
      <c r="K572" s="219"/>
      <c r="L572" s="116"/>
      <c r="M572" s="31"/>
      <c r="N572" s="336"/>
      <c r="O572" s="336"/>
      <c r="P572" s="219"/>
      <c r="Q572" s="332"/>
      <c r="R572" s="219"/>
      <c r="S572" s="332"/>
      <c r="T572" s="219"/>
      <c r="U572" s="332"/>
      <c r="V572" s="332"/>
      <c r="W572" s="370"/>
      <c r="X572" s="370"/>
      <c r="Y572" s="370"/>
      <c r="Z572" s="370"/>
      <c r="AA572" s="370"/>
      <c r="AB572" s="370"/>
      <c r="AC572" s="370"/>
      <c r="AD572" s="370"/>
      <c r="AE572" s="370"/>
      <c r="AF572" s="370"/>
      <c r="AG572" s="370"/>
      <c r="AH572" s="370"/>
      <c r="AI572" s="370"/>
      <c r="AJ572" s="370"/>
      <c r="AK572" s="219"/>
      <c r="AL572" s="219"/>
      <c r="AM572" s="219"/>
      <c r="AN572" s="219"/>
      <c r="AO572" s="116"/>
      <c r="AP572" s="116"/>
      <c r="AQ572" s="116"/>
      <c r="AR572" s="116"/>
      <c r="AS572" s="116"/>
      <c r="AT572" s="116"/>
      <c r="AU572" s="332"/>
      <c r="AV572" s="332"/>
      <c r="AW572" s="332"/>
      <c r="AX572" s="332"/>
      <c r="AY572" s="332"/>
      <c r="AZ572" s="332"/>
      <c r="BA572" s="332"/>
      <c r="BB572" s="31"/>
      <c r="BC572" s="31"/>
      <c r="BD572" s="31"/>
      <c r="BE572" s="31"/>
    </row>
    <row r="573" spans="1:57" ht="13">
      <c r="A573" s="153"/>
      <c r="F573" s="153"/>
      <c r="G573" s="116"/>
      <c r="H573" s="116"/>
      <c r="I573" s="116"/>
      <c r="J573" s="116"/>
      <c r="K573" s="219"/>
      <c r="L573" s="116"/>
      <c r="M573" s="31"/>
      <c r="N573" s="336"/>
      <c r="O573" s="336"/>
      <c r="P573" s="219"/>
      <c r="Q573" s="332"/>
      <c r="R573" s="219"/>
      <c r="S573" s="332"/>
      <c r="T573" s="219"/>
      <c r="U573" s="332"/>
      <c r="V573" s="332"/>
      <c r="W573" s="370"/>
      <c r="X573" s="370"/>
      <c r="Y573" s="370"/>
      <c r="Z573" s="370"/>
      <c r="AA573" s="370"/>
      <c r="AB573" s="370"/>
      <c r="AC573" s="370"/>
      <c r="AD573" s="370"/>
      <c r="AE573" s="370"/>
      <c r="AF573" s="370"/>
      <c r="AG573" s="370"/>
      <c r="AH573" s="370"/>
      <c r="AI573" s="370"/>
      <c r="AJ573" s="370"/>
      <c r="AK573" s="219"/>
      <c r="AL573" s="219"/>
      <c r="AM573" s="219"/>
      <c r="AN573" s="219"/>
      <c r="AO573" s="116"/>
      <c r="AP573" s="116"/>
      <c r="AQ573" s="116"/>
      <c r="AR573" s="116"/>
      <c r="AS573" s="116"/>
      <c r="AT573" s="116"/>
      <c r="AU573" s="332"/>
      <c r="AV573" s="332"/>
      <c r="AW573" s="332"/>
      <c r="AX573" s="332"/>
      <c r="AY573" s="332"/>
      <c r="AZ573" s="332"/>
      <c r="BA573" s="332"/>
      <c r="BB573" s="31"/>
      <c r="BC573" s="31"/>
      <c r="BD573" s="31"/>
      <c r="BE573" s="31"/>
    </row>
    <row r="574" spans="1:57" ht="13">
      <c r="A574" s="153"/>
      <c r="F574" s="153"/>
      <c r="G574" s="116"/>
      <c r="H574" s="116"/>
      <c r="I574" s="116"/>
      <c r="J574" s="116"/>
      <c r="K574" s="219"/>
      <c r="L574" s="116"/>
      <c r="M574" s="31"/>
      <c r="N574" s="336"/>
      <c r="O574" s="336"/>
      <c r="P574" s="219"/>
      <c r="Q574" s="332"/>
      <c r="R574" s="219"/>
      <c r="S574" s="332"/>
      <c r="T574" s="219"/>
      <c r="U574" s="332"/>
      <c r="V574" s="332"/>
      <c r="W574" s="370"/>
      <c r="X574" s="370"/>
      <c r="Y574" s="370"/>
      <c r="Z574" s="370"/>
      <c r="AA574" s="370"/>
      <c r="AB574" s="370"/>
      <c r="AC574" s="370"/>
      <c r="AD574" s="370"/>
      <c r="AE574" s="370"/>
      <c r="AF574" s="370"/>
      <c r="AG574" s="370"/>
      <c r="AH574" s="370"/>
      <c r="AI574" s="370"/>
      <c r="AJ574" s="370"/>
      <c r="AK574" s="219"/>
      <c r="AL574" s="219"/>
      <c r="AM574" s="219"/>
      <c r="AN574" s="219"/>
      <c r="AO574" s="116"/>
      <c r="AP574" s="116"/>
      <c r="AQ574" s="116"/>
      <c r="AR574" s="116"/>
      <c r="AS574" s="116"/>
      <c r="AT574" s="116"/>
      <c r="AU574" s="332"/>
      <c r="AV574" s="332"/>
      <c r="AW574" s="332"/>
      <c r="AX574" s="332"/>
      <c r="AY574" s="332"/>
      <c r="AZ574" s="332"/>
      <c r="BA574" s="332"/>
      <c r="BB574" s="31"/>
      <c r="BC574" s="31"/>
      <c r="BD574" s="31"/>
      <c r="BE574" s="31"/>
    </row>
    <row r="575" spans="1:57" ht="13">
      <c r="A575" s="153"/>
      <c r="F575" s="153"/>
      <c r="G575" s="116"/>
      <c r="H575" s="116"/>
      <c r="I575" s="116"/>
      <c r="J575" s="116"/>
      <c r="K575" s="219"/>
      <c r="L575" s="116"/>
      <c r="M575" s="31"/>
      <c r="N575" s="336"/>
      <c r="O575" s="336"/>
      <c r="P575" s="219"/>
      <c r="Q575" s="332"/>
      <c r="R575" s="219"/>
      <c r="S575" s="332"/>
      <c r="T575" s="219"/>
      <c r="U575" s="332"/>
      <c r="V575" s="332"/>
      <c r="W575" s="370"/>
      <c r="X575" s="370"/>
      <c r="Y575" s="370"/>
      <c r="Z575" s="370"/>
      <c r="AA575" s="370"/>
      <c r="AB575" s="370"/>
      <c r="AC575" s="370"/>
      <c r="AD575" s="370"/>
      <c r="AE575" s="370"/>
      <c r="AF575" s="370"/>
      <c r="AG575" s="370"/>
      <c r="AH575" s="370"/>
      <c r="AI575" s="370"/>
      <c r="AJ575" s="370"/>
      <c r="AK575" s="219"/>
      <c r="AL575" s="219"/>
      <c r="AM575" s="219"/>
      <c r="AN575" s="219"/>
      <c r="AO575" s="116"/>
      <c r="AP575" s="116"/>
      <c r="AQ575" s="116"/>
      <c r="AR575" s="116"/>
      <c r="AS575" s="116"/>
      <c r="AT575" s="116"/>
      <c r="AU575" s="332"/>
      <c r="AV575" s="332"/>
      <c r="AW575" s="332"/>
      <c r="AX575" s="332"/>
      <c r="AY575" s="332"/>
      <c r="AZ575" s="332"/>
      <c r="BA575" s="332"/>
      <c r="BB575" s="31"/>
      <c r="BC575" s="31"/>
      <c r="BD575" s="31"/>
      <c r="BE575" s="31"/>
    </row>
    <row r="576" spans="1:57" ht="13">
      <c r="A576" s="153"/>
      <c r="F576" s="153"/>
      <c r="G576" s="116"/>
      <c r="H576" s="116"/>
      <c r="I576" s="116"/>
      <c r="J576" s="116"/>
      <c r="K576" s="219"/>
      <c r="L576" s="116"/>
      <c r="M576" s="31"/>
      <c r="N576" s="336"/>
      <c r="O576" s="336"/>
      <c r="P576" s="219"/>
      <c r="Q576" s="332"/>
      <c r="R576" s="219"/>
      <c r="S576" s="332"/>
      <c r="T576" s="219"/>
      <c r="U576" s="332"/>
      <c r="V576" s="332"/>
      <c r="W576" s="370"/>
      <c r="X576" s="370"/>
      <c r="Y576" s="370"/>
      <c r="Z576" s="370"/>
      <c r="AA576" s="370"/>
      <c r="AB576" s="370"/>
      <c r="AC576" s="370"/>
      <c r="AD576" s="370"/>
      <c r="AE576" s="370"/>
      <c r="AF576" s="370"/>
      <c r="AG576" s="370"/>
      <c r="AH576" s="370"/>
      <c r="AI576" s="370"/>
      <c r="AJ576" s="370"/>
      <c r="AK576" s="219"/>
      <c r="AL576" s="219"/>
      <c r="AM576" s="219"/>
      <c r="AN576" s="219"/>
      <c r="AO576" s="116"/>
      <c r="AP576" s="116"/>
      <c r="AQ576" s="116"/>
      <c r="AR576" s="116"/>
      <c r="AS576" s="116"/>
      <c r="AT576" s="116"/>
      <c r="AU576" s="332"/>
      <c r="AV576" s="332"/>
      <c r="AW576" s="332"/>
      <c r="AX576" s="332"/>
      <c r="AY576" s="332"/>
      <c r="AZ576" s="332"/>
      <c r="BA576" s="332"/>
      <c r="BB576" s="31"/>
      <c r="BC576" s="31"/>
      <c r="BD576" s="31"/>
      <c r="BE576" s="31"/>
    </row>
    <row r="577" spans="1:57" ht="13">
      <c r="A577" s="153"/>
      <c r="F577" s="153"/>
      <c r="G577" s="116"/>
      <c r="H577" s="116"/>
      <c r="I577" s="116"/>
      <c r="J577" s="116"/>
      <c r="K577" s="219"/>
      <c r="L577" s="116"/>
      <c r="M577" s="31"/>
      <c r="N577" s="336"/>
      <c r="O577" s="336"/>
      <c r="P577" s="219"/>
      <c r="Q577" s="332"/>
      <c r="R577" s="219"/>
      <c r="S577" s="332"/>
      <c r="T577" s="219"/>
      <c r="U577" s="332"/>
      <c r="V577" s="332"/>
      <c r="W577" s="370"/>
      <c r="X577" s="370"/>
      <c r="Y577" s="370"/>
      <c r="Z577" s="370"/>
      <c r="AA577" s="370"/>
      <c r="AB577" s="370"/>
      <c r="AC577" s="370"/>
      <c r="AD577" s="370"/>
      <c r="AE577" s="370"/>
      <c r="AF577" s="370"/>
      <c r="AG577" s="370"/>
      <c r="AH577" s="370"/>
      <c r="AI577" s="370"/>
      <c r="AJ577" s="370"/>
      <c r="AK577" s="219"/>
      <c r="AL577" s="219"/>
      <c r="AM577" s="219"/>
      <c r="AN577" s="219"/>
      <c r="AO577" s="116"/>
      <c r="AP577" s="116"/>
      <c r="AQ577" s="116"/>
      <c r="AR577" s="116"/>
      <c r="AS577" s="116"/>
      <c r="AT577" s="116"/>
      <c r="AU577" s="332"/>
      <c r="AV577" s="332"/>
      <c r="AW577" s="332"/>
      <c r="AX577" s="332"/>
      <c r="AY577" s="332"/>
      <c r="AZ577" s="332"/>
      <c r="BA577" s="332"/>
      <c r="BB577" s="31"/>
      <c r="BC577" s="31"/>
      <c r="BD577" s="31"/>
      <c r="BE577" s="31"/>
    </row>
    <row r="578" spans="1:57" ht="13">
      <c r="A578" s="153"/>
      <c r="F578" s="153"/>
      <c r="G578" s="116"/>
      <c r="H578" s="116"/>
      <c r="I578" s="116"/>
      <c r="J578" s="116"/>
      <c r="K578" s="219"/>
      <c r="L578" s="116"/>
      <c r="M578" s="31"/>
      <c r="N578" s="336"/>
      <c r="O578" s="336"/>
      <c r="P578" s="219"/>
      <c r="Q578" s="332"/>
      <c r="R578" s="219"/>
      <c r="S578" s="332"/>
      <c r="T578" s="219"/>
      <c r="U578" s="332"/>
      <c r="V578" s="332"/>
      <c r="W578" s="370"/>
      <c r="X578" s="370"/>
      <c r="Y578" s="370"/>
      <c r="Z578" s="370"/>
      <c r="AA578" s="370"/>
      <c r="AB578" s="370"/>
      <c r="AC578" s="370"/>
      <c r="AD578" s="370"/>
      <c r="AE578" s="370"/>
      <c r="AF578" s="370"/>
      <c r="AG578" s="370"/>
      <c r="AH578" s="370"/>
      <c r="AI578" s="370"/>
      <c r="AJ578" s="370"/>
      <c r="AK578" s="219"/>
      <c r="AL578" s="219"/>
      <c r="AM578" s="219"/>
      <c r="AN578" s="219"/>
      <c r="AO578" s="116"/>
      <c r="AP578" s="116"/>
      <c r="AQ578" s="116"/>
      <c r="AR578" s="116"/>
      <c r="AS578" s="116"/>
      <c r="AT578" s="116"/>
      <c r="AU578" s="332"/>
      <c r="AV578" s="332"/>
      <c r="AW578" s="332"/>
      <c r="AX578" s="332"/>
      <c r="AY578" s="332"/>
      <c r="AZ578" s="332"/>
      <c r="BA578" s="332"/>
      <c r="BB578" s="31"/>
      <c r="BC578" s="31"/>
      <c r="BD578" s="31"/>
      <c r="BE578" s="31"/>
    </row>
    <row r="579" spans="1:57" ht="13">
      <c r="A579" s="153"/>
      <c r="F579" s="153"/>
      <c r="G579" s="116"/>
      <c r="H579" s="116"/>
      <c r="I579" s="116"/>
      <c r="J579" s="116"/>
      <c r="K579" s="219"/>
      <c r="L579" s="116"/>
      <c r="M579" s="31"/>
      <c r="N579" s="336"/>
      <c r="O579" s="336"/>
      <c r="P579" s="219"/>
      <c r="Q579" s="332"/>
      <c r="R579" s="219"/>
      <c r="S579" s="332"/>
      <c r="T579" s="219"/>
      <c r="U579" s="332"/>
      <c r="V579" s="332"/>
      <c r="W579" s="370"/>
      <c r="X579" s="370"/>
      <c r="Y579" s="370"/>
      <c r="Z579" s="370"/>
      <c r="AA579" s="370"/>
      <c r="AB579" s="370"/>
      <c r="AC579" s="370"/>
      <c r="AD579" s="370"/>
      <c r="AE579" s="370"/>
      <c r="AF579" s="370"/>
      <c r="AG579" s="370"/>
      <c r="AH579" s="370"/>
      <c r="AI579" s="370"/>
      <c r="AJ579" s="370"/>
      <c r="AK579" s="219"/>
      <c r="AL579" s="219"/>
      <c r="AM579" s="219"/>
      <c r="AN579" s="219"/>
      <c r="AO579" s="116"/>
      <c r="AP579" s="116"/>
      <c r="AQ579" s="116"/>
      <c r="AR579" s="116"/>
      <c r="AS579" s="116"/>
      <c r="AT579" s="116"/>
      <c r="AU579" s="332"/>
      <c r="AV579" s="332"/>
      <c r="AW579" s="332"/>
      <c r="AX579" s="332"/>
      <c r="AY579" s="332"/>
      <c r="AZ579" s="332"/>
      <c r="BA579" s="332"/>
      <c r="BB579" s="31"/>
      <c r="BC579" s="31"/>
      <c r="BD579" s="31"/>
      <c r="BE579" s="31"/>
    </row>
    <row r="580" spans="1:57" ht="13">
      <c r="A580" s="153"/>
      <c r="F580" s="153"/>
      <c r="G580" s="116"/>
      <c r="H580" s="116"/>
      <c r="I580" s="116"/>
      <c r="J580" s="116"/>
      <c r="K580" s="219"/>
      <c r="L580" s="116"/>
      <c r="M580" s="31"/>
      <c r="N580" s="336"/>
      <c r="O580" s="336"/>
      <c r="P580" s="219"/>
      <c r="Q580" s="332"/>
      <c r="R580" s="219"/>
      <c r="S580" s="332"/>
      <c r="T580" s="219"/>
      <c r="U580" s="332"/>
      <c r="V580" s="332"/>
      <c r="W580" s="370"/>
      <c r="X580" s="370"/>
      <c r="Y580" s="370"/>
      <c r="Z580" s="370"/>
      <c r="AA580" s="370"/>
      <c r="AB580" s="370"/>
      <c r="AC580" s="370"/>
      <c r="AD580" s="370"/>
      <c r="AE580" s="370"/>
      <c r="AF580" s="370"/>
      <c r="AG580" s="370"/>
      <c r="AH580" s="370"/>
      <c r="AI580" s="370"/>
      <c r="AJ580" s="370"/>
      <c r="AL580" s="219"/>
      <c r="AM580" s="219"/>
      <c r="AN580" s="219"/>
      <c r="AO580" s="116"/>
      <c r="AP580" s="116"/>
      <c r="AU580" s="332"/>
      <c r="AV580" s="332"/>
      <c r="AW580" s="332"/>
      <c r="AX580" s="332"/>
      <c r="AY580" s="332"/>
      <c r="AZ580" s="332"/>
      <c r="BA580" s="332"/>
      <c r="BB580" s="31"/>
      <c r="BC580" s="31"/>
      <c r="BD580" s="31"/>
      <c r="BE580" s="31"/>
    </row>
    <row r="581" spans="1:57" ht="13">
      <c r="A581" s="153"/>
      <c r="F581" s="153"/>
      <c r="G581" s="116"/>
      <c r="H581" s="116"/>
      <c r="I581" s="116"/>
      <c r="J581" s="116"/>
      <c r="K581" s="219"/>
      <c r="L581" s="116"/>
      <c r="M581" s="31"/>
      <c r="N581" s="336"/>
      <c r="O581" s="336"/>
      <c r="P581" s="219"/>
      <c r="Q581" s="332"/>
      <c r="R581" s="219"/>
      <c r="S581" s="332"/>
      <c r="T581" s="219"/>
      <c r="U581" s="332"/>
      <c r="V581" s="332"/>
      <c r="W581" s="370"/>
      <c r="X581" s="370"/>
      <c r="Y581" s="370"/>
      <c r="Z581" s="370"/>
      <c r="AA581" s="370"/>
      <c r="AB581" s="370"/>
      <c r="AC581" s="370"/>
      <c r="AD581" s="370"/>
      <c r="AE581" s="370"/>
      <c r="AF581" s="370"/>
      <c r="AG581" s="370"/>
      <c r="AH581" s="370"/>
      <c r="AI581" s="370"/>
      <c r="AJ581" s="370"/>
      <c r="AL581" s="219"/>
      <c r="AM581" s="219"/>
      <c r="AN581" s="219"/>
      <c r="AO581" s="116"/>
      <c r="AP581" s="116"/>
      <c r="AU581" s="332"/>
      <c r="AV581" s="332"/>
      <c r="AW581" s="332"/>
      <c r="AX581" s="332"/>
      <c r="AY581" s="332"/>
      <c r="AZ581" s="332"/>
      <c r="BA581" s="332"/>
      <c r="BB581" s="31"/>
      <c r="BC581" s="31"/>
      <c r="BD581" s="31"/>
      <c r="BE581" s="31"/>
    </row>
    <row r="582" spans="1:57" ht="13">
      <c r="A582" s="153"/>
      <c r="F582" s="153"/>
      <c r="G582" s="116"/>
      <c r="H582" s="116"/>
      <c r="I582" s="116"/>
      <c r="J582" s="116"/>
      <c r="K582" s="219"/>
      <c r="L582" s="116"/>
      <c r="M582" s="31"/>
      <c r="N582" s="336"/>
      <c r="O582" s="336"/>
      <c r="P582" s="219"/>
      <c r="Q582" s="332"/>
      <c r="R582" s="219"/>
      <c r="S582" s="332"/>
      <c r="T582" s="219"/>
      <c r="U582" s="332"/>
      <c r="V582" s="332"/>
      <c r="W582" s="370"/>
      <c r="X582" s="370"/>
      <c r="Y582" s="370"/>
      <c r="Z582" s="370"/>
      <c r="AA582" s="370"/>
      <c r="AB582" s="370"/>
      <c r="AC582" s="370"/>
      <c r="AD582" s="370"/>
      <c r="AE582" s="370"/>
      <c r="AF582" s="370"/>
      <c r="AG582" s="370"/>
      <c r="AH582" s="370"/>
      <c r="AI582" s="370"/>
      <c r="AJ582" s="370"/>
      <c r="AL582" s="219"/>
      <c r="AM582" s="219"/>
      <c r="AN582" s="219"/>
      <c r="AO582" s="116"/>
      <c r="AP582" s="116"/>
      <c r="AU582" s="332"/>
      <c r="AV582" s="332"/>
      <c r="AW582" s="332"/>
      <c r="AX582" s="332"/>
      <c r="AY582" s="332"/>
      <c r="AZ582" s="332"/>
      <c r="BA582" s="332"/>
      <c r="BB582" s="31"/>
      <c r="BC582" s="31"/>
      <c r="BD582" s="31"/>
      <c r="BE582" s="31"/>
    </row>
    <row r="583" spans="1:57" ht="13">
      <c r="A583" s="153"/>
      <c r="F583" s="153"/>
      <c r="G583" s="116"/>
      <c r="H583" s="116"/>
      <c r="I583" s="116"/>
      <c r="J583" s="116"/>
      <c r="K583" s="219"/>
      <c r="L583" s="116"/>
      <c r="M583" s="31"/>
      <c r="N583" s="336"/>
      <c r="O583" s="336"/>
      <c r="P583" s="219"/>
      <c r="Q583" s="332"/>
      <c r="R583" s="219"/>
      <c r="S583" s="332"/>
      <c r="T583" s="219"/>
      <c r="U583" s="332"/>
      <c r="V583" s="332"/>
      <c r="W583" s="370"/>
      <c r="X583" s="370"/>
      <c r="Y583" s="370"/>
      <c r="Z583" s="370"/>
      <c r="AA583" s="370"/>
      <c r="AB583" s="370"/>
      <c r="AC583" s="370"/>
      <c r="AD583" s="370"/>
      <c r="AE583" s="370"/>
      <c r="AF583" s="370"/>
      <c r="AG583" s="370"/>
      <c r="AH583" s="370"/>
      <c r="AI583" s="370"/>
      <c r="AJ583" s="370"/>
      <c r="AL583" s="219"/>
      <c r="AM583" s="219"/>
      <c r="AN583" s="219"/>
      <c r="AO583" s="116"/>
      <c r="AP583" s="116"/>
      <c r="AU583" s="332"/>
      <c r="AV583" s="332"/>
      <c r="AW583" s="332"/>
      <c r="AX583" s="332"/>
      <c r="AY583" s="332"/>
      <c r="AZ583" s="332"/>
      <c r="BA583" s="332"/>
      <c r="BB583" s="31"/>
      <c r="BC583" s="31"/>
      <c r="BD583" s="31"/>
      <c r="BE583" s="31"/>
    </row>
    <row r="584" spans="1:57" ht="13">
      <c r="A584" s="153"/>
      <c r="F584" s="153"/>
      <c r="G584" s="116"/>
      <c r="H584" s="116"/>
      <c r="I584" s="116"/>
      <c r="J584" s="116"/>
      <c r="K584" s="219"/>
      <c r="L584" s="116"/>
      <c r="M584" s="31"/>
      <c r="N584" s="336"/>
      <c r="O584" s="336"/>
      <c r="P584" s="219"/>
      <c r="Q584" s="332"/>
      <c r="R584" s="219"/>
      <c r="S584" s="332"/>
      <c r="T584" s="219"/>
      <c r="U584" s="332"/>
      <c r="V584" s="332"/>
      <c r="W584" s="370"/>
      <c r="X584" s="370"/>
      <c r="Y584" s="370"/>
      <c r="Z584" s="370"/>
      <c r="AA584" s="370"/>
      <c r="AB584" s="370"/>
      <c r="AC584" s="370"/>
      <c r="AD584" s="370"/>
      <c r="AE584" s="370"/>
      <c r="AF584" s="370"/>
      <c r="AG584" s="370"/>
      <c r="AH584" s="370"/>
      <c r="AI584" s="370"/>
      <c r="AJ584" s="370"/>
      <c r="AL584" s="219"/>
      <c r="AM584" s="219"/>
      <c r="AN584" s="219"/>
      <c r="AO584" s="116"/>
      <c r="AP584" s="116"/>
      <c r="AU584" s="332"/>
      <c r="AV584" s="332"/>
      <c r="AW584" s="332"/>
      <c r="AX584" s="332"/>
      <c r="AY584" s="332"/>
      <c r="AZ584" s="332"/>
      <c r="BA584" s="332"/>
      <c r="BB584" s="31"/>
      <c r="BC584" s="31"/>
      <c r="BD584" s="31"/>
      <c r="BE584" s="31"/>
    </row>
    <row r="585" spans="1:57" ht="13">
      <c r="A585" s="153"/>
      <c r="F585" s="153"/>
      <c r="G585" s="116"/>
      <c r="H585" s="116"/>
      <c r="I585" s="116"/>
      <c r="J585" s="116"/>
      <c r="K585" s="219"/>
      <c r="L585" s="116"/>
      <c r="M585" s="31"/>
      <c r="N585" s="336"/>
      <c r="O585" s="336"/>
      <c r="P585" s="219"/>
      <c r="Q585" s="332"/>
      <c r="R585" s="219"/>
      <c r="S585" s="332"/>
      <c r="T585" s="219"/>
      <c r="U585" s="332"/>
      <c r="V585" s="332"/>
      <c r="W585" s="370"/>
      <c r="X585" s="370"/>
      <c r="Y585" s="370"/>
      <c r="Z585" s="370"/>
      <c r="AA585" s="370"/>
      <c r="AB585" s="370"/>
      <c r="AC585" s="370"/>
      <c r="AD585" s="370"/>
      <c r="AE585" s="370"/>
      <c r="AF585" s="370"/>
      <c r="AG585" s="370"/>
      <c r="AH585" s="370"/>
      <c r="AI585" s="370"/>
      <c r="AJ585" s="370"/>
      <c r="AL585" s="219"/>
      <c r="AM585" s="219"/>
      <c r="AN585" s="219"/>
      <c r="AO585" s="116"/>
      <c r="AP585" s="116"/>
      <c r="AU585" s="332"/>
      <c r="AV585" s="332"/>
      <c r="AW585" s="332"/>
      <c r="AX585" s="332"/>
      <c r="AY585" s="332"/>
      <c r="AZ585" s="332"/>
      <c r="BA585" s="332"/>
      <c r="BB585" s="31"/>
      <c r="BC585" s="31"/>
      <c r="BD585" s="31"/>
      <c r="BE585" s="31"/>
    </row>
    <row r="586" spans="1:57" ht="13">
      <c r="A586" s="153"/>
      <c r="F586" s="153"/>
      <c r="G586" s="116"/>
      <c r="H586" s="116"/>
      <c r="I586" s="116"/>
      <c r="J586" s="116"/>
      <c r="K586" s="219"/>
      <c r="L586" s="116"/>
      <c r="M586" s="31"/>
      <c r="N586" s="336"/>
      <c r="O586" s="336"/>
      <c r="P586" s="219"/>
      <c r="Q586" s="332"/>
      <c r="R586" s="219"/>
      <c r="S586" s="332"/>
      <c r="T586" s="219"/>
      <c r="U586" s="332"/>
      <c r="V586" s="332"/>
      <c r="W586" s="370"/>
      <c r="X586" s="370"/>
      <c r="Y586" s="370"/>
      <c r="Z586" s="370"/>
      <c r="AA586" s="370"/>
      <c r="AB586" s="370"/>
      <c r="AC586" s="370"/>
      <c r="AD586" s="370"/>
      <c r="AE586" s="370"/>
      <c r="AF586" s="370"/>
      <c r="AG586" s="370"/>
      <c r="AH586" s="370"/>
      <c r="AI586" s="370"/>
      <c r="AJ586" s="370"/>
      <c r="AL586" s="219"/>
      <c r="AM586" s="219"/>
      <c r="AN586" s="219"/>
      <c r="AO586" s="116"/>
      <c r="AP586" s="116"/>
      <c r="AU586" s="332"/>
      <c r="AV586" s="332"/>
      <c r="AW586" s="332"/>
      <c r="AX586" s="332"/>
      <c r="AY586" s="332"/>
      <c r="AZ586" s="332"/>
      <c r="BA586" s="332"/>
      <c r="BB586" s="31"/>
      <c r="BC586" s="31"/>
      <c r="BD586" s="31"/>
      <c r="BE586" s="31"/>
    </row>
    <row r="587" spans="1:57" ht="13">
      <c r="A587" s="153"/>
      <c r="F587" s="153"/>
      <c r="G587" s="116"/>
      <c r="H587" s="116"/>
      <c r="I587" s="116"/>
      <c r="J587" s="116"/>
      <c r="K587" s="219"/>
      <c r="L587" s="116"/>
      <c r="M587" s="31"/>
      <c r="N587" s="336"/>
      <c r="O587" s="336"/>
      <c r="P587" s="219"/>
      <c r="Q587" s="332"/>
      <c r="R587" s="219"/>
      <c r="S587" s="332"/>
      <c r="T587" s="219"/>
      <c r="U587" s="332"/>
      <c r="V587" s="332"/>
      <c r="W587" s="370"/>
      <c r="X587" s="370"/>
      <c r="Y587" s="370"/>
      <c r="Z587" s="370"/>
      <c r="AA587" s="370"/>
      <c r="AB587" s="370"/>
      <c r="AC587" s="370"/>
      <c r="AD587" s="370"/>
      <c r="AE587" s="370"/>
      <c r="AF587" s="370"/>
      <c r="AG587" s="370"/>
      <c r="AH587" s="370"/>
      <c r="AI587" s="370"/>
      <c r="AJ587" s="370"/>
      <c r="AL587" s="219"/>
      <c r="AM587" s="219"/>
      <c r="AN587" s="219"/>
      <c r="AO587" s="116"/>
      <c r="AP587" s="116"/>
      <c r="AU587" s="332"/>
      <c r="AV587" s="332"/>
      <c r="AW587" s="332"/>
      <c r="AX587" s="332"/>
      <c r="AY587" s="332"/>
      <c r="AZ587" s="332"/>
      <c r="BA587" s="332"/>
      <c r="BB587" s="31"/>
      <c r="BC587" s="31"/>
      <c r="BD587" s="31"/>
      <c r="BE587" s="31"/>
    </row>
    <row r="588" spans="1:57" ht="13">
      <c r="A588" s="153"/>
      <c r="F588" s="153"/>
      <c r="G588" s="116"/>
      <c r="H588" s="116"/>
      <c r="I588" s="116"/>
      <c r="J588" s="116"/>
      <c r="K588" s="219"/>
      <c r="L588" s="116"/>
      <c r="M588" s="31"/>
      <c r="N588" s="336"/>
      <c r="O588" s="336"/>
      <c r="P588" s="219"/>
      <c r="Q588" s="332"/>
      <c r="R588" s="219"/>
      <c r="S588" s="332"/>
      <c r="T588" s="219"/>
      <c r="U588" s="332"/>
      <c r="V588" s="332"/>
      <c r="W588" s="370"/>
      <c r="X588" s="370"/>
      <c r="Y588" s="370"/>
      <c r="Z588" s="370"/>
      <c r="AA588" s="370"/>
      <c r="AB588" s="370"/>
      <c r="AC588" s="370"/>
      <c r="AD588" s="370"/>
      <c r="AE588" s="370"/>
      <c r="AF588" s="370"/>
      <c r="AG588" s="370"/>
      <c r="AH588" s="370"/>
      <c r="AI588" s="370"/>
      <c r="AJ588" s="370"/>
      <c r="AL588" s="219"/>
      <c r="AM588" s="219"/>
      <c r="AN588" s="219"/>
      <c r="AO588" s="116"/>
      <c r="AP588" s="116"/>
      <c r="AU588" s="332"/>
      <c r="AV588" s="332"/>
      <c r="AW588" s="332"/>
      <c r="AX588" s="332"/>
      <c r="AY588" s="332"/>
      <c r="AZ588" s="332"/>
      <c r="BA588" s="332"/>
      <c r="BB588" s="31"/>
      <c r="BC588" s="31"/>
      <c r="BD588" s="31"/>
      <c r="BE588" s="31"/>
    </row>
    <row r="589" spans="1:57" ht="13">
      <c r="A589" s="153"/>
      <c r="F589" s="153"/>
      <c r="G589" s="116"/>
      <c r="H589" s="116"/>
      <c r="I589" s="116"/>
      <c r="J589" s="116"/>
      <c r="K589" s="219"/>
      <c r="L589" s="116"/>
      <c r="M589" s="31"/>
      <c r="N589" s="336"/>
      <c r="O589" s="336"/>
      <c r="P589" s="219"/>
      <c r="Q589" s="332"/>
      <c r="R589" s="219"/>
      <c r="S589" s="332"/>
      <c r="T589" s="219"/>
      <c r="U589" s="332"/>
      <c r="V589" s="332"/>
      <c r="W589" s="370"/>
      <c r="X589" s="370"/>
      <c r="Y589" s="370"/>
      <c r="Z589" s="370"/>
      <c r="AA589" s="370"/>
      <c r="AB589" s="370"/>
      <c r="AC589" s="370"/>
      <c r="AD589" s="370"/>
      <c r="AE589" s="370"/>
      <c r="AF589" s="370"/>
      <c r="AG589" s="370"/>
      <c r="AH589" s="370"/>
      <c r="AI589" s="370"/>
      <c r="AJ589" s="370"/>
      <c r="AL589" s="219"/>
      <c r="AM589" s="219"/>
      <c r="AN589" s="219"/>
      <c r="AO589" s="116"/>
      <c r="AP589" s="116"/>
      <c r="AU589" s="332"/>
      <c r="AV589" s="332"/>
      <c r="AW589" s="332"/>
      <c r="AX589" s="332"/>
      <c r="AY589" s="332"/>
      <c r="AZ589" s="332"/>
      <c r="BA589" s="332"/>
      <c r="BB589" s="31"/>
      <c r="BC589" s="31"/>
      <c r="BD589" s="31"/>
      <c r="BE589" s="31"/>
    </row>
    <row r="590" spans="1:57" ht="13">
      <c r="A590" s="153"/>
      <c r="F590" s="153"/>
      <c r="G590" s="116"/>
      <c r="H590" s="116"/>
      <c r="I590" s="116"/>
      <c r="J590" s="116"/>
      <c r="K590" s="219"/>
      <c r="L590" s="116"/>
      <c r="M590" s="31"/>
      <c r="N590" s="336"/>
      <c r="O590" s="336"/>
      <c r="P590" s="219"/>
      <c r="Q590" s="332"/>
      <c r="R590" s="219"/>
      <c r="S590" s="332"/>
      <c r="T590" s="219"/>
      <c r="U590" s="332"/>
      <c r="V590" s="332"/>
      <c r="W590" s="370"/>
      <c r="X590" s="370"/>
      <c r="Y590" s="370"/>
      <c r="Z590" s="370"/>
      <c r="AA590" s="370"/>
      <c r="AB590" s="370"/>
      <c r="AC590" s="370"/>
      <c r="AD590" s="370"/>
      <c r="AE590" s="370"/>
      <c r="AF590" s="370"/>
      <c r="AG590" s="370"/>
      <c r="AH590" s="370"/>
      <c r="AI590" s="370"/>
      <c r="AJ590" s="370"/>
      <c r="AL590" s="219"/>
      <c r="AM590" s="219"/>
      <c r="AN590" s="219"/>
      <c r="AO590" s="116"/>
      <c r="AP590" s="116"/>
      <c r="AU590" s="332"/>
      <c r="AV590" s="332"/>
      <c r="AW590" s="332"/>
      <c r="AX590" s="332"/>
      <c r="AY590" s="332"/>
      <c r="AZ590" s="332"/>
      <c r="BA590" s="332"/>
      <c r="BB590" s="31"/>
      <c r="BC590" s="31"/>
      <c r="BD590" s="31"/>
      <c r="BE590" s="31"/>
    </row>
    <row r="591" spans="1:57" ht="13">
      <c r="A591" s="153"/>
      <c r="F591" s="153"/>
      <c r="G591" s="116"/>
      <c r="H591" s="116"/>
      <c r="I591" s="116"/>
      <c r="J591" s="116"/>
      <c r="K591" s="219"/>
      <c r="L591" s="116"/>
      <c r="M591" s="31"/>
      <c r="N591" s="336"/>
      <c r="O591" s="336"/>
      <c r="P591" s="219"/>
      <c r="Q591" s="332"/>
      <c r="R591" s="219"/>
      <c r="S591" s="332"/>
      <c r="T591" s="219"/>
      <c r="U591" s="332"/>
      <c r="V591" s="332"/>
      <c r="W591" s="370"/>
      <c r="X591" s="370"/>
      <c r="Y591" s="370"/>
      <c r="Z591" s="370"/>
      <c r="AA591" s="370"/>
      <c r="AB591" s="370"/>
      <c r="AC591" s="370"/>
      <c r="AD591" s="370"/>
      <c r="AE591" s="370"/>
      <c r="AF591" s="370"/>
      <c r="AG591" s="370"/>
      <c r="AH591" s="370"/>
      <c r="AI591" s="370"/>
      <c r="AJ591" s="370"/>
      <c r="AL591" s="219"/>
      <c r="AM591" s="219"/>
      <c r="AN591" s="219"/>
      <c r="AO591" s="116"/>
      <c r="AP591" s="116"/>
      <c r="AU591" s="332"/>
      <c r="AV591" s="332"/>
      <c r="AW591" s="332"/>
      <c r="AX591" s="332"/>
      <c r="AY591" s="332"/>
      <c r="AZ591" s="332"/>
      <c r="BA591" s="332"/>
      <c r="BB591" s="31"/>
      <c r="BC591" s="31"/>
      <c r="BD591" s="31"/>
      <c r="BE591" s="31"/>
    </row>
    <row r="592" spans="1:57" ht="13">
      <c r="A592" s="153"/>
      <c r="F592" s="153"/>
      <c r="G592" s="116"/>
      <c r="H592" s="116"/>
      <c r="I592" s="116"/>
      <c r="J592" s="116"/>
      <c r="K592" s="219"/>
      <c r="L592" s="116"/>
      <c r="M592" s="31"/>
      <c r="N592" s="336"/>
      <c r="O592" s="336"/>
      <c r="P592" s="219"/>
      <c r="Q592" s="332"/>
      <c r="R592" s="219"/>
      <c r="S592" s="332"/>
      <c r="T592" s="219"/>
      <c r="U592" s="332"/>
      <c r="V592" s="332"/>
      <c r="W592" s="370"/>
      <c r="X592" s="370"/>
      <c r="Y592" s="370"/>
      <c r="Z592" s="370"/>
      <c r="AA592" s="370"/>
      <c r="AB592" s="370"/>
      <c r="AC592" s="370"/>
      <c r="AD592" s="370"/>
      <c r="AE592" s="370"/>
      <c r="AF592" s="370"/>
      <c r="AG592" s="370"/>
      <c r="AH592" s="370"/>
      <c r="AI592" s="370"/>
      <c r="AJ592" s="370"/>
      <c r="AL592" s="219"/>
      <c r="AM592" s="219"/>
      <c r="AN592" s="219"/>
      <c r="AO592" s="116"/>
      <c r="AP592" s="116"/>
      <c r="AU592" s="332"/>
      <c r="AV592" s="332"/>
      <c r="AW592" s="332"/>
      <c r="AX592" s="332"/>
      <c r="AY592" s="332"/>
      <c r="AZ592" s="332"/>
      <c r="BA592" s="332"/>
      <c r="BB592" s="31"/>
      <c r="BC592" s="31"/>
      <c r="BD592" s="31"/>
      <c r="BE592" s="31"/>
    </row>
    <row r="593" spans="1:57" ht="13">
      <c r="A593" s="153"/>
      <c r="F593" s="153"/>
      <c r="G593" s="116"/>
      <c r="H593" s="116"/>
      <c r="I593" s="116"/>
      <c r="J593" s="116"/>
      <c r="K593" s="219"/>
      <c r="L593" s="116"/>
      <c r="M593" s="31"/>
      <c r="N593" s="336"/>
      <c r="O593" s="336"/>
      <c r="P593" s="219"/>
      <c r="Q593" s="332"/>
      <c r="R593" s="219"/>
      <c r="S593" s="332"/>
      <c r="T593" s="219"/>
      <c r="U593" s="332"/>
      <c r="V593" s="332"/>
      <c r="W593" s="370"/>
      <c r="X593" s="370"/>
      <c r="Y593" s="370"/>
      <c r="Z593" s="370"/>
      <c r="AA593" s="370"/>
      <c r="AB593" s="370"/>
      <c r="AC593" s="370"/>
      <c r="AD593" s="370"/>
      <c r="AE593" s="370"/>
      <c r="AF593" s="370"/>
      <c r="AG593" s="370"/>
      <c r="AH593" s="370"/>
      <c r="AI593" s="370"/>
      <c r="AJ593" s="370"/>
      <c r="AL593" s="219"/>
      <c r="AM593" s="219"/>
      <c r="AN593" s="219"/>
      <c r="AO593" s="116"/>
      <c r="AP593" s="116"/>
      <c r="AU593" s="332"/>
      <c r="AV593" s="332"/>
      <c r="AW593" s="332"/>
      <c r="AX593" s="332"/>
      <c r="AY593" s="332"/>
      <c r="AZ593" s="332"/>
      <c r="BA593" s="332"/>
      <c r="BB593" s="31"/>
      <c r="BC593" s="31"/>
      <c r="BD593" s="31"/>
      <c r="BE593" s="31"/>
    </row>
    <row r="594" spans="1:57" ht="13">
      <c r="A594" s="153"/>
      <c r="F594" s="153"/>
      <c r="G594" s="116"/>
      <c r="H594" s="116"/>
      <c r="I594" s="116"/>
      <c r="J594" s="116"/>
      <c r="K594" s="219"/>
      <c r="L594" s="116"/>
      <c r="M594" s="31"/>
      <c r="N594" s="336"/>
      <c r="O594" s="336"/>
      <c r="P594" s="219"/>
      <c r="Q594" s="332"/>
      <c r="R594" s="219"/>
      <c r="S594" s="332"/>
      <c r="T594" s="219"/>
      <c r="U594" s="332"/>
      <c r="V594" s="332"/>
      <c r="W594" s="370"/>
      <c r="X594" s="370"/>
      <c r="Y594" s="370"/>
      <c r="Z594" s="370"/>
      <c r="AA594" s="370"/>
      <c r="AB594" s="370"/>
      <c r="AC594" s="370"/>
      <c r="AD594" s="370"/>
      <c r="AE594" s="370"/>
      <c r="AF594" s="370"/>
      <c r="AG594" s="370"/>
      <c r="AH594" s="370"/>
      <c r="AI594" s="370"/>
      <c r="AJ594" s="370"/>
      <c r="AL594" s="219"/>
      <c r="AM594" s="219"/>
      <c r="AN594" s="219"/>
      <c r="AO594" s="116"/>
      <c r="AP594" s="116"/>
      <c r="AU594" s="332"/>
      <c r="AV594" s="332"/>
      <c r="AW594" s="332"/>
      <c r="AX594" s="332"/>
      <c r="AY594" s="332"/>
      <c r="AZ594" s="332"/>
      <c r="BA594" s="332"/>
      <c r="BB594" s="31"/>
      <c r="BC594" s="31"/>
      <c r="BD594" s="31"/>
      <c r="BE594" s="31"/>
    </row>
    <row r="595" spans="1:57" ht="13">
      <c r="A595" s="153"/>
      <c r="F595" s="153"/>
      <c r="G595" s="116"/>
      <c r="H595" s="116"/>
      <c r="I595" s="116"/>
      <c r="J595" s="116"/>
      <c r="K595" s="219"/>
      <c r="L595" s="116"/>
      <c r="M595" s="31"/>
      <c r="N595" s="336"/>
      <c r="O595" s="336"/>
      <c r="P595" s="219"/>
      <c r="Q595" s="332"/>
      <c r="R595" s="219"/>
      <c r="S595" s="332"/>
      <c r="T595" s="219"/>
      <c r="U595" s="332"/>
      <c r="V595" s="332"/>
      <c r="W595" s="370"/>
      <c r="X595" s="370"/>
      <c r="Y595" s="370"/>
      <c r="Z595" s="370"/>
      <c r="AA595" s="370"/>
      <c r="AB595" s="370"/>
      <c r="AC595" s="370"/>
      <c r="AD595" s="370"/>
      <c r="AE595" s="370"/>
      <c r="AF595" s="370"/>
      <c r="AG595" s="370"/>
      <c r="AH595" s="370"/>
      <c r="AI595" s="370"/>
      <c r="AJ595" s="370"/>
      <c r="AL595" s="219"/>
      <c r="AM595" s="219"/>
      <c r="AN595" s="219"/>
      <c r="AO595" s="116"/>
      <c r="AP595" s="116"/>
      <c r="AU595" s="332"/>
      <c r="AV595" s="332"/>
      <c r="AW595" s="332"/>
      <c r="AX595" s="332"/>
      <c r="AY595" s="332"/>
      <c r="AZ595" s="332"/>
      <c r="BA595" s="332"/>
      <c r="BB595" s="31"/>
      <c r="BC595" s="31"/>
      <c r="BD595" s="31"/>
      <c r="BE595" s="31"/>
    </row>
    <row r="596" spans="1:57" ht="13">
      <c r="A596" s="153"/>
      <c r="F596" s="153"/>
      <c r="G596" s="116"/>
      <c r="H596" s="116"/>
      <c r="I596" s="116"/>
      <c r="J596" s="116"/>
      <c r="K596" s="219"/>
      <c r="L596" s="116"/>
      <c r="M596" s="31"/>
      <c r="N596" s="336"/>
      <c r="O596" s="336"/>
      <c r="P596" s="219"/>
      <c r="Q596" s="332"/>
      <c r="R596" s="219"/>
      <c r="S596" s="332"/>
      <c r="T596" s="219"/>
      <c r="U596" s="332"/>
      <c r="V596" s="332"/>
      <c r="W596" s="370"/>
      <c r="X596" s="370"/>
      <c r="Y596" s="370"/>
      <c r="Z596" s="370"/>
      <c r="AA596" s="370"/>
      <c r="AB596" s="370"/>
      <c r="AC596" s="370"/>
      <c r="AD596" s="370"/>
      <c r="AE596" s="370"/>
      <c r="AF596" s="370"/>
      <c r="AG596" s="370"/>
      <c r="AH596" s="370"/>
      <c r="AI596" s="370"/>
      <c r="AJ596" s="370"/>
      <c r="AL596" s="219"/>
      <c r="AM596" s="219"/>
      <c r="AN596" s="219"/>
      <c r="AO596" s="116"/>
      <c r="AP596" s="116"/>
      <c r="AU596" s="332"/>
      <c r="AV596" s="332"/>
      <c r="AW596" s="332"/>
      <c r="AX596" s="332"/>
      <c r="AY596" s="332"/>
      <c r="AZ596" s="332"/>
      <c r="BA596" s="332"/>
      <c r="BB596" s="31"/>
      <c r="BC596" s="31"/>
      <c r="BD596" s="31"/>
      <c r="BE596" s="31"/>
    </row>
    <row r="597" spans="1:57" ht="13">
      <c r="A597" s="153"/>
      <c r="F597" s="153"/>
      <c r="G597" s="116"/>
      <c r="H597" s="116"/>
      <c r="I597" s="116"/>
      <c r="J597" s="116"/>
      <c r="K597" s="219"/>
      <c r="L597" s="116"/>
      <c r="M597" s="31"/>
      <c r="N597" s="336"/>
      <c r="O597" s="336"/>
      <c r="P597" s="219"/>
      <c r="Q597" s="332"/>
      <c r="R597" s="219"/>
      <c r="S597" s="332"/>
      <c r="T597" s="219"/>
      <c r="U597" s="332"/>
      <c r="V597" s="332"/>
      <c r="W597" s="370"/>
      <c r="X597" s="370"/>
      <c r="Y597" s="370"/>
      <c r="Z597" s="370"/>
      <c r="AA597" s="370"/>
      <c r="AB597" s="370"/>
      <c r="AC597" s="370"/>
      <c r="AD597" s="370"/>
      <c r="AE597" s="370"/>
      <c r="AF597" s="370"/>
      <c r="AG597" s="370"/>
      <c r="AH597" s="370"/>
      <c r="AI597" s="370"/>
      <c r="AJ597" s="370"/>
      <c r="AL597" s="219"/>
      <c r="AM597" s="219"/>
      <c r="AN597" s="219"/>
      <c r="AO597" s="116"/>
      <c r="AP597" s="116"/>
      <c r="AU597" s="332"/>
      <c r="AV597" s="332"/>
      <c r="AW597" s="332"/>
      <c r="AX597" s="332"/>
      <c r="AY597" s="332"/>
      <c r="AZ597" s="332"/>
      <c r="BA597" s="332"/>
      <c r="BB597" s="31"/>
      <c r="BC597" s="31"/>
      <c r="BD597" s="31"/>
      <c r="BE597" s="31"/>
    </row>
    <row r="598" spans="1:57" ht="13">
      <c r="A598" s="153"/>
      <c r="F598" s="153"/>
      <c r="G598" s="116"/>
      <c r="H598" s="116"/>
      <c r="I598" s="116"/>
      <c r="J598" s="116"/>
      <c r="K598" s="219"/>
      <c r="L598" s="116"/>
      <c r="M598" s="31"/>
      <c r="N598" s="336"/>
      <c r="O598" s="336"/>
      <c r="P598" s="219"/>
      <c r="Q598" s="332"/>
      <c r="R598" s="219"/>
      <c r="S598" s="332"/>
      <c r="T598" s="219"/>
      <c r="U598" s="332"/>
      <c r="V598" s="332"/>
      <c r="W598" s="370"/>
      <c r="X598" s="370"/>
      <c r="Y598" s="370"/>
      <c r="Z598" s="370"/>
      <c r="AA598" s="370"/>
      <c r="AB598" s="370"/>
      <c r="AC598" s="370"/>
      <c r="AD598" s="370"/>
      <c r="AE598" s="370"/>
      <c r="AF598" s="370"/>
      <c r="AG598" s="370"/>
      <c r="AH598" s="370"/>
      <c r="AI598" s="370"/>
      <c r="AJ598" s="370"/>
      <c r="AL598" s="219"/>
      <c r="AM598" s="219"/>
      <c r="AN598" s="219"/>
      <c r="AO598" s="116"/>
      <c r="AP598" s="116"/>
      <c r="AU598" s="332"/>
      <c r="AV598" s="332"/>
      <c r="AW598" s="332"/>
      <c r="AX598" s="332"/>
      <c r="AY598" s="332"/>
      <c r="AZ598" s="332"/>
      <c r="BA598" s="332"/>
      <c r="BB598" s="31"/>
      <c r="BC598" s="31"/>
      <c r="BD598" s="31"/>
      <c r="BE598" s="31"/>
    </row>
    <row r="599" spans="1:57" ht="13">
      <c r="A599" s="153"/>
      <c r="F599" s="153"/>
      <c r="G599" s="116"/>
      <c r="H599" s="116"/>
      <c r="I599" s="116"/>
      <c r="J599" s="116"/>
      <c r="K599" s="219"/>
      <c r="L599" s="116"/>
      <c r="M599" s="31"/>
      <c r="N599" s="336"/>
      <c r="O599" s="336"/>
      <c r="P599" s="219"/>
      <c r="Q599" s="332"/>
      <c r="R599" s="219"/>
      <c r="S599" s="332"/>
      <c r="T599" s="219"/>
      <c r="U599" s="332"/>
      <c r="V599" s="332"/>
      <c r="W599" s="370"/>
      <c r="X599" s="370"/>
      <c r="Y599" s="370"/>
      <c r="Z599" s="370"/>
      <c r="AA599" s="370"/>
      <c r="AB599" s="370"/>
      <c r="AC599" s="370"/>
      <c r="AD599" s="370"/>
      <c r="AE599" s="370"/>
      <c r="AF599" s="370"/>
      <c r="AG599" s="370"/>
      <c r="AH599" s="370"/>
      <c r="AI599" s="370"/>
      <c r="AJ599" s="370"/>
      <c r="AL599" s="219"/>
      <c r="AM599" s="219"/>
      <c r="AN599" s="219"/>
      <c r="AO599" s="116"/>
      <c r="AP599" s="116"/>
      <c r="AU599" s="332"/>
      <c r="AV599" s="332"/>
      <c r="AW599" s="332"/>
      <c r="AX599" s="332"/>
      <c r="AY599" s="332"/>
      <c r="AZ599" s="332"/>
      <c r="BA599" s="332"/>
      <c r="BB599" s="31"/>
      <c r="BC599" s="31"/>
      <c r="BD599" s="31"/>
      <c r="BE599" s="31"/>
    </row>
    <row r="600" spans="1:57" ht="13">
      <c r="A600" s="153"/>
      <c r="F600" s="153"/>
      <c r="G600" s="116"/>
      <c r="H600" s="116"/>
      <c r="I600" s="116"/>
      <c r="J600" s="116"/>
      <c r="K600" s="219"/>
      <c r="L600" s="116"/>
      <c r="M600" s="31"/>
      <c r="N600" s="336"/>
      <c r="O600" s="336"/>
      <c r="P600" s="219"/>
      <c r="Q600" s="332"/>
      <c r="R600" s="219"/>
      <c r="S600" s="332"/>
      <c r="T600" s="219"/>
      <c r="U600" s="332"/>
      <c r="V600" s="332"/>
      <c r="W600" s="370"/>
      <c r="X600" s="370"/>
      <c r="Y600" s="370"/>
      <c r="Z600" s="370"/>
      <c r="AA600" s="370"/>
      <c r="AB600" s="370"/>
      <c r="AC600" s="370"/>
      <c r="AD600" s="370"/>
      <c r="AE600" s="370"/>
      <c r="AF600" s="370"/>
      <c r="AG600" s="370"/>
      <c r="AH600" s="370"/>
      <c r="AI600" s="370"/>
      <c r="AJ600" s="370"/>
      <c r="AL600" s="219"/>
      <c r="AM600" s="219"/>
      <c r="AN600" s="219"/>
      <c r="AO600" s="116"/>
      <c r="AP600" s="116"/>
      <c r="AU600" s="332"/>
      <c r="AV600" s="332"/>
      <c r="AW600" s="332"/>
      <c r="AX600" s="332"/>
      <c r="AY600" s="332"/>
      <c r="AZ600" s="332"/>
      <c r="BA600" s="332"/>
      <c r="BB600" s="31"/>
      <c r="BC600" s="31"/>
      <c r="BD600" s="31"/>
      <c r="BE600" s="31"/>
    </row>
    <row r="601" spans="1:57" ht="13">
      <c r="A601" s="153"/>
      <c r="F601" s="153"/>
      <c r="G601" s="116"/>
      <c r="H601" s="116"/>
      <c r="I601" s="116"/>
      <c r="J601" s="116"/>
      <c r="K601" s="219"/>
      <c r="L601" s="116"/>
      <c r="M601" s="31"/>
      <c r="N601" s="336"/>
      <c r="O601" s="336"/>
      <c r="P601" s="219"/>
      <c r="Q601" s="332"/>
      <c r="R601" s="219"/>
      <c r="S601" s="332"/>
      <c r="T601" s="219"/>
      <c r="U601" s="332"/>
      <c r="V601" s="332"/>
      <c r="W601" s="370"/>
      <c r="X601" s="370"/>
      <c r="Y601" s="370"/>
      <c r="Z601" s="370"/>
      <c r="AA601" s="370"/>
      <c r="AB601" s="370"/>
      <c r="AC601" s="370"/>
      <c r="AD601" s="370"/>
      <c r="AE601" s="370"/>
      <c r="AF601" s="370"/>
      <c r="AG601" s="370"/>
      <c r="AH601" s="370"/>
      <c r="AI601" s="370"/>
      <c r="AJ601" s="370"/>
      <c r="AL601" s="219"/>
      <c r="AM601" s="219"/>
      <c r="AN601" s="219"/>
      <c r="AO601" s="116"/>
      <c r="AP601" s="116"/>
      <c r="AU601" s="332"/>
      <c r="AV601" s="332"/>
      <c r="AW601" s="332"/>
      <c r="AX601" s="332"/>
      <c r="AY601" s="332"/>
      <c r="AZ601" s="332"/>
      <c r="BA601" s="332"/>
      <c r="BB601" s="31"/>
      <c r="BC601" s="31"/>
      <c r="BD601" s="31"/>
      <c r="BE601" s="31"/>
    </row>
    <row r="602" spans="1:57" ht="13">
      <c r="A602" s="153"/>
      <c r="F602" s="153"/>
      <c r="G602" s="116"/>
      <c r="H602" s="116"/>
      <c r="I602" s="116"/>
      <c r="J602" s="116"/>
      <c r="K602" s="219"/>
      <c r="L602" s="116"/>
      <c r="M602" s="31"/>
      <c r="N602" s="336"/>
      <c r="O602" s="336"/>
      <c r="P602" s="219"/>
      <c r="Q602" s="332"/>
      <c r="R602" s="219"/>
      <c r="S602" s="332"/>
      <c r="T602" s="219"/>
      <c r="U602" s="332"/>
      <c r="V602" s="332"/>
      <c r="W602" s="370"/>
      <c r="X602" s="370"/>
      <c r="Y602" s="370"/>
      <c r="Z602" s="370"/>
      <c r="AA602" s="370"/>
      <c r="AB602" s="370"/>
      <c r="AC602" s="370"/>
      <c r="AD602" s="370"/>
      <c r="AE602" s="370"/>
      <c r="AF602" s="370"/>
      <c r="AG602" s="370"/>
      <c r="AH602" s="370"/>
      <c r="AI602" s="370"/>
      <c r="AJ602" s="370"/>
      <c r="AL602" s="219"/>
      <c r="AM602" s="219"/>
      <c r="AN602" s="219"/>
      <c r="AO602" s="116"/>
      <c r="AP602" s="116"/>
      <c r="AU602" s="332"/>
      <c r="AV602" s="332"/>
      <c r="AW602" s="332"/>
      <c r="AX602" s="332"/>
      <c r="AY602" s="332"/>
      <c r="AZ602" s="332"/>
      <c r="BA602" s="332"/>
      <c r="BB602" s="31"/>
      <c r="BC602" s="31"/>
      <c r="BD602" s="31"/>
      <c r="BE602" s="31"/>
    </row>
    <row r="603" spans="1:57" ht="13">
      <c r="A603" s="153"/>
      <c r="F603" s="153"/>
      <c r="G603" s="116"/>
      <c r="H603" s="116"/>
      <c r="I603" s="116"/>
      <c r="J603" s="116"/>
      <c r="K603" s="219"/>
      <c r="L603" s="116"/>
      <c r="M603" s="31"/>
      <c r="N603" s="336"/>
      <c r="O603" s="336"/>
      <c r="P603" s="219"/>
      <c r="Q603" s="332"/>
      <c r="R603" s="219"/>
      <c r="S603" s="332"/>
      <c r="T603" s="219"/>
      <c r="U603" s="332"/>
      <c r="V603" s="332"/>
      <c r="W603" s="370"/>
      <c r="X603" s="370"/>
      <c r="Y603" s="370"/>
      <c r="Z603" s="370"/>
      <c r="AA603" s="370"/>
      <c r="AB603" s="370"/>
      <c r="AC603" s="370"/>
      <c r="AD603" s="370"/>
      <c r="AE603" s="370"/>
      <c r="AF603" s="370"/>
      <c r="AG603" s="370"/>
      <c r="AH603" s="370"/>
      <c r="AI603" s="370"/>
      <c r="AJ603" s="370"/>
      <c r="AL603" s="219"/>
      <c r="AM603" s="219"/>
      <c r="AN603" s="219"/>
      <c r="AO603" s="116"/>
      <c r="AP603" s="116"/>
      <c r="AU603" s="332"/>
      <c r="AV603" s="332"/>
      <c r="AW603" s="332"/>
      <c r="AX603" s="332"/>
      <c r="AY603" s="332"/>
      <c r="AZ603" s="332"/>
      <c r="BA603" s="332"/>
      <c r="BB603" s="31"/>
      <c r="BC603" s="31"/>
      <c r="BD603" s="31"/>
      <c r="BE603" s="31"/>
    </row>
    <row r="604" spans="1:57" ht="13">
      <c r="A604" s="153"/>
      <c r="F604" s="153"/>
      <c r="G604" s="116"/>
      <c r="H604" s="116"/>
      <c r="I604" s="116"/>
      <c r="J604" s="116"/>
      <c r="K604" s="219"/>
      <c r="L604" s="116"/>
      <c r="M604" s="31"/>
      <c r="N604" s="336"/>
      <c r="O604" s="336"/>
      <c r="P604" s="219"/>
      <c r="Q604" s="332"/>
      <c r="R604" s="219"/>
      <c r="S604" s="332"/>
      <c r="T604" s="219"/>
      <c r="U604" s="332"/>
      <c r="V604" s="332"/>
      <c r="W604" s="370"/>
      <c r="X604" s="370"/>
      <c r="Y604" s="370"/>
      <c r="Z604" s="370"/>
      <c r="AA604" s="370"/>
      <c r="AB604" s="370"/>
      <c r="AC604" s="370"/>
      <c r="AD604" s="370"/>
      <c r="AE604" s="370"/>
      <c r="AF604" s="370"/>
      <c r="AG604" s="370"/>
      <c r="AH604" s="370"/>
      <c r="AI604" s="370"/>
      <c r="AJ604" s="370"/>
      <c r="AL604" s="219"/>
      <c r="AM604" s="219"/>
      <c r="AN604" s="219"/>
      <c r="AO604" s="116"/>
      <c r="AP604" s="116"/>
      <c r="AU604" s="332"/>
      <c r="AV604" s="332"/>
      <c r="AW604" s="332"/>
      <c r="AX604" s="332"/>
      <c r="AY604" s="332"/>
      <c r="AZ604" s="332"/>
      <c r="BA604" s="332"/>
      <c r="BB604" s="31"/>
      <c r="BC604" s="31"/>
      <c r="BD604" s="31"/>
      <c r="BE604" s="31"/>
    </row>
    <row r="605" spans="1:57" ht="13">
      <c r="A605" s="153"/>
      <c r="F605" s="153"/>
      <c r="G605" s="116"/>
      <c r="H605" s="116"/>
      <c r="I605" s="116"/>
      <c r="J605" s="116"/>
      <c r="K605" s="219"/>
      <c r="L605" s="116"/>
      <c r="M605" s="31"/>
      <c r="N605" s="336"/>
      <c r="O605" s="336"/>
      <c r="P605" s="219"/>
      <c r="Q605" s="332"/>
      <c r="R605" s="219"/>
      <c r="S605" s="332"/>
      <c r="T605" s="219"/>
      <c r="U605" s="332"/>
      <c r="V605" s="332"/>
      <c r="W605" s="370"/>
      <c r="X605" s="370"/>
      <c r="Y605" s="370"/>
      <c r="Z605" s="370"/>
      <c r="AA605" s="370"/>
      <c r="AB605" s="370"/>
      <c r="AC605" s="370"/>
      <c r="AD605" s="370"/>
      <c r="AE605" s="370"/>
      <c r="AF605" s="370"/>
      <c r="AG605" s="370"/>
      <c r="AH605" s="370"/>
      <c r="AI605" s="370"/>
      <c r="AJ605" s="370"/>
      <c r="AL605" s="219"/>
      <c r="AM605" s="219"/>
      <c r="AN605" s="219"/>
      <c r="AO605" s="116"/>
      <c r="AP605" s="116"/>
      <c r="AU605" s="332"/>
      <c r="AV605" s="332"/>
      <c r="AW605" s="332"/>
      <c r="AX605" s="332"/>
      <c r="AY605" s="332"/>
      <c r="AZ605" s="332"/>
      <c r="BA605" s="332"/>
      <c r="BB605" s="31"/>
      <c r="BC605" s="31"/>
      <c r="BD605" s="31"/>
      <c r="BE605" s="31"/>
    </row>
    <row r="606" spans="1:57" ht="13">
      <c r="A606" s="153"/>
      <c r="F606" s="153"/>
      <c r="G606" s="116"/>
      <c r="H606" s="116"/>
      <c r="I606" s="116"/>
      <c r="J606" s="116"/>
      <c r="K606" s="219"/>
      <c r="L606" s="116"/>
      <c r="M606" s="31"/>
      <c r="N606" s="336"/>
      <c r="O606" s="336"/>
      <c r="P606" s="219"/>
      <c r="Q606" s="332"/>
      <c r="R606" s="219"/>
      <c r="S606" s="332"/>
      <c r="T606" s="219"/>
      <c r="U606" s="332"/>
      <c r="V606" s="332"/>
      <c r="W606" s="370"/>
      <c r="X606" s="370"/>
      <c r="Y606" s="370"/>
      <c r="Z606" s="370"/>
      <c r="AA606" s="370"/>
      <c r="AB606" s="370"/>
      <c r="AC606" s="370"/>
      <c r="AD606" s="370"/>
      <c r="AE606" s="370"/>
      <c r="AF606" s="370"/>
      <c r="AG606" s="370"/>
      <c r="AH606" s="370"/>
      <c r="AI606" s="370"/>
      <c r="AJ606" s="370"/>
      <c r="AL606" s="219"/>
      <c r="AM606" s="219"/>
      <c r="AN606" s="219"/>
      <c r="AO606" s="116"/>
      <c r="AP606" s="116"/>
      <c r="AU606" s="332"/>
      <c r="AV606" s="332"/>
      <c r="AW606" s="332"/>
      <c r="AX606" s="332"/>
      <c r="AY606" s="332"/>
      <c r="AZ606" s="332"/>
      <c r="BA606" s="332"/>
      <c r="BB606" s="31"/>
      <c r="BC606" s="31"/>
      <c r="BD606" s="31"/>
      <c r="BE606" s="31"/>
    </row>
    <row r="607" spans="1:57" ht="13">
      <c r="A607" s="153"/>
      <c r="F607" s="153"/>
      <c r="G607" s="116"/>
      <c r="H607" s="116"/>
      <c r="I607" s="116"/>
      <c r="J607" s="116"/>
      <c r="K607" s="219"/>
      <c r="L607" s="116"/>
      <c r="M607" s="31"/>
      <c r="N607" s="336"/>
      <c r="O607" s="336"/>
      <c r="P607" s="219"/>
      <c r="Q607" s="332"/>
      <c r="R607" s="219"/>
      <c r="S607" s="332"/>
      <c r="T607" s="219"/>
      <c r="U607" s="332"/>
      <c r="V607" s="332"/>
      <c r="W607" s="370"/>
      <c r="X607" s="370"/>
      <c r="Y607" s="370"/>
      <c r="Z607" s="370"/>
      <c r="AA607" s="370"/>
      <c r="AB607" s="370"/>
      <c r="AC607" s="370"/>
      <c r="AD607" s="370"/>
      <c r="AE607" s="370"/>
      <c r="AF607" s="370"/>
      <c r="AG607" s="370"/>
      <c r="AH607" s="370"/>
      <c r="AI607" s="370"/>
      <c r="AJ607" s="370"/>
      <c r="AL607" s="219"/>
      <c r="AM607" s="219"/>
      <c r="AN607" s="219"/>
      <c r="AO607" s="116"/>
      <c r="AP607" s="116"/>
      <c r="AU607" s="332"/>
      <c r="AV607" s="332"/>
      <c r="AW607" s="332"/>
      <c r="AX607" s="332"/>
      <c r="AY607" s="332"/>
      <c r="AZ607" s="332"/>
      <c r="BA607" s="332"/>
      <c r="BB607" s="31"/>
      <c r="BC607" s="31"/>
      <c r="BD607" s="31"/>
      <c r="BE607" s="31"/>
    </row>
    <row r="608" spans="1:57" ht="13">
      <c r="A608" s="153"/>
      <c r="F608" s="153"/>
      <c r="G608" s="116"/>
      <c r="H608" s="116"/>
      <c r="I608" s="116"/>
      <c r="J608" s="116"/>
      <c r="K608" s="219"/>
      <c r="L608" s="116"/>
      <c r="M608" s="31"/>
      <c r="N608" s="336"/>
      <c r="O608" s="336"/>
      <c r="P608" s="219"/>
      <c r="Q608" s="332"/>
      <c r="R608" s="219"/>
      <c r="S608" s="332"/>
      <c r="T608" s="219"/>
      <c r="U608" s="332"/>
      <c r="V608" s="332"/>
      <c r="W608" s="370"/>
      <c r="X608" s="370"/>
      <c r="Y608" s="370"/>
      <c r="Z608" s="370"/>
      <c r="AA608" s="370"/>
      <c r="AB608" s="370"/>
      <c r="AC608" s="370"/>
      <c r="AD608" s="370"/>
      <c r="AE608" s="370"/>
      <c r="AF608" s="370"/>
      <c r="AG608" s="370"/>
      <c r="AH608" s="370"/>
      <c r="AI608" s="370"/>
      <c r="AJ608" s="370"/>
      <c r="AL608" s="219"/>
      <c r="AM608" s="219"/>
      <c r="AN608" s="219"/>
      <c r="AO608" s="116"/>
      <c r="AP608" s="116"/>
      <c r="AU608" s="332"/>
      <c r="AV608" s="332"/>
      <c r="AW608" s="332"/>
      <c r="AX608" s="332"/>
      <c r="AY608" s="332"/>
      <c r="AZ608" s="332"/>
      <c r="BA608" s="332"/>
      <c r="BB608" s="31"/>
      <c r="BC608" s="31"/>
      <c r="BD608" s="31"/>
      <c r="BE608" s="31"/>
    </row>
    <row r="609" spans="1:57" ht="13">
      <c r="A609" s="153"/>
      <c r="F609" s="153"/>
      <c r="G609" s="116"/>
      <c r="H609" s="116"/>
      <c r="I609" s="116"/>
      <c r="J609" s="116"/>
      <c r="K609" s="219"/>
      <c r="L609" s="116"/>
      <c r="M609" s="31"/>
      <c r="N609" s="336"/>
      <c r="O609" s="336"/>
      <c r="P609" s="219"/>
      <c r="Q609" s="332"/>
      <c r="R609" s="219"/>
      <c r="S609" s="332"/>
      <c r="T609" s="219"/>
      <c r="U609" s="332"/>
      <c r="V609" s="332"/>
      <c r="W609" s="370"/>
      <c r="X609" s="370"/>
      <c r="Y609" s="370"/>
      <c r="Z609" s="370"/>
      <c r="AA609" s="370"/>
      <c r="AB609" s="370"/>
      <c r="AC609" s="370"/>
      <c r="AD609" s="370"/>
      <c r="AE609" s="370"/>
      <c r="AF609" s="370"/>
      <c r="AG609" s="370"/>
      <c r="AH609" s="370"/>
      <c r="AI609" s="370"/>
      <c r="AJ609" s="370"/>
      <c r="AL609" s="219"/>
      <c r="AM609" s="219"/>
      <c r="AN609" s="219"/>
      <c r="AO609" s="116"/>
      <c r="AP609" s="116"/>
      <c r="AU609" s="332"/>
      <c r="AV609" s="332"/>
      <c r="AW609" s="332"/>
      <c r="AX609" s="332"/>
      <c r="AY609" s="332"/>
      <c r="AZ609" s="332"/>
      <c r="BA609" s="332"/>
      <c r="BB609" s="31"/>
      <c r="BC609" s="31"/>
      <c r="BD609" s="31"/>
      <c r="BE609" s="31"/>
    </row>
    <row r="610" spans="1:57" ht="13">
      <c r="A610" s="153"/>
      <c r="F610" s="153"/>
      <c r="G610" s="116"/>
      <c r="H610" s="116"/>
      <c r="I610" s="116"/>
      <c r="J610" s="116"/>
      <c r="K610" s="219"/>
      <c r="L610" s="116"/>
      <c r="M610" s="31"/>
      <c r="N610" s="336"/>
      <c r="O610" s="336"/>
      <c r="P610" s="219"/>
      <c r="Q610" s="332"/>
      <c r="R610" s="219"/>
      <c r="S610" s="332"/>
      <c r="T610" s="219"/>
      <c r="U610" s="332"/>
      <c r="V610" s="332"/>
      <c r="W610" s="370"/>
      <c r="X610" s="370"/>
      <c r="Y610" s="370"/>
      <c r="Z610" s="370"/>
      <c r="AA610" s="370"/>
      <c r="AB610" s="370"/>
      <c r="AC610" s="370"/>
      <c r="AD610" s="370"/>
      <c r="AE610" s="370"/>
      <c r="AF610" s="370"/>
      <c r="AG610" s="370"/>
      <c r="AH610" s="370"/>
      <c r="AI610" s="370"/>
      <c r="AJ610" s="370"/>
      <c r="AL610" s="219"/>
      <c r="AM610" s="219"/>
      <c r="AN610" s="219"/>
      <c r="AO610" s="116"/>
      <c r="AP610" s="116"/>
      <c r="AU610" s="332"/>
      <c r="AV610" s="332"/>
      <c r="AW610" s="332"/>
      <c r="AX610" s="332"/>
      <c r="AY610" s="332"/>
      <c r="AZ610" s="332"/>
      <c r="BA610" s="332"/>
      <c r="BB610" s="31"/>
      <c r="BC610" s="31"/>
      <c r="BD610" s="31"/>
      <c r="BE610" s="31"/>
    </row>
    <row r="611" spans="1:57" ht="13">
      <c r="A611" s="153"/>
      <c r="F611" s="153"/>
      <c r="G611" s="116"/>
      <c r="H611" s="116"/>
      <c r="I611" s="116"/>
      <c r="J611" s="116"/>
      <c r="K611" s="219"/>
      <c r="L611" s="116"/>
      <c r="M611" s="31"/>
      <c r="N611" s="336"/>
      <c r="O611" s="336"/>
      <c r="P611" s="219"/>
      <c r="Q611" s="332"/>
      <c r="R611" s="219"/>
      <c r="S611" s="332"/>
      <c r="T611" s="219"/>
      <c r="U611" s="332"/>
      <c r="V611" s="332"/>
      <c r="W611" s="370"/>
      <c r="X611" s="370"/>
      <c r="Y611" s="370"/>
      <c r="Z611" s="370"/>
      <c r="AA611" s="370"/>
      <c r="AB611" s="370"/>
      <c r="AC611" s="370"/>
      <c r="AD611" s="370"/>
      <c r="AE611" s="370"/>
      <c r="AF611" s="370"/>
      <c r="AG611" s="370"/>
      <c r="AH611" s="370"/>
      <c r="AI611" s="370"/>
      <c r="AJ611" s="370"/>
      <c r="AL611" s="219"/>
      <c r="AM611" s="219"/>
      <c r="AN611" s="219"/>
      <c r="AO611" s="116"/>
      <c r="AP611" s="116"/>
      <c r="AU611" s="332"/>
      <c r="AV611" s="332"/>
      <c r="AW611" s="332"/>
      <c r="AX611" s="332"/>
      <c r="AY611" s="332"/>
      <c r="AZ611" s="332"/>
      <c r="BA611" s="332"/>
      <c r="BB611" s="31"/>
      <c r="BC611" s="31"/>
      <c r="BD611" s="31"/>
      <c r="BE611" s="31"/>
    </row>
    <row r="612" spans="1:57" ht="13">
      <c r="A612" s="153"/>
      <c r="F612" s="153"/>
      <c r="G612" s="116"/>
      <c r="H612" s="116"/>
      <c r="I612" s="116"/>
      <c r="J612" s="116"/>
      <c r="K612" s="219"/>
      <c r="L612" s="116"/>
      <c r="M612" s="31"/>
      <c r="N612" s="336"/>
      <c r="O612" s="336"/>
      <c r="P612" s="219"/>
      <c r="Q612" s="332"/>
      <c r="R612" s="219"/>
      <c r="S612" s="332"/>
      <c r="T612" s="219"/>
      <c r="U612" s="332"/>
      <c r="V612" s="332"/>
      <c r="W612" s="370"/>
      <c r="X612" s="370"/>
      <c r="Y612" s="370"/>
      <c r="Z612" s="370"/>
      <c r="AA612" s="370"/>
      <c r="AB612" s="370"/>
      <c r="AC612" s="370"/>
      <c r="AD612" s="370"/>
      <c r="AE612" s="370"/>
      <c r="AF612" s="370"/>
      <c r="AG612" s="370"/>
      <c r="AH612" s="370"/>
      <c r="AI612" s="370"/>
      <c r="AJ612" s="370"/>
      <c r="AL612" s="219"/>
      <c r="AM612" s="219"/>
      <c r="AN612" s="219"/>
      <c r="AO612" s="116"/>
      <c r="AP612" s="116"/>
      <c r="AU612" s="332"/>
      <c r="AV612" s="332"/>
      <c r="AW612" s="332"/>
      <c r="AX612" s="332"/>
      <c r="AY612" s="332"/>
      <c r="AZ612" s="332"/>
      <c r="BA612" s="332"/>
      <c r="BB612" s="31"/>
      <c r="BC612" s="31"/>
      <c r="BD612" s="31"/>
      <c r="BE612" s="31"/>
    </row>
    <row r="613" spans="1:57" ht="13">
      <c r="A613" s="153"/>
      <c r="F613" s="153"/>
      <c r="G613" s="116"/>
      <c r="H613" s="116"/>
      <c r="I613" s="116"/>
      <c r="J613" s="116"/>
      <c r="K613" s="219"/>
      <c r="L613" s="116"/>
      <c r="M613" s="31"/>
      <c r="N613" s="336"/>
      <c r="O613" s="336"/>
      <c r="P613" s="219"/>
      <c r="Q613" s="332"/>
      <c r="R613" s="219"/>
      <c r="S613" s="332"/>
      <c r="T613" s="219"/>
      <c r="U613" s="332"/>
      <c r="V613" s="332"/>
      <c r="W613" s="370"/>
      <c r="X613" s="370"/>
      <c r="Y613" s="370"/>
      <c r="Z613" s="370"/>
      <c r="AA613" s="370"/>
      <c r="AB613" s="370"/>
      <c r="AC613" s="370"/>
      <c r="AD613" s="370"/>
      <c r="AE613" s="370"/>
      <c r="AF613" s="370"/>
      <c r="AG613" s="370"/>
      <c r="AH613" s="370"/>
      <c r="AI613" s="370"/>
      <c r="AJ613" s="370"/>
      <c r="AL613" s="219"/>
      <c r="AM613" s="219"/>
      <c r="AN613" s="219"/>
      <c r="AO613" s="116"/>
      <c r="AP613" s="116"/>
      <c r="AU613" s="332"/>
      <c r="AV613" s="332"/>
      <c r="AW613" s="332"/>
      <c r="AX613" s="332"/>
      <c r="AY613" s="332"/>
      <c r="AZ613" s="332"/>
      <c r="BA613" s="332"/>
      <c r="BB613" s="31"/>
      <c r="BC613" s="31"/>
      <c r="BD613" s="31"/>
      <c r="BE613" s="31"/>
    </row>
    <row r="614" spans="1:57" ht="13">
      <c r="A614" s="153"/>
      <c r="F614" s="153"/>
      <c r="G614" s="116"/>
      <c r="H614" s="116"/>
      <c r="I614" s="116"/>
      <c r="J614" s="116"/>
      <c r="K614" s="219"/>
      <c r="L614" s="116"/>
      <c r="M614" s="31"/>
      <c r="N614" s="336"/>
      <c r="O614" s="336"/>
      <c r="P614" s="219"/>
      <c r="Q614" s="332"/>
      <c r="R614" s="219"/>
      <c r="S614" s="332"/>
      <c r="T614" s="219"/>
      <c r="U614" s="332"/>
      <c r="V614" s="332"/>
      <c r="W614" s="370"/>
      <c r="X614" s="370"/>
      <c r="Y614" s="370"/>
      <c r="Z614" s="370"/>
      <c r="AA614" s="370"/>
      <c r="AB614" s="370"/>
      <c r="AC614" s="370"/>
      <c r="AD614" s="370"/>
      <c r="AE614" s="370"/>
      <c r="AF614" s="370"/>
      <c r="AG614" s="370"/>
      <c r="AH614" s="370"/>
      <c r="AI614" s="370"/>
      <c r="AJ614" s="370"/>
      <c r="AL614" s="219"/>
      <c r="AM614" s="219"/>
      <c r="AN614" s="219"/>
      <c r="AO614" s="116"/>
      <c r="AP614" s="116"/>
      <c r="AU614" s="332"/>
      <c r="AV614" s="332"/>
      <c r="AW614" s="332"/>
      <c r="AX614" s="332"/>
      <c r="AY614" s="332"/>
      <c r="AZ614" s="332"/>
      <c r="BA614" s="332"/>
      <c r="BB614" s="31"/>
      <c r="BC614" s="31"/>
      <c r="BD614" s="31"/>
      <c r="BE614" s="31"/>
    </row>
    <row r="615" spans="1:57" ht="13">
      <c r="A615" s="153"/>
      <c r="F615" s="153"/>
      <c r="G615" s="116"/>
      <c r="H615" s="116"/>
      <c r="I615" s="116"/>
      <c r="J615" s="116"/>
      <c r="K615" s="219"/>
      <c r="L615" s="116"/>
      <c r="M615" s="31"/>
      <c r="N615" s="336"/>
      <c r="O615" s="336"/>
      <c r="P615" s="219"/>
      <c r="Q615" s="332"/>
      <c r="R615" s="219"/>
      <c r="S615" s="332"/>
      <c r="T615" s="219"/>
      <c r="U615" s="332"/>
      <c r="V615" s="332"/>
      <c r="W615" s="370"/>
      <c r="X615" s="370"/>
      <c r="Y615" s="370"/>
      <c r="Z615" s="370"/>
      <c r="AA615" s="370"/>
      <c r="AB615" s="370"/>
      <c r="AC615" s="370"/>
      <c r="AD615" s="370"/>
      <c r="AE615" s="370"/>
      <c r="AF615" s="370"/>
      <c r="AG615" s="370"/>
      <c r="AH615" s="370"/>
      <c r="AI615" s="370"/>
      <c r="AJ615" s="370"/>
      <c r="AL615" s="219"/>
      <c r="AM615" s="219"/>
      <c r="AN615" s="219"/>
      <c r="AO615" s="116"/>
      <c r="AP615" s="116"/>
      <c r="AU615" s="332"/>
      <c r="AV615" s="332"/>
      <c r="AW615" s="332"/>
      <c r="AX615" s="332"/>
      <c r="AY615" s="332"/>
      <c r="AZ615" s="332"/>
      <c r="BA615" s="332"/>
      <c r="BB615" s="31"/>
      <c r="BC615" s="31"/>
      <c r="BD615" s="31"/>
      <c r="BE615" s="31"/>
    </row>
    <row r="616" spans="1:57" ht="13">
      <c r="A616" s="153"/>
      <c r="F616" s="153"/>
      <c r="G616" s="116"/>
      <c r="H616" s="116"/>
      <c r="I616" s="116"/>
      <c r="J616" s="116"/>
      <c r="K616" s="219"/>
      <c r="L616" s="116"/>
      <c r="M616" s="31"/>
      <c r="N616" s="336"/>
      <c r="O616" s="336"/>
      <c r="P616" s="219"/>
      <c r="Q616" s="332"/>
      <c r="R616" s="219"/>
      <c r="S616" s="332"/>
      <c r="T616" s="219"/>
      <c r="U616" s="332"/>
      <c r="V616" s="332"/>
      <c r="W616" s="370"/>
      <c r="X616" s="370"/>
      <c r="Y616" s="370"/>
      <c r="Z616" s="370"/>
      <c r="AA616" s="370"/>
      <c r="AB616" s="370"/>
      <c r="AC616" s="370"/>
      <c r="AD616" s="370"/>
      <c r="AE616" s="370"/>
      <c r="AF616" s="370"/>
      <c r="AG616" s="370"/>
      <c r="AH616" s="370"/>
      <c r="AI616" s="370"/>
      <c r="AJ616" s="370"/>
      <c r="AL616" s="219"/>
      <c r="AM616" s="219"/>
      <c r="AN616" s="219"/>
      <c r="AO616" s="116"/>
      <c r="AP616" s="116"/>
      <c r="AU616" s="332"/>
      <c r="AV616" s="332"/>
      <c r="AW616" s="332"/>
      <c r="AX616" s="332"/>
      <c r="AY616" s="332"/>
      <c r="AZ616" s="332"/>
      <c r="BA616" s="332"/>
      <c r="BB616" s="31"/>
      <c r="BC616" s="31"/>
      <c r="BD616" s="31"/>
      <c r="BE616" s="31"/>
    </row>
    <row r="617" spans="1:57" ht="13">
      <c r="A617" s="153"/>
      <c r="F617" s="153"/>
      <c r="G617" s="116"/>
      <c r="H617" s="116"/>
      <c r="I617" s="116"/>
      <c r="J617" s="116"/>
      <c r="K617" s="219"/>
      <c r="L617" s="116"/>
      <c r="M617" s="31"/>
      <c r="N617" s="336"/>
      <c r="O617" s="336"/>
      <c r="P617" s="219"/>
      <c r="Q617" s="332"/>
      <c r="R617" s="219"/>
      <c r="S617" s="332"/>
      <c r="T617" s="219"/>
      <c r="U617" s="332"/>
      <c r="V617" s="332"/>
      <c r="W617" s="370"/>
      <c r="X617" s="370"/>
      <c r="Y617" s="370"/>
      <c r="Z617" s="370"/>
      <c r="AA617" s="370"/>
      <c r="AB617" s="370"/>
      <c r="AC617" s="370"/>
      <c r="AD617" s="370"/>
      <c r="AE617" s="370"/>
      <c r="AF617" s="370"/>
      <c r="AG617" s="370"/>
      <c r="AH617" s="370"/>
      <c r="AI617" s="370"/>
      <c r="AJ617" s="370"/>
      <c r="AL617" s="219"/>
      <c r="AM617" s="219"/>
      <c r="AN617" s="219"/>
      <c r="AO617" s="116"/>
      <c r="AP617" s="116"/>
      <c r="AU617" s="332"/>
      <c r="AV617" s="332"/>
      <c r="AW617" s="332"/>
      <c r="AX617" s="332"/>
      <c r="AY617" s="332"/>
      <c r="AZ617" s="332"/>
      <c r="BA617" s="332"/>
      <c r="BB617" s="31"/>
      <c r="BC617" s="31"/>
      <c r="BD617" s="31"/>
      <c r="BE617" s="31"/>
    </row>
    <row r="618" spans="1:57" ht="13">
      <c r="A618" s="153"/>
      <c r="F618" s="153"/>
      <c r="G618" s="116"/>
      <c r="H618" s="116"/>
      <c r="I618" s="116"/>
      <c r="J618" s="116"/>
      <c r="K618" s="219"/>
      <c r="L618" s="116"/>
      <c r="M618" s="31"/>
      <c r="N618" s="336"/>
      <c r="O618" s="336"/>
      <c r="P618" s="219"/>
      <c r="Q618" s="332"/>
      <c r="R618" s="219"/>
      <c r="S618" s="332"/>
      <c r="T618" s="219"/>
      <c r="U618" s="332"/>
      <c r="V618" s="332"/>
      <c r="W618" s="370"/>
      <c r="X618" s="370"/>
      <c r="Y618" s="370"/>
      <c r="Z618" s="370"/>
      <c r="AA618" s="370"/>
      <c r="AB618" s="370"/>
      <c r="AC618" s="370"/>
      <c r="AD618" s="370"/>
      <c r="AE618" s="370"/>
      <c r="AF618" s="370"/>
      <c r="AG618" s="370"/>
      <c r="AH618" s="370"/>
      <c r="AI618" s="370"/>
      <c r="AJ618" s="370"/>
      <c r="AL618" s="219"/>
      <c r="AM618" s="219"/>
      <c r="AN618" s="219"/>
      <c r="AO618" s="116"/>
      <c r="AP618" s="116"/>
      <c r="AU618" s="332"/>
      <c r="AV618" s="332"/>
      <c r="AW618" s="332"/>
      <c r="AX618" s="332"/>
      <c r="AY618" s="332"/>
      <c r="AZ618" s="332"/>
      <c r="BA618" s="332"/>
      <c r="BB618" s="31"/>
      <c r="BC618" s="31"/>
      <c r="BD618" s="31"/>
      <c r="BE618" s="31"/>
    </row>
    <row r="619" spans="1:57" ht="13">
      <c r="A619" s="153"/>
      <c r="F619" s="153"/>
      <c r="G619" s="116"/>
      <c r="H619" s="116"/>
      <c r="I619" s="116"/>
      <c r="J619" s="116"/>
      <c r="K619" s="219"/>
      <c r="L619" s="116"/>
      <c r="M619" s="31"/>
      <c r="N619" s="336"/>
      <c r="O619" s="336"/>
      <c r="P619" s="219"/>
      <c r="Q619" s="332"/>
      <c r="R619" s="219"/>
      <c r="S619" s="332"/>
      <c r="T619" s="219"/>
      <c r="U619" s="332"/>
      <c r="V619" s="332"/>
      <c r="W619" s="370"/>
      <c r="X619" s="370"/>
      <c r="Y619" s="370"/>
      <c r="Z619" s="370"/>
      <c r="AA619" s="370"/>
      <c r="AB619" s="370"/>
      <c r="AC619" s="370"/>
      <c r="AD619" s="370"/>
      <c r="AE619" s="370"/>
      <c r="AF619" s="370"/>
      <c r="AG619" s="370"/>
      <c r="AH619" s="370"/>
      <c r="AI619" s="370"/>
      <c r="AJ619" s="370"/>
      <c r="AL619" s="219"/>
      <c r="AM619" s="219"/>
      <c r="AN619" s="219"/>
      <c r="AO619" s="116"/>
      <c r="AP619" s="116"/>
      <c r="AU619" s="332"/>
      <c r="AV619" s="332"/>
      <c r="AW619" s="332"/>
      <c r="AX619" s="332"/>
      <c r="AY619" s="332"/>
      <c r="AZ619" s="332"/>
      <c r="BA619" s="332"/>
      <c r="BB619" s="31"/>
      <c r="BC619" s="31"/>
      <c r="BD619" s="31"/>
      <c r="BE619" s="31"/>
    </row>
    <row r="620" spans="1:57" ht="13">
      <c r="A620" s="153"/>
      <c r="F620" s="153"/>
      <c r="G620" s="116"/>
      <c r="H620" s="116"/>
      <c r="I620" s="116"/>
      <c r="J620" s="116"/>
      <c r="K620" s="219"/>
      <c r="L620" s="116"/>
      <c r="M620" s="31"/>
      <c r="N620" s="336"/>
      <c r="O620" s="336"/>
      <c r="P620" s="219"/>
      <c r="Q620" s="332"/>
      <c r="R620" s="219"/>
      <c r="S620" s="332"/>
      <c r="T620" s="219"/>
      <c r="U620" s="332"/>
      <c r="V620" s="332"/>
      <c r="W620" s="370"/>
      <c r="X620" s="370"/>
      <c r="Y620" s="370"/>
      <c r="Z620" s="370"/>
      <c r="AA620" s="370"/>
      <c r="AB620" s="370"/>
      <c r="AC620" s="370"/>
      <c r="AD620" s="370"/>
      <c r="AE620" s="370"/>
      <c r="AF620" s="370"/>
      <c r="AG620" s="370"/>
      <c r="AH620" s="370"/>
      <c r="AI620" s="370"/>
      <c r="AJ620" s="370"/>
      <c r="AL620" s="219"/>
      <c r="AM620" s="219"/>
      <c r="AN620" s="219"/>
      <c r="AO620" s="116"/>
      <c r="AP620" s="116"/>
      <c r="AU620" s="332"/>
      <c r="AV620" s="332"/>
      <c r="AW620" s="332"/>
      <c r="AX620" s="332"/>
      <c r="AY620" s="332"/>
      <c r="AZ620" s="332"/>
      <c r="BA620" s="332"/>
      <c r="BB620" s="31"/>
      <c r="BC620" s="31"/>
      <c r="BD620" s="31"/>
      <c r="BE620" s="31"/>
    </row>
    <row r="621" spans="1:57" ht="13">
      <c r="A621" s="153"/>
      <c r="F621" s="153"/>
      <c r="G621" s="116"/>
      <c r="H621" s="116"/>
      <c r="I621" s="116"/>
      <c r="J621" s="116"/>
      <c r="K621" s="219"/>
      <c r="L621" s="116"/>
      <c r="M621" s="31"/>
      <c r="N621" s="336"/>
      <c r="O621" s="336"/>
      <c r="P621" s="219"/>
      <c r="Q621" s="332"/>
      <c r="R621" s="219"/>
      <c r="S621" s="332"/>
      <c r="T621" s="219"/>
      <c r="U621" s="332"/>
      <c r="V621" s="332"/>
      <c r="W621" s="370"/>
      <c r="X621" s="370"/>
      <c r="Y621" s="370"/>
      <c r="Z621" s="370"/>
      <c r="AA621" s="370"/>
      <c r="AB621" s="370"/>
      <c r="AC621" s="370"/>
      <c r="AD621" s="370"/>
      <c r="AE621" s="370"/>
      <c r="AF621" s="370"/>
      <c r="AG621" s="370"/>
      <c r="AH621" s="370"/>
      <c r="AI621" s="370"/>
      <c r="AJ621" s="370"/>
      <c r="AL621" s="219"/>
      <c r="AM621" s="219"/>
      <c r="AN621" s="219"/>
      <c r="AO621" s="116"/>
      <c r="AP621" s="116"/>
      <c r="AU621" s="332"/>
      <c r="AV621" s="332"/>
      <c r="AW621" s="332"/>
      <c r="AX621" s="332"/>
      <c r="AY621" s="332"/>
      <c r="AZ621" s="332"/>
      <c r="BA621" s="332"/>
      <c r="BB621" s="31"/>
      <c r="BC621" s="31"/>
      <c r="BD621" s="31"/>
      <c r="BE621" s="31"/>
    </row>
    <row r="622" spans="1:57" ht="13">
      <c r="A622" s="153"/>
      <c r="F622" s="153"/>
      <c r="G622" s="116"/>
      <c r="H622" s="116"/>
      <c r="I622" s="116"/>
      <c r="J622" s="116"/>
      <c r="K622" s="219"/>
      <c r="L622" s="116"/>
      <c r="M622" s="31"/>
      <c r="N622" s="336"/>
      <c r="O622" s="336"/>
      <c r="P622" s="219"/>
      <c r="Q622" s="332"/>
      <c r="R622" s="219"/>
      <c r="S622" s="332"/>
      <c r="T622" s="219"/>
      <c r="U622" s="332"/>
      <c r="V622" s="332"/>
      <c r="W622" s="370"/>
      <c r="X622" s="370"/>
      <c r="Y622" s="370"/>
      <c r="Z622" s="370"/>
      <c r="AA622" s="370"/>
      <c r="AB622" s="370"/>
      <c r="AC622" s="370"/>
      <c r="AD622" s="370"/>
      <c r="AE622" s="370"/>
      <c r="AF622" s="370"/>
      <c r="AG622" s="370"/>
      <c r="AH622" s="370"/>
      <c r="AI622" s="370"/>
      <c r="AJ622" s="370"/>
      <c r="AL622" s="219"/>
      <c r="AM622" s="219"/>
      <c r="AN622" s="219"/>
      <c r="AO622" s="116"/>
      <c r="AP622" s="116"/>
      <c r="AU622" s="332"/>
      <c r="AV622" s="332"/>
      <c r="AW622" s="332"/>
      <c r="AX622" s="332"/>
      <c r="AY622" s="332"/>
      <c r="AZ622" s="332"/>
      <c r="BA622" s="332"/>
      <c r="BB622" s="31"/>
      <c r="BC622" s="31"/>
      <c r="BD622" s="31"/>
      <c r="BE622" s="31"/>
    </row>
    <row r="623" spans="1:57" ht="13">
      <c r="A623" s="153"/>
      <c r="F623" s="153"/>
      <c r="G623" s="116"/>
      <c r="H623" s="116"/>
      <c r="I623" s="116"/>
      <c r="J623" s="116"/>
      <c r="K623" s="219"/>
      <c r="L623" s="116"/>
      <c r="M623" s="31"/>
      <c r="N623" s="336"/>
      <c r="O623" s="336"/>
      <c r="P623" s="219"/>
      <c r="Q623" s="332"/>
      <c r="R623" s="219"/>
      <c r="S623" s="332"/>
      <c r="T623" s="219"/>
      <c r="U623" s="332"/>
      <c r="V623" s="332"/>
      <c r="W623" s="370"/>
      <c r="X623" s="370"/>
      <c r="Y623" s="370"/>
      <c r="Z623" s="370"/>
      <c r="AA623" s="370"/>
      <c r="AB623" s="370"/>
      <c r="AC623" s="370"/>
      <c r="AD623" s="370"/>
      <c r="AE623" s="370"/>
      <c r="AF623" s="370"/>
      <c r="AG623" s="370"/>
      <c r="AH623" s="370"/>
      <c r="AI623" s="370"/>
      <c r="AJ623" s="370"/>
      <c r="AL623" s="219"/>
      <c r="AM623" s="219"/>
      <c r="AN623" s="219"/>
      <c r="AO623" s="116"/>
      <c r="AP623" s="116"/>
      <c r="AU623" s="332"/>
      <c r="AV623" s="332"/>
      <c r="AW623" s="332"/>
      <c r="AX623" s="332"/>
      <c r="AY623" s="332"/>
      <c r="AZ623" s="332"/>
      <c r="BA623" s="332"/>
      <c r="BB623" s="31"/>
      <c r="BC623" s="31"/>
      <c r="BD623" s="31"/>
      <c r="BE623" s="31"/>
    </row>
    <row r="624" spans="1:57" ht="13">
      <c r="A624" s="153"/>
      <c r="F624" s="153"/>
      <c r="G624" s="116"/>
      <c r="H624" s="116"/>
      <c r="I624" s="116"/>
      <c r="J624" s="116"/>
      <c r="K624" s="219"/>
      <c r="L624" s="116"/>
      <c r="M624" s="31"/>
      <c r="N624" s="336"/>
      <c r="O624" s="336"/>
      <c r="P624" s="219"/>
      <c r="Q624" s="332"/>
      <c r="R624" s="219"/>
      <c r="S624" s="332"/>
      <c r="T624" s="219"/>
      <c r="U624" s="332"/>
      <c r="V624" s="332"/>
      <c r="W624" s="370"/>
      <c r="X624" s="370"/>
      <c r="Y624" s="370"/>
      <c r="Z624" s="370"/>
      <c r="AA624" s="370"/>
      <c r="AB624" s="370"/>
      <c r="AC624" s="370"/>
      <c r="AD624" s="370"/>
      <c r="AE624" s="370"/>
      <c r="AF624" s="370"/>
      <c r="AG624" s="370"/>
      <c r="AH624" s="370"/>
      <c r="AI624" s="370"/>
      <c r="AJ624" s="370"/>
      <c r="AL624" s="219"/>
      <c r="AM624" s="219"/>
      <c r="AN624" s="219"/>
      <c r="AO624" s="116"/>
      <c r="AP624" s="116"/>
      <c r="AU624" s="332"/>
      <c r="AV624" s="332"/>
      <c r="AW624" s="332"/>
      <c r="AX624" s="332"/>
      <c r="AY624" s="332"/>
      <c r="AZ624" s="332"/>
      <c r="BA624" s="332"/>
      <c r="BB624" s="31"/>
      <c r="BC624" s="31"/>
      <c r="BD624" s="31"/>
      <c r="BE624" s="31"/>
    </row>
    <row r="625" spans="1:57" ht="13">
      <c r="A625" s="153"/>
      <c r="F625" s="153"/>
      <c r="G625" s="116"/>
      <c r="H625" s="116"/>
      <c r="I625" s="116"/>
      <c r="J625" s="116"/>
      <c r="K625" s="219"/>
      <c r="L625" s="116"/>
      <c r="M625" s="31"/>
      <c r="N625" s="336"/>
      <c r="O625" s="336"/>
      <c r="P625" s="219"/>
      <c r="Q625" s="332"/>
      <c r="R625" s="219"/>
      <c r="S625" s="332"/>
      <c r="T625" s="219"/>
      <c r="U625" s="332"/>
      <c r="V625" s="332"/>
      <c r="W625" s="370"/>
      <c r="X625" s="370"/>
      <c r="Y625" s="370"/>
      <c r="Z625" s="370"/>
      <c r="AA625" s="370"/>
      <c r="AB625" s="370"/>
      <c r="AC625" s="370"/>
      <c r="AD625" s="370"/>
      <c r="AE625" s="370"/>
      <c r="AF625" s="370"/>
      <c r="AG625" s="370"/>
      <c r="AH625" s="370"/>
      <c r="AI625" s="370"/>
      <c r="AJ625" s="370"/>
      <c r="AL625" s="219"/>
      <c r="AM625" s="219"/>
      <c r="AN625" s="219"/>
      <c r="AO625" s="116"/>
      <c r="AP625" s="116"/>
      <c r="AU625" s="332"/>
      <c r="AV625" s="332"/>
      <c r="AW625" s="332"/>
      <c r="AX625" s="332"/>
      <c r="AY625" s="332"/>
      <c r="AZ625" s="332"/>
      <c r="BA625" s="332"/>
      <c r="BB625" s="31"/>
      <c r="BC625" s="31"/>
      <c r="BD625" s="31"/>
      <c r="BE625" s="31"/>
    </row>
    <row r="626" spans="1:57" ht="13">
      <c r="A626" s="153"/>
      <c r="F626" s="153"/>
      <c r="G626" s="116"/>
      <c r="H626" s="116"/>
      <c r="I626" s="116"/>
      <c r="J626" s="116"/>
      <c r="K626" s="219"/>
      <c r="L626" s="116"/>
      <c r="M626" s="31"/>
      <c r="N626" s="336"/>
      <c r="O626" s="336"/>
      <c r="P626" s="219"/>
      <c r="Q626" s="332"/>
      <c r="R626" s="219"/>
      <c r="S626" s="332"/>
      <c r="T626" s="219"/>
      <c r="U626" s="332"/>
      <c r="V626" s="332"/>
      <c r="W626" s="370"/>
      <c r="X626" s="370"/>
      <c r="Y626" s="370"/>
      <c r="Z626" s="370"/>
      <c r="AA626" s="370"/>
      <c r="AB626" s="370"/>
      <c r="AC626" s="370"/>
      <c r="AD626" s="370"/>
      <c r="AE626" s="370"/>
      <c r="AF626" s="370"/>
      <c r="AG626" s="370"/>
      <c r="AH626" s="370"/>
      <c r="AI626" s="370"/>
      <c r="AJ626" s="370"/>
      <c r="AL626" s="219"/>
      <c r="AM626" s="219"/>
      <c r="AN626" s="219"/>
      <c r="AO626" s="116"/>
      <c r="AP626" s="116"/>
      <c r="AU626" s="332"/>
      <c r="AV626" s="332"/>
      <c r="AW626" s="332"/>
      <c r="AX626" s="332"/>
      <c r="AY626" s="332"/>
      <c r="AZ626" s="332"/>
      <c r="BA626" s="332"/>
      <c r="BB626" s="31"/>
      <c r="BC626" s="31"/>
      <c r="BD626" s="31"/>
      <c r="BE626" s="31"/>
    </row>
    <row r="627" spans="1:57" ht="13">
      <c r="A627" s="153"/>
      <c r="F627" s="153"/>
      <c r="G627" s="116"/>
      <c r="H627" s="116"/>
      <c r="I627" s="116"/>
      <c r="J627" s="116"/>
      <c r="K627" s="219"/>
      <c r="L627" s="116"/>
      <c r="M627" s="31"/>
      <c r="N627" s="336"/>
      <c r="O627" s="336"/>
      <c r="P627" s="219"/>
      <c r="Q627" s="332"/>
      <c r="R627" s="219"/>
      <c r="S627" s="332"/>
      <c r="T627" s="219"/>
      <c r="U627" s="332"/>
      <c r="V627" s="332"/>
      <c r="W627" s="370"/>
      <c r="X627" s="370"/>
      <c r="Y627" s="370"/>
      <c r="Z627" s="370"/>
      <c r="AA627" s="370"/>
      <c r="AB627" s="370"/>
      <c r="AC627" s="370"/>
      <c r="AD627" s="370"/>
      <c r="AE627" s="370"/>
      <c r="AF627" s="370"/>
      <c r="AG627" s="370"/>
      <c r="AH627" s="370"/>
      <c r="AI627" s="370"/>
      <c r="AJ627" s="370"/>
      <c r="AL627" s="219"/>
      <c r="AM627" s="219"/>
      <c r="AN627" s="219"/>
      <c r="AO627" s="116"/>
      <c r="AP627" s="116"/>
      <c r="AU627" s="332"/>
      <c r="AV627" s="332"/>
      <c r="AW627" s="332"/>
      <c r="AX627" s="332"/>
      <c r="AY627" s="332"/>
      <c r="AZ627" s="332"/>
      <c r="BA627" s="332"/>
      <c r="BB627" s="31"/>
      <c r="BC627" s="31"/>
      <c r="BD627" s="31"/>
      <c r="BE627" s="31"/>
    </row>
    <row r="628" spans="1:57" ht="13">
      <c r="A628" s="153"/>
      <c r="F628" s="153"/>
      <c r="G628" s="116"/>
      <c r="H628" s="116"/>
      <c r="I628" s="116"/>
      <c r="J628" s="116"/>
      <c r="K628" s="219"/>
      <c r="L628" s="116"/>
      <c r="M628" s="31"/>
      <c r="N628" s="336"/>
      <c r="O628" s="336"/>
      <c r="P628" s="219"/>
      <c r="Q628" s="332"/>
      <c r="R628" s="219"/>
      <c r="S628" s="332"/>
      <c r="T628" s="219"/>
      <c r="U628" s="332"/>
      <c r="V628" s="332"/>
      <c r="W628" s="370"/>
      <c r="X628" s="370"/>
      <c r="Y628" s="370"/>
      <c r="Z628" s="370"/>
      <c r="AA628" s="370"/>
      <c r="AB628" s="370"/>
      <c r="AC628" s="370"/>
      <c r="AD628" s="370"/>
      <c r="AE628" s="370"/>
      <c r="AF628" s="370"/>
      <c r="AG628" s="370"/>
      <c r="AH628" s="370"/>
      <c r="AI628" s="370"/>
      <c r="AJ628" s="370"/>
      <c r="AL628" s="219"/>
      <c r="AM628" s="219"/>
      <c r="AN628" s="219"/>
      <c r="AO628" s="116"/>
      <c r="AP628" s="116"/>
      <c r="AU628" s="332"/>
      <c r="AV628" s="332"/>
      <c r="AW628" s="332"/>
      <c r="AX628" s="332"/>
      <c r="AY628" s="332"/>
      <c r="AZ628" s="332"/>
      <c r="BA628" s="332"/>
      <c r="BB628" s="31"/>
      <c r="BC628" s="31"/>
      <c r="BD628" s="31"/>
      <c r="BE628" s="31"/>
    </row>
    <row r="629" spans="1:57" ht="13">
      <c r="A629" s="153"/>
      <c r="F629" s="153"/>
      <c r="G629" s="116"/>
      <c r="H629" s="116"/>
      <c r="I629" s="116"/>
      <c r="J629" s="116"/>
      <c r="K629" s="219"/>
      <c r="L629" s="116"/>
      <c r="M629" s="31"/>
      <c r="N629" s="336"/>
      <c r="O629" s="336"/>
      <c r="P629" s="219"/>
      <c r="Q629" s="332"/>
      <c r="R629" s="219"/>
      <c r="S629" s="332"/>
      <c r="T629" s="219"/>
      <c r="U629" s="332"/>
      <c r="V629" s="332"/>
      <c r="W629" s="370"/>
      <c r="X629" s="370"/>
      <c r="Y629" s="370"/>
      <c r="Z629" s="370"/>
      <c r="AA629" s="370"/>
      <c r="AB629" s="370"/>
      <c r="AC629" s="370"/>
      <c r="AD629" s="370"/>
      <c r="AE629" s="370"/>
      <c r="AF629" s="370"/>
      <c r="AG629" s="370"/>
      <c r="AH629" s="370"/>
      <c r="AI629" s="370"/>
      <c r="AJ629" s="370"/>
      <c r="AL629" s="219"/>
      <c r="AM629" s="219"/>
      <c r="AN629" s="219"/>
      <c r="AO629" s="116"/>
      <c r="AP629" s="116"/>
      <c r="AU629" s="332"/>
      <c r="AV629" s="332"/>
      <c r="AW629" s="332"/>
      <c r="AX629" s="332"/>
      <c r="AY629" s="332"/>
      <c r="AZ629" s="332"/>
      <c r="BA629" s="332"/>
      <c r="BB629" s="31"/>
      <c r="BC629" s="31"/>
      <c r="BD629" s="31"/>
      <c r="BE629" s="31"/>
    </row>
    <row r="630" spans="1:57" ht="13">
      <c r="A630" s="153"/>
      <c r="F630" s="153"/>
      <c r="G630" s="116"/>
      <c r="H630" s="116"/>
      <c r="I630" s="116"/>
      <c r="J630" s="116"/>
      <c r="K630" s="219"/>
      <c r="L630" s="116"/>
      <c r="M630" s="31"/>
      <c r="N630" s="336"/>
      <c r="O630" s="336"/>
      <c r="P630" s="219"/>
      <c r="Q630" s="332"/>
      <c r="R630" s="219"/>
      <c r="S630" s="332"/>
      <c r="T630" s="219"/>
      <c r="U630" s="332"/>
      <c r="V630" s="332"/>
      <c r="W630" s="370"/>
      <c r="X630" s="370"/>
      <c r="Y630" s="370"/>
      <c r="Z630" s="370"/>
      <c r="AA630" s="370"/>
      <c r="AB630" s="370"/>
      <c r="AC630" s="370"/>
      <c r="AD630" s="370"/>
      <c r="AE630" s="370"/>
      <c r="AF630" s="370"/>
      <c r="AG630" s="370"/>
      <c r="AH630" s="370"/>
      <c r="AI630" s="370"/>
      <c r="AJ630" s="370"/>
      <c r="AL630" s="219"/>
      <c r="AM630" s="219"/>
      <c r="AN630" s="219"/>
      <c r="AO630" s="116"/>
      <c r="AP630" s="116"/>
      <c r="AU630" s="332"/>
      <c r="AV630" s="332"/>
      <c r="AW630" s="332"/>
      <c r="AX630" s="332"/>
      <c r="AY630" s="332"/>
      <c r="AZ630" s="332"/>
      <c r="BA630" s="332"/>
      <c r="BB630" s="31"/>
      <c r="BC630" s="31"/>
      <c r="BD630" s="31"/>
      <c r="BE630" s="31"/>
    </row>
    <row r="631" spans="1:57" ht="13">
      <c r="A631" s="153"/>
      <c r="F631" s="153"/>
      <c r="G631" s="116"/>
      <c r="H631" s="116"/>
      <c r="I631" s="116"/>
      <c r="J631" s="116"/>
      <c r="K631" s="219"/>
      <c r="L631" s="116"/>
      <c r="M631" s="31"/>
      <c r="N631" s="336"/>
      <c r="O631" s="336"/>
      <c r="P631" s="219"/>
      <c r="Q631" s="332"/>
      <c r="R631" s="219"/>
      <c r="S631" s="332"/>
      <c r="T631" s="219"/>
      <c r="U631" s="332"/>
      <c r="V631" s="332"/>
      <c r="W631" s="370"/>
      <c r="X631" s="370"/>
      <c r="Y631" s="370"/>
      <c r="Z631" s="370"/>
      <c r="AA631" s="370"/>
      <c r="AB631" s="370"/>
      <c r="AC631" s="370"/>
      <c r="AD631" s="370"/>
      <c r="AE631" s="370"/>
      <c r="AF631" s="370"/>
      <c r="AG631" s="370"/>
      <c r="AH631" s="370"/>
      <c r="AI631" s="370"/>
      <c r="AJ631" s="370"/>
      <c r="AL631" s="219"/>
      <c r="AM631" s="219"/>
      <c r="AN631" s="219"/>
      <c r="AO631" s="116"/>
      <c r="AP631" s="116"/>
      <c r="AU631" s="332"/>
      <c r="AV631" s="332"/>
      <c r="AW631" s="332"/>
      <c r="AX631" s="332"/>
      <c r="AY631" s="332"/>
      <c r="AZ631" s="332"/>
      <c r="BA631" s="332"/>
      <c r="BB631" s="31"/>
      <c r="BC631" s="31"/>
      <c r="BD631" s="31"/>
      <c r="BE631" s="31"/>
    </row>
    <row r="632" spans="1:57" ht="13">
      <c r="A632" s="153"/>
      <c r="F632" s="153"/>
      <c r="G632" s="116"/>
      <c r="H632" s="116"/>
      <c r="I632" s="116"/>
      <c r="J632" s="116"/>
      <c r="K632" s="219"/>
      <c r="L632" s="116"/>
      <c r="M632" s="31"/>
      <c r="N632" s="336"/>
      <c r="O632" s="336"/>
      <c r="P632" s="219"/>
      <c r="Q632" s="332"/>
      <c r="R632" s="219"/>
      <c r="S632" s="332"/>
      <c r="T632" s="219"/>
      <c r="U632" s="332"/>
      <c r="V632" s="332"/>
      <c r="W632" s="370"/>
      <c r="X632" s="370"/>
      <c r="Y632" s="370"/>
      <c r="Z632" s="370"/>
      <c r="AA632" s="370"/>
      <c r="AB632" s="370"/>
      <c r="AC632" s="370"/>
      <c r="AD632" s="370"/>
      <c r="AE632" s="370"/>
      <c r="AF632" s="370"/>
      <c r="AG632" s="370"/>
      <c r="AH632" s="370"/>
      <c r="AI632" s="370"/>
      <c r="AJ632" s="370"/>
      <c r="AL632" s="219"/>
      <c r="AM632" s="219"/>
      <c r="AN632" s="219"/>
      <c r="AO632" s="116"/>
      <c r="AP632" s="116"/>
      <c r="AU632" s="332"/>
      <c r="AV632" s="332"/>
      <c r="AW632" s="332"/>
      <c r="AX632" s="332"/>
      <c r="AY632" s="332"/>
      <c r="AZ632" s="332"/>
      <c r="BA632" s="332"/>
      <c r="BB632" s="31"/>
      <c r="BC632" s="31"/>
      <c r="BD632" s="31"/>
      <c r="BE632" s="31"/>
    </row>
    <row r="633" spans="1:57" ht="13">
      <c r="A633" s="153"/>
      <c r="F633" s="153"/>
      <c r="G633" s="116"/>
      <c r="H633" s="116"/>
      <c r="I633" s="116"/>
      <c r="J633" s="116"/>
      <c r="K633" s="219"/>
      <c r="L633" s="116"/>
      <c r="M633" s="31"/>
      <c r="N633" s="336"/>
      <c r="O633" s="336"/>
      <c r="P633" s="219"/>
      <c r="Q633" s="332"/>
      <c r="R633" s="219"/>
      <c r="S633" s="332"/>
      <c r="T633" s="219"/>
      <c r="U633" s="332"/>
      <c r="V633" s="332"/>
      <c r="W633" s="370"/>
      <c r="X633" s="370"/>
      <c r="Y633" s="370"/>
      <c r="Z633" s="370"/>
      <c r="AA633" s="370"/>
      <c r="AB633" s="370"/>
      <c r="AC633" s="370"/>
      <c r="AD633" s="370"/>
      <c r="AE633" s="370"/>
      <c r="AF633" s="370"/>
      <c r="AG633" s="370"/>
      <c r="AH633" s="370"/>
      <c r="AI633" s="370"/>
      <c r="AJ633" s="370"/>
      <c r="AL633" s="219"/>
      <c r="AM633" s="219"/>
      <c r="AN633" s="219"/>
      <c r="AO633" s="116"/>
      <c r="AP633" s="116"/>
      <c r="AU633" s="332"/>
      <c r="AV633" s="332"/>
      <c r="AW633" s="332"/>
      <c r="AX633" s="332"/>
      <c r="AY633" s="332"/>
      <c r="AZ633" s="332"/>
      <c r="BA633" s="332"/>
      <c r="BB633" s="31"/>
      <c r="BC633" s="31"/>
      <c r="BD633" s="31"/>
      <c r="BE633" s="31"/>
    </row>
    <row r="634" spans="1:57" ht="13">
      <c r="A634" s="153"/>
      <c r="F634" s="153"/>
      <c r="G634" s="116"/>
      <c r="H634" s="116"/>
      <c r="I634" s="116"/>
      <c r="J634" s="116"/>
      <c r="K634" s="219"/>
      <c r="L634" s="116"/>
      <c r="M634" s="31"/>
      <c r="N634" s="336"/>
      <c r="O634" s="336"/>
      <c r="P634" s="219"/>
      <c r="Q634" s="332"/>
      <c r="R634" s="219"/>
      <c r="S634" s="332"/>
      <c r="T634" s="219"/>
      <c r="U634" s="332"/>
      <c r="V634" s="332"/>
      <c r="W634" s="370"/>
      <c r="X634" s="370"/>
      <c r="Y634" s="370"/>
      <c r="Z634" s="370"/>
      <c r="AA634" s="370"/>
      <c r="AB634" s="370"/>
      <c r="AC634" s="370"/>
      <c r="AD634" s="370"/>
      <c r="AE634" s="370"/>
      <c r="AF634" s="370"/>
      <c r="AG634" s="370"/>
      <c r="AH634" s="370"/>
      <c r="AI634" s="370"/>
      <c r="AJ634" s="370"/>
      <c r="AL634" s="219"/>
      <c r="AM634" s="219"/>
      <c r="AN634" s="219"/>
      <c r="AO634" s="116"/>
      <c r="AP634" s="116"/>
      <c r="AU634" s="332"/>
      <c r="AV634" s="332"/>
      <c r="AW634" s="332"/>
      <c r="AX634" s="332"/>
      <c r="AY634" s="332"/>
      <c r="AZ634" s="332"/>
      <c r="BA634" s="332"/>
      <c r="BB634" s="31"/>
      <c r="BC634" s="31"/>
      <c r="BD634" s="31"/>
      <c r="BE634" s="31"/>
    </row>
    <row r="635" spans="1:57" ht="13">
      <c r="A635" s="153"/>
      <c r="F635" s="153"/>
      <c r="G635" s="116"/>
      <c r="H635" s="116"/>
      <c r="I635" s="116"/>
      <c r="J635" s="116"/>
      <c r="K635" s="219"/>
      <c r="L635" s="116"/>
      <c r="M635" s="31"/>
      <c r="N635" s="336"/>
      <c r="O635" s="336"/>
      <c r="P635" s="219"/>
      <c r="Q635" s="332"/>
      <c r="R635" s="219"/>
      <c r="S635" s="332"/>
      <c r="T635" s="219"/>
      <c r="U635" s="332"/>
      <c r="V635" s="332"/>
      <c r="W635" s="370"/>
      <c r="X635" s="370"/>
      <c r="Y635" s="370"/>
      <c r="Z635" s="370"/>
      <c r="AA635" s="370"/>
      <c r="AB635" s="370"/>
      <c r="AC635" s="370"/>
      <c r="AD635" s="370"/>
      <c r="AE635" s="370"/>
      <c r="AF635" s="370"/>
      <c r="AG635" s="370"/>
      <c r="AH635" s="370"/>
      <c r="AI635" s="370"/>
      <c r="AJ635" s="370"/>
      <c r="AL635" s="219"/>
      <c r="AM635" s="219"/>
      <c r="AN635" s="219"/>
      <c r="AO635" s="116"/>
      <c r="AP635" s="116"/>
      <c r="AU635" s="332"/>
      <c r="AV635" s="332"/>
      <c r="AW635" s="332"/>
      <c r="AX635" s="332"/>
      <c r="AY635" s="332"/>
      <c r="AZ635" s="332"/>
      <c r="BA635" s="332"/>
      <c r="BB635" s="31"/>
      <c r="BC635" s="31"/>
      <c r="BD635" s="31"/>
      <c r="BE635" s="31"/>
    </row>
    <row r="636" spans="1:57" ht="13">
      <c r="A636" s="153"/>
      <c r="F636" s="153"/>
      <c r="G636" s="116"/>
      <c r="H636" s="116"/>
      <c r="I636" s="116"/>
      <c r="J636" s="116"/>
      <c r="K636" s="219"/>
      <c r="L636" s="116"/>
      <c r="M636" s="31"/>
      <c r="N636" s="336"/>
      <c r="O636" s="336"/>
      <c r="P636" s="219"/>
      <c r="Q636" s="332"/>
      <c r="R636" s="219"/>
      <c r="S636" s="332"/>
      <c r="T636" s="219"/>
      <c r="U636" s="332"/>
      <c r="V636" s="332"/>
      <c r="W636" s="370"/>
      <c r="X636" s="370"/>
      <c r="Y636" s="370"/>
      <c r="Z636" s="370"/>
      <c r="AA636" s="370"/>
      <c r="AB636" s="370"/>
      <c r="AC636" s="370"/>
      <c r="AD636" s="370"/>
      <c r="AE636" s="370"/>
      <c r="AF636" s="370"/>
      <c r="AG636" s="370"/>
      <c r="AH636" s="370"/>
      <c r="AI636" s="370"/>
      <c r="AJ636" s="370"/>
      <c r="AL636" s="219"/>
      <c r="AM636" s="219"/>
      <c r="AN636" s="219"/>
      <c r="AO636" s="116"/>
      <c r="AP636" s="116"/>
      <c r="AU636" s="332"/>
      <c r="AV636" s="332"/>
      <c r="AW636" s="332"/>
      <c r="AX636" s="332"/>
      <c r="AY636" s="332"/>
      <c r="AZ636" s="332"/>
      <c r="BA636" s="332"/>
      <c r="BB636" s="31"/>
      <c r="BC636" s="31"/>
      <c r="BD636" s="31"/>
      <c r="BE636" s="31"/>
    </row>
    <row r="637" spans="1:57" ht="13">
      <c r="A637" s="153"/>
      <c r="F637" s="153"/>
      <c r="G637" s="116"/>
      <c r="H637" s="116"/>
      <c r="I637" s="116"/>
      <c r="J637" s="116"/>
      <c r="K637" s="219"/>
      <c r="L637" s="116"/>
      <c r="M637" s="31"/>
      <c r="N637" s="336"/>
      <c r="O637" s="336"/>
      <c r="P637" s="219"/>
      <c r="Q637" s="332"/>
      <c r="R637" s="219"/>
      <c r="S637" s="332"/>
      <c r="T637" s="219"/>
      <c r="U637" s="332"/>
      <c r="V637" s="332"/>
      <c r="W637" s="370"/>
      <c r="X637" s="370"/>
      <c r="Y637" s="370"/>
      <c r="Z637" s="370"/>
      <c r="AA637" s="370"/>
      <c r="AB637" s="370"/>
      <c r="AC637" s="370"/>
      <c r="AD637" s="370"/>
      <c r="AE637" s="370"/>
      <c r="AF637" s="370"/>
      <c r="AG637" s="370"/>
      <c r="AH637" s="370"/>
      <c r="AI637" s="370"/>
      <c r="AJ637" s="370"/>
      <c r="AL637" s="219"/>
      <c r="AM637" s="219"/>
      <c r="AN637" s="219"/>
      <c r="AO637" s="116"/>
      <c r="AP637" s="116"/>
      <c r="AU637" s="332"/>
      <c r="AV637" s="332"/>
      <c r="AW637" s="332"/>
      <c r="AX637" s="332"/>
      <c r="AY637" s="332"/>
      <c r="AZ637" s="332"/>
      <c r="BA637" s="332"/>
      <c r="BB637" s="31"/>
      <c r="BC637" s="31"/>
      <c r="BD637" s="31"/>
      <c r="BE637" s="31"/>
    </row>
    <row r="638" spans="1:57" ht="13">
      <c r="A638" s="153"/>
      <c r="F638" s="153"/>
      <c r="G638" s="116"/>
      <c r="H638" s="116"/>
      <c r="I638" s="116"/>
      <c r="J638" s="116"/>
      <c r="K638" s="219"/>
      <c r="L638" s="116"/>
      <c r="M638" s="31"/>
      <c r="N638" s="336"/>
      <c r="O638" s="336"/>
      <c r="P638" s="219"/>
      <c r="Q638" s="332"/>
      <c r="R638" s="219"/>
      <c r="S638" s="332"/>
      <c r="T638" s="219"/>
      <c r="U638" s="332"/>
      <c r="V638" s="332"/>
      <c r="W638" s="370"/>
      <c r="X638" s="370"/>
      <c r="Y638" s="370"/>
      <c r="Z638" s="370"/>
      <c r="AA638" s="370"/>
      <c r="AB638" s="370"/>
      <c r="AC638" s="370"/>
      <c r="AD638" s="370"/>
      <c r="AE638" s="370"/>
      <c r="AF638" s="370"/>
      <c r="AG638" s="370"/>
      <c r="AH638" s="370"/>
      <c r="AI638" s="370"/>
      <c r="AJ638" s="370"/>
      <c r="AL638" s="219"/>
      <c r="AM638" s="219"/>
      <c r="AN638" s="219"/>
      <c r="AO638" s="116"/>
      <c r="AP638" s="116"/>
      <c r="AU638" s="332"/>
      <c r="AV638" s="332"/>
      <c r="AW638" s="332"/>
      <c r="AX638" s="332"/>
      <c r="AY638" s="332"/>
      <c r="AZ638" s="332"/>
      <c r="BA638" s="332"/>
      <c r="BB638" s="31"/>
      <c r="BC638" s="31"/>
      <c r="BD638" s="31"/>
      <c r="BE638" s="31"/>
    </row>
    <row r="639" spans="1:57" ht="13">
      <c r="A639" s="153"/>
      <c r="F639" s="153"/>
      <c r="G639" s="116"/>
      <c r="H639" s="116"/>
      <c r="I639" s="116"/>
      <c r="J639" s="116"/>
      <c r="K639" s="219"/>
      <c r="L639" s="116"/>
      <c r="M639" s="31"/>
      <c r="N639" s="336"/>
      <c r="O639" s="336"/>
      <c r="P639" s="219"/>
      <c r="Q639" s="332"/>
      <c r="R639" s="219"/>
      <c r="S639" s="332"/>
      <c r="T639" s="219"/>
      <c r="U639" s="332"/>
      <c r="V639" s="332"/>
      <c r="W639" s="370"/>
      <c r="X639" s="370"/>
      <c r="Y639" s="370"/>
      <c r="Z639" s="370"/>
      <c r="AA639" s="370"/>
      <c r="AB639" s="370"/>
      <c r="AC639" s="370"/>
      <c r="AD639" s="370"/>
      <c r="AE639" s="370"/>
      <c r="AF639" s="370"/>
      <c r="AG639" s="370"/>
      <c r="AH639" s="370"/>
      <c r="AI639" s="370"/>
      <c r="AJ639" s="370"/>
      <c r="AL639" s="219"/>
      <c r="AM639" s="219"/>
      <c r="AN639" s="219"/>
      <c r="AO639" s="116"/>
      <c r="AP639" s="116"/>
      <c r="AU639" s="332"/>
      <c r="AV639" s="332"/>
      <c r="AW639" s="332"/>
      <c r="AX639" s="332"/>
      <c r="AY639" s="332"/>
      <c r="AZ639" s="332"/>
      <c r="BA639" s="332"/>
      <c r="BB639" s="31"/>
      <c r="BC639" s="31"/>
      <c r="BD639" s="31"/>
      <c r="BE639" s="31"/>
    </row>
    <row r="640" spans="1:57" ht="13">
      <c r="A640" s="153"/>
      <c r="F640" s="153"/>
      <c r="G640" s="116"/>
      <c r="H640" s="116"/>
      <c r="I640" s="116"/>
      <c r="J640" s="116"/>
      <c r="K640" s="219"/>
      <c r="L640" s="116"/>
      <c r="M640" s="31"/>
      <c r="N640" s="336"/>
      <c r="O640" s="336"/>
      <c r="P640" s="219"/>
      <c r="Q640" s="332"/>
      <c r="R640" s="219"/>
      <c r="S640" s="332"/>
      <c r="T640" s="219"/>
      <c r="U640" s="332"/>
      <c r="V640" s="332"/>
      <c r="W640" s="370"/>
      <c r="X640" s="370"/>
      <c r="Y640" s="370"/>
      <c r="Z640" s="370"/>
      <c r="AA640" s="370"/>
      <c r="AB640" s="370"/>
      <c r="AC640" s="370"/>
      <c r="AD640" s="370"/>
      <c r="AE640" s="370"/>
      <c r="AF640" s="370"/>
      <c r="AG640" s="370"/>
      <c r="AH640" s="370"/>
      <c r="AI640" s="370"/>
      <c r="AJ640" s="370"/>
      <c r="AL640" s="219"/>
      <c r="AM640" s="219"/>
      <c r="AN640" s="219"/>
      <c r="AO640" s="116"/>
      <c r="AP640" s="116"/>
      <c r="AU640" s="332"/>
      <c r="AV640" s="332"/>
      <c r="AW640" s="332"/>
      <c r="AX640" s="332"/>
      <c r="AY640" s="332"/>
      <c r="AZ640" s="332"/>
      <c r="BA640" s="332"/>
      <c r="BB640" s="31"/>
      <c r="BC640" s="31"/>
      <c r="BD640" s="31"/>
      <c r="BE640" s="31"/>
    </row>
    <row r="641" spans="1:57" ht="13">
      <c r="A641" s="153"/>
      <c r="F641" s="153"/>
      <c r="G641" s="116"/>
      <c r="H641" s="116"/>
      <c r="I641" s="116"/>
      <c r="J641" s="116"/>
      <c r="K641" s="219"/>
      <c r="L641" s="116"/>
      <c r="M641" s="31"/>
      <c r="N641" s="336"/>
      <c r="O641" s="336"/>
      <c r="P641" s="219"/>
      <c r="Q641" s="332"/>
      <c r="R641" s="219"/>
      <c r="S641" s="332"/>
      <c r="T641" s="219"/>
      <c r="U641" s="332"/>
      <c r="V641" s="332"/>
      <c r="W641" s="370"/>
      <c r="X641" s="370"/>
      <c r="Y641" s="370"/>
      <c r="Z641" s="370"/>
      <c r="AA641" s="370"/>
      <c r="AB641" s="370"/>
      <c r="AC641" s="370"/>
      <c r="AD641" s="370"/>
      <c r="AE641" s="370"/>
      <c r="AF641" s="370"/>
      <c r="AG641" s="370"/>
      <c r="AH641" s="370"/>
      <c r="AI641" s="370"/>
      <c r="AJ641" s="370"/>
      <c r="AL641" s="219"/>
      <c r="AM641" s="219"/>
      <c r="AN641" s="219"/>
      <c r="AO641" s="116"/>
      <c r="AP641" s="116"/>
      <c r="AU641" s="332"/>
      <c r="AV641" s="332"/>
      <c r="AW641" s="332"/>
      <c r="AX641" s="332"/>
      <c r="AY641" s="332"/>
      <c r="AZ641" s="332"/>
      <c r="BA641" s="332"/>
      <c r="BB641" s="31"/>
      <c r="BC641" s="31"/>
      <c r="BD641" s="31"/>
      <c r="BE641" s="31"/>
    </row>
    <row r="642" spans="1:57" ht="13">
      <c r="A642" s="153"/>
      <c r="F642" s="153"/>
      <c r="G642" s="116"/>
      <c r="H642" s="116"/>
      <c r="I642" s="116"/>
      <c r="J642" s="116"/>
      <c r="K642" s="219"/>
      <c r="L642" s="116"/>
      <c r="M642" s="31"/>
      <c r="N642" s="336"/>
      <c r="O642" s="336"/>
      <c r="P642" s="219"/>
      <c r="Q642" s="332"/>
      <c r="R642" s="219"/>
      <c r="S642" s="332"/>
      <c r="T642" s="219"/>
      <c r="U642" s="332"/>
      <c r="V642" s="332"/>
      <c r="W642" s="370"/>
      <c r="X642" s="370"/>
      <c r="Y642" s="370"/>
      <c r="Z642" s="370"/>
      <c r="AA642" s="370"/>
      <c r="AB642" s="370"/>
      <c r="AC642" s="370"/>
      <c r="AD642" s="370"/>
      <c r="AE642" s="370"/>
      <c r="AF642" s="370"/>
      <c r="AG642" s="370"/>
      <c r="AH642" s="370"/>
      <c r="AI642" s="370"/>
      <c r="AJ642" s="370"/>
      <c r="AL642" s="219"/>
      <c r="AM642" s="219"/>
      <c r="AN642" s="219"/>
      <c r="AO642" s="116"/>
      <c r="AP642" s="116"/>
      <c r="AU642" s="332"/>
      <c r="AV642" s="332"/>
      <c r="AW642" s="332"/>
      <c r="AX642" s="332"/>
      <c r="AY642" s="332"/>
      <c r="AZ642" s="332"/>
      <c r="BA642" s="332"/>
      <c r="BB642" s="31"/>
      <c r="BC642" s="31"/>
      <c r="BD642" s="31"/>
      <c r="BE642" s="31"/>
    </row>
    <row r="643" spans="1:57" ht="13">
      <c r="A643" s="153"/>
      <c r="F643" s="153"/>
      <c r="G643" s="116"/>
      <c r="H643" s="116"/>
      <c r="I643" s="116"/>
      <c r="J643" s="116"/>
      <c r="K643" s="219"/>
      <c r="L643" s="116"/>
      <c r="M643" s="31"/>
      <c r="N643" s="336"/>
      <c r="O643" s="336"/>
      <c r="P643" s="219"/>
      <c r="Q643" s="332"/>
      <c r="R643" s="219"/>
      <c r="S643" s="332"/>
      <c r="T643" s="219"/>
      <c r="U643" s="332"/>
      <c r="V643" s="332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  <c r="AH643" s="370"/>
      <c r="AI643" s="370"/>
      <c r="AJ643" s="370"/>
      <c r="AL643" s="219"/>
      <c r="AM643" s="219"/>
      <c r="AN643" s="219"/>
      <c r="AO643" s="116"/>
      <c r="AP643" s="116"/>
      <c r="AU643" s="332"/>
      <c r="AV643" s="332"/>
      <c r="AW643" s="332"/>
      <c r="AX643" s="332"/>
      <c r="AY643" s="332"/>
      <c r="AZ643" s="332"/>
      <c r="BA643" s="332"/>
      <c r="BB643" s="31"/>
      <c r="BC643" s="31"/>
      <c r="BD643" s="31"/>
      <c r="BE643" s="31"/>
    </row>
    <row r="644" spans="1:57" ht="13">
      <c r="A644" s="153"/>
      <c r="F644" s="153"/>
      <c r="G644" s="116"/>
      <c r="H644" s="116"/>
      <c r="I644" s="116"/>
      <c r="J644" s="116"/>
      <c r="K644" s="219"/>
      <c r="L644" s="116"/>
      <c r="M644" s="31"/>
      <c r="N644" s="336"/>
      <c r="O644" s="336"/>
      <c r="P644" s="219"/>
      <c r="Q644" s="332"/>
      <c r="R644" s="219"/>
      <c r="S644" s="332"/>
      <c r="T644" s="219"/>
      <c r="U644" s="332"/>
      <c r="V644" s="332"/>
      <c r="W644" s="370"/>
      <c r="X644" s="370"/>
      <c r="Y644" s="370"/>
      <c r="Z644" s="370"/>
      <c r="AA644" s="370"/>
      <c r="AB644" s="370"/>
      <c r="AC644" s="370"/>
      <c r="AD644" s="370"/>
      <c r="AE644" s="370"/>
      <c r="AF644" s="370"/>
      <c r="AG644" s="370"/>
      <c r="AH644" s="370"/>
      <c r="AI644" s="370"/>
      <c r="AJ644" s="370"/>
      <c r="AL644" s="219"/>
      <c r="AM644" s="219"/>
      <c r="AN644" s="219"/>
      <c r="AO644" s="116"/>
      <c r="AP644" s="116"/>
      <c r="AU644" s="332"/>
      <c r="AV644" s="332"/>
      <c r="AW644" s="332"/>
      <c r="AX644" s="332"/>
      <c r="AY644" s="332"/>
      <c r="AZ644" s="332"/>
      <c r="BA644" s="332"/>
      <c r="BB644" s="31"/>
      <c r="BC644" s="31"/>
      <c r="BD644" s="31"/>
      <c r="BE644" s="31"/>
    </row>
    <row r="645" spans="1:57" ht="13">
      <c r="A645" s="153"/>
      <c r="F645" s="153"/>
      <c r="G645" s="116"/>
      <c r="H645" s="116"/>
      <c r="I645" s="116"/>
      <c r="J645" s="116"/>
      <c r="K645" s="219"/>
      <c r="L645" s="116"/>
      <c r="M645" s="31"/>
      <c r="N645" s="336"/>
      <c r="O645" s="336"/>
      <c r="P645" s="219"/>
      <c r="Q645" s="332"/>
      <c r="R645" s="219"/>
      <c r="S645" s="332"/>
      <c r="T645" s="219"/>
      <c r="U645" s="332"/>
      <c r="V645" s="332"/>
      <c r="W645" s="370"/>
      <c r="X645" s="370"/>
      <c r="Y645" s="370"/>
      <c r="Z645" s="370"/>
      <c r="AA645" s="370"/>
      <c r="AB645" s="370"/>
      <c r="AC645" s="370"/>
      <c r="AD645" s="370"/>
      <c r="AE645" s="370"/>
      <c r="AF645" s="370"/>
      <c r="AG645" s="370"/>
      <c r="AH645" s="370"/>
      <c r="AI645" s="370"/>
      <c r="AJ645" s="370"/>
      <c r="AL645" s="219"/>
      <c r="AM645" s="219"/>
      <c r="AN645" s="219"/>
      <c r="AO645" s="116"/>
      <c r="AP645" s="116"/>
      <c r="AU645" s="332"/>
      <c r="AV645" s="332"/>
      <c r="AW645" s="332"/>
      <c r="AX645" s="332"/>
      <c r="AY645" s="332"/>
      <c r="AZ645" s="332"/>
      <c r="BA645" s="332"/>
      <c r="BB645" s="31"/>
      <c r="BC645" s="31"/>
      <c r="BD645" s="31"/>
      <c r="BE645" s="31"/>
    </row>
    <row r="646" spans="1:57" ht="13">
      <c r="A646" s="153"/>
      <c r="F646" s="153"/>
      <c r="G646" s="116"/>
      <c r="H646" s="116"/>
      <c r="I646" s="116"/>
      <c r="J646" s="116"/>
      <c r="K646" s="219"/>
      <c r="L646" s="116"/>
      <c r="M646" s="31"/>
      <c r="N646" s="336"/>
      <c r="O646" s="336"/>
      <c r="P646" s="219"/>
      <c r="Q646" s="332"/>
      <c r="R646" s="219"/>
      <c r="S646" s="332"/>
      <c r="T646" s="219"/>
      <c r="U646" s="332"/>
      <c r="V646" s="332"/>
      <c r="W646" s="370"/>
      <c r="X646" s="370"/>
      <c r="Y646" s="370"/>
      <c r="Z646" s="370"/>
      <c r="AA646" s="370"/>
      <c r="AB646" s="370"/>
      <c r="AC646" s="370"/>
      <c r="AD646" s="370"/>
      <c r="AE646" s="370"/>
      <c r="AF646" s="370"/>
      <c r="AG646" s="370"/>
      <c r="AH646" s="370"/>
      <c r="AI646" s="370"/>
      <c r="AJ646" s="370"/>
      <c r="AL646" s="219"/>
      <c r="AM646" s="219"/>
      <c r="AN646" s="219"/>
      <c r="AO646" s="116"/>
      <c r="AP646" s="116"/>
      <c r="AU646" s="332"/>
      <c r="AV646" s="332"/>
      <c r="AW646" s="332"/>
      <c r="AX646" s="332"/>
      <c r="AY646" s="332"/>
      <c r="AZ646" s="332"/>
      <c r="BA646" s="332"/>
      <c r="BB646" s="31"/>
      <c r="BC646" s="31"/>
      <c r="BD646" s="31"/>
      <c r="BE646" s="31"/>
    </row>
    <row r="647" spans="1:57" ht="13">
      <c r="A647" s="153"/>
      <c r="F647" s="153"/>
      <c r="G647" s="116"/>
      <c r="H647" s="116"/>
      <c r="I647" s="116"/>
      <c r="J647" s="116"/>
      <c r="K647" s="219"/>
      <c r="L647" s="116"/>
      <c r="M647" s="31"/>
      <c r="N647" s="336"/>
      <c r="O647" s="336"/>
      <c r="P647" s="219"/>
      <c r="Q647" s="332"/>
      <c r="R647" s="219"/>
      <c r="S647" s="332"/>
      <c r="T647" s="219"/>
      <c r="U647" s="332"/>
      <c r="V647" s="332"/>
      <c r="W647" s="370"/>
      <c r="X647" s="370"/>
      <c r="Y647" s="370"/>
      <c r="Z647" s="370"/>
      <c r="AA647" s="370"/>
      <c r="AB647" s="370"/>
      <c r="AC647" s="370"/>
      <c r="AD647" s="370"/>
      <c r="AE647" s="370"/>
      <c r="AF647" s="370"/>
      <c r="AG647" s="370"/>
      <c r="AH647" s="370"/>
      <c r="AI647" s="370"/>
      <c r="AJ647" s="370"/>
      <c r="AL647" s="219"/>
      <c r="AM647" s="219"/>
      <c r="AN647" s="219"/>
      <c r="AO647" s="116"/>
      <c r="AP647" s="116"/>
      <c r="AU647" s="332"/>
      <c r="AV647" s="332"/>
      <c r="AW647" s="332"/>
      <c r="AX647" s="332"/>
      <c r="AY647" s="332"/>
      <c r="AZ647" s="332"/>
      <c r="BA647" s="332"/>
      <c r="BB647" s="31"/>
      <c r="BC647" s="31"/>
      <c r="BD647" s="31"/>
      <c r="BE647" s="31"/>
    </row>
    <row r="648" spans="1:57" ht="13">
      <c r="A648" s="153"/>
      <c r="F648" s="153"/>
      <c r="G648" s="116"/>
      <c r="H648" s="116"/>
      <c r="I648" s="116"/>
      <c r="J648" s="116"/>
      <c r="K648" s="219"/>
      <c r="L648" s="116"/>
      <c r="M648" s="31"/>
      <c r="N648" s="336"/>
      <c r="O648" s="336"/>
      <c r="P648" s="219"/>
      <c r="Q648" s="332"/>
      <c r="R648" s="219"/>
      <c r="S648" s="332"/>
      <c r="T648" s="219"/>
      <c r="U648" s="332"/>
      <c r="V648" s="332"/>
      <c r="W648" s="370"/>
      <c r="X648" s="370"/>
      <c r="Y648" s="370"/>
      <c r="Z648" s="370"/>
      <c r="AA648" s="370"/>
      <c r="AB648" s="370"/>
      <c r="AC648" s="370"/>
      <c r="AD648" s="370"/>
      <c r="AE648" s="370"/>
      <c r="AF648" s="370"/>
      <c r="AG648" s="370"/>
      <c r="AH648" s="370"/>
      <c r="AI648" s="370"/>
      <c r="AJ648" s="370"/>
      <c r="AL648" s="219"/>
      <c r="AM648" s="219"/>
      <c r="AN648" s="219"/>
      <c r="AO648" s="116"/>
      <c r="AP648" s="116"/>
      <c r="AU648" s="332"/>
      <c r="AV648" s="332"/>
      <c r="AW648" s="332"/>
      <c r="AX648" s="332"/>
      <c r="AY648" s="332"/>
      <c r="AZ648" s="332"/>
      <c r="BA648" s="332"/>
      <c r="BB648" s="31"/>
      <c r="BC648" s="31"/>
      <c r="BD648" s="31"/>
      <c r="BE648" s="31"/>
    </row>
    <row r="649" spans="1:57" ht="13">
      <c r="A649" s="153"/>
      <c r="F649" s="153"/>
      <c r="G649" s="116"/>
      <c r="H649" s="116"/>
      <c r="I649" s="116"/>
      <c r="J649" s="116"/>
      <c r="K649" s="219"/>
      <c r="L649" s="116"/>
      <c r="M649" s="31"/>
      <c r="N649" s="336"/>
      <c r="O649" s="336"/>
      <c r="P649" s="219"/>
      <c r="Q649" s="332"/>
      <c r="R649" s="219"/>
      <c r="S649" s="332"/>
      <c r="T649" s="219"/>
      <c r="U649" s="332"/>
      <c r="V649" s="332"/>
      <c r="W649" s="370"/>
      <c r="X649" s="370"/>
      <c r="Y649" s="370"/>
      <c r="Z649" s="370"/>
      <c r="AA649" s="370"/>
      <c r="AB649" s="370"/>
      <c r="AC649" s="370"/>
      <c r="AD649" s="370"/>
      <c r="AE649" s="370"/>
      <c r="AF649" s="370"/>
      <c r="AG649" s="370"/>
      <c r="AH649" s="370"/>
      <c r="AI649" s="370"/>
      <c r="AJ649" s="370"/>
      <c r="AL649" s="219"/>
      <c r="AM649" s="219"/>
      <c r="AN649" s="219"/>
      <c r="AO649" s="116"/>
      <c r="AP649" s="116"/>
      <c r="AU649" s="332"/>
      <c r="AV649" s="332"/>
      <c r="AW649" s="332"/>
      <c r="AX649" s="332"/>
      <c r="AY649" s="332"/>
      <c r="AZ649" s="332"/>
      <c r="BA649" s="332"/>
      <c r="BB649" s="31"/>
      <c r="BC649" s="31"/>
      <c r="BD649" s="31"/>
      <c r="BE649" s="31"/>
    </row>
    <row r="650" spans="1:57" ht="13">
      <c r="A650" s="153"/>
      <c r="F650" s="153"/>
      <c r="G650" s="116"/>
      <c r="H650" s="116"/>
      <c r="I650" s="116"/>
      <c r="J650" s="116"/>
      <c r="K650" s="219"/>
      <c r="L650" s="116"/>
      <c r="M650" s="31"/>
      <c r="N650" s="336"/>
      <c r="O650" s="336"/>
      <c r="P650" s="219"/>
      <c r="Q650" s="332"/>
      <c r="R650" s="219"/>
      <c r="S650" s="332"/>
      <c r="T650" s="219"/>
      <c r="U650" s="332"/>
      <c r="V650" s="332"/>
      <c r="W650" s="370"/>
      <c r="X650" s="370"/>
      <c r="Y650" s="370"/>
      <c r="Z650" s="370"/>
      <c r="AA650" s="370"/>
      <c r="AB650" s="370"/>
      <c r="AC650" s="370"/>
      <c r="AD650" s="370"/>
      <c r="AE650" s="370"/>
      <c r="AF650" s="370"/>
      <c r="AG650" s="370"/>
      <c r="AH650" s="370"/>
      <c r="AI650" s="370"/>
      <c r="AJ650" s="370"/>
      <c r="AL650" s="219"/>
      <c r="AM650" s="219"/>
      <c r="AN650" s="219"/>
      <c r="AO650" s="116"/>
      <c r="AP650" s="116"/>
      <c r="AU650" s="332"/>
      <c r="AV650" s="332"/>
      <c r="AW650" s="332"/>
      <c r="AX650" s="332"/>
      <c r="AY650" s="332"/>
      <c r="AZ650" s="332"/>
      <c r="BA650" s="332"/>
      <c r="BB650" s="31"/>
      <c r="BC650" s="31"/>
      <c r="BD650" s="31"/>
      <c r="BE650" s="31"/>
    </row>
    <row r="651" spans="1:57" ht="13">
      <c r="A651" s="153"/>
      <c r="F651" s="153"/>
      <c r="G651" s="116"/>
      <c r="H651" s="116"/>
      <c r="I651" s="116"/>
      <c r="J651" s="116"/>
      <c r="K651" s="219"/>
      <c r="L651" s="116"/>
      <c r="M651" s="31"/>
      <c r="N651" s="336"/>
      <c r="O651" s="336"/>
      <c r="P651" s="219"/>
      <c r="Q651" s="332"/>
      <c r="R651" s="219"/>
      <c r="S651" s="332"/>
      <c r="T651" s="219"/>
      <c r="U651" s="332"/>
      <c r="V651" s="332"/>
      <c r="W651" s="370"/>
      <c r="X651" s="370"/>
      <c r="Y651" s="370"/>
      <c r="Z651" s="370"/>
      <c r="AA651" s="370"/>
      <c r="AB651" s="370"/>
      <c r="AC651" s="370"/>
      <c r="AD651" s="370"/>
      <c r="AE651" s="370"/>
      <c r="AF651" s="370"/>
      <c r="AG651" s="370"/>
      <c r="AH651" s="370"/>
      <c r="AI651" s="370"/>
      <c r="AJ651" s="370"/>
      <c r="AL651" s="219"/>
      <c r="AM651" s="219"/>
      <c r="AN651" s="219"/>
      <c r="AO651" s="116"/>
      <c r="AP651" s="116"/>
      <c r="AU651" s="332"/>
      <c r="AV651" s="332"/>
      <c r="AW651" s="332"/>
      <c r="AX651" s="332"/>
      <c r="AY651" s="332"/>
      <c r="AZ651" s="332"/>
      <c r="BA651" s="332"/>
      <c r="BB651" s="31"/>
      <c r="BC651" s="31"/>
      <c r="BD651" s="31"/>
      <c r="BE651" s="31"/>
    </row>
    <row r="652" spans="1:57" ht="13">
      <c r="A652" s="153"/>
      <c r="F652" s="153"/>
      <c r="G652" s="116"/>
      <c r="H652" s="116"/>
      <c r="I652" s="116"/>
      <c r="J652" s="116"/>
      <c r="K652" s="219"/>
      <c r="L652" s="116"/>
      <c r="M652" s="31"/>
      <c r="N652" s="336"/>
      <c r="O652" s="336"/>
      <c r="P652" s="219"/>
      <c r="Q652" s="332"/>
      <c r="R652" s="219"/>
      <c r="S652" s="332"/>
      <c r="T652" s="219"/>
      <c r="U652" s="332"/>
      <c r="V652" s="332"/>
      <c r="W652" s="370"/>
      <c r="X652" s="370"/>
      <c r="Y652" s="370"/>
      <c r="Z652" s="370"/>
      <c r="AA652" s="370"/>
      <c r="AB652" s="370"/>
      <c r="AC652" s="370"/>
      <c r="AD652" s="370"/>
      <c r="AE652" s="370"/>
      <c r="AF652" s="370"/>
      <c r="AG652" s="370"/>
      <c r="AH652" s="370"/>
      <c r="AI652" s="370"/>
      <c r="AJ652" s="370"/>
      <c r="AL652" s="219"/>
      <c r="AM652" s="219"/>
      <c r="AN652" s="219"/>
      <c r="AO652" s="116"/>
      <c r="AP652" s="116"/>
      <c r="AU652" s="332"/>
      <c r="AV652" s="332"/>
      <c r="AW652" s="332"/>
      <c r="AX652" s="332"/>
      <c r="AY652" s="332"/>
      <c r="AZ652" s="332"/>
      <c r="BA652" s="332"/>
      <c r="BB652" s="31"/>
      <c r="BC652" s="31"/>
      <c r="BD652" s="31"/>
      <c r="BE652" s="31"/>
    </row>
    <row r="653" spans="1:57" ht="13">
      <c r="A653" s="153"/>
      <c r="F653" s="153"/>
      <c r="G653" s="116"/>
      <c r="H653" s="116"/>
      <c r="I653" s="116"/>
      <c r="J653" s="116"/>
      <c r="K653" s="219"/>
      <c r="L653" s="116"/>
      <c r="M653" s="31"/>
      <c r="N653" s="336"/>
      <c r="O653" s="336"/>
      <c r="P653" s="219"/>
      <c r="Q653" s="332"/>
      <c r="R653" s="219"/>
      <c r="S653" s="332"/>
      <c r="T653" s="219"/>
      <c r="U653" s="332"/>
      <c r="V653" s="332"/>
      <c r="W653" s="370"/>
      <c r="X653" s="370"/>
      <c r="Y653" s="370"/>
      <c r="Z653" s="370"/>
      <c r="AA653" s="370"/>
      <c r="AB653" s="370"/>
      <c r="AC653" s="370"/>
      <c r="AD653" s="370"/>
      <c r="AE653" s="370"/>
      <c r="AF653" s="370"/>
      <c r="AG653" s="370"/>
      <c r="AH653" s="370"/>
      <c r="AI653" s="370"/>
      <c r="AJ653" s="370"/>
      <c r="AL653" s="219"/>
      <c r="AM653" s="219"/>
      <c r="AN653" s="219"/>
      <c r="AO653" s="116"/>
      <c r="AP653" s="116"/>
      <c r="AU653" s="332"/>
      <c r="AV653" s="332"/>
      <c r="AW653" s="332"/>
      <c r="AX653" s="332"/>
      <c r="AY653" s="332"/>
      <c r="AZ653" s="332"/>
      <c r="BA653" s="332"/>
      <c r="BB653" s="31"/>
      <c r="BC653" s="31"/>
      <c r="BD653" s="31"/>
      <c r="BE653" s="31"/>
    </row>
    <row r="654" spans="1:57" ht="13">
      <c r="A654" s="153"/>
      <c r="F654" s="153"/>
      <c r="G654" s="116"/>
      <c r="H654" s="116"/>
      <c r="I654" s="116"/>
      <c r="J654" s="116"/>
      <c r="K654" s="219"/>
      <c r="L654" s="116"/>
      <c r="M654" s="31"/>
      <c r="N654" s="336"/>
      <c r="O654" s="336"/>
      <c r="P654" s="219"/>
      <c r="Q654" s="332"/>
      <c r="R654" s="219"/>
      <c r="S654" s="332"/>
      <c r="T654" s="219"/>
      <c r="U654" s="332"/>
      <c r="V654" s="332"/>
      <c r="W654" s="370"/>
      <c r="X654" s="370"/>
      <c r="Y654" s="370"/>
      <c r="Z654" s="370"/>
      <c r="AA654" s="370"/>
      <c r="AB654" s="370"/>
      <c r="AC654" s="370"/>
      <c r="AD654" s="370"/>
      <c r="AE654" s="370"/>
      <c r="AF654" s="370"/>
      <c r="AG654" s="370"/>
      <c r="AH654" s="370"/>
      <c r="AI654" s="370"/>
      <c r="AJ654" s="370"/>
      <c r="AL654" s="219"/>
      <c r="AM654" s="219"/>
      <c r="AN654" s="219"/>
      <c r="AO654" s="116"/>
      <c r="AP654" s="116"/>
      <c r="AU654" s="332"/>
      <c r="AV654" s="332"/>
      <c r="AW654" s="332"/>
      <c r="AX654" s="332"/>
      <c r="AY654" s="332"/>
      <c r="AZ654" s="332"/>
      <c r="BA654" s="332"/>
      <c r="BB654" s="31"/>
      <c r="BC654" s="31"/>
      <c r="BD654" s="31"/>
      <c r="BE654" s="31"/>
    </row>
    <row r="655" spans="1:57" ht="13">
      <c r="A655" s="153"/>
      <c r="F655" s="153"/>
      <c r="G655" s="116"/>
      <c r="H655" s="116"/>
      <c r="I655" s="116"/>
      <c r="J655" s="116"/>
      <c r="K655" s="219"/>
      <c r="L655" s="116"/>
      <c r="M655" s="31"/>
      <c r="N655" s="336"/>
      <c r="O655" s="336"/>
      <c r="P655" s="219"/>
      <c r="Q655" s="332"/>
      <c r="R655" s="219"/>
      <c r="S655" s="332"/>
      <c r="T655" s="219"/>
      <c r="U655" s="332"/>
      <c r="V655" s="332"/>
      <c r="W655" s="370"/>
      <c r="X655" s="370"/>
      <c r="Y655" s="370"/>
      <c r="Z655" s="370"/>
      <c r="AA655" s="370"/>
      <c r="AB655" s="370"/>
      <c r="AC655" s="370"/>
      <c r="AD655" s="370"/>
      <c r="AE655" s="370"/>
      <c r="AF655" s="370"/>
      <c r="AG655" s="370"/>
      <c r="AH655" s="370"/>
      <c r="AI655" s="370"/>
      <c r="AJ655" s="370"/>
      <c r="AL655" s="219"/>
      <c r="AM655" s="219"/>
      <c r="AN655" s="219"/>
      <c r="AO655" s="116"/>
      <c r="AP655" s="116"/>
      <c r="AU655" s="332"/>
      <c r="AV655" s="332"/>
      <c r="AW655" s="332"/>
      <c r="AX655" s="332"/>
      <c r="AY655" s="332"/>
      <c r="AZ655" s="332"/>
      <c r="BA655" s="332"/>
      <c r="BB655" s="31"/>
      <c r="BC655" s="31"/>
      <c r="BD655" s="31"/>
      <c r="BE655" s="31"/>
    </row>
    <row r="656" spans="1:57" ht="13">
      <c r="A656" s="153"/>
      <c r="F656" s="153"/>
      <c r="G656" s="116"/>
      <c r="H656" s="116"/>
      <c r="I656" s="116"/>
      <c r="J656" s="116"/>
      <c r="K656" s="219"/>
      <c r="L656" s="116"/>
      <c r="M656" s="31"/>
      <c r="N656" s="336"/>
      <c r="O656" s="336"/>
      <c r="P656" s="219"/>
      <c r="Q656" s="332"/>
      <c r="R656" s="219"/>
      <c r="S656" s="332"/>
      <c r="T656" s="219"/>
      <c r="U656" s="332"/>
      <c r="V656" s="332"/>
      <c r="W656" s="370"/>
      <c r="X656" s="370"/>
      <c r="Y656" s="370"/>
      <c r="Z656" s="370"/>
      <c r="AA656" s="370"/>
      <c r="AB656" s="370"/>
      <c r="AC656" s="370"/>
      <c r="AD656" s="370"/>
      <c r="AE656" s="370"/>
      <c r="AF656" s="370"/>
      <c r="AG656" s="370"/>
      <c r="AH656" s="370"/>
      <c r="AI656" s="370"/>
      <c r="AJ656" s="370"/>
      <c r="AL656" s="219"/>
      <c r="AM656" s="219"/>
      <c r="AN656" s="219"/>
      <c r="AO656" s="116"/>
      <c r="AP656" s="116"/>
      <c r="AU656" s="332"/>
      <c r="AV656" s="332"/>
      <c r="AW656" s="332"/>
      <c r="AX656" s="332"/>
      <c r="AY656" s="332"/>
      <c r="AZ656" s="332"/>
      <c r="BA656" s="332"/>
      <c r="BB656" s="31"/>
      <c r="BC656" s="31"/>
      <c r="BD656" s="31"/>
      <c r="BE656" s="31"/>
    </row>
    <row r="657" spans="1:57" ht="13">
      <c r="A657" s="153"/>
      <c r="F657" s="153"/>
      <c r="G657" s="116"/>
      <c r="H657" s="116"/>
      <c r="I657" s="116"/>
      <c r="J657" s="116"/>
      <c r="K657" s="219"/>
      <c r="L657" s="116"/>
      <c r="M657" s="31"/>
      <c r="N657" s="336"/>
      <c r="O657" s="336"/>
      <c r="P657" s="219"/>
      <c r="Q657" s="332"/>
      <c r="R657" s="219"/>
      <c r="S657" s="332"/>
      <c r="T657" s="219"/>
      <c r="U657" s="332"/>
      <c r="V657" s="332"/>
      <c r="W657" s="370"/>
      <c r="X657" s="370"/>
      <c r="Y657" s="370"/>
      <c r="Z657" s="370"/>
      <c r="AA657" s="370"/>
      <c r="AB657" s="370"/>
      <c r="AC657" s="370"/>
      <c r="AD657" s="370"/>
      <c r="AE657" s="370"/>
      <c r="AF657" s="370"/>
      <c r="AG657" s="370"/>
      <c r="AH657" s="370"/>
      <c r="AI657" s="370"/>
      <c r="AJ657" s="370"/>
      <c r="AL657" s="219"/>
      <c r="AM657" s="219"/>
      <c r="AN657" s="219"/>
      <c r="AO657" s="116"/>
      <c r="AP657" s="116"/>
      <c r="AU657" s="332"/>
      <c r="AV657" s="332"/>
      <c r="AW657" s="332"/>
      <c r="AX657" s="332"/>
      <c r="AY657" s="332"/>
      <c r="AZ657" s="332"/>
      <c r="BA657" s="332"/>
      <c r="BB657" s="31"/>
      <c r="BC657" s="31"/>
      <c r="BD657" s="31"/>
      <c r="BE657" s="31"/>
    </row>
    <row r="658" spans="1:57" ht="13">
      <c r="A658" s="153"/>
      <c r="F658" s="153"/>
      <c r="G658" s="116"/>
      <c r="H658" s="116"/>
      <c r="I658" s="116"/>
      <c r="J658" s="116"/>
      <c r="K658" s="219"/>
      <c r="L658" s="116"/>
      <c r="M658" s="31"/>
      <c r="N658" s="336"/>
      <c r="O658" s="336"/>
      <c r="P658" s="219"/>
      <c r="Q658" s="332"/>
      <c r="R658" s="219"/>
      <c r="S658" s="332"/>
      <c r="T658" s="219"/>
      <c r="U658" s="332"/>
      <c r="V658" s="332"/>
      <c r="W658" s="370"/>
      <c r="X658" s="370"/>
      <c r="Y658" s="370"/>
      <c r="Z658" s="370"/>
      <c r="AA658" s="370"/>
      <c r="AB658" s="370"/>
      <c r="AC658" s="370"/>
      <c r="AD658" s="370"/>
      <c r="AE658" s="370"/>
      <c r="AF658" s="370"/>
      <c r="AG658" s="370"/>
      <c r="AH658" s="370"/>
      <c r="AI658" s="370"/>
      <c r="AJ658" s="370"/>
      <c r="AL658" s="219"/>
      <c r="AM658" s="219"/>
      <c r="AN658" s="219"/>
      <c r="AO658" s="116"/>
      <c r="AP658" s="116"/>
      <c r="AU658" s="332"/>
      <c r="AV658" s="332"/>
      <c r="AW658" s="332"/>
      <c r="AX658" s="332"/>
      <c r="AY658" s="332"/>
      <c r="AZ658" s="332"/>
      <c r="BA658" s="332"/>
      <c r="BB658" s="31"/>
      <c r="BC658" s="31"/>
      <c r="BD658" s="31"/>
      <c r="BE658" s="31"/>
    </row>
    <row r="659" spans="1:57" ht="13">
      <c r="A659" s="153"/>
      <c r="F659" s="153"/>
      <c r="G659" s="116"/>
      <c r="H659" s="116"/>
      <c r="I659" s="116"/>
      <c r="J659" s="116"/>
      <c r="K659" s="219"/>
      <c r="L659" s="116"/>
      <c r="M659" s="31"/>
      <c r="N659" s="336"/>
      <c r="O659" s="336"/>
      <c r="P659" s="219"/>
      <c r="Q659" s="332"/>
      <c r="R659" s="219"/>
      <c r="S659" s="332"/>
      <c r="T659" s="219"/>
      <c r="U659" s="332"/>
      <c r="V659" s="332"/>
      <c r="W659" s="370"/>
      <c r="X659" s="370"/>
      <c r="Y659" s="370"/>
      <c r="Z659" s="370"/>
      <c r="AA659" s="370"/>
      <c r="AB659" s="370"/>
      <c r="AC659" s="370"/>
      <c r="AD659" s="370"/>
      <c r="AE659" s="370"/>
      <c r="AF659" s="370"/>
      <c r="AG659" s="370"/>
      <c r="AH659" s="370"/>
      <c r="AI659" s="370"/>
      <c r="AJ659" s="370"/>
      <c r="AL659" s="219"/>
      <c r="AM659" s="219"/>
      <c r="AN659" s="219"/>
      <c r="AO659" s="116"/>
      <c r="AP659" s="116"/>
      <c r="AU659" s="332"/>
      <c r="AV659" s="332"/>
      <c r="AW659" s="332"/>
      <c r="AX659" s="332"/>
      <c r="AY659" s="332"/>
      <c r="AZ659" s="332"/>
      <c r="BA659" s="332"/>
      <c r="BB659" s="31"/>
      <c r="BC659" s="31"/>
      <c r="BD659" s="31"/>
      <c r="BE659" s="31"/>
    </row>
    <row r="660" spans="1:57" ht="13">
      <c r="A660" s="153"/>
      <c r="F660" s="153"/>
      <c r="G660" s="116"/>
      <c r="H660" s="116"/>
      <c r="I660" s="116"/>
      <c r="J660" s="116"/>
      <c r="K660" s="219"/>
      <c r="L660" s="116"/>
      <c r="M660" s="31"/>
      <c r="N660" s="336"/>
      <c r="O660" s="336"/>
      <c r="P660" s="219"/>
      <c r="Q660" s="332"/>
      <c r="R660" s="219"/>
      <c r="S660" s="332"/>
      <c r="T660" s="219"/>
      <c r="U660" s="332"/>
      <c r="V660" s="332"/>
      <c r="W660" s="370"/>
      <c r="X660" s="370"/>
      <c r="Y660" s="370"/>
      <c r="Z660" s="370"/>
      <c r="AA660" s="370"/>
      <c r="AB660" s="370"/>
      <c r="AC660" s="370"/>
      <c r="AD660" s="370"/>
      <c r="AE660" s="370"/>
      <c r="AF660" s="370"/>
      <c r="AG660" s="370"/>
      <c r="AH660" s="370"/>
      <c r="AI660" s="370"/>
      <c r="AJ660" s="370"/>
      <c r="AL660" s="219"/>
      <c r="AM660" s="219"/>
      <c r="AN660" s="219"/>
      <c r="AO660" s="116"/>
      <c r="AP660" s="116"/>
      <c r="AU660" s="332"/>
      <c r="AV660" s="332"/>
      <c r="AW660" s="332"/>
      <c r="AX660" s="332"/>
      <c r="AY660" s="332"/>
      <c r="AZ660" s="332"/>
      <c r="BA660" s="332"/>
      <c r="BB660" s="31"/>
      <c r="BC660" s="31"/>
      <c r="BD660" s="31"/>
      <c r="BE660" s="31"/>
    </row>
    <row r="661" spans="1:57" ht="13">
      <c r="A661" s="153"/>
      <c r="F661" s="153"/>
      <c r="G661" s="116"/>
      <c r="H661" s="116"/>
      <c r="I661" s="116"/>
      <c r="J661" s="116"/>
      <c r="K661" s="219"/>
      <c r="L661" s="116"/>
      <c r="M661" s="31"/>
      <c r="N661" s="336"/>
      <c r="O661" s="336"/>
      <c r="P661" s="219"/>
      <c r="Q661" s="332"/>
      <c r="R661" s="219"/>
      <c r="S661" s="332"/>
      <c r="T661" s="219"/>
      <c r="U661" s="332"/>
      <c r="V661" s="332"/>
      <c r="W661" s="370"/>
      <c r="X661" s="370"/>
      <c r="Y661" s="370"/>
      <c r="Z661" s="370"/>
      <c r="AA661" s="370"/>
      <c r="AB661" s="370"/>
      <c r="AC661" s="370"/>
      <c r="AD661" s="370"/>
      <c r="AE661" s="370"/>
      <c r="AF661" s="370"/>
      <c r="AG661" s="370"/>
      <c r="AH661" s="370"/>
      <c r="AI661" s="370"/>
      <c r="AJ661" s="370"/>
      <c r="AL661" s="219"/>
      <c r="AM661" s="219"/>
      <c r="AN661" s="219"/>
      <c r="AO661" s="116"/>
      <c r="AP661" s="116"/>
      <c r="AU661" s="332"/>
      <c r="AV661" s="332"/>
      <c r="AW661" s="332"/>
      <c r="AX661" s="332"/>
      <c r="AY661" s="332"/>
      <c r="AZ661" s="332"/>
      <c r="BA661" s="332"/>
      <c r="BB661" s="31"/>
      <c r="BC661" s="31"/>
      <c r="BD661" s="31"/>
      <c r="BE661" s="31"/>
    </row>
    <row r="662" spans="1:57" ht="13">
      <c r="A662" s="153"/>
      <c r="F662" s="153"/>
      <c r="G662" s="116"/>
      <c r="H662" s="116"/>
      <c r="I662" s="116"/>
      <c r="J662" s="116"/>
      <c r="K662" s="219"/>
      <c r="L662" s="116"/>
      <c r="M662" s="31"/>
      <c r="N662" s="336"/>
      <c r="O662" s="336"/>
      <c r="P662" s="219"/>
      <c r="Q662" s="332"/>
      <c r="R662" s="219"/>
      <c r="S662" s="332"/>
      <c r="T662" s="219"/>
      <c r="U662" s="332"/>
      <c r="V662" s="332"/>
      <c r="W662" s="370"/>
      <c r="X662" s="370"/>
      <c r="Y662" s="370"/>
      <c r="Z662" s="370"/>
      <c r="AA662" s="370"/>
      <c r="AB662" s="370"/>
      <c r="AC662" s="370"/>
      <c r="AD662" s="370"/>
      <c r="AE662" s="370"/>
      <c r="AF662" s="370"/>
      <c r="AG662" s="370"/>
      <c r="AH662" s="370"/>
      <c r="AI662" s="370"/>
      <c r="AJ662" s="370"/>
      <c r="AL662" s="219"/>
      <c r="AM662" s="219"/>
      <c r="AN662" s="219"/>
      <c r="AO662" s="116"/>
      <c r="AP662" s="116"/>
      <c r="AU662" s="332"/>
      <c r="AV662" s="332"/>
      <c r="AW662" s="332"/>
      <c r="AX662" s="332"/>
      <c r="AY662" s="332"/>
      <c r="AZ662" s="332"/>
      <c r="BA662" s="332"/>
      <c r="BB662" s="31"/>
      <c r="BC662" s="31"/>
      <c r="BD662" s="31"/>
      <c r="BE662" s="31"/>
    </row>
    <row r="663" spans="1:57" ht="13">
      <c r="A663" s="153"/>
      <c r="F663" s="153"/>
      <c r="G663" s="116"/>
      <c r="H663" s="116"/>
      <c r="I663" s="116"/>
      <c r="J663" s="116"/>
      <c r="K663" s="219"/>
      <c r="L663" s="116"/>
      <c r="M663" s="31"/>
      <c r="N663" s="336"/>
      <c r="O663" s="336"/>
      <c r="P663" s="219"/>
      <c r="Q663" s="332"/>
      <c r="R663" s="219"/>
      <c r="S663" s="332"/>
      <c r="T663" s="219"/>
      <c r="U663" s="332"/>
      <c r="V663" s="332"/>
      <c r="W663" s="370"/>
      <c r="X663" s="370"/>
      <c r="Y663" s="370"/>
      <c r="Z663" s="370"/>
      <c r="AA663" s="370"/>
      <c r="AB663" s="370"/>
      <c r="AC663" s="370"/>
      <c r="AD663" s="370"/>
      <c r="AE663" s="370"/>
      <c r="AF663" s="370"/>
      <c r="AG663" s="370"/>
      <c r="AH663" s="370"/>
      <c r="AI663" s="370"/>
      <c r="AJ663" s="370"/>
      <c r="AL663" s="219"/>
      <c r="AM663" s="219"/>
      <c r="AN663" s="219"/>
      <c r="AO663" s="116"/>
      <c r="AP663" s="116"/>
      <c r="AU663" s="332"/>
      <c r="AV663" s="332"/>
      <c r="AW663" s="332"/>
      <c r="AX663" s="332"/>
      <c r="AY663" s="332"/>
      <c r="AZ663" s="332"/>
      <c r="BA663" s="332"/>
      <c r="BB663" s="31"/>
      <c r="BC663" s="31"/>
      <c r="BD663" s="31"/>
      <c r="BE663" s="31"/>
    </row>
    <row r="664" spans="1:57" ht="13">
      <c r="A664" s="153"/>
      <c r="F664" s="153"/>
      <c r="G664" s="116"/>
      <c r="H664" s="116"/>
      <c r="I664" s="116"/>
      <c r="J664" s="116"/>
      <c r="K664" s="219"/>
      <c r="L664" s="116"/>
      <c r="M664" s="31"/>
      <c r="N664" s="336"/>
      <c r="O664" s="336"/>
      <c r="P664" s="219"/>
      <c r="Q664" s="332"/>
      <c r="R664" s="219"/>
      <c r="S664" s="332"/>
      <c r="T664" s="219"/>
      <c r="U664" s="332"/>
      <c r="V664" s="332"/>
      <c r="W664" s="370"/>
      <c r="X664" s="370"/>
      <c r="Y664" s="370"/>
      <c r="Z664" s="370"/>
      <c r="AA664" s="370"/>
      <c r="AB664" s="370"/>
      <c r="AC664" s="370"/>
      <c r="AD664" s="370"/>
      <c r="AE664" s="370"/>
      <c r="AF664" s="370"/>
      <c r="AG664" s="370"/>
      <c r="AH664" s="370"/>
      <c r="AI664" s="370"/>
      <c r="AJ664" s="370"/>
      <c r="AL664" s="219"/>
      <c r="AM664" s="219"/>
      <c r="AN664" s="219"/>
      <c r="AO664" s="116"/>
      <c r="AP664" s="116"/>
      <c r="AU664" s="332"/>
      <c r="AV664" s="332"/>
      <c r="AW664" s="332"/>
      <c r="AX664" s="332"/>
      <c r="AY664" s="332"/>
      <c r="AZ664" s="332"/>
      <c r="BA664" s="332"/>
      <c r="BB664" s="31"/>
      <c r="BC664" s="31"/>
      <c r="BD664" s="31"/>
      <c r="BE664" s="31"/>
    </row>
    <row r="665" spans="1:57" ht="13">
      <c r="A665" s="153"/>
      <c r="F665" s="153"/>
      <c r="G665" s="116"/>
      <c r="H665" s="116"/>
      <c r="I665" s="116"/>
      <c r="J665" s="116"/>
      <c r="K665" s="219"/>
      <c r="L665" s="116"/>
      <c r="M665" s="31"/>
      <c r="N665" s="336"/>
      <c r="O665" s="336"/>
      <c r="P665" s="219"/>
      <c r="Q665" s="332"/>
      <c r="R665" s="219"/>
      <c r="S665" s="332"/>
      <c r="T665" s="219"/>
      <c r="U665" s="332"/>
      <c r="V665" s="332"/>
      <c r="W665" s="370"/>
      <c r="X665" s="370"/>
      <c r="Y665" s="370"/>
      <c r="Z665" s="370"/>
      <c r="AA665" s="370"/>
      <c r="AB665" s="370"/>
      <c r="AC665" s="370"/>
      <c r="AD665" s="370"/>
      <c r="AE665" s="370"/>
      <c r="AF665" s="370"/>
      <c r="AG665" s="370"/>
      <c r="AH665" s="370"/>
      <c r="AI665" s="370"/>
      <c r="AJ665" s="370"/>
      <c r="AL665" s="219"/>
      <c r="AM665" s="219"/>
      <c r="AN665" s="219"/>
      <c r="AO665" s="116"/>
      <c r="AP665" s="116"/>
      <c r="AU665" s="332"/>
      <c r="AV665" s="332"/>
      <c r="AW665" s="332"/>
      <c r="AX665" s="332"/>
      <c r="AY665" s="332"/>
      <c r="AZ665" s="332"/>
      <c r="BA665" s="332"/>
      <c r="BB665" s="31"/>
      <c r="BC665" s="31"/>
      <c r="BD665" s="31"/>
      <c r="BE665" s="31"/>
    </row>
    <row r="666" spans="1:57" ht="13">
      <c r="A666" s="153"/>
      <c r="F666" s="153"/>
      <c r="G666" s="116"/>
      <c r="H666" s="116"/>
      <c r="I666" s="116"/>
      <c r="J666" s="116"/>
      <c r="K666" s="219"/>
      <c r="L666" s="116"/>
      <c r="M666" s="31"/>
      <c r="N666" s="336"/>
      <c r="O666" s="336"/>
      <c r="P666" s="219"/>
      <c r="Q666" s="332"/>
      <c r="R666" s="219"/>
      <c r="S666" s="332"/>
      <c r="T666" s="219"/>
      <c r="U666" s="332"/>
      <c r="V666" s="332"/>
      <c r="W666" s="370"/>
      <c r="X666" s="370"/>
      <c r="Y666" s="370"/>
      <c r="Z666" s="370"/>
      <c r="AA666" s="370"/>
      <c r="AB666" s="370"/>
      <c r="AC666" s="370"/>
      <c r="AD666" s="370"/>
      <c r="AE666" s="370"/>
      <c r="AF666" s="370"/>
      <c r="AG666" s="370"/>
      <c r="AH666" s="370"/>
      <c r="AI666" s="370"/>
      <c r="AJ666" s="370"/>
      <c r="AL666" s="219"/>
      <c r="AM666" s="219"/>
      <c r="AN666" s="219"/>
      <c r="AO666" s="116"/>
      <c r="AP666" s="116"/>
      <c r="AU666" s="332"/>
      <c r="AV666" s="332"/>
      <c r="AW666" s="332"/>
      <c r="AX666" s="332"/>
      <c r="AY666" s="332"/>
      <c r="AZ666" s="332"/>
      <c r="BA666" s="332"/>
      <c r="BB666" s="31"/>
      <c r="BC666" s="31"/>
      <c r="BD666" s="31"/>
      <c r="BE666" s="31"/>
    </row>
    <row r="667" spans="1:57" ht="13">
      <c r="A667" s="153"/>
      <c r="F667" s="153"/>
      <c r="G667" s="116"/>
      <c r="H667" s="116"/>
      <c r="I667" s="116"/>
      <c r="J667" s="116"/>
      <c r="K667" s="219"/>
      <c r="L667" s="116"/>
      <c r="M667" s="31"/>
      <c r="N667" s="336"/>
      <c r="O667" s="336"/>
      <c r="P667" s="219"/>
      <c r="Q667" s="332"/>
      <c r="R667" s="219"/>
      <c r="S667" s="332"/>
      <c r="T667" s="219"/>
      <c r="U667" s="332"/>
      <c r="V667" s="332"/>
      <c r="W667" s="370"/>
      <c r="X667" s="370"/>
      <c r="Y667" s="370"/>
      <c r="Z667" s="370"/>
      <c r="AA667" s="370"/>
      <c r="AB667" s="370"/>
      <c r="AC667" s="370"/>
      <c r="AD667" s="370"/>
      <c r="AE667" s="370"/>
      <c r="AF667" s="370"/>
      <c r="AG667" s="370"/>
      <c r="AH667" s="370"/>
      <c r="AI667" s="370"/>
      <c r="AJ667" s="370"/>
      <c r="AL667" s="219"/>
      <c r="AM667" s="219"/>
      <c r="AN667" s="219"/>
      <c r="AO667" s="116"/>
      <c r="AP667" s="116"/>
      <c r="AU667" s="332"/>
      <c r="AV667" s="332"/>
      <c r="AW667" s="332"/>
      <c r="AX667" s="332"/>
      <c r="AY667" s="332"/>
      <c r="AZ667" s="332"/>
      <c r="BA667" s="332"/>
      <c r="BB667" s="31"/>
      <c r="BC667" s="31"/>
      <c r="BD667" s="31"/>
      <c r="BE667" s="31"/>
    </row>
    <row r="668" spans="1:57" ht="13">
      <c r="A668" s="153"/>
      <c r="F668" s="153"/>
      <c r="G668" s="116"/>
      <c r="H668" s="116"/>
      <c r="I668" s="116"/>
      <c r="J668" s="116"/>
      <c r="K668" s="219"/>
      <c r="L668" s="116"/>
      <c r="M668" s="31"/>
      <c r="N668" s="336"/>
      <c r="O668" s="336"/>
      <c r="P668" s="219"/>
      <c r="Q668" s="332"/>
      <c r="R668" s="219"/>
      <c r="S668" s="332"/>
      <c r="T668" s="219"/>
      <c r="U668" s="332"/>
      <c r="V668" s="332"/>
      <c r="W668" s="370"/>
      <c r="X668" s="370"/>
      <c r="Y668" s="370"/>
      <c r="Z668" s="370"/>
      <c r="AA668" s="370"/>
      <c r="AB668" s="370"/>
      <c r="AC668" s="370"/>
      <c r="AD668" s="370"/>
      <c r="AE668" s="370"/>
      <c r="AF668" s="370"/>
      <c r="AG668" s="370"/>
      <c r="AH668" s="370"/>
      <c r="AI668" s="370"/>
      <c r="AJ668" s="370"/>
      <c r="AL668" s="219"/>
      <c r="AM668" s="219"/>
      <c r="AN668" s="219"/>
      <c r="AO668" s="116"/>
      <c r="AP668" s="116"/>
      <c r="AU668" s="332"/>
      <c r="AV668" s="332"/>
      <c r="AW668" s="332"/>
      <c r="AX668" s="332"/>
      <c r="AY668" s="332"/>
      <c r="AZ668" s="332"/>
      <c r="BA668" s="332"/>
      <c r="BB668" s="31"/>
      <c r="BC668" s="31"/>
      <c r="BD668" s="31"/>
      <c r="BE668" s="31"/>
    </row>
    <row r="669" spans="1:57" ht="13">
      <c r="A669" s="153"/>
      <c r="F669" s="153"/>
      <c r="G669" s="116"/>
      <c r="H669" s="116"/>
      <c r="I669" s="116"/>
      <c r="J669" s="116"/>
      <c r="K669" s="219"/>
      <c r="L669" s="116"/>
      <c r="M669" s="31"/>
      <c r="N669" s="336"/>
      <c r="O669" s="336"/>
      <c r="P669" s="219"/>
      <c r="Q669" s="332"/>
      <c r="R669" s="219"/>
      <c r="S669" s="332"/>
      <c r="T669" s="219"/>
      <c r="U669" s="332"/>
      <c r="V669" s="332"/>
      <c r="W669" s="370"/>
      <c r="X669" s="370"/>
      <c r="Y669" s="370"/>
      <c r="Z669" s="370"/>
      <c r="AA669" s="370"/>
      <c r="AB669" s="370"/>
      <c r="AC669" s="370"/>
      <c r="AD669" s="370"/>
      <c r="AE669" s="370"/>
      <c r="AF669" s="370"/>
      <c r="AG669" s="370"/>
      <c r="AH669" s="370"/>
      <c r="AI669" s="370"/>
      <c r="AJ669" s="370"/>
      <c r="AL669" s="219"/>
      <c r="AM669" s="219"/>
      <c r="AN669" s="219"/>
      <c r="AO669" s="116"/>
      <c r="AP669" s="116"/>
      <c r="AU669" s="332"/>
      <c r="AV669" s="332"/>
      <c r="AW669" s="332"/>
      <c r="AX669" s="332"/>
      <c r="AY669" s="332"/>
      <c r="AZ669" s="332"/>
      <c r="BA669" s="332"/>
      <c r="BB669" s="31"/>
      <c r="BC669" s="31"/>
      <c r="BD669" s="31"/>
      <c r="BE669" s="31"/>
    </row>
    <row r="670" spans="1:57" ht="13">
      <c r="A670" s="153"/>
      <c r="F670" s="153"/>
      <c r="G670" s="116"/>
      <c r="H670" s="116"/>
      <c r="I670" s="116"/>
      <c r="J670" s="116"/>
      <c r="K670" s="219"/>
      <c r="L670" s="116"/>
      <c r="M670" s="31"/>
      <c r="N670" s="336"/>
      <c r="O670" s="336"/>
      <c r="P670" s="219"/>
      <c r="Q670" s="332"/>
      <c r="R670" s="219"/>
      <c r="S670" s="332"/>
      <c r="T670" s="219"/>
      <c r="U670" s="332"/>
      <c r="V670" s="332"/>
      <c r="W670" s="370"/>
      <c r="X670" s="370"/>
      <c r="Y670" s="370"/>
      <c r="Z670" s="370"/>
      <c r="AA670" s="370"/>
      <c r="AB670" s="370"/>
      <c r="AC670" s="370"/>
      <c r="AD670" s="370"/>
      <c r="AE670" s="370"/>
      <c r="AF670" s="370"/>
      <c r="AG670" s="370"/>
      <c r="AH670" s="370"/>
      <c r="AI670" s="370"/>
      <c r="AJ670" s="370"/>
      <c r="AL670" s="219"/>
      <c r="AM670" s="219"/>
      <c r="AN670" s="219"/>
      <c r="AO670" s="116"/>
      <c r="AP670" s="116"/>
      <c r="AU670" s="332"/>
      <c r="AV670" s="332"/>
      <c r="AW670" s="332"/>
      <c r="AX670" s="332"/>
      <c r="AY670" s="332"/>
      <c r="AZ670" s="332"/>
      <c r="BA670" s="332"/>
      <c r="BB670" s="31"/>
      <c r="BC670" s="31"/>
      <c r="BD670" s="31"/>
      <c r="BE670" s="31"/>
    </row>
    <row r="671" spans="1:57" ht="13">
      <c r="A671" s="153"/>
      <c r="F671" s="153"/>
      <c r="G671" s="116"/>
      <c r="H671" s="116"/>
      <c r="I671" s="116"/>
      <c r="J671" s="116"/>
      <c r="K671" s="219"/>
      <c r="L671" s="116"/>
      <c r="M671" s="31"/>
      <c r="N671" s="336"/>
      <c r="O671" s="336"/>
      <c r="P671" s="219"/>
      <c r="Q671" s="332"/>
      <c r="R671" s="219"/>
      <c r="S671" s="332"/>
      <c r="T671" s="219"/>
      <c r="U671" s="332"/>
      <c r="V671" s="332"/>
      <c r="W671" s="370"/>
      <c r="X671" s="370"/>
      <c r="Y671" s="370"/>
      <c r="Z671" s="370"/>
      <c r="AA671" s="370"/>
      <c r="AB671" s="370"/>
      <c r="AC671" s="370"/>
      <c r="AD671" s="370"/>
      <c r="AE671" s="370"/>
      <c r="AF671" s="370"/>
      <c r="AG671" s="370"/>
      <c r="AH671" s="370"/>
      <c r="AI671" s="370"/>
      <c r="AJ671" s="370"/>
      <c r="AL671" s="219"/>
      <c r="AM671" s="219"/>
      <c r="AN671" s="219"/>
      <c r="AO671" s="116"/>
      <c r="AP671" s="116"/>
      <c r="AU671" s="332"/>
      <c r="AV671" s="332"/>
      <c r="AW671" s="332"/>
      <c r="AX671" s="332"/>
      <c r="AY671" s="332"/>
      <c r="AZ671" s="332"/>
      <c r="BA671" s="332"/>
      <c r="BB671" s="31"/>
      <c r="BC671" s="31"/>
      <c r="BD671" s="31"/>
      <c r="BE671" s="31"/>
    </row>
    <row r="672" spans="1:57" ht="13">
      <c r="A672" s="153"/>
      <c r="F672" s="153"/>
      <c r="G672" s="116"/>
      <c r="H672" s="116"/>
      <c r="I672" s="116"/>
      <c r="J672" s="116"/>
      <c r="K672" s="219"/>
      <c r="L672" s="116"/>
      <c r="M672" s="31"/>
      <c r="N672" s="336"/>
      <c r="O672" s="336"/>
      <c r="P672" s="219"/>
      <c r="Q672" s="332"/>
      <c r="R672" s="219"/>
      <c r="S672" s="332"/>
      <c r="T672" s="219"/>
      <c r="U672" s="332"/>
      <c r="V672" s="332"/>
      <c r="W672" s="370"/>
      <c r="X672" s="370"/>
      <c r="Y672" s="370"/>
      <c r="Z672" s="370"/>
      <c r="AA672" s="370"/>
      <c r="AB672" s="370"/>
      <c r="AC672" s="370"/>
      <c r="AD672" s="370"/>
      <c r="AE672" s="370"/>
      <c r="AF672" s="370"/>
      <c r="AG672" s="370"/>
      <c r="AH672" s="370"/>
      <c r="AI672" s="370"/>
      <c r="AJ672" s="370"/>
      <c r="AL672" s="219"/>
      <c r="AM672" s="219"/>
      <c r="AN672" s="219"/>
      <c r="AO672" s="116"/>
      <c r="AP672" s="116"/>
      <c r="AU672" s="332"/>
      <c r="AV672" s="332"/>
      <c r="AW672" s="332"/>
      <c r="AX672" s="332"/>
      <c r="AY672" s="332"/>
      <c r="AZ672" s="332"/>
      <c r="BA672" s="332"/>
      <c r="BB672" s="31"/>
      <c r="BC672" s="31"/>
      <c r="BD672" s="31"/>
      <c r="BE672" s="31"/>
    </row>
    <row r="673" spans="1:57" ht="13">
      <c r="A673" s="153"/>
      <c r="F673" s="153"/>
      <c r="G673" s="116"/>
      <c r="H673" s="116"/>
      <c r="I673" s="116"/>
      <c r="J673" s="116"/>
      <c r="K673" s="219"/>
      <c r="L673" s="116"/>
      <c r="M673" s="31"/>
      <c r="N673" s="336"/>
      <c r="O673" s="336"/>
      <c r="P673" s="219"/>
      <c r="Q673" s="332"/>
      <c r="R673" s="219"/>
      <c r="S673" s="332"/>
      <c r="T673" s="219"/>
      <c r="U673" s="332"/>
      <c r="V673" s="332"/>
      <c r="W673" s="370"/>
      <c r="X673" s="370"/>
      <c r="Y673" s="370"/>
      <c r="Z673" s="370"/>
      <c r="AA673" s="370"/>
      <c r="AB673" s="370"/>
      <c r="AC673" s="370"/>
      <c r="AD673" s="370"/>
      <c r="AE673" s="370"/>
      <c r="AF673" s="370"/>
      <c r="AG673" s="370"/>
      <c r="AH673" s="370"/>
      <c r="AI673" s="370"/>
      <c r="AJ673" s="370"/>
      <c r="AL673" s="219"/>
      <c r="AM673" s="219"/>
      <c r="AN673" s="219"/>
      <c r="AO673" s="116"/>
      <c r="AP673" s="116"/>
      <c r="AU673" s="332"/>
      <c r="AV673" s="332"/>
      <c r="AW673" s="332"/>
      <c r="AX673" s="332"/>
      <c r="AY673" s="332"/>
      <c r="AZ673" s="332"/>
      <c r="BA673" s="332"/>
      <c r="BB673" s="31"/>
      <c r="BC673" s="31"/>
      <c r="BD673" s="31"/>
      <c r="BE673" s="31"/>
    </row>
    <row r="674" spans="1:57" ht="13">
      <c r="A674" s="153"/>
      <c r="F674" s="153"/>
      <c r="G674" s="116"/>
      <c r="H674" s="116"/>
      <c r="I674" s="116"/>
      <c r="J674" s="116"/>
      <c r="K674" s="219"/>
      <c r="L674" s="116"/>
      <c r="M674" s="31"/>
      <c r="N674" s="336"/>
      <c r="O674" s="336"/>
      <c r="P674" s="219"/>
      <c r="Q674" s="332"/>
      <c r="R674" s="219"/>
      <c r="S674" s="332"/>
      <c r="T674" s="219"/>
      <c r="U674" s="332"/>
      <c r="V674" s="332"/>
      <c r="W674" s="370"/>
      <c r="X674" s="370"/>
      <c r="Y674" s="370"/>
      <c r="Z674" s="370"/>
      <c r="AA674" s="370"/>
      <c r="AB674" s="370"/>
      <c r="AC674" s="370"/>
      <c r="AD674" s="370"/>
      <c r="AE674" s="370"/>
      <c r="AF674" s="370"/>
      <c r="AG674" s="370"/>
      <c r="AH674" s="370"/>
      <c r="AI674" s="370"/>
      <c r="AJ674" s="370"/>
      <c r="AL674" s="219"/>
      <c r="AM674" s="219"/>
      <c r="AN674" s="219"/>
      <c r="AO674" s="116"/>
      <c r="AP674" s="116"/>
      <c r="AU674" s="332"/>
      <c r="AV674" s="332"/>
      <c r="AW674" s="332"/>
      <c r="AX674" s="332"/>
      <c r="AY674" s="332"/>
      <c r="AZ674" s="332"/>
      <c r="BA674" s="332"/>
      <c r="BB674" s="31"/>
      <c r="BC674" s="31"/>
      <c r="BD674" s="31"/>
      <c r="BE674" s="31"/>
    </row>
    <row r="675" spans="1:57" ht="13">
      <c r="A675" s="153"/>
      <c r="F675" s="153"/>
      <c r="G675" s="116"/>
      <c r="H675" s="116"/>
      <c r="I675" s="116"/>
      <c r="J675" s="116"/>
      <c r="K675" s="219"/>
      <c r="L675" s="116"/>
      <c r="M675" s="31"/>
      <c r="N675" s="336"/>
      <c r="O675" s="336"/>
      <c r="P675" s="219"/>
      <c r="Q675" s="332"/>
      <c r="R675" s="219"/>
      <c r="S675" s="332"/>
      <c r="T675" s="219"/>
      <c r="U675" s="332"/>
      <c r="V675" s="332"/>
      <c r="W675" s="370"/>
      <c r="X675" s="370"/>
      <c r="Y675" s="370"/>
      <c r="Z675" s="370"/>
      <c r="AA675" s="370"/>
      <c r="AB675" s="370"/>
      <c r="AC675" s="370"/>
      <c r="AD675" s="370"/>
      <c r="AE675" s="370"/>
      <c r="AF675" s="370"/>
      <c r="AG675" s="370"/>
      <c r="AH675" s="370"/>
      <c r="AI675" s="370"/>
      <c r="AJ675" s="370"/>
      <c r="AL675" s="219"/>
      <c r="AM675" s="219"/>
      <c r="AN675" s="219"/>
      <c r="AO675" s="116"/>
      <c r="AP675" s="116"/>
      <c r="AU675" s="332"/>
      <c r="AV675" s="332"/>
      <c r="AW675" s="332"/>
      <c r="AX675" s="332"/>
      <c r="AY675" s="332"/>
      <c r="AZ675" s="332"/>
      <c r="BA675" s="332"/>
      <c r="BB675" s="31"/>
      <c r="BC675" s="31"/>
      <c r="BD675" s="31"/>
      <c r="BE675" s="31"/>
    </row>
    <row r="676" spans="1:57" ht="13">
      <c r="A676" s="153"/>
      <c r="F676" s="153"/>
      <c r="G676" s="116"/>
      <c r="H676" s="116"/>
      <c r="I676" s="116"/>
      <c r="J676" s="116"/>
      <c r="K676" s="219"/>
      <c r="L676" s="116"/>
      <c r="M676" s="31"/>
      <c r="N676" s="336"/>
      <c r="O676" s="336"/>
      <c r="P676" s="219"/>
      <c r="Q676" s="332"/>
      <c r="R676" s="219"/>
      <c r="S676" s="332"/>
      <c r="T676" s="219"/>
      <c r="U676" s="332"/>
      <c r="V676" s="332"/>
      <c r="W676" s="370"/>
      <c r="X676" s="370"/>
      <c r="Y676" s="370"/>
      <c r="Z676" s="370"/>
      <c r="AA676" s="370"/>
      <c r="AB676" s="370"/>
      <c r="AC676" s="370"/>
      <c r="AD676" s="370"/>
      <c r="AE676" s="370"/>
      <c r="AF676" s="370"/>
      <c r="AG676" s="370"/>
      <c r="AH676" s="370"/>
      <c r="AI676" s="370"/>
      <c r="AJ676" s="370"/>
      <c r="AL676" s="219"/>
      <c r="AM676" s="219"/>
      <c r="AN676" s="219"/>
      <c r="AO676" s="116"/>
      <c r="AP676" s="116"/>
      <c r="AU676" s="332"/>
      <c r="AV676" s="332"/>
      <c r="AW676" s="332"/>
      <c r="AX676" s="332"/>
      <c r="AY676" s="332"/>
      <c r="AZ676" s="332"/>
      <c r="BA676" s="332"/>
      <c r="BB676" s="31"/>
      <c r="BC676" s="31"/>
      <c r="BD676" s="31"/>
      <c r="BE676" s="31"/>
    </row>
    <row r="677" spans="1:57" ht="13">
      <c r="A677" s="153"/>
      <c r="F677" s="153"/>
      <c r="G677" s="116"/>
      <c r="H677" s="116"/>
      <c r="I677" s="116"/>
      <c r="J677" s="116"/>
      <c r="K677" s="219"/>
      <c r="L677" s="116"/>
      <c r="M677" s="31"/>
      <c r="N677" s="336"/>
      <c r="O677" s="336"/>
      <c r="P677" s="219"/>
      <c r="Q677" s="332"/>
      <c r="R677" s="219"/>
      <c r="S677" s="332"/>
      <c r="T677" s="219"/>
      <c r="U677" s="332"/>
      <c r="V677" s="332"/>
      <c r="W677" s="370"/>
      <c r="X677" s="370"/>
      <c r="Y677" s="370"/>
      <c r="Z677" s="370"/>
      <c r="AA677" s="370"/>
      <c r="AB677" s="370"/>
      <c r="AC677" s="370"/>
      <c r="AD677" s="370"/>
      <c r="AE677" s="370"/>
      <c r="AF677" s="370"/>
      <c r="AG677" s="370"/>
      <c r="AH677" s="370"/>
      <c r="AI677" s="370"/>
      <c r="AJ677" s="370"/>
      <c r="AL677" s="219"/>
      <c r="AM677" s="219"/>
      <c r="AN677" s="219"/>
      <c r="AO677" s="116"/>
      <c r="AP677" s="116"/>
      <c r="AU677" s="332"/>
      <c r="AV677" s="332"/>
      <c r="AW677" s="332"/>
      <c r="AX677" s="332"/>
      <c r="AY677" s="332"/>
      <c r="AZ677" s="332"/>
      <c r="BA677" s="332"/>
      <c r="BB677" s="31"/>
      <c r="BC677" s="31"/>
      <c r="BD677" s="31"/>
      <c r="BE677" s="31"/>
    </row>
    <row r="678" spans="1:57" ht="13">
      <c r="A678" s="153"/>
      <c r="F678" s="153"/>
      <c r="G678" s="116"/>
      <c r="H678" s="116"/>
      <c r="I678" s="116"/>
      <c r="J678" s="116"/>
      <c r="K678" s="219"/>
      <c r="L678" s="116"/>
      <c r="M678" s="31"/>
      <c r="N678" s="336"/>
      <c r="O678" s="336"/>
      <c r="P678" s="219"/>
      <c r="Q678" s="332"/>
      <c r="R678" s="219"/>
      <c r="S678" s="332"/>
      <c r="T678" s="219"/>
      <c r="U678" s="332"/>
      <c r="V678" s="332"/>
      <c r="W678" s="370"/>
      <c r="X678" s="370"/>
      <c r="Y678" s="370"/>
      <c r="Z678" s="370"/>
      <c r="AA678" s="370"/>
      <c r="AB678" s="370"/>
      <c r="AC678" s="370"/>
      <c r="AD678" s="370"/>
      <c r="AE678" s="370"/>
      <c r="AF678" s="370"/>
      <c r="AG678" s="370"/>
      <c r="AH678" s="370"/>
      <c r="AI678" s="370"/>
      <c r="AJ678" s="370"/>
      <c r="AL678" s="219"/>
      <c r="AM678" s="219"/>
      <c r="AN678" s="219"/>
      <c r="AO678" s="116"/>
      <c r="AP678" s="116"/>
      <c r="AU678" s="332"/>
      <c r="AV678" s="332"/>
      <c r="AW678" s="332"/>
      <c r="AX678" s="332"/>
      <c r="AY678" s="332"/>
      <c r="AZ678" s="332"/>
      <c r="BA678" s="332"/>
      <c r="BB678" s="31"/>
      <c r="BC678" s="31"/>
      <c r="BD678" s="31"/>
      <c r="BE678" s="31"/>
    </row>
    <row r="679" spans="1:57" ht="13">
      <c r="A679" s="153"/>
      <c r="F679" s="153"/>
      <c r="G679" s="116"/>
      <c r="H679" s="116"/>
      <c r="I679" s="116"/>
      <c r="J679" s="116"/>
      <c r="K679" s="219"/>
      <c r="L679" s="116"/>
      <c r="M679" s="31"/>
      <c r="N679" s="336"/>
      <c r="O679" s="336"/>
      <c r="P679" s="219"/>
      <c r="Q679" s="332"/>
      <c r="R679" s="219"/>
      <c r="S679" s="332"/>
      <c r="T679" s="219"/>
      <c r="U679" s="332"/>
      <c r="V679" s="332"/>
      <c r="W679" s="370"/>
      <c r="X679" s="370"/>
      <c r="Y679" s="370"/>
      <c r="Z679" s="370"/>
      <c r="AA679" s="370"/>
      <c r="AB679" s="370"/>
      <c r="AC679" s="370"/>
      <c r="AD679" s="370"/>
      <c r="AE679" s="370"/>
      <c r="AF679" s="370"/>
      <c r="AG679" s="370"/>
      <c r="AH679" s="370"/>
      <c r="AI679" s="370"/>
      <c r="AJ679" s="370"/>
      <c r="AL679" s="219"/>
      <c r="AM679" s="219"/>
      <c r="AN679" s="219"/>
      <c r="AO679" s="116"/>
      <c r="AP679" s="116"/>
      <c r="AU679" s="332"/>
      <c r="AV679" s="332"/>
      <c r="AW679" s="332"/>
      <c r="AX679" s="332"/>
      <c r="AY679" s="332"/>
      <c r="AZ679" s="332"/>
      <c r="BA679" s="332"/>
      <c r="BB679" s="31"/>
      <c r="BC679" s="31"/>
      <c r="BD679" s="31"/>
      <c r="BE679" s="31"/>
    </row>
    <row r="680" spans="1:57" ht="13">
      <c r="A680" s="153"/>
      <c r="F680" s="153"/>
      <c r="G680" s="116"/>
      <c r="H680" s="116"/>
      <c r="I680" s="116"/>
      <c r="J680" s="116"/>
      <c r="K680" s="219"/>
      <c r="L680" s="116"/>
      <c r="M680" s="31"/>
      <c r="N680" s="336"/>
      <c r="O680" s="336"/>
      <c r="P680" s="219"/>
      <c r="Q680" s="332"/>
      <c r="R680" s="219"/>
      <c r="S680" s="332"/>
      <c r="T680" s="219"/>
      <c r="U680" s="332"/>
      <c r="V680" s="332"/>
      <c r="W680" s="370"/>
      <c r="X680" s="370"/>
      <c r="Y680" s="370"/>
      <c r="Z680" s="370"/>
      <c r="AA680" s="370"/>
      <c r="AB680" s="370"/>
      <c r="AC680" s="370"/>
      <c r="AD680" s="370"/>
      <c r="AE680" s="370"/>
      <c r="AF680" s="370"/>
      <c r="AG680" s="370"/>
      <c r="AH680" s="370"/>
      <c r="AI680" s="370"/>
      <c r="AJ680" s="370"/>
      <c r="AL680" s="219"/>
      <c r="AM680" s="219"/>
      <c r="AN680" s="219"/>
      <c r="AO680" s="116"/>
      <c r="AP680" s="116"/>
      <c r="AU680" s="332"/>
      <c r="AV680" s="332"/>
      <c r="AW680" s="332"/>
      <c r="AX680" s="332"/>
      <c r="AY680" s="332"/>
      <c r="AZ680" s="332"/>
      <c r="BA680" s="332"/>
      <c r="BB680" s="31"/>
      <c r="BC680" s="31"/>
      <c r="BD680" s="31"/>
      <c r="BE680" s="31"/>
    </row>
    <row r="681" spans="1:57" ht="13">
      <c r="A681" s="153"/>
      <c r="F681" s="153"/>
      <c r="G681" s="116"/>
      <c r="H681" s="116"/>
      <c r="I681" s="116"/>
      <c r="J681" s="116"/>
      <c r="K681" s="219"/>
      <c r="L681" s="116"/>
      <c r="M681" s="31"/>
      <c r="N681" s="336"/>
      <c r="O681" s="336"/>
      <c r="P681" s="219"/>
      <c r="Q681" s="332"/>
      <c r="R681" s="219"/>
      <c r="S681" s="332"/>
      <c r="T681" s="219"/>
      <c r="U681" s="332"/>
      <c r="V681" s="332"/>
      <c r="W681" s="370"/>
      <c r="X681" s="370"/>
      <c r="Y681" s="370"/>
      <c r="Z681" s="370"/>
      <c r="AA681" s="370"/>
      <c r="AB681" s="370"/>
      <c r="AC681" s="370"/>
      <c r="AD681" s="370"/>
      <c r="AE681" s="370"/>
      <c r="AF681" s="370"/>
      <c r="AG681" s="370"/>
      <c r="AH681" s="370"/>
      <c r="AI681" s="370"/>
      <c r="AJ681" s="370"/>
      <c r="AL681" s="219"/>
      <c r="AM681" s="219"/>
      <c r="AN681" s="219"/>
      <c r="AO681" s="116"/>
      <c r="AP681" s="116"/>
      <c r="AU681" s="332"/>
      <c r="AV681" s="332"/>
      <c r="AW681" s="332"/>
      <c r="AX681" s="332"/>
      <c r="AY681" s="332"/>
      <c r="AZ681" s="332"/>
      <c r="BA681" s="332"/>
      <c r="BB681" s="31"/>
      <c r="BC681" s="31"/>
      <c r="BD681" s="31"/>
      <c r="BE681" s="31"/>
    </row>
    <row r="682" spans="1:57" ht="13">
      <c r="A682" s="153"/>
      <c r="F682" s="153"/>
      <c r="G682" s="116"/>
      <c r="H682" s="116"/>
      <c r="I682" s="116"/>
      <c r="J682" s="116"/>
      <c r="K682" s="219"/>
      <c r="L682" s="116"/>
      <c r="M682" s="31"/>
      <c r="N682" s="336"/>
      <c r="O682" s="336"/>
      <c r="P682" s="219"/>
      <c r="Q682" s="332"/>
      <c r="R682" s="219"/>
      <c r="S682" s="332"/>
      <c r="T682" s="219"/>
      <c r="U682" s="332"/>
      <c r="V682" s="332"/>
      <c r="W682" s="370"/>
      <c r="X682" s="370"/>
      <c r="Y682" s="370"/>
      <c r="Z682" s="370"/>
      <c r="AA682" s="370"/>
      <c r="AB682" s="370"/>
      <c r="AC682" s="370"/>
      <c r="AD682" s="370"/>
      <c r="AE682" s="370"/>
      <c r="AF682" s="370"/>
      <c r="AG682" s="370"/>
      <c r="AH682" s="370"/>
      <c r="AI682" s="370"/>
      <c r="AJ682" s="370"/>
      <c r="AL682" s="219"/>
      <c r="AM682" s="219"/>
      <c r="AN682" s="219"/>
      <c r="AO682" s="116"/>
      <c r="AP682" s="116"/>
      <c r="AU682" s="332"/>
      <c r="AV682" s="332"/>
      <c r="AW682" s="332"/>
      <c r="AX682" s="332"/>
      <c r="AY682" s="332"/>
      <c r="AZ682" s="332"/>
      <c r="BA682" s="332"/>
      <c r="BB682" s="31"/>
      <c r="BC682" s="31"/>
      <c r="BD682" s="31"/>
      <c r="BE682" s="31"/>
    </row>
    <row r="683" spans="1:57" ht="13">
      <c r="A683" s="153"/>
      <c r="F683" s="153"/>
      <c r="G683" s="116"/>
      <c r="H683" s="116"/>
      <c r="I683" s="116"/>
      <c r="J683" s="116"/>
      <c r="K683" s="219"/>
      <c r="L683" s="116"/>
      <c r="M683" s="31"/>
      <c r="N683" s="336"/>
      <c r="O683" s="336"/>
      <c r="P683" s="219"/>
      <c r="Q683" s="332"/>
      <c r="R683" s="219"/>
      <c r="S683" s="332"/>
      <c r="T683" s="219"/>
      <c r="U683" s="332"/>
      <c r="V683" s="332"/>
      <c r="W683" s="370"/>
      <c r="X683" s="370"/>
      <c r="Y683" s="370"/>
      <c r="Z683" s="370"/>
      <c r="AA683" s="370"/>
      <c r="AB683" s="370"/>
      <c r="AC683" s="370"/>
      <c r="AD683" s="370"/>
      <c r="AE683" s="370"/>
      <c r="AF683" s="370"/>
      <c r="AG683" s="370"/>
      <c r="AH683" s="370"/>
      <c r="AI683" s="370"/>
      <c r="AJ683" s="370"/>
      <c r="AL683" s="219"/>
      <c r="AM683" s="219"/>
      <c r="AN683" s="219"/>
      <c r="AO683" s="116"/>
      <c r="AP683" s="116"/>
      <c r="AU683" s="332"/>
      <c r="AV683" s="332"/>
      <c r="AW683" s="332"/>
      <c r="AX683" s="332"/>
      <c r="AY683" s="332"/>
      <c r="AZ683" s="332"/>
      <c r="BA683" s="332"/>
      <c r="BB683" s="31"/>
      <c r="BC683" s="31"/>
      <c r="BD683" s="31"/>
      <c r="BE683" s="31"/>
    </row>
    <row r="684" spans="1:57" ht="13">
      <c r="A684" s="153"/>
      <c r="F684" s="153"/>
      <c r="G684" s="116"/>
      <c r="H684" s="116"/>
      <c r="I684" s="116"/>
      <c r="J684" s="116"/>
      <c r="K684" s="219"/>
      <c r="L684" s="116"/>
      <c r="M684" s="31"/>
      <c r="N684" s="336"/>
      <c r="O684" s="336"/>
      <c r="P684" s="219"/>
      <c r="Q684" s="332"/>
      <c r="R684" s="219"/>
      <c r="S684" s="332"/>
      <c r="T684" s="219"/>
      <c r="U684" s="332"/>
      <c r="V684" s="332"/>
      <c r="W684" s="370"/>
      <c r="X684" s="370"/>
      <c r="Y684" s="370"/>
      <c r="Z684" s="370"/>
      <c r="AA684" s="370"/>
      <c r="AB684" s="370"/>
      <c r="AC684" s="370"/>
      <c r="AD684" s="370"/>
      <c r="AE684" s="370"/>
      <c r="AF684" s="370"/>
      <c r="AG684" s="370"/>
      <c r="AH684" s="370"/>
      <c r="AI684" s="370"/>
      <c r="AJ684" s="370"/>
      <c r="AL684" s="219"/>
      <c r="AM684" s="219"/>
      <c r="AN684" s="219"/>
      <c r="AO684" s="116"/>
      <c r="AP684" s="116"/>
      <c r="AU684" s="332"/>
      <c r="AV684" s="332"/>
      <c r="AW684" s="332"/>
      <c r="AX684" s="332"/>
      <c r="AY684" s="332"/>
      <c r="AZ684" s="332"/>
      <c r="BA684" s="332"/>
      <c r="BB684" s="31"/>
      <c r="BC684" s="31"/>
      <c r="BD684" s="31"/>
      <c r="BE684" s="31"/>
    </row>
    <row r="685" spans="1:57" ht="13">
      <c r="A685" s="153"/>
      <c r="F685" s="153"/>
      <c r="G685" s="116"/>
      <c r="H685" s="116"/>
      <c r="I685" s="116"/>
      <c r="J685" s="116"/>
      <c r="K685" s="219"/>
      <c r="L685" s="116"/>
      <c r="M685" s="31"/>
      <c r="N685" s="336"/>
      <c r="O685" s="336"/>
      <c r="P685" s="219"/>
      <c r="Q685" s="332"/>
      <c r="R685" s="219"/>
      <c r="S685" s="332"/>
      <c r="T685" s="219"/>
      <c r="U685" s="332"/>
      <c r="V685" s="332"/>
      <c r="W685" s="370"/>
      <c r="X685" s="370"/>
      <c r="Y685" s="370"/>
      <c r="Z685" s="370"/>
      <c r="AA685" s="370"/>
      <c r="AB685" s="370"/>
      <c r="AC685" s="370"/>
      <c r="AD685" s="370"/>
      <c r="AE685" s="370"/>
      <c r="AF685" s="370"/>
      <c r="AG685" s="370"/>
      <c r="AH685" s="370"/>
      <c r="AI685" s="370"/>
      <c r="AJ685" s="370"/>
      <c r="AL685" s="219"/>
      <c r="AM685" s="219"/>
      <c r="AN685" s="219"/>
      <c r="AO685" s="116"/>
      <c r="AP685" s="116"/>
      <c r="AU685" s="332"/>
      <c r="AV685" s="332"/>
      <c r="AW685" s="332"/>
      <c r="AX685" s="332"/>
      <c r="AY685" s="332"/>
      <c r="AZ685" s="332"/>
      <c r="BA685" s="332"/>
      <c r="BB685" s="31"/>
      <c r="BC685" s="31"/>
      <c r="BD685" s="31"/>
      <c r="BE685" s="31"/>
    </row>
    <row r="686" spans="1:57" ht="13">
      <c r="A686" s="153"/>
      <c r="F686" s="153"/>
      <c r="G686" s="116"/>
      <c r="H686" s="116"/>
      <c r="I686" s="116"/>
      <c r="J686" s="116"/>
      <c r="K686" s="219"/>
      <c r="L686" s="116"/>
      <c r="M686" s="31"/>
      <c r="N686" s="336"/>
      <c r="O686" s="336"/>
      <c r="P686" s="219"/>
      <c r="Q686" s="332"/>
      <c r="R686" s="219"/>
      <c r="S686" s="332"/>
      <c r="T686" s="219"/>
      <c r="U686" s="332"/>
      <c r="V686" s="332"/>
      <c r="W686" s="370"/>
      <c r="X686" s="370"/>
      <c r="Y686" s="370"/>
      <c r="Z686" s="370"/>
      <c r="AA686" s="370"/>
      <c r="AB686" s="370"/>
      <c r="AC686" s="370"/>
      <c r="AD686" s="370"/>
      <c r="AE686" s="370"/>
      <c r="AF686" s="370"/>
      <c r="AG686" s="370"/>
      <c r="AH686" s="370"/>
      <c r="AI686" s="370"/>
      <c r="AJ686" s="370"/>
      <c r="AL686" s="219"/>
      <c r="AM686" s="219"/>
      <c r="AN686" s="219"/>
      <c r="AO686" s="116"/>
      <c r="AP686" s="116"/>
      <c r="AU686" s="332"/>
      <c r="AV686" s="332"/>
      <c r="AW686" s="332"/>
      <c r="AX686" s="332"/>
      <c r="AY686" s="332"/>
      <c r="AZ686" s="332"/>
      <c r="BA686" s="332"/>
      <c r="BB686" s="31"/>
      <c r="BC686" s="31"/>
      <c r="BD686" s="31"/>
      <c r="BE686" s="31"/>
    </row>
    <row r="687" spans="1:57" ht="13">
      <c r="A687" s="153"/>
      <c r="F687" s="153"/>
      <c r="G687" s="116"/>
      <c r="H687" s="116"/>
      <c r="I687" s="116"/>
      <c r="J687" s="116"/>
      <c r="K687" s="219"/>
      <c r="L687" s="116"/>
      <c r="M687" s="31"/>
      <c r="N687" s="336"/>
      <c r="O687" s="336"/>
      <c r="P687" s="219"/>
      <c r="Q687" s="332"/>
      <c r="R687" s="219"/>
      <c r="S687" s="332"/>
      <c r="T687" s="219"/>
      <c r="U687" s="332"/>
      <c r="V687" s="332"/>
      <c r="W687" s="370"/>
      <c r="X687" s="370"/>
      <c r="Y687" s="370"/>
      <c r="Z687" s="370"/>
      <c r="AA687" s="370"/>
      <c r="AB687" s="370"/>
      <c r="AC687" s="370"/>
      <c r="AD687" s="370"/>
      <c r="AE687" s="370"/>
      <c r="AF687" s="370"/>
      <c r="AG687" s="370"/>
      <c r="AH687" s="370"/>
      <c r="AI687" s="370"/>
      <c r="AJ687" s="370"/>
      <c r="AL687" s="219"/>
      <c r="AM687" s="219"/>
      <c r="AN687" s="219"/>
      <c r="AO687" s="116"/>
      <c r="AP687" s="116"/>
      <c r="AU687" s="332"/>
      <c r="AV687" s="332"/>
      <c r="AW687" s="332"/>
      <c r="AX687" s="332"/>
      <c r="AY687" s="332"/>
      <c r="AZ687" s="332"/>
      <c r="BA687" s="332"/>
      <c r="BB687" s="31"/>
      <c r="BC687" s="31"/>
      <c r="BD687" s="31"/>
      <c r="BE687" s="31"/>
    </row>
    <row r="688" spans="1:57" ht="13">
      <c r="A688" s="153"/>
      <c r="F688" s="153"/>
      <c r="G688" s="116"/>
      <c r="H688" s="116"/>
      <c r="I688" s="116"/>
      <c r="J688" s="116"/>
      <c r="K688" s="219"/>
      <c r="L688" s="116"/>
      <c r="M688" s="31"/>
      <c r="N688" s="336"/>
      <c r="O688" s="336"/>
      <c r="P688" s="219"/>
      <c r="Q688" s="332"/>
      <c r="R688" s="219"/>
      <c r="S688" s="332"/>
      <c r="T688" s="219"/>
      <c r="U688" s="332"/>
      <c r="V688" s="332"/>
      <c r="W688" s="370"/>
      <c r="X688" s="370"/>
      <c r="Y688" s="370"/>
      <c r="Z688" s="370"/>
      <c r="AA688" s="370"/>
      <c r="AB688" s="370"/>
      <c r="AC688" s="370"/>
      <c r="AD688" s="370"/>
      <c r="AE688" s="370"/>
      <c r="AF688" s="370"/>
      <c r="AG688" s="370"/>
      <c r="AH688" s="370"/>
      <c r="AI688" s="370"/>
      <c r="AJ688" s="370"/>
      <c r="AL688" s="219"/>
      <c r="AM688" s="219"/>
      <c r="AN688" s="219"/>
      <c r="AO688" s="116"/>
      <c r="AP688" s="116"/>
      <c r="AU688" s="332"/>
      <c r="AV688" s="332"/>
      <c r="AW688" s="332"/>
      <c r="AX688" s="332"/>
      <c r="AY688" s="332"/>
      <c r="AZ688" s="332"/>
      <c r="BA688" s="332"/>
      <c r="BB688" s="31"/>
      <c r="BC688" s="31"/>
      <c r="BD688" s="31"/>
      <c r="BE688" s="31"/>
    </row>
    <row r="689" spans="1:57" ht="13">
      <c r="A689" s="153"/>
      <c r="F689" s="153"/>
      <c r="G689" s="116"/>
      <c r="H689" s="116"/>
      <c r="I689" s="116"/>
      <c r="J689" s="116"/>
      <c r="K689" s="219"/>
      <c r="L689" s="116"/>
      <c r="M689" s="31"/>
      <c r="N689" s="336"/>
      <c r="O689" s="336"/>
      <c r="P689" s="219"/>
      <c r="Q689" s="332"/>
      <c r="R689" s="219"/>
      <c r="S689" s="332"/>
      <c r="T689" s="219"/>
      <c r="U689" s="332"/>
      <c r="V689" s="332"/>
      <c r="W689" s="370"/>
      <c r="X689" s="370"/>
      <c r="Y689" s="370"/>
      <c r="Z689" s="370"/>
      <c r="AA689" s="370"/>
      <c r="AB689" s="370"/>
      <c r="AC689" s="370"/>
      <c r="AD689" s="370"/>
      <c r="AE689" s="370"/>
      <c r="AF689" s="370"/>
      <c r="AG689" s="370"/>
      <c r="AH689" s="370"/>
      <c r="AI689" s="370"/>
      <c r="AJ689" s="370"/>
      <c r="AL689" s="219"/>
      <c r="AM689" s="219"/>
      <c r="AN689" s="219"/>
      <c r="AO689" s="116"/>
      <c r="AP689" s="116"/>
      <c r="AU689" s="332"/>
      <c r="AV689" s="332"/>
      <c r="AW689" s="332"/>
      <c r="AX689" s="332"/>
      <c r="AY689" s="332"/>
      <c r="AZ689" s="332"/>
      <c r="BA689" s="332"/>
      <c r="BB689" s="31"/>
      <c r="BC689" s="31"/>
      <c r="BD689" s="31"/>
      <c r="BE689" s="31"/>
    </row>
    <row r="690" spans="1:57" ht="13">
      <c r="A690" s="153"/>
      <c r="F690" s="153"/>
      <c r="G690" s="116"/>
      <c r="H690" s="116"/>
      <c r="I690" s="116"/>
      <c r="J690" s="116"/>
      <c r="K690" s="219"/>
      <c r="L690" s="116"/>
      <c r="M690" s="31"/>
      <c r="N690" s="336"/>
      <c r="O690" s="336"/>
      <c r="P690" s="219"/>
      <c r="Q690" s="332"/>
      <c r="R690" s="219"/>
      <c r="S690" s="332"/>
      <c r="T690" s="219"/>
      <c r="U690" s="332"/>
      <c r="V690" s="332"/>
      <c r="W690" s="370"/>
      <c r="X690" s="370"/>
      <c r="Y690" s="370"/>
      <c r="Z690" s="370"/>
      <c r="AA690" s="370"/>
      <c r="AB690" s="370"/>
      <c r="AC690" s="370"/>
      <c r="AD690" s="370"/>
      <c r="AE690" s="370"/>
      <c r="AF690" s="370"/>
      <c r="AG690" s="370"/>
      <c r="AH690" s="370"/>
      <c r="AI690" s="370"/>
      <c r="AJ690" s="370"/>
      <c r="AL690" s="219"/>
      <c r="AM690" s="219"/>
      <c r="AN690" s="219"/>
      <c r="AO690" s="116"/>
      <c r="AP690" s="116"/>
      <c r="AU690" s="332"/>
      <c r="AV690" s="332"/>
      <c r="AW690" s="332"/>
      <c r="AX690" s="332"/>
      <c r="AY690" s="332"/>
      <c r="AZ690" s="332"/>
      <c r="BA690" s="332"/>
      <c r="BB690" s="31"/>
      <c r="BC690" s="31"/>
      <c r="BD690" s="31"/>
      <c r="BE690" s="31"/>
    </row>
    <row r="691" spans="1:57" ht="13">
      <c r="A691" s="153"/>
      <c r="F691" s="153"/>
      <c r="G691" s="116"/>
      <c r="H691" s="116"/>
      <c r="I691" s="116"/>
      <c r="J691" s="116"/>
      <c r="K691" s="219"/>
      <c r="L691" s="116"/>
      <c r="M691" s="31"/>
      <c r="N691" s="336"/>
      <c r="O691" s="336"/>
      <c r="P691" s="219"/>
      <c r="Q691" s="332"/>
      <c r="R691" s="219"/>
      <c r="S691" s="332"/>
      <c r="T691" s="219"/>
      <c r="U691" s="332"/>
      <c r="V691" s="332"/>
      <c r="W691" s="370"/>
      <c r="X691" s="370"/>
      <c r="Y691" s="370"/>
      <c r="Z691" s="370"/>
      <c r="AA691" s="370"/>
      <c r="AB691" s="370"/>
      <c r="AC691" s="370"/>
      <c r="AD691" s="370"/>
      <c r="AE691" s="370"/>
      <c r="AF691" s="370"/>
      <c r="AG691" s="370"/>
      <c r="AH691" s="370"/>
      <c r="AI691" s="370"/>
      <c r="AJ691" s="370"/>
      <c r="AL691" s="219"/>
      <c r="AM691" s="219"/>
      <c r="AN691" s="219"/>
      <c r="AO691" s="116"/>
      <c r="AP691" s="116"/>
      <c r="AU691" s="332"/>
      <c r="AV691" s="332"/>
      <c r="AW691" s="332"/>
      <c r="AX691" s="332"/>
      <c r="AY691" s="332"/>
      <c r="AZ691" s="332"/>
      <c r="BA691" s="332"/>
      <c r="BB691" s="31"/>
      <c r="BC691" s="31"/>
      <c r="BD691" s="31"/>
      <c r="BE691" s="31"/>
    </row>
    <row r="692" spans="1:57" ht="13">
      <c r="A692" s="153"/>
      <c r="F692" s="153"/>
      <c r="G692" s="116"/>
      <c r="H692" s="116"/>
      <c r="I692" s="116"/>
      <c r="J692" s="116"/>
      <c r="K692" s="219"/>
      <c r="L692" s="116"/>
      <c r="M692" s="31"/>
      <c r="N692" s="336"/>
      <c r="O692" s="336"/>
      <c r="P692" s="219"/>
      <c r="Q692" s="332"/>
      <c r="R692" s="219"/>
      <c r="S692" s="332"/>
      <c r="T692" s="219"/>
      <c r="U692" s="332"/>
      <c r="V692" s="332"/>
      <c r="W692" s="370"/>
      <c r="X692" s="370"/>
      <c r="Y692" s="370"/>
      <c r="Z692" s="370"/>
      <c r="AA692" s="370"/>
      <c r="AB692" s="370"/>
      <c r="AC692" s="370"/>
      <c r="AD692" s="370"/>
      <c r="AE692" s="370"/>
      <c r="AF692" s="370"/>
      <c r="AG692" s="370"/>
      <c r="AH692" s="370"/>
      <c r="AI692" s="370"/>
      <c r="AJ692" s="370"/>
      <c r="AL692" s="219"/>
      <c r="AM692" s="219"/>
      <c r="AN692" s="219"/>
      <c r="AO692" s="116"/>
      <c r="AP692" s="116"/>
      <c r="AU692" s="332"/>
      <c r="AV692" s="332"/>
      <c r="AW692" s="332"/>
      <c r="AX692" s="332"/>
      <c r="AY692" s="332"/>
      <c r="AZ692" s="332"/>
      <c r="BA692" s="332"/>
      <c r="BB692" s="31"/>
      <c r="BC692" s="31"/>
      <c r="BD692" s="31"/>
      <c r="BE692" s="31"/>
    </row>
    <row r="693" spans="1:57" ht="13">
      <c r="A693" s="153"/>
      <c r="F693" s="153"/>
      <c r="G693" s="116"/>
      <c r="H693" s="116"/>
      <c r="I693" s="116"/>
      <c r="J693" s="116"/>
      <c r="K693" s="219"/>
      <c r="L693" s="116"/>
      <c r="M693" s="31"/>
      <c r="N693" s="336"/>
      <c r="O693" s="336"/>
      <c r="P693" s="219"/>
      <c r="Q693" s="332"/>
      <c r="R693" s="219"/>
      <c r="S693" s="332"/>
      <c r="T693" s="219"/>
      <c r="U693" s="332"/>
      <c r="V693" s="332"/>
      <c r="W693" s="370"/>
      <c r="X693" s="370"/>
      <c r="Y693" s="370"/>
      <c r="Z693" s="370"/>
      <c r="AA693" s="370"/>
      <c r="AB693" s="370"/>
      <c r="AC693" s="370"/>
      <c r="AD693" s="370"/>
      <c r="AE693" s="370"/>
      <c r="AF693" s="370"/>
      <c r="AG693" s="370"/>
      <c r="AH693" s="370"/>
      <c r="AI693" s="370"/>
      <c r="AJ693" s="370"/>
      <c r="AL693" s="219"/>
      <c r="AM693" s="219"/>
      <c r="AN693" s="219"/>
      <c r="AO693" s="116"/>
      <c r="AP693" s="116"/>
      <c r="AU693" s="332"/>
      <c r="AV693" s="332"/>
      <c r="AW693" s="332"/>
      <c r="AX693" s="332"/>
      <c r="AY693" s="332"/>
      <c r="AZ693" s="332"/>
      <c r="BA693" s="332"/>
      <c r="BB693" s="31"/>
      <c r="BC693" s="31"/>
      <c r="BD693" s="31"/>
      <c r="BE693" s="31"/>
    </row>
    <row r="694" spans="1:57" ht="13">
      <c r="A694" s="153"/>
      <c r="F694" s="153"/>
      <c r="G694" s="116"/>
      <c r="H694" s="116"/>
      <c r="I694" s="116"/>
      <c r="J694" s="116"/>
      <c r="K694" s="219"/>
      <c r="L694" s="116"/>
      <c r="M694" s="31"/>
      <c r="N694" s="336"/>
      <c r="O694" s="336"/>
      <c r="P694" s="219"/>
      <c r="Q694" s="332"/>
      <c r="R694" s="219"/>
      <c r="S694" s="332"/>
      <c r="T694" s="219"/>
      <c r="U694" s="332"/>
      <c r="V694" s="332"/>
      <c r="W694" s="370"/>
      <c r="X694" s="370"/>
      <c r="Y694" s="370"/>
      <c r="Z694" s="370"/>
      <c r="AA694" s="370"/>
      <c r="AB694" s="370"/>
      <c r="AC694" s="370"/>
      <c r="AD694" s="370"/>
      <c r="AE694" s="370"/>
      <c r="AF694" s="370"/>
      <c r="AG694" s="370"/>
      <c r="AH694" s="370"/>
      <c r="AI694" s="370"/>
      <c r="AJ694" s="370"/>
      <c r="AL694" s="219"/>
      <c r="AM694" s="219"/>
      <c r="AN694" s="219"/>
      <c r="AO694" s="116"/>
      <c r="AP694" s="116"/>
      <c r="AU694" s="332"/>
      <c r="AV694" s="332"/>
      <c r="AW694" s="332"/>
      <c r="AX694" s="332"/>
      <c r="AY694" s="332"/>
      <c r="AZ694" s="332"/>
      <c r="BA694" s="332"/>
      <c r="BB694" s="31"/>
      <c r="BC694" s="31"/>
      <c r="BD694" s="31"/>
      <c r="BE694" s="31"/>
    </row>
    <row r="695" spans="1:57" ht="13">
      <c r="A695" s="153"/>
      <c r="F695" s="153"/>
      <c r="G695" s="116"/>
      <c r="H695" s="116"/>
      <c r="I695" s="116"/>
      <c r="J695" s="116"/>
      <c r="K695" s="219"/>
      <c r="L695" s="116"/>
      <c r="M695" s="31"/>
      <c r="N695" s="336"/>
      <c r="O695" s="336"/>
      <c r="P695" s="219"/>
      <c r="Q695" s="332"/>
      <c r="R695" s="219"/>
      <c r="S695" s="332"/>
      <c r="T695" s="219"/>
      <c r="U695" s="332"/>
      <c r="V695" s="332"/>
      <c r="W695" s="370"/>
      <c r="X695" s="370"/>
      <c r="Y695" s="370"/>
      <c r="Z695" s="370"/>
      <c r="AA695" s="370"/>
      <c r="AB695" s="370"/>
      <c r="AC695" s="370"/>
      <c r="AD695" s="370"/>
      <c r="AE695" s="370"/>
      <c r="AF695" s="370"/>
      <c r="AG695" s="370"/>
      <c r="AH695" s="370"/>
      <c r="AI695" s="370"/>
      <c r="AJ695" s="370"/>
      <c r="AL695" s="219"/>
      <c r="AM695" s="219"/>
      <c r="AN695" s="219"/>
      <c r="AO695" s="116"/>
      <c r="AP695" s="116"/>
      <c r="AU695" s="332"/>
      <c r="AV695" s="332"/>
      <c r="AW695" s="332"/>
      <c r="AX695" s="332"/>
      <c r="AY695" s="332"/>
      <c r="AZ695" s="332"/>
      <c r="BA695" s="332"/>
      <c r="BB695" s="31"/>
      <c r="BC695" s="31"/>
      <c r="BD695" s="31"/>
      <c r="BE695" s="31"/>
    </row>
    <row r="696" spans="1:57" ht="13">
      <c r="A696" s="153"/>
      <c r="F696" s="153"/>
      <c r="G696" s="116"/>
      <c r="H696" s="116"/>
      <c r="I696" s="116"/>
      <c r="J696" s="116"/>
      <c r="K696" s="219"/>
      <c r="L696" s="116"/>
      <c r="M696" s="31"/>
      <c r="N696" s="336"/>
      <c r="O696" s="336"/>
      <c r="P696" s="219"/>
      <c r="Q696" s="332"/>
      <c r="R696" s="219"/>
      <c r="S696" s="332"/>
      <c r="T696" s="219"/>
      <c r="U696" s="332"/>
      <c r="V696" s="332"/>
      <c r="W696" s="370"/>
      <c r="X696" s="370"/>
      <c r="Y696" s="370"/>
      <c r="Z696" s="370"/>
      <c r="AA696" s="370"/>
      <c r="AB696" s="370"/>
      <c r="AC696" s="370"/>
      <c r="AD696" s="370"/>
      <c r="AE696" s="370"/>
      <c r="AF696" s="370"/>
      <c r="AG696" s="370"/>
      <c r="AH696" s="370"/>
      <c r="AI696" s="370"/>
      <c r="AJ696" s="370"/>
      <c r="AL696" s="219"/>
      <c r="AM696" s="219"/>
      <c r="AN696" s="219"/>
      <c r="AO696" s="116"/>
      <c r="AP696" s="116"/>
      <c r="AU696" s="332"/>
      <c r="AV696" s="332"/>
      <c r="AW696" s="332"/>
      <c r="AX696" s="332"/>
      <c r="AY696" s="332"/>
      <c r="AZ696" s="332"/>
      <c r="BA696" s="332"/>
      <c r="BB696" s="31"/>
      <c r="BC696" s="31"/>
      <c r="BD696" s="31"/>
      <c r="BE696" s="31"/>
    </row>
    <row r="697" spans="1:57" ht="13">
      <c r="A697" s="153"/>
      <c r="F697" s="153"/>
      <c r="G697" s="116"/>
      <c r="H697" s="116"/>
      <c r="I697" s="116"/>
      <c r="J697" s="116"/>
      <c r="K697" s="219"/>
      <c r="L697" s="116"/>
      <c r="M697" s="31"/>
      <c r="N697" s="336"/>
      <c r="O697" s="336"/>
      <c r="P697" s="219"/>
      <c r="Q697" s="332"/>
      <c r="R697" s="219"/>
      <c r="S697" s="332"/>
      <c r="T697" s="219"/>
      <c r="U697" s="332"/>
      <c r="V697" s="332"/>
      <c r="W697" s="370"/>
      <c r="X697" s="370"/>
      <c r="Y697" s="370"/>
      <c r="Z697" s="370"/>
      <c r="AA697" s="370"/>
      <c r="AB697" s="370"/>
      <c r="AC697" s="370"/>
      <c r="AD697" s="370"/>
      <c r="AE697" s="370"/>
      <c r="AF697" s="370"/>
      <c r="AG697" s="370"/>
      <c r="AH697" s="370"/>
      <c r="AI697" s="370"/>
      <c r="AJ697" s="370"/>
      <c r="AL697" s="219"/>
      <c r="AM697" s="219"/>
      <c r="AN697" s="219"/>
      <c r="AO697" s="116"/>
      <c r="AP697" s="116"/>
      <c r="AU697" s="332"/>
      <c r="AV697" s="332"/>
      <c r="AW697" s="332"/>
      <c r="AX697" s="332"/>
      <c r="AY697" s="332"/>
      <c r="AZ697" s="332"/>
      <c r="BA697" s="332"/>
      <c r="BB697" s="31"/>
      <c r="BC697" s="31"/>
      <c r="BD697" s="31"/>
      <c r="BE697" s="31"/>
    </row>
    <row r="698" spans="1:57" ht="13">
      <c r="A698" s="153"/>
      <c r="F698" s="153"/>
      <c r="G698" s="116"/>
      <c r="H698" s="116"/>
      <c r="I698" s="116"/>
      <c r="J698" s="116"/>
      <c r="K698" s="219"/>
      <c r="L698" s="116"/>
      <c r="M698" s="31"/>
      <c r="N698" s="336"/>
      <c r="O698" s="336"/>
      <c r="P698" s="219"/>
      <c r="Q698" s="332"/>
      <c r="R698" s="219"/>
      <c r="S698" s="332"/>
      <c r="T698" s="219"/>
      <c r="U698" s="332"/>
      <c r="V698" s="332"/>
      <c r="W698" s="370"/>
      <c r="X698" s="370"/>
      <c r="Y698" s="370"/>
      <c r="Z698" s="370"/>
      <c r="AA698" s="370"/>
      <c r="AB698" s="370"/>
      <c r="AC698" s="370"/>
      <c r="AD698" s="370"/>
      <c r="AE698" s="370"/>
      <c r="AF698" s="370"/>
      <c r="AG698" s="370"/>
      <c r="AH698" s="370"/>
      <c r="AI698" s="370"/>
      <c r="AJ698" s="370"/>
      <c r="AL698" s="219"/>
      <c r="AM698" s="219"/>
      <c r="AN698" s="219"/>
      <c r="AO698" s="116"/>
      <c r="AP698" s="116"/>
      <c r="AU698" s="332"/>
      <c r="AV698" s="332"/>
      <c r="AW698" s="332"/>
      <c r="AX698" s="332"/>
      <c r="AY698" s="332"/>
      <c r="AZ698" s="332"/>
      <c r="BA698" s="332"/>
      <c r="BB698" s="31"/>
      <c r="BC698" s="31"/>
      <c r="BD698" s="31"/>
      <c r="BE698" s="31"/>
    </row>
    <row r="699" spans="1:57" ht="13">
      <c r="A699" s="153"/>
      <c r="F699" s="153"/>
      <c r="G699" s="116"/>
      <c r="H699" s="116"/>
      <c r="I699" s="116"/>
      <c r="J699" s="116"/>
      <c r="K699" s="219"/>
      <c r="L699" s="116"/>
      <c r="M699" s="31"/>
      <c r="N699" s="336"/>
      <c r="O699" s="336"/>
      <c r="P699" s="219"/>
      <c r="Q699" s="332"/>
      <c r="R699" s="219"/>
      <c r="S699" s="332"/>
      <c r="T699" s="219"/>
      <c r="U699" s="332"/>
      <c r="V699" s="332"/>
      <c r="W699" s="370"/>
      <c r="X699" s="370"/>
      <c r="Y699" s="370"/>
      <c r="Z699" s="370"/>
      <c r="AA699" s="370"/>
      <c r="AB699" s="370"/>
      <c r="AC699" s="370"/>
      <c r="AD699" s="370"/>
      <c r="AE699" s="370"/>
      <c r="AF699" s="370"/>
      <c r="AG699" s="370"/>
      <c r="AH699" s="370"/>
      <c r="AI699" s="370"/>
      <c r="AJ699" s="370"/>
      <c r="AL699" s="219"/>
      <c r="AM699" s="219"/>
      <c r="AN699" s="219"/>
      <c r="AO699" s="116"/>
      <c r="AP699" s="116"/>
      <c r="AU699" s="332"/>
      <c r="AV699" s="332"/>
      <c r="AW699" s="332"/>
      <c r="AX699" s="332"/>
      <c r="AY699" s="332"/>
      <c r="AZ699" s="332"/>
      <c r="BA699" s="332"/>
      <c r="BB699" s="31"/>
      <c r="BC699" s="31"/>
      <c r="BD699" s="31"/>
      <c r="BE699" s="31"/>
    </row>
    <row r="700" spans="1:57" ht="13">
      <c r="A700" s="153"/>
      <c r="F700" s="153"/>
      <c r="G700" s="116"/>
      <c r="H700" s="116"/>
      <c r="I700" s="116"/>
      <c r="J700" s="116"/>
      <c r="K700" s="219"/>
      <c r="L700" s="116"/>
      <c r="M700" s="31"/>
      <c r="N700" s="336"/>
      <c r="O700" s="336"/>
      <c r="P700" s="219"/>
      <c r="Q700" s="332"/>
      <c r="R700" s="219"/>
      <c r="S700" s="332"/>
      <c r="T700" s="219"/>
      <c r="U700" s="332"/>
      <c r="V700" s="332"/>
      <c r="W700" s="370"/>
      <c r="X700" s="370"/>
      <c r="Y700" s="370"/>
      <c r="Z700" s="370"/>
      <c r="AA700" s="370"/>
      <c r="AB700" s="370"/>
      <c r="AC700" s="370"/>
      <c r="AD700" s="370"/>
      <c r="AE700" s="370"/>
      <c r="AF700" s="370"/>
      <c r="AG700" s="370"/>
      <c r="AH700" s="370"/>
      <c r="AI700" s="370"/>
      <c r="AJ700" s="370"/>
      <c r="AL700" s="219"/>
      <c r="AM700" s="219"/>
      <c r="AN700" s="219"/>
      <c r="AO700" s="116"/>
      <c r="AP700" s="116"/>
      <c r="AU700" s="332"/>
      <c r="AV700" s="332"/>
      <c r="AW700" s="332"/>
      <c r="AX700" s="332"/>
      <c r="AY700" s="332"/>
      <c r="AZ700" s="332"/>
      <c r="BA700" s="332"/>
      <c r="BB700" s="31"/>
      <c r="BC700" s="31"/>
      <c r="BD700" s="31"/>
      <c r="BE700" s="31"/>
    </row>
    <row r="701" spans="1:57" ht="13">
      <c r="A701" s="153"/>
      <c r="F701" s="153"/>
      <c r="G701" s="116"/>
      <c r="H701" s="116"/>
      <c r="I701" s="116"/>
      <c r="J701" s="116"/>
      <c r="K701" s="219"/>
      <c r="L701" s="116"/>
      <c r="M701" s="31"/>
      <c r="N701" s="336"/>
      <c r="O701" s="336"/>
      <c r="P701" s="219"/>
      <c r="Q701" s="332"/>
      <c r="R701" s="219"/>
      <c r="S701" s="332"/>
      <c r="T701" s="219"/>
      <c r="U701" s="332"/>
      <c r="V701" s="332"/>
      <c r="W701" s="370"/>
      <c r="X701" s="370"/>
      <c r="Y701" s="370"/>
      <c r="Z701" s="370"/>
      <c r="AA701" s="370"/>
      <c r="AB701" s="370"/>
      <c r="AC701" s="370"/>
      <c r="AD701" s="370"/>
      <c r="AE701" s="370"/>
      <c r="AF701" s="370"/>
      <c r="AG701" s="370"/>
      <c r="AH701" s="370"/>
      <c r="AI701" s="370"/>
      <c r="AJ701" s="370"/>
      <c r="AL701" s="219"/>
      <c r="AM701" s="219"/>
      <c r="AN701" s="219"/>
      <c r="AO701" s="116"/>
      <c r="AP701" s="116"/>
      <c r="AU701" s="332"/>
      <c r="AV701" s="332"/>
      <c r="AW701" s="332"/>
      <c r="AX701" s="332"/>
      <c r="AY701" s="332"/>
      <c r="AZ701" s="332"/>
      <c r="BA701" s="332"/>
      <c r="BB701" s="31"/>
      <c r="BC701" s="31"/>
      <c r="BD701" s="31"/>
      <c r="BE701" s="31"/>
    </row>
    <row r="702" spans="1:57" ht="13">
      <c r="A702" s="153"/>
      <c r="F702" s="153"/>
      <c r="G702" s="116"/>
      <c r="H702" s="116"/>
      <c r="I702" s="116"/>
      <c r="J702" s="116"/>
      <c r="K702" s="219"/>
      <c r="L702" s="116"/>
      <c r="M702" s="31"/>
      <c r="N702" s="336"/>
      <c r="O702" s="336"/>
      <c r="P702" s="219"/>
      <c r="Q702" s="332"/>
      <c r="R702" s="219"/>
      <c r="S702" s="332"/>
      <c r="T702" s="219"/>
      <c r="U702" s="332"/>
      <c r="V702" s="332"/>
      <c r="W702" s="370"/>
      <c r="X702" s="370"/>
      <c r="Y702" s="370"/>
      <c r="Z702" s="370"/>
      <c r="AA702" s="370"/>
      <c r="AB702" s="370"/>
      <c r="AC702" s="370"/>
      <c r="AD702" s="370"/>
      <c r="AE702" s="370"/>
      <c r="AF702" s="370"/>
      <c r="AG702" s="370"/>
      <c r="AH702" s="370"/>
      <c r="AI702" s="370"/>
      <c r="AJ702" s="370"/>
      <c r="AL702" s="219"/>
      <c r="AM702" s="219"/>
      <c r="AN702" s="219"/>
      <c r="AO702" s="116"/>
      <c r="AP702" s="116"/>
      <c r="AU702" s="332"/>
      <c r="AV702" s="332"/>
      <c r="AW702" s="332"/>
      <c r="AX702" s="332"/>
      <c r="AY702" s="332"/>
      <c r="AZ702" s="332"/>
      <c r="BA702" s="332"/>
      <c r="BB702" s="31"/>
      <c r="BC702" s="31"/>
      <c r="BD702" s="31"/>
      <c r="BE702" s="31"/>
    </row>
    <row r="703" spans="1:57" ht="13">
      <c r="A703" s="153"/>
      <c r="F703" s="153"/>
      <c r="G703" s="116"/>
      <c r="H703" s="116"/>
      <c r="I703" s="116"/>
      <c r="J703" s="116"/>
      <c r="K703" s="219"/>
      <c r="L703" s="116"/>
      <c r="M703" s="31"/>
      <c r="N703" s="336"/>
      <c r="O703" s="336"/>
      <c r="P703" s="219"/>
      <c r="Q703" s="332"/>
      <c r="R703" s="219"/>
      <c r="S703" s="332"/>
      <c r="T703" s="219"/>
      <c r="U703" s="332"/>
      <c r="V703" s="332"/>
      <c r="W703" s="370"/>
      <c r="X703" s="370"/>
      <c r="Y703" s="370"/>
      <c r="Z703" s="370"/>
      <c r="AA703" s="370"/>
      <c r="AB703" s="370"/>
      <c r="AC703" s="370"/>
      <c r="AD703" s="370"/>
      <c r="AE703" s="370"/>
      <c r="AF703" s="370"/>
      <c r="AG703" s="370"/>
      <c r="AH703" s="370"/>
      <c r="AI703" s="370"/>
      <c r="AJ703" s="370"/>
      <c r="AL703" s="219"/>
      <c r="AM703" s="219"/>
      <c r="AN703" s="219"/>
      <c r="AO703" s="116"/>
      <c r="AP703" s="116"/>
      <c r="AU703" s="332"/>
      <c r="AV703" s="332"/>
      <c r="AW703" s="332"/>
      <c r="AX703" s="332"/>
      <c r="AY703" s="332"/>
      <c r="AZ703" s="332"/>
      <c r="BA703" s="332"/>
      <c r="BB703" s="31"/>
      <c r="BC703" s="31"/>
      <c r="BD703" s="31"/>
      <c r="BE703" s="31"/>
    </row>
    <row r="704" spans="1:57" ht="13">
      <c r="A704" s="153"/>
      <c r="F704" s="153"/>
      <c r="G704" s="116"/>
      <c r="H704" s="116"/>
      <c r="I704" s="116"/>
      <c r="J704" s="116"/>
      <c r="K704" s="219"/>
      <c r="L704" s="116"/>
      <c r="M704" s="31"/>
      <c r="N704" s="336"/>
      <c r="O704" s="336"/>
      <c r="P704" s="219"/>
      <c r="Q704" s="332"/>
      <c r="R704" s="219"/>
      <c r="S704" s="332"/>
      <c r="T704" s="219"/>
      <c r="U704" s="332"/>
      <c r="V704" s="332"/>
      <c r="W704" s="370"/>
      <c r="X704" s="370"/>
      <c r="Y704" s="370"/>
      <c r="Z704" s="370"/>
      <c r="AA704" s="370"/>
      <c r="AB704" s="370"/>
      <c r="AC704" s="370"/>
      <c r="AD704" s="370"/>
      <c r="AE704" s="370"/>
      <c r="AF704" s="370"/>
      <c r="AG704" s="370"/>
      <c r="AH704" s="370"/>
      <c r="AI704" s="370"/>
      <c r="AJ704" s="370"/>
      <c r="AL704" s="219"/>
      <c r="AM704" s="219"/>
      <c r="AN704" s="219"/>
      <c r="AO704" s="116"/>
      <c r="AP704" s="116"/>
      <c r="AU704" s="332"/>
      <c r="AV704" s="332"/>
      <c r="AW704" s="332"/>
      <c r="AX704" s="332"/>
      <c r="AY704" s="332"/>
      <c r="AZ704" s="332"/>
      <c r="BA704" s="332"/>
      <c r="BB704" s="31"/>
      <c r="BC704" s="31"/>
      <c r="BD704" s="31"/>
      <c r="BE704" s="31"/>
    </row>
    <row r="705" spans="1:57" ht="13">
      <c r="A705" s="153"/>
      <c r="F705" s="153"/>
      <c r="G705" s="116"/>
      <c r="H705" s="116"/>
      <c r="I705" s="116"/>
      <c r="J705" s="116"/>
      <c r="K705" s="219"/>
      <c r="L705" s="116"/>
      <c r="M705" s="31"/>
      <c r="N705" s="336"/>
      <c r="O705" s="336"/>
      <c r="P705" s="219"/>
      <c r="Q705" s="332"/>
      <c r="R705" s="219"/>
      <c r="S705" s="332"/>
      <c r="T705" s="219"/>
      <c r="U705" s="332"/>
      <c r="V705" s="332"/>
      <c r="W705" s="370"/>
      <c r="X705" s="370"/>
      <c r="Y705" s="370"/>
      <c r="Z705" s="370"/>
      <c r="AA705" s="370"/>
      <c r="AB705" s="370"/>
      <c r="AC705" s="370"/>
      <c r="AD705" s="370"/>
      <c r="AE705" s="370"/>
      <c r="AF705" s="370"/>
      <c r="AG705" s="370"/>
      <c r="AH705" s="370"/>
      <c r="AI705" s="370"/>
      <c r="AJ705" s="370"/>
      <c r="AL705" s="219"/>
      <c r="AM705" s="219"/>
      <c r="AN705" s="219"/>
      <c r="AO705" s="116"/>
      <c r="AP705" s="116"/>
      <c r="AU705" s="332"/>
      <c r="AV705" s="332"/>
      <c r="AW705" s="332"/>
      <c r="AX705" s="332"/>
      <c r="AY705" s="332"/>
      <c r="AZ705" s="332"/>
      <c r="BA705" s="332"/>
      <c r="BB705" s="31"/>
      <c r="BC705" s="31"/>
      <c r="BD705" s="31"/>
      <c r="BE705" s="31"/>
    </row>
    <row r="706" spans="1:57" ht="13">
      <c r="A706" s="153"/>
      <c r="F706" s="153"/>
      <c r="G706" s="116"/>
      <c r="H706" s="116"/>
      <c r="I706" s="116"/>
      <c r="J706" s="116"/>
      <c r="K706" s="219"/>
      <c r="L706" s="116"/>
      <c r="M706" s="31"/>
      <c r="N706" s="336"/>
      <c r="O706" s="336"/>
      <c r="P706" s="219"/>
      <c r="Q706" s="332"/>
      <c r="R706" s="219"/>
      <c r="S706" s="332"/>
      <c r="T706" s="219"/>
      <c r="U706" s="332"/>
      <c r="V706" s="332"/>
      <c r="W706" s="370"/>
      <c r="X706" s="370"/>
      <c r="Y706" s="370"/>
      <c r="Z706" s="370"/>
      <c r="AA706" s="370"/>
      <c r="AB706" s="370"/>
      <c r="AC706" s="370"/>
      <c r="AD706" s="370"/>
      <c r="AE706" s="370"/>
      <c r="AF706" s="370"/>
      <c r="AG706" s="370"/>
      <c r="AH706" s="370"/>
      <c r="AI706" s="370"/>
      <c r="AJ706" s="370"/>
      <c r="AL706" s="219"/>
      <c r="AM706" s="219"/>
      <c r="AN706" s="219"/>
      <c r="AO706" s="116"/>
      <c r="AP706" s="116"/>
      <c r="AU706" s="332"/>
      <c r="AV706" s="332"/>
      <c r="AW706" s="332"/>
      <c r="AX706" s="332"/>
      <c r="AY706" s="332"/>
      <c r="AZ706" s="332"/>
      <c r="BA706" s="332"/>
      <c r="BB706" s="31"/>
      <c r="BC706" s="31"/>
      <c r="BD706" s="31"/>
      <c r="BE706" s="31"/>
    </row>
    <row r="707" spans="1:57" ht="13">
      <c r="A707" s="153"/>
      <c r="F707" s="153"/>
      <c r="G707" s="116"/>
      <c r="H707" s="116"/>
      <c r="I707" s="116"/>
      <c r="J707" s="116"/>
      <c r="K707" s="219"/>
      <c r="L707" s="116"/>
      <c r="M707" s="31"/>
      <c r="N707" s="336"/>
      <c r="O707" s="336"/>
      <c r="P707" s="219"/>
      <c r="Q707" s="332"/>
      <c r="R707" s="219"/>
      <c r="S707" s="332"/>
      <c r="T707" s="219"/>
      <c r="U707" s="332"/>
      <c r="V707" s="332"/>
      <c r="W707" s="370"/>
      <c r="X707" s="370"/>
      <c r="Y707" s="370"/>
      <c r="Z707" s="370"/>
      <c r="AA707" s="370"/>
      <c r="AB707" s="370"/>
      <c r="AC707" s="370"/>
      <c r="AD707" s="370"/>
      <c r="AE707" s="370"/>
      <c r="AF707" s="370"/>
      <c r="AG707" s="370"/>
      <c r="AH707" s="370"/>
      <c r="AI707" s="370"/>
      <c r="AJ707" s="370"/>
      <c r="AL707" s="219"/>
      <c r="AM707" s="219"/>
      <c r="AN707" s="219"/>
      <c r="AO707" s="116"/>
      <c r="AP707" s="116"/>
      <c r="AU707" s="332"/>
      <c r="AV707" s="332"/>
      <c r="AW707" s="332"/>
      <c r="AX707" s="332"/>
      <c r="AY707" s="332"/>
      <c r="AZ707" s="332"/>
      <c r="BA707" s="332"/>
      <c r="BB707" s="31"/>
      <c r="BC707" s="31"/>
      <c r="BD707" s="31"/>
      <c r="BE707" s="31"/>
    </row>
    <row r="708" spans="1:57" ht="13">
      <c r="A708" s="153"/>
      <c r="F708" s="153"/>
      <c r="G708" s="116"/>
      <c r="H708" s="116"/>
      <c r="I708" s="116"/>
      <c r="J708" s="116"/>
      <c r="K708" s="219"/>
      <c r="L708" s="116"/>
      <c r="M708" s="31"/>
      <c r="N708" s="336"/>
      <c r="O708" s="336"/>
      <c r="P708" s="219"/>
      <c r="Q708" s="332"/>
      <c r="R708" s="219"/>
      <c r="S708" s="332"/>
      <c r="T708" s="219"/>
      <c r="U708" s="332"/>
      <c r="V708" s="332"/>
      <c r="W708" s="370"/>
      <c r="X708" s="370"/>
      <c r="Y708" s="370"/>
      <c r="Z708" s="370"/>
      <c r="AA708" s="370"/>
      <c r="AB708" s="370"/>
      <c r="AC708" s="370"/>
      <c r="AD708" s="370"/>
      <c r="AE708" s="370"/>
      <c r="AF708" s="370"/>
      <c r="AG708" s="370"/>
      <c r="AH708" s="370"/>
      <c r="AI708" s="370"/>
      <c r="AJ708" s="370"/>
      <c r="AL708" s="219"/>
      <c r="AM708" s="219"/>
      <c r="AN708" s="219"/>
      <c r="AO708" s="116"/>
      <c r="AP708" s="116"/>
      <c r="AU708" s="332"/>
      <c r="AV708" s="332"/>
      <c r="AW708" s="332"/>
      <c r="AX708" s="332"/>
      <c r="AY708" s="332"/>
      <c r="AZ708" s="332"/>
      <c r="BA708" s="332"/>
      <c r="BB708" s="31"/>
      <c r="BC708" s="31"/>
      <c r="BD708" s="31"/>
      <c r="BE708" s="31"/>
    </row>
    <row r="709" spans="1:57" ht="13">
      <c r="A709" s="153"/>
      <c r="F709" s="153"/>
      <c r="G709" s="116"/>
      <c r="H709" s="116"/>
      <c r="I709" s="116"/>
      <c r="J709" s="116"/>
      <c r="K709" s="219"/>
      <c r="L709" s="116"/>
      <c r="M709" s="31"/>
      <c r="N709" s="336"/>
      <c r="O709" s="336"/>
      <c r="P709" s="219"/>
      <c r="Q709" s="332"/>
      <c r="R709" s="219"/>
      <c r="S709" s="332"/>
      <c r="T709" s="219"/>
      <c r="U709" s="332"/>
      <c r="V709" s="332"/>
      <c r="W709" s="370"/>
      <c r="X709" s="370"/>
      <c r="Y709" s="370"/>
      <c r="Z709" s="370"/>
      <c r="AA709" s="370"/>
      <c r="AB709" s="370"/>
      <c r="AC709" s="370"/>
      <c r="AD709" s="370"/>
      <c r="AE709" s="370"/>
      <c r="AF709" s="370"/>
      <c r="AG709" s="370"/>
      <c r="AH709" s="370"/>
      <c r="AI709" s="370"/>
      <c r="AJ709" s="370"/>
      <c r="AL709" s="219"/>
      <c r="AM709" s="219"/>
      <c r="AN709" s="219"/>
      <c r="AO709" s="116"/>
      <c r="AP709" s="116"/>
      <c r="AU709" s="332"/>
      <c r="AV709" s="332"/>
      <c r="AW709" s="332"/>
      <c r="AX709" s="332"/>
      <c r="AY709" s="332"/>
      <c r="AZ709" s="332"/>
      <c r="BA709" s="332"/>
      <c r="BB709" s="31"/>
      <c r="BC709" s="31"/>
      <c r="BD709" s="31"/>
      <c r="BE709" s="31"/>
    </row>
    <row r="710" spans="1:57" ht="13">
      <c r="A710" s="153"/>
      <c r="F710" s="153"/>
      <c r="G710" s="116"/>
      <c r="H710" s="116"/>
      <c r="I710" s="116"/>
      <c r="J710" s="116"/>
      <c r="K710" s="219"/>
      <c r="L710" s="116"/>
      <c r="M710" s="31"/>
      <c r="N710" s="336"/>
      <c r="O710" s="336"/>
      <c r="P710" s="219"/>
      <c r="Q710" s="332"/>
      <c r="R710" s="219"/>
      <c r="S710" s="332"/>
      <c r="T710" s="219"/>
      <c r="U710" s="332"/>
      <c r="V710" s="332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  <c r="AH710" s="370"/>
      <c r="AI710" s="370"/>
      <c r="AJ710" s="370"/>
      <c r="AL710" s="219"/>
      <c r="AM710" s="219"/>
      <c r="AN710" s="219"/>
      <c r="AO710" s="116"/>
      <c r="AP710" s="116"/>
      <c r="AU710" s="332"/>
      <c r="AV710" s="332"/>
      <c r="AW710" s="332"/>
      <c r="AX710" s="332"/>
      <c r="AY710" s="332"/>
      <c r="AZ710" s="332"/>
      <c r="BA710" s="332"/>
      <c r="BB710" s="31"/>
      <c r="BC710" s="31"/>
      <c r="BD710" s="31"/>
      <c r="BE710" s="31"/>
    </row>
    <row r="711" spans="1:57" ht="13">
      <c r="A711" s="153"/>
      <c r="F711" s="153"/>
      <c r="G711" s="116"/>
      <c r="H711" s="116"/>
      <c r="I711" s="116"/>
      <c r="J711" s="116"/>
      <c r="K711" s="219"/>
      <c r="L711" s="116"/>
      <c r="M711" s="31"/>
      <c r="N711" s="336"/>
      <c r="O711" s="336"/>
      <c r="P711" s="219"/>
      <c r="Q711" s="332"/>
      <c r="R711" s="219"/>
      <c r="S711" s="332"/>
      <c r="T711" s="219"/>
      <c r="U711" s="332"/>
      <c r="V711" s="332"/>
      <c r="W711" s="370"/>
      <c r="X711" s="370"/>
      <c r="Y711" s="370"/>
      <c r="Z711" s="370"/>
      <c r="AA711" s="370"/>
      <c r="AB711" s="370"/>
      <c r="AC711" s="370"/>
      <c r="AD711" s="370"/>
      <c r="AE711" s="370"/>
      <c r="AF711" s="370"/>
      <c r="AG711" s="370"/>
      <c r="AH711" s="370"/>
      <c r="AI711" s="370"/>
      <c r="AJ711" s="370"/>
      <c r="AL711" s="219"/>
      <c r="AM711" s="219"/>
      <c r="AN711" s="219"/>
      <c r="AO711" s="116"/>
      <c r="AP711" s="116"/>
      <c r="AU711" s="332"/>
      <c r="AV711" s="332"/>
      <c r="AW711" s="332"/>
      <c r="AX711" s="332"/>
      <c r="AY711" s="332"/>
      <c r="AZ711" s="332"/>
      <c r="BA711" s="332"/>
      <c r="BB711" s="31"/>
      <c r="BC711" s="31"/>
      <c r="BD711" s="31"/>
      <c r="BE711" s="31"/>
    </row>
    <row r="712" spans="1:57" ht="13">
      <c r="A712" s="153"/>
      <c r="F712" s="153"/>
      <c r="G712" s="116"/>
      <c r="H712" s="116"/>
      <c r="I712" s="116"/>
      <c r="J712" s="116"/>
      <c r="K712" s="219"/>
      <c r="L712" s="116"/>
      <c r="M712" s="31"/>
      <c r="N712" s="336"/>
      <c r="O712" s="336"/>
      <c r="P712" s="219"/>
      <c r="Q712" s="332"/>
      <c r="R712" s="219"/>
      <c r="S712" s="332"/>
      <c r="T712" s="219"/>
      <c r="U712" s="332"/>
      <c r="V712" s="332"/>
      <c r="W712" s="370"/>
      <c r="X712" s="370"/>
      <c r="Y712" s="370"/>
      <c r="Z712" s="370"/>
      <c r="AA712" s="370"/>
      <c r="AB712" s="370"/>
      <c r="AC712" s="370"/>
      <c r="AD712" s="370"/>
      <c r="AE712" s="370"/>
      <c r="AF712" s="370"/>
      <c r="AG712" s="370"/>
      <c r="AH712" s="370"/>
      <c r="AI712" s="370"/>
      <c r="AJ712" s="370"/>
      <c r="AL712" s="219"/>
      <c r="AM712" s="219"/>
      <c r="AN712" s="219"/>
      <c r="AO712" s="116"/>
      <c r="AP712" s="116"/>
      <c r="AU712" s="332"/>
      <c r="AV712" s="332"/>
      <c r="AW712" s="332"/>
      <c r="AX712" s="332"/>
      <c r="AY712" s="332"/>
      <c r="AZ712" s="332"/>
      <c r="BA712" s="332"/>
      <c r="BB712" s="31"/>
      <c r="BC712" s="31"/>
      <c r="BD712" s="31"/>
      <c r="BE712" s="31"/>
    </row>
    <row r="713" spans="1:57" ht="13">
      <c r="A713" s="153"/>
      <c r="F713" s="153"/>
      <c r="G713" s="116"/>
      <c r="H713" s="116"/>
      <c r="I713" s="116"/>
      <c r="J713" s="116"/>
      <c r="K713" s="219"/>
      <c r="L713" s="116"/>
      <c r="M713" s="31"/>
      <c r="N713" s="336"/>
      <c r="O713" s="336"/>
      <c r="P713" s="219"/>
      <c r="Q713" s="332"/>
      <c r="R713" s="219"/>
      <c r="S713" s="332"/>
      <c r="T713" s="219"/>
      <c r="U713" s="332"/>
      <c r="V713" s="332"/>
      <c r="W713" s="370"/>
      <c r="X713" s="370"/>
      <c r="Y713" s="370"/>
      <c r="Z713" s="370"/>
      <c r="AA713" s="370"/>
      <c r="AB713" s="370"/>
      <c r="AC713" s="370"/>
      <c r="AD713" s="370"/>
      <c r="AE713" s="370"/>
      <c r="AF713" s="370"/>
      <c r="AG713" s="370"/>
      <c r="AH713" s="370"/>
      <c r="AI713" s="370"/>
      <c r="AJ713" s="370"/>
      <c r="AL713" s="219"/>
      <c r="AM713" s="219"/>
      <c r="AN713" s="219"/>
      <c r="AO713" s="116"/>
      <c r="AP713" s="116"/>
      <c r="AU713" s="332"/>
      <c r="AV713" s="332"/>
      <c r="AW713" s="332"/>
      <c r="AX713" s="332"/>
      <c r="AY713" s="332"/>
      <c r="AZ713" s="332"/>
      <c r="BA713" s="332"/>
      <c r="BB713" s="31"/>
      <c r="BC713" s="31"/>
      <c r="BD713" s="31"/>
      <c r="BE713" s="31"/>
    </row>
    <row r="714" spans="1:57" ht="13">
      <c r="A714" s="153"/>
      <c r="F714" s="153"/>
      <c r="G714" s="116"/>
      <c r="H714" s="116"/>
      <c r="I714" s="116"/>
      <c r="J714" s="116"/>
      <c r="K714" s="219"/>
      <c r="L714" s="116"/>
      <c r="M714" s="31"/>
      <c r="N714" s="336"/>
      <c r="O714" s="336"/>
      <c r="P714" s="219"/>
      <c r="Q714" s="332"/>
      <c r="R714" s="219"/>
      <c r="S714" s="332"/>
      <c r="T714" s="219"/>
      <c r="U714" s="332"/>
      <c r="V714" s="332"/>
      <c r="W714" s="370"/>
      <c r="X714" s="370"/>
      <c r="Y714" s="370"/>
      <c r="Z714" s="370"/>
      <c r="AA714" s="370"/>
      <c r="AB714" s="370"/>
      <c r="AC714" s="370"/>
      <c r="AD714" s="370"/>
      <c r="AE714" s="370"/>
      <c r="AF714" s="370"/>
      <c r="AG714" s="370"/>
      <c r="AH714" s="370"/>
      <c r="AI714" s="370"/>
      <c r="AJ714" s="370"/>
      <c r="AL714" s="219"/>
      <c r="AM714" s="219"/>
      <c r="AN714" s="219"/>
      <c r="AO714" s="116"/>
      <c r="AP714" s="116"/>
      <c r="AU714" s="332"/>
      <c r="AV714" s="332"/>
      <c r="AW714" s="332"/>
      <c r="AX714" s="332"/>
      <c r="AY714" s="332"/>
      <c r="AZ714" s="332"/>
      <c r="BA714" s="332"/>
      <c r="BB714" s="31"/>
      <c r="BC714" s="31"/>
      <c r="BD714" s="31"/>
      <c r="BE714" s="31"/>
    </row>
    <row r="715" spans="1:57" ht="13">
      <c r="A715" s="153"/>
      <c r="F715" s="153"/>
      <c r="G715" s="116"/>
      <c r="H715" s="116"/>
      <c r="I715" s="116"/>
      <c r="J715" s="116"/>
      <c r="K715" s="219"/>
      <c r="L715" s="116"/>
      <c r="M715" s="31"/>
      <c r="N715" s="336"/>
      <c r="O715" s="336"/>
      <c r="P715" s="219"/>
      <c r="Q715" s="332"/>
      <c r="R715" s="219"/>
      <c r="S715" s="332"/>
      <c r="T715" s="219"/>
      <c r="U715" s="332"/>
      <c r="V715" s="332"/>
      <c r="W715" s="370"/>
      <c r="X715" s="370"/>
      <c r="Y715" s="370"/>
      <c r="Z715" s="370"/>
      <c r="AA715" s="370"/>
      <c r="AB715" s="370"/>
      <c r="AC715" s="370"/>
      <c r="AD715" s="370"/>
      <c r="AE715" s="370"/>
      <c r="AF715" s="370"/>
      <c r="AG715" s="370"/>
      <c r="AH715" s="370"/>
      <c r="AI715" s="370"/>
      <c r="AJ715" s="370"/>
      <c r="AL715" s="219"/>
      <c r="AM715" s="219"/>
      <c r="AN715" s="219"/>
      <c r="AO715" s="116"/>
      <c r="AP715" s="116"/>
      <c r="AU715" s="332"/>
      <c r="AV715" s="332"/>
      <c r="AW715" s="332"/>
      <c r="AX715" s="332"/>
      <c r="AY715" s="332"/>
      <c r="AZ715" s="332"/>
      <c r="BA715" s="332"/>
      <c r="BB715" s="31"/>
      <c r="BC715" s="31"/>
      <c r="BD715" s="31"/>
      <c r="BE715" s="31"/>
    </row>
    <row r="716" spans="1:57" ht="13">
      <c r="A716" s="153"/>
      <c r="F716" s="153"/>
      <c r="G716" s="116"/>
      <c r="H716" s="116"/>
      <c r="I716" s="116"/>
      <c r="J716" s="116"/>
      <c r="K716" s="219"/>
      <c r="L716" s="116"/>
      <c r="M716" s="31"/>
      <c r="N716" s="336"/>
      <c r="O716" s="336"/>
      <c r="P716" s="219"/>
      <c r="Q716" s="332"/>
      <c r="R716" s="219"/>
      <c r="S716" s="332"/>
      <c r="T716" s="219"/>
      <c r="U716" s="332"/>
      <c r="V716" s="332"/>
      <c r="W716" s="370"/>
      <c r="X716" s="370"/>
      <c r="Y716" s="370"/>
      <c r="Z716" s="370"/>
      <c r="AA716" s="370"/>
      <c r="AB716" s="370"/>
      <c r="AC716" s="370"/>
      <c r="AD716" s="370"/>
      <c r="AE716" s="370"/>
      <c r="AF716" s="370"/>
      <c r="AG716" s="370"/>
      <c r="AH716" s="370"/>
      <c r="AI716" s="370"/>
      <c r="AJ716" s="370"/>
      <c r="AL716" s="219"/>
      <c r="AM716" s="219"/>
      <c r="AN716" s="219"/>
      <c r="AO716" s="116"/>
      <c r="AP716" s="116"/>
      <c r="AU716" s="332"/>
      <c r="AV716" s="332"/>
      <c r="AW716" s="332"/>
      <c r="AX716" s="332"/>
      <c r="AY716" s="332"/>
      <c r="AZ716" s="332"/>
      <c r="BA716" s="332"/>
      <c r="BB716" s="31"/>
      <c r="BC716" s="31"/>
      <c r="BD716" s="31"/>
      <c r="BE716" s="31"/>
    </row>
    <row r="717" spans="1:57" ht="13">
      <c r="A717" s="153"/>
      <c r="F717" s="153"/>
      <c r="G717" s="116"/>
      <c r="H717" s="116"/>
      <c r="I717" s="116"/>
      <c r="J717" s="116"/>
      <c r="K717" s="219"/>
      <c r="L717" s="116"/>
      <c r="M717" s="31"/>
      <c r="N717" s="336"/>
      <c r="O717" s="336"/>
      <c r="P717" s="219"/>
      <c r="Q717" s="332"/>
      <c r="R717" s="219"/>
      <c r="S717" s="332"/>
      <c r="T717" s="219"/>
      <c r="U717" s="332"/>
      <c r="V717" s="332"/>
      <c r="W717" s="370"/>
      <c r="X717" s="370"/>
      <c r="Y717" s="370"/>
      <c r="Z717" s="370"/>
      <c r="AA717" s="370"/>
      <c r="AB717" s="370"/>
      <c r="AC717" s="370"/>
      <c r="AD717" s="370"/>
      <c r="AE717" s="370"/>
      <c r="AF717" s="370"/>
      <c r="AG717" s="370"/>
      <c r="AH717" s="370"/>
      <c r="AI717" s="370"/>
      <c r="AJ717" s="370"/>
      <c r="AL717" s="219"/>
      <c r="AM717" s="219"/>
      <c r="AN717" s="219"/>
      <c r="AO717" s="116"/>
      <c r="AP717" s="116"/>
      <c r="AU717" s="332"/>
      <c r="AV717" s="332"/>
      <c r="AW717" s="332"/>
      <c r="AX717" s="332"/>
      <c r="AY717" s="332"/>
      <c r="AZ717" s="332"/>
      <c r="BA717" s="332"/>
      <c r="BB717" s="31"/>
      <c r="BC717" s="31"/>
      <c r="BD717" s="31"/>
      <c r="BE717" s="31"/>
    </row>
    <row r="718" spans="1:57" ht="13">
      <c r="A718" s="153"/>
      <c r="F718" s="153"/>
      <c r="G718" s="116"/>
      <c r="H718" s="116"/>
      <c r="I718" s="116"/>
      <c r="J718" s="116"/>
      <c r="K718" s="219"/>
      <c r="L718" s="116"/>
      <c r="M718" s="31"/>
      <c r="N718" s="336"/>
      <c r="O718" s="336"/>
      <c r="P718" s="219"/>
      <c r="Q718" s="332"/>
      <c r="R718" s="219"/>
      <c r="S718" s="332"/>
      <c r="T718" s="219"/>
      <c r="U718" s="332"/>
      <c r="V718" s="332"/>
      <c r="W718" s="370"/>
      <c r="X718" s="370"/>
      <c r="Y718" s="370"/>
      <c r="Z718" s="370"/>
      <c r="AA718" s="370"/>
      <c r="AB718" s="370"/>
      <c r="AC718" s="370"/>
      <c r="AD718" s="370"/>
      <c r="AE718" s="370"/>
      <c r="AF718" s="370"/>
      <c r="AG718" s="370"/>
      <c r="AH718" s="370"/>
      <c r="AI718" s="370"/>
      <c r="AJ718" s="370"/>
      <c r="AL718" s="219"/>
      <c r="AM718" s="219"/>
      <c r="AN718" s="219"/>
      <c r="AO718" s="116"/>
      <c r="AP718" s="116"/>
      <c r="AU718" s="332"/>
      <c r="AV718" s="332"/>
      <c r="AW718" s="332"/>
      <c r="AX718" s="332"/>
      <c r="AY718" s="332"/>
      <c r="AZ718" s="332"/>
      <c r="BA718" s="332"/>
      <c r="BB718" s="31"/>
      <c r="BC718" s="31"/>
      <c r="BD718" s="31"/>
      <c r="BE718" s="31"/>
    </row>
    <row r="719" spans="1:57" ht="13">
      <c r="A719" s="153"/>
      <c r="F719" s="153"/>
      <c r="G719" s="116"/>
      <c r="H719" s="116"/>
      <c r="I719" s="116"/>
      <c r="J719" s="116"/>
      <c r="K719" s="219"/>
      <c r="L719" s="116"/>
      <c r="M719" s="31"/>
      <c r="N719" s="336"/>
      <c r="O719" s="336"/>
      <c r="P719" s="219"/>
      <c r="Q719" s="332"/>
      <c r="R719" s="219"/>
      <c r="S719" s="332"/>
      <c r="T719" s="219"/>
      <c r="U719" s="332"/>
      <c r="V719" s="332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  <c r="AH719" s="370"/>
      <c r="AI719" s="370"/>
      <c r="AJ719" s="370"/>
      <c r="AL719" s="219"/>
      <c r="AM719" s="219"/>
      <c r="AN719" s="219"/>
      <c r="AO719" s="116"/>
      <c r="AP719" s="116"/>
      <c r="AU719" s="332"/>
      <c r="AV719" s="332"/>
      <c r="AW719" s="332"/>
      <c r="AX719" s="332"/>
      <c r="AY719" s="332"/>
      <c r="AZ719" s="332"/>
      <c r="BA719" s="332"/>
      <c r="BB719" s="31"/>
      <c r="BC719" s="31"/>
      <c r="BD719" s="31"/>
      <c r="BE719" s="31"/>
    </row>
    <row r="720" spans="1:57" ht="13">
      <c r="A720" s="153"/>
      <c r="F720" s="153"/>
      <c r="G720" s="116"/>
      <c r="H720" s="116"/>
      <c r="I720" s="116"/>
      <c r="J720" s="116"/>
      <c r="K720" s="219"/>
      <c r="L720" s="116"/>
      <c r="M720" s="31"/>
      <c r="N720" s="336"/>
      <c r="O720" s="336"/>
      <c r="P720" s="219"/>
      <c r="Q720" s="332"/>
      <c r="R720" s="219"/>
      <c r="S720" s="332"/>
      <c r="T720" s="219"/>
      <c r="U720" s="332"/>
      <c r="V720" s="332"/>
      <c r="W720" s="370"/>
      <c r="X720" s="370"/>
      <c r="Y720" s="370"/>
      <c r="Z720" s="370"/>
      <c r="AA720" s="370"/>
      <c r="AB720" s="370"/>
      <c r="AC720" s="370"/>
      <c r="AD720" s="370"/>
      <c r="AE720" s="370"/>
      <c r="AF720" s="370"/>
      <c r="AG720" s="370"/>
      <c r="AH720" s="370"/>
      <c r="AI720" s="370"/>
      <c r="AJ720" s="370"/>
      <c r="AL720" s="219"/>
      <c r="AM720" s="219"/>
      <c r="AN720" s="219"/>
      <c r="AO720" s="116"/>
      <c r="AP720" s="116"/>
      <c r="AU720" s="332"/>
      <c r="AV720" s="332"/>
      <c r="AW720" s="332"/>
      <c r="AX720" s="332"/>
      <c r="AY720" s="332"/>
      <c r="AZ720" s="332"/>
      <c r="BA720" s="332"/>
      <c r="BB720" s="31"/>
      <c r="BC720" s="31"/>
      <c r="BD720" s="31"/>
      <c r="BE720" s="31"/>
    </row>
    <row r="721" spans="1:57" ht="13">
      <c r="A721" s="153"/>
      <c r="F721" s="153"/>
      <c r="G721" s="116"/>
      <c r="H721" s="116"/>
      <c r="I721" s="116"/>
      <c r="J721" s="116"/>
      <c r="K721" s="219"/>
      <c r="L721" s="116"/>
      <c r="M721" s="31"/>
      <c r="N721" s="336"/>
      <c r="O721" s="336"/>
      <c r="P721" s="219"/>
      <c r="Q721" s="332"/>
      <c r="R721" s="219"/>
      <c r="S721" s="332"/>
      <c r="T721" s="219"/>
      <c r="U721" s="332"/>
      <c r="V721" s="332"/>
      <c r="W721" s="370"/>
      <c r="X721" s="370"/>
      <c r="Y721" s="370"/>
      <c r="Z721" s="370"/>
      <c r="AA721" s="370"/>
      <c r="AB721" s="370"/>
      <c r="AC721" s="370"/>
      <c r="AD721" s="370"/>
      <c r="AE721" s="370"/>
      <c r="AF721" s="370"/>
      <c r="AG721" s="370"/>
      <c r="AH721" s="370"/>
      <c r="AI721" s="370"/>
      <c r="AJ721" s="370"/>
      <c r="AL721" s="219"/>
      <c r="AM721" s="219"/>
      <c r="AN721" s="219"/>
      <c r="AO721" s="116"/>
      <c r="AP721" s="116"/>
      <c r="AU721" s="332"/>
      <c r="AV721" s="332"/>
      <c r="AW721" s="332"/>
      <c r="AX721" s="332"/>
      <c r="AY721" s="332"/>
      <c r="AZ721" s="332"/>
      <c r="BA721" s="332"/>
      <c r="BB721" s="31"/>
      <c r="BC721" s="31"/>
      <c r="BD721" s="31"/>
      <c r="BE721" s="31"/>
    </row>
    <row r="722" spans="1:57" ht="13">
      <c r="A722" s="153"/>
      <c r="F722" s="153"/>
      <c r="G722" s="116"/>
      <c r="H722" s="116"/>
      <c r="I722" s="116"/>
      <c r="J722" s="116"/>
      <c r="K722" s="219"/>
      <c r="L722" s="116"/>
      <c r="M722" s="31"/>
      <c r="N722" s="336"/>
      <c r="O722" s="336"/>
      <c r="P722" s="219"/>
      <c r="Q722" s="332"/>
      <c r="R722" s="219"/>
      <c r="S722" s="332"/>
      <c r="T722" s="219"/>
      <c r="U722" s="332"/>
      <c r="V722" s="332"/>
      <c r="W722" s="370"/>
      <c r="X722" s="370"/>
      <c r="Y722" s="370"/>
      <c r="Z722" s="370"/>
      <c r="AA722" s="370"/>
      <c r="AB722" s="370"/>
      <c r="AC722" s="370"/>
      <c r="AD722" s="370"/>
      <c r="AE722" s="370"/>
      <c r="AF722" s="370"/>
      <c r="AG722" s="370"/>
      <c r="AH722" s="370"/>
      <c r="AI722" s="370"/>
      <c r="AJ722" s="370"/>
      <c r="AL722" s="219"/>
      <c r="AM722" s="219"/>
      <c r="AN722" s="219"/>
      <c r="AO722" s="116"/>
      <c r="AP722" s="116"/>
      <c r="AU722" s="332"/>
      <c r="AV722" s="332"/>
      <c r="AW722" s="332"/>
      <c r="AX722" s="332"/>
      <c r="AY722" s="332"/>
      <c r="AZ722" s="332"/>
      <c r="BA722" s="332"/>
      <c r="BB722" s="31"/>
      <c r="BC722" s="31"/>
      <c r="BD722" s="31"/>
      <c r="BE722" s="31"/>
    </row>
    <row r="723" spans="1:57" ht="13">
      <c r="A723" s="153"/>
      <c r="F723" s="153"/>
      <c r="G723" s="116"/>
      <c r="H723" s="116"/>
      <c r="I723" s="116"/>
      <c r="J723" s="116"/>
      <c r="K723" s="219"/>
      <c r="L723" s="116"/>
      <c r="M723" s="31"/>
      <c r="N723" s="336"/>
      <c r="O723" s="336"/>
      <c r="P723" s="219"/>
      <c r="Q723" s="332"/>
      <c r="R723" s="219"/>
      <c r="S723" s="332"/>
      <c r="T723" s="219"/>
      <c r="U723" s="332"/>
      <c r="V723" s="332"/>
      <c r="W723" s="370"/>
      <c r="X723" s="370"/>
      <c r="Y723" s="370"/>
      <c r="Z723" s="370"/>
      <c r="AA723" s="370"/>
      <c r="AB723" s="370"/>
      <c r="AC723" s="370"/>
      <c r="AD723" s="370"/>
      <c r="AE723" s="370"/>
      <c r="AF723" s="370"/>
      <c r="AG723" s="370"/>
      <c r="AH723" s="370"/>
      <c r="AI723" s="370"/>
      <c r="AJ723" s="370"/>
      <c r="AL723" s="219"/>
      <c r="AM723" s="219"/>
      <c r="AN723" s="219"/>
      <c r="AO723" s="116"/>
      <c r="AP723" s="116"/>
      <c r="AU723" s="332"/>
      <c r="AV723" s="332"/>
      <c r="AW723" s="332"/>
      <c r="AX723" s="332"/>
      <c r="AY723" s="332"/>
      <c r="AZ723" s="332"/>
      <c r="BA723" s="332"/>
      <c r="BB723" s="31"/>
      <c r="BC723" s="31"/>
      <c r="BD723" s="31"/>
      <c r="BE723" s="31"/>
    </row>
    <row r="724" spans="1:57" ht="13">
      <c r="A724" s="153"/>
      <c r="F724" s="153"/>
      <c r="G724" s="116"/>
      <c r="H724" s="116"/>
      <c r="I724" s="116"/>
      <c r="J724" s="116"/>
      <c r="K724" s="219"/>
      <c r="L724" s="116"/>
      <c r="M724" s="31"/>
      <c r="N724" s="336"/>
      <c r="O724" s="336"/>
      <c r="P724" s="219"/>
      <c r="Q724" s="332"/>
      <c r="R724" s="219"/>
      <c r="S724" s="332"/>
      <c r="T724" s="219"/>
      <c r="U724" s="332"/>
      <c r="V724" s="332"/>
      <c r="W724" s="370"/>
      <c r="X724" s="370"/>
      <c r="Y724" s="370"/>
      <c r="Z724" s="370"/>
      <c r="AA724" s="370"/>
      <c r="AB724" s="370"/>
      <c r="AC724" s="370"/>
      <c r="AD724" s="370"/>
      <c r="AE724" s="370"/>
      <c r="AF724" s="370"/>
      <c r="AG724" s="370"/>
      <c r="AH724" s="370"/>
      <c r="AI724" s="370"/>
      <c r="AJ724" s="370"/>
      <c r="AL724" s="219"/>
      <c r="AM724" s="219"/>
      <c r="AN724" s="219"/>
      <c r="AO724" s="116"/>
      <c r="AP724" s="116"/>
      <c r="AU724" s="332"/>
      <c r="AV724" s="332"/>
      <c r="AW724" s="332"/>
      <c r="AX724" s="332"/>
      <c r="AY724" s="332"/>
      <c r="AZ724" s="332"/>
      <c r="BA724" s="332"/>
      <c r="BB724" s="31"/>
      <c r="BC724" s="31"/>
      <c r="BD724" s="31"/>
      <c r="BE724" s="31"/>
    </row>
    <row r="725" spans="1:57" ht="13">
      <c r="A725" s="153"/>
      <c r="F725" s="153"/>
      <c r="G725" s="116"/>
      <c r="H725" s="116"/>
      <c r="I725" s="116"/>
      <c r="J725" s="116"/>
      <c r="K725" s="219"/>
      <c r="L725" s="116"/>
      <c r="M725" s="31"/>
      <c r="N725" s="336"/>
      <c r="O725" s="336"/>
      <c r="P725" s="219"/>
      <c r="Q725" s="332"/>
      <c r="R725" s="219"/>
      <c r="S725" s="332"/>
      <c r="T725" s="219"/>
      <c r="U725" s="332"/>
      <c r="V725" s="332"/>
      <c r="W725" s="370"/>
      <c r="X725" s="370"/>
      <c r="Y725" s="370"/>
      <c r="Z725" s="370"/>
      <c r="AA725" s="370"/>
      <c r="AB725" s="370"/>
      <c r="AC725" s="370"/>
      <c r="AD725" s="370"/>
      <c r="AE725" s="370"/>
      <c r="AF725" s="370"/>
      <c r="AG725" s="370"/>
      <c r="AH725" s="370"/>
      <c r="AI725" s="370"/>
      <c r="AJ725" s="370"/>
      <c r="AL725" s="219"/>
      <c r="AM725" s="219"/>
      <c r="AN725" s="219"/>
      <c r="AO725" s="116"/>
      <c r="AP725" s="116"/>
      <c r="AU725" s="332"/>
      <c r="AV725" s="332"/>
      <c r="AW725" s="332"/>
      <c r="AX725" s="332"/>
      <c r="AY725" s="332"/>
      <c r="AZ725" s="332"/>
      <c r="BA725" s="332"/>
      <c r="BB725" s="31"/>
      <c r="BC725" s="31"/>
      <c r="BD725" s="31"/>
      <c r="BE725" s="31"/>
    </row>
    <row r="726" spans="1:57" ht="13">
      <c r="A726" s="153"/>
      <c r="F726" s="153"/>
      <c r="G726" s="116"/>
      <c r="H726" s="116"/>
      <c r="I726" s="116"/>
      <c r="J726" s="116"/>
      <c r="K726" s="219"/>
      <c r="L726" s="116"/>
      <c r="M726" s="31"/>
      <c r="N726" s="336"/>
      <c r="O726" s="336"/>
      <c r="P726" s="219"/>
      <c r="Q726" s="332"/>
      <c r="R726" s="219"/>
      <c r="S726" s="332"/>
      <c r="T726" s="219"/>
      <c r="U726" s="332"/>
      <c r="V726" s="332"/>
      <c r="W726" s="370"/>
      <c r="X726" s="370"/>
      <c r="Y726" s="370"/>
      <c r="Z726" s="370"/>
      <c r="AA726" s="370"/>
      <c r="AB726" s="370"/>
      <c r="AC726" s="370"/>
      <c r="AD726" s="370"/>
      <c r="AE726" s="370"/>
      <c r="AF726" s="370"/>
      <c r="AG726" s="370"/>
      <c r="AH726" s="370"/>
      <c r="AI726" s="370"/>
      <c r="AJ726" s="370"/>
      <c r="AL726" s="219"/>
      <c r="AM726" s="219"/>
      <c r="AN726" s="219"/>
      <c r="AO726" s="116"/>
      <c r="AP726" s="116"/>
      <c r="AU726" s="332"/>
      <c r="AV726" s="332"/>
      <c r="AW726" s="332"/>
      <c r="AX726" s="332"/>
      <c r="AY726" s="332"/>
      <c r="AZ726" s="332"/>
      <c r="BA726" s="332"/>
      <c r="BB726" s="31"/>
      <c r="BC726" s="31"/>
      <c r="BD726" s="31"/>
      <c r="BE726" s="31"/>
    </row>
    <row r="727" spans="1:57" ht="13">
      <c r="A727" s="153"/>
      <c r="F727" s="153"/>
      <c r="G727" s="116"/>
      <c r="H727" s="116"/>
      <c r="I727" s="116"/>
      <c r="J727" s="116"/>
      <c r="K727" s="219"/>
      <c r="L727" s="116"/>
      <c r="M727" s="31"/>
      <c r="N727" s="336"/>
      <c r="O727" s="336"/>
      <c r="P727" s="219"/>
      <c r="Q727" s="332"/>
      <c r="R727" s="219"/>
      <c r="S727" s="332"/>
      <c r="T727" s="219"/>
      <c r="U727" s="332"/>
      <c r="V727" s="332"/>
      <c r="W727" s="370"/>
      <c r="X727" s="370"/>
      <c r="Y727" s="370"/>
      <c r="Z727" s="370"/>
      <c r="AA727" s="370"/>
      <c r="AB727" s="370"/>
      <c r="AC727" s="370"/>
      <c r="AD727" s="370"/>
      <c r="AE727" s="370"/>
      <c r="AF727" s="370"/>
      <c r="AG727" s="370"/>
      <c r="AH727" s="370"/>
      <c r="AI727" s="370"/>
      <c r="AJ727" s="370"/>
      <c r="AL727" s="219"/>
      <c r="AM727" s="219"/>
      <c r="AN727" s="219"/>
      <c r="AO727" s="116"/>
      <c r="AP727" s="116"/>
      <c r="AU727" s="332"/>
      <c r="AV727" s="332"/>
      <c r="AW727" s="332"/>
      <c r="AX727" s="332"/>
      <c r="AY727" s="332"/>
      <c r="AZ727" s="332"/>
      <c r="BA727" s="332"/>
      <c r="BB727" s="31"/>
      <c r="BC727" s="31"/>
      <c r="BD727" s="31"/>
      <c r="BE727" s="31"/>
    </row>
    <row r="728" spans="1:57" ht="13">
      <c r="A728" s="153"/>
      <c r="F728" s="153"/>
      <c r="G728" s="116"/>
      <c r="H728" s="116"/>
      <c r="I728" s="116"/>
      <c r="J728" s="116"/>
      <c r="K728" s="219"/>
      <c r="L728" s="116"/>
      <c r="M728" s="31"/>
      <c r="N728" s="336"/>
      <c r="O728" s="336"/>
      <c r="P728" s="219"/>
      <c r="Q728" s="332"/>
      <c r="R728" s="219"/>
      <c r="S728" s="332"/>
      <c r="T728" s="219"/>
      <c r="U728" s="332"/>
      <c r="V728" s="332"/>
      <c r="W728" s="370"/>
      <c r="X728" s="370"/>
      <c r="Y728" s="370"/>
      <c r="Z728" s="370"/>
      <c r="AA728" s="370"/>
      <c r="AB728" s="370"/>
      <c r="AC728" s="370"/>
      <c r="AD728" s="370"/>
      <c r="AE728" s="370"/>
      <c r="AF728" s="370"/>
      <c r="AG728" s="370"/>
      <c r="AH728" s="370"/>
      <c r="AI728" s="370"/>
      <c r="AJ728" s="370"/>
      <c r="AL728" s="219"/>
      <c r="AM728" s="219"/>
      <c r="AN728" s="219"/>
      <c r="AO728" s="116"/>
      <c r="AP728" s="116"/>
      <c r="AU728" s="332"/>
      <c r="AV728" s="332"/>
      <c r="AW728" s="332"/>
      <c r="AX728" s="332"/>
      <c r="AY728" s="332"/>
      <c r="AZ728" s="332"/>
      <c r="BA728" s="332"/>
      <c r="BB728" s="31"/>
      <c r="BC728" s="31"/>
      <c r="BD728" s="31"/>
      <c r="BE728" s="31"/>
    </row>
    <row r="729" spans="1:57" ht="13">
      <c r="A729" s="153"/>
      <c r="F729" s="153"/>
      <c r="G729" s="116"/>
      <c r="H729" s="116"/>
      <c r="I729" s="116"/>
      <c r="J729" s="116"/>
      <c r="K729" s="219"/>
      <c r="L729" s="116"/>
      <c r="M729" s="31"/>
      <c r="N729" s="336"/>
      <c r="O729" s="336"/>
      <c r="P729" s="219"/>
      <c r="Q729" s="332"/>
      <c r="R729" s="219"/>
      <c r="S729" s="332"/>
      <c r="T729" s="219"/>
      <c r="U729" s="332"/>
      <c r="V729" s="332"/>
      <c r="W729" s="370"/>
      <c r="X729" s="370"/>
      <c r="Y729" s="370"/>
      <c r="Z729" s="370"/>
      <c r="AA729" s="370"/>
      <c r="AB729" s="370"/>
      <c r="AC729" s="370"/>
      <c r="AD729" s="370"/>
      <c r="AE729" s="370"/>
      <c r="AF729" s="370"/>
      <c r="AG729" s="370"/>
      <c r="AH729" s="370"/>
      <c r="AI729" s="370"/>
      <c r="AJ729" s="370"/>
      <c r="AL729" s="219"/>
      <c r="AM729" s="219"/>
      <c r="AN729" s="219"/>
      <c r="AO729" s="116"/>
      <c r="AP729" s="116"/>
      <c r="AU729" s="332"/>
      <c r="AV729" s="332"/>
      <c r="AW729" s="332"/>
      <c r="AX729" s="332"/>
      <c r="AY729" s="332"/>
      <c r="AZ729" s="332"/>
      <c r="BA729" s="332"/>
      <c r="BB729" s="31"/>
      <c r="BC729" s="31"/>
      <c r="BD729" s="31"/>
      <c r="BE729" s="31"/>
    </row>
    <row r="730" spans="1:57" ht="13">
      <c r="A730" s="153"/>
      <c r="F730" s="153"/>
      <c r="G730" s="116"/>
      <c r="H730" s="116"/>
      <c r="I730" s="116"/>
      <c r="J730" s="116"/>
      <c r="K730" s="219"/>
      <c r="L730" s="116"/>
      <c r="M730" s="31"/>
      <c r="N730" s="336"/>
      <c r="O730" s="336"/>
      <c r="P730" s="219"/>
      <c r="Q730" s="332"/>
      <c r="R730" s="219"/>
      <c r="S730" s="332"/>
      <c r="T730" s="219"/>
      <c r="U730" s="332"/>
      <c r="V730" s="332"/>
      <c r="W730" s="370"/>
      <c r="X730" s="370"/>
      <c r="Y730" s="370"/>
      <c r="Z730" s="370"/>
      <c r="AA730" s="370"/>
      <c r="AB730" s="370"/>
      <c r="AC730" s="370"/>
      <c r="AD730" s="370"/>
      <c r="AE730" s="370"/>
      <c r="AF730" s="370"/>
      <c r="AG730" s="370"/>
      <c r="AH730" s="370"/>
      <c r="AI730" s="370"/>
      <c r="AJ730" s="370"/>
      <c r="AL730" s="219"/>
      <c r="AM730" s="219"/>
      <c r="AN730" s="219"/>
      <c r="AO730" s="116"/>
      <c r="AP730" s="116"/>
      <c r="AU730" s="332"/>
      <c r="AV730" s="332"/>
      <c r="AW730" s="332"/>
      <c r="AX730" s="332"/>
      <c r="AY730" s="332"/>
      <c r="AZ730" s="332"/>
      <c r="BA730" s="332"/>
      <c r="BB730" s="31"/>
      <c r="BC730" s="31"/>
      <c r="BD730" s="31"/>
      <c r="BE730" s="31"/>
    </row>
    <row r="731" spans="1:57" ht="13">
      <c r="A731" s="153"/>
      <c r="F731" s="153"/>
      <c r="G731" s="116"/>
      <c r="H731" s="116"/>
      <c r="I731" s="116"/>
      <c r="J731" s="116"/>
      <c r="K731" s="219"/>
      <c r="L731" s="116"/>
      <c r="M731" s="31"/>
      <c r="N731" s="336"/>
      <c r="O731" s="336"/>
      <c r="P731" s="219"/>
      <c r="Q731" s="332"/>
      <c r="R731" s="219"/>
      <c r="S731" s="332"/>
      <c r="T731" s="219"/>
      <c r="U731" s="332"/>
      <c r="V731" s="332"/>
      <c r="W731" s="370"/>
      <c r="X731" s="370"/>
      <c r="Y731" s="370"/>
      <c r="Z731" s="370"/>
      <c r="AA731" s="370"/>
      <c r="AB731" s="370"/>
      <c r="AC731" s="370"/>
      <c r="AD731" s="370"/>
      <c r="AE731" s="370"/>
      <c r="AF731" s="370"/>
      <c r="AG731" s="370"/>
      <c r="AH731" s="370"/>
      <c r="AI731" s="370"/>
      <c r="AJ731" s="370"/>
      <c r="AL731" s="219"/>
      <c r="AM731" s="219"/>
      <c r="AN731" s="219"/>
      <c r="AO731" s="116"/>
      <c r="AP731" s="116"/>
      <c r="AU731" s="332"/>
      <c r="AV731" s="332"/>
      <c r="AW731" s="332"/>
      <c r="AX731" s="332"/>
      <c r="AY731" s="332"/>
      <c r="AZ731" s="332"/>
      <c r="BA731" s="332"/>
      <c r="BB731" s="31"/>
      <c r="BC731" s="31"/>
      <c r="BD731" s="31"/>
      <c r="BE731" s="31"/>
    </row>
    <row r="732" spans="1:57" ht="13">
      <c r="A732" s="153"/>
      <c r="F732" s="153"/>
      <c r="G732" s="116"/>
      <c r="H732" s="116"/>
      <c r="I732" s="116"/>
      <c r="J732" s="116"/>
      <c r="K732" s="219"/>
      <c r="L732" s="116"/>
      <c r="M732" s="31"/>
      <c r="N732" s="336"/>
      <c r="O732" s="336"/>
      <c r="P732" s="219"/>
      <c r="Q732" s="332"/>
      <c r="R732" s="219"/>
      <c r="S732" s="332"/>
      <c r="T732" s="219"/>
      <c r="U732" s="332"/>
      <c r="V732" s="332"/>
      <c r="W732" s="370"/>
      <c r="X732" s="370"/>
      <c r="Y732" s="370"/>
      <c r="Z732" s="370"/>
      <c r="AA732" s="370"/>
      <c r="AB732" s="370"/>
      <c r="AC732" s="370"/>
      <c r="AD732" s="370"/>
      <c r="AE732" s="370"/>
      <c r="AF732" s="370"/>
      <c r="AG732" s="370"/>
      <c r="AH732" s="370"/>
      <c r="AI732" s="370"/>
      <c r="AJ732" s="370"/>
      <c r="AL732" s="219"/>
      <c r="AM732" s="219"/>
      <c r="AN732" s="219"/>
      <c r="AO732" s="116"/>
      <c r="AP732" s="116"/>
      <c r="AU732" s="332"/>
      <c r="AV732" s="332"/>
      <c r="AW732" s="332"/>
      <c r="AX732" s="332"/>
      <c r="AY732" s="332"/>
      <c r="AZ732" s="332"/>
      <c r="BA732" s="332"/>
      <c r="BB732" s="31"/>
      <c r="BC732" s="31"/>
      <c r="BD732" s="31"/>
      <c r="BE732" s="31"/>
    </row>
    <row r="733" spans="1:57" ht="13">
      <c r="A733" s="153"/>
      <c r="F733" s="153"/>
      <c r="G733" s="116"/>
      <c r="H733" s="116"/>
      <c r="I733" s="116"/>
      <c r="J733" s="116"/>
      <c r="K733" s="219"/>
      <c r="L733" s="116"/>
      <c r="M733" s="31"/>
      <c r="N733" s="336"/>
      <c r="O733" s="336"/>
      <c r="P733" s="219"/>
      <c r="Q733" s="332"/>
      <c r="R733" s="219"/>
      <c r="S733" s="332"/>
      <c r="T733" s="219"/>
      <c r="U733" s="332"/>
      <c r="V733" s="332"/>
      <c r="W733" s="370"/>
      <c r="X733" s="370"/>
      <c r="Y733" s="370"/>
      <c r="Z733" s="370"/>
      <c r="AA733" s="370"/>
      <c r="AB733" s="370"/>
      <c r="AC733" s="370"/>
      <c r="AD733" s="370"/>
      <c r="AE733" s="370"/>
      <c r="AF733" s="370"/>
      <c r="AG733" s="370"/>
      <c r="AH733" s="370"/>
      <c r="AI733" s="370"/>
      <c r="AJ733" s="370"/>
      <c r="AL733" s="219"/>
      <c r="AM733" s="219"/>
      <c r="AN733" s="219"/>
      <c r="AO733" s="116"/>
      <c r="AP733" s="116"/>
      <c r="AU733" s="332"/>
      <c r="AV733" s="332"/>
      <c r="AW733" s="332"/>
      <c r="AX733" s="332"/>
      <c r="AY733" s="332"/>
      <c r="AZ733" s="332"/>
      <c r="BA733" s="332"/>
      <c r="BB733" s="31"/>
      <c r="BC733" s="31"/>
      <c r="BD733" s="31"/>
      <c r="BE733" s="31"/>
    </row>
    <row r="734" spans="1:57" ht="13">
      <c r="A734" s="153"/>
      <c r="F734" s="153"/>
      <c r="G734" s="116"/>
      <c r="H734" s="116"/>
      <c r="I734" s="116"/>
      <c r="J734" s="116"/>
      <c r="K734" s="219"/>
      <c r="L734" s="116"/>
      <c r="M734" s="31"/>
      <c r="N734" s="336"/>
      <c r="O734" s="336"/>
      <c r="P734" s="219"/>
      <c r="Q734" s="332"/>
      <c r="R734" s="219"/>
      <c r="S734" s="332"/>
      <c r="T734" s="219"/>
      <c r="U734" s="332"/>
      <c r="V734" s="332"/>
      <c r="W734" s="370"/>
      <c r="X734" s="370"/>
      <c r="Y734" s="370"/>
      <c r="Z734" s="370"/>
      <c r="AA734" s="370"/>
      <c r="AB734" s="370"/>
      <c r="AC734" s="370"/>
      <c r="AD734" s="370"/>
      <c r="AE734" s="370"/>
      <c r="AF734" s="370"/>
      <c r="AG734" s="370"/>
      <c r="AH734" s="370"/>
      <c r="AI734" s="370"/>
      <c r="AJ734" s="370"/>
      <c r="AL734" s="219"/>
      <c r="AM734" s="219"/>
      <c r="AN734" s="219"/>
      <c r="AO734" s="116"/>
      <c r="AP734" s="116"/>
      <c r="AU734" s="332"/>
      <c r="AV734" s="332"/>
      <c r="AW734" s="332"/>
      <c r="AX734" s="332"/>
      <c r="AY734" s="332"/>
      <c r="AZ734" s="332"/>
      <c r="BA734" s="332"/>
      <c r="BB734" s="31"/>
      <c r="BC734" s="31"/>
      <c r="BD734" s="31"/>
      <c r="BE734" s="31"/>
    </row>
    <row r="735" spans="1:57" ht="13">
      <c r="A735" s="153"/>
      <c r="F735" s="153"/>
      <c r="G735" s="116"/>
      <c r="H735" s="116"/>
      <c r="I735" s="116"/>
      <c r="J735" s="116"/>
      <c r="K735" s="219"/>
      <c r="L735" s="116"/>
      <c r="M735" s="31"/>
      <c r="N735" s="336"/>
      <c r="O735" s="336"/>
      <c r="P735" s="219"/>
      <c r="Q735" s="332"/>
      <c r="R735" s="219"/>
      <c r="S735" s="332"/>
      <c r="T735" s="219"/>
      <c r="U735" s="332"/>
      <c r="V735" s="332"/>
      <c r="W735" s="370"/>
      <c r="X735" s="370"/>
      <c r="Y735" s="370"/>
      <c r="Z735" s="370"/>
      <c r="AA735" s="370"/>
      <c r="AB735" s="370"/>
      <c r="AC735" s="370"/>
      <c r="AD735" s="370"/>
      <c r="AE735" s="370"/>
      <c r="AF735" s="370"/>
      <c r="AG735" s="370"/>
      <c r="AH735" s="370"/>
      <c r="AI735" s="370"/>
      <c r="AJ735" s="370"/>
      <c r="AL735" s="219"/>
      <c r="AM735" s="219"/>
      <c r="AN735" s="219"/>
      <c r="AO735" s="116"/>
      <c r="AP735" s="116"/>
      <c r="AU735" s="332"/>
      <c r="AV735" s="332"/>
      <c r="AW735" s="332"/>
      <c r="AX735" s="332"/>
      <c r="AY735" s="332"/>
      <c r="AZ735" s="332"/>
      <c r="BA735" s="332"/>
      <c r="BB735" s="31"/>
      <c r="BC735" s="31"/>
      <c r="BD735" s="31"/>
      <c r="BE735" s="31"/>
    </row>
    <row r="736" spans="1:57" ht="13">
      <c r="A736" s="153"/>
      <c r="F736" s="153"/>
      <c r="G736" s="116"/>
      <c r="H736" s="116"/>
      <c r="I736" s="116"/>
      <c r="J736" s="116"/>
      <c r="K736" s="219"/>
      <c r="L736" s="116"/>
      <c r="M736" s="31"/>
      <c r="N736" s="336"/>
      <c r="O736" s="336"/>
      <c r="P736" s="219"/>
      <c r="Q736" s="332"/>
      <c r="R736" s="219"/>
      <c r="S736" s="332"/>
      <c r="T736" s="219"/>
      <c r="U736" s="332"/>
      <c r="V736" s="332"/>
      <c r="W736" s="370"/>
      <c r="X736" s="370"/>
      <c r="Y736" s="370"/>
      <c r="Z736" s="370"/>
      <c r="AA736" s="370"/>
      <c r="AB736" s="370"/>
      <c r="AC736" s="370"/>
      <c r="AD736" s="370"/>
      <c r="AE736" s="370"/>
      <c r="AF736" s="370"/>
      <c r="AG736" s="370"/>
      <c r="AH736" s="370"/>
      <c r="AI736" s="370"/>
      <c r="AJ736" s="370"/>
      <c r="AL736" s="219"/>
      <c r="AM736" s="219"/>
      <c r="AN736" s="219"/>
      <c r="AO736" s="116"/>
      <c r="AP736" s="116"/>
      <c r="AU736" s="332"/>
      <c r="AV736" s="332"/>
      <c r="AW736" s="332"/>
      <c r="AX736" s="332"/>
      <c r="AY736" s="332"/>
      <c r="AZ736" s="332"/>
      <c r="BA736" s="332"/>
      <c r="BB736" s="31"/>
      <c r="BC736" s="31"/>
      <c r="BD736" s="31"/>
      <c r="BE736" s="31"/>
    </row>
    <row r="737" spans="1:57" ht="13">
      <c r="A737" s="153"/>
      <c r="F737" s="153"/>
      <c r="G737" s="116"/>
      <c r="H737" s="116"/>
      <c r="I737" s="116"/>
      <c r="J737" s="116"/>
      <c r="K737" s="219"/>
      <c r="L737" s="116"/>
      <c r="M737" s="31"/>
      <c r="N737" s="336"/>
      <c r="O737" s="336"/>
      <c r="P737" s="219"/>
      <c r="Q737" s="332"/>
      <c r="R737" s="219"/>
      <c r="S737" s="332"/>
      <c r="T737" s="219"/>
      <c r="U737" s="332"/>
      <c r="V737" s="332"/>
      <c r="W737" s="370"/>
      <c r="X737" s="370"/>
      <c r="Y737" s="370"/>
      <c r="Z737" s="370"/>
      <c r="AA737" s="370"/>
      <c r="AB737" s="370"/>
      <c r="AC737" s="370"/>
      <c r="AD737" s="370"/>
      <c r="AE737" s="370"/>
      <c r="AF737" s="370"/>
      <c r="AG737" s="370"/>
      <c r="AH737" s="370"/>
      <c r="AI737" s="370"/>
      <c r="AJ737" s="370"/>
      <c r="AL737" s="219"/>
      <c r="AM737" s="219"/>
      <c r="AN737" s="219"/>
      <c r="AO737" s="116"/>
      <c r="AP737" s="116"/>
      <c r="AU737" s="332"/>
      <c r="AV737" s="332"/>
      <c r="AW737" s="332"/>
      <c r="AX737" s="332"/>
      <c r="AY737" s="332"/>
      <c r="AZ737" s="332"/>
      <c r="BA737" s="332"/>
      <c r="BB737" s="31"/>
      <c r="BC737" s="31"/>
      <c r="BD737" s="31"/>
      <c r="BE737" s="31"/>
    </row>
    <row r="738" spans="1:57" ht="13">
      <c r="A738" s="153"/>
      <c r="F738" s="153"/>
      <c r="G738" s="116"/>
      <c r="H738" s="116"/>
      <c r="I738" s="116"/>
      <c r="J738" s="116"/>
      <c r="K738" s="219"/>
      <c r="L738" s="116"/>
      <c r="M738" s="31"/>
      <c r="N738" s="336"/>
      <c r="O738" s="336"/>
      <c r="P738" s="219"/>
      <c r="Q738" s="332"/>
      <c r="R738" s="219"/>
      <c r="S738" s="332"/>
      <c r="T738" s="219"/>
      <c r="U738" s="332"/>
      <c r="V738" s="332"/>
      <c r="W738" s="370"/>
      <c r="X738" s="370"/>
      <c r="Y738" s="370"/>
      <c r="Z738" s="370"/>
      <c r="AA738" s="370"/>
      <c r="AB738" s="370"/>
      <c r="AC738" s="370"/>
      <c r="AD738" s="370"/>
      <c r="AE738" s="370"/>
      <c r="AF738" s="370"/>
      <c r="AG738" s="370"/>
      <c r="AH738" s="370"/>
      <c r="AI738" s="370"/>
      <c r="AJ738" s="370"/>
      <c r="AL738" s="219"/>
      <c r="AM738" s="219"/>
      <c r="AN738" s="219"/>
      <c r="AO738" s="116"/>
      <c r="AP738" s="116"/>
      <c r="AU738" s="332"/>
      <c r="AV738" s="332"/>
      <c r="AW738" s="332"/>
      <c r="AX738" s="332"/>
      <c r="AY738" s="332"/>
      <c r="AZ738" s="332"/>
      <c r="BA738" s="332"/>
      <c r="BB738" s="31"/>
      <c r="BC738" s="31"/>
      <c r="BD738" s="31"/>
      <c r="BE738" s="31"/>
    </row>
    <row r="739" spans="1:57" ht="13">
      <c r="A739" s="153"/>
      <c r="F739" s="153"/>
      <c r="G739" s="116"/>
      <c r="H739" s="116"/>
      <c r="I739" s="116"/>
      <c r="J739" s="116"/>
      <c r="K739" s="219"/>
      <c r="L739" s="116"/>
      <c r="M739" s="31"/>
      <c r="N739" s="336"/>
      <c r="O739" s="336"/>
      <c r="P739" s="219"/>
      <c r="Q739" s="332"/>
      <c r="R739" s="219"/>
      <c r="S739" s="332"/>
      <c r="T739" s="219"/>
      <c r="U739" s="332"/>
      <c r="V739" s="332"/>
      <c r="W739" s="370"/>
      <c r="X739" s="370"/>
      <c r="Y739" s="370"/>
      <c r="Z739" s="370"/>
      <c r="AA739" s="370"/>
      <c r="AB739" s="370"/>
      <c r="AC739" s="370"/>
      <c r="AD739" s="370"/>
      <c r="AE739" s="370"/>
      <c r="AF739" s="370"/>
      <c r="AG739" s="370"/>
      <c r="AH739" s="370"/>
      <c r="AI739" s="370"/>
      <c r="AJ739" s="370"/>
      <c r="AL739" s="219"/>
      <c r="AM739" s="219"/>
      <c r="AN739" s="219"/>
      <c r="AO739" s="116"/>
      <c r="AP739" s="116"/>
      <c r="AU739" s="332"/>
      <c r="AV739" s="332"/>
      <c r="AW739" s="332"/>
      <c r="AX739" s="332"/>
      <c r="AY739" s="332"/>
      <c r="AZ739" s="332"/>
      <c r="BA739" s="332"/>
      <c r="BB739" s="31"/>
      <c r="BC739" s="31"/>
      <c r="BD739" s="31"/>
      <c r="BE739" s="31"/>
    </row>
    <row r="740" spans="1:57" ht="13">
      <c r="A740" s="153"/>
      <c r="F740" s="153"/>
      <c r="G740" s="116"/>
      <c r="H740" s="116"/>
      <c r="I740" s="116"/>
      <c r="J740" s="116"/>
      <c r="K740" s="219"/>
      <c r="L740" s="116"/>
      <c r="M740" s="31"/>
      <c r="N740" s="336"/>
      <c r="O740" s="336"/>
      <c r="P740" s="219"/>
      <c r="Q740" s="332"/>
      <c r="R740" s="219"/>
      <c r="S740" s="332"/>
      <c r="T740" s="219"/>
      <c r="U740" s="332"/>
      <c r="V740" s="332"/>
      <c r="W740" s="370"/>
      <c r="X740" s="370"/>
      <c r="Y740" s="370"/>
      <c r="Z740" s="370"/>
      <c r="AA740" s="370"/>
      <c r="AB740" s="370"/>
      <c r="AC740" s="370"/>
      <c r="AD740" s="370"/>
      <c r="AE740" s="370"/>
      <c r="AF740" s="370"/>
      <c r="AG740" s="370"/>
      <c r="AH740" s="370"/>
      <c r="AI740" s="370"/>
      <c r="AJ740" s="370"/>
      <c r="AL740" s="219"/>
      <c r="AM740" s="219"/>
      <c r="AN740" s="219"/>
      <c r="AO740" s="116"/>
      <c r="AP740" s="116"/>
      <c r="AU740" s="332"/>
      <c r="AV740" s="332"/>
      <c r="AW740" s="332"/>
      <c r="AX740" s="332"/>
      <c r="AY740" s="332"/>
      <c r="AZ740" s="332"/>
      <c r="BA740" s="332"/>
      <c r="BB740" s="31"/>
      <c r="BC740" s="31"/>
      <c r="BD740" s="31"/>
      <c r="BE740" s="31"/>
    </row>
    <row r="741" spans="1:57" ht="13">
      <c r="A741" s="153"/>
      <c r="F741" s="153"/>
      <c r="G741" s="116"/>
      <c r="H741" s="116"/>
      <c r="I741" s="116"/>
      <c r="J741" s="116"/>
      <c r="K741" s="219"/>
      <c r="L741" s="116"/>
      <c r="M741" s="31"/>
      <c r="N741" s="336"/>
      <c r="O741" s="336"/>
      <c r="P741" s="219"/>
      <c r="Q741" s="332"/>
      <c r="R741" s="219"/>
      <c r="S741" s="332"/>
      <c r="T741" s="219"/>
      <c r="U741" s="332"/>
      <c r="V741" s="332"/>
      <c r="W741" s="370"/>
      <c r="X741" s="370"/>
      <c r="Y741" s="370"/>
      <c r="Z741" s="370"/>
      <c r="AA741" s="370"/>
      <c r="AB741" s="370"/>
      <c r="AC741" s="370"/>
      <c r="AD741" s="370"/>
      <c r="AE741" s="370"/>
      <c r="AF741" s="370"/>
      <c r="AG741" s="370"/>
      <c r="AH741" s="370"/>
      <c r="AI741" s="370"/>
      <c r="AJ741" s="370"/>
      <c r="AL741" s="219"/>
      <c r="AM741" s="219"/>
      <c r="AN741" s="219"/>
      <c r="AO741" s="116"/>
      <c r="AP741" s="116"/>
      <c r="AU741" s="332"/>
      <c r="AV741" s="332"/>
      <c r="AW741" s="332"/>
      <c r="AX741" s="332"/>
      <c r="AY741" s="332"/>
      <c r="AZ741" s="332"/>
      <c r="BA741" s="332"/>
      <c r="BB741" s="31"/>
      <c r="BC741" s="31"/>
      <c r="BD741" s="31"/>
      <c r="BE741" s="31"/>
    </row>
    <row r="742" spans="1:57" ht="13">
      <c r="A742" s="153"/>
      <c r="F742" s="153"/>
      <c r="G742" s="116"/>
      <c r="H742" s="116"/>
      <c r="I742" s="116"/>
      <c r="J742" s="116"/>
      <c r="K742" s="219"/>
      <c r="L742" s="116"/>
      <c r="M742" s="31"/>
      <c r="N742" s="336"/>
      <c r="O742" s="336"/>
      <c r="P742" s="219"/>
      <c r="Q742" s="332"/>
      <c r="R742" s="219"/>
      <c r="S742" s="332"/>
      <c r="T742" s="219"/>
      <c r="U742" s="332"/>
      <c r="V742" s="332"/>
      <c r="W742" s="370"/>
      <c r="X742" s="370"/>
      <c r="Y742" s="370"/>
      <c r="Z742" s="370"/>
      <c r="AA742" s="370"/>
      <c r="AB742" s="370"/>
      <c r="AC742" s="370"/>
      <c r="AD742" s="370"/>
      <c r="AE742" s="370"/>
      <c r="AF742" s="370"/>
      <c r="AG742" s="370"/>
      <c r="AH742" s="370"/>
      <c r="AI742" s="370"/>
      <c r="AJ742" s="370"/>
      <c r="AL742" s="219"/>
      <c r="AM742" s="219"/>
      <c r="AN742" s="219"/>
      <c r="AO742" s="116"/>
      <c r="AP742" s="116"/>
      <c r="AU742" s="332"/>
      <c r="AV742" s="332"/>
      <c r="AW742" s="332"/>
      <c r="AX742" s="332"/>
      <c r="AY742" s="332"/>
      <c r="AZ742" s="332"/>
      <c r="BA742" s="332"/>
      <c r="BB742" s="31"/>
      <c r="BC742" s="31"/>
      <c r="BD742" s="31"/>
      <c r="BE742" s="31"/>
    </row>
    <row r="743" spans="1:57" ht="13">
      <c r="A743" s="153"/>
      <c r="F743" s="153"/>
      <c r="G743" s="116"/>
      <c r="H743" s="116"/>
      <c r="I743" s="116"/>
      <c r="J743" s="116"/>
      <c r="K743" s="219"/>
      <c r="L743" s="116"/>
      <c r="M743" s="31"/>
      <c r="N743" s="336"/>
      <c r="O743" s="336"/>
      <c r="P743" s="219"/>
      <c r="Q743" s="332"/>
      <c r="R743" s="219"/>
      <c r="S743" s="332"/>
      <c r="T743" s="219"/>
      <c r="U743" s="332"/>
      <c r="V743" s="332"/>
      <c r="W743" s="370"/>
      <c r="X743" s="370"/>
      <c r="Y743" s="370"/>
      <c r="Z743" s="370"/>
      <c r="AA743" s="370"/>
      <c r="AB743" s="370"/>
      <c r="AC743" s="370"/>
      <c r="AD743" s="370"/>
      <c r="AE743" s="370"/>
      <c r="AF743" s="370"/>
      <c r="AG743" s="370"/>
      <c r="AH743" s="370"/>
      <c r="AI743" s="370"/>
      <c r="AJ743" s="370"/>
      <c r="AL743" s="219"/>
      <c r="AM743" s="219"/>
      <c r="AN743" s="219"/>
      <c r="AO743" s="116"/>
      <c r="AP743" s="116"/>
      <c r="AU743" s="332"/>
      <c r="AV743" s="332"/>
      <c r="AW743" s="332"/>
      <c r="AX743" s="332"/>
      <c r="AY743" s="332"/>
      <c r="AZ743" s="332"/>
      <c r="BA743" s="332"/>
      <c r="BB743" s="31"/>
      <c r="BC743" s="31"/>
      <c r="BD743" s="31"/>
      <c r="BE743" s="31"/>
    </row>
    <row r="744" spans="1:57" ht="13">
      <c r="A744" s="153"/>
      <c r="F744" s="153"/>
      <c r="G744" s="116"/>
      <c r="H744" s="116"/>
      <c r="I744" s="116"/>
      <c r="J744" s="116"/>
      <c r="K744" s="219"/>
      <c r="L744" s="116"/>
      <c r="M744" s="31"/>
      <c r="N744" s="336"/>
      <c r="O744" s="336"/>
      <c r="P744" s="219"/>
      <c r="Q744" s="332"/>
      <c r="R744" s="219"/>
      <c r="S744" s="332"/>
      <c r="T744" s="219"/>
      <c r="U744" s="332"/>
      <c r="V744" s="332"/>
      <c r="W744" s="370"/>
      <c r="X744" s="370"/>
      <c r="Y744" s="370"/>
      <c r="Z744" s="370"/>
      <c r="AA744" s="370"/>
      <c r="AB744" s="370"/>
      <c r="AC744" s="370"/>
      <c r="AD744" s="370"/>
      <c r="AE744" s="370"/>
      <c r="AF744" s="370"/>
      <c r="AG744" s="370"/>
      <c r="AH744" s="370"/>
      <c r="AI744" s="370"/>
      <c r="AJ744" s="370"/>
      <c r="AL744" s="219"/>
      <c r="AM744" s="219"/>
      <c r="AN744" s="219"/>
      <c r="AO744" s="116"/>
      <c r="AP744" s="116"/>
      <c r="AU744" s="332"/>
      <c r="AV744" s="332"/>
      <c r="AW744" s="332"/>
      <c r="AX744" s="332"/>
      <c r="AY744" s="332"/>
      <c r="AZ744" s="332"/>
      <c r="BA744" s="332"/>
      <c r="BB744" s="31"/>
      <c r="BC744" s="31"/>
      <c r="BD744" s="31"/>
      <c r="BE744" s="31"/>
    </row>
    <row r="745" spans="1:57" ht="13">
      <c r="A745" s="153"/>
      <c r="F745" s="153"/>
      <c r="G745" s="116"/>
      <c r="H745" s="116"/>
      <c r="I745" s="116"/>
      <c r="J745" s="116"/>
      <c r="K745" s="219"/>
      <c r="L745" s="116"/>
      <c r="M745" s="31"/>
      <c r="N745" s="336"/>
      <c r="O745" s="336"/>
      <c r="P745" s="219"/>
      <c r="Q745" s="332"/>
      <c r="R745" s="219"/>
      <c r="S745" s="332"/>
      <c r="T745" s="219"/>
      <c r="U745" s="332"/>
      <c r="V745" s="332"/>
      <c r="W745" s="370"/>
      <c r="X745" s="370"/>
      <c r="Y745" s="370"/>
      <c r="Z745" s="370"/>
      <c r="AA745" s="370"/>
      <c r="AB745" s="370"/>
      <c r="AC745" s="370"/>
      <c r="AD745" s="370"/>
      <c r="AE745" s="370"/>
      <c r="AF745" s="370"/>
      <c r="AG745" s="370"/>
      <c r="AH745" s="370"/>
      <c r="AI745" s="370"/>
      <c r="AJ745" s="370"/>
      <c r="AL745" s="219"/>
      <c r="AM745" s="219"/>
      <c r="AN745" s="219"/>
      <c r="AO745" s="116"/>
      <c r="AP745" s="116"/>
      <c r="AU745" s="332"/>
      <c r="AV745" s="332"/>
      <c r="AW745" s="332"/>
      <c r="AX745" s="332"/>
      <c r="AY745" s="332"/>
      <c r="AZ745" s="332"/>
      <c r="BA745" s="332"/>
      <c r="BB745" s="31"/>
      <c r="BC745" s="31"/>
      <c r="BD745" s="31"/>
      <c r="BE745" s="31"/>
    </row>
    <row r="746" spans="1:57" ht="13">
      <c r="A746" s="153"/>
      <c r="F746" s="153"/>
      <c r="G746" s="116"/>
      <c r="H746" s="116"/>
      <c r="I746" s="116"/>
      <c r="J746" s="116"/>
      <c r="K746" s="219"/>
      <c r="L746" s="116"/>
      <c r="M746" s="31"/>
      <c r="N746" s="336"/>
      <c r="O746" s="336"/>
      <c r="P746" s="219"/>
      <c r="Q746" s="332"/>
      <c r="R746" s="219"/>
      <c r="S746" s="332"/>
      <c r="T746" s="219"/>
      <c r="U746" s="332"/>
      <c r="V746" s="332"/>
      <c r="W746" s="370"/>
      <c r="X746" s="370"/>
      <c r="Y746" s="370"/>
      <c r="Z746" s="370"/>
      <c r="AA746" s="370"/>
      <c r="AB746" s="370"/>
      <c r="AC746" s="370"/>
      <c r="AD746" s="370"/>
      <c r="AE746" s="370"/>
      <c r="AF746" s="370"/>
      <c r="AG746" s="370"/>
      <c r="AH746" s="370"/>
      <c r="AI746" s="370"/>
      <c r="AJ746" s="370"/>
      <c r="AL746" s="219"/>
      <c r="AM746" s="219"/>
      <c r="AN746" s="219"/>
      <c r="AO746" s="116"/>
      <c r="AP746" s="116"/>
      <c r="AU746" s="332"/>
      <c r="AV746" s="332"/>
      <c r="AW746" s="332"/>
      <c r="AX746" s="332"/>
      <c r="AY746" s="332"/>
      <c r="AZ746" s="332"/>
      <c r="BA746" s="332"/>
      <c r="BB746" s="31"/>
      <c r="BC746" s="31"/>
      <c r="BD746" s="31"/>
      <c r="BE746" s="31"/>
    </row>
    <row r="747" spans="1:57" ht="13">
      <c r="A747" s="153"/>
      <c r="F747" s="153"/>
      <c r="G747" s="116"/>
      <c r="H747" s="116"/>
      <c r="I747" s="116"/>
      <c r="J747" s="116"/>
      <c r="K747" s="219"/>
      <c r="L747" s="116"/>
      <c r="M747" s="31"/>
      <c r="N747" s="336"/>
      <c r="O747" s="336"/>
      <c r="P747" s="219"/>
      <c r="Q747" s="332"/>
      <c r="R747" s="219"/>
      <c r="S747" s="332"/>
      <c r="T747" s="219"/>
      <c r="U747" s="332"/>
      <c r="V747" s="332"/>
      <c r="W747" s="370"/>
      <c r="X747" s="370"/>
      <c r="Y747" s="370"/>
      <c r="Z747" s="370"/>
      <c r="AA747" s="370"/>
      <c r="AB747" s="370"/>
      <c r="AC747" s="370"/>
      <c r="AD747" s="370"/>
      <c r="AE747" s="370"/>
      <c r="AF747" s="370"/>
      <c r="AG747" s="370"/>
      <c r="AH747" s="370"/>
      <c r="AI747" s="370"/>
      <c r="AJ747" s="370"/>
      <c r="AL747" s="219"/>
      <c r="AM747" s="219"/>
      <c r="AN747" s="219"/>
      <c r="AO747" s="116"/>
      <c r="AP747" s="116"/>
      <c r="AU747" s="332"/>
      <c r="AV747" s="332"/>
      <c r="AW747" s="332"/>
      <c r="AX747" s="332"/>
      <c r="AY747" s="332"/>
      <c r="AZ747" s="332"/>
      <c r="BA747" s="332"/>
      <c r="BB747" s="31"/>
      <c r="BC747" s="31"/>
      <c r="BD747" s="31"/>
      <c r="BE747" s="31"/>
    </row>
    <row r="748" spans="1:57" ht="13">
      <c r="A748" s="153"/>
      <c r="F748" s="153"/>
      <c r="G748" s="116"/>
      <c r="H748" s="116"/>
      <c r="I748" s="116"/>
      <c r="J748" s="116"/>
      <c r="K748" s="219"/>
      <c r="L748" s="116"/>
      <c r="M748" s="31"/>
      <c r="N748" s="336"/>
      <c r="O748" s="336"/>
      <c r="P748" s="219"/>
      <c r="Q748" s="332"/>
      <c r="R748" s="219"/>
      <c r="S748" s="332"/>
      <c r="T748" s="219"/>
      <c r="U748" s="332"/>
      <c r="V748" s="332"/>
      <c r="W748" s="370"/>
      <c r="X748" s="370"/>
      <c r="Y748" s="370"/>
      <c r="Z748" s="370"/>
      <c r="AA748" s="370"/>
      <c r="AB748" s="370"/>
      <c r="AC748" s="370"/>
      <c r="AD748" s="370"/>
      <c r="AE748" s="370"/>
      <c r="AF748" s="370"/>
      <c r="AG748" s="370"/>
      <c r="AH748" s="370"/>
      <c r="AI748" s="370"/>
      <c r="AJ748" s="370"/>
      <c r="AL748" s="219"/>
      <c r="AM748" s="219"/>
      <c r="AN748" s="219"/>
      <c r="AO748" s="116"/>
      <c r="AP748" s="116"/>
      <c r="AU748" s="332"/>
      <c r="AV748" s="332"/>
      <c r="AW748" s="332"/>
      <c r="AX748" s="332"/>
      <c r="AY748" s="332"/>
      <c r="AZ748" s="332"/>
      <c r="BA748" s="332"/>
      <c r="BB748" s="31"/>
      <c r="BC748" s="31"/>
      <c r="BD748" s="31"/>
      <c r="BE748" s="31"/>
    </row>
    <row r="749" spans="1:57" ht="13">
      <c r="A749" s="153"/>
      <c r="F749" s="153"/>
      <c r="G749" s="116"/>
      <c r="H749" s="116"/>
      <c r="I749" s="116"/>
      <c r="J749" s="116"/>
      <c r="K749" s="219"/>
      <c r="L749" s="116"/>
      <c r="M749" s="31"/>
      <c r="N749" s="336"/>
      <c r="O749" s="336"/>
      <c r="P749" s="219"/>
      <c r="Q749" s="332"/>
      <c r="R749" s="219"/>
      <c r="S749" s="332"/>
      <c r="T749" s="219"/>
      <c r="U749" s="332"/>
      <c r="V749" s="332"/>
      <c r="W749" s="370"/>
      <c r="X749" s="370"/>
      <c r="Y749" s="370"/>
      <c r="Z749" s="370"/>
      <c r="AA749" s="370"/>
      <c r="AB749" s="370"/>
      <c r="AC749" s="370"/>
      <c r="AD749" s="370"/>
      <c r="AE749" s="370"/>
      <c r="AF749" s="370"/>
      <c r="AG749" s="370"/>
      <c r="AH749" s="370"/>
      <c r="AI749" s="370"/>
      <c r="AJ749" s="370"/>
      <c r="AL749" s="219"/>
      <c r="AM749" s="219"/>
      <c r="AN749" s="219"/>
      <c r="AO749" s="116"/>
      <c r="AP749" s="116"/>
      <c r="AU749" s="332"/>
      <c r="AV749" s="332"/>
      <c r="AW749" s="332"/>
      <c r="AX749" s="332"/>
      <c r="AY749" s="332"/>
      <c r="AZ749" s="332"/>
      <c r="BA749" s="332"/>
      <c r="BB749" s="31"/>
      <c r="BC749" s="31"/>
      <c r="BD749" s="31"/>
      <c r="BE749" s="31"/>
    </row>
    <row r="750" spans="1:57" ht="13">
      <c r="A750" s="153"/>
      <c r="F750" s="153"/>
      <c r="G750" s="116"/>
      <c r="H750" s="116"/>
      <c r="I750" s="116"/>
      <c r="J750" s="116"/>
      <c r="K750" s="219"/>
      <c r="L750" s="116"/>
      <c r="M750" s="31"/>
      <c r="N750" s="336"/>
      <c r="O750" s="336"/>
      <c r="P750" s="219"/>
      <c r="Q750" s="332"/>
      <c r="R750" s="219"/>
      <c r="S750" s="332"/>
      <c r="T750" s="219"/>
      <c r="U750" s="332"/>
      <c r="V750" s="332"/>
      <c r="W750" s="370"/>
      <c r="X750" s="370"/>
      <c r="Y750" s="370"/>
      <c r="Z750" s="370"/>
      <c r="AA750" s="370"/>
      <c r="AB750" s="370"/>
      <c r="AC750" s="370"/>
      <c r="AD750" s="370"/>
      <c r="AE750" s="370"/>
      <c r="AF750" s="370"/>
      <c r="AG750" s="370"/>
      <c r="AH750" s="370"/>
      <c r="AI750" s="370"/>
      <c r="AJ750" s="370"/>
      <c r="AL750" s="219"/>
      <c r="AM750" s="219"/>
      <c r="AN750" s="219"/>
      <c r="AO750" s="116"/>
      <c r="AP750" s="116"/>
      <c r="AU750" s="332"/>
      <c r="AV750" s="332"/>
      <c r="AW750" s="332"/>
      <c r="AX750" s="332"/>
      <c r="AY750" s="332"/>
      <c r="AZ750" s="332"/>
      <c r="BA750" s="332"/>
      <c r="BB750" s="31"/>
      <c r="BC750" s="31"/>
      <c r="BD750" s="31"/>
      <c r="BE750" s="31"/>
    </row>
    <row r="751" spans="1:57" ht="13">
      <c r="A751" s="153"/>
      <c r="F751" s="153"/>
      <c r="G751" s="116"/>
      <c r="H751" s="116"/>
      <c r="I751" s="116"/>
      <c r="J751" s="116"/>
      <c r="K751" s="219"/>
      <c r="L751" s="116"/>
      <c r="M751" s="31"/>
      <c r="N751" s="336"/>
      <c r="O751" s="336"/>
      <c r="P751" s="219"/>
      <c r="Q751" s="332"/>
      <c r="R751" s="219"/>
      <c r="S751" s="332"/>
      <c r="T751" s="219"/>
      <c r="U751" s="332"/>
      <c r="V751" s="332"/>
      <c r="W751" s="370"/>
      <c r="X751" s="370"/>
      <c r="Y751" s="370"/>
      <c r="Z751" s="370"/>
      <c r="AA751" s="370"/>
      <c r="AB751" s="370"/>
      <c r="AC751" s="370"/>
      <c r="AD751" s="370"/>
      <c r="AE751" s="370"/>
      <c r="AF751" s="370"/>
      <c r="AG751" s="370"/>
      <c r="AH751" s="370"/>
      <c r="AI751" s="370"/>
      <c r="AJ751" s="370"/>
      <c r="AL751" s="219"/>
      <c r="AM751" s="219"/>
      <c r="AN751" s="219"/>
      <c r="AO751" s="116"/>
      <c r="AP751" s="116"/>
      <c r="AU751" s="332"/>
      <c r="AV751" s="332"/>
      <c r="AW751" s="332"/>
      <c r="AX751" s="332"/>
      <c r="AY751" s="332"/>
      <c r="AZ751" s="332"/>
      <c r="BA751" s="332"/>
      <c r="BB751" s="31"/>
      <c r="BC751" s="31"/>
      <c r="BD751" s="31"/>
      <c r="BE751" s="31"/>
    </row>
    <row r="752" spans="1:57" ht="13">
      <c r="A752" s="153"/>
      <c r="F752" s="153"/>
      <c r="G752" s="116"/>
      <c r="H752" s="116"/>
      <c r="I752" s="116"/>
      <c r="J752" s="116"/>
      <c r="K752" s="219"/>
      <c r="L752" s="116"/>
      <c r="M752" s="31"/>
      <c r="N752" s="336"/>
      <c r="O752" s="336"/>
      <c r="P752" s="219"/>
      <c r="Q752" s="332"/>
      <c r="R752" s="219"/>
      <c r="S752" s="332"/>
      <c r="T752" s="219"/>
      <c r="U752" s="332"/>
      <c r="V752" s="332"/>
      <c r="W752" s="370"/>
      <c r="X752" s="370"/>
      <c r="Y752" s="370"/>
      <c r="Z752" s="370"/>
      <c r="AA752" s="370"/>
      <c r="AB752" s="370"/>
      <c r="AC752" s="370"/>
      <c r="AD752" s="370"/>
      <c r="AE752" s="370"/>
      <c r="AF752" s="370"/>
      <c r="AG752" s="370"/>
      <c r="AH752" s="370"/>
      <c r="AI752" s="370"/>
      <c r="AJ752" s="370"/>
      <c r="AL752" s="219"/>
      <c r="AM752" s="219"/>
      <c r="AN752" s="219"/>
      <c r="AO752" s="116"/>
      <c r="AP752" s="116"/>
      <c r="AU752" s="332"/>
      <c r="AV752" s="332"/>
      <c r="AW752" s="332"/>
      <c r="AX752" s="332"/>
      <c r="AY752" s="332"/>
      <c r="AZ752" s="332"/>
      <c r="BA752" s="332"/>
      <c r="BB752" s="31"/>
      <c r="BC752" s="31"/>
      <c r="BD752" s="31"/>
      <c r="BE752" s="31"/>
    </row>
    <row r="753" spans="1:57" ht="13">
      <c r="A753" s="153"/>
      <c r="F753" s="153"/>
      <c r="G753" s="116"/>
      <c r="H753" s="116"/>
      <c r="I753" s="116"/>
      <c r="J753" s="116"/>
      <c r="K753" s="219"/>
      <c r="L753" s="116"/>
      <c r="M753" s="31"/>
      <c r="N753" s="336"/>
      <c r="O753" s="336"/>
      <c r="P753" s="219"/>
      <c r="Q753" s="332"/>
      <c r="R753" s="219"/>
      <c r="S753" s="332"/>
      <c r="T753" s="219"/>
      <c r="U753" s="332"/>
      <c r="V753" s="332"/>
      <c r="W753" s="370"/>
      <c r="X753" s="370"/>
      <c r="Y753" s="370"/>
      <c r="Z753" s="370"/>
      <c r="AA753" s="370"/>
      <c r="AB753" s="370"/>
      <c r="AC753" s="370"/>
      <c r="AD753" s="370"/>
      <c r="AE753" s="370"/>
      <c r="AF753" s="370"/>
      <c r="AG753" s="370"/>
      <c r="AH753" s="370"/>
      <c r="AI753" s="370"/>
      <c r="AJ753" s="370"/>
      <c r="AL753" s="219"/>
      <c r="AM753" s="219"/>
      <c r="AN753" s="219"/>
      <c r="AO753" s="116"/>
      <c r="AP753" s="116"/>
      <c r="AU753" s="332"/>
      <c r="AV753" s="332"/>
      <c r="AW753" s="332"/>
      <c r="AX753" s="332"/>
      <c r="AY753" s="332"/>
      <c r="AZ753" s="332"/>
      <c r="BA753" s="332"/>
      <c r="BB753" s="31"/>
      <c r="BC753" s="31"/>
      <c r="BD753" s="31"/>
      <c r="BE753" s="31"/>
    </row>
    <row r="754" spans="1:57" ht="13">
      <c r="A754" s="153"/>
      <c r="F754" s="153"/>
      <c r="G754" s="116"/>
      <c r="H754" s="116"/>
      <c r="I754" s="116"/>
      <c r="J754" s="116"/>
      <c r="K754" s="219"/>
      <c r="L754" s="116"/>
      <c r="M754" s="31"/>
      <c r="N754" s="336"/>
      <c r="O754" s="336"/>
      <c r="P754" s="219"/>
      <c r="Q754" s="332"/>
      <c r="R754" s="219"/>
      <c r="S754" s="332"/>
      <c r="T754" s="219"/>
      <c r="U754" s="332"/>
      <c r="V754" s="332"/>
      <c r="W754" s="370"/>
      <c r="X754" s="370"/>
      <c r="Y754" s="370"/>
      <c r="Z754" s="370"/>
      <c r="AA754" s="370"/>
      <c r="AB754" s="370"/>
      <c r="AC754" s="370"/>
      <c r="AD754" s="370"/>
      <c r="AE754" s="370"/>
      <c r="AF754" s="370"/>
      <c r="AG754" s="370"/>
      <c r="AH754" s="370"/>
      <c r="AI754" s="370"/>
      <c r="AJ754" s="370"/>
      <c r="AL754" s="219"/>
      <c r="AM754" s="219"/>
      <c r="AN754" s="219"/>
      <c r="AO754" s="116"/>
      <c r="AP754" s="116"/>
      <c r="AU754" s="332"/>
      <c r="AV754" s="332"/>
      <c r="AW754" s="332"/>
      <c r="AX754" s="332"/>
      <c r="AY754" s="332"/>
      <c r="AZ754" s="332"/>
      <c r="BA754" s="332"/>
      <c r="BB754" s="31"/>
      <c r="BC754" s="31"/>
      <c r="BD754" s="31"/>
      <c r="BE754" s="31"/>
    </row>
    <row r="755" spans="1:57" ht="13">
      <c r="A755" s="153"/>
      <c r="F755" s="153"/>
      <c r="G755" s="116"/>
      <c r="H755" s="116"/>
      <c r="I755" s="116"/>
      <c r="J755" s="116"/>
      <c r="K755" s="219"/>
      <c r="L755" s="116"/>
      <c r="M755" s="31"/>
      <c r="N755" s="336"/>
      <c r="O755" s="336"/>
      <c r="P755" s="219"/>
      <c r="Q755" s="332"/>
      <c r="R755" s="219"/>
      <c r="S755" s="332"/>
      <c r="T755" s="219"/>
      <c r="U755" s="332"/>
      <c r="V755" s="332"/>
      <c r="W755" s="370"/>
      <c r="X755" s="370"/>
      <c r="Y755" s="370"/>
      <c r="Z755" s="370"/>
      <c r="AA755" s="370"/>
      <c r="AB755" s="370"/>
      <c r="AC755" s="370"/>
      <c r="AD755" s="370"/>
      <c r="AE755" s="370"/>
      <c r="AF755" s="370"/>
      <c r="AG755" s="370"/>
      <c r="AH755" s="370"/>
      <c r="AI755" s="370"/>
      <c r="AJ755" s="370"/>
      <c r="AL755" s="219"/>
      <c r="AM755" s="219"/>
      <c r="AN755" s="219"/>
      <c r="AO755" s="116"/>
      <c r="AP755" s="116"/>
      <c r="AU755" s="332"/>
      <c r="AV755" s="332"/>
      <c r="AW755" s="332"/>
      <c r="AX755" s="332"/>
      <c r="AY755" s="332"/>
      <c r="AZ755" s="332"/>
      <c r="BA755" s="332"/>
      <c r="BB755" s="31"/>
      <c r="BC755" s="31"/>
      <c r="BD755" s="31"/>
      <c r="BE755" s="31"/>
    </row>
    <row r="756" spans="1:57" ht="13">
      <c r="A756" s="153"/>
      <c r="F756" s="153"/>
      <c r="G756" s="116"/>
      <c r="H756" s="116"/>
      <c r="I756" s="116"/>
      <c r="J756" s="116"/>
      <c r="K756" s="219"/>
      <c r="L756" s="116"/>
      <c r="M756" s="31"/>
      <c r="N756" s="336"/>
      <c r="O756" s="336"/>
      <c r="P756" s="219"/>
      <c r="Q756" s="332"/>
      <c r="R756" s="219"/>
      <c r="S756" s="332"/>
      <c r="T756" s="219"/>
      <c r="U756" s="332"/>
      <c r="V756" s="332"/>
      <c r="W756" s="370"/>
      <c r="X756" s="370"/>
      <c r="Y756" s="370"/>
      <c r="Z756" s="370"/>
      <c r="AA756" s="370"/>
      <c r="AB756" s="370"/>
      <c r="AC756" s="370"/>
      <c r="AD756" s="370"/>
      <c r="AE756" s="370"/>
      <c r="AF756" s="370"/>
      <c r="AG756" s="370"/>
      <c r="AH756" s="370"/>
      <c r="AI756" s="370"/>
      <c r="AJ756" s="370"/>
      <c r="AL756" s="219"/>
      <c r="AM756" s="219"/>
      <c r="AN756" s="219"/>
      <c r="AO756" s="116"/>
      <c r="AP756" s="116"/>
      <c r="AU756" s="332"/>
      <c r="AV756" s="332"/>
      <c r="AW756" s="332"/>
      <c r="AX756" s="332"/>
      <c r="AY756" s="332"/>
      <c r="AZ756" s="332"/>
      <c r="BA756" s="332"/>
      <c r="BB756" s="31"/>
      <c r="BC756" s="31"/>
      <c r="BD756" s="31"/>
      <c r="BE756" s="31"/>
    </row>
    <row r="757" spans="1:57" ht="13">
      <c r="A757" s="153"/>
      <c r="F757" s="153"/>
      <c r="G757" s="116"/>
      <c r="H757" s="116"/>
      <c r="I757" s="116"/>
      <c r="J757" s="116"/>
      <c r="K757" s="219"/>
      <c r="L757" s="116"/>
      <c r="M757" s="31"/>
      <c r="N757" s="336"/>
      <c r="O757" s="336"/>
      <c r="P757" s="219"/>
      <c r="Q757" s="332"/>
      <c r="R757" s="219"/>
      <c r="S757" s="332"/>
      <c r="T757" s="219"/>
      <c r="U757" s="332"/>
      <c r="V757" s="332"/>
      <c r="W757" s="370"/>
      <c r="X757" s="370"/>
      <c r="Y757" s="370"/>
      <c r="Z757" s="370"/>
      <c r="AA757" s="370"/>
      <c r="AB757" s="370"/>
      <c r="AC757" s="370"/>
      <c r="AD757" s="370"/>
      <c r="AE757" s="370"/>
      <c r="AF757" s="370"/>
      <c r="AG757" s="370"/>
      <c r="AH757" s="370"/>
      <c r="AI757" s="370"/>
      <c r="AJ757" s="370"/>
      <c r="AL757" s="219"/>
      <c r="AM757" s="219"/>
      <c r="AN757" s="219"/>
      <c r="AO757" s="116"/>
      <c r="AP757" s="116"/>
      <c r="AU757" s="332"/>
      <c r="AV757" s="332"/>
      <c r="AW757" s="332"/>
      <c r="AX757" s="332"/>
      <c r="AY757" s="332"/>
      <c r="AZ757" s="332"/>
      <c r="BA757" s="332"/>
      <c r="BB757" s="31"/>
      <c r="BC757" s="31"/>
      <c r="BD757" s="31"/>
      <c r="BE757" s="31"/>
    </row>
    <row r="758" spans="1:57" ht="13">
      <c r="A758" s="153"/>
      <c r="F758" s="153"/>
      <c r="G758" s="116"/>
      <c r="H758" s="116"/>
      <c r="I758" s="116"/>
      <c r="J758" s="116"/>
      <c r="K758" s="219"/>
      <c r="L758" s="116"/>
      <c r="M758" s="31"/>
      <c r="N758" s="336"/>
      <c r="O758" s="336"/>
      <c r="P758" s="219"/>
      <c r="Q758" s="332"/>
      <c r="R758" s="219"/>
      <c r="S758" s="332"/>
      <c r="T758" s="219"/>
      <c r="U758" s="332"/>
      <c r="V758" s="332"/>
      <c r="W758" s="370"/>
      <c r="X758" s="370"/>
      <c r="Y758" s="370"/>
      <c r="Z758" s="370"/>
      <c r="AA758" s="370"/>
      <c r="AB758" s="370"/>
      <c r="AC758" s="370"/>
      <c r="AD758" s="370"/>
      <c r="AE758" s="370"/>
      <c r="AF758" s="370"/>
      <c r="AG758" s="370"/>
      <c r="AH758" s="370"/>
      <c r="AI758" s="370"/>
      <c r="AJ758" s="370"/>
      <c r="AL758" s="219"/>
      <c r="AM758" s="219"/>
      <c r="AN758" s="219"/>
      <c r="AO758" s="116"/>
      <c r="AP758" s="116"/>
      <c r="AU758" s="332"/>
      <c r="AV758" s="332"/>
      <c r="AW758" s="332"/>
      <c r="AX758" s="332"/>
      <c r="AY758" s="332"/>
      <c r="AZ758" s="332"/>
      <c r="BA758" s="332"/>
      <c r="BB758" s="31"/>
      <c r="BC758" s="31"/>
      <c r="BD758" s="31"/>
      <c r="BE758" s="31"/>
    </row>
    <row r="759" spans="1:57" ht="13">
      <c r="A759" s="153"/>
      <c r="F759" s="153"/>
      <c r="G759" s="116"/>
      <c r="H759" s="116"/>
      <c r="I759" s="116"/>
      <c r="J759" s="116"/>
      <c r="K759" s="219"/>
      <c r="L759" s="116"/>
      <c r="M759" s="31"/>
      <c r="N759" s="336"/>
      <c r="O759" s="336"/>
      <c r="P759" s="219"/>
      <c r="Q759" s="332"/>
      <c r="R759" s="219"/>
      <c r="S759" s="332"/>
      <c r="T759" s="219"/>
      <c r="U759" s="332"/>
      <c r="V759" s="332"/>
      <c r="W759" s="370"/>
      <c r="X759" s="370"/>
      <c r="Y759" s="370"/>
      <c r="Z759" s="370"/>
      <c r="AA759" s="370"/>
      <c r="AB759" s="370"/>
      <c r="AC759" s="370"/>
      <c r="AD759" s="370"/>
      <c r="AE759" s="370"/>
      <c r="AF759" s="370"/>
      <c r="AG759" s="370"/>
      <c r="AH759" s="370"/>
      <c r="AI759" s="370"/>
      <c r="AJ759" s="370"/>
      <c r="AL759" s="219"/>
      <c r="AM759" s="219"/>
      <c r="AN759" s="219"/>
      <c r="AO759" s="116"/>
      <c r="AP759" s="116"/>
      <c r="AU759" s="332"/>
      <c r="AV759" s="332"/>
      <c r="AW759" s="332"/>
      <c r="AX759" s="332"/>
      <c r="AY759" s="332"/>
      <c r="AZ759" s="332"/>
      <c r="BA759" s="332"/>
      <c r="BB759" s="31"/>
      <c r="BC759" s="31"/>
      <c r="BD759" s="31"/>
      <c r="BE759" s="31"/>
    </row>
    <row r="760" spans="1:57" ht="13">
      <c r="A760" s="153"/>
      <c r="F760" s="153"/>
      <c r="G760" s="116"/>
      <c r="H760" s="116"/>
      <c r="I760" s="116"/>
      <c r="J760" s="116"/>
      <c r="K760" s="219"/>
      <c r="L760" s="116"/>
      <c r="M760" s="31"/>
      <c r="N760" s="336"/>
      <c r="O760" s="336"/>
      <c r="P760" s="219"/>
      <c r="Q760" s="332"/>
      <c r="R760" s="219"/>
      <c r="S760" s="332"/>
      <c r="T760" s="219"/>
      <c r="U760" s="332"/>
      <c r="V760" s="332"/>
      <c r="W760" s="370"/>
      <c r="X760" s="370"/>
      <c r="Y760" s="370"/>
      <c r="Z760" s="370"/>
      <c r="AA760" s="370"/>
      <c r="AB760" s="370"/>
      <c r="AC760" s="370"/>
      <c r="AD760" s="370"/>
      <c r="AE760" s="370"/>
      <c r="AF760" s="370"/>
      <c r="AG760" s="370"/>
      <c r="AH760" s="370"/>
      <c r="AI760" s="370"/>
      <c r="AJ760" s="370"/>
      <c r="AL760" s="219"/>
      <c r="AM760" s="219"/>
      <c r="AN760" s="219"/>
      <c r="AO760" s="116"/>
      <c r="AP760" s="116"/>
      <c r="AU760" s="332"/>
      <c r="AV760" s="332"/>
      <c r="AW760" s="332"/>
      <c r="AX760" s="332"/>
      <c r="AY760" s="332"/>
      <c r="AZ760" s="332"/>
      <c r="BA760" s="332"/>
      <c r="BB760" s="31"/>
      <c r="BC760" s="31"/>
      <c r="BD760" s="31"/>
      <c r="BE760" s="31"/>
    </row>
    <row r="761" spans="1:57" ht="13">
      <c r="A761" s="153"/>
      <c r="F761" s="153"/>
      <c r="G761" s="116"/>
      <c r="H761" s="116"/>
      <c r="I761" s="116"/>
      <c r="J761" s="116"/>
      <c r="K761" s="219"/>
      <c r="L761" s="116"/>
      <c r="M761" s="31"/>
      <c r="N761" s="336"/>
      <c r="O761" s="336"/>
      <c r="P761" s="219"/>
      <c r="Q761" s="332"/>
      <c r="R761" s="219"/>
      <c r="S761" s="332"/>
      <c r="T761" s="219"/>
      <c r="U761" s="332"/>
      <c r="V761" s="332"/>
      <c r="W761" s="370"/>
      <c r="X761" s="370"/>
      <c r="Y761" s="370"/>
      <c r="Z761" s="370"/>
      <c r="AA761" s="370"/>
      <c r="AB761" s="370"/>
      <c r="AC761" s="370"/>
      <c r="AD761" s="370"/>
      <c r="AE761" s="370"/>
      <c r="AF761" s="370"/>
      <c r="AG761" s="370"/>
      <c r="AH761" s="370"/>
      <c r="AI761" s="370"/>
      <c r="AJ761" s="370"/>
      <c r="AL761" s="219"/>
      <c r="AM761" s="219"/>
      <c r="AN761" s="219"/>
      <c r="AO761" s="116"/>
      <c r="AP761" s="116"/>
      <c r="AU761" s="332"/>
      <c r="AV761" s="332"/>
      <c r="AW761" s="332"/>
      <c r="AX761" s="332"/>
      <c r="AY761" s="332"/>
      <c r="AZ761" s="332"/>
      <c r="BA761" s="332"/>
      <c r="BB761" s="31"/>
      <c r="BC761" s="31"/>
      <c r="BD761" s="31"/>
      <c r="BE761" s="31"/>
    </row>
    <row r="762" spans="1:57" ht="13">
      <c r="A762" s="153"/>
      <c r="F762" s="153"/>
      <c r="G762" s="116"/>
      <c r="H762" s="116"/>
      <c r="I762" s="116"/>
      <c r="J762" s="116"/>
      <c r="K762" s="219"/>
      <c r="L762" s="116"/>
      <c r="M762" s="31"/>
      <c r="N762" s="336"/>
      <c r="O762" s="336"/>
      <c r="P762" s="219"/>
      <c r="Q762" s="332"/>
      <c r="R762" s="219"/>
      <c r="S762" s="332"/>
      <c r="T762" s="219"/>
      <c r="U762" s="332"/>
      <c r="V762" s="332"/>
      <c r="W762" s="370"/>
      <c r="X762" s="370"/>
      <c r="Y762" s="370"/>
      <c r="Z762" s="370"/>
      <c r="AA762" s="370"/>
      <c r="AB762" s="370"/>
      <c r="AC762" s="370"/>
      <c r="AD762" s="370"/>
      <c r="AE762" s="370"/>
      <c r="AF762" s="370"/>
      <c r="AG762" s="370"/>
      <c r="AH762" s="370"/>
      <c r="AI762" s="370"/>
      <c r="AJ762" s="370"/>
      <c r="AL762" s="219"/>
      <c r="AM762" s="219"/>
      <c r="AN762" s="219"/>
      <c r="AO762" s="116"/>
      <c r="AP762" s="116"/>
      <c r="AU762" s="332"/>
      <c r="AV762" s="332"/>
      <c r="AW762" s="332"/>
      <c r="AX762" s="332"/>
      <c r="AY762" s="332"/>
      <c r="AZ762" s="332"/>
      <c r="BA762" s="332"/>
      <c r="BB762" s="31"/>
      <c r="BC762" s="31"/>
      <c r="BD762" s="31"/>
      <c r="BE762" s="31"/>
    </row>
    <row r="763" spans="1:57" ht="13">
      <c r="A763" s="153"/>
      <c r="F763" s="153"/>
      <c r="G763" s="116"/>
      <c r="H763" s="116"/>
      <c r="I763" s="116"/>
      <c r="J763" s="116"/>
      <c r="K763" s="219"/>
      <c r="L763" s="116"/>
      <c r="M763" s="31"/>
      <c r="N763" s="336"/>
      <c r="O763" s="336"/>
      <c r="P763" s="219"/>
      <c r="Q763" s="332"/>
      <c r="R763" s="219"/>
      <c r="S763" s="332"/>
      <c r="T763" s="219"/>
      <c r="U763" s="332"/>
      <c r="V763" s="332"/>
      <c r="W763" s="370"/>
      <c r="X763" s="370"/>
      <c r="Y763" s="370"/>
      <c r="Z763" s="370"/>
      <c r="AA763" s="370"/>
      <c r="AB763" s="370"/>
      <c r="AC763" s="370"/>
      <c r="AD763" s="370"/>
      <c r="AE763" s="370"/>
      <c r="AF763" s="370"/>
      <c r="AG763" s="370"/>
      <c r="AH763" s="370"/>
      <c r="AI763" s="370"/>
      <c r="AJ763" s="370"/>
      <c r="AL763" s="219"/>
      <c r="AM763" s="219"/>
      <c r="AN763" s="219"/>
      <c r="AO763" s="116"/>
      <c r="AP763" s="116"/>
      <c r="AU763" s="332"/>
      <c r="AV763" s="332"/>
      <c r="AW763" s="332"/>
      <c r="AX763" s="332"/>
      <c r="AY763" s="332"/>
      <c r="AZ763" s="332"/>
      <c r="BA763" s="332"/>
      <c r="BB763" s="31"/>
      <c r="BC763" s="31"/>
      <c r="BD763" s="31"/>
      <c r="BE763" s="31"/>
    </row>
    <row r="764" spans="1:57" ht="13">
      <c r="A764" s="153"/>
      <c r="F764" s="153"/>
      <c r="G764" s="116"/>
      <c r="H764" s="116"/>
      <c r="I764" s="116"/>
      <c r="J764" s="116"/>
      <c r="K764" s="219"/>
      <c r="L764" s="116"/>
      <c r="M764" s="31"/>
      <c r="N764" s="336"/>
      <c r="O764" s="336"/>
      <c r="P764" s="219"/>
      <c r="Q764" s="332"/>
      <c r="R764" s="219"/>
      <c r="S764" s="332"/>
      <c r="T764" s="219"/>
      <c r="U764" s="332"/>
      <c r="V764" s="332"/>
      <c r="W764" s="370"/>
      <c r="X764" s="370"/>
      <c r="Y764" s="370"/>
      <c r="Z764" s="370"/>
      <c r="AA764" s="370"/>
      <c r="AB764" s="370"/>
      <c r="AC764" s="370"/>
      <c r="AD764" s="370"/>
      <c r="AE764" s="370"/>
      <c r="AF764" s="370"/>
      <c r="AG764" s="370"/>
      <c r="AH764" s="370"/>
      <c r="AI764" s="370"/>
      <c r="AJ764" s="370"/>
      <c r="AL764" s="219"/>
      <c r="AM764" s="219"/>
      <c r="AN764" s="219"/>
      <c r="AO764" s="116"/>
      <c r="AP764" s="116"/>
      <c r="AU764" s="332"/>
      <c r="AV764" s="332"/>
      <c r="AW764" s="332"/>
      <c r="AX764" s="332"/>
      <c r="AY764" s="332"/>
      <c r="AZ764" s="332"/>
      <c r="BA764" s="332"/>
      <c r="BB764" s="31"/>
      <c r="BC764" s="31"/>
      <c r="BD764" s="31"/>
      <c r="BE764" s="31"/>
    </row>
    <row r="765" spans="1:57" ht="13">
      <c r="A765" s="153"/>
      <c r="F765" s="153"/>
      <c r="G765" s="116"/>
      <c r="H765" s="116"/>
      <c r="I765" s="116"/>
      <c r="J765" s="116"/>
      <c r="K765" s="219"/>
      <c r="L765" s="116"/>
      <c r="M765" s="31"/>
      <c r="N765" s="336"/>
      <c r="O765" s="336"/>
      <c r="P765" s="219"/>
      <c r="Q765" s="332"/>
      <c r="R765" s="219"/>
      <c r="S765" s="332"/>
      <c r="T765" s="219"/>
      <c r="U765" s="332"/>
      <c r="V765" s="332"/>
      <c r="W765" s="370"/>
      <c r="X765" s="370"/>
      <c r="Y765" s="370"/>
      <c r="Z765" s="370"/>
      <c r="AA765" s="370"/>
      <c r="AB765" s="370"/>
      <c r="AC765" s="370"/>
      <c r="AD765" s="370"/>
      <c r="AE765" s="370"/>
      <c r="AF765" s="370"/>
      <c r="AG765" s="370"/>
      <c r="AH765" s="370"/>
      <c r="AI765" s="370"/>
      <c r="AJ765" s="370"/>
      <c r="AL765" s="219"/>
      <c r="AM765" s="219"/>
      <c r="AN765" s="219"/>
      <c r="AO765" s="116"/>
      <c r="AP765" s="116"/>
      <c r="AU765" s="332"/>
      <c r="AV765" s="332"/>
      <c r="AW765" s="332"/>
      <c r="AX765" s="332"/>
      <c r="AY765" s="332"/>
      <c r="AZ765" s="332"/>
      <c r="BA765" s="332"/>
      <c r="BB765" s="31"/>
      <c r="BC765" s="31"/>
      <c r="BD765" s="31"/>
      <c r="BE765" s="31"/>
    </row>
    <row r="766" spans="1:57" ht="13">
      <c r="A766" s="153"/>
      <c r="F766" s="153"/>
      <c r="G766" s="116"/>
      <c r="H766" s="116"/>
      <c r="I766" s="116"/>
      <c r="J766" s="116"/>
      <c r="K766" s="219"/>
      <c r="L766" s="116"/>
      <c r="M766" s="31"/>
      <c r="N766" s="336"/>
      <c r="O766" s="336"/>
      <c r="P766" s="219"/>
      <c r="Q766" s="332"/>
      <c r="R766" s="219"/>
      <c r="S766" s="332"/>
      <c r="T766" s="219"/>
      <c r="U766" s="332"/>
      <c r="V766" s="332"/>
      <c r="W766" s="370"/>
      <c r="X766" s="370"/>
      <c r="Y766" s="370"/>
      <c r="Z766" s="370"/>
      <c r="AA766" s="370"/>
      <c r="AB766" s="370"/>
      <c r="AC766" s="370"/>
      <c r="AD766" s="370"/>
      <c r="AE766" s="370"/>
      <c r="AF766" s="370"/>
      <c r="AG766" s="370"/>
      <c r="AH766" s="370"/>
      <c r="AI766" s="370"/>
      <c r="AJ766" s="370"/>
      <c r="AL766" s="219"/>
      <c r="AM766" s="219"/>
      <c r="AN766" s="219"/>
      <c r="AO766" s="116"/>
      <c r="AP766" s="116"/>
      <c r="AU766" s="332"/>
      <c r="AV766" s="332"/>
      <c r="AW766" s="332"/>
      <c r="AX766" s="332"/>
      <c r="AY766" s="332"/>
      <c r="AZ766" s="332"/>
      <c r="BA766" s="332"/>
      <c r="BB766" s="31"/>
      <c r="BC766" s="31"/>
      <c r="BD766" s="31"/>
      <c r="BE766" s="31"/>
    </row>
    <row r="767" spans="1:57" ht="13">
      <c r="A767" s="153"/>
      <c r="F767" s="153"/>
      <c r="G767" s="116"/>
      <c r="H767" s="116"/>
      <c r="I767" s="116"/>
      <c r="J767" s="116"/>
      <c r="K767" s="219"/>
      <c r="L767" s="116"/>
      <c r="M767" s="31"/>
      <c r="N767" s="336"/>
      <c r="O767" s="336"/>
      <c r="P767" s="219"/>
      <c r="Q767" s="332"/>
      <c r="R767" s="219"/>
      <c r="S767" s="332"/>
      <c r="T767" s="219"/>
      <c r="U767" s="332"/>
      <c r="V767" s="332"/>
      <c r="W767" s="370"/>
      <c r="X767" s="370"/>
      <c r="Y767" s="370"/>
      <c r="Z767" s="370"/>
      <c r="AA767" s="370"/>
      <c r="AB767" s="370"/>
      <c r="AC767" s="370"/>
      <c r="AD767" s="370"/>
      <c r="AE767" s="370"/>
      <c r="AF767" s="370"/>
      <c r="AG767" s="370"/>
      <c r="AH767" s="370"/>
      <c r="AI767" s="370"/>
      <c r="AJ767" s="370"/>
      <c r="AL767" s="219"/>
      <c r="AM767" s="219"/>
      <c r="AN767" s="219"/>
      <c r="AO767" s="116"/>
      <c r="AP767" s="116"/>
      <c r="AU767" s="332"/>
      <c r="AV767" s="332"/>
      <c r="AW767" s="332"/>
      <c r="AX767" s="332"/>
      <c r="AY767" s="332"/>
      <c r="AZ767" s="332"/>
      <c r="BA767" s="332"/>
      <c r="BB767" s="31"/>
      <c r="BC767" s="31"/>
      <c r="BD767" s="31"/>
      <c r="BE767" s="31"/>
    </row>
    <row r="768" spans="1:57" ht="13">
      <c r="A768" s="153"/>
      <c r="F768" s="153"/>
      <c r="G768" s="116"/>
      <c r="H768" s="116"/>
      <c r="I768" s="116"/>
      <c r="J768" s="116"/>
      <c r="K768" s="219"/>
      <c r="L768" s="116"/>
      <c r="M768" s="31"/>
      <c r="N768" s="336"/>
      <c r="O768" s="336"/>
      <c r="P768" s="219"/>
      <c r="Q768" s="332"/>
      <c r="R768" s="219"/>
      <c r="S768" s="332"/>
      <c r="T768" s="219"/>
      <c r="U768" s="332"/>
      <c r="V768" s="332"/>
      <c r="W768" s="370"/>
      <c r="X768" s="370"/>
      <c r="Y768" s="370"/>
      <c r="Z768" s="370"/>
      <c r="AA768" s="370"/>
      <c r="AB768" s="370"/>
      <c r="AC768" s="370"/>
      <c r="AD768" s="370"/>
      <c r="AE768" s="370"/>
      <c r="AF768" s="370"/>
      <c r="AG768" s="370"/>
      <c r="AH768" s="370"/>
      <c r="AI768" s="370"/>
      <c r="AJ768" s="370"/>
      <c r="AL768" s="219"/>
      <c r="AM768" s="219"/>
      <c r="AN768" s="219"/>
      <c r="AO768" s="116"/>
      <c r="AP768" s="116"/>
      <c r="AU768" s="332"/>
      <c r="AV768" s="332"/>
      <c r="AW768" s="332"/>
      <c r="AX768" s="332"/>
      <c r="AY768" s="332"/>
      <c r="AZ768" s="332"/>
      <c r="BA768" s="332"/>
      <c r="BB768" s="31"/>
      <c r="BC768" s="31"/>
      <c r="BD768" s="31"/>
      <c r="BE768" s="31"/>
    </row>
    <row r="769" spans="1:57" ht="13">
      <c r="A769" s="153"/>
      <c r="F769" s="153"/>
      <c r="G769" s="116"/>
      <c r="H769" s="116"/>
      <c r="I769" s="116"/>
      <c r="J769" s="116"/>
      <c r="K769" s="219"/>
      <c r="L769" s="116"/>
      <c r="M769" s="31"/>
      <c r="N769" s="336"/>
      <c r="O769" s="336"/>
      <c r="P769" s="219"/>
      <c r="Q769" s="332"/>
      <c r="R769" s="219"/>
      <c r="S769" s="332"/>
      <c r="T769" s="219"/>
      <c r="U769" s="332"/>
      <c r="V769" s="332"/>
      <c r="W769" s="370"/>
      <c r="X769" s="370"/>
      <c r="Y769" s="370"/>
      <c r="Z769" s="370"/>
      <c r="AA769" s="370"/>
      <c r="AB769" s="370"/>
      <c r="AC769" s="370"/>
      <c r="AD769" s="370"/>
      <c r="AE769" s="370"/>
      <c r="AF769" s="370"/>
      <c r="AG769" s="370"/>
      <c r="AH769" s="370"/>
      <c r="AI769" s="370"/>
      <c r="AJ769" s="370"/>
      <c r="AL769" s="219"/>
      <c r="AM769" s="219"/>
      <c r="AN769" s="219"/>
      <c r="AO769" s="116"/>
      <c r="AP769" s="116"/>
      <c r="AU769" s="332"/>
      <c r="AV769" s="332"/>
      <c r="AW769" s="332"/>
      <c r="AX769" s="332"/>
      <c r="AY769" s="332"/>
      <c r="AZ769" s="332"/>
      <c r="BA769" s="332"/>
      <c r="BB769" s="31"/>
      <c r="BC769" s="31"/>
      <c r="BD769" s="31"/>
      <c r="BE769" s="31"/>
    </row>
    <row r="770" spans="1:57" ht="13">
      <c r="A770" s="153"/>
      <c r="F770" s="153"/>
      <c r="G770" s="116"/>
      <c r="H770" s="116"/>
      <c r="I770" s="116"/>
      <c r="J770" s="116"/>
      <c r="K770" s="219"/>
      <c r="L770" s="116"/>
      <c r="M770" s="31"/>
      <c r="N770" s="336"/>
      <c r="O770" s="336"/>
      <c r="P770" s="219"/>
      <c r="Q770" s="332"/>
      <c r="R770" s="219"/>
      <c r="S770" s="332"/>
      <c r="T770" s="219"/>
      <c r="U770" s="332"/>
      <c r="V770" s="332"/>
      <c r="W770" s="370"/>
      <c r="X770" s="370"/>
      <c r="Y770" s="370"/>
      <c r="Z770" s="370"/>
      <c r="AA770" s="370"/>
      <c r="AB770" s="370"/>
      <c r="AC770" s="370"/>
      <c r="AD770" s="370"/>
      <c r="AE770" s="370"/>
      <c r="AF770" s="370"/>
      <c r="AG770" s="370"/>
      <c r="AH770" s="370"/>
      <c r="AI770" s="370"/>
      <c r="AJ770" s="370"/>
      <c r="AL770" s="219"/>
      <c r="AM770" s="219"/>
      <c r="AN770" s="219"/>
      <c r="AO770" s="116"/>
      <c r="AP770" s="116"/>
      <c r="AU770" s="332"/>
      <c r="AV770" s="332"/>
      <c r="AW770" s="332"/>
      <c r="AX770" s="332"/>
      <c r="AY770" s="332"/>
      <c r="AZ770" s="332"/>
      <c r="BA770" s="332"/>
      <c r="BB770" s="31"/>
      <c r="BC770" s="31"/>
      <c r="BD770" s="31"/>
      <c r="BE770" s="31"/>
    </row>
    <row r="771" spans="1:57" ht="13">
      <c r="A771" s="153"/>
      <c r="F771" s="153"/>
      <c r="G771" s="116"/>
      <c r="H771" s="116"/>
      <c r="I771" s="116"/>
      <c r="J771" s="116"/>
      <c r="K771" s="219"/>
      <c r="L771" s="116"/>
      <c r="M771" s="31"/>
      <c r="N771" s="336"/>
      <c r="O771" s="336"/>
      <c r="P771" s="219"/>
      <c r="Q771" s="332"/>
      <c r="R771" s="219"/>
      <c r="S771" s="332"/>
      <c r="T771" s="219"/>
      <c r="U771" s="332"/>
      <c r="V771" s="332"/>
      <c r="W771" s="370"/>
      <c r="X771" s="370"/>
      <c r="Y771" s="370"/>
      <c r="Z771" s="370"/>
      <c r="AA771" s="370"/>
      <c r="AB771" s="370"/>
      <c r="AC771" s="370"/>
      <c r="AD771" s="370"/>
      <c r="AE771" s="370"/>
      <c r="AF771" s="370"/>
      <c r="AG771" s="370"/>
      <c r="AH771" s="370"/>
      <c r="AI771" s="370"/>
      <c r="AJ771" s="370"/>
      <c r="AL771" s="219"/>
      <c r="AM771" s="219"/>
      <c r="AN771" s="219"/>
      <c r="AO771" s="116"/>
      <c r="AP771" s="116"/>
      <c r="AU771" s="332"/>
      <c r="AV771" s="332"/>
      <c r="AW771" s="332"/>
      <c r="AX771" s="332"/>
      <c r="AY771" s="332"/>
      <c r="AZ771" s="332"/>
      <c r="BA771" s="332"/>
      <c r="BB771" s="31"/>
      <c r="BC771" s="31"/>
      <c r="BD771" s="31"/>
      <c r="BE771" s="31"/>
    </row>
    <row r="772" spans="1:57" ht="13">
      <c r="A772" s="153"/>
      <c r="F772" s="153"/>
      <c r="G772" s="116"/>
      <c r="H772" s="116"/>
      <c r="I772" s="116"/>
      <c r="J772" s="116"/>
      <c r="K772" s="219"/>
      <c r="L772" s="116"/>
      <c r="M772" s="31"/>
      <c r="N772" s="336"/>
      <c r="O772" s="336"/>
      <c r="P772" s="219"/>
      <c r="Q772" s="332"/>
      <c r="R772" s="219"/>
      <c r="S772" s="332"/>
      <c r="T772" s="219"/>
      <c r="U772" s="332"/>
      <c r="V772" s="332"/>
      <c r="W772" s="370"/>
      <c r="X772" s="370"/>
      <c r="Y772" s="370"/>
      <c r="Z772" s="370"/>
      <c r="AA772" s="370"/>
      <c r="AB772" s="370"/>
      <c r="AC772" s="370"/>
      <c r="AD772" s="370"/>
      <c r="AE772" s="370"/>
      <c r="AF772" s="370"/>
      <c r="AG772" s="370"/>
      <c r="AH772" s="370"/>
      <c r="AI772" s="370"/>
      <c r="AJ772" s="370"/>
      <c r="AL772" s="219"/>
      <c r="AM772" s="219"/>
      <c r="AN772" s="219"/>
      <c r="AO772" s="116"/>
      <c r="AP772" s="116"/>
      <c r="AU772" s="332"/>
      <c r="AV772" s="332"/>
      <c r="AW772" s="332"/>
      <c r="AX772" s="332"/>
      <c r="AY772" s="332"/>
      <c r="AZ772" s="332"/>
      <c r="BA772" s="332"/>
      <c r="BB772" s="31"/>
      <c r="BC772" s="31"/>
      <c r="BD772" s="31"/>
      <c r="BE772" s="31"/>
    </row>
    <row r="773" spans="1:57" ht="13">
      <c r="A773" s="153"/>
      <c r="F773" s="153"/>
      <c r="G773" s="116"/>
      <c r="H773" s="116"/>
      <c r="I773" s="116"/>
      <c r="J773" s="116"/>
      <c r="K773" s="219"/>
      <c r="L773" s="116"/>
      <c r="M773" s="31"/>
      <c r="N773" s="336"/>
      <c r="O773" s="336"/>
      <c r="P773" s="219"/>
      <c r="Q773" s="332"/>
      <c r="R773" s="219"/>
      <c r="S773" s="332"/>
      <c r="T773" s="219"/>
      <c r="U773" s="332"/>
      <c r="V773" s="332"/>
      <c r="W773" s="370"/>
      <c r="X773" s="370"/>
      <c r="Y773" s="370"/>
      <c r="Z773" s="370"/>
      <c r="AA773" s="370"/>
      <c r="AB773" s="370"/>
      <c r="AC773" s="370"/>
      <c r="AD773" s="370"/>
      <c r="AE773" s="370"/>
      <c r="AF773" s="370"/>
      <c r="AG773" s="370"/>
      <c r="AH773" s="370"/>
      <c r="AI773" s="370"/>
      <c r="AJ773" s="370"/>
      <c r="AL773" s="219"/>
      <c r="AM773" s="219"/>
      <c r="AN773" s="219"/>
      <c r="AO773" s="116"/>
      <c r="AP773" s="116"/>
      <c r="AU773" s="332"/>
      <c r="AV773" s="332"/>
      <c r="AW773" s="332"/>
      <c r="AX773" s="332"/>
      <c r="AY773" s="332"/>
      <c r="AZ773" s="332"/>
      <c r="BA773" s="332"/>
      <c r="BB773" s="31"/>
      <c r="BC773" s="31"/>
      <c r="BD773" s="31"/>
      <c r="BE773" s="31"/>
    </row>
    <row r="774" spans="1:57" ht="13">
      <c r="A774" s="153"/>
      <c r="F774" s="153"/>
      <c r="G774" s="116"/>
      <c r="H774" s="116"/>
      <c r="I774" s="116"/>
      <c r="J774" s="116"/>
      <c r="K774" s="219"/>
      <c r="L774" s="116"/>
      <c r="M774" s="31"/>
      <c r="N774" s="336"/>
      <c r="O774" s="336"/>
      <c r="P774" s="219"/>
      <c r="Q774" s="332"/>
      <c r="R774" s="219"/>
      <c r="S774" s="332"/>
      <c r="T774" s="219"/>
      <c r="U774" s="332"/>
      <c r="V774" s="332"/>
      <c r="W774" s="370"/>
      <c r="X774" s="370"/>
      <c r="Y774" s="370"/>
      <c r="Z774" s="370"/>
      <c r="AA774" s="370"/>
      <c r="AB774" s="370"/>
      <c r="AC774" s="370"/>
      <c r="AD774" s="370"/>
      <c r="AE774" s="370"/>
      <c r="AF774" s="370"/>
      <c r="AG774" s="370"/>
      <c r="AH774" s="370"/>
      <c r="AI774" s="370"/>
      <c r="AJ774" s="370"/>
      <c r="AL774" s="219"/>
      <c r="AM774" s="219"/>
      <c r="AN774" s="219"/>
      <c r="AO774" s="116"/>
      <c r="AP774" s="116"/>
      <c r="AU774" s="332"/>
      <c r="AV774" s="332"/>
      <c r="AW774" s="332"/>
      <c r="AX774" s="332"/>
      <c r="AY774" s="332"/>
      <c r="AZ774" s="332"/>
      <c r="BA774" s="332"/>
      <c r="BB774" s="31"/>
      <c r="BC774" s="31"/>
      <c r="BD774" s="31"/>
      <c r="BE774" s="31"/>
    </row>
    <row r="775" spans="1:57" ht="13">
      <c r="A775" s="153"/>
      <c r="F775" s="153"/>
      <c r="G775" s="116"/>
      <c r="H775" s="116"/>
      <c r="I775" s="116"/>
      <c r="J775" s="116"/>
      <c r="K775" s="219"/>
      <c r="L775" s="116"/>
      <c r="M775" s="31"/>
      <c r="N775" s="336"/>
      <c r="O775" s="336"/>
      <c r="P775" s="219"/>
      <c r="Q775" s="332"/>
      <c r="R775" s="219"/>
      <c r="S775" s="332"/>
      <c r="T775" s="219"/>
      <c r="U775" s="332"/>
      <c r="V775" s="332"/>
      <c r="W775" s="370"/>
      <c r="X775" s="370"/>
      <c r="Y775" s="370"/>
      <c r="Z775" s="370"/>
      <c r="AA775" s="370"/>
      <c r="AB775" s="370"/>
      <c r="AC775" s="370"/>
      <c r="AD775" s="370"/>
      <c r="AE775" s="370"/>
      <c r="AF775" s="370"/>
      <c r="AG775" s="370"/>
      <c r="AH775" s="370"/>
      <c r="AI775" s="370"/>
      <c r="AJ775" s="370"/>
      <c r="AL775" s="219"/>
      <c r="AM775" s="219"/>
      <c r="AN775" s="219"/>
      <c r="AO775" s="116"/>
      <c r="AP775" s="116"/>
      <c r="AU775" s="332"/>
      <c r="AV775" s="332"/>
      <c r="AW775" s="332"/>
      <c r="AX775" s="332"/>
      <c r="AY775" s="332"/>
      <c r="AZ775" s="332"/>
      <c r="BA775" s="332"/>
      <c r="BB775" s="31"/>
      <c r="BC775" s="31"/>
      <c r="BD775" s="31"/>
      <c r="BE775" s="31"/>
    </row>
    <row r="776" spans="1:57" ht="13">
      <c r="A776" s="153"/>
      <c r="F776" s="153"/>
      <c r="G776" s="116"/>
      <c r="H776" s="116"/>
      <c r="I776" s="116"/>
      <c r="J776" s="116"/>
      <c r="K776" s="219"/>
      <c r="L776" s="116"/>
      <c r="M776" s="31"/>
      <c r="N776" s="336"/>
      <c r="O776" s="336"/>
      <c r="P776" s="219"/>
      <c r="Q776" s="332"/>
      <c r="R776" s="219"/>
      <c r="S776" s="332"/>
      <c r="T776" s="219"/>
      <c r="U776" s="332"/>
      <c r="V776" s="332"/>
      <c r="W776" s="370"/>
      <c r="X776" s="370"/>
      <c r="Y776" s="370"/>
      <c r="Z776" s="370"/>
      <c r="AA776" s="370"/>
      <c r="AB776" s="370"/>
      <c r="AC776" s="370"/>
      <c r="AD776" s="370"/>
      <c r="AE776" s="370"/>
      <c r="AF776" s="370"/>
      <c r="AG776" s="370"/>
      <c r="AH776" s="370"/>
      <c r="AI776" s="370"/>
      <c r="AJ776" s="370"/>
      <c r="AL776" s="219"/>
      <c r="AM776" s="219"/>
      <c r="AN776" s="219"/>
      <c r="AO776" s="116"/>
      <c r="AP776" s="116"/>
      <c r="AU776" s="332"/>
      <c r="AV776" s="332"/>
      <c r="AW776" s="332"/>
      <c r="AX776" s="332"/>
      <c r="AY776" s="332"/>
      <c r="AZ776" s="332"/>
      <c r="BA776" s="332"/>
      <c r="BB776" s="31"/>
      <c r="BC776" s="31"/>
      <c r="BD776" s="31"/>
      <c r="BE776" s="31"/>
    </row>
    <row r="777" spans="1:57" ht="13">
      <c r="A777" s="153"/>
      <c r="F777" s="153"/>
      <c r="G777" s="116"/>
      <c r="H777" s="116"/>
      <c r="I777" s="116"/>
      <c r="J777" s="116"/>
      <c r="K777" s="219"/>
      <c r="L777" s="116"/>
      <c r="M777" s="31"/>
      <c r="N777" s="336"/>
      <c r="O777" s="336"/>
      <c r="P777" s="219"/>
      <c r="Q777" s="332"/>
      <c r="R777" s="219"/>
      <c r="S777" s="332"/>
      <c r="T777" s="219"/>
      <c r="U777" s="332"/>
      <c r="V777" s="332"/>
      <c r="W777" s="370"/>
      <c r="X777" s="370"/>
      <c r="Y777" s="370"/>
      <c r="Z777" s="370"/>
      <c r="AA777" s="370"/>
      <c r="AB777" s="370"/>
      <c r="AC777" s="370"/>
      <c r="AD777" s="370"/>
      <c r="AE777" s="370"/>
      <c r="AF777" s="370"/>
      <c r="AG777" s="370"/>
      <c r="AH777" s="370"/>
      <c r="AI777" s="370"/>
      <c r="AJ777" s="370"/>
      <c r="AL777" s="219"/>
      <c r="AM777" s="219"/>
      <c r="AN777" s="219"/>
      <c r="AO777" s="116"/>
      <c r="AP777" s="116"/>
      <c r="AU777" s="332"/>
      <c r="AV777" s="332"/>
      <c r="AW777" s="332"/>
      <c r="AX777" s="332"/>
      <c r="AY777" s="332"/>
      <c r="AZ777" s="332"/>
      <c r="BA777" s="332"/>
      <c r="BB777" s="31"/>
      <c r="BC777" s="31"/>
      <c r="BD777" s="31"/>
      <c r="BE777" s="31"/>
    </row>
    <row r="778" spans="1:57" ht="13">
      <c r="A778" s="153"/>
      <c r="F778" s="153"/>
      <c r="G778" s="116"/>
      <c r="H778" s="116"/>
      <c r="I778" s="116"/>
      <c r="J778" s="116"/>
      <c r="K778" s="219"/>
      <c r="L778" s="116"/>
      <c r="M778" s="31"/>
      <c r="N778" s="336"/>
      <c r="O778" s="336"/>
      <c r="P778" s="219"/>
      <c r="Q778" s="332"/>
      <c r="R778" s="219"/>
      <c r="S778" s="332"/>
      <c r="T778" s="219"/>
      <c r="U778" s="332"/>
      <c r="V778" s="332"/>
      <c r="W778" s="370"/>
      <c r="X778" s="370"/>
      <c r="Y778" s="370"/>
      <c r="Z778" s="370"/>
      <c r="AA778" s="370"/>
      <c r="AB778" s="370"/>
      <c r="AC778" s="370"/>
      <c r="AD778" s="370"/>
      <c r="AE778" s="370"/>
      <c r="AF778" s="370"/>
      <c r="AG778" s="370"/>
      <c r="AH778" s="370"/>
      <c r="AI778" s="370"/>
      <c r="AJ778" s="370"/>
      <c r="AL778" s="219"/>
      <c r="AM778" s="219"/>
      <c r="AN778" s="219"/>
      <c r="AO778" s="116"/>
      <c r="AP778" s="116"/>
      <c r="AU778" s="332"/>
      <c r="AV778" s="332"/>
      <c r="AW778" s="332"/>
      <c r="AX778" s="332"/>
      <c r="AY778" s="332"/>
      <c r="AZ778" s="332"/>
      <c r="BA778" s="332"/>
      <c r="BB778" s="31"/>
      <c r="BC778" s="31"/>
      <c r="BD778" s="31"/>
      <c r="BE778" s="31"/>
    </row>
    <row r="779" spans="1:57" ht="13">
      <c r="A779" s="153"/>
      <c r="F779" s="153"/>
      <c r="G779" s="116"/>
      <c r="H779" s="116"/>
      <c r="I779" s="116"/>
      <c r="J779" s="116"/>
      <c r="K779" s="219"/>
      <c r="L779" s="116"/>
      <c r="M779" s="31"/>
      <c r="N779" s="336"/>
      <c r="O779" s="336"/>
      <c r="P779" s="219"/>
      <c r="Q779" s="332"/>
      <c r="R779" s="219"/>
      <c r="S779" s="332"/>
      <c r="T779" s="219"/>
      <c r="U779" s="332"/>
      <c r="V779" s="332"/>
      <c r="W779" s="370"/>
      <c r="X779" s="370"/>
      <c r="Y779" s="370"/>
      <c r="Z779" s="370"/>
      <c r="AA779" s="370"/>
      <c r="AB779" s="370"/>
      <c r="AC779" s="370"/>
      <c r="AD779" s="370"/>
      <c r="AE779" s="370"/>
      <c r="AF779" s="370"/>
      <c r="AG779" s="370"/>
      <c r="AH779" s="370"/>
      <c r="AI779" s="370"/>
      <c r="AJ779" s="370"/>
      <c r="AL779" s="219"/>
      <c r="AM779" s="219"/>
      <c r="AN779" s="219"/>
      <c r="AO779" s="116"/>
      <c r="AP779" s="116"/>
      <c r="AU779" s="332"/>
      <c r="AV779" s="332"/>
      <c r="AW779" s="332"/>
      <c r="AX779" s="332"/>
      <c r="AY779" s="332"/>
      <c r="AZ779" s="332"/>
      <c r="BA779" s="332"/>
      <c r="BB779" s="31"/>
      <c r="BC779" s="31"/>
      <c r="BD779" s="31"/>
      <c r="BE779" s="31"/>
    </row>
    <row r="780" spans="1:57" ht="13">
      <c r="A780" s="153"/>
      <c r="F780" s="153"/>
      <c r="G780" s="116"/>
      <c r="H780" s="116"/>
      <c r="I780" s="116"/>
      <c r="J780" s="116"/>
      <c r="K780" s="219"/>
      <c r="L780" s="116"/>
      <c r="M780" s="31"/>
      <c r="N780" s="336"/>
      <c r="O780" s="336"/>
      <c r="P780" s="219"/>
      <c r="Q780" s="332"/>
      <c r="R780" s="219"/>
      <c r="S780" s="332"/>
      <c r="T780" s="219"/>
      <c r="U780" s="332"/>
      <c r="V780" s="332"/>
      <c r="W780" s="370"/>
      <c r="X780" s="370"/>
      <c r="Y780" s="370"/>
      <c r="Z780" s="370"/>
      <c r="AA780" s="370"/>
      <c r="AB780" s="370"/>
      <c r="AC780" s="370"/>
      <c r="AD780" s="370"/>
      <c r="AE780" s="370"/>
      <c r="AF780" s="370"/>
      <c r="AG780" s="370"/>
      <c r="AH780" s="370"/>
      <c r="AI780" s="370"/>
      <c r="AJ780" s="370"/>
      <c r="AL780" s="219"/>
      <c r="AM780" s="219"/>
      <c r="AN780" s="219"/>
      <c r="AO780" s="116"/>
      <c r="AP780" s="116"/>
      <c r="AU780" s="332"/>
      <c r="AV780" s="332"/>
      <c r="AW780" s="332"/>
      <c r="AX780" s="332"/>
      <c r="AY780" s="332"/>
      <c r="AZ780" s="332"/>
      <c r="BA780" s="332"/>
      <c r="BB780" s="31"/>
      <c r="BC780" s="31"/>
      <c r="BD780" s="31"/>
      <c r="BE780" s="31"/>
    </row>
    <row r="781" spans="1:57" ht="13">
      <c r="A781" s="153"/>
      <c r="F781" s="153"/>
      <c r="G781" s="116"/>
      <c r="H781" s="116"/>
      <c r="I781" s="116"/>
      <c r="J781" s="116"/>
      <c r="K781" s="219"/>
      <c r="L781" s="116"/>
      <c r="M781" s="31"/>
      <c r="N781" s="336"/>
      <c r="O781" s="336"/>
      <c r="P781" s="219"/>
      <c r="Q781" s="332"/>
      <c r="R781" s="219"/>
      <c r="S781" s="332"/>
      <c r="T781" s="219"/>
      <c r="U781" s="332"/>
      <c r="V781" s="332"/>
      <c r="W781" s="370"/>
      <c r="X781" s="370"/>
      <c r="Y781" s="370"/>
      <c r="Z781" s="370"/>
      <c r="AA781" s="370"/>
      <c r="AB781" s="370"/>
      <c r="AC781" s="370"/>
      <c r="AD781" s="370"/>
      <c r="AE781" s="370"/>
      <c r="AF781" s="370"/>
      <c r="AG781" s="370"/>
      <c r="AH781" s="370"/>
      <c r="AI781" s="370"/>
      <c r="AJ781" s="370"/>
      <c r="AL781" s="219"/>
      <c r="AM781" s="219"/>
      <c r="AN781" s="219"/>
      <c r="AO781" s="116"/>
      <c r="AP781" s="116"/>
      <c r="AU781" s="332"/>
      <c r="AV781" s="332"/>
      <c r="AW781" s="332"/>
      <c r="AX781" s="332"/>
      <c r="AY781" s="332"/>
      <c r="AZ781" s="332"/>
      <c r="BA781" s="332"/>
      <c r="BB781" s="31"/>
      <c r="BC781" s="31"/>
      <c r="BD781" s="31"/>
      <c r="BE781" s="31"/>
    </row>
    <row r="782" spans="1:57" ht="13">
      <c r="A782" s="153"/>
      <c r="F782" s="153"/>
      <c r="G782" s="116"/>
      <c r="H782" s="116"/>
      <c r="I782" s="116"/>
      <c r="J782" s="116"/>
      <c r="K782" s="219"/>
      <c r="L782" s="116"/>
      <c r="M782" s="31"/>
      <c r="N782" s="336"/>
      <c r="O782" s="336"/>
      <c r="P782" s="219"/>
      <c r="Q782" s="332"/>
      <c r="R782" s="219"/>
      <c r="S782" s="332"/>
      <c r="T782" s="219"/>
      <c r="U782" s="332"/>
      <c r="V782" s="332"/>
      <c r="W782" s="370"/>
      <c r="X782" s="370"/>
      <c r="Y782" s="370"/>
      <c r="Z782" s="370"/>
      <c r="AA782" s="370"/>
      <c r="AB782" s="370"/>
      <c r="AC782" s="370"/>
      <c r="AD782" s="370"/>
      <c r="AE782" s="370"/>
      <c r="AF782" s="370"/>
      <c r="AG782" s="370"/>
      <c r="AH782" s="370"/>
      <c r="AI782" s="370"/>
      <c r="AJ782" s="370"/>
      <c r="AL782" s="219"/>
      <c r="AM782" s="219"/>
      <c r="AN782" s="219"/>
      <c r="AO782" s="116"/>
      <c r="AP782" s="116"/>
      <c r="AU782" s="332"/>
      <c r="AV782" s="332"/>
      <c r="AW782" s="332"/>
      <c r="AX782" s="332"/>
      <c r="AY782" s="332"/>
      <c r="AZ782" s="332"/>
      <c r="BA782" s="332"/>
      <c r="BB782" s="31"/>
      <c r="BC782" s="31"/>
      <c r="BD782" s="31"/>
      <c r="BE782" s="31"/>
    </row>
    <row r="783" spans="1:57" ht="13">
      <c r="A783" s="153"/>
      <c r="F783" s="153"/>
      <c r="G783" s="116"/>
      <c r="H783" s="116"/>
      <c r="I783" s="116"/>
      <c r="J783" s="116"/>
      <c r="K783" s="219"/>
      <c r="L783" s="116"/>
      <c r="M783" s="31"/>
      <c r="N783" s="336"/>
      <c r="O783" s="336"/>
      <c r="P783" s="219"/>
      <c r="Q783" s="332"/>
      <c r="R783" s="219"/>
      <c r="S783" s="332"/>
      <c r="T783" s="219"/>
      <c r="U783" s="332"/>
      <c r="V783" s="332"/>
      <c r="W783" s="370"/>
      <c r="X783" s="370"/>
      <c r="Y783" s="370"/>
      <c r="Z783" s="370"/>
      <c r="AA783" s="370"/>
      <c r="AB783" s="370"/>
      <c r="AC783" s="370"/>
      <c r="AD783" s="370"/>
      <c r="AE783" s="370"/>
      <c r="AF783" s="370"/>
      <c r="AG783" s="370"/>
      <c r="AH783" s="370"/>
      <c r="AI783" s="370"/>
      <c r="AJ783" s="370"/>
      <c r="AL783" s="219"/>
      <c r="AM783" s="219"/>
      <c r="AN783" s="219"/>
      <c r="AO783" s="116"/>
      <c r="AP783" s="116"/>
      <c r="AU783" s="332"/>
      <c r="AV783" s="332"/>
      <c r="AW783" s="332"/>
      <c r="AX783" s="332"/>
      <c r="AY783" s="332"/>
      <c r="AZ783" s="332"/>
      <c r="BA783" s="332"/>
      <c r="BB783" s="31"/>
      <c r="BC783" s="31"/>
      <c r="BD783" s="31"/>
      <c r="BE783" s="31"/>
    </row>
    <row r="784" spans="1:57" ht="13">
      <c r="A784" s="153"/>
      <c r="F784" s="153"/>
      <c r="G784" s="116"/>
      <c r="H784" s="116"/>
      <c r="I784" s="116"/>
      <c r="J784" s="116"/>
      <c r="K784" s="219"/>
      <c r="L784" s="116"/>
      <c r="M784" s="31"/>
      <c r="N784" s="336"/>
      <c r="O784" s="336"/>
      <c r="P784" s="219"/>
      <c r="Q784" s="332"/>
      <c r="R784" s="219"/>
      <c r="S784" s="332"/>
      <c r="T784" s="219"/>
      <c r="U784" s="332"/>
      <c r="V784" s="332"/>
      <c r="W784" s="370"/>
      <c r="X784" s="370"/>
      <c r="Y784" s="370"/>
      <c r="Z784" s="370"/>
      <c r="AA784" s="370"/>
      <c r="AB784" s="370"/>
      <c r="AC784" s="370"/>
      <c r="AD784" s="370"/>
      <c r="AE784" s="370"/>
      <c r="AF784" s="370"/>
      <c r="AG784" s="370"/>
      <c r="AH784" s="370"/>
      <c r="AI784" s="370"/>
      <c r="AJ784" s="370"/>
      <c r="AL784" s="219"/>
      <c r="AM784" s="219"/>
      <c r="AN784" s="219"/>
      <c r="AO784" s="116"/>
      <c r="AP784" s="116"/>
      <c r="AU784" s="332"/>
      <c r="AV784" s="332"/>
      <c r="AW784" s="332"/>
      <c r="AX784" s="332"/>
      <c r="AY784" s="332"/>
      <c r="AZ784" s="332"/>
      <c r="BA784" s="332"/>
      <c r="BB784" s="31"/>
      <c r="BC784" s="31"/>
      <c r="BD784" s="31"/>
      <c r="BE784" s="31"/>
    </row>
    <row r="785" spans="1:57" ht="13">
      <c r="A785" s="153"/>
      <c r="F785" s="153"/>
      <c r="G785" s="116"/>
      <c r="H785" s="116"/>
      <c r="I785" s="116"/>
      <c r="J785" s="116"/>
      <c r="K785" s="219"/>
      <c r="L785" s="116"/>
      <c r="M785" s="31"/>
      <c r="N785" s="336"/>
      <c r="O785" s="336"/>
      <c r="P785" s="219"/>
      <c r="Q785" s="332"/>
      <c r="R785" s="219"/>
      <c r="S785" s="332"/>
      <c r="T785" s="219"/>
      <c r="U785" s="332"/>
      <c r="V785" s="332"/>
      <c r="W785" s="370"/>
      <c r="X785" s="370"/>
      <c r="Y785" s="370"/>
      <c r="Z785" s="370"/>
      <c r="AA785" s="370"/>
      <c r="AB785" s="370"/>
      <c r="AC785" s="370"/>
      <c r="AD785" s="370"/>
      <c r="AE785" s="370"/>
      <c r="AF785" s="370"/>
      <c r="AG785" s="370"/>
      <c r="AH785" s="370"/>
      <c r="AI785" s="370"/>
      <c r="AJ785" s="370"/>
      <c r="AL785" s="219"/>
      <c r="AM785" s="219"/>
      <c r="AN785" s="219"/>
      <c r="AO785" s="116"/>
      <c r="AP785" s="116"/>
      <c r="AU785" s="332"/>
      <c r="AV785" s="332"/>
      <c r="AW785" s="332"/>
      <c r="AX785" s="332"/>
      <c r="AY785" s="332"/>
      <c r="AZ785" s="332"/>
      <c r="BA785" s="332"/>
      <c r="BB785" s="31"/>
      <c r="BC785" s="31"/>
      <c r="BD785" s="31"/>
      <c r="BE785" s="31"/>
    </row>
    <row r="786" spans="1:57" ht="13">
      <c r="A786" s="153"/>
      <c r="F786" s="153"/>
      <c r="G786" s="116"/>
      <c r="H786" s="116"/>
      <c r="I786" s="116"/>
      <c r="J786" s="116"/>
      <c r="K786" s="219"/>
      <c r="L786" s="116"/>
      <c r="M786" s="31"/>
      <c r="N786" s="336"/>
      <c r="O786" s="336"/>
      <c r="P786" s="219"/>
      <c r="Q786" s="332"/>
      <c r="R786" s="219"/>
      <c r="S786" s="332"/>
      <c r="T786" s="219"/>
      <c r="U786" s="332"/>
      <c r="V786" s="332"/>
      <c r="W786" s="370"/>
      <c r="X786" s="370"/>
      <c r="Y786" s="370"/>
      <c r="Z786" s="370"/>
      <c r="AA786" s="370"/>
      <c r="AB786" s="370"/>
      <c r="AC786" s="370"/>
      <c r="AD786" s="370"/>
      <c r="AE786" s="370"/>
      <c r="AF786" s="370"/>
      <c r="AG786" s="370"/>
      <c r="AH786" s="370"/>
      <c r="AI786" s="370"/>
      <c r="AJ786" s="370"/>
      <c r="AL786" s="219"/>
      <c r="AM786" s="219"/>
      <c r="AN786" s="219"/>
      <c r="AO786" s="116"/>
      <c r="AP786" s="116"/>
      <c r="AU786" s="332"/>
      <c r="AV786" s="332"/>
      <c r="AW786" s="332"/>
      <c r="AX786" s="332"/>
      <c r="AY786" s="332"/>
      <c r="AZ786" s="332"/>
      <c r="BA786" s="332"/>
      <c r="BB786" s="31"/>
      <c r="BC786" s="31"/>
      <c r="BD786" s="31"/>
      <c r="BE786" s="31"/>
    </row>
    <row r="787" spans="1:57" ht="13">
      <c r="A787" s="153"/>
      <c r="F787" s="153"/>
      <c r="G787" s="116"/>
      <c r="H787" s="116"/>
      <c r="I787" s="116"/>
      <c r="J787" s="116"/>
      <c r="K787" s="219"/>
      <c r="L787" s="116"/>
      <c r="M787" s="31"/>
      <c r="N787" s="336"/>
      <c r="O787" s="336"/>
      <c r="P787" s="219"/>
      <c r="Q787" s="332"/>
      <c r="R787" s="219"/>
      <c r="S787" s="332"/>
      <c r="T787" s="219"/>
      <c r="U787" s="332"/>
      <c r="V787" s="332"/>
      <c r="W787" s="370"/>
      <c r="X787" s="370"/>
      <c r="Y787" s="370"/>
      <c r="Z787" s="370"/>
      <c r="AA787" s="370"/>
      <c r="AB787" s="370"/>
      <c r="AC787" s="370"/>
      <c r="AD787" s="370"/>
      <c r="AE787" s="370"/>
      <c r="AF787" s="370"/>
      <c r="AG787" s="370"/>
      <c r="AH787" s="370"/>
      <c r="AI787" s="370"/>
      <c r="AJ787" s="370"/>
      <c r="AL787" s="219"/>
      <c r="AM787" s="219"/>
      <c r="AN787" s="219"/>
      <c r="AO787" s="116"/>
      <c r="AP787" s="116"/>
      <c r="AU787" s="332"/>
      <c r="AV787" s="332"/>
      <c r="AW787" s="332"/>
      <c r="AX787" s="332"/>
      <c r="AY787" s="332"/>
      <c r="AZ787" s="332"/>
      <c r="BA787" s="332"/>
      <c r="BB787" s="31"/>
      <c r="BC787" s="31"/>
      <c r="BD787" s="31"/>
      <c r="BE787" s="31"/>
    </row>
    <row r="788" spans="1:57" ht="13">
      <c r="A788" s="153"/>
      <c r="F788" s="153"/>
      <c r="G788" s="116"/>
      <c r="H788" s="116"/>
      <c r="I788" s="116"/>
      <c r="J788" s="116"/>
      <c r="K788" s="219"/>
      <c r="L788" s="116"/>
      <c r="M788" s="31"/>
      <c r="N788" s="336"/>
      <c r="O788" s="336"/>
      <c r="P788" s="219"/>
      <c r="Q788" s="332"/>
      <c r="R788" s="219"/>
      <c r="S788" s="332"/>
      <c r="T788" s="219"/>
      <c r="U788" s="332"/>
      <c r="V788" s="332"/>
      <c r="W788" s="370"/>
      <c r="X788" s="370"/>
      <c r="Y788" s="370"/>
      <c r="Z788" s="370"/>
      <c r="AA788" s="370"/>
      <c r="AB788" s="370"/>
      <c r="AC788" s="370"/>
      <c r="AD788" s="370"/>
      <c r="AE788" s="370"/>
      <c r="AF788" s="370"/>
      <c r="AG788" s="370"/>
      <c r="AH788" s="370"/>
      <c r="AI788" s="370"/>
      <c r="AJ788" s="370"/>
      <c r="AL788" s="219"/>
      <c r="AM788" s="219"/>
      <c r="AN788" s="219"/>
      <c r="AO788" s="116"/>
      <c r="AP788" s="116"/>
      <c r="AU788" s="332"/>
      <c r="AV788" s="332"/>
      <c r="AW788" s="332"/>
      <c r="AX788" s="332"/>
      <c r="AY788" s="332"/>
      <c r="AZ788" s="332"/>
      <c r="BA788" s="332"/>
      <c r="BB788" s="31"/>
      <c r="BC788" s="31"/>
      <c r="BD788" s="31"/>
      <c r="BE788" s="31"/>
    </row>
    <row r="789" spans="1:57" ht="13">
      <c r="A789" s="153"/>
      <c r="F789" s="153"/>
      <c r="G789" s="116"/>
      <c r="H789" s="116"/>
      <c r="I789" s="116"/>
      <c r="J789" s="116"/>
      <c r="K789" s="219"/>
      <c r="L789" s="116"/>
      <c r="M789" s="31"/>
      <c r="N789" s="336"/>
      <c r="O789" s="336"/>
      <c r="P789" s="219"/>
      <c r="Q789" s="332"/>
      <c r="R789" s="219"/>
      <c r="S789" s="332"/>
      <c r="T789" s="219"/>
      <c r="U789" s="332"/>
      <c r="V789" s="332"/>
      <c r="W789" s="370"/>
      <c r="X789" s="370"/>
      <c r="Y789" s="370"/>
      <c r="Z789" s="370"/>
      <c r="AA789" s="370"/>
      <c r="AB789" s="370"/>
      <c r="AC789" s="370"/>
      <c r="AD789" s="370"/>
      <c r="AE789" s="370"/>
      <c r="AF789" s="370"/>
      <c r="AG789" s="370"/>
      <c r="AH789" s="370"/>
      <c r="AI789" s="370"/>
      <c r="AJ789" s="370"/>
      <c r="AL789" s="219"/>
      <c r="AM789" s="219"/>
      <c r="AN789" s="219"/>
      <c r="AO789" s="116"/>
      <c r="AP789" s="116"/>
      <c r="AU789" s="332"/>
      <c r="AV789" s="332"/>
      <c r="AW789" s="332"/>
      <c r="AX789" s="332"/>
      <c r="AY789" s="332"/>
      <c r="AZ789" s="332"/>
      <c r="BA789" s="332"/>
      <c r="BB789" s="31"/>
      <c r="BC789" s="31"/>
      <c r="BD789" s="31"/>
      <c r="BE789" s="31"/>
    </row>
    <row r="790" spans="1:57" ht="13">
      <c r="A790" s="153"/>
      <c r="F790" s="153"/>
      <c r="G790" s="116"/>
      <c r="H790" s="116"/>
      <c r="I790" s="116"/>
      <c r="J790" s="116"/>
      <c r="K790" s="219"/>
      <c r="L790" s="116"/>
      <c r="M790" s="31"/>
      <c r="N790" s="336"/>
      <c r="O790" s="336"/>
      <c r="P790" s="219"/>
      <c r="Q790" s="332"/>
      <c r="R790" s="219"/>
      <c r="S790" s="332"/>
      <c r="T790" s="219"/>
      <c r="U790" s="332"/>
      <c r="V790" s="332"/>
      <c r="W790" s="370"/>
      <c r="X790" s="370"/>
      <c r="Y790" s="370"/>
      <c r="Z790" s="370"/>
      <c r="AA790" s="370"/>
      <c r="AB790" s="370"/>
      <c r="AC790" s="370"/>
      <c r="AD790" s="370"/>
      <c r="AE790" s="370"/>
      <c r="AF790" s="370"/>
      <c r="AG790" s="370"/>
      <c r="AH790" s="370"/>
      <c r="AI790" s="370"/>
      <c r="AJ790" s="370"/>
      <c r="AL790" s="219"/>
      <c r="AM790" s="219"/>
      <c r="AN790" s="219"/>
      <c r="AO790" s="116"/>
      <c r="AP790" s="116"/>
      <c r="AU790" s="332"/>
      <c r="AV790" s="332"/>
      <c r="AW790" s="332"/>
      <c r="AX790" s="332"/>
      <c r="AY790" s="332"/>
      <c r="AZ790" s="332"/>
      <c r="BA790" s="332"/>
      <c r="BB790" s="31"/>
      <c r="BC790" s="31"/>
      <c r="BD790" s="31"/>
      <c r="BE790" s="31"/>
    </row>
    <row r="791" spans="1:57" ht="13">
      <c r="A791" s="153"/>
      <c r="F791" s="153"/>
      <c r="G791" s="116"/>
      <c r="H791" s="116"/>
      <c r="I791" s="116"/>
      <c r="J791" s="116"/>
      <c r="K791" s="219"/>
      <c r="L791" s="116"/>
      <c r="M791" s="31"/>
      <c r="N791" s="336"/>
      <c r="O791" s="336"/>
      <c r="P791" s="219"/>
      <c r="Q791" s="332"/>
      <c r="R791" s="219"/>
      <c r="S791" s="332"/>
      <c r="T791" s="219"/>
      <c r="U791" s="332"/>
      <c r="V791" s="332"/>
      <c r="W791" s="370"/>
      <c r="X791" s="370"/>
      <c r="Y791" s="370"/>
      <c r="Z791" s="370"/>
      <c r="AA791" s="370"/>
      <c r="AB791" s="370"/>
      <c r="AC791" s="370"/>
      <c r="AD791" s="370"/>
      <c r="AE791" s="370"/>
      <c r="AF791" s="370"/>
      <c r="AG791" s="370"/>
      <c r="AH791" s="370"/>
      <c r="AI791" s="370"/>
      <c r="AJ791" s="370"/>
      <c r="AL791" s="219"/>
      <c r="AM791" s="219"/>
      <c r="AN791" s="219"/>
      <c r="AO791" s="116"/>
      <c r="AP791" s="116"/>
      <c r="AU791" s="332"/>
      <c r="AV791" s="332"/>
      <c r="AW791" s="332"/>
      <c r="AX791" s="332"/>
      <c r="AY791" s="332"/>
      <c r="AZ791" s="332"/>
      <c r="BA791" s="332"/>
      <c r="BB791" s="31"/>
      <c r="BC791" s="31"/>
      <c r="BD791" s="31"/>
      <c r="BE791" s="31"/>
    </row>
    <row r="792" spans="1:57" ht="13">
      <c r="A792" s="153"/>
      <c r="F792" s="153"/>
      <c r="G792" s="116"/>
      <c r="H792" s="116"/>
      <c r="I792" s="116"/>
      <c r="J792" s="116"/>
      <c r="K792" s="219"/>
      <c r="L792" s="116"/>
      <c r="M792" s="31"/>
      <c r="N792" s="336"/>
      <c r="O792" s="336"/>
      <c r="P792" s="219"/>
      <c r="Q792" s="332"/>
      <c r="R792" s="219"/>
      <c r="S792" s="332"/>
      <c r="T792" s="219"/>
      <c r="U792" s="332"/>
      <c r="V792" s="332"/>
      <c r="W792" s="370"/>
      <c r="X792" s="370"/>
      <c r="Y792" s="370"/>
      <c r="Z792" s="370"/>
      <c r="AA792" s="370"/>
      <c r="AB792" s="370"/>
      <c r="AC792" s="370"/>
      <c r="AD792" s="370"/>
      <c r="AE792" s="370"/>
      <c r="AF792" s="370"/>
      <c r="AG792" s="370"/>
      <c r="AH792" s="370"/>
      <c r="AI792" s="370"/>
      <c r="AJ792" s="370"/>
      <c r="AL792" s="219"/>
      <c r="AM792" s="219"/>
      <c r="AN792" s="219"/>
      <c r="AO792" s="116"/>
      <c r="AP792" s="116"/>
      <c r="AU792" s="332"/>
      <c r="AV792" s="332"/>
      <c r="AW792" s="332"/>
      <c r="AX792" s="332"/>
      <c r="AY792" s="332"/>
      <c r="AZ792" s="332"/>
      <c r="BA792" s="332"/>
      <c r="BB792" s="31"/>
      <c r="BC792" s="31"/>
      <c r="BD792" s="31"/>
      <c r="BE792" s="31"/>
    </row>
    <row r="793" spans="1:57" ht="13">
      <c r="A793" s="153"/>
      <c r="F793" s="153"/>
      <c r="G793" s="116"/>
      <c r="H793" s="116"/>
      <c r="I793" s="116"/>
      <c r="J793" s="116"/>
      <c r="K793" s="219"/>
      <c r="L793" s="116"/>
      <c r="M793" s="31"/>
      <c r="N793" s="336"/>
      <c r="O793" s="336"/>
      <c r="P793" s="219"/>
      <c r="Q793" s="332"/>
      <c r="R793" s="219"/>
      <c r="S793" s="332"/>
      <c r="T793" s="219"/>
      <c r="U793" s="332"/>
      <c r="V793" s="332"/>
      <c r="W793" s="370"/>
      <c r="X793" s="370"/>
      <c r="Y793" s="370"/>
      <c r="Z793" s="370"/>
      <c r="AA793" s="370"/>
      <c r="AB793" s="370"/>
      <c r="AC793" s="370"/>
      <c r="AD793" s="370"/>
      <c r="AE793" s="370"/>
      <c r="AF793" s="370"/>
      <c r="AG793" s="370"/>
      <c r="AH793" s="370"/>
      <c r="AI793" s="370"/>
      <c r="AJ793" s="370"/>
      <c r="AL793" s="219"/>
      <c r="AM793" s="219"/>
      <c r="AN793" s="219"/>
      <c r="AO793" s="116"/>
      <c r="AP793" s="116"/>
      <c r="AU793" s="332"/>
      <c r="AV793" s="332"/>
      <c r="AW793" s="332"/>
      <c r="AX793" s="332"/>
      <c r="AY793" s="332"/>
      <c r="AZ793" s="332"/>
      <c r="BA793" s="332"/>
      <c r="BB793" s="31"/>
      <c r="BC793" s="31"/>
      <c r="BD793" s="31"/>
      <c r="BE793" s="31"/>
    </row>
    <row r="794" spans="1:57" ht="13">
      <c r="A794" s="153"/>
      <c r="F794" s="153"/>
      <c r="G794" s="116"/>
      <c r="H794" s="116"/>
      <c r="I794" s="116"/>
      <c r="J794" s="116"/>
      <c r="K794" s="219"/>
      <c r="L794" s="116"/>
      <c r="M794" s="31"/>
      <c r="N794" s="336"/>
      <c r="O794" s="336"/>
      <c r="P794" s="219"/>
      <c r="Q794" s="332"/>
      <c r="R794" s="219"/>
      <c r="S794" s="332"/>
      <c r="T794" s="219"/>
      <c r="U794" s="332"/>
      <c r="V794" s="332"/>
      <c r="W794" s="370"/>
      <c r="X794" s="370"/>
      <c r="Y794" s="370"/>
      <c r="Z794" s="370"/>
      <c r="AA794" s="370"/>
      <c r="AB794" s="370"/>
      <c r="AC794" s="370"/>
      <c r="AD794" s="370"/>
      <c r="AE794" s="370"/>
      <c r="AF794" s="370"/>
      <c r="AG794" s="370"/>
      <c r="AH794" s="370"/>
      <c r="AI794" s="370"/>
      <c r="AJ794" s="370"/>
      <c r="AL794" s="219"/>
      <c r="AM794" s="219"/>
      <c r="AN794" s="219"/>
      <c r="AO794" s="116"/>
      <c r="AP794" s="116"/>
      <c r="AU794" s="332"/>
      <c r="AV794" s="332"/>
      <c r="AW794" s="332"/>
      <c r="AX794" s="332"/>
      <c r="AY794" s="332"/>
      <c r="AZ794" s="332"/>
      <c r="BA794" s="332"/>
      <c r="BB794" s="31"/>
      <c r="BC794" s="31"/>
      <c r="BD794" s="31"/>
      <c r="BE794" s="31"/>
    </row>
    <row r="795" spans="1:57" ht="13">
      <c r="A795" s="153"/>
      <c r="F795" s="153"/>
      <c r="G795" s="116"/>
      <c r="H795" s="116"/>
      <c r="I795" s="116"/>
      <c r="J795" s="116"/>
      <c r="K795" s="219"/>
      <c r="L795" s="116"/>
      <c r="M795" s="31"/>
      <c r="N795" s="336"/>
      <c r="O795" s="336"/>
      <c r="P795" s="219"/>
      <c r="Q795" s="332"/>
      <c r="R795" s="219"/>
      <c r="S795" s="332"/>
      <c r="T795" s="219"/>
      <c r="U795" s="332"/>
      <c r="V795" s="332"/>
      <c r="W795" s="370"/>
      <c r="X795" s="370"/>
      <c r="Y795" s="370"/>
      <c r="Z795" s="370"/>
      <c r="AA795" s="370"/>
      <c r="AB795" s="370"/>
      <c r="AC795" s="370"/>
      <c r="AD795" s="370"/>
      <c r="AE795" s="370"/>
      <c r="AF795" s="370"/>
      <c r="AG795" s="370"/>
      <c r="AH795" s="370"/>
      <c r="AI795" s="370"/>
      <c r="AJ795" s="370"/>
      <c r="AL795" s="219"/>
      <c r="AM795" s="219"/>
      <c r="AN795" s="219"/>
      <c r="AO795" s="116"/>
      <c r="AP795" s="116"/>
      <c r="AU795" s="332"/>
      <c r="AV795" s="332"/>
      <c r="AW795" s="332"/>
      <c r="AX795" s="332"/>
      <c r="AY795" s="332"/>
      <c r="AZ795" s="332"/>
      <c r="BA795" s="332"/>
      <c r="BB795" s="31"/>
      <c r="BC795" s="31"/>
      <c r="BD795" s="31"/>
      <c r="BE795" s="31"/>
    </row>
    <row r="796" spans="1:57" ht="13">
      <c r="A796" s="153"/>
      <c r="F796" s="153"/>
      <c r="G796" s="116"/>
      <c r="H796" s="116"/>
      <c r="I796" s="116"/>
      <c r="J796" s="116"/>
      <c r="K796" s="219"/>
      <c r="L796" s="116"/>
      <c r="M796" s="31"/>
      <c r="N796" s="336"/>
      <c r="O796" s="336"/>
      <c r="P796" s="219"/>
      <c r="Q796" s="332"/>
      <c r="R796" s="219"/>
      <c r="S796" s="332"/>
      <c r="T796" s="219"/>
      <c r="U796" s="332"/>
      <c r="V796" s="332"/>
      <c r="W796" s="370"/>
      <c r="X796" s="370"/>
      <c r="Y796" s="370"/>
      <c r="Z796" s="370"/>
      <c r="AA796" s="370"/>
      <c r="AB796" s="370"/>
      <c r="AC796" s="370"/>
      <c r="AD796" s="370"/>
      <c r="AE796" s="370"/>
      <c r="AF796" s="370"/>
      <c r="AG796" s="370"/>
      <c r="AH796" s="370"/>
      <c r="AI796" s="370"/>
      <c r="AJ796" s="370"/>
      <c r="AL796" s="219"/>
      <c r="AM796" s="219"/>
      <c r="AN796" s="219"/>
      <c r="AO796" s="116"/>
      <c r="AP796" s="116"/>
      <c r="AU796" s="332"/>
      <c r="AV796" s="332"/>
      <c r="AW796" s="332"/>
      <c r="AX796" s="332"/>
      <c r="AY796" s="332"/>
      <c r="AZ796" s="332"/>
      <c r="BA796" s="332"/>
      <c r="BB796" s="31"/>
      <c r="BC796" s="31"/>
      <c r="BD796" s="31"/>
      <c r="BE796" s="31"/>
    </row>
    <row r="797" spans="1:57" ht="13">
      <c r="A797" s="153"/>
      <c r="F797" s="153"/>
      <c r="G797" s="116"/>
      <c r="H797" s="116"/>
      <c r="I797" s="116"/>
      <c r="J797" s="116"/>
      <c r="K797" s="219"/>
      <c r="L797" s="116"/>
      <c r="M797" s="31"/>
      <c r="N797" s="336"/>
      <c r="O797" s="336"/>
      <c r="P797" s="219"/>
      <c r="Q797" s="332"/>
      <c r="R797" s="219"/>
      <c r="S797" s="332"/>
      <c r="T797" s="219"/>
      <c r="U797" s="332"/>
      <c r="V797" s="332"/>
      <c r="W797" s="370"/>
      <c r="X797" s="370"/>
      <c r="Y797" s="370"/>
      <c r="Z797" s="370"/>
      <c r="AA797" s="370"/>
      <c r="AB797" s="370"/>
      <c r="AC797" s="370"/>
      <c r="AD797" s="370"/>
      <c r="AE797" s="370"/>
      <c r="AF797" s="370"/>
      <c r="AG797" s="370"/>
      <c r="AH797" s="370"/>
      <c r="AI797" s="370"/>
      <c r="AJ797" s="370"/>
      <c r="AL797" s="219"/>
      <c r="AM797" s="219"/>
      <c r="AN797" s="219"/>
      <c r="AO797" s="116"/>
      <c r="AP797" s="116"/>
      <c r="AU797" s="332"/>
      <c r="AV797" s="332"/>
      <c r="AW797" s="332"/>
      <c r="AX797" s="332"/>
      <c r="AY797" s="332"/>
      <c r="AZ797" s="332"/>
      <c r="BA797" s="332"/>
      <c r="BB797" s="31"/>
      <c r="BC797" s="31"/>
      <c r="BD797" s="31"/>
      <c r="BE797" s="31"/>
    </row>
    <row r="798" spans="1:57" ht="13">
      <c r="A798" s="153"/>
      <c r="F798" s="153"/>
      <c r="G798" s="116"/>
      <c r="H798" s="116"/>
      <c r="I798" s="116"/>
      <c r="J798" s="116"/>
      <c r="K798" s="219"/>
      <c r="L798" s="116"/>
      <c r="M798" s="31"/>
      <c r="N798" s="336"/>
      <c r="O798" s="336"/>
      <c r="P798" s="219"/>
      <c r="Q798" s="332"/>
      <c r="R798" s="219"/>
      <c r="S798" s="332"/>
      <c r="T798" s="219"/>
      <c r="U798" s="332"/>
      <c r="V798" s="332"/>
      <c r="W798" s="370"/>
      <c r="X798" s="370"/>
      <c r="Y798" s="370"/>
      <c r="Z798" s="370"/>
      <c r="AA798" s="370"/>
      <c r="AB798" s="370"/>
      <c r="AC798" s="370"/>
      <c r="AD798" s="370"/>
      <c r="AE798" s="370"/>
      <c r="AF798" s="370"/>
      <c r="AG798" s="370"/>
      <c r="AH798" s="370"/>
      <c r="AI798" s="370"/>
      <c r="AJ798" s="370"/>
      <c r="AL798" s="219"/>
      <c r="AM798" s="219"/>
      <c r="AN798" s="219"/>
      <c r="AO798" s="116"/>
      <c r="AP798" s="116"/>
      <c r="AU798" s="332"/>
      <c r="AV798" s="332"/>
      <c r="AW798" s="332"/>
      <c r="AX798" s="332"/>
      <c r="AY798" s="332"/>
      <c r="AZ798" s="332"/>
      <c r="BA798" s="332"/>
      <c r="BB798" s="31"/>
      <c r="BC798" s="31"/>
      <c r="BD798" s="31"/>
      <c r="BE798" s="31"/>
    </row>
    <row r="799" spans="1:57" ht="13">
      <c r="A799" s="153"/>
      <c r="F799" s="153"/>
      <c r="G799" s="116"/>
      <c r="H799" s="116"/>
      <c r="I799" s="116"/>
      <c r="J799" s="116"/>
      <c r="K799" s="219"/>
      <c r="L799" s="116"/>
      <c r="M799" s="31"/>
      <c r="N799" s="336"/>
      <c r="O799" s="336"/>
      <c r="P799" s="219"/>
      <c r="Q799" s="332"/>
      <c r="R799" s="219"/>
      <c r="S799" s="332"/>
      <c r="T799" s="219"/>
      <c r="U799" s="332"/>
      <c r="V799" s="332"/>
      <c r="W799" s="370"/>
      <c r="X799" s="370"/>
      <c r="Y799" s="370"/>
      <c r="Z799" s="370"/>
      <c r="AA799" s="370"/>
      <c r="AB799" s="370"/>
      <c r="AC799" s="370"/>
      <c r="AD799" s="370"/>
      <c r="AE799" s="370"/>
      <c r="AF799" s="370"/>
      <c r="AG799" s="370"/>
      <c r="AH799" s="370"/>
      <c r="AI799" s="370"/>
      <c r="AJ799" s="370"/>
      <c r="AL799" s="219"/>
      <c r="AM799" s="219"/>
      <c r="AN799" s="219"/>
      <c r="AO799" s="116"/>
      <c r="AP799" s="116"/>
      <c r="AU799" s="332"/>
      <c r="AV799" s="332"/>
      <c r="AW799" s="332"/>
      <c r="AX799" s="332"/>
      <c r="AY799" s="332"/>
      <c r="AZ799" s="332"/>
      <c r="BA799" s="332"/>
      <c r="BB799" s="31"/>
      <c r="BC799" s="31"/>
      <c r="BD799" s="31"/>
      <c r="BE799" s="31"/>
    </row>
    <row r="800" spans="1:57" ht="13">
      <c r="A800" s="153"/>
      <c r="F800" s="153"/>
      <c r="G800" s="116"/>
      <c r="H800" s="116"/>
      <c r="I800" s="116"/>
      <c r="J800" s="116"/>
      <c r="K800" s="219"/>
      <c r="L800" s="116"/>
      <c r="M800" s="31"/>
      <c r="N800" s="336"/>
      <c r="O800" s="336"/>
      <c r="P800" s="219"/>
      <c r="Q800" s="332"/>
      <c r="R800" s="219"/>
      <c r="S800" s="332"/>
      <c r="T800" s="219"/>
      <c r="U800" s="332"/>
      <c r="V800" s="332"/>
      <c r="W800" s="370"/>
      <c r="X800" s="370"/>
      <c r="Y800" s="370"/>
      <c r="Z800" s="370"/>
      <c r="AA800" s="370"/>
      <c r="AB800" s="370"/>
      <c r="AC800" s="370"/>
      <c r="AD800" s="370"/>
      <c r="AE800" s="370"/>
      <c r="AF800" s="370"/>
      <c r="AG800" s="370"/>
      <c r="AH800" s="370"/>
      <c r="AI800" s="370"/>
      <c r="AJ800" s="370"/>
      <c r="AL800" s="219"/>
      <c r="AM800" s="219"/>
      <c r="AN800" s="219"/>
      <c r="AO800" s="116"/>
      <c r="AP800" s="116"/>
      <c r="AU800" s="332"/>
      <c r="AV800" s="332"/>
      <c r="AW800" s="332"/>
      <c r="AX800" s="332"/>
      <c r="AY800" s="332"/>
      <c r="AZ800" s="332"/>
      <c r="BA800" s="332"/>
      <c r="BB800" s="31"/>
      <c r="BC800" s="31"/>
      <c r="BD800" s="31"/>
      <c r="BE800" s="31"/>
    </row>
    <row r="801" spans="1:57" ht="13">
      <c r="A801" s="153"/>
      <c r="F801" s="153"/>
      <c r="G801" s="116"/>
      <c r="H801" s="116"/>
      <c r="I801" s="116"/>
      <c r="J801" s="116"/>
      <c r="K801" s="219"/>
      <c r="L801" s="116"/>
      <c r="M801" s="31"/>
      <c r="N801" s="336"/>
      <c r="O801" s="336"/>
      <c r="P801" s="219"/>
      <c r="Q801" s="332"/>
      <c r="R801" s="219"/>
      <c r="S801" s="332"/>
      <c r="T801" s="219"/>
      <c r="U801" s="332"/>
      <c r="V801" s="332"/>
      <c r="W801" s="370"/>
      <c r="X801" s="370"/>
      <c r="Y801" s="370"/>
      <c r="Z801" s="370"/>
      <c r="AA801" s="370"/>
      <c r="AB801" s="370"/>
      <c r="AC801" s="370"/>
      <c r="AD801" s="370"/>
      <c r="AE801" s="370"/>
      <c r="AF801" s="370"/>
      <c r="AG801" s="370"/>
      <c r="AH801" s="370"/>
      <c r="AI801" s="370"/>
      <c r="AJ801" s="370"/>
      <c r="AL801" s="219"/>
      <c r="AM801" s="219"/>
      <c r="AN801" s="219"/>
      <c r="AO801" s="116"/>
      <c r="AP801" s="116"/>
      <c r="AU801" s="332"/>
      <c r="AV801" s="332"/>
      <c r="AW801" s="332"/>
      <c r="AX801" s="332"/>
      <c r="AY801" s="332"/>
      <c r="AZ801" s="332"/>
      <c r="BA801" s="332"/>
      <c r="BB801" s="31"/>
      <c r="BC801" s="31"/>
      <c r="BD801" s="31"/>
      <c r="BE801" s="31"/>
    </row>
    <row r="802" spans="1:57" ht="13">
      <c r="A802" s="153"/>
      <c r="F802" s="153"/>
      <c r="G802" s="116"/>
      <c r="H802" s="116"/>
      <c r="I802" s="116"/>
      <c r="J802" s="116"/>
      <c r="K802" s="219"/>
      <c r="L802" s="116"/>
      <c r="M802" s="31"/>
      <c r="N802" s="336"/>
      <c r="O802" s="336"/>
      <c r="P802" s="219"/>
      <c r="Q802" s="332"/>
      <c r="R802" s="219"/>
      <c r="S802" s="332"/>
      <c r="T802" s="219"/>
      <c r="U802" s="332"/>
      <c r="V802" s="332"/>
      <c r="W802" s="370"/>
      <c r="X802" s="370"/>
      <c r="Y802" s="370"/>
      <c r="Z802" s="370"/>
      <c r="AA802" s="370"/>
      <c r="AB802" s="370"/>
      <c r="AC802" s="370"/>
      <c r="AD802" s="370"/>
      <c r="AE802" s="370"/>
      <c r="AF802" s="370"/>
      <c r="AG802" s="370"/>
      <c r="AH802" s="370"/>
      <c r="AI802" s="370"/>
      <c r="AJ802" s="370"/>
      <c r="AL802" s="219"/>
      <c r="AM802" s="219"/>
      <c r="AN802" s="219"/>
      <c r="AO802" s="116"/>
      <c r="AP802" s="116"/>
      <c r="AU802" s="332"/>
      <c r="AV802" s="332"/>
      <c r="AW802" s="332"/>
      <c r="AX802" s="332"/>
      <c r="AY802" s="332"/>
      <c r="AZ802" s="332"/>
      <c r="BA802" s="332"/>
      <c r="BB802" s="31"/>
      <c r="BC802" s="31"/>
      <c r="BD802" s="31"/>
      <c r="BE802" s="31"/>
    </row>
    <row r="803" spans="1:57" ht="13">
      <c r="A803" s="153"/>
      <c r="F803" s="153"/>
      <c r="G803" s="116"/>
      <c r="H803" s="116"/>
      <c r="I803" s="116"/>
      <c r="J803" s="116"/>
      <c r="K803" s="219"/>
      <c r="L803" s="116"/>
      <c r="M803" s="31"/>
      <c r="N803" s="336"/>
      <c r="O803" s="336"/>
      <c r="P803" s="219"/>
      <c r="Q803" s="332"/>
      <c r="R803" s="219"/>
      <c r="S803" s="332"/>
      <c r="T803" s="219"/>
      <c r="U803" s="332"/>
      <c r="V803" s="332"/>
      <c r="W803" s="370"/>
      <c r="X803" s="370"/>
      <c r="Y803" s="370"/>
      <c r="Z803" s="370"/>
      <c r="AA803" s="370"/>
      <c r="AB803" s="370"/>
      <c r="AC803" s="370"/>
      <c r="AD803" s="370"/>
      <c r="AE803" s="370"/>
      <c r="AF803" s="370"/>
      <c r="AG803" s="370"/>
      <c r="AH803" s="370"/>
      <c r="AI803" s="370"/>
      <c r="AJ803" s="370"/>
      <c r="AL803" s="219"/>
      <c r="AM803" s="219"/>
      <c r="AN803" s="219"/>
      <c r="AO803" s="116"/>
      <c r="AP803" s="116"/>
      <c r="AU803" s="332"/>
      <c r="AV803" s="332"/>
      <c r="AW803" s="332"/>
      <c r="AX803" s="332"/>
      <c r="AY803" s="332"/>
      <c r="AZ803" s="332"/>
      <c r="BA803" s="332"/>
      <c r="BB803" s="31"/>
      <c r="BC803" s="31"/>
      <c r="BD803" s="31"/>
      <c r="BE803" s="31"/>
    </row>
    <row r="804" spans="1:57" ht="13">
      <c r="A804" s="153"/>
      <c r="F804" s="153"/>
      <c r="G804" s="116"/>
      <c r="H804" s="116"/>
      <c r="I804" s="116"/>
      <c r="J804" s="116"/>
      <c r="K804" s="219"/>
      <c r="L804" s="116"/>
      <c r="M804" s="31"/>
      <c r="N804" s="336"/>
      <c r="O804" s="336"/>
      <c r="P804" s="219"/>
      <c r="Q804" s="332"/>
      <c r="R804" s="219"/>
      <c r="S804" s="332"/>
      <c r="T804" s="219"/>
      <c r="U804" s="332"/>
      <c r="V804" s="332"/>
      <c r="W804" s="370"/>
      <c r="X804" s="370"/>
      <c r="Y804" s="370"/>
      <c r="Z804" s="370"/>
      <c r="AA804" s="370"/>
      <c r="AB804" s="370"/>
      <c r="AC804" s="370"/>
      <c r="AD804" s="370"/>
      <c r="AE804" s="370"/>
      <c r="AF804" s="370"/>
      <c r="AG804" s="370"/>
      <c r="AH804" s="370"/>
      <c r="AI804" s="370"/>
      <c r="AJ804" s="370"/>
      <c r="AL804" s="219"/>
      <c r="AM804" s="219"/>
      <c r="AN804" s="219"/>
      <c r="AO804" s="116"/>
      <c r="AP804" s="116"/>
      <c r="AU804" s="332"/>
      <c r="AV804" s="332"/>
      <c r="AW804" s="332"/>
      <c r="AX804" s="332"/>
      <c r="AY804" s="332"/>
      <c r="AZ804" s="332"/>
      <c r="BA804" s="332"/>
      <c r="BB804" s="31"/>
      <c r="BC804" s="31"/>
      <c r="BD804" s="31"/>
      <c r="BE804" s="31"/>
    </row>
    <row r="805" spans="1:57" ht="13">
      <c r="A805" s="153"/>
      <c r="F805" s="153"/>
      <c r="G805" s="116"/>
      <c r="H805" s="116"/>
      <c r="I805" s="116"/>
      <c r="J805" s="116"/>
      <c r="K805" s="219"/>
      <c r="L805" s="116"/>
      <c r="M805" s="31"/>
      <c r="N805" s="336"/>
      <c r="O805" s="336"/>
      <c r="P805" s="219"/>
      <c r="Q805" s="332"/>
      <c r="R805" s="219"/>
      <c r="S805" s="332"/>
      <c r="T805" s="219"/>
      <c r="U805" s="332"/>
      <c r="V805" s="332"/>
      <c r="W805" s="370"/>
      <c r="X805" s="370"/>
      <c r="Y805" s="370"/>
      <c r="Z805" s="370"/>
      <c r="AA805" s="370"/>
      <c r="AB805" s="370"/>
      <c r="AC805" s="370"/>
      <c r="AD805" s="370"/>
      <c r="AE805" s="370"/>
      <c r="AF805" s="370"/>
      <c r="AG805" s="370"/>
      <c r="AH805" s="370"/>
      <c r="AI805" s="370"/>
      <c r="AJ805" s="370"/>
      <c r="AL805" s="219"/>
      <c r="AM805" s="219"/>
      <c r="AN805" s="219"/>
      <c r="AO805" s="116"/>
      <c r="AP805" s="116"/>
      <c r="AU805" s="332"/>
      <c r="AV805" s="332"/>
      <c r="AW805" s="332"/>
      <c r="AX805" s="332"/>
      <c r="AY805" s="332"/>
      <c r="AZ805" s="332"/>
      <c r="BA805" s="332"/>
      <c r="BB805" s="31"/>
      <c r="BC805" s="31"/>
      <c r="BD805" s="31"/>
      <c r="BE805" s="31"/>
    </row>
    <row r="806" spans="1:57" ht="13">
      <c r="A806" s="153"/>
      <c r="F806" s="153"/>
      <c r="G806" s="116"/>
      <c r="H806" s="116"/>
      <c r="I806" s="116"/>
      <c r="J806" s="116"/>
      <c r="K806" s="219"/>
      <c r="L806" s="116"/>
      <c r="M806" s="31"/>
      <c r="N806" s="336"/>
      <c r="O806" s="336"/>
      <c r="P806" s="219"/>
      <c r="Q806" s="332"/>
      <c r="R806" s="219"/>
      <c r="S806" s="332"/>
      <c r="T806" s="219"/>
      <c r="U806" s="332"/>
      <c r="V806" s="332"/>
      <c r="W806" s="370"/>
      <c r="X806" s="370"/>
      <c r="Y806" s="370"/>
      <c r="Z806" s="370"/>
      <c r="AA806" s="370"/>
      <c r="AB806" s="370"/>
      <c r="AC806" s="370"/>
      <c r="AD806" s="370"/>
      <c r="AE806" s="370"/>
      <c r="AF806" s="370"/>
      <c r="AG806" s="370"/>
      <c r="AH806" s="370"/>
      <c r="AI806" s="370"/>
      <c r="AJ806" s="370"/>
      <c r="AL806" s="219"/>
      <c r="AM806" s="219"/>
      <c r="AN806" s="219"/>
      <c r="AO806" s="116"/>
      <c r="AP806" s="116"/>
      <c r="AU806" s="332"/>
      <c r="AV806" s="332"/>
      <c r="AW806" s="332"/>
      <c r="AX806" s="332"/>
      <c r="AY806" s="332"/>
      <c r="AZ806" s="332"/>
      <c r="BA806" s="332"/>
      <c r="BB806" s="31"/>
      <c r="BC806" s="31"/>
      <c r="BD806" s="31"/>
      <c r="BE806" s="31"/>
    </row>
    <row r="807" spans="1:57" ht="13">
      <c r="A807" s="153"/>
      <c r="F807" s="153"/>
      <c r="G807" s="116"/>
      <c r="H807" s="116"/>
      <c r="I807" s="116"/>
      <c r="J807" s="116"/>
      <c r="K807" s="219"/>
      <c r="L807" s="116"/>
      <c r="M807" s="31"/>
      <c r="N807" s="336"/>
      <c r="O807" s="336"/>
      <c r="P807" s="219"/>
      <c r="Q807" s="332"/>
      <c r="R807" s="219"/>
      <c r="S807" s="332"/>
      <c r="T807" s="219"/>
      <c r="U807" s="332"/>
      <c r="V807" s="332"/>
      <c r="W807" s="370"/>
      <c r="X807" s="370"/>
      <c r="Y807" s="370"/>
      <c r="Z807" s="370"/>
      <c r="AA807" s="370"/>
      <c r="AB807" s="370"/>
      <c r="AC807" s="370"/>
      <c r="AD807" s="370"/>
      <c r="AE807" s="370"/>
      <c r="AF807" s="370"/>
      <c r="AG807" s="370"/>
      <c r="AH807" s="370"/>
      <c r="AI807" s="370"/>
      <c r="AJ807" s="370"/>
      <c r="AL807" s="219"/>
      <c r="AM807" s="219"/>
      <c r="AN807" s="219"/>
      <c r="AO807" s="116"/>
      <c r="AP807" s="116"/>
      <c r="AU807" s="332"/>
      <c r="AV807" s="332"/>
      <c r="AW807" s="332"/>
      <c r="AX807" s="332"/>
      <c r="AY807" s="332"/>
      <c r="AZ807" s="332"/>
      <c r="BA807" s="332"/>
      <c r="BB807" s="31"/>
      <c r="BC807" s="31"/>
      <c r="BD807" s="31"/>
      <c r="BE807" s="31"/>
    </row>
    <row r="808" spans="1:57" ht="13">
      <c r="A808" s="153"/>
      <c r="F808" s="153"/>
      <c r="G808" s="116"/>
      <c r="H808" s="116"/>
      <c r="I808" s="116"/>
      <c r="J808" s="116"/>
      <c r="K808" s="219"/>
      <c r="L808" s="116"/>
      <c r="M808" s="31"/>
      <c r="N808" s="336"/>
      <c r="O808" s="336"/>
      <c r="P808" s="219"/>
      <c r="Q808" s="332"/>
      <c r="R808" s="219"/>
      <c r="S808" s="332"/>
      <c r="T808" s="219"/>
      <c r="U808" s="332"/>
      <c r="V808" s="332"/>
      <c r="W808" s="370"/>
      <c r="X808" s="370"/>
      <c r="Y808" s="370"/>
      <c r="Z808" s="370"/>
      <c r="AA808" s="370"/>
      <c r="AB808" s="370"/>
      <c r="AC808" s="370"/>
      <c r="AD808" s="370"/>
      <c r="AE808" s="370"/>
      <c r="AF808" s="370"/>
      <c r="AG808" s="370"/>
      <c r="AH808" s="370"/>
      <c r="AI808" s="370"/>
      <c r="AJ808" s="370"/>
      <c r="AL808" s="219"/>
      <c r="AM808" s="219"/>
      <c r="AN808" s="219"/>
      <c r="AO808" s="116"/>
      <c r="AP808" s="116"/>
      <c r="AU808" s="332"/>
      <c r="AV808" s="332"/>
      <c r="AW808" s="332"/>
      <c r="AX808" s="332"/>
      <c r="AY808" s="332"/>
      <c r="AZ808" s="332"/>
      <c r="BA808" s="332"/>
      <c r="BB808" s="31"/>
      <c r="BC808" s="31"/>
      <c r="BD808" s="31"/>
      <c r="BE808" s="31"/>
    </row>
    <row r="809" spans="1:57" ht="13">
      <c r="A809" s="153"/>
      <c r="F809" s="153"/>
      <c r="G809" s="116"/>
      <c r="H809" s="116"/>
      <c r="I809" s="116"/>
      <c r="J809" s="116"/>
      <c r="K809" s="219"/>
      <c r="L809" s="116"/>
      <c r="M809" s="31"/>
      <c r="N809" s="336"/>
      <c r="O809" s="336"/>
      <c r="P809" s="219"/>
      <c r="Q809" s="332"/>
      <c r="R809" s="219"/>
      <c r="S809" s="332"/>
      <c r="T809" s="219"/>
      <c r="U809" s="332"/>
      <c r="V809" s="332"/>
      <c r="W809" s="370"/>
      <c r="X809" s="370"/>
      <c r="Y809" s="370"/>
      <c r="Z809" s="370"/>
      <c r="AA809" s="370"/>
      <c r="AB809" s="370"/>
      <c r="AC809" s="370"/>
      <c r="AD809" s="370"/>
      <c r="AE809" s="370"/>
      <c r="AF809" s="370"/>
      <c r="AG809" s="370"/>
      <c r="AH809" s="370"/>
      <c r="AI809" s="370"/>
      <c r="AJ809" s="370"/>
      <c r="AL809" s="219"/>
      <c r="AM809" s="219"/>
      <c r="AN809" s="219"/>
      <c r="AO809" s="116"/>
      <c r="AP809" s="116"/>
      <c r="AU809" s="332"/>
      <c r="AV809" s="332"/>
      <c r="AW809" s="332"/>
      <c r="AX809" s="332"/>
      <c r="AY809" s="332"/>
      <c r="AZ809" s="332"/>
      <c r="BA809" s="332"/>
      <c r="BB809" s="31"/>
      <c r="BC809" s="31"/>
      <c r="BD809" s="31"/>
      <c r="BE809" s="31"/>
    </row>
    <row r="810" spans="1:57" ht="13">
      <c r="A810" s="153"/>
      <c r="F810" s="153"/>
      <c r="G810" s="116"/>
      <c r="H810" s="116"/>
      <c r="I810" s="116"/>
      <c r="J810" s="116"/>
      <c r="K810" s="219"/>
      <c r="L810" s="116"/>
      <c r="M810" s="31"/>
      <c r="N810" s="336"/>
      <c r="O810" s="336"/>
      <c r="P810" s="219"/>
      <c r="Q810" s="332"/>
      <c r="R810" s="219"/>
      <c r="S810" s="332"/>
      <c r="T810" s="219"/>
      <c r="U810" s="332"/>
      <c r="V810" s="332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  <c r="AH810" s="370"/>
      <c r="AI810" s="370"/>
      <c r="AJ810" s="370"/>
      <c r="AL810" s="219"/>
      <c r="AM810" s="219"/>
      <c r="AN810" s="219"/>
      <c r="AO810" s="116"/>
      <c r="AP810" s="116"/>
      <c r="AU810" s="332"/>
      <c r="AV810" s="332"/>
      <c r="AW810" s="332"/>
      <c r="AX810" s="332"/>
      <c r="AY810" s="332"/>
      <c r="AZ810" s="332"/>
      <c r="BA810" s="332"/>
      <c r="BB810" s="31"/>
      <c r="BC810" s="31"/>
      <c r="BD810" s="31"/>
      <c r="BE810" s="31"/>
    </row>
    <row r="811" spans="1:57" ht="13">
      <c r="A811" s="153"/>
      <c r="F811" s="153"/>
      <c r="G811" s="116"/>
      <c r="H811" s="116"/>
      <c r="I811" s="116"/>
      <c r="J811" s="116"/>
      <c r="K811" s="219"/>
      <c r="L811" s="116"/>
      <c r="M811" s="31"/>
      <c r="N811" s="336"/>
      <c r="O811" s="336"/>
      <c r="P811" s="219"/>
      <c r="Q811" s="332"/>
      <c r="R811" s="219"/>
      <c r="S811" s="332"/>
      <c r="T811" s="219"/>
      <c r="U811" s="332"/>
      <c r="V811" s="332"/>
      <c r="W811" s="370"/>
      <c r="X811" s="370"/>
      <c r="Y811" s="370"/>
      <c r="Z811" s="370"/>
      <c r="AA811" s="370"/>
      <c r="AB811" s="370"/>
      <c r="AC811" s="370"/>
      <c r="AD811" s="370"/>
      <c r="AE811" s="370"/>
      <c r="AF811" s="370"/>
      <c r="AG811" s="370"/>
      <c r="AH811" s="370"/>
      <c r="AI811" s="370"/>
      <c r="AJ811" s="370"/>
      <c r="AL811" s="219"/>
      <c r="AM811" s="219"/>
      <c r="AN811" s="219"/>
      <c r="AO811" s="116"/>
      <c r="AP811" s="116"/>
      <c r="AU811" s="332"/>
      <c r="AV811" s="332"/>
      <c r="AW811" s="332"/>
      <c r="AX811" s="332"/>
      <c r="AY811" s="332"/>
      <c r="AZ811" s="332"/>
      <c r="BA811" s="332"/>
      <c r="BB811" s="31"/>
      <c r="BC811" s="31"/>
      <c r="BD811" s="31"/>
      <c r="BE811" s="31"/>
    </row>
    <row r="812" spans="1:57" ht="13">
      <c r="A812" s="153"/>
      <c r="F812" s="153"/>
      <c r="G812" s="116"/>
      <c r="H812" s="116"/>
      <c r="I812" s="116"/>
      <c r="J812" s="116"/>
      <c r="K812" s="219"/>
      <c r="L812" s="116"/>
      <c r="M812" s="31"/>
      <c r="N812" s="336"/>
      <c r="O812" s="336"/>
      <c r="P812" s="219"/>
      <c r="Q812" s="332"/>
      <c r="R812" s="219"/>
      <c r="S812" s="332"/>
      <c r="T812" s="219"/>
      <c r="U812" s="332"/>
      <c r="V812" s="332"/>
      <c r="W812" s="370"/>
      <c r="X812" s="370"/>
      <c r="Y812" s="370"/>
      <c r="Z812" s="370"/>
      <c r="AA812" s="370"/>
      <c r="AB812" s="370"/>
      <c r="AC812" s="370"/>
      <c r="AD812" s="370"/>
      <c r="AE812" s="370"/>
      <c r="AF812" s="370"/>
      <c r="AG812" s="370"/>
      <c r="AH812" s="370"/>
      <c r="AI812" s="370"/>
      <c r="AJ812" s="370"/>
      <c r="AL812" s="219"/>
      <c r="AM812" s="219"/>
      <c r="AN812" s="219"/>
      <c r="AO812" s="116"/>
      <c r="AP812" s="116"/>
      <c r="AU812" s="332"/>
      <c r="AV812" s="332"/>
      <c r="AW812" s="332"/>
      <c r="AX812" s="332"/>
      <c r="AY812" s="332"/>
      <c r="AZ812" s="332"/>
      <c r="BA812" s="332"/>
      <c r="BB812" s="31"/>
      <c r="BC812" s="31"/>
      <c r="BD812" s="31"/>
      <c r="BE812" s="31"/>
    </row>
    <row r="813" spans="1:57" ht="13">
      <c r="A813" s="153"/>
      <c r="F813" s="153"/>
      <c r="G813" s="116"/>
      <c r="H813" s="116"/>
      <c r="I813" s="116"/>
      <c r="J813" s="116"/>
      <c r="K813" s="219"/>
      <c r="L813" s="116"/>
      <c r="M813" s="31"/>
      <c r="N813" s="336"/>
      <c r="O813" s="336"/>
      <c r="P813" s="219"/>
      <c r="Q813" s="332"/>
      <c r="R813" s="219"/>
      <c r="S813" s="332"/>
      <c r="T813" s="219"/>
      <c r="U813" s="332"/>
      <c r="V813" s="332"/>
      <c r="W813" s="370"/>
      <c r="X813" s="370"/>
      <c r="Y813" s="370"/>
      <c r="Z813" s="370"/>
      <c r="AA813" s="370"/>
      <c r="AB813" s="370"/>
      <c r="AC813" s="370"/>
      <c r="AD813" s="370"/>
      <c r="AE813" s="370"/>
      <c r="AF813" s="370"/>
      <c r="AG813" s="370"/>
      <c r="AH813" s="370"/>
      <c r="AI813" s="370"/>
      <c r="AJ813" s="370"/>
      <c r="AL813" s="219"/>
      <c r="AM813" s="219"/>
      <c r="AN813" s="219"/>
      <c r="AO813" s="116"/>
      <c r="AP813" s="116"/>
      <c r="AU813" s="332"/>
      <c r="AV813" s="332"/>
      <c r="AW813" s="332"/>
      <c r="AX813" s="332"/>
      <c r="AY813" s="332"/>
      <c r="AZ813" s="332"/>
      <c r="BA813" s="332"/>
      <c r="BB813" s="31"/>
      <c r="BC813" s="31"/>
      <c r="BD813" s="31"/>
      <c r="BE813" s="31"/>
    </row>
    <row r="814" spans="1:57" ht="13">
      <c r="A814" s="153"/>
      <c r="F814" s="153"/>
      <c r="G814" s="116"/>
      <c r="H814" s="116"/>
      <c r="I814" s="116"/>
      <c r="J814" s="116"/>
      <c r="K814" s="219"/>
      <c r="L814" s="116"/>
      <c r="M814" s="31"/>
      <c r="N814" s="336"/>
      <c r="O814" s="336"/>
      <c r="P814" s="219"/>
      <c r="Q814" s="332"/>
      <c r="R814" s="219"/>
      <c r="S814" s="332"/>
      <c r="T814" s="219"/>
      <c r="U814" s="332"/>
      <c r="V814" s="332"/>
      <c r="W814" s="370"/>
      <c r="X814" s="370"/>
      <c r="Y814" s="370"/>
      <c r="Z814" s="370"/>
      <c r="AA814" s="370"/>
      <c r="AB814" s="370"/>
      <c r="AC814" s="370"/>
      <c r="AD814" s="370"/>
      <c r="AE814" s="370"/>
      <c r="AF814" s="370"/>
      <c r="AG814" s="370"/>
      <c r="AH814" s="370"/>
      <c r="AI814" s="370"/>
      <c r="AJ814" s="370"/>
      <c r="AL814" s="219"/>
      <c r="AM814" s="219"/>
      <c r="AN814" s="219"/>
      <c r="AO814" s="116"/>
      <c r="AP814" s="116"/>
      <c r="AU814" s="332"/>
      <c r="AV814" s="332"/>
      <c r="AW814" s="332"/>
      <c r="AX814" s="332"/>
      <c r="AY814" s="332"/>
      <c r="AZ814" s="332"/>
      <c r="BA814" s="332"/>
      <c r="BB814" s="31"/>
      <c r="BC814" s="31"/>
      <c r="BD814" s="31"/>
      <c r="BE814" s="31"/>
    </row>
    <row r="815" spans="1:57" ht="13">
      <c r="A815" s="153"/>
      <c r="F815" s="153"/>
      <c r="G815" s="116"/>
      <c r="H815" s="116"/>
      <c r="I815" s="116"/>
      <c r="J815" s="116"/>
      <c r="K815" s="219"/>
      <c r="L815" s="116"/>
      <c r="M815" s="31"/>
      <c r="N815" s="336"/>
      <c r="O815" s="336"/>
      <c r="P815" s="219"/>
      <c r="Q815" s="332"/>
      <c r="R815" s="219"/>
      <c r="S815" s="332"/>
      <c r="T815" s="219"/>
      <c r="U815" s="332"/>
      <c r="V815" s="332"/>
      <c r="W815" s="370"/>
      <c r="X815" s="370"/>
      <c r="Y815" s="370"/>
      <c r="Z815" s="370"/>
      <c r="AA815" s="370"/>
      <c r="AB815" s="370"/>
      <c r="AC815" s="370"/>
      <c r="AD815" s="370"/>
      <c r="AE815" s="370"/>
      <c r="AF815" s="370"/>
      <c r="AG815" s="370"/>
      <c r="AH815" s="370"/>
      <c r="AI815" s="370"/>
      <c r="AJ815" s="370"/>
      <c r="AL815" s="219"/>
      <c r="AM815" s="219"/>
      <c r="AN815" s="219"/>
      <c r="AO815" s="116"/>
      <c r="AP815" s="116"/>
      <c r="AU815" s="332"/>
      <c r="AV815" s="332"/>
      <c r="AW815" s="332"/>
      <c r="AX815" s="332"/>
      <c r="AY815" s="332"/>
      <c r="AZ815" s="332"/>
      <c r="BA815" s="332"/>
      <c r="BB815" s="31"/>
      <c r="BC815" s="31"/>
      <c r="BD815" s="31"/>
      <c r="BE815" s="31"/>
    </row>
    <row r="816" spans="1:57" ht="13">
      <c r="A816" s="153"/>
      <c r="F816" s="153"/>
      <c r="G816" s="116"/>
      <c r="H816" s="116"/>
      <c r="I816" s="116"/>
      <c r="J816" s="116"/>
      <c r="K816" s="219"/>
      <c r="L816" s="116"/>
      <c r="M816" s="31"/>
      <c r="N816" s="336"/>
      <c r="O816" s="336"/>
      <c r="P816" s="219"/>
      <c r="Q816" s="332"/>
      <c r="R816" s="219"/>
      <c r="S816" s="332"/>
      <c r="T816" s="219"/>
      <c r="U816" s="332"/>
      <c r="V816" s="332"/>
      <c r="W816" s="370"/>
      <c r="X816" s="370"/>
      <c r="Y816" s="370"/>
      <c r="Z816" s="370"/>
      <c r="AA816" s="370"/>
      <c r="AB816" s="370"/>
      <c r="AC816" s="370"/>
      <c r="AD816" s="370"/>
      <c r="AE816" s="370"/>
      <c r="AF816" s="370"/>
      <c r="AG816" s="370"/>
      <c r="AH816" s="370"/>
      <c r="AI816" s="370"/>
      <c r="AJ816" s="370"/>
      <c r="AL816" s="219"/>
      <c r="AM816" s="219"/>
      <c r="AN816" s="219"/>
      <c r="AO816" s="116"/>
      <c r="AP816" s="116"/>
      <c r="AU816" s="332"/>
      <c r="AV816" s="332"/>
      <c r="AW816" s="332"/>
      <c r="AX816" s="332"/>
      <c r="AY816" s="332"/>
      <c r="AZ816" s="332"/>
      <c r="BA816" s="332"/>
      <c r="BB816" s="31"/>
      <c r="BC816" s="31"/>
      <c r="BD816" s="31"/>
      <c r="BE816" s="31"/>
    </row>
    <row r="817" spans="1:57" ht="13">
      <c r="A817" s="153"/>
      <c r="F817" s="153"/>
      <c r="G817" s="116"/>
      <c r="H817" s="116"/>
      <c r="I817" s="116"/>
      <c r="J817" s="116"/>
      <c r="K817" s="219"/>
      <c r="L817" s="116"/>
      <c r="M817" s="31"/>
      <c r="N817" s="336"/>
      <c r="O817" s="336"/>
      <c r="P817" s="219"/>
      <c r="Q817" s="332"/>
      <c r="R817" s="219"/>
      <c r="S817" s="332"/>
      <c r="T817" s="219"/>
      <c r="U817" s="332"/>
      <c r="V817" s="332"/>
      <c r="W817" s="370"/>
      <c r="X817" s="370"/>
      <c r="Y817" s="370"/>
      <c r="Z817" s="370"/>
      <c r="AA817" s="370"/>
      <c r="AB817" s="370"/>
      <c r="AC817" s="370"/>
      <c r="AD817" s="370"/>
      <c r="AE817" s="370"/>
      <c r="AF817" s="370"/>
      <c r="AG817" s="370"/>
      <c r="AH817" s="370"/>
      <c r="AI817" s="370"/>
      <c r="AJ817" s="370"/>
      <c r="AL817" s="219"/>
      <c r="AM817" s="219"/>
      <c r="AN817" s="219"/>
      <c r="AO817" s="116"/>
      <c r="AP817" s="116"/>
      <c r="AU817" s="332"/>
      <c r="AV817" s="332"/>
      <c r="AW817" s="332"/>
      <c r="AX817" s="332"/>
      <c r="AY817" s="332"/>
      <c r="AZ817" s="332"/>
      <c r="BA817" s="332"/>
      <c r="BB817" s="31"/>
      <c r="BC817" s="31"/>
      <c r="BD817" s="31"/>
      <c r="BE817" s="31"/>
    </row>
    <row r="818" spans="1:57" ht="13">
      <c r="A818" s="153"/>
      <c r="F818" s="153"/>
      <c r="G818" s="116"/>
      <c r="H818" s="116"/>
      <c r="I818" s="116"/>
      <c r="J818" s="116"/>
      <c r="K818" s="219"/>
      <c r="L818" s="116"/>
      <c r="M818" s="31"/>
      <c r="N818" s="336"/>
      <c r="O818" s="336"/>
      <c r="P818" s="219"/>
      <c r="Q818" s="332"/>
      <c r="R818" s="219"/>
      <c r="S818" s="332"/>
      <c r="T818" s="219"/>
      <c r="U818" s="332"/>
      <c r="V818" s="332"/>
      <c r="W818" s="370"/>
      <c r="X818" s="370"/>
      <c r="Y818" s="370"/>
      <c r="Z818" s="370"/>
      <c r="AA818" s="370"/>
      <c r="AB818" s="370"/>
      <c r="AC818" s="370"/>
      <c r="AD818" s="370"/>
      <c r="AE818" s="370"/>
      <c r="AF818" s="370"/>
      <c r="AG818" s="370"/>
      <c r="AH818" s="370"/>
      <c r="AI818" s="370"/>
      <c r="AJ818" s="370"/>
      <c r="AL818" s="219"/>
      <c r="AM818" s="219"/>
      <c r="AN818" s="219"/>
      <c r="AO818" s="116"/>
      <c r="AP818" s="116"/>
      <c r="AU818" s="332"/>
      <c r="AV818" s="332"/>
      <c r="AW818" s="332"/>
      <c r="AX818" s="332"/>
      <c r="AY818" s="332"/>
      <c r="AZ818" s="332"/>
      <c r="BA818" s="332"/>
      <c r="BB818" s="31"/>
      <c r="BC818" s="31"/>
      <c r="BD818" s="31"/>
      <c r="BE818" s="31"/>
    </row>
    <row r="819" spans="1:57" ht="13">
      <c r="A819" s="153"/>
      <c r="F819" s="153"/>
      <c r="G819" s="116"/>
      <c r="H819" s="116"/>
      <c r="I819" s="116"/>
      <c r="J819" s="116"/>
      <c r="K819" s="219"/>
      <c r="L819" s="116"/>
      <c r="M819" s="31"/>
      <c r="N819" s="336"/>
      <c r="O819" s="336"/>
      <c r="P819" s="219"/>
      <c r="Q819" s="332"/>
      <c r="R819" s="219"/>
      <c r="S819" s="332"/>
      <c r="T819" s="219"/>
      <c r="U819" s="332"/>
      <c r="V819" s="332"/>
      <c r="W819" s="370"/>
      <c r="X819" s="370"/>
      <c r="Y819" s="370"/>
      <c r="Z819" s="370"/>
      <c r="AA819" s="370"/>
      <c r="AB819" s="370"/>
      <c r="AC819" s="370"/>
      <c r="AD819" s="370"/>
      <c r="AE819" s="370"/>
      <c r="AF819" s="370"/>
      <c r="AG819" s="370"/>
      <c r="AH819" s="370"/>
      <c r="AI819" s="370"/>
      <c r="AJ819" s="370"/>
      <c r="AL819" s="219"/>
      <c r="AM819" s="219"/>
      <c r="AN819" s="219"/>
      <c r="AO819" s="116"/>
      <c r="AP819" s="116"/>
      <c r="AU819" s="332"/>
      <c r="AV819" s="332"/>
      <c r="AW819" s="332"/>
      <c r="AX819" s="332"/>
      <c r="AY819" s="332"/>
      <c r="AZ819" s="332"/>
      <c r="BA819" s="332"/>
      <c r="BB819" s="31"/>
      <c r="BC819" s="31"/>
      <c r="BD819" s="31"/>
      <c r="BE819" s="31"/>
    </row>
    <row r="820" spans="1:57" ht="13">
      <c r="A820" s="153"/>
      <c r="F820" s="153"/>
      <c r="G820" s="116"/>
      <c r="H820" s="116"/>
      <c r="I820" s="116"/>
      <c r="J820" s="116"/>
      <c r="K820" s="219"/>
      <c r="L820" s="116"/>
      <c r="M820" s="31"/>
      <c r="N820" s="336"/>
      <c r="O820" s="336"/>
      <c r="P820" s="219"/>
      <c r="Q820" s="332"/>
      <c r="R820" s="219"/>
      <c r="S820" s="332"/>
      <c r="T820" s="219"/>
      <c r="U820" s="332"/>
      <c r="V820" s="332"/>
      <c r="W820" s="370"/>
      <c r="X820" s="370"/>
      <c r="Y820" s="370"/>
      <c r="Z820" s="370"/>
      <c r="AA820" s="370"/>
      <c r="AB820" s="370"/>
      <c r="AC820" s="370"/>
      <c r="AD820" s="370"/>
      <c r="AE820" s="370"/>
      <c r="AF820" s="370"/>
      <c r="AG820" s="370"/>
      <c r="AH820" s="370"/>
      <c r="AI820" s="370"/>
      <c r="AJ820" s="370"/>
      <c r="AL820" s="219"/>
      <c r="AM820" s="219"/>
      <c r="AN820" s="219"/>
      <c r="AO820" s="116"/>
      <c r="AP820" s="116"/>
      <c r="AU820" s="332"/>
      <c r="AV820" s="332"/>
      <c r="AW820" s="332"/>
      <c r="AX820" s="332"/>
      <c r="AY820" s="332"/>
      <c r="AZ820" s="332"/>
      <c r="BA820" s="332"/>
      <c r="BB820" s="31"/>
      <c r="BC820" s="31"/>
      <c r="BD820" s="31"/>
      <c r="BE820" s="31"/>
    </row>
    <row r="821" spans="1:57" ht="13">
      <c r="A821" s="153"/>
      <c r="F821" s="153"/>
      <c r="G821" s="116"/>
      <c r="H821" s="116"/>
      <c r="I821" s="116"/>
      <c r="J821" s="116"/>
      <c r="K821" s="219"/>
      <c r="L821" s="116"/>
      <c r="M821" s="31"/>
      <c r="N821" s="336"/>
      <c r="O821" s="336"/>
      <c r="P821" s="219"/>
      <c r="Q821" s="332"/>
      <c r="R821" s="219"/>
      <c r="S821" s="332"/>
      <c r="T821" s="219"/>
      <c r="U821" s="332"/>
      <c r="V821" s="332"/>
      <c r="W821" s="370"/>
      <c r="X821" s="370"/>
      <c r="Y821" s="370"/>
      <c r="Z821" s="370"/>
      <c r="AA821" s="370"/>
      <c r="AB821" s="370"/>
      <c r="AC821" s="370"/>
      <c r="AD821" s="370"/>
      <c r="AE821" s="370"/>
      <c r="AF821" s="370"/>
      <c r="AG821" s="370"/>
      <c r="AH821" s="370"/>
      <c r="AI821" s="370"/>
      <c r="AJ821" s="370"/>
      <c r="AL821" s="219"/>
      <c r="AM821" s="219"/>
      <c r="AN821" s="219"/>
      <c r="AO821" s="116"/>
      <c r="AP821" s="116"/>
      <c r="AU821" s="332"/>
      <c r="AV821" s="332"/>
      <c r="AW821" s="332"/>
      <c r="AX821" s="332"/>
      <c r="AY821" s="332"/>
      <c r="AZ821" s="332"/>
      <c r="BA821" s="332"/>
      <c r="BB821" s="31"/>
      <c r="BC821" s="31"/>
      <c r="BD821" s="31"/>
      <c r="BE821" s="31"/>
    </row>
    <row r="822" spans="1:57" ht="13">
      <c r="A822" s="153"/>
      <c r="F822" s="153"/>
      <c r="G822" s="116"/>
      <c r="H822" s="116"/>
      <c r="I822" s="116"/>
      <c r="J822" s="116"/>
      <c r="K822" s="219"/>
      <c r="L822" s="116"/>
      <c r="M822" s="31"/>
      <c r="N822" s="336"/>
      <c r="O822" s="336"/>
      <c r="P822" s="219"/>
      <c r="Q822" s="332"/>
      <c r="R822" s="219"/>
      <c r="S822" s="332"/>
      <c r="T822" s="219"/>
      <c r="U822" s="332"/>
      <c r="V822" s="332"/>
      <c r="W822" s="370"/>
      <c r="X822" s="370"/>
      <c r="Y822" s="370"/>
      <c r="Z822" s="370"/>
      <c r="AA822" s="370"/>
      <c r="AB822" s="370"/>
      <c r="AC822" s="370"/>
      <c r="AD822" s="370"/>
      <c r="AE822" s="370"/>
      <c r="AF822" s="370"/>
      <c r="AG822" s="370"/>
      <c r="AH822" s="370"/>
      <c r="AI822" s="370"/>
      <c r="AJ822" s="370"/>
      <c r="AL822" s="219"/>
      <c r="AM822" s="219"/>
      <c r="AN822" s="219"/>
      <c r="AO822" s="116"/>
      <c r="AP822" s="116"/>
      <c r="AU822" s="332"/>
      <c r="AV822" s="332"/>
      <c r="AW822" s="332"/>
      <c r="AX822" s="332"/>
      <c r="AY822" s="332"/>
      <c r="AZ822" s="332"/>
      <c r="BA822" s="332"/>
      <c r="BB822" s="31"/>
      <c r="BC822" s="31"/>
      <c r="BD822" s="31"/>
      <c r="BE822" s="31"/>
    </row>
    <row r="823" spans="1:57" ht="13">
      <c r="A823" s="153"/>
      <c r="F823" s="153"/>
      <c r="G823" s="116"/>
      <c r="H823" s="116"/>
      <c r="I823" s="116"/>
      <c r="J823" s="116"/>
      <c r="K823" s="219"/>
      <c r="L823" s="116"/>
      <c r="M823" s="31"/>
      <c r="N823" s="336"/>
      <c r="O823" s="336"/>
      <c r="P823" s="219"/>
      <c r="Q823" s="332"/>
      <c r="R823" s="219"/>
      <c r="S823" s="332"/>
      <c r="T823" s="219"/>
      <c r="U823" s="332"/>
      <c r="V823" s="332"/>
      <c r="W823" s="370"/>
      <c r="X823" s="370"/>
      <c r="Y823" s="370"/>
      <c r="Z823" s="370"/>
      <c r="AA823" s="370"/>
      <c r="AB823" s="370"/>
      <c r="AC823" s="370"/>
      <c r="AD823" s="370"/>
      <c r="AE823" s="370"/>
      <c r="AF823" s="370"/>
      <c r="AG823" s="370"/>
      <c r="AH823" s="370"/>
      <c r="AI823" s="370"/>
      <c r="AJ823" s="370"/>
      <c r="AL823" s="219"/>
      <c r="AM823" s="219"/>
      <c r="AN823" s="219"/>
      <c r="AO823" s="116"/>
      <c r="AP823" s="116"/>
      <c r="AU823" s="332"/>
      <c r="AV823" s="332"/>
      <c r="AW823" s="332"/>
      <c r="AX823" s="332"/>
      <c r="AY823" s="332"/>
      <c r="AZ823" s="332"/>
      <c r="BA823" s="332"/>
      <c r="BB823" s="31"/>
      <c r="BC823" s="31"/>
      <c r="BD823" s="31"/>
      <c r="BE823" s="31"/>
    </row>
    <row r="824" spans="1:57" ht="13">
      <c r="A824" s="153"/>
      <c r="F824" s="153"/>
      <c r="G824" s="116"/>
      <c r="H824" s="116"/>
      <c r="I824" s="116"/>
      <c r="J824" s="116"/>
      <c r="K824" s="219"/>
      <c r="L824" s="116"/>
      <c r="M824" s="31"/>
      <c r="N824" s="336"/>
      <c r="O824" s="336"/>
      <c r="P824" s="219"/>
      <c r="Q824" s="332"/>
      <c r="R824" s="219"/>
      <c r="S824" s="332"/>
      <c r="T824" s="219"/>
      <c r="U824" s="332"/>
      <c r="V824" s="332"/>
      <c r="W824" s="370"/>
      <c r="X824" s="370"/>
      <c r="Y824" s="370"/>
      <c r="Z824" s="370"/>
      <c r="AA824" s="370"/>
      <c r="AB824" s="370"/>
      <c r="AC824" s="370"/>
      <c r="AD824" s="370"/>
      <c r="AE824" s="370"/>
      <c r="AF824" s="370"/>
      <c r="AG824" s="370"/>
      <c r="AH824" s="370"/>
      <c r="AI824" s="370"/>
      <c r="AJ824" s="370"/>
      <c r="AL824" s="219"/>
      <c r="AM824" s="219"/>
      <c r="AN824" s="219"/>
      <c r="AO824" s="116"/>
      <c r="AP824" s="116"/>
      <c r="AU824" s="332"/>
      <c r="AV824" s="332"/>
      <c r="AW824" s="332"/>
      <c r="AX824" s="332"/>
      <c r="AY824" s="332"/>
      <c r="AZ824" s="332"/>
      <c r="BA824" s="332"/>
      <c r="BB824" s="31"/>
      <c r="BC824" s="31"/>
      <c r="BD824" s="31"/>
      <c r="BE824" s="31"/>
    </row>
    <row r="825" spans="1:57" ht="13">
      <c r="A825" s="153"/>
      <c r="F825" s="153"/>
      <c r="G825" s="116"/>
      <c r="H825" s="116"/>
      <c r="I825" s="116"/>
      <c r="J825" s="116"/>
      <c r="K825" s="219"/>
      <c r="L825" s="116"/>
      <c r="M825" s="31"/>
      <c r="N825" s="336"/>
      <c r="O825" s="336"/>
      <c r="P825" s="219"/>
      <c r="Q825" s="332"/>
      <c r="R825" s="219"/>
      <c r="S825" s="332"/>
      <c r="T825" s="219"/>
      <c r="U825" s="332"/>
      <c r="V825" s="332"/>
      <c r="W825" s="370"/>
      <c r="X825" s="370"/>
      <c r="Y825" s="370"/>
      <c r="Z825" s="370"/>
      <c r="AA825" s="370"/>
      <c r="AB825" s="370"/>
      <c r="AC825" s="370"/>
      <c r="AD825" s="370"/>
      <c r="AE825" s="370"/>
      <c r="AF825" s="370"/>
      <c r="AG825" s="370"/>
      <c r="AH825" s="370"/>
      <c r="AI825" s="370"/>
      <c r="AJ825" s="370"/>
      <c r="AL825" s="219"/>
      <c r="AM825" s="219"/>
      <c r="AN825" s="219"/>
      <c r="AO825" s="116"/>
      <c r="AP825" s="116"/>
      <c r="AU825" s="332"/>
      <c r="AV825" s="332"/>
      <c r="AW825" s="332"/>
      <c r="AX825" s="332"/>
      <c r="AY825" s="332"/>
      <c r="AZ825" s="332"/>
      <c r="BA825" s="332"/>
      <c r="BB825" s="31"/>
      <c r="BC825" s="31"/>
      <c r="BD825" s="31"/>
      <c r="BE825" s="31"/>
    </row>
    <row r="826" spans="1:57" ht="13">
      <c r="A826" s="153"/>
      <c r="F826" s="153"/>
      <c r="G826" s="116"/>
      <c r="H826" s="116"/>
      <c r="I826" s="116"/>
      <c r="J826" s="116"/>
      <c r="K826" s="219"/>
      <c r="L826" s="116"/>
      <c r="M826" s="31"/>
      <c r="N826" s="336"/>
      <c r="O826" s="336"/>
      <c r="P826" s="219"/>
      <c r="Q826" s="332"/>
      <c r="R826" s="219"/>
      <c r="S826" s="332"/>
      <c r="T826" s="219"/>
      <c r="U826" s="332"/>
      <c r="V826" s="332"/>
      <c r="W826" s="370"/>
      <c r="X826" s="370"/>
      <c r="Y826" s="370"/>
      <c r="Z826" s="370"/>
      <c r="AA826" s="370"/>
      <c r="AB826" s="370"/>
      <c r="AC826" s="370"/>
      <c r="AD826" s="370"/>
      <c r="AE826" s="370"/>
      <c r="AF826" s="370"/>
      <c r="AG826" s="370"/>
      <c r="AH826" s="370"/>
      <c r="AI826" s="370"/>
      <c r="AJ826" s="370"/>
      <c r="AL826" s="219"/>
      <c r="AM826" s="219"/>
      <c r="AN826" s="219"/>
      <c r="AO826" s="116"/>
      <c r="AP826" s="116"/>
      <c r="AU826" s="332"/>
      <c r="AV826" s="332"/>
      <c r="AW826" s="332"/>
      <c r="AX826" s="332"/>
      <c r="AY826" s="332"/>
      <c r="AZ826" s="332"/>
      <c r="BA826" s="332"/>
      <c r="BB826" s="31"/>
      <c r="BC826" s="31"/>
      <c r="BD826" s="31"/>
      <c r="BE826" s="31"/>
    </row>
    <row r="827" spans="1:57" ht="13">
      <c r="A827" s="153"/>
      <c r="F827" s="153"/>
      <c r="G827" s="116"/>
      <c r="H827" s="116"/>
      <c r="I827" s="116"/>
      <c r="J827" s="116"/>
      <c r="K827" s="219"/>
      <c r="L827" s="116"/>
      <c r="M827" s="31"/>
      <c r="N827" s="336"/>
      <c r="O827" s="336"/>
      <c r="P827" s="219"/>
      <c r="Q827" s="332"/>
      <c r="R827" s="219"/>
      <c r="S827" s="332"/>
      <c r="T827" s="219"/>
      <c r="U827" s="332"/>
      <c r="V827" s="332"/>
      <c r="W827" s="370"/>
      <c r="X827" s="370"/>
      <c r="Y827" s="370"/>
      <c r="Z827" s="370"/>
      <c r="AA827" s="370"/>
      <c r="AB827" s="370"/>
      <c r="AC827" s="370"/>
      <c r="AD827" s="370"/>
      <c r="AE827" s="370"/>
      <c r="AF827" s="370"/>
      <c r="AG827" s="370"/>
      <c r="AH827" s="370"/>
      <c r="AI827" s="370"/>
      <c r="AJ827" s="370"/>
      <c r="AL827" s="219"/>
      <c r="AM827" s="219"/>
      <c r="AN827" s="219"/>
      <c r="AO827" s="116"/>
      <c r="AP827" s="116"/>
      <c r="AU827" s="332"/>
      <c r="AV827" s="332"/>
      <c r="AW827" s="332"/>
      <c r="AX827" s="332"/>
      <c r="AY827" s="332"/>
      <c r="AZ827" s="332"/>
      <c r="BA827" s="332"/>
      <c r="BB827" s="31"/>
      <c r="BC827" s="31"/>
      <c r="BD827" s="31"/>
      <c r="BE827" s="31"/>
    </row>
    <row r="828" spans="1:57" ht="13">
      <c r="A828" s="153"/>
      <c r="F828" s="153"/>
      <c r="G828" s="116"/>
      <c r="H828" s="116"/>
      <c r="I828" s="116"/>
      <c r="J828" s="116"/>
      <c r="K828" s="219"/>
      <c r="L828" s="116"/>
      <c r="M828" s="31"/>
      <c r="N828" s="336"/>
      <c r="O828" s="336"/>
      <c r="P828" s="219"/>
      <c r="Q828" s="332"/>
      <c r="R828" s="219"/>
      <c r="S828" s="332"/>
      <c r="T828" s="219"/>
      <c r="U828" s="332"/>
      <c r="V828" s="332"/>
      <c r="W828" s="370"/>
      <c r="X828" s="370"/>
      <c r="Y828" s="370"/>
      <c r="Z828" s="370"/>
      <c r="AA828" s="370"/>
      <c r="AB828" s="370"/>
      <c r="AC828" s="370"/>
      <c r="AD828" s="370"/>
      <c r="AE828" s="370"/>
      <c r="AF828" s="370"/>
      <c r="AG828" s="370"/>
      <c r="AH828" s="370"/>
      <c r="AI828" s="370"/>
      <c r="AJ828" s="370"/>
      <c r="AL828" s="219"/>
      <c r="AM828" s="219"/>
      <c r="AN828" s="219"/>
      <c r="AO828" s="116"/>
      <c r="AP828" s="116"/>
      <c r="AU828" s="332"/>
      <c r="AV828" s="332"/>
      <c r="AW828" s="332"/>
      <c r="AX828" s="332"/>
      <c r="AY828" s="332"/>
      <c r="AZ828" s="332"/>
      <c r="BA828" s="332"/>
      <c r="BB828" s="31"/>
      <c r="BC828" s="31"/>
      <c r="BD828" s="31"/>
      <c r="BE828" s="31"/>
    </row>
    <row r="829" spans="1:57" ht="13">
      <c r="A829" s="153"/>
      <c r="F829" s="153"/>
      <c r="G829" s="116"/>
      <c r="H829" s="116"/>
      <c r="I829" s="116"/>
      <c r="J829" s="116"/>
      <c r="K829" s="219"/>
      <c r="L829" s="116"/>
      <c r="M829" s="31"/>
      <c r="N829" s="336"/>
      <c r="O829" s="336"/>
      <c r="P829" s="219"/>
      <c r="Q829" s="332"/>
      <c r="R829" s="219"/>
      <c r="S829" s="332"/>
      <c r="T829" s="219"/>
      <c r="U829" s="332"/>
      <c r="V829" s="332"/>
      <c r="W829" s="370"/>
      <c r="X829" s="370"/>
      <c r="Y829" s="370"/>
      <c r="Z829" s="370"/>
      <c r="AA829" s="370"/>
      <c r="AB829" s="370"/>
      <c r="AC829" s="370"/>
      <c r="AD829" s="370"/>
      <c r="AE829" s="370"/>
      <c r="AF829" s="370"/>
      <c r="AG829" s="370"/>
      <c r="AH829" s="370"/>
      <c r="AI829" s="370"/>
      <c r="AJ829" s="370"/>
      <c r="AL829" s="219"/>
      <c r="AM829" s="219"/>
      <c r="AN829" s="219"/>
      <c r="AO829" s="116"/>
      <c r="AP829" s="116"/>
      <c r="AU829" s="332"/>
      <c r="AV829" s="332"/>
      <c r="AW829" s="332"/>
      <c r="AX829" s="332"/>
      <c r="AY829" s="332"/>
      <c r="AZ829" s="332"/>
      <c r="BA829" s="332"/>
      <c r="BB829" s="31"/>
      <c r="BC829" s="31"/>
      <c r="BD829" s="31"/>
      <c r="BE829" s="31"/>
    </row>
    <row r="830" spans="1:57" ht="13">
      <c r="A830" s="153"/>
      <c r="F830" s="153"/>
      <c r="G830" s="116"/>
      <c r="H830" s="116"/>
      <c r="I830" s="116"/>
      <c r="J830" s="116"/>
      <c r="K830" s="219"/>
      <c r="L830" s="116"/>
      <c r="M830" s="31"/>
      <c r="N830" s="336"/>
      <c r="O830" s="336"/>
      <c r="P830" s="219"/>
      <c r="Q830" s="332"/>
      <c r="R830" s="219"/>
      <c r="S830" s="332"/>
      <c r="T830" s="219"/>
      <c r="U830" s="332"/>
      <c r="V830" s="332"/>
      <c r="W830" s="370"/>
      <c r="X830" s="370"/>
      <c r="Y830" s="370"/>
      <c r="Z830" s="370"/>
      <c r="AA830" s="370"/>
      <c r="AB830" s="370"/>
      <c r="AC830" s="370"/>
      <c r="AD830" s="370"/>
      <c r="AE830" s="370"/>
      <c r="AF830" s="370"/>
      <c r="AG830" s="370"/>
      <c r="AH830" s="370"/>
      <c r="AI830" s="370"/>
      <c r="AJ830" s="370"/>
      <c r="AL830" s="219"/>
      <c r="AM830" s="219"/>
      <c r="AN830" s="219"/>
      <c r="AO830" s="116"/>
      <c r="AP830" s="116"/>
      <c r="AU830" s="332"/>
      <c r="AV830" s="332"/>
      <c r="AW830" s="332"/>
      <c r="AX830" s="332"/>
      <c r="AY830" s="332"/>
      <c r="AZ830" s="332"/>
      <c r="BA830" s="332"/>
      <c r="BB830" s="31"/>
      <c r="BC830" s="31"/>
      <c r="BD830" s="31"/>
      <c r="BE830" s="31"/>
    </row>
    <row r="831" spans="1:57" ht="13">
      <c r="A831" s="153"/>
      <c r="F831" s="153"/>
      <c r="G831" s="116"/>
      <c r="H831" s="116"/>
      <c r="I831" s="116"/>
      <c r="J831" s="116"/>
      <c r="K831" s="219"/>
      <c r="L831" s="116"/>
      <c r="M831" s="31"/>
      <c r="N831" s="336"/>
      <c r="O831" s="336"/>
      <c r="P831" s="219"/>
      <c r="Q831" s="332"/>
      <c r="R831" s="219"/>
      <c r="S831" s="332"/>
      <c r="T831" s="219"/>
      <c r="U831" s="332"/>
      <c r="V831" s="332"/>
      <c r="W831" s="370"/>
      <c r="X831" s="370"/>
      <c r="Y831" s="370"/>
      <c r="Z831" s="370"/>
      <c r="AA831" s="370"/>
      <c r="AB831" s="370"/>
      <c r="AC831" s="370"/>
      <c r="AD831" s="370"/>
      <c r="AE831" s="370"/>
      <c r="AF831" s="370"/>
      <c r="AG831" s="370"/>
      <c r="AH831" s="370"/>
      <c r="AI831" s="370"/>
      <c r="AJ831" s="370"/>
      <c r="AL831" s="219"/>
      <c r="AM831" s="219"/>
      <c r="AN831" s="219"/>
      <c r="AO831" s="116"/>
      <c r="AP831" s="116"/>
      <c r="AU831" s="332"/>
      <c r="AV831" s="332"/>
      <c r="AW831" s="332"/>
      <c r="AX831" s="332"/>
      <c r="AY831" s="332"/>
      <c r="AZ831" s="332"/>
      <c r="BA831" s="332"/>
      <c r="BB831" s="31"/>
      <c r="BC831" s="31"/>
      <c r="BD831" s="31"/>
      <c r="BE831" s="31"/>
    </row>
    <row r="832" spans="1:57" ht="13">
      <c r="A832" s="153"/>
      <c r="F832" s="153"/>
      <c r="G832" s="116"/>
      <c r="H832" s="116"/>
      <c r="I832" s="116"/>
      <c r="J832" s="116"/>
      <c r="K832" s="219"/>
      <c r="L832" s="116"/>
      <c r="M832" s="31"/>
      <c r="N832" s="336"/>
      <c r="O832" s="336"/>
      <c r="P832" s="219"/>
      <c r="Q832" s="332"/>
      <c r="R832" s="219"/>
      <c r="S832" s="332"/>
      <c r="T832" s="219"/>
      <c r="U832" s="332"/>
      <c r="V832" s="332"/>
      <c r="W832" s="370"/>
      <c r="X832" s="370"/>
      <c r="Y832" s="370"/>
      <c r="Z832" s="370"/>
      <c r="AA832" s="370"/>
      <c r="AB832" s="370"/>
      <c r="AC832" s="370"/>
      <c r="AD832" s="370"/>
      <c r="AE832" s="370"/>
      <c r="AF832" s="370"/>
      <c r="AG832" s="370"/>
      <c r="AH832" s="370"/>
      <c r="AI832" s="370"/>
      <c r="AJ832" s="370"/>
      <c r="AL832" s="219"/>
      <c r="AM832" s="219"/>
      <c r="AN832" s="219"/>
      <c r="AO832" s="116"/>
      <c r="AP832" s="116"/>
      <c r="AU832" s="332"/>
      <c r="AV832" s="332"/>
      <c r="AW832" s="332"/>
      <c r="AX832" s="332"/>
      <c r="AY832" s="332"/>
      <c r="AZ832" s="332"/>
      <c r="BA832" s="332"/>
      <c r="BB832" s="31"/>
      <c r="BC832" s="31"/>
      <c r="BD832" s="31"/>
      <c r="BE832" s="31"/>
    </row>
    <row r="833" spans="1:57" ht="13">
      <c r="A833" s="153"/>
      <c r="F833" s="153"/>
      <c r="G833" s="116"/>
      <c r="H833" s="116"/>
      <c r="I833" s="116"/>
      <c r="J833" s="116"/>
      <c r="K833" s="219"/>
      <c r="L833" s="116"/>
      <c r="M833" s="31"/>
      <c r="N833" s="336"/>
      <c r="O833" s="336"/>
      <c r="P833" s="219"/>
      <c r="Q833" s="332"/>
      <c r="R833" s="219"/>
      <c r="S833" s="332"/>
      <c r="T833" s="219"/>
      <c r="U833" s="332"/>
      <c r="V833" s="332"/>
      <c r="W833" s="370"/>
      <c r="X833" s="370"/>
      <c r="Y833" s="370"/>
      <c r="Z833" s="370"/>
      <c r="AA833" s="370"/>
      <c r="AB833" s="370"/>
      <c r="AC833" s="370"/>
      <c r="AD833" s="370"/>
      <c r="AE833" s="370"/>
      <c r="AF833" s="370"/>
      <c r="AG833" s="370"/>
      <c r="AH833" s="370"/>
      <c r="AI833" s="370"/>
      <c r="AJ833" s="370"/>
      <c r="AL833" s="219"/>
      <c r="AM833" s="219"/>
      <c r="AN833" s="219"/>
      <c r="AO833" s="116"/>
      <c r="AP833" s="116"/>
      <c r="AU833" s="332"/>
      <c r="AV833" s="332"/>
      <c r="AW833" s="332"/>
      <c r="AX833" s="332"/>
      <c r="AY833" s="332"/>
      <c r="AZ833" s="332"/>
      <c r="BA833" s="332"/>
      <c r="BB833" s="31"/>
      <c r="BC833" s="31"/>
      <c r="BD833" s="31"/>
      <c r="BE833" s="31"/>
    </row>
    <row r="834" spans="1:57" ht="13">
      <c r="A834" s="153"/>
      <c r="F834" s="153"/>
      <c r="G834" s="116"/>
      <c r="H834" s="116"/>
      <c r="I834" s="116"/>
      <c r="J834" s="116"/>
      <c r="K834" s="219"/>
      <c r="L834" s="116"/>
      <c r="M834" s="31"/>
      <c r="N834" s="336"/>
      <c r="O834" s="336"/>
      <c r="P834" s="219"/>
      <c r="Q834" s="332"/>
      <c r="R834" s="219"/>
      <c r="S834" s="332"/>
      <c r="T834" s="219"/>
      <c r="U834" s="332"/>
      <c r="V834" s="332"/>
      <c r="W834" s="370"/>
      <c r="X834" s="370"/>
      <c r="Y834" s="370"/>
      <c r="Z834" s="370"/>
      <c r="AA834" s="370"/>
      <c r="AB834" s="370"/>
      <c r="AC834" s="370"/>
      <c r="AD834" s="370"/>
      <c r="AE834" s="370"/>
      <c r="AF834" s="370"/>
      <c r="AG834" s="370"/>
      <c r="AH834" s="370"/>
      <c r="AI834" s="370"/>
      <c r="AJ834" s="370"/>
      <c r="AL834" s="219"/>
      <c r="AM834" s="219"/>
      <c r="AN834" s="219"/>
      <c r="AO834" s="116"/>
      <c r="AP834" s="116"/>
      <c r="AU834" s="332"/>
      <c r="AV834" s="332"/>
      <c r="AW834" s="332"/>
      <c r="AX834" s="332"/>
      <c r="AY834" s="332"/>
      <c r="AZ834" s="332"/>
      <c r="BA834" s="332"/>
      <c r="BB834" s="31"/>
      <c r="BC834" s="31"/>
      <c r="BD834" s="31"/>
      <c r="BE834" s="31"/>
    </row>
    <row r="835" spans="1:57" ht="13">
      <c r="A835" s="153"/>
      <c r="F835" s="153"/>
      <c r="G835" s="116"/>
      <c r="H835" s="116"/>
      <c r="I835" s="116"/>
      <c r="J835" s="116"/>
      <c r="K835" s="219"/>
      <c r="L835" s="116"/>
      <c r="M835" s="31"/>
      <c r="N835" s="336"/>
      <c r="O835" s="336"/>
      <c r="P835" s="219"/>
      <c r="Q835" s="332"/>
      <c r="R835" s="219"/>
      <c r="S835" s="332"/>
      <c r="T835" s="219"/>
      <c r="U835" s="332"/>
      <c r="V835" s="332"/>
      <c r="W835" s="370"/>
      <c r="X835" s="370"/>
      <c r="Y835" s="370"/>
      <c r="Z835" s="370"/>
      <c r="AA835" s="370"/>
      <c r="AB835" s="370"/>
      <c r="AC835" s="370"/>
      <c r="AD835" s="370"/>
      <c r="AE835" s="370"/>
      <c r="AF835" s="370"/>
      <c r="AG835" s="370"/>
      <c r="AH835" s="370"/>
      <c r="AI835" s="370"/>
      <c r="AJ835" s="370"/>
      <c r="AL835" s="219"/>
      <c r="AM835" s="219"/>
      <c r="AN835" s="219"/>
      <c r="AO835" s="116"/>
      <c r="AP835" s="116"/>
      <c r="AU835" s="332"/>
      <c r="AV835" s="332"/>
      <c r="AW835" s="332"/>
      <c r="AX835" s="332"/>
      <c r="AY835" s="332"/>
      <c r="AZ835" s="332"/>
      <c r="BA835" s="332"/>
      <c r="BB835" s="31"/>
      <c r="BC835" s="31"/>
      <c r="BD835" s="31"/>
      <c r="BE835" s="31"/>
    </row>
    <row r="836" spans="1:57" ht="13">
      <c r="A836" s="153"/>
      <c r="F836" s="153"/>
      <c r="G836" s="116"/>
      <c r="H836" s="116"/>
      <c r="I836" s="116"/>
      <c r="J836" s="116"/>
      <c r="K836" s="219"/>
      <c r="L836" s="116"/>
      <c r="M836" s="31"/>
      <c r="N836" s="336"/>
      <c r="O836" s="336"/>
      <c r="P836" s="219"/>
      <c r="Q836" s="332"/>
      <c r="R836" s="219"/>
      <c r="S836" s="332"/>
      <c r="T836" s="219"/>
      <c r="U836" s="332"/>
      <c r="V836" s="332"/>
      <c r="W836" s="370"/>
      <c r="X836" s="370"/>
      <c r="Y836" s="370"/>
      <c r="Z836" s="370"/>
      <c r="AA836" s="370"/>
      <c r="AB836" s="370"/>
      <c r="AC836" s="370"/>
      <c r="AD836" s="370"/>
      <c r="AE836" s="370"/>
      <c r="AF836" s="370"/>
      <c r="AG836" s="370"/>
      <c r="AH836" s="370"/>
      <c r="AI836" s="370"/>
      <c r="AJ836" s="370"/>
      <c r="AL836" s="219"/>
      <c r="AM836" s="219"/>
      <c r="AN836" s="219"/>
      <c r="AO836" s="116"/>
      <c r="AP836" s="116"/>
      <c r="AU836" s="332"/>
      <c r="AV836" s="332"/>
      <c r="AW836" s="332"/>
      <c r="AX836" s="332"/>
      <c r="AY836" s="332"/>
      <c r="AZ836" s="332"/>
      <c r="BA836" s="332"/>
      <c r="BB836" s="31"/>
      <c r="BC836" s="31"/>
      <c r="BD836" s="31"/>
      <c r="BE836" s="31"/>
    </row>
    <row r="837" spans="1:57" ht="13">
      <c r="A837" s="153"/>
      <c r="F837" s="153"/>
      <c r="G837" s="116"/>
      <c r="H837" s="116"/>
      <c r="I837" s="116"/>
      <c r="J837" s="116"/>
      <c r="K837" s="219"/>
      <c r="L837" s="116"/>
      <c r="M837" s="31"/>
      <c r="N837" s="336"/>
      <c r="O837" s="336"/>
      <c r="P837" s="219"/>
      <c r="Q837" s="332"/>
      <c r="R837" s="219"/>
      <c r="S837" s="332"/>
      <c r="T837" s="219"/>
      <c r="U837" s="332"/>
      <c r="V837" s="332"/>
      <c r="W837" s="370"/>
      <c r="X837" s="370"/>
      <c r="Y837" s="370"/>
      <c r="Z837" s="370"/>
      <c r="AA837" s="370"/>
      <c r="AB837" s="370"/>
      <c r="AC837" s="370"/>
      <c r="AD837" s="370"/>
      <c r="AE837" s="370"/>
      <c r="AF837" s="370"/>
      <c r="AG837" s="370"/>
      <c r="AH837" s="370"/>
      <c r="AI837" s="370"/>
      <c r="AJ837" s="370"/>
      <c r="AL837" s="219"/>
      <c r="AM837" s="219"/>
      <c r="AN837" s="219"/>
      <c r="AO837" s="116"/>
      <c r="AP837" s="116"/>
      <c r="AU837" s="332"/>
      <c r="AV837" s="332"/>
      <c r="AW837" s="332"/>
      <c r="AX837" s="332"/>
      <c r="AY837" s="332"/>
      <c r="AZ837" s="332"/>
      <c r="BA837" s="332"/>
      <c r="BB837" s="31"/>
      <c r="BC837" s="31"/>
      <c r="BD837" s="31"/>
      <c r="BE837" s="31"/>
    </row>
    <row r="838" spans="1:57" ht="13">
      <c r="A838" s="153"/>
      <c r="F838" s="153"/>
      <c r="G838" s="116"/>
      <c r="H838" s="116"/>
      <c r="I838" s="116"/>
      <c r="J838" s="116"/>
      <c r="K838" s="219"/>
      <c r="L838" s="116"/>
      <c r="M838" s="31"/>
      <c r="N838" s="336"/>
      <c r="O838" s="336"/>
      <c r="P838" s="219"/>
      <c r="Q838" s="332"/>
      <c r="R838" s="219"/>
      <c r="S838" s="332"/>
      <c r="T838" s="219"/>
      <c r="U838" s="332"/>
      <c r="V838" s="332"/>
      <c r="W838" s="370"/>
      <c r="X838" s="370"/>
      <c r="Y838" s="370"/>
      <c r="Z838" s="370"/>
      <c r="AA838" s="370"/>
      <c r="AB838" s="370"/>
      <c r="AC838" s="370"/>
      <c r="AD838" s="370"/>
      <c r="AE838" s="370"/>
      <c r="AF838" s="370"/>
      <c r="AG838" s="370"/>
      <c r="AH838" s="370"/>
      <c r="AI838" s="370"/>
      <c r="AJ838" s="370"/>
      <c r="AL838" s="219"/>
      <c r="AM838" s="219"/>
      <c r="AN838" s="219"/>
      <c r="AO838" s="116"/>
      <c r="AP838" s="116"/>
      <c r="AU838" s="332"/>
      <c r="AV838" s="332"/>
      <c r="AW838" s="332"/>
      <c r="AX838" s="332"/>
      <c r="AY838" s="332"/>
      <c r="AZ838" s="332"/>
      <c r="BA838" s="332"/>
      <c r="BB838" s="31"/>
      <c r="BC838" s="31"/>
      <c r="BD838" s="31"/>
      <c r="BE838" s="31"/>
    </row>
    <row r="839" spans="1:57" ht="13">
      <c r="A839" s="153"/>
      <c r="F839" s="153"/>
      <c r="G839" s="116"/>
      <c r="H839" s="116"/>
      <c r="I839" s="116"/>
      <c r="J839" s="116"/>
      <c r="K839" s="219"/>
      <c r="L839" s="116"/>
      <c r="M839" s="31"/>
      <c r="N839" s="336"/>
      <c r="O839" s="336"/>
      <c r="P839" s="219"/>
      <c r="Q839" s="332"/>
      <c r="R839" s="219"/>
      <c r="S839" s="332"/>
      <c r="T839" s="219"/>
      <c r="U839" s="332"/>
      <c r="V839" s="332"/>
      <c r="W839" s="370"/>
      <c r="X839" s="370"/>
      <c r="Y839" s="370"/>
      <c r="Z839" s="370"/>
      <c r="AA839" s="370"/>
      <c r="AB839" s="370"/>
      <c r="AC839" s="370"/>
      <c r="AD839" s="370"/>
      <c r="AE839" s="370"/>
      <c r="AF839" s="370"/>
      <c r="AG839" s="370"/>
      <c r="AH839" s="370"/>
      <c r="AI839" s="370"/>
      <c r="AJ839" s="370"/>
      <c r="AL839" s="219"/>
      <c r="AM839" s="219"/>
      <c r="AN839" s="219"/>
      <c r="AO839" s="116"/>
      <c r="AP839" s="116"/>
      <c r="AU839" s="332"/>
      <c r="AV839" s="332"/>
      <c r="AW839" s="332"/>
      <c r="AX839" s="332"/>
      <c r="AY839" s="332"/>
      <c r="AZ839" s="332"/>
      <c r="BA839" s="332"/>
      <c r="BB839" s="31"/>
      <c r="BC839" s="31"/>
      <c r="BD839" s="31"/>
      <c r="BE839" s="31"/>
    </row>
    <row r="840" spans="1:57" ht="13">
      <c r="A840" s="153"/>
      <c r="F840" s="153"/>
      <c r="G840" s="116"/>
      <c r="H840" s="116"/>
      <c r="I840" s="116"/>
      <c r="J840" s="116"/>
      <c r="K840" s="219"/>
      <c r="L840" s="116"/>
      <c r="M840" s="31"/>
      <c r="N840" s="336"/>
      <c r="O840" s="336"/>
      <c r="P840" s="219"/>
      <c r="Q840" s="332"/>
      <c r="R840" s="219"/>
      <c r="S840" s="332"/>
      <c r="T840" s="219"/>
      <c r="U840" s="332"/>
      <c r="V840" s="332"/>
      <c r="W840" s="370"/>
      <c r="X840" s="370"/>
      <c r="Y840" s="370"/>
      <c r="Z840" s="370"/>
      <c r="AA840" s="370"/>
      <c r="AB840" s="370"/>
      <c r="AC840" s="370"/>
      <c r="AD840" s="370"/>
      <c r="AE840" s="370"/>
      <c r="AF840" s="370"/>
      <c r="AG840" s="370"/>
      <c r="AH840" s="370"/>
      <c r="AI840" s="370"/>
      <c r="AJ840" s="370"/>
      <c r="AL840" s="219"/>
      <c r="AM840" s="219"/>
      <c r="AN840" s="219"/>
      <c r="AO840" s="116"/>
      <c r="AP840" s="116"/>
      <c r="AU840" s="332"/>
      <c r="AV840" s="332"/>
      <c r="AW840" s="332"/>
      <c r="AX840" s="332"/>
      <c r="AY840" s="332"/>
      <c r="AZ840" s="332"/>
      <c r="BA840" s="332"/>
      <c r="BB840" s="31"/>
      <c r="BC840" s="31"/>
      <c r="BD840" s="31"/>
      <c r="BE840" s="31"/>
    </row>
    <row r="841" spans="1:57" ht="13">
      <c r="A841" s="153"/>
      <c r="F841" s="153"/>
      <c r="G841" s="116"/>
      <c r="H841" s="116"/>
      <c r="I841" s="116"/>
      <c r="J841" s="116"/>
      <c r="K841" s="219"/>
      <c r="L841" s="116"/>
      <c r="M841" s="31"/>
      <c r="N841" s="336"/>
      <c r="O841" s="336"/>
      <c r="P841" s="219"/>
      <c r="Q841" s="332"/>
      <c r="R841" s="219"/>
      <c r="S841" s="332"/>
      <c r="T841" s="219"/>
      <c r="U841" s="332"/>
      <c r="V841" s="332"/>
      <c r="W841" s="370"/>
      <c r="X841" s="370"/>
      <c r="Y841" s="370"/>
      <c r="Z841" s="370"/>
      <c r="AA841" s="370"/>
      <c r="AB841" s="370"/>
      <c r="AC841" s="370"/>
      <c r="AD841" s="370"/>
      <c r="AE841" s="370"/>
      <c r="AF841" s="370"/>
      <c r="AG841" s="370"/>
      <c r="AH841" s="370"/>
      <c r="AI841" s="370"/>
      <c r="AJ841" s="370"/>
      <c r="AL841" s="219"/>
      <c r="AM841" s="219"/>
      <c r="AN841" s="219"/>
      <c r="AO841" s="116"/>
      <c r="AP841" s="116"/>
      <c r="AU841" s="332"/>
      <c r="AV841" s="332"/>
      <c r="AW841" s="332"/>
      <c r="AX841" s="332"/>
      <c r="AY841" s="332"/>
      <c r="AZ841" s="332"/>
      <c r="BA841" s="332"/>
      <c r="BB841" s="31"/>
      <c r="BC841" s="31"/>
      <c r="BD841" s="31"/>
      <c r="BE841" s="31"/>
    </row>
    <row r="842" spans="1:57" ht="13">
      <c r="A842" s="153"/>
      <c r="F842" s="153"/>
      <c r="G842" s="116"/>
      <c r="H842" s="116"/>
      <c r="I842" s="116"/>
      <c r="J842" s="116"/>
      <c r="K842" s="219"/>
      <c r="L842" s="116"/>
      <c r="M842" s="31"/>
      <c r="N842" s="336"/>
      <c r="O842" s="336"/>
      <c r="P842" s="219"/>
      <c r="Q842" s="332"/>
      <c r="R842" s="219"/>
      <c r="S842" s="332"/>
      <c r="T842" s="219"/>
      <c r="U842" s="332"/>
      <c r="V842" s="332"/>
      <c r="W842" s="370"/>
      <c r="X842" s="370"/>
      <c r="Y842" s="370"/>
      <c r="Z842" s="370"/>
      <c r="AA842" s="370"/>
      <c r="AB842" s="370"/>
      <c r="AC842" s="370"/>
      <c r="AD842" s="370"/>
      <c r="AE842" s="370"/>
      <c r="AF842" s="370"/>
      <c r="AG842" s="370"/>
      <c r="AH842" s="370"/>
      <c r="AI842" s="370"/>
      <c r="AJ842" s="370"/>
      <c r="AL842" s="219"/>
      <c r="AM842" s="219"/>
      <c r="AN842" s="219"/>
      <c r="AO842" s="116"/>
      <c r="AP842" s="116"/>
      <c r="AU842" s="332"/>
      <c r="AV842" s="332"/>
      <c r="AW842" s="332"/>
      <c r="AX842" s="332"/>
      <c r="AY842" s="332"/>
      <c r="AZ842" s="332"/>
      <c r="BA842" s="332"/>
      <c r="BB842" s="31"/>
      <c r="BC842" s="31"/>
      <c r="BD842" s="31"/>
      <c r="BE842" s="31"/>
    </row>
    <row r="843" spans="1:57" ht="13">
      <c r="A843" s="153"/>
      <c r="F843" s="153"/>
      <c r="G843" s="116"/>
      <c r="H843" s="116"/>
      <c r="I843" s="116"/>
      <c r="J843" s="116"/>
      <c r="K843" s="219"/>
      <c r="L843" s="116"/>
      <c r="M843" s="31"/>
      <c r="N843" s="336"/>
      <c r="O843" s="336"/>
      <c r="P843" s="219"/>
      <c r="Q843" s="332"/>
      <c r="R843" s="219"/>
      <c r="S843" s="332"/>
      <c r="T843" s="219"/>
      <c r="U843" s="332"/>
      <c r="V843" s="332"/>
      <c r="W843" s="370"/>
      <c r="X843" s="370"/>
      <c r="Y843" s="370"/>
      <c r="Z843" s="370"/>
      <c r="AA843" s="370"/>
      <c r="AB843" s="370"/>
      <c r="AC843" s="370"/>
      <c r="AD843" s="370"/>
      <c r="AE843" s="370"/>
      <c r="AF843" s="370"/>
      <c r="AG843" s="370"/>
      <c r="AH843" s="370"/>
      <c r="AI843" s="370"/>
      <c r="AJ843" s="370"/>
      <c r="AL843" s="219"/>
      <c r="AM843" s="219"/>
      <c r="AN843" s="219"/>
      <c r="AO843" s="116"/>
      <c r="AP843" s="116"/>
      <c r="AU843" s="332"/>
      <c r="AV843" s="332"/>
      <c r="AW843" s="332"/>
      <c r="AX843" s="332"/>
      <c r="AY843" s="332"/>
      <c r="AZ843" s="332"/>
      <c r="BA843" s="332"/>
      <c r="BB843" s="31"/>
      <c r="BC843" s="31"/>
      <c r="BD843" s="31"/>
      <c r="BE843" s="31"/>
    </row>
    <row r="844" spans="1:57" ht="13">
      <c r="A844" s="153"/>
      <c r="F844" s="153"/>
      <c r="G844" s="116"/>
      <c r="H844" s="116"/>
      <c r="I844" s="116"/>
      <c r="J844" s="116"/>
      <c r="K844" s="219"/>
      <c r="L844" s="116"/>
      <c r="M844" s="31"/>
      <c r="N844" s="336"/>
      <c r="O844" s="336"/>
      <c r="P844" s="219"/>
      <c r="Q844" s="332"/>
      <c r="R844" s="219"/>
      <c r="S844" s="332"/>
      <c r="T844" s="219"/>
      <c r="U844" s="332"/>
      <c r="V844" s="332"/>
      <c r="W844" s="370"/>
      <c r="X844" s="370"/>
      <c r="Y844" s="370"/>
      <c r="Z844" s="370"/>
      <c r="AA844" s="370"/>
      <c r="AB844" s="370"/>
      <c r="AC844" s="370"/>
      <c r="AD844" s="370"/>
      <c r="AE844" s="370"/>
      <c r="AF844" s="370"/>
      <c r="AG844" s="370"/>
      <c r="AH844" s="370"/>
      <c r="AI844" s="370"/>
      <c r="AJ844" s="370"/>
      <c r="AL844" s="219"/>
      <c r="AM844" s="219"/>
      <c r="AN844" s="219"/>
      <c r="AO844" s="116"/>
      <c r="AP844" s="116"/>
      <c r="AU844" s="332"/>
      <c r="AV844" s="332"/>
      <c r="AW844" s="332"/>
      <c r="AX844" s="332"/>
      <c r="AY844" s="332"/>
      <c r="AZ844" s="332"/>
      <c r="BA844" s="332"/>
      <c r="BB844" s="31"/>
      <c r="BC844" s="31"/>
      <c r="BD844" s="31"/>
      <c r="BE844" s="31"/>
    </row>
    <row r="845" spans="1:57" ht="13">
      <c r="A845" s="153"/>
      <c r="F845" s="153"/>
      <c r="G845" s="116"/>
      <c r="H845" s="116"/>
      <c r="I845" s="116"/>
      <c r="J845" s="116"/>
      <c r="K845" s="219"/>
      <c r="L845" s="116"/>
      <c r="M845" s="31"/>
      <c r="N845" s="336"/>
      <c r="O845" s="336"/>
      <c r="P845" s="219"/>
      <c r="Q845" s="332"/>
      <c r="R845" s="219"/>
      <c r="S845" s="332"/>
      <c r="T845" s="219"/>
      <c r="U845" s="332"/>
      <c r="V845" s="332"/>
      <c r="W845" s="370"/>
      <c r="X845" s="370"/>
      <c r="Y845" s="370"/>
      <c r="Z845" s="370"/>
      <c r="AA845" s="370"/>
      <c r="AB845" s="370"/>
      <c r="AC845" s="370"/>
      <c r="AD845" s="370"/>
      <c r="AE845" s="370"/>
      <c r="AF845" s="370"/>
      <c r="AG845" s="370"/>
      <c r="AH845" s="370"/>
      <c r="AI845" s="370"/>
      <c r="AJ845" s="370"/>
      <c r="AL845" s="219"/>
      <c r="AM845" s="219"/>
      <c r="AN845" s="219"/>
      <c r="AO845" s="116"/>
      <c r="AP845" s="116"/>
      <c r="AU845" s="332"/>
      <c r="AV845" s="332"/>
      <c r="AW845" s="332"/>
      <c r="AX845" s="332"/>
      <c r="AY845" s="332"/>
      <c r="AZ845" s="332"/>
      <c r="BA845" s="332"/>
      <c r="BB845" s="31"/>
      <c r="BC845" s="31"/>
      <c r="BD845" s="31"/>
      <c r="BE845" s="31"/>
    </row>
    <row r="846" spans="1:57" ht="13">
      <c r="A846" s="153"/>
      <c r="F846" s="153"/>
      <c r="G846" s="116"/>
      <c r="H846" s="116"/>
      <c r="I846" s="116"/>
      <c r="J846" s="116"/>
      <c r="K846" s="219"/>
      <c r="L846" s="116"/>
      <c r="M846" s="31"/>
      <c r="N846" s="336"/>
      <c r="O846" s="336"/>
      <c r="P846" s="219"/>
      <c r="Q846" s="332"/>
      <c r="R846" s="219"/>
      <c r="S846" s="332"/>
      <c r="T846" s="219"/>
      <c r="U846" s="332"/>
      <c r="V846" s="332"/>
      <c r="W846" s="370"/>
      <c r="X846" s="370"/>
      <c r="Y846" s="370"/>
      <c r="Z846" s="370"/>
      <c r="AA846" s="370"/>
      <c r="AB846" s="370"/>
      <c r="AC846" s="370"/>
      <c r="AD846" s="370"/>
      <c r="AE846" s="370"/>
      <c r="AF846" s="370"/>
      <c r="AG846" s="370"/>
      <c r="AH846" s="370"/>
      <c r="AI846" s="370"/>
      <c r="AJ846" s="370"/>
      <c r="AL846" s="219"/>
      <c r="AM846" s="219"/>
      <c r="AN846" s="219"/>
      <c r="AO846" s="116"/>
      <c r="AP846" s="116"/>
      <c r="AU846" s="332"/>
      <c r="AV846" s="332"/>
      <c r="AW846" s="332"/>
      <c r="AX846" s="332"/>
      <c r="AY846" s="332"/>
      <c r="AZ846" s="332"/>
      <c r="BA846" s="332"/>
      <c r="BB846" s="31"/>
      <c r="BC846" s="31"/>
      <c r="BD846" s="31"/>
      <c r="BE846" s="31"/>
    </row>
    <row r="847" spans="1:57" ht="13">
      <c r="A847" s="153"/>
      <c r="F847" s="153"/>
      <c r="G847" s="116"/>
      <c r="H847" s="116"/>
      <c r="I847" s="116"/>
      <c r="J847" s="116"/>
      <c r="K847" s="219"/>
      <c r="L847" s="116"/>
      <c r="M847" s="31"/>
      <c r="N847" s="336"/>
      <c r="O847" s="336"/>
      <c r="P847" s="219"/>
      <c r="Q847" s="332"/>
      <c r="R847" s="219"/>
      <c r="S847" s="332"/>
      <c r="T847" s="219"/>
      <c r="U847" s="332"/>
      <c r="V847" s="332"/>
      <c r="W847" s="370"/>
      <c r="X847" s="370"/>
      <c r="Y847" s="370"/>
      <c r="Z847" s="370"/>
      <c r="AA847" s="370"/>
      <c r="AB847" s="370"/>
      <c r="AC847" s="370"/>
      <c r="AD847" s="370"/>
      <c r="AE847" s="370"/>
      <c r="AF847" s="370"/>
      <c r="AG847" s="370"/>
      <c r="AH847" s="370"/>
      <c r="AI847" s="370"/>
      <c r="AJ847" s="370"/>
      <c r="AL847" s="219"/>
      <c r="AM847" s="219"/>
      <c r="AN847" s="219"/>
      <c r="AO847" s="116"/>
      <c r="AP847" s="116"/>
      <c r="AU847" s="332"/>
      <c r="AV847" s="332"/>
      <c r="AW847" s="332"/>
      <c r="AX847" s="332"/>
      <c r="AY847" s="332"/>
      <c r="AZ847" s="332"/>
      <c r="BA847" s="332"/>
      <c r="BB847" s="31"/>
      <c r="BC847" s="31"/>
      <c r="BD847" s="31"/>
      <c r="BE847" s="31"/>
    </row>
    <row r="848" spans="1:57" ht="13">
      <c r="A848" s="153"/>
      <c r="F848" s="153"/>
      <c r="G848" s="116"/>
      <c r="H848" s="116"/>
      <c r="I848" s="116"/>
      <c r="J848" s="116"/>
      <c r="K848" s="219"/>
      <c r="L848" s="116"/>
      <c r="M848" s="31"/>
      <c r="N848" s="336"/>
      <c r="O848" s="336"/>
      <c r="P848" s="219"/>
      <c r="Q848" s="332"/>
      <c r="R848" s="219"/>
      <c r="S848" s="332"/>
      <c r="T848" s="219"/>
      <c r="U848" s="332"/>
      <c r="V848" s="332"/>
      <c r="W848" s="370"/>
      <c r="X848" s="370"/>
      <c r="Y848" s="370"/>
      <c r="Z848" s="370"/>
      <c r="AA848" s="370"/>
      <c r="AB848" s="370"/>
      <c r="AC848" s="370"/>
      <c r="AD848" s="370"/>
      <c r="AE848" s="370"/>
      <c r="AF848" s="370"/>
      <c r="AG848" s="370"/>
      <c r="AH848" s="370"/>
      <c r="AI848" s="370"/>
      <c r="AJ848" s="370"/>
      <c r="AL848" s="219"/>
      <c r="AM848" s="219"/>
      <c r="AN848" s="219"/>
      <c r="AO848" s="116"/>
      <c r="AP848" s="116"/>
      <c r="AU848" s="332"/>
      <c r="AV848" s="332"/>
      <c r="AW848" s="332"/>
      <c r="AX848" s="332"/>
      <c r="AY848" s="332"/>
      <c r="AZ848" s="332"/>
      <c r="BA848" s="332"/>
      <c r="BB848" s="31"/>
      <c r="BC848" s="31"/>
      <c r="BD848" s="31"/>
      <c r="BE848" s="31"/>
    </row>
    <row r="849" spans="1:57" ht="13">
      <c r="A849" s="153"/>
      <c r="F849" s="153"/>
      <c r="G849" s="116"/>
      <c r="H849" s="116"/>
      <c r="I849" s="116"/>
      <c r="J849" s="116"/>
      <c r="K849" s="219"/>
      <c r="L849" s="116"/>
      <c r="M849" s="31"/>
      <c r="N849" s="336"/>
      <c r="O849" s="336"/>
      <c r="P849" s="219"/>
      <c r="Q849" s="332"/>
      <c r="R849" s="219"/>
      <c r="S849" s="332"/>
      <c r="T849" s="219"/>
      <c r="U849" s="332"/>
      <c r="V849" s="332"/>
      <c r="W849" s="370"/>
      <c r="X849" s="370"/>
      <c r="Y849" s="370"/>
      <c r="Z849" s="370"/>
      <c r="AA849" s="370"/>
      <c r="AB849" s="370"/>
      <c r="AC849" s="370"/>
      <c r="AD849" s="370"/>
      <c r="AE849" s="370"/>
      <c r="AF849" s="370"/>
      <c r="AG849" s="370"/>
      <c r="AH849" s="370"/>
      <c r="AI849" s="370"/>
      <c r="AJ849" s="370"/>
      <c r="AL849" s="219"/>
      <c r="AM849" s="219"/>
      <c r="AN849" s="219"/>
      <c r="AO849" s="116"/>
      <c r="AP849" s="116"/>
      <c r="AU849" s="332"/>
      <c r="AV849" s="332"/>
      <c r="AW849" s="332"/>
      <c r="AX849" s="332"/>
      <c r="AY849" s="332"/>
      <c r="AZ849" s="332"/>
      <c r="BA849" s="332"/>
      <c r="BB849" s="31"/>
      <c r="BC849" s="31"/>
      <c r="BD849" s="31"/>
      <c r="BE849" s="31"/>
    </row>
    <row r="850" spans="1:57" ht="13">
      <c r="A850" s="153"/>
      <c r="F850" s="153"/>
      <c r="G850" s="116"/>
      <c r="H850" s="116"/>
      <c r="I850" s="116"/>
      <c r="J850" s="116"/>
      <c r="K850" s="219"/>
      <c r="L850" s="116"/>
      <c r="M850" s="31"/>
      <c r="N850" s="336"/>
      <c r="O850" s="336"/>
      <c r="P850" s="219"/>
      <c r="Q850" s="332"/>
      <c r="R850" s="219"/>
      <c r="S850" s="332"/>
      <c r="T850" s="219"/>
      <c r="U850" s="332"/>
      <c r="V850" s="332"/>
      <c r="W850" s="370"/>
      <c r="X850" s="370"/>
      <c r="Y850" s="370"/>
      <c r="Z850" s="370"/>
      <c r="AA850" s="370"/>
      <c r="AB850" s="370"/>
      <c r="AC850" s="370"/>
      <c r="AD850" s="370"/>
      <c r="AE850" s="370"/>
      <c r="AF850" s="370"/>
      <c r="AG850" s="370"/>
      <c r="AH850" s="370"/>
      <c r="AI850" s="370"/>
      <c r="AJ850" s="370"/>
      <c r="AL850" s="219"/>
      <c r="AM850" s="219"/>
      <c r="AN850" s="219"/>
      <c r="AO850" s="116"/>
      <c r="AP850" s="116"/>
      <c r="AU850" s="332"/>
      <c r="AV850" s="332"/>
      <c r="AW850" s="332"/>
      <c r="AX850" s="332"/>
      <c r="AY850" s="332"/>
      <c r="AZ850" s="332"/>
      <c r="BA850" s="332"/>
      <c r="BB850" s="31"/>
      <c r="BC850" s="31"/>
      <c r="BD850" s="31"/>
      <c r="BE850" s="31"/>
    </row>
    <row r="851" spans="1:57" ht="13">
      <c r="A851" s="153"/>
      <c r="F851" s="153"/>
      <c r="G851" s="116"/>
      <c r="H851" s="116"/>
      <c r="I851" s="116"/>
      <c r="J851" s="116"/>
      <c r="K851" s="219"/>
      <c r="L851" s="116"/>
      <c r="M851" s="31"/>
      <c r="N851" s="336"/>
      <c r="O851" s="336"/>
      <c r="P851" s="219"/>
      <c r="Q851" s="332"/>
      <c r="R851" s="219"/>
      <c r="S851" s="332"/>
      <c r="T851" s="219"/>
      <c r="U851" s="332"/>
      <c r="V851" s="332"/>
      <c r="W851" s="370"/>
      <c r="X851" s="370"/>
      <c r="Y851" s="370"/>
      <c r="Z851" s="370"/>
      <c r="AA851" s="370"/>
      <c r="AB851" s="370"/>
      <c r="AC851" s="370"/>
      <c r="AD851" s="370"/>
      <c r="AE851" s="370"/>
      <c r="AF851" s="370"/>
      <c r="AG851" s="370"/>
      <c r="AH851" s="370"/>
      <c r="AI851" s="370"/>
      <c r="AJ851" s="370"/>
      <c r="AL851" s="219"/>
      <c r="AM851" s="219"/>
      <c r="AN851" s="219"/>
      <c r="AO851" s="116"/>
      <c r="AP851" s="116"/>
      <c r="AU851" s="332"/>
      <c r="AV851" s="332"/>
      <c r="AW851" s="332"/>
      <c r="AX851" s="332"/>
      <c r="AY851" s="332"/>
      <c r="AZ851" s="332"/>
      <c r="BA851" s="332"/>
      <c r="BB851" s="31"/>
      <c r="BC851" s="31"/>
      <c r="BD851" s="31"/>
      <c r="BE851" s="31"/>
    </row>
    <row r="852" spans="1:57" ht="13">
      <c r="A852" s="153"/>
      <c r="F852" s="153"/>
      <c r="G852" s="116"/>
      <c r="H852" s="116"/>
      <c r="I852" s="116"/>
      <c r="J852" s="116"/>
      <c r="K852" s="219"/>
      <c r="L852" s="116"/>
      <c r="M852" s="31"/>
      <c r="N852" s="336"/>
      <c r="O852" s="336"/>
      <c r="P852" s="219"/>
      <c r="Q852" s="332"/>
      <c r="R852" s="219"/>
      <c r="S852" s="332"/>
      <c r="T852" s="219"/>
      <c r="U852" s="332"/>
      <c r="V852" s="332"/>
      <c r="W852" s="370"/>
      <c r="X852" s="370"/>
      <c r="Y852" s="370"/>
      <c r="Z852" s="370"/>
      <c r="AA852" s="370"/>
      <c r="AB852" s="370"/>
      <c r="AC852" s="370"/>
      <c r="AD852" s="370"/>
      <c r="AE852" s="370"/>
      <c r="AF852" s="370"/>
      <c r="AG852" s="370"/>
      <c r="AH852" s="370"/>
      <c r="AI852" s="370"/>
      <c r="AJ852" s="370"/>
      <c r="AL852" s="219"/>
      <c r="AM852" s="219"/>
      <c r="AN852" s="219"/>
      <c r="AO852" s="116"/>
      <c r="AP852" s="116"/>
      <c r="AU852" s="332"/>
      <c r="AV852" s="332"/>
      <c r="AW852" s="332"/>
      <c r="AX852" s="332"/>
      <c r="AY852" s="332"/>
      <c r="AZ852" s="332"/>
      <c r="BA852" s="332"/>
      <c r="BB852" s="31"/>
      <c r="BC852" s="31"/>
      <c r="BD852" s="31"/>
      <c r="BE852" s="31"/>
    </row>
    <row r="853" spans="1:57" ht="13">
      <c r="A853" s="153"/>
      <c r="F853" s="153"/>
      <c r="G853" s="116"/>
      <c r="H853" s="116"/>
      <c r="I853" s="116"/>
      <c r="J853" s="116"/>
      <c r="K853" s="219"/>
      <c r="L853" s="116"/>
      <c r="M853" s="31"/>
      <c r="N853" s="336"/>
      <c r="O853" s="336"/>
      <c r="P853" s="219"/>
      <c r="Q853" s="332"/>
      <c r="R853" s="219"/>
      <c r="S853" s="332"/>
      <c r="T853" s="219"/>
      <c r="U853" s="332"/>
      <c r="V853" s="332"/>
      <c r="W853" s="370"/>
      <c r="X853" s="370"/>
      <c r="Y853" s="370"/>
      <c r="Z853" s="370"/>
      <c r="AA853" s="370"/>
      <c r="AB853" s="370"/>
      <c r="AC853" s="370"/>
      <c r="AD853" s="370"/>
      <c r="AE853" s="370"/>
      <c r="AF853" s="370"/>
      <c r="AG853" s="370"/>
      <c r="AH853" s="370"/>
      <c r="AI853" s="370"/>
      <c r="AJ853" s="370"/>
      <c r="AL853" s="219"/>
      <c r="AM853" s="219"/>
      <c r="AN853" s="219"/>
      <c r="AO853" s="116"/>
      <c r="AP853" s="116"/>
      <c r="AU853" s="332"/>
      <c r="AV853" s="332"/>
      <c r="AW853" s="332"/>
      <c r="AX853" s="332"/>
      <c r="AY853" s="332"/>
      <c r="AZ853" s="332"/>
      <c r="BA853" s="332"/>
      <c r="BB853" s="31"/>
      <c r="BC853" s="31"/>
      <c r="BD853" s="31"/>
      <c r="BE853" s="31"/>
    </row>
    <row r="854" spans="1:57" ht="13">
      <c r="A854" s="153"/>
      <c r="F854" s="153"/>
      <c r="G854" s="116"/>
      <c r="H854" s="116"/>
      <c r="I854" s="116"/>
      <c r="J854" s="116"/>
      <c r="K854" s="219"/>
      <c r="L854" s="116"/>
      <c r="M854" s="31"/>
      <c r="N854" s="336"/>
      <c r="O854" s="336"/>
      <c r="P854" s="219"/>
      <c r="Q854" s="332"/>
      <c r="R854" s="219"/>
      <c r="S854" s="332"/>
      <c r="T854" s="219"/>
      <c r="U854" s="332"/>
      <c r="V854" s="332"/>
      <c r="W854" s="370"/>
      <c r="X854" s="370"/>
      <c r="Y854" s="370"/>
      <c r="Z854" s="370"/>
      <c r="AA854" s="370"/>
      <c r="AB854" s="370"/>
      <c r="AC854" s="370"/>
      <c r="AD854" s="370"/>
      <c r="AE854" s="370"/>
      <c r="AF854" s="370"/>
      <c r="AG854" s="370"/>
      <c r="AH854" s="370"/>
      <c r="AI854" s="370"/>
      <c r="AJ854" s="370"/>
      <c r="AL854" s="219"/>
      <c r="AM854" s="219"/>
      <c r="AN854" s="219"/>
      <c r="AO854" s="116"/>
      <c r="AP854" s="116"/>
      <c r="AU854" s="332"/>
      <c r="AV854" s="332"/>
      <c r="AW854" s="332"/>
      <c r="AX854" s="332"/>
      <c r="AY854" s="332"/>
      <c r="AZ854" s="332"/>
      <c r="BA854" s="332"/>
      <c r="BB854" s="31"/>
      <c r="BC854" s="31"/>
      <c r="BD854" s="31"/>
      <c r="BE854" s="31"/>
    </row>
    <row r="855" spans="1:57" ht="13">
      <c r="A855" s="153"/>
      <c r="F855" s="153"/>
      <c r="G855" s="116"/>
      <c r="H855" s="116"/>
      <c r="I855" s="116"/>
      <c r="J855" s="116"/>
      <c r="K855" s="219"/>
      <c r="L855" s="116"/>
      <c r="M855" s="31"/>
      <c r="N855" s="336"/>
      <c r="O855" s="336"/>
      <c r="P855" s="219"/>
      <c r="Q855" s="332"/>
      <c r="R855" s="219"/>
      <c r="S855" s="332"/>
      <c r="T855" s="219"/>
      <c r="U855" s="332"/>
      <c r="V855" s="332"/>
      <c r="W855" s="370"/>
      <c r="X855" s="370"/>
      <c r="Y855" s="370"/>
      <c r="Z855" s="370"/>
      <c r="AA855" s="370"/>
      <c r="AB855" s="370"/>
      <c r="AC855" s="370"/>
      <c r="AD855" s="370"/>
      <c r="AE855" s="370"/>
      <c r="AF855" s="370"/>
      <c r="AG855" s="370"/>
      <c r="AH855" s="370"/>
      <c r="AI855" s="370"/>
      <c r="AJ855" s="370"/>
      <c r="AL855" s="219"/>
      <c r="AM855" s="219"/>
      <c r="AN855" s="219"/>
      <c r="AO855" s="116"/>
      <c r="AP855" s="116"/>
      <c r="AU855" s="332"/>
      <c r="AV855" s="332"/>
      <c r="AW855" s="332"/>
      <c r="AX855" s="332"/>
      <c r="AY855" s="332"/>
      <c r="AZ855" s="332"/>
      <c r="BA855" s="332"/>
      <c r="BB855" s="31"/>
      <c r="BC855" s="31"/>
      <c r="BD855" s="31"/>
      <c r="BE855" s="31"/>
    </row>
    <row r="856" spans="1:57" ht="13">
      <c r="A856" s="153"/>
      <c r="F856" s="153"/>
      <c r="G856" s="116"/>
      <c r="H856" s="116"/>
      <c r="I856" s="116"/>
      <c r="J856" s="116"/>
      <c r="K856" s="219"/>
      <c r="L856" s="116"/>
      <c r="M856" s="31"/>
      <c r="N856" s="336"/>
      <c r="O856" s="336"/>
      <c r="P856" s="219"/>
      <c r="Q856" s="332"/>
      <c r="R856" s="219"/>
      <c r="S856" s="332"/>
      <c r="T856" s="219"/>
      <c r="U856" s="332"/>
      <c r="V856" s="332"/>
      <c r="W856" s="370"/>
      <c r="X856" s="370"/>
      <c r="Y856" s="370"/>
      <c r="Z856" s="370"/>
      <c r="AA856" s="370"/>
      <c r="AB856" s="370"/>
      <c r="AC856" s="370"/>
      <c r="AD856" s="370"/>
      <c r="AE856" s="370"/>
      <c r="AF856" s="370"/>
      <c r="AG856" s="370"/>
      <c r="AH856" s="370"/>
      <c r="AI856" s="370"/>
      <c r="AJ856" s="370"/>
      <c r="AL856" s="219"/>
      <c r="AM856" s="219"/>
      <c r="AN856" s="219"/>
      <c r="AO856" s="116"/>
      <c r="AP856" s="116"/>
      <c r="AU856" s="332"/>
      <c r="AV856" s="332"/>
      <c r="AW856" s="332"/>
      <c r="AX856" s="332"/>
      <c r="AY856" s="332"/>
      <c r="AZ856" s="332"/>
      <c r="BA856" s="332"/>
      <c r="BB856" s="31"/>
      <c r="BC856" s="31"/>
      <c r="BD856" s="31"/>
      <c r="BE856" s="31"/>
    </row>
    <row r="857" spans="1:57" ht="13">
      <c r="A857" s="153"/>
      <c r="F857" s="153"/>
      <c r="G857" s="116"/>
      <c r="H857" s="116"/>
      <c r="I857" s="116"/>
      <c r="J857" s="116"/>
      <c r="K857" s="219"/>
      <c r="L857" s="116"/>
      <c r="M857" s="31"/>
      <c r="N857" s="336"/>
      <c r="O857" s="336"/>
      <c r="P857" s="219"/>
      <c r="Q857" s="332"/>
      <c r="R857" s="219"/>
      <c r="S857" s="332"/>
      <c r="T857" s="219"/>
      <c r="U857" s="332"/>
      <c r="V857" s="332"/>
      <c r="W857" s="370"/>
      <c r="X857" s="370"/>
      <c r="Y857" s="370"/>
      <c r="Z857" s="370"/>
      <c r="AA857" s="370"/>
      <c r="AB857" s="370"/>
      <c r="AC857" s="370"/>
      <c r="AD857" s="370"/>
      <c r="AE857" s="370"/>
      <c r="AF857" s="370"/>
      <c r="AG857" s="370"/>
      <c r="AH857" s="370"/>
      <c r="AI857" s="370"/>
      <c r="AJ857" s="370"/>
      <c r="AL857" s="219"/>
      <c r="AM857" s="219"/>
      <c r="AN857" s="219"/>
      <c r="AO857" s="116"/>
      <c r="AP857" s="116"/>
      <c r="AU857" s="332"/>
      <c r="AV857" s="332"/>
      <c r="AW857" s="332"/>
      <c r="AX857" s="332"/>
      <c r="AY857" s="332"/>
      <c r="AZ857" s="332"/>
      <c r="BA857" s="332"/>
      <c r="BB857" s="31"/>
      <c r="BC857" s="31"/>
      <c r="BD857" s="31"/>
      <c r="BE857" s="31"/>
    </row>
    <row r="858" spans="1:57" ht="13">
      <c r="A858" s="153"/>
      <c r="F858" s="153"/>
      <c r="G858" s="116"/>
      <c r="H858" s="116"/>
      <c r="I858" s="116"/>
      <c r="J858" s="116"/>
      <c r="K858" s="219"/>
      <c r="L858" s="116"/>
      <c r="M858" s="31"/>
      <c r="N858" s="336"/>
      <c r="O858" s="336"/>
      <c r="P858" s="219"/>
      <c r="Q858" s="332"/>
      <c r="R858" s="219"/>
      <c r="S858" s="332"/>
      <c r="T858" s="219"/>
      <c r="U858" s="332"/>
      <c r="V858" s="332"/>
      <c r="W858" s="370"/>
      <c r="X858" s="370"/>
      <c r="Y858" s="370"/>
      <c r="Z858" s="370"/>
      <c r="AA858" s="370"/>
      <c r="AB858" s="370"/>
      <c r="AC858" s="370"/>
      <c r="AD858" s="370"/>
      <c r="AE858" s="370"/>
      <c r="AF858" s="370"/>
      <c r="AG858" s="370"/>
      <c r="AH858" s="370"/>
      <c r="AI858" s="370"/>
      <c r="AJ858" s="370"/>
      <c r="AL858" s="219"/>
      <c r="AM858" s="219"/>
      <c r="AN858" s="219"/>
      <c r="AO858" s="116"/>
      <c r="AP858" s="116"/>
      <c r="AU858" s="332"/>
      <c r="AV858" s="332"/>
      <c r="AW858" s="332"/>
      <c r="AX858" s="332"/>
      <c r="AY858" s="332"/>
      <c r="AZ858" s="332"/>
      <c r="BA858" s="332"/>
      <c r="BB858" s="31"/>
      <c r="BC858" s="31"/>
      <c r="BD858" s="31"/>
      <c r="BE858" s="31"/>
    </row>
    <row r="859" spans="1:57" ht="13">
      <c r="A859" s="153"/>
      <c r="F859" s="153"/>
      <c r="G859" s="116"/>
      <c r="H859" s="116"/>
      <c r="I859" s="116"/>
      <c r="J859" s="116"/>
      <c r="K859" s="219"/>
      <c r="L859" s="116"/>
      <c r="M859" s="31"/>
      <c r="N859" s="336"/>
      <c r="O859" s="336"/>
      <c r="P859" s="219"/>
      <c r="Q859" s="332"/>
      <c r="R859" s="219"/>
      <c r="S859" s="332"/>
      <c r="T859" s="219"/>
      <c r="U859" s="332"/>
      <c r="V859" s="332"/>
      <c r="W859" s="370"/>
      <c r="X859" s="370"/>
      <c r="Y859" s="370"/>
      <c r="Z859" s="370"/>
      <c r="AA859" s="370"/>
      <c r="AB859" s="370"/>
      <c r="AC859" s="370"/>
      <c r="AD859" s="370"/>
      <c r="AE859" s="370"/>
      <c r="AF859" s="370"/>
      <c r="AG859" s="370"/>
      <c r="AH859" s="370"/>
      <c r="AI859" s="370"/>
      <c r="AJ859" s="370"/>
      <c r="AL859" s="219"/>
      <c r="AM859" s="219"/>
      <c r="AN859" s="219"/>
      <c r="AO859" s="116"/>
      <c r="AP859" s="116"/>
      <c r="AU859" s="332"/>
      <c r="AV859" s="332"/>
      <c r="AW859" s="332"/>
      <c r="AX859" s="332"/>
      <c r="AY859" s="332"/>
      <c r="AZ859" s="332"/>
      <c r="BA859" s="332"/>
      <c r="BB859" s="31"/>
      <c r="BC859" s="31"/>
      <c r="BD859" s="31"/>
      <c r="BE859" s="31"/>
    </row>
    <row r="860" spans="1:57" ht="13">
      <c r="A860" s="153"/>
      <c r="F860" s="153"/>
      <c r="G860" s="116"/>
      <c r="H860" s="116"/>
      <c r="I860" s="116"/>
      <c r="J860" s="116"/>
      <c r="K860" s="219"/>
      <c r="L860" s="116"/>
      <c r="M860" s="31"/>
      <c r="N860" s="336"/>
      <c r="O860" s="336"/>
      <c r="P860" s="219"/>
      <c r="Q860" s="332"/>
      <c r="R860" s="219"/>
      <c r="S860" s="332"/>
      <c r="T860" s="219"/>
      <c r="U860" s="332"/>
      <c r="V860" s="332"/>
      <c r="W860" s="370"/>
      <c r="X860" s="370"/>
      <c r="Y860" s="370"/>
      <c r="Z860" s="370"/>
      <c r="AA860" s="370"/>
      <c r="AB860" s="370"/>
      <c r="AC860" s="370"/>
      <c r="AD860" s="370"/>
      <c r="AE860" s="370"/>
      <c r="AF860" s="370"/>
      <c r="AG860" s="370"/>
      <c r="AH860" s="370"/>
      <c r="AI860" s="370"/>
      <c r="AJ860" s="370"/>
      <c r="AL860" s="219"/>
      <c r="AM860" s="219"/>
      <c r="AN860" s="219"/>
      <c r="AO860" s="116"/>
      <c r="AP860" s="116"/>
      <c r="AU860" s="332"/>
      <c r="AV860" s="332"/>
      <c r="AW860" s="332"/>
      <c r="AX860" s="332"/>
      <c r="AY860" s="332"/>
      <c r="AZ860" s="332"/>
      <c r="BA860" s="332"/>
      <c r="BB860" s="31"/>
      <c r="BC860" s="31"/>
      <c r="BD860" s="31"/>
      <c r="BE860" s="31"/>
    </row>
    <row r="861" spans="1:57" ht="13">
      <c r="A861" s="153"/>
      <c r="F861" s="153"/>
      <c r="G861" s="116"/>
      <c r="H861" s="116"/>
      <c r="I861" s="116"/>
      <c r="J861" s="116"/>
      <c r="K861" s="219"/>
      <c r="L861" s="116"/>
      <c r="M861" s="31"/>
      <c r="N861" s="336"/>
      <c r="O861" s="336"/>
      <c r="P861" s="219"/>
      <c r="Q861" s="332"/>
      <c r="R861" s="219"/>
      <c r="S861" s="332"/>
      <c r="T861" s="219"/>
      <c r="U861" s="332"/>
      <c r="V861" s="332"/>
      <c r="W861" s="370"/>
      <c r="X861" s="370"/>
      <c r="Y861" s="370"/>
      <c r="Z861" s="370"/>
      <c r="AA861" s="370"/>
      <c r="AB861" s="370"/>
      <c r="AC861" s="370"/>
      <c r="AD861" s="370"/>
      <c r="AE861" s="370"/>
      <c r="AF861" s="370"/>
      <c r="AG861" s="370"/>
      <c r="AH861" s="370"/>
      <c r="AI861" s="370"/>
      <c r="AJ861" s="370"/>
      <c r="AL861" s="219"/>
      <c r="AM861" s="219"/>
      <c r="AN861" s="219"/>
      <c r="AO861" s="116"/>
      <c r="AP861" s="116"/>
      <c r="AU861" s="332"/>
      <c r="AV861" s="332"/>
      <c r="AW861" s="332"/>
      <c r="AX861" s="332"/>
      <c r="AY861" s="332"/>
      <c r="AZ861" s="332"/>
      <c r="BA861" s="332"/>
      <c r="BB861" s="31"/>
      <c r="BC861" s="31"/>
      <c r="BD861" s="31"/>
      <c r="BE861" s="31"/>
    </row>
    <row r="862" spans="1:57" ht="13">
      <c r="A862" s="153"/>
      <c r="F862" s="153"/>
      <c r="G862" s="116"/>
      <c r="H862" s="116"/>
      <c r="I862" s="116"/>
      <c r="J862" s="116"/>
      <c r="K862" s="219"/>
      <c r="L862" s="116"/>
      <c r="M862" s="31"/>
      <c r="N862" s="336"/>
      <c r="O862" s="336"/>
      <c r="P862" s="219"/>
      <c r="Q862" s="332"/>
      <c r="R862" s="219"/>
      <c r="S862" s="332"/>
      <c r="T862" s="219"/>
      <c r="U862" s="332"/>
      <c r="V862" s="332"/>
      <c r="W862" s="370"/>
      <c r="X862" s="370"/>
      <c r="Y862" s="370"/>
      <c r="Z862" s="370"/>
      <c r="AA862" s="370"/>
      <c r="AB862" s="370"/>
      <c r="AC862" s="370"/>
      <c r="AD862" s="370"/>
      <c r="AE862" s="370"/>
      <c r="AF862" s="370"/>
      <c r="AG862" s="370"/>
      <c r="AH862" s="370"/>
      <c r="AI862" s="370"/>
      <c r="AJ862" s="370"/>
      <c r="AL862" s="219"/>
      <c r="AM862" s="219"/>
      <c r="AN862" s="219"/>
      <c r="AO862" s="116"/>
      <c r="AP862" s="116"/>
      <c r="AU862" s="332"/>
      <c r="AV862" s="332"/>
      <c r="AW862" s="332"/>
      <c r="AX862" s="332"/>
      <c r="AY862" s="332"/>
      <c r="AZ862" s="332"/>
      <c r="BA862" s="332"/>
      <c r="BB862" s="31"/>
      <c r="BC862" s="31"/>
      <c r="BD862" s="31"/>
      <c r="BE862" s="31"/>
    </row>
    <row r="863" spans="1:57" ht="13">
      <c r="A863" s="153"/>
      <c r="F863" s="153"/>
      <c r="G863" s="116"/>
      <c r="H863" s="116"/>
      <c r="I863" s="116"/>
      <c r="J863" s="116"/>
      <c r="K863" s="219"/>
      <c r="L863" s="116"/>
      <c r="M863" s="31"/>
      <c r="N863" s="336"/>
      <c r="O863" s="336"/>
      <c r="P863" s="219"/>
      <c r="Q863" s="332"/>
      <c r="R863" s="219"/>
      <c r="S863" s="332"/>
      <c r="T863" s="219"/>
      <c r="U863" s="332"/>
      <c r="V863" s="332"/>
      <c r="W863" s="370"/>
      <c r="X863" s="370"/>
      <c r="Y863" s="370"/>
      <c r="Z863" s="370"/>
      <c r="AA863" s="370"/>
      <c r="AB863" s="370"/>
      <c r="AC863" s="370"/>
      <c r="AD863" s="370"/>
      <c r="AE863" s="370"/>
      <c r="AF863" s="370"/>
      <c r="AG863" s="370"/>
      <c r="AH863" s="370"/>
      <c r="AI863" s="370"/>
      <c r="AJ863" s="370"/>
      <c r="AL863" s="219"/>
      <c r="AM863" s="219"/>
      <c r="AN863" s="219"/>
      <c r="AO863" s="116"/>
      <c r="AP863" s="116"/>
      <c r="AU863" s="332"/>
      <c r="AV863" s="332"/>
      <c r="AW863" s="332"/>
      <c r="AX863" s="332"/>
      <c r="AY863" s="332"/>
      <c r="AZ863" s="332"/>
      <c r="BA863" s="332"/>
      <c r="BB863" s="31"/>
      <c r="BC863" s="31"/>
      <c r="BD863" s="31"/>
      <c r="BE863" s="31"/>
    </row>
    <row r="864" spans="1:57" ht="13">
      <c r="A864" s="153"/>
      <c r="F864" s="153"/>
      <c r="G864" s="116"/>
      <c r="H864" s="116"/>
      <c r="I864" s="116"/>
      <c r="J864" s="116"/>
      <c r="K864" s="219"/>
      <c r="L864" s="116"/>
      <c r="M864" s="31"/>
      <c r="N864" s="336"/>
      <c r="O864" s="336"/>
      <c r="P864" s="219"/>
      <c r="Q864" s="332"/>
      <c r="R864" s="219"/>
      <c r="S864" s="332"/>
      <c r="T864" s="219"/>
      <c r="U864" s="332"/>
      <c r="V864" s="332"/>
      <c r="W864" s="370"/>
      <c r="X864" s="370"/>
      <c r="Y864" s="370"/>
      <c r="Z864" s="370"/>
      <c r="AA864" s="370"/>
      <c r="AB864" s="370"/>
      <c r="AC864" s="370"/>
      <c r="AD864" s="370"/>
      <c r="AE864" s="370"/>
      <c r="AF864" s="370"/>
      <c r="AG864" s="370"/>
      <c r="AH864" s="370"/>
      <c r="AI864" s="370"/>
      <c r="AJ864" s="370"/>
      <c r="AL864" s="219"/>
      <c r="AM864" s="219"/>
      <c r="AN864" s="219"/>
      <c r="AO864" s="116"/>
      <c r="AP864" s="116"/>
      <c r="AU864" s="332"/>
      <c r="AV864" s="332"/>
      <c r="AW864" s="332"/>
      <c r="AX864" s="332"/>
      <c r="AY864" s="332"/>
      <c r="AZ864" s="332"/>
      <c r="BA864" s="332"/>
      <c r="BB864" s="31"/>
      <c r="BC864" s="31"/>
      <c r="BD864" s="31"/>
      <c r="BE864" s="31"/>
    </row>
    <row r="865" spans="1:57" ht="13">
      <c r="A865" s="153"/>
      <c r="F865" s="153"/>
      <c r="G865" s="116"/>
      <c r="H865" s="116"/>
      <c r="I865" s="116"/>
      <c r="J865" s="116"/>
      <c r="K865" s="219"/>
      <c r="L865" s="116"/>
      <c r="M865" s="31"/>
      <c r="N865" s="336"/>
      <c r="O865" s="336"/>
      <c r="P865" s="219"/>
      <c r="Q865" s="332"/>
      <c r="R865" s="219"/>
      <c r="S865" s="332"/>
      <c r="T865" s="219"/>
      <c r="U865" s="332"/>
      <c r="V865" s="332"/>
      <c r="W865" s="370"/>
      <c r="X865" s="370"/>
      <c r="Y865" s="370"/>
      <c r="Z865" s="370"/>
      <c r="AA865" s="370"/>
      <c r="AB865" s="370"/>
      <c r="AC865" s="370"/>
      <c r="AD865" s="370"/>
      <c r="AE865" s="370"/>
      <c r="AF865" s="370"/>
      <c r="AG865" s="370"/>
      <c r="AH865" s="370"/>
      <c r="AI865" s="370"/>
      <c r="AJ865" s="370"/>
      <c r="AL865" s="219"/>
      <c r="AM865" s="219"/>
      <c r="AN865" s="219"/>
      <c r="AO865" s="116"/>
      <c r="AP865" s="116"/>
      <c r="AU865" s="332"/>
      <c r="AV865" s="332"/>
      <c r="AW865" s="332"/>
      <c r="AX865" s="332"/>
      <c r="AY865" s="332"/>
      <c r="AZ865" s="332"/>
      <c r="BA865" s="332"/>
      <c r="BB865" s="31"/>
      <c r="BC865" s="31"/>
      <c r="BD865" s="31"/>
      <c r="BE865" s="31"/>
    </row>
    <row r="866" spans="1:57" ht="13">
      <c r="A866" s="153"/>
      <c r="F866" s="153"/>
      <c r="G866" s="116"/>
      <c r="H866" s="116"/>
      <c r="I866" s="116"/>
      <c r="J866" s="116"/>
      <c r="K866" s="219"/>
      <c r="L866" s="116"/>
      <c r="M866" s="31"/>
      <c r="N866" s="336"/>
      <c r="O866" s="336"/>
      <c r="P866" s="219"/>
      <c r="Q866" s="332"/>
      <c r="R866" s="219"/>
      <c r="S866" s="332"/>
      <c r="T866" s="219"/>
      <c r="U866" s="332"/>
      <c r="V866" s="332"/>
      <c r="W866" s="370"/>
      <c r="X866" s="370"/>
      <c r="Y866" s="370"/>
      <c r="Z866" s="370"/>
      <c r="AA866" s="370"/>
      <c r="AB866" s="370"/>
      <c r="AC866" s="370"/>
      <c r="AD866" s="370"/>
      <c r="AE866" s="370"/>
      <c r="AF866" s="370"/>
      <c r="AG866" s="370"/>
      <c r="AH866" s="370"/>
      <c r="AI866" s="370"/>
      <c r="AJ866" s="370"/>
      <c r="AL866" s="219"/>
      <c r="AM866" s="219"/>
      <c r="AN866" s="219"/>
      <c r="AO866" s="116"/>
      <c r="AP866" s="116"/>
      <c r="AU866" s="332"/>
      <c r="AV866" s="332"/>
      <c r="AW866" s="332"/>
      <c r="AX866" s="332"/>
      <c r="AY866" s="332"/>
      <c r="AZ866" s="332"/>
      <c r="BA866" s="332"/>
      <c r="BB866" s="31"/>
      <c r="BC866" s="31"/>
      <c r="BD866" s="31"/>
      <c r="BE866" s="31"/>
    </row>
    <row r="867" spans="1:57" ht="13">
      <c r="A867" s="153"/>
      <c r="F867" s="153"/>
      <c r="G867" s="116"/>
      <c r="H867" s="116"/>
      <c r="I867" s="116"/>
      <c r="J867" s="116"/>
      <c r="K867" s="219"/>
      <c r="L867" s="116"/>
      <c r="M867" s="31"/>
      <c r="N867" s="336"/>
      <c r="O867" s="336"/>
      <c r="P867" s="219"/>
      <c r="Q867" s="332"/>
      <c r="R867" s="219"/>
      <c r="S867" s="332"/>
      <c r="T867" s="219"/>
      <c r="U867" s="332"/>
      <c r="V867" s="332"/>
      <c r="W867" s="370"/>
      <c r="X867" s="370"/>
      <c r="Y867" s="370"/>
      <c r="Z867" s="370"/>
      <c r="AA867" s="370"/>
      <c r="AB867" s="370"/>
      <c r="AC867" s="370"/>
      <c r="AD867" s="370"/>
      <c r="AE867" s="370"/>
      <c r="AF867" s="370"/>
      <c r="AG867" s="370"/>
      <c r="AH867" s="370"/>
      <c r="AI867" s="370"/>
      <c r="AJ867" s="370"/>
      <c r="AL867" s="219"/>
      <c r="AM867" s="219"/>
      <c r="AN867" s="219"/>
      <c r="AO867" s="116"/>
      <c r="AP867" s="116"/>
      <c r="AU867" s="332"/>
      <c r="AV867" s="332"/>
      <c r="AW867" s="332"/>
      <c r="AX867" s="332"/>
      <c r="AY867" s="332"/>
      <c r="AZ867" s="332"/>
      <c r="BA867" s="332"/>
      <c r="BB867" s="31"/>
      <c r="BC867" s="31"/>
      <c r="BD867" s="31"/>
      <c r="BE867" s="31"/>
    </row>
    <row r="868" spans="1:57" ht="13">
      <c r="A868" s="153"/>
      <c r="F868" s="153"/>
      <c r="G868" s="116"/>
      <c r="H868" s="116"/>
      <c r="I868" s="116"/>
      <c r="J868" s="116"/>
      <c r="K868" s="219"/>
      <c r="L868" s="116"/>
      <c r="M868" s="31"/>
      <c r="N868" s="336"/>
      <c r="O868" s="336"/>
      <c r="P868" s="219"/>
      <c r="Q868" s="332"/>
      <c r="R868" s="219"/>
      <c r="S868" s="332"/>
      <c r="T868" s="219"/>
      <c r="U868" s="332"/>
      <c r="V868" s="332"/>
      <c r="W868" s="370"/>
      <c r="X868" s="370"/>
      <c r="Y868" s="370"/>
      <c r="Z868" s="370"/>
      <c r="AA868" s="370"/>
      <c r="AB868" s="370"/>
      <c r="AC868" s="370"/>
      <c r="AD868" s="370"/>
      <c r="AE868" s="370"/>
      <c r="AF868" s="370"/>
      <c r="AG868" s="370"/>
      <c r="AH868" s="370"/>
      <c r="AI868" s="370"/>
      <c r="AJ868" s="370"/>
      <c r="AL868" s="219"/>
      <c r="AM868" s="219"/>
      <c r="AN868" s="219"/>
      <c r="AO868" s="116"/>
      <c r="AP868" s="116"/>
      <c r="AU868" s="332"/>
      <c r="AV868" s="332"/>
      <c r="AW868" s="332"/>
      <c r="AX868" s="332"/>
      <c r="AY868" s="332"/>
      <c r="AZ868" s="332"/>
      <c r="BA868" s="332"/>
      <c r="BB868" s="31"/>
      <c r="BC868" s="31"/>
      <c r="BD868" s="31"/>
      <c r="BE868" s="31"/>
    </row>
    <row r="869" spans="1:57" ht="13">
      <c r="A869" s="153"/>
      <c r="F869" s="153"/>
      <c r="G869" s="116"/>
      <c r="H869" s="116"/>
      <c r="I869" s="116"/>
      <c r="J869" s="116"/>
      <c r="K869" s="219"/>
      <c r="L869" s="116"/>
      <c r="M869" s="31"/>
      <c r="N869" s="336"/>
      <c r="O869" s="336"/>
      <c r="P869" s="219"/>
      <c r="Q869" s="332"/>
      <c r="R869" s="219"/>
      <c r="S869" s="332"/>
      <c r="T869" s="219"/>
      <c r="U869" s="332"/>
      <c r="V869" s="332"/>
      <c r="W869" s="370"/>
      <c r="X869" s="370"/>
      <c r="Y869" s="370"/>
      <c r="Z869" s="370"/>
      <c r="AA869" s="370"/>
      <c r="AB869" s="370"/>
      <c r="AC869" s="370"/>
      <c r="AD869" s="370"/>
      <c r="AE869" s="370"/>
      <c r="AF869" s="370"/>
      <c r="AG869" s="370"/>
      <c r="AH869" s="370"/>
      <c r="AI869" s="370"/>
      <c r="AJ869" s="370"/>
      <c r="AL869" s="219"/>
      <c r="AM869" s="219"/>
      <c r="AN869" s="219"/>
      <c r="AO869" s="116"/>
      <c r="AP869" s="116"/>
      <c r="AU869" s="332"/>
      <c r="AV869" s="332"/>
      <c r="AW869" s="332"/>
      <c r="AX869" s="332"/>
      <c r="AY869" s="332"/>
      <c r="AZ869" s="332"/>
      <c r="BA869" s="332"/>
      <c r="BB869" s="31"/>
      <c r="BC869" s="31"/>
      <c r="BD869" s="31"/>
      <c r="BE869" s="31"/>
    </row>
    <row r="870" spans="1:57" ht="13">
      <c r="A870" s="153"/>
      <c r="F870" s="153"/>
      <c r="G870" s="116"/>
      <c r="H870" s="116"/>
      <c r="I870" s="116"/>
      <c r="J870" s="116"/>
      <c r="K870" s="219"/>
      <c r="L870" s="116"/>
      <c r="M870" s="31"/>
      <c r="N870" s="336"/>
      <c r="O870" s="336"/>
      <c r="P870" s="219"/>
      <c r="Q870" s="332"/>
      <c r="R870" s="219"/>
      <c r="S870" s="332"/>
      <c r="T870" s="219"/>
      <c r="U870" s="332"/>
      <c r="V870" s="332"/>
      <c r="W870" s="370"/>
      <c r="X870" s="370"/>
      <c r="Y870" s="370"/>
      <c r="Z870" s="370"/>
      <c r="AA870" s="370"/>
      <c r="AB870" s="370"/>
      <c r="AC870" s="370"/>
      <c r="AD870" s="370"/>
      <c r="AE870" s="370"/>
      <c r="AF870" s="370"/>
      <c r="AG870" s="370"/>
      <c r="AH870" s="370"/>
      <c r="AI870" s="370"/>
      <c r="AJ870" s="370"/>
      <c r="AL870" s="219"/>
      <c r="AM870" s="219"/>
      <c r="AN870" s="219"/>
      <c r="AO870" s="116"/>
      <c r="AP870" s="116"/>
      <c r="AU870" s="332"/>
      <c r="AV870" s="332"/>
      <c r="AW870" s="332"/>
      <c r="AX870" s="332"/>
      <c r="AY870" s="332"/>
      <c r="AZ870" s="332"/>
      <c r="BA870" s="332"/>
      <c r="BB870" s="31"/>
      <c r="BC870" s="31"/>
      <c r="BD870" s="31"/>
      <c r="BE870" s="31"/>
    </row>
    <row r="871" spans="1:57" ht="13">
      <c r="A871" s="153"/>
      <c r="F871" s="153"/>
      <c r="G871" s="116"/>
      <c r="H871" s="116"/>
      <c r="I871" s="116"/>
      <c r="J871" s="116"/>
      <c r="K871" s="219"/>
      <c r="L871" s="116"/>
      <c r="M871" s="31"/>
      <c r="N871" s="336"/>
      <c r="O871" s="336"/>
      <c r="P871" s="219"/>
      <c r="Q871" s="332"/>
      <c r="R871" s="219"/>
      <c r="S871" s="332"/>
      <c r="T871" s="219"/>
      <c r="U871" s="332"/>
      <c r="V871" s="332"/>
      <c r="W871" s="370"/>
      <c r="X871" s="370"/>
      <c r="Y871" s="370"/>
      <c r="Z871" s="370"/>
      <c r="AA871" s="370"/>
      <c r="AB871" s="370"/>
      <c r="AC871" s="370"/>
      <c r="AD871" s="370"/>
      <c r="AE871" s="370"/>
      <c r="AF871" s="370"/>
      <c r="AG871" s="370"/>
      <c r="AH871" s="370"/>
      <c r="AI871" s="370"/>
      <c r="AJ871" s="370"/>
      <c r="AL871" s="219"/>
      <c r="AM871" s="219"/>
      <c r="AN871" s="219"/>
      <c r="AO871" s="116"/>
      <c r="AP871" s="116"/>
      <c r="AU871" s="332"/>
      <c r="AV871" s="332"/>
      <c r="AW871" s="332"/>
      <c r="AX871" s="332"/>
      <c r="AY871" s="332"/>
      <c r="AZ871" s="332"/>
      <c r="BA871" s="332"/>
      <c r="BB871" s="31"/>
      <c r="BC871" s="31"/>
      <c r="BD871" s="31"/>
      <c r="BE871" s="31"/>
    </row>
    <row r="872" spans="1:57" ht="13">
      <c r="A872" s="153"/>
      <c r="F872" s="153"/>
      <c r="G872" s="116"/>
      <c r="H872" s="116"/>
      <c r="I872" s="116"/>
      <c r="J872" s="116"/>
      <c r="K872" s="219"/>
      <c r="L872" s="116"/>
      <c r="M872" s="31"/>
      <c r="N872" s="336"/>
      <c r="O872" s="336"/>
      <c r="P872" s="219"/>
      <c r="Q872" s="332"/>
      <c r="R872" s="219"/>
      <c r="S872" s="332"/>
      <c r="T872" s="219"/>
      <c r="U872" s="332"/>
      <c r="V872" s="332"/>
      <c r="W872" s="370"/>
      <c r="X872" s="370"/>
      <c r="Y872" s="370"/>
      <c r="Z872" s="370"/>
      <c r="AA872" s="370"/>
      <c r="AB872" s="370"/>
      <c r="AC872" s="370"/>
      <c r="AD872" s="370"/>
      <c r="AE872" s="370"/>
      <c r="AF872" s="370"/>
      <c r="AG872" s="370"/>
      <c r="AH872" s="370"/>
      <c r="AI872" s="370"/>
      <c r="AJ872" s="370"/>
      <c r="AL872" s="219"/>
      <c r="AM872" s="219"/>
      <c r="AN872" s="219"/>
      <c r="AO872" s="116"/>
      <c r="AP872" s="116"/>
      <c r="AU872" s="332"/>
      <c r="AV872" s="332"/>
      <c r="AW872" s="332"/>
      <c r="AX872" s="332"/>
      <c r="AY872" s="332"/>
      <c r="AZ872" s="332"/>
      <c r="BA872" s="332"/>
      <c r="BB872" s="31"/>
      <c r="BC872" s="31"/>
      <c r="BD872" s="31"/>
      <c r="BE872" s="31"/>
    </row>
    <row r="873" spans="1:57" ht="13">
      <c r="A873" s="153"/>
      <c r="F873" s="153"/>
      <c r="G873" s="116"/>
      <c r="H873" s="116"/>
      <c r="I873" s="116"/>
      <c r="J873" s="116"/>
      <c r="K873" s="219"/>
      <c r="L873" s="116"/>
      <c r="M873" s="31"/>
      <c r="N873" s="336"/>
      <c r="O873" s="336"/>
      <c r="P873" s="219"/>
      <c r="Q873" s="332"/>
      <c r="R873" s="219"/>
      <c r="S873" s="332"/>
      <c r="T873" s="219"/>
      <c r="U873" s="332"/>
      <c r="V873" s="332"/>
      <c r="W873" s="370"/>
      <c r="X873" s="370"/>
      <c r="Y873" s="370"/>
      <c r="Z873" s="370"/>
      <c r="AA873" s="370"/>
      <c r="AB873" s="370"/>
      <c r="AC873" s="370"/>
      <c r="AD873" s="370"/>
      <c r="AE873" s="370"/>
      <c r="AF873" s="370"/>
      <c r="AG873" s="370"/>
      <c r="AH873" s="370"/>
      <c r="AI873" s="370"/>
      <c r="AJ873" s="370"/>
      <c r="AL873" s="219"/>
      <c r="AM873" s="219"/>
      <c r="AN873" s="219"/>
      <c r="AO873" s="116"/>
      <c r="AP873" s="116"/>
      <c r="AU873" s="332"/>
      <c r="AV873" s="332"/>
      <c r="AW873" s="332"/>
      <c r="AX873" s="332"/>
      <c r="AY873" s="332"/>
      <c r="AZ873" s="332"/>
      <c r="BA873" s="332"/>
      <c r="BB873" s="31"/>
      <c r="BC873" s="31"/>
      <c r="BD873" s="31"/>
      <c r="BE873" s="31"/>
    </row>
    <row r="874" spans="1:57" ht="13">
      <c r="A874" s="153"/>
      <c r="F874" s="153"/>
      <c r="G874" s="116"/>
      <c r="H874" s="116"/>
      <c r="I874" s="116"/>
      <c r="J874" s="116"/>
      <c r="K874" s="219"/>
      <c r="L874" s="116"/>
      <c r="M874" s="31"/>
      <c r="N874" s="336"/>
      <c r="O874" s="336"/>
      <c r="P874" s="219"/>
      <c r="Q874" s="332"/>
      <c r="R874" s="219"/>
      <c r="S874" s="332"/>
      <c r="T874" s="219"/>
      <c r="U874" s="332"/>
      <c r="V874" s="332"/>
      <c r="W874" s="370"/>
      <c r="X874" s="370"/>
      <c r="Y874" s="370"/>
      <c r="Z874" s="370"/>
      <c r="AA874" s="370"/>
      <c r="AB874" s="370"/>
      <c r="AC874" s="370"/>
      <c r="AD874" s="370"/>
      <c r="AE874" s="370"/>
      <c r="AF874" s="370"/>
      <c r="AG874" s="370"/>
      <c r="AH874" s="370"/>
      <c r="AI874" s="370"/>
      <c r="AJ874" s="370"/>
      <c r="AL874" s="219"/>
      <c r="AM874" s="219"/>
      <c r="AN874" s="219"/>
      <c r="AO874" s="116"/>
      <c r="AP874" s="116"/>
      <c r="AU874" s="332"/>
      <c r="AV874" s="332"/>
      <c r="AW874" s="332"/>
      <c r="AX874" s="332"/>
      <c r="AY874" s="332"/>
      <c r="AZ874" s="332"/>
      <c r="BA874" s="332"/>
      <c r="BB874" s="31"/>
      <c r="BC874" s="31"/>
      <c r="BD874" s="31"/>
      <c r="BE874" s="31"/>
    </row>
    <row r="875" spans="1:57" ht="13">
      <c r="A875" s="153"/>
      <c r="F875" s="153"/>
      <c r="G875" s="116"/>
      <c r="H875" s="116"/>
      <c r="I875" s="116"/>
      <c r="J875" s="116"/>
      <c r="K875" s="219"/>
      <c r="L875" s="116"/>
      <c r="M875" s="31"/>
      <c r="N875" s="336"/>
      <c r="O875" s="336"/>
      <c r="P875" s="219"/>
      <c r="Q875" s="332"/>
      <c r="R875" s="219"/>
      <c r="S875" s="332"/>
      <c r="T875" s="219"/>
      <c r="U875" s="332"/>
      <c r="V875" s="332"/>
      <c r="W875" s="370"/>
      <c r="X875" s="370"/>
      <c r="Y875" s="370"/>
      <c r="Z875" s="370"/>
      <c r="AA875" s="370"/>
      <c r="AB875" s="370"/>
      <c r="AC875" s="370"/>
      <c r="AD875" s="370"/>
      <c r="AE875" s="370"/>
      <c r="AF875" s="370"/>
      <c r="AG875" s="370"/>
      <c r="AH875" s="370"/>
      <c r="AI875" s="370"/>
      <c r="AJ875" s="370"/>
      <c r="AL875" s="219"/>
      <c r="AM875" s="219"/>
      <c r="AN875" s="219"/>
      <c r="AO875" s="116"/>
      <c r="AP875" s="116"/>
      <c r="AU875" s="332"/>
      <c r="AV875" s="332"/>
      <c r="AW875" s="332"/>
      <c r="AX875" s="332"/>
      <c r="AY875" s="332"/>
      <c r="AZ875" s="332"/>
      <c r="BA875" s="332"/>
      <c r="BB875" s="31"/>
      <c r="BC875" s="31"/>
      <c r="BD875" s="31"/>
      <c r="BE875" s="31"/>
    </row>
    <row r="876" spans="1:57" ht="13">
      <c r="A876" s="153"/>
      <c r="F876" s="153"/>
      <c r="G876" s="116"/>
      <c r="H876" s="116"/>
      <c r="I876" s="116"/>
      <c r="J876" s="116"/>
      <c r="K876" s="219"/>
      <c r="L876" s="116"/>
      <c r="M876" s="31"/>
      <c r="N876" s="336"/>
      <c r="O876" s="336"/>
      <c r="P876" s="219"/>
      <c r="Q876" s="332"/>
      <c r="R876" s="219"/>
      <c r="S876" s="332"/>
      <c r="T876" s="219"/>
      <c r="U876" s="332"/>
      <c r="V876" s="332"/>
      <c r="W876" s="370"/>
      <c r="X876" s="370"/>
      <c r="Y876" s="370"/>
      <c r="Z876" s="370"/>
      <c r="AA876" s="370"/>
      <c r="AB876" s="370"/>
      <c r="AC876" s="370"/>
      <c r="AD876" s="370"/>
      <c r="AE876" s="370"/>
      <c r="AF876" s="370"/>
      <c r="AG876" s="370"/>
      <c r="AH876" s="370"/>
      <c r="AI876" s="370"/>
      <c r="AJ876" s="370"/>
      <c r="AL876" s="219"/>
      <c r="AM876" s="219"/>
      <c r="AN876" s="219"/>
      <c r="AO876" s="116"/>
      <c r="AP876" s="116"/>
      <c r="AU876" s="332"/>
      <c r="AV876" s="332"/>
      <c r="AW876" s="332"/>
      <c r="AX876" s="332"/>
      <c r="AY876" s="332"/>
      <c r="AZ876" s="332"/>
      <c r="BA876" s="332"/>
      <c r="BB876" s="31"/>
      <c r="BC876" s="31"/>
      <c r="BD876" s="31"/>
      <c r="BE876" s="31"/>
    </row>
    <row r="877" spans="1:57" ht="13">
      <c r="A877" s="153"/>
      <c r="F877" s="153"/>
      <c r="G877" s="116"/>
      <c r="H877" s="116"/>
      <c r="I877" s="116"/>
      <c r="J877" s="116"/>
      <c r="K877" s="219"/>
      <c r="L877" s="116"/>
      <c r="M877" s="31"/>
      <c r="N877" s="336"/>
      <c r="O877" s="336"/>
      <c r="P877" s="219"/>
      <c r="Q877" s="332"/>
      <c r="R877" s="219"/>
      <c r="S877" s="332"/>
      <c r="T877" s="219"/>
      <c r="U877" s="332"/>
      <c r="V877" s="332"/>
      <c r="W877" s="370"/>
      <c r="X877" s="370"/>
      <c r="Y877" s="370"/>
      <c r="Z877" s="370"/>
      <c r="AA877" s="370"/>
      <c r="AB877" s="370"/>
      <c r="AC877" s="370"/>
      <c r="AD877" s="370"/>
      <c r="AE877" s="370"/>
      <c r="AF877" s="370"/>
      <c r="AG877" s="370"/>
      <c r="AH877" s="370"/>
      <c r="AI877" s="370"/>
      <c r="AJ877" s="370"/>
      <c r="AL877" s="219"/>
      <c r="AM877" s="219"/>
      <c r="AN877" s="219"/>
      <c r="AO877" s="116"/>
      <c r="AP877" s="116"/>
      <c r="AU877" s="332"/>
      <c r="AV877" s="332"/>
      <c r="AW877" s="332"/>
      <c r="AX877" s="332"/>
      <c r="AY877" s="332"/>
      <c r="AZ877" s="332"/>
      <c r="BA877" s="332"/>
      <c r="BB877" s="31"/>
      <c r="BC877" s="31"/>
      <c r="BD877" s="31"/>
      <c r="BE877" s="31"/>
    </row>
    <row r="878" spans="1:57" ht="13">
      <c r="A878" s="153"/>
      <c r="F878" s="153"/>
      <c r="G878" s="116"/>
      <c r="H878" s="116"/>
      <c r="I878" s="116"/>
      <c r="J878" s="116"/>
      <c r="K878" s="219"/>
      <c r="L878" s="116"/>
      <c r="M878" s="31"/>
      <c r="N878" s="336"/>
      <c r="O878" s="336"/>
      <c r="P878" s="219"/>
      <c r="Q878" s="332"/>
      <c r="R878" s="219"/>
      <c r="S878" s="332"/>
      <c r="T878" s="219"/>
      <c r="U878" s="332"/>
      <c r="V878" s="332"/>
      <c r="W878" s="370"/>
      <c r="X878" s="370"/>
      <c r="Y878" s="370"/>
      <c r="Z878" s="370"/>
      <c r="AA878" s="370"/>
      <c r="AB878" s="370"/>
      <c r="AC878" s="370"/>
      <c r="AD878" s="370"/>
      <c r="AE878" s="370"/>
      <c r="AF878" s="370"/>
      <c r="AG878" s="370"/>
      <c r="AH878" s="370"/>
      <c r="AI878" s="370"/>
      <c r="AJ878" s="370"/>
      <c r="AL878" s="219"/>
      <c r="AM878" s="219"/>
      <c r="AN878" s="219"/>
      <c r="AO878" s="116"/>
      <c r="AP878" s="116"/>
      <c r="AU878" s="332"/>
      <c r="AV878" s="332"/>
      <c r="AW878" s="332"/>
      <c r="AX878" s="332"/>
      <c r="AY878" s="332"/>
      <c r="AZ878" s="332"/>
      <c r="BA878" s="332"/>
      <c r="BB878" s="31"/>
      <c r="BC878" s="31"/>
      <c r="BD878" s="31"/>
      <c r="BE878" s="31"/>
    </row>
    <row r="879" spans="1:57" ht="13">
      <c r="A879" s="153"/>
      <c r="F879" s="153"/>
      <c r="G879" s="116"/>
      <c r="H879" s="116"/>
      <c r="I879" s="116"/>
      <c r="J879" s="116"/>
      <c r="K879" s="219"/>
      <c r="L879" s="116"/>
      <c r="M879" s="31"/>
      <c r="N879" s="336"/>
      <c r="O879" s="336"/>
      <c r="P879" s="219"/>
      <c r="Q879" s="332"/>
      <c r="R879" s="219"/>
      <c r="S879" s="332"/>
      <c r="T879" s="219"/>
      <c r="U879" s="332"/>
      <c r="V879" s="332"/>
      <c r="W879" s="370"/>
      <c r="X879" s="370"/>
      <c r="Y879" s="370"/>
      <c r="Z879" s="370"/>
      <c r="AA879" s="370"/>
      <c r="AB879" s="370"/>
      <c r="AC879" s="370"/>
      <c r="AD879" s="370"/>
      <c r="AE879" s="370"/>
      <c r="AF879" s="370"/>
      <c r="AG879" s="370"/>
      <c r="AH879" s="370"/>
      <c r="AI879" s="370"/>
      <c r="AJ879" s="370"/>
      <c r="AL879" s="219"/>
      <c r="AM879" s="219"/>
      <c r="AN879" s="219"/>
      <c r="AO879" s="116"/>
      <c r="AP879" s="116"/>
      <c r="AU879" s="332"/>
      <c r="AV879" s="332"/>
      <c r="AW879" s="332"/>
      <c r="AX879" s="332"/>
      <c r="AY879" s="332"/>
      <c r="AZ879" s="332"/>
      <c r="BA879" s="332"/>
      <c r="BB879" s="31"/>
      <c r="BC879" s="31"/>
      <c r="BD879" s="31"/>
      <c r="BE879" s="31"/>
    </row>
    <row r="880" spans="1:57" ht="13">
      <c r="A880" s="153"/>
      <c r="F880" s="153"/>
      <c r="G880" s="116"/>
      <c r="H880" s="116"/>
      <c r="I880" s="116"/>
      <c r="J880" s="116"/>
      <c r="K880" s="219"/>
      <c r="L880" s="116"/>
      <c r="M880" s="31"/>
      <c r="N880" s="336"/>
      <c r="O880" s="336"/>
      <c r="P880" s="219"/>
      <c r="Q880" s="332"/>
      <c r="R880" s="219"/>
      <c r="S880" s="332"/>
      <c r="T880" s="219"/>
      <c r="U880" s="332"/>
      <c r="V880" s="332"/>
      <c r="W880" s="370"/>
      <c r="X880" s="370"/>
      <c r="Y880" s="370"/>
      <c r="Z880" s="370"/>
      <c r="AA880" s="370"/>
      <c r="AB880" s="370"/>
      <c r="AC880" s="370"/>
      <c r="AD880" s="370"/>
      <c r="AE880" s="370"/>
      <c r="AF880" s="370"/>
      <c r="AG880" s="370"/>
      <c r="AH880" s="370"/>
      <c r="AI880" s="370"/>
      <c r="AJ880" s="370"/>
      <c r="AL880" s="219"/>
      <c r="AM880" s="219"/>
      <c r="AN880" s="219"/>
      <c r="AO880" s="116"/>
      <c r="AP880" s="116"/>
      <c r="AU880" s="332"/>
      <c r="AV880" s="332"/>
      <c r="AW880" s="332"/>
      <c r="AX880" s="332"/>
      <c r="AY880" s="332"/>
      <c r="AZ880" s="332"/>
      <c r="BA880" s="332"/>
      <c r="BB880" s="31"/>
      <c r="BC880" s="31"/>
      <c r="BD880" s="31"/>
      <c r="BE880" s="31"/>
    </row>
    <row r="881" spans="1:57" ht="13">
      <c r="A881" s="153"/>
      <c r="F881" s="153"/>
      <c r="G881" s="116"/>
      <c r="H881" s="116"/>
      <c r="I881" s="116"/>
      <c r="J881" s="116"/>
      <c r="K881" s="219"/>
      <c r="L881" s="116"/>
      <c r="M881" s="31"/>
      <c r="N881" s="336"/>
      <c r="O881" s="336"/>
      <c r="P881" s="219"/>
      <c r="Q881" s="332"/>
      <c r="R881" s="219"/>
      <c r="S881" s="332"/>
      <c r="T881" s="219"/>
      <c r="U881" s="332"/>
      <c r="V881" s="332"/>
      <c r="W881" s="370"/>
      <c r="X881" s="370"/>
      <c r="Y881" s="370"/>
      <c r="Z881" s="370"/>
      <c r="AA881" s="370"/>
      <c r="AB881" s="370"/>
      <c r="AC881" s="370"/>
      <c r="AD881" s="370"/>
      <c r="AE881" s="370"/>
      <c r="AF881" s="370"/>
      <c r="AG881" s="370"/>
      <c r="AH881" s="370"/>
      <c r="AI881" s="370"/>
      <c r="AJ881" s="370"/>
      <c r="AL881" s="219"/>
      <c r="AM881" s="219"/>
      <c r="AN881" s="219"/>
      <c r="AO881" s="116"/>
      <c r="AP881" s="116"/>
      <c r="AU881" s="332"/>
      <c r="AV881" s="332"/>
      <c r="AW881" s="332"/>
      <c r="AX881" s="332"/>
      <c r="AY881" s="332"/>
      <c r="AZ881" s="332"/>
      <c r="BA881" s="332"/>
      <c r="BB881" s="31"/>
      <c r="BC881" s="31"/>
      <c r="BD881" s="31"/>
      <c r="BE881" s="31"/>
    </row>
    <row r="882" spans="1:57" ht="13">
      <c r="A882" s="153"/>
      <c r="F882" s="153"/>
      <c r="G882" s="116"/>
      <c r="H882" s="116"/>
      <c r="I882" s="116"/>
      <c r="J882" s="116"/>
      <c r="K882" s="219"/>
      <c r="L882" s="116"/>
      <c r="M882" s="31"/>
      <c r="N882" s="336"/>
      <c r="O882" s="336"/>
      <c r="P882" s="219"/>
      <c r="Q882" s="332"/>
      <c r="R882" s="219"/>
      <c r="S882" s="332"/>
      <c r="T882" s="219"/>
      <c r="U882" s="332"/>
      <c r="V882" s="332"/>
      <c r="W882" s="370"/>
      <c r="X882" s="370"/>
      <c r="Y882" s="370"/>
      <c r="Z882" s="370"/>
      <c r="AA882" s="370"/>
      <c r="AB882" s="370"/>
      <c r="AC882" s="370"/>
      <c r="AD882" s="370"/>
      <c r="AE882" s="370"/>
      <c r="AF882" s="370"/>
      <c r="AG882" s="370"/>
      <c r="AH882" s="370"/>
      <c r="AI882" s="370"/>
      <c r="AJ882" s="370"/>
      <c r="AL882" s="219"/>
      <c r="AM882" s="219"/>
      <c r="AN882" s="219"/>
      <c r="AO882" s="116"/>
      <c r="AP882" s="116"/>
      <c r="AU882" s="332"/>
      <c r="AV882" s="332"/>
      <c r="AW882" s="332"/>
      <c r="AX882" s="332"/>
      <c r="AY882" s="332"/>
      <c r="AZ882" s="332"/>
      <c r="BA882" s="332"/>
      <c r="BB882" s="31"/>
      <c r="BC882" s="31"/>
      <c r="BD882" s="31"/>
      <c r="BE882" s="31"/>
    </row>
    <row r="883" spans="1:57" ht="13">
      <c r="A883" s="153"/>
      <c r="F883" s="153"/>
      <c r="G883" s="116"/>
      <c r="H883" s="116"/>
      <c r="I883" s="116"/>
      <c r="J883" s="116"/>
      <c r="K883" s="219"/>
      <c r="L883" s="116"/>
      <c r="M883" s="31"/>
      <c r="N883" s="336"/>
      <c r="O883" s="336"/>
      <c r="P883" s="219"/>
      <c r="Q883" s="332"/>
      <c r="R883" s="219"/>
      <c r="S883" s="332"/>
      <c r="T883" s="219"/>
      <c r="U883" s="332"/>
      <c r="V883" s="332"/>
      <c r="W883" s="370"/>
      <c r="X883" s="370"/>
      <c r="Y883" s="370"/>
      <c r="Z883" s="370"/>
      <c r="AA883" s="370"/>
      <c r="AB883" s="370"/>
      <c r="AC883" s="370"/>
      <c r="AD883" s="370"/>
      <c r="AE883" s="370"/>
      <c r="AF883" s="370"/>
      <c r="AG883" s="370"/>
      <c r="AH883" s="370"/>
      <c r="AI883" s="370"/>
      <c r="AJ883" s="370"/>
      <c r="AL883" s="219"/>
      <c r="AM883" s="219"/>
      <c r="AN883" s="219"/>
      <c r="AO883" s="116"/>
      <c r="AP883" s="116"/>
      <c r="AU883" s="332"/>
      <c r="AV883" s="332"/>
      <c r="AW883" s="332"/>
      <c r="AX883" s="332"/>
      <c r="AY883" s="332"/>
      <c r="AZ883" s="332"/>
      <c r="BA883" s="332"/>
      <c r="BB883" s="31"/>
      <c r="BC883" s="31"/>
      <c r="BD883" s="31"/>
      <c r="BE883" s="31"/>
    </row>
    <row r="884" spans="1:57" ht="13">
      <c r="A884" s="153"/>
      <c r="F884" s="153"/>
      <c r="G884" s="116"/>
      <c r="H884" s="116"/>
      <c r="I884" s="116"/>
      <c r="J884" s="116"/>
      <c r="K884" s="219"/>
      <c r="L884" s="116"/>
      <c r="M884" s="31"/>
      <c r="N884" s="336"/>
      <c r="O884" s="336"/>
      <c r="P884" s="219"/>
      <c r="Q884" s="332"/>
      <c r="R884" s="219"/>
      <c r="S884" s="332"/>
      <c r="T884" s="219"/>
      <c r="U884" s="332"/>
      <c r="V884" s="332"/>
      <c r="W884" s="370"/>
      <c r="X884" s="370"/>
      <c r="Y884" s="370"/>
      <c r="Z884" s="370"/>
      <c r="AA884" s="370"/>
      <c r="AB884" s="370"/>
      <c r="AC884" s="370"/>
      <c r="AD884" s="370"/>
      <c r="AE884" s="370"/>
      <c r="AF884" s="370"/>
      <c r="AG884" s="370"/>
      <c r="AH884" s="370"/>
      <c r="AI884" s="370"/>
      <c r="AJ884" s="370"/>
      <c r="AL884" s="219"/>
      <c r="AM884" s="219"/>
      <c r="AN884" s="219"/>
      <c r="AO884" s="116"/>
      <c r="AP884" s="116"/>
      <c r="AU884" s="332"/>
      <c r="AV884" s="332"/>
      <c r="AW884" s="332"/>
      <c r="AX884" s="332"/>
      <c r="AY884" s="332"/>
      <c r="AZ884" s="332"/>
      <c r="BA884" s="332"/>
      <c r="BB884" s="31"/>
      <c r="BC884" s="31"/>
      <c r="BD884" s="31"/>
      <c r="BE884" s="31"/>
    </row>
    <row r="885" spans="1:57" ht="13">
      <c r="A885" s="153"/>
      <c r="F885" s="153"/>
      <c r="G885" s="116"/>
      <c r="H885" s="116"/>
      <c r="I885" s="116"/>
      <c r="J885" s="116"/>
      <c r="K885" s="219"/>
      <c r="L885" s="116"/>
      <c r="M885" s="31"/>
      <c r="N885" s="336"/>
      <c r="O885" s="336"/>
      <c r="P885" s="219"/>
      <c r="Q885" s="332"/>
      <c r="R885" s="219"/>
      <c r="S885" s="332"/>
      <c r="T885" s="219"/>
      <c r="U885" s="332"/>
      <c r="V885" s="332"/>
      <c r="W885" s="370"/>
      <c r="X885" s="370"/>
      <c r="Y885" s="370"/>
      <c r="Z885" s="370"/>
      <c r="AA885" s="370"/>
      <c r="AB885" s="370"/>
      <c r="AC885" s="370"/>
      <c r="AD885" s="370"/>
      <c r="AE885" s="370"/>
      <c r="AF885" s="370"/>
      <c r="AG885" s="370"/>
      <c r="AH885" s="370"/>
      <c r="AI885" s="370"/>
      <c r="AJ885" s="370"/>
      <c r="AL885" s="219"/>
      <c r="AM885" s="219"/>
      <c r="AN885" s="219"/>
      <c r="AO885" s="116"/>
      <c r="AP885" s="116"/>
      <c r="AU885" s="332"/>
      <c r="AV885" s="332"/>
      <c r="AW885" s="332"/>
      <c r="AX885" s="332"/>
      <c r="AY885" s="332"/>
      <c r="AZ885" s="332"/>
      <c r="BA885" s="332"/>
      <c r="BB885" s="31"/>
      <c r="BC885" s="31"/>
      <c r="BD885" s="31"/>
      <c r="BE885" s="31"/>
    </row>
    <row r="886" spans="1:57" ht="13">
      <c r="A886" s="153"/>
      <c r="F886" s="153"/>
      <c r="G886" s="116"/>
      <c r="H886" s="116"/>
      <c r="I886" s="116"/>
      <c r="J886" s="116"/>
      <c r="K886" s="219"/>
      <c r="L886" s="116"/>
      <c r="M886" s="31"/>
      <c r="N886" s="336"/>
      <c r="O886" s="336"/>
      <c r="P886" s="219"/>
      <c r="Q886" s="332"/>
      <c r="R886" s="219"/>
      <c r="S886" s="332"/>
      <c r="T886" s="219"/>
      <c r="U886" s="332"/>
      <c r="V886" s="332"/>
      <c r="W886" s="370"/>
      <c r="X886" s="370"/>
      <c r="Y886" s="370"/>
      <c r="Z886" s="370"/>
      <c r="AA886" s="370"/>
      <c r="AB886" s="370"/>
      <c r="AC886" s="370"/>
      <c r="AD886" s="370"/>
      <c r="AE886" s="370"/>
      <c r="AF886" s="370"/>
      <c r="AG886" s="370"/>
      <c r="AH886" s="370"/>
      <c r="AI886" s="370"/>
      <c r="AJ886" s="370"/>
      <c r="AL886" s="219"/>
      <c r="AM886" s="219"/>
      <c r="AN886" s="219"/>
      <c r="AO886" s="116"/>
      <c r="AP886" s="116"/>
      <c r="AU886" s="332"/>
      <c r="AV886" s="332"/>
      <c r="AW886" s="332"/>
      <c r="AX886" s="332"/>
      <c r="AY886" s="332"/>
      <c r="AZ886" s="332"/>
      <c r="BA886" s="332"/>
      <c r="BB886" s="31"/>
      <c r="BC886" s="31"/>
      <c r="BD886" s="31"/>
      <c r="BE886" s="31"/>
    </row>
    <row r="887" spans="1:57" ht="13">
      <c r="A887" s="153"/>
      <c r="F887" s="153"/>
      <c r="G887" s="116"/>
      <c r="H887" s="116"/>
      <c r="I887" s="116"/>
      <c r="J887" s="116"/>
      <c r="K887" s="219"/>
      <c r="L887" s="116"/>
      <c r="M887" s="31"/>
      <c r="N887" s="336"/>
      <c r="O887" s="336"/>
      <c r="P887" s="219"/>
      <c r="Q887" s="332"/>
      <c r="R887" s="219"/>
      <c r="S887" s="332"/>
      <c r="T887" s="219"/>
      <c r="U887" s="332"/>
      <c r="V887" s="332"/>
      <c r="W887" s="370"/>
      <c r="X887" s="370"/>
      <c r="Y887" s="370"/>
      <c r="Z887" s="370"/>
      <c r="AA887" s="370"/>
      <c r="AB887" s="370"/>
      <c r="AC887" s="370"/>
      <c r="AD887" s="370"/>
      <c r="AE887" s="370"/>
      <c r="AF887" s="370"/>
      <c r="AG887" s="370"/>
      <c r="AH887" s="370"/>
      <c r="AI887" s="370"/>
      <c r="AJ887" s="370"/>
      <c r="AL887" s="219"/>
      <c r="AM887" s="219"/>
      <c r="AN887" s="219"/>
      <c r="AO887" s="116"/>
      <c r="AP887" s="116"/>
      <c r="AU887" s="332"/>
      <c r="AV887" s="332"/>
      <c r="AW887" s="332"/>
      <c r="AX887" s="332"/>
      <c r="AY887" s="332"/>
      <c r="AZ887" s="332"/>
      <c r="BA887" s="332"/>
      <c r="BB887" s="31"/>
      <c r="BC887" s="31"/>
      <c r="BD887" s="31"/>
      <c r="BE887" s="31"/>
    </row>
    <row r="888" spans="1:57" ht="13">
      <c r="A888" s="153"/>
      <c r="F888" s="153"/>
      <c r="G888" s="116"/>
      <c r="H888" s="116"/>
      <c r="I888" s="116"/>
      <c r="J888" s="116"/>
      <c r="K888" s="219"/>
      <c r="L888" s="116"/>
      <c r="M888" s="31"/>
      <c r="N888" s="336"/>
      <c r="O888" s="336"/>
      <c r="P888" s="219"/>
      <c r="Q888" s="332"/>
      <c r="R888" s="219"/>
      <c r="S888" s="332"/>
      <c r="T888" s="219"/>
      <c r="U888" s="332"/>
      <c r="V888" s="332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  <c r="AH888" s="370"/>
      <c r="AI888" s="370"/>
      <c r="AJ888" s="370"/>
      <c r="AL888" s="219"/>
      <c r="AM888" s="219"/>
      <c r="AN888" s="219"/>
      <c r="AO888" s="116"/>
      <c r="AP888" s="116"/>
      <c r="AU888" s="332"/>
      <c r="AV888" s="332"/>
      <c r="AW888" s="332"/>
      <c r="AX888" s="332"/>
      <c r="AY888" s="332"/>
      <c r="AZ888" s="332"/>
      <c r="BA888" s="332"/>
      <c r="BB888" s="31"/>
      <c r="BC888" s="31"/>
      <c r="BD888" s="31"/>
      <c r="BE888" s="31"/>
    </row>
    <row r="889" spans="1:57" ht="13">
      <c r="A889" s="153"/>
      <c r="F889" s="153"/>
      <c r="G889" s="116"/>
      <c r="H889" s="116"/>
      <c r="I889" s="116"/>
      <c r="J889" s="116"/>
      <c r="K889" s="219"/>
      <c r="L889" s="116"/>
      <c r="M889" s="31"/>
      <c r="N889" s="336"/>
      <c r="O889" s="336"/>
      <c r="P889" s="219"/>
      <c r="Q889" s="332"/>
      <c r="R889" s="219"/>
      <c r="S889" s="332"/>
      <c r="T889" s="219"/>
      <c r="U889" s="332"/>
      <c r="V889" s="332"/>
      <c r="W889" s="370"/>
      <c r="X889" s="370"/>
      <c r="Y889" s="370"/>
      <c r="Z889" s="370"/>
      <c r="AA889" s="370"/>
      <c r="AB889" s="370"/>
      <c r="AC889" s="370"/>
      <c r="AD889" s="370"/>
      <c r="AE889" s="370"/>
      <c r="AF889" s="370"/>
      <c r="AG889" s="370"/>
      <c r="AH889" s="370"/>
      <c r="AI889" s="370"/>
      <c r="AJ889" s="370"/>
      <c r="AL889" s="219"/>
      <c r="AM889" s="219"/>
      <c r="AN889" s="219"/>
      <c r="AO889" s="116"/>
      <c r="AP889" s="116"/>
      <c r="AU889" s="332"/>
      <c r="AV889" s="332"/>
      <c r="AW889" s="332"/>
      <c r="AX889" s="332"/>
      <c r="AY889" s="332"/>
      <c r="AZ889" s="332"/>
      <c r="BA889" s="332"/>
      <c r="BB889" s="31"/>
      <c r="BC889" s="31"/>
      <c r="BD889" s="31"/>
      <c r="BE889" s="31"/>
    </row>
    <row r="890" spans="1:57" ht="13">
      <c r="A890" s="153"/>
      <c r="F890" s="153"/>
      <c r="G890" s="116"/>
      <c r="H890" s="116"/>
      <c r="I890" s="116"/>
      <c r="J890" s="116"/>
      <c r="K890" s="219"/>
      <c r="L890" s="116"/>
      <c r="M890" s="31"/>
      <c r="N890" s="336"/>
      <c r="O890" s="336"/>
      <c r="P890" s="219"/>
      <c r="Q890" s="332"/>
      <c r="R890" s="219"/>
      <c r="S890" s="332"/>
      <c r="T890" s="219"/>
      <c r="U890" s="332"/>
      <c r="V890" s="332"/>
      <c r="W890" s="370"/>
      <c r="X890" s="370"/>
      <c r="Y890" s="370"/>
      <c r="Z890" s="370"/>
      <c r="AA890" s="370"/>
      <c r="AB890" s="370"/>
      <c r="AC890" s="370"/>
      <c r="AD890" s="370"/>
      <c r="AE890" s="370"/>
      <c r="AF890" s="370"/>
      <c r="AG890" s="370"/>
      <c r="AH890" s="370"/>
      <c r="AI890" s="370"/>
      <c r="AJ890" s="370"/>
      <c r="AL890" s="219"/>
      <c r="AM890" s="219"/>
      <c r="AN890" s="219"/>
      <c r="AO890" s="116"/>
      <c r="AP890" s="116"/>
      <c r="AU890" s="332"/>
      <c r="AV890" s="332"/>
      <c r="AW890" s="332"/>
      <c r="AX890" s="332"/>
      <c r="AY890" s="332"/>
      <c r="AZ890" s="332"/>
      <c r="BA890" s="332"/>
      <c r="BB890" s="31"/>
      <c r="BC890" s="31"/>
      <c r="BD890" s="31"/>
      <c r="BE890" s="31"/>
    </row>
    <row r="891" spans="1:57" ht="13">
      <c r="A891" s="153"/>
      <c r="F891" s="153"/>
      <c r="G891" s="116"/>
      <c r="H891" s="116"/>
      <c r="I891" s="116"/>
      <c r="J891" s="116"/>
      <c r="K891" s="219"/>
      <c r="L891" s="116"/>
      <c r="M891" s="31"/>
      <c r="N891" s="336"/>
      <c r="O891" s="336"/>
      <c r="P891" s="219"/>
      <c r="Q891" s="332"/>
      <c r="R891" s="219"/>
      <c r="S891" s="332"/>
      <c r="T891" s="219"/>
      <c r="U891" s="332"/>
      <c r="V891" s="332"/>
      <c r="W891" s="370"/>
      <c r="X891" s="370"/>
      <c r="Y891" s="370"/>
      <c r="Z891" s="370"/>
      <c r="AA891" s="370"/>
      <c r="AB891" s="370"/>
      <c r="AC891" s="370"/>
      <c r="AD891" s="370"/>
      <c r="AE891" s="370"/>
      <c r="AF891" s="370"/>
      <c r="AG891" s="370"/>
      <c r="AH891" s="370"/>
      <c r="AI891" s="370"/>
      <c r="AJ891" s="370"/>
      <c r="AL891" s="219"/>
      <c r="AM891" s="219"/>
      <c r="AN891" s="219"/>
      <c r="AO891" s="116"/>
      <c r="AP891" s="116"/>
      <c r="AU891" s="332"/>
      <c r="AV891" s="332"/>
      <c r="AW891" s="332"/>
      <c r="AX891" s="332"/>
      <c r="AY891" s="332"/>
      <c r="AZ891" s="332"/>
      <c r="BA891" s="332"/>
      <c r="BB891" s="31"/>
      <c r="BC891" s="31"/>
      <c r="BD891" s="31"/>
      <c r="BE891" s="31"/>
    </row>
    <row r="892" spans="1:57" ht="13">
      <c r="A892" s="153"/>
      <c r="F892" s="153"/>
      <c r="G892" s="116"/>
      <c r="H892" s="116"/>
      <c r="I892" s="116"/>
      <c r="J892" s="116"/>
      <c r="K892" s="219"/>
      <c r="L892" s="116"/>
      <c r="M892" s="31"/>
      <c r="N892" s="336"/>
      <c r="O892" s="336"/>
      <c r="P892" s="219"/>
      <c r="Q892" s="332"/>
      <c r="R892" s="219"/>
      <c r="S892" s="332"/>
      <c r="T892" s="219"/>
      <c r="U892" s="332"/>
      <c r="V892" s="332"/>
      <c r="W892" s="370"/>
      <c r="X892" s="370"/>
      <c r="Y892" s="370"/>
      <c r="Z892" s="370"/>
      <c r="AA892" s="370"/>
      <c r="AB892" s="370"/>
      <c r="AC892" s="370"/>
      <c r="AD892" s="370"/>
      <c r="AE892" s="370"/>
      <c r="AF892" s="370"/>
      <c r="AG892" s="370"/>
      <c r="AH892" s="370"/>
      <c r="AI892" s="370"/>
      <c r="AJ892" s="370"/>
      <c r="AL892" s="219"/>
      <c r="AM892" s="219"/>
      <c r="AN892" s="219"/>
      <c r="AO892" s="116"/>
      <c r="AP892" s="116"/>
      <c r="AU892" s="332"/>
      <c r="AV892" s="332"/>
      <c r="AW892" s="332"/>
      <c r="AX892" s="332"/>
      <c r="AY892" s="332"/>
      <c r="AZ892" s="332"/>
      <c r="BA892" s="332"/>
      <c r="BB892" s="31"/>
      <c r="BC892" s="31"/>
      <c r="BD892" s="31"/>
      <c r="BE892" s="31"/>
    </row>
    <row r="893" spans="1:57" ht="13">
      <c r="A893" s="153"/>
      <c r="F893" s="153"/>
      <c r="G893" s="116"/>
      <c r="H893" s="116"/>
      <c r="I893" s="116"/>
      <c r="J893" s="116"/>
      <c r="K893" s="219"/>
      <c r="L893" s="116"/>
      <c r="M893" s="31"/>
      <c r="N893" s="336"/>
      <c r="O893" s="336"/>
      <c r="P893" s="219"/>
      <c r="Q893" s="332"/>
      <c r="R893" s="219"/>
      <c r="S893" s="332"/>
      <c r="T893" s="219"/>
      <c r="U893" s="332"/>
      <c r="V893" s="332"/>
      <c r="W893" s="370"/>
      <c r="X893" s="370"/>
      <c r="Y893" s="370"/>
      <c r="Z893" s="370"/>
      <c r="AA893" s="370"/>
      <c r="AB893" s="370"/>
      <c r="AC893" s="370"/>
      <c r="AD893" s="370"/>
      <c r="AE893" s="370"/>
      <c r="AF893" s="370"/>
      <c r="AG893" s="370"/>
      <c r="AH893" s="370"/>
      <c r="AI893" s="370"/>
      <c r="AJ893" s="370"/>
      <c r="AL893" s="219"/>
      <c r="AM893" s="219"/>
      <c r="AN893" s="219"/>
      <c r="AO893" s="116"/>
      <c r="AP893" s="116"/>
      <c r="AU893" s="332"/>
      <c r="AV893" s="332"/>
      <c r="AW893" s="332"/>
      <c r="AX893" s="332"/>
      <c r="AY893" s="332"/>
      <c r="AZ893" s="332"/>
      <c r="BA893" s="332"/>
      <c r="BB893" s="31"/>
      <c r="BC893" s="31"/>
      <c r="BD893" s="31"/>
      <c r="BE893" s="31"/>
    </row>
    <row r="894" spans="1:57" ht="13">
      <c r="A894" s="153"/>
      <c r="F894" s="153"/>
      <c r="G894" s="116"/>
      <c r="H894" s="116"/>
      <c r="I894" s="116"/>
      <c r="J894" s="116"/>
      <c r="K894" s="219"/>
      <c r="L894" s="116"/>
      <c r="M894" s="31"/>
      <c r="N894" s="336"/>
      <c r="O894" s="336"/>
      <c r="P894" s="219"/>
      <c r="Q894" s="332"/>
      <c r="R894" s="219"/>
      <c r="S894" s="332"/>
      <c r="T894" s="219"/>
      <c r="U894" s="332"/>
      <c r="V894" s="332"/>
      <c r="W894" s="370"/>
      <c r="X894" s="370"/>
      <c r="Y894" s="370"/>
      <c r="Z894" s="370"/>
      <c r="AA894" s="370"/>
      <c r="AB894" s="370"/>
      <c r="AC894" s="370"/>
      <c r="AD894" s="370"/>
      <c r="AE894" s="370"/>
      <c r="AF894" s="370"/>
      <c r="AG894" s="370"/>
      <c r="AH894" s="370"/>
      <c r="AI894" s="370"/>
      <c r="AJ894" s="370"/>
      <c r="AL894" s="219"/>
      <c r="AM894" s="219"/>
      <c r="AN894" s="219"/>
      <c r="AO894" s="116"/>
      <c r="AP894" s="116"/>
      <c r="AU894" s="332"/>
      <c r="AV894" s="332"/>
      <c r="AW894" s="332"/>
      <c r="AX894" s="332"/>
      <c r="AY894" s="332"/>
      <c r="AZ894" s="332"/>
      <c r="BA894" s="332"/>
      <c r="BB894" s="31"/>
      <c r="BC894" s="31"/>
      <c r="BD894" s="31"/>
      <c r="BE894" s="31"/>
    </row>
    <row r="895" spans="1:57" ht="13">
      <c r="A895" s="153"/>
      <c r="F895" s="153"/>
      <c r="G895" s="116"/>
      <c r="H895" s="116"/>
      <c r="I895" s="116"/>
      <c r="J895" s="116"/>
      <c r="K895" s="219"/>
      <c r="L895" s="116"/>
      <c r="M895" s="31"/>
      <c r="N895" s="336"/>
      <c r="O895" s="336"/>
      <c r="P895" s="219"/>
      <c r="Q895" s="332"/>
      <c r="R895" s="219"/>
      <c r="S895" s="332"/>
      <c r="T895" s="219"/>
      <c r="U895" s="332"/>
      <c r="V895" s="332"/>
      <c r="W895" s="370"/>
      <c r="X895" s="370"/>
      <c r="Y895" s="370"/>
      <c r="Z895" s="370"/>
      <c r="AA895" s="370"/>
      <c r="AB895" s="370"/>
      <c r="AC895" s="370"/>
      <c r="AD895" s="370"/>
      <c r="AE895" s="370"/>
      <c r="AF895" s="370"/>
      <c r="AG895" s="370"/>
      <c r="AH895" s="370"/>
      <c r="AI895" s="370"/>
      <c r="AJ895" s="370"/>
      <c r="AL895" s="219"/>
      <c r="AM895" s="219"/>
      <c r="AN895" s="219"/>
      <c r="AO895" s="116"/>
      <c r="AP895" s="116"/>
      <c r="AU895" s="332"/>
      <c r="AV895" s="332"/>
      <c r="AW895" s="332"/>
      <c r="AX895" s="332"/>
      <c r="AY895" s="332"/>
      <c r="AZ895" s="332"/>
      <c r="BA895" s="332"/>
      <c r="BB895" s="31"/>
      <c r="BC895" s="31"/>
      <c r="BD895" s="31"/>
      <c r="BE895" s="31"/>
    </row>
    <row r="896" spans="1:57" ht="13">
      <c r="A896" s="153"/>
      <c r="F896" s="153"/>
      <c r="G896" s="116"/>
      <c r="H896" s="116"/>
      <c r="I896" s="116"/>
      <c r="J896" s="116"/>
      <c r="K896" s="219"/>
      <c r="L896" s="116"/>
      <c r="M896" s="31"/>
      <c r="N896" s="336"/>
      <c r="O896" s="336"/>
      <c r="P896" s="219"/>
      <c r="Q896" s="332"/>
      <c r="R896" s="219"/>
      <c r="S896" s="332"/>
      <c r="T896" s="219"/>
      <c r="U896" s="332"/>
      <c r="V896" s="332"/>
      <c r="W896" s="370"/>
      <c r="X896" s="370"/>
      <c r="Y896" s="370"/>
      <c r="Z896" s="370"/>
      <c r="AA896" s="370"/>
      <c r="AB896" s="370"/>
      <c r="AC896" s="370"/>
      <c r="AD896" s="370"/>
      <c r="AE896" s="370"/>
      <c r="AF896" s="370"/>
      <c r="AG896" s="370"/>
      <c r="AH896" s="370"/>
      <c r="AI896" s="370"/>
      <c r="AJ896" s="370"/>
      <c r="AL896" s="219"/>
      <c r="AM896" s="219"/>
      <c r="AN896" s="219"/>
      <c r="AO896" s="116"/>
      <c r="AP896" s="116"/>
      <c r="AU896" s="332"/>
      <c r="AV896" s="332"/>
      <c r="AW896" s="332"/>
      <c r="AX896" s="332"/>
      <c r="AY896" s="332"/>
      <c r="AZ896" s="332"/>
      <c r="BA896" s="332"/>
      <c r="BB896" s="31"/>
      <c r="BC896" s="31"/>
      <c r="BD896" s="31"/>
      <c r="BE896" s="31"/>
    </row>
    <row r="897" spans="1:57" ht="13">
      <c r="A897" s="153"/>
      <c r="F897" s="153"/>
      <c r="G897" s="116"/>
      <c r="H897" s="116"/>
      <c r="I897" s="116"/>
      <c r="J897" s="116"/>
      <c r="K897" s="219"/>
      <c r="L897" s="116"/>
      <c r="M897" s="31"/>
      <c r="N897" s="336"/>
      <c r="O897" s="336"/>
      <c r="P897" s="219"/>
      <c r="Q897" s="332"/>
      <c r="R897" s="219"/>
      <c r="S897" s="332"/>
      <c r="T897" s="219"/>
      <c r="U897" s="332"/>
      <c r="V897" s="332"/>
      <c r="W897" s="370"/>
      <c r="X897" s="370"/>
      <c r="Y897" s="370"/>
      <c r="Z897" s="370"/>
      <c r="AA897" s="370"/>
      <c r="AB897" s="370"/>
      <c r="AC897" s="370"/>
      <c r="AD897" s="370"/>
      <c r="AE897" s="370"/>
      <c r="AF897" s="370"/>
      <c r="AG897" s="370"/>
      <c r="AH897" s="370"/>
      <c r="AI897" s="370"/>
      <c r="AJ897" s="370"/>
      <c r="AL897" s="219"/>
      <c r="AM897" s="219"/>
      <c r="AN897" s="219"/>
      <c r="AO897" s="116"/>
      <c r="AP897" s="116"/>
      <c r="AU897" s="332"/>
      <c r="AV897" s="332"/>
      <c r="AW897" s="332"/>
      <c r="AX897" s="332"/>
      <c r="AY897" s="332"/>
      <c r="AZ897" s="332"/>
      <c r="BA897" s="332"/>
      <c r="BB897" s="31"/>
      <c r="BC897" s="31"/>
      <c r="BD897" s="31"/>
      <c r="BE897" s="31"/>
    </row>
    <row r="898" spans="1:57" ht="13">
      <c r="A898" s="153"/>
      <c r="F898" s="153"/>
      <c r="G898" s="116"/>
      <c r="H898" s="116"/>
      <c r="I898" s="116"/>
      <c r="J898" s="116"/>
      <c r="K898" s="219"/>
      <c r="L898" s="116"/>
      <c r="M898" s="31"/>
      <c r="N898" s="336"/>
      <c r="O898" s="336"/>
      <c r="P898" s="219"/>
      <c r="Q898" s="332"/>
      <c r="R898" s="219"/>
      <c r="S898" s="332"/>
      <c r="T898" s="219"/>
      <c r="U898" s="332"/>
      <c r="V898" s="332"/>
      <c r="W898" s="370"/>
      <c r="X898" s="370"/>
      <c r="Y898" s="370"/>
      <c r="Z898" s="370"/>
      <c r="AA898" s="370"/>
      <c r="AB898" s="370"/>
      <c r="AC898" s="370"/>
      <c r="AD898" s="370"/>
      <c r="AE898" s="370"/>
      <c r="AF898" s="370"/>
      <c r="AG898" s="370"/>
      <c r="AH898" s="370"/>
      <c r="AI898" s="370"/>
      <c r="AJ898" s="370"/>
      <c r="AL898" s="219"/>
      <c r="AM898" s="219"/>
      <c r="AN898" s="219"/>
      <c r="AO898" s="116"/>
      <c r="AP898" s="116"/>
      <c r="AU898" s="332"/>
      <c r="AV898" s="332"/>
      <c r="AW898" s="332"/>
      <c r="AX898" s="332"/>
      <c r="AY898" s="332"/>
      <c r="AZ898" s="332"/>
      <c r="BA898" s="332"/>
      <c r="BB898" s="31"/>
      <c r="BC898" s="31"/>
      <c r="BD898" s="31"/>
      <c r="BE898" s="31"/>
    </row>
    <row r="899" spans="1:57" ht="13">
      <c r="A899" s="153"/>
      <c r="F899" s="153"/>
      <c r="G899" s="116"/>
      <c r="H899" s="116"/>
      <c r="I899" s="116"/>
      <c r="J899" s="116"/>
      <c r="K899" s="219"/>
      <c r="L899" s="116"/>
      <c r="M899" s="31"/>
      <c r="N899" s="336"/>
      <c r="O899" s="336"/>
      <c r="P899" s="219"/>
      <c r="Q899" s="332"/>
      <c r="R899" s="219"/>
      <c r="S899" s="332"/>
      <c r="T899" s="219"/>
      <c r="U899" s="332"/>
      <c r="V899" s="332"/>
      <c r="W899" s="370"/>
      <c r="X899" s="370"/>
      <c r="Y899" s="370"/>
      <c r="Z899" s="370"/>
      <c r="AA899" s="370"/>
      <c r="AB899" s="370"/>
      <c r="AC899" s="370"/>
      <c r="AD899" s="370"/>
      <c r="AE899" s="370"/>
      <c r="AF899" s="370"/>
      <c r="AG899" s="370"/>
      <c r="AH899" s="370"/>
      <c r="AI899" s="370"/>
      <c r="AJ899" s="370"/>
      <c r="AL899" s="219"/>
      <c r="AM899" s="219"/>
      <c r="AN899" s="219"/>
      <c r="AO899" s="116"/>
      <c r="AP899" s="116"/>
      <c r="AU899" s="332"/>
      <c r="AV899" s="332"/>
      <c r="AW899" s="332"/>
      <c r="AX899" s="332"/>
      <c r="AY899" s="332"/>
      <c r="AZ899" s="332"/>
      <c r="BA899" s="332"/>
      <c r="BB899" s="31"/>
      <c r="BC899" s="31"/>
      <c r="BD899" s="31"/>
      <c r="BE899" s="31"/>
    </row>
    <row r="900" spans="1:57" ht="13">
      <c r="A900" s="153"/>
      <c r="F900" s="153"/>
      <c r="G900" s="116"/>
      <c r="H900" s="116"/>
      <c r="I900" s="116"/>
      <c r="J900" s="116"/>
      <c r="K900" s="219"/>
      <c r="L900" s="116"/>
      <c r="M900" s="31"/>
      <c r="N900" s="336"/>
      <c r="O900" s="336"/>
      <c r="P900" s="219"/>
      <c r="Q900" s="332"/>
      <c r="R900" s="219"/>
      <c r="S900" s="332"/>
      <c r="T900" s="219"/>
      <c r="U900" s="332"/>
      <c r="V900" s="332"/>
      <c r="W900" s="370"/>
      <c r="X900" s="370"/>
      <c r="Y900" s="370"/>
      <c r="Z900" s="370"/>
      <c r="AA900" s="370"/>
      <c r="AB900" s="370"/>
      <c r="AC900" s="370"/>
      <c r="AD900" s="370"/>
      <c r="AE900" s="370"/>
      <c r="AF900" s="370"/>
      <c r="AG900" s="370"/>
      <c r="AH900" s="370"/>
      <c r="AI900" s="370"/>
      <c r="AJ900" s="370"/>
      <c r="AL900" s="219"/>
      <c r="AM900" s="219"/>
      <c r="AN900" s="219"/>
      <c r="AO900" s="116"/>
      <c r="AP900" s="116"/>
      <c r="AU900" s="332"/>
      <c r="AV900" s="332"/>
      <c r="AW900" s="332"/>
      <c r="AX900" s="332"/>
      <c r="AY900" s="332"/>
      <c r="AZ900" s="332"/>
      <c r="BA900" s="332"/>
      <c r="BB900" s="31"/>
      <c r="BC900" s="31"/>
      <c r="BD900" s="31"/>
      <c r="BE900" s="31"/>
    </row>
    <row r="901" spans="1:57" ht="13">
      <c r="A901" s="153"/>
      <c r="F901" s="153"/>
      <c r="G901" s="116"/>
      <c r="H901" s="116"/>
      <c r="I901" s="116"/>
      <c r="J901" s="116"/>
      <c r="K901" s="219"/>
      <c r="L901" s="116"/>
      <c r="M901" s="31"/>
      <c r="N901" s="336"/>
      <c r="O901" s="336"/>
      <c r="P901" s="219"/>
      <c r="Q901" s="332"/>
      <c r="R901" s="219"/>
      <c r="S901" s="332"/>
      <c r="T901" s="219"/>
      <c r="U901" s="332"/>
      <c r="V901" s="332"/>
      <c r="W901" s="370"/>
      <c r="X901" s="370"/>
      <c r="Y901" s="370"/>
      <c r="Z901" s="370"/>
      <c r="AA901" s="370"/>
      <c r="AB901" s="370"/>
      <c r="AC901" s="370"/>
      <c r="AD901" s="370"/>
      <c r="AE901" s="370"/>
      <c r="AF901" s="370"/>
      <c r="AG901" s="370"/>
      <c r="AH901" s="370"/>
      <c r="AI901" s="370"/>
      <c r="AJ901" s="370"/>
      <c r="AL901" s="219"/>
      <c r="AM901" s="219"/>
      <c r="AN901" s="219"/>
      <c r="AO901" s="116"/>
      <c r="AP901" s="116"/>
      <c r="AU901" s="332"/>
      <c r="AV901" s="332"/>
      <c r="AW901" s="332"/>
      <c r="AX901" s="332"/>
      <c r="AY901" s="332"/>
      <c r="AZ901" s="332"/>
      <c r="BA901" s="332"/>
      <c r="BB901" s="31"/>
      <c r="BC901" s="31"/>
      <c r="BD901" s="31"/>
      <c r="BE901" s="31"/>
    </row>
    <row r="902" spans="1:57" ht="13">
      <c r="A902" s="153"/>
      <c r="F902" s="153"/>
      <c r="G902" s="116"/>
      <c r="H902" s="116"/>
      <c r="I902" s="116"/>
      <c r="J902" s="116"/>
      <c r="K902" s="219"/>
      <c r="L902" s="116"/>
      <c r="M902" s="31"/>
      <c r="N902" s="336"/>
      <c r="O902" s="336"/>
      <c r="P902" s="219"/>
      <c r="Q902" s="332"/>
      <c r="R902" s="219"/>
      <c r="S902" s="332"/>
      <c r="T902" s="219"/>
      <c r="U902" s="332"/>
      <c r="V902" s="332"/>
      <c r="W902" s="370"/>
      <c r="X902" s="370"/>
      <c r="Y902" s="370"/>
      <c r="Z902" s="370"/>
      <c r="AA902" s="370"/>
      <c r="AB902" s="370"/>
      <c r="AC902" s="370"/>
      <c r="AD902" s="370"/>
      <c r="AE902" s="370"/>
      <c r="AF902" s="370"/>
      <c r="AG902" s="370"/>
      <c r="AH902" s="370"/>
      <c r="AI902" s="370"/>
      <c r="AJ902" s="370"/>
      <c r="AL902" s="219"/>
      <c r="AM902" s="219"/>
      <c r="AN902" s="219"/>
      <c r="AO902" s="116"/>
      <c r="AP902" s="116"/>
      <c r="AU902" s="332"/>
      <c r="AV902" s="332"/>
      <c r="AW902" s="332"/>
      <c r="AX902" s="332"/>
      <c r="AY902" s="332"/>
      <c r="AZ902" s="332"/>
      <c r="BA902" s="332"/>
      <c r="BB902" s="31"/>
      <c r="BC902" s="31"/>
      <c r="BD902" s="31"/>
      <c r="BE902" s="31"/>
    </row>
    <row r="903" spans="1:57" ht="13">
      <c r="A903" s="153"/>
      <c r="F903" s="153"/>
      <c r="G903" s="116"/>
      <c r="H903" s="116"/>
      <c r="I903" s="116"/>
      <c r="J903" s="116"/>
      <c r="K903" s="219"/>
      <c r="L903" s="116"/>
      <c r="M903" s="31"/>
      <c r="N903" s="336"/>
      <c r="O903" s="336"/>
      <c r="P903" s="219"/>
      <c r="Q903" s="332"/>
      <c r="R903" s="219"/>
      <c r="S903" s="332"/>
      <c r="T903" s="219"/>
      <c r="U903" s="332"/>
      <c r="V903" s="332"/>
      <c r="W903" s="370"/>
      <c r="X903" s="370"/>
      <c r="Y903" s="370"/>
      <c r="Z903" s="370"/>
      <c r="AA903" s="370"/>
      <c r="AB903" s="370"/>
      <c r="AC903" s="370"/>
      <c r="AD903" s="370"/>
      <c r="AE903" s="370"/>
      <c r="AF903" s="370"/>
      <c r="AG903" s="370"/>
      <c r="AH903" s="370"/>
      <c r="AI903" s="370"/>
      <c r="AJ903" s="370"/>
      <c r="AL903" s="219"/>
      <c r="AM903" s="219"/>
      <c r="AN903" s="219"/>
      <c r="AO903" s="116"/>
      <c r="AP903" s="116"/>
      <c r="AU903" s="332"/>
      <c r="AV903" s="332"/>
      <c r="AW903" s="332"/>
      <c r="AX903" s="332"/>
      <c r="AY903" s="332"/>
      <c r="AZ903" s="332"/>
      <c r="BA903" s="332"/>
      <c r="BB903" s="31"/>
      <c r="BC903" s="31"/>
      <c r="BD903" s="31"/>
      <c r="BE903" s="31"/>
    </row>
    <row r="904" spans="1:57" ht="13">
      <c r="A904" s="153"/>
      <c r="F904" s="153"/>
      <c r="G904" s="116"/>
      <c r="H904" s="116"/>
      <c r="I904" s="116"/>
      <c r="J904" s="116"/>
      <c r="K904" s="219"/>
      <c r="L904" s="116"/>
      <c r="M904" s="31"/>
      <c r="N904" s="336"/>
      <c r="O904" s="336"/>
      <c r="P904" s="219"/>
      <c r="Q904" s="332"/>
      <c r="R904" s="219"/>
      <c r="S904" s="332"/>
      <c r="T904" s="219"/>
      <c r="U904" s="332"/>
      <c r="V904" s="332"/>
      <c r="W904" s="370"/>
      <c r="X904" s="370"/>
      <c r="Y904" s="370"/>
      <c r="Z904" s="370"/>
      <c r="AA904" s="370"/>
      <c r="AB904" s="370"/>
      <c r="AC904" s="370"/>
      <c r="AD904" s="370"/>
      <c r="AE904" s="370"/>
      <c r="AF904" s="370"/>
      <c r="AG904" s="370"/>
      <c r="AH904" s="370"/>
      <c r="AI904" s="370"/>
      <c r="AJ904" s="370"/>
      <c r="AL904" s="219"/>
      <c r="AM904" s="219"/>
      <c r="AN904" s="219"/>
      <c r="AO904" s="116"/>
      <c r="AP904" s="116"/>
      <c r="AU904" s="332"/>
      <c r="AV904" s="332"/>
      <c r="AW904" s="332"/>
      <c r="AX904" s="332"/>
      <c r="AY904" s="332"/>
      <c r="AZ904" s="332"/>
      <c r="BA904" s="332"/>
      <c r="BB904" s="31"/>
      <c r="BC904" s="31"/>
      <c r="BD904" s="31"/>
      <c r="BE904" s="31"/>
    </row>
    <row r="905" spans="1:57" ht="13">
      <c r="A905" s="153"/>
      <c r="F905" s="153"/>
      <c r="G905" s="116"/>
      <c r="H905" s="116"/>
      <c r="I905" s="116"/>
      <c r="J905" s="116"/>
      <c r="K905" s="219"/>
      <c r="L905" s="116"/>
      <c r="M905" s="31"/>
      <c r="N905" s="336"/>
      <c r="O905" s="336"/>
      <c r="P905" s="219"/>
      <c r="Q905" s="332"/>
      <c r="R905" s="219"/>
      <c r="S905" s="332"/>
      <c r="T905" s="219"/>
      <c r="U905" s="332"/>
      <c r="V905" s="332"/>
      <c r="W905" s="370"/>
      <c r="X905" s="370"/>
      <c r="Y905" s="370"/>
      <c r="Z905" s="370"/>
      <c r="AA905" s="370"/>
      <c r="AB905" s="370"/>
      <c r="AC905" s="370"/>
      <c r="AD905" s="370"/>
      <c r="AE905" s="370"/>
      <c r="AF905" s="370"/>
      <c r="AG905" s="370"/>
      <c r="AH905" s="370"/>
      <c r="AI905" s="370"/>
      <c r="AJ905" s="370"/>
      <c r="AL905" s="219"/>
      <c r="AM905" s="219"/>
      <c r="AN905" s="219"/>
      <c r="AO905" s="116"/>
      <c r="AP905" s="116"/>
      <c r="AU905" s="332"/>
      <c r="AV905" s="332"/>
      <c r="AW905" s="332"/>
      <c r="AX905" s="332"/>
      <c r="AY905" s="332"/>
      <c r="AZ905" s="332"/>
      <c r="BA905" s="332"/>
      <c r="BB905" s="31"/>
      <c r="BC905" s="31"/>
      <c r="BD905" s="31"/>
      <c r="BE905" s="31"/>
    </row>
    <row r="906" spans="1:57" ht="13">
      <c r="A906" s="153"/>
      <c r="F906" s="153"/>
      <c r="G906" s="116"/>
      <c r="H906" s="116"/>
      <c r="I906" s="116"/>
      <c r="J906" s="116"/>
      <c r="K906" s="219"/>
      <c r="L906" s="116"/>
      <c r="M906" s="31"/>
      <c r="N906" s="336"/>
      <c r="O906" s="336"/>
      <c r="P906" s="219"/>
      <c r="Q906" s="332"/>
      <c r="R906" s="219"/>
      <c r="S906" s="332"/>
      <c r="T906" s="219"/>
      <c r="U906" s="332"/>
      <c r="V906" s="332"/>
      <c r="W906" s="370"/>
      <c r="X906" s="370"/>
      <c r="Y906" s="370"/>
      <c r="Z906" s="370"/>
      <c r="AA906" s="370"/>
      <c r="AB906" s="370"/>
      <c r="AC906" s="370"/>
      <c r="AD906" s="370"/>
      <c r="AE906" s="370"/>
      <c r="AF906" s="370"/>
      <c r="AG906" s="370"/>
      <c r="AH906" s="370"/>
      <c r="AI906" s="370"/>
      <c r="AJ906" s="370"/>
      <c r="AL906" s="219"/>
      <c r="AM906" s="219"/>
      <c r="AN906" s="219"/>
      <c r="AO906" s="116"/>
      <c r="AP906" s="116"/>
      <c r="AU906" s="332"/>
      <c r="AV906" s="332"/>
      <c r="AW906" s="332"/>
      <c r="AX906" s="332"/>
      <c r="AY906" s="332"/>
      <c r="AZ906" s="332"/>
      <c r="BA906" s="332"/>
      <c r="BB906" s="31"/>
      <c r="BC906" s="31"/>
      <c r="BD906" s="31"/>
      <c r="BE906" s="31"/>
    </row>
    <row r="907" spans="1:57" ht="13">
      <c r="A907" s="153"/>
      <c r="F907" s="153"/>
      <c r="G907" s="116"/>
      <c r="H907" s="116"/>
      <c r="I907" s="116"/>
      <c r="J907" s="116"/>
      <c r="K907" s="219"/>
      <c r="L907" s="116"/>
      <c r="M907" s="31"/>
      <c r="N907" s="336"/>
      <c r="O907" s="336"/>
      <c r="P907" s="219"/>
      <c r="Q907" s="332"/>
      <c r="R907" s="219"/>
      <c r="S907" s="332"/>
      <c r="T907" s="219"/>
      <c r="U907" s="332"/>
      <c r="V907" s="332"/>
      <c r="W907" s="370"/>
      <c r="X907" s="370"/>
      <c r="Y907" s="370"/>
      <c r="Z907" s="370"/>
      <c r="AA907" s="370"/>
      <c r="AB907" s="370"/>
      <c r="AC907" s="370"/>
      <c r="AD907" s="370"/>
      <c r="AE907" s="370"/>
      <c r="AF907" s="370"/>
      <c r="AG907" s="370"/>
      <c r="AH907" s="370"/>
      <c r="AI907" s="370"/>
      <c r="AJ907" s="370"/>
      <c r="AL907" s="219"/>
      <c r="AM907" s="219"/>
      <c r="AN907" s="219"/>
      <c r="AO907" s="116"/>
      <c r="AP907" s="116"/>
      <c r="AU907" s="332"/>
      <c r="AV907" s="332"/>
      <c r="AW907" s="332"/>
      <c r="AX907" s="332"/>
      <c r="AY907" s="332"/>
      <c r="AZ907" s="332"/>
      <c r="BA907" s="332"/>
      <c r="BB907" s="31"/>
      <c r="BC907" s="31"/>
      <c r="BD907" s="31"/>
      <c r="BE907" s="31"/>
    </row>
    <row r="908" spans="1:57" ht="13">
      <c r="A908" s="153"/>
      <c r="F908" s="153"/>
      <c r="G908" s="116"/>
      <c r="H908" s="116"/>
      <c r="I908" s="116"/>
      <c r="J908" s="116"/>
      <c r="K908" s="219"/>
      <c r="L908" s="116"/>
      <c r="M908" s="31"/>
      <c r="N908" s="336"/>
      <c r="O908" s="336"/>
      <c r="P908" s="219"/>
      <c r="Q908" s="332"/>
      <c r="R908" s="219"/>
      <c r="S908" s="332"/>
      <c r="T908" s="219"/>
      <c r="U908" s="332"/>
      <c r="V908" s="332"/>
      <c r="W908" s="370"/>
      <c r="X908" s="370"/>
      <c r="Y908" s="370"/>
      <c r="Z908" s="370"/>
      <c r="AA908" s="370"/>
      <c r="AB908" s="370"/>
      <c r="AC908" s="370"/>
      <c r="AD908" s="370"/>
      <c r="AE908" s="370"/>
      <c r="AF908" s="370"/>
      <c r="AG908" s="370"/>
      <c r="AH908" s="370"/>
      <c r="AI908" s="370"/>
      <c r="AJ908" s="370"/>
      <c r="AL908" s="219"/>
      <c r="AM908" s="219"/>
      <c r="AN908" s="219"/>
      <c r="AO908" s="116"/>
      <c r="AP908" s="116"/>
      <c r="AU908" s="332"/>
      <c r="AV908" s="332"/>
      <c r="AW908" s="332"/>
      <c r="AX908" s="332"/>
      <c r="AY908" s="332"/>
      <c r="AZ908" s="332"/>
      <c r="BA908" s="332"/>
      <c r="BB908" s="31"/>
      <c r="BC908" s="31"/>
      <c r="BD908" s="31"/>
      <c r="BE908" s="31"/>
    </row>
    <row r="909" spans="1:57" ht="13">
      <c r="A909" s="153"/>
      <c r="F909" s="153"/>
      <c r="G909" s="116"/>
      <c r="H909" s="116"/>
      <c r="I909" s="116"/>
      <c r="J909" s="116"/>
      <c r="K909" s="219"/>
      <c r="L909" s="116"/>
      <c r="M909" s="31"/>
      <c r="N909" s="336"/>
      <c r="O909" s="336"/>
      <c r="P909" s="219"/>
      <c r="Q909" s="332"/>
      <c r="R909" s="219"/>
      <c r="S909" s="332"/>
      <c r="T909" s="219"/>
      <c r="U909" s="332"/>
      <c r="V909" s="332"/>
      <c r="W909" s="370"/>
      <c r="X909" s="370"/>
      <c r="Y909" s="370"/>
      <c r="Z909" s="370"/>
      <c r="AA909" s="370"/>
      <c r="AB909" s="370"/>
      <c r="AC909" s="370"/>
      <c r="AD909" s="370"/>
      <c r="AE909" s="370"/>
      <c r="AF909" s="370"/>
      <c r="AG909" s="370"/>
      <c r="AH909" s="370"/>
      <c r="AI909" s="370"/>
      <c r="AJ909" s="370"/>
      <c r="AL909" s="219"/>
      <c r="AM909" s="219"/>
      <c r="AN909" s="219"/>
      <c r="AO909" s="116"/>
      <c r="AP909" s="116"/>
      <c r="AU909" s="332"/>
      <c r="AV909" s="332"/>
      <c r="AW909" s="332"/>
      <c r="AX909" s="332"/>
      <c r="AY909" s="332"/>
      <c r="AZ909" s="332"/>
      <c r="BA909" s="332"/>
      <c r="BB909" s="31"/>
      <c r="BC909" s="31"/>
      <c r="BD909" s="31"/>
      <c r="BE909" s="31"/>
    </row>
    <row r="910" spans="1:57" ht="13">
      <c r="A910" s="153"/>
      <c r="F910" s="153"/>
      <c r="G910" s="116"/>
      <c r="H910" s="116"/>
      <c r="I910" s="116"/>
      <c r="J910" s="116"/>
      <c r="K910" s="219"/>
      <c r="L910" s="116"/>
      <c r="M910" s="31"/>
      <c r="N910" s="336"/>
      <c r="O910" s="336"/>
      <c r="P910" s="219"/>
      <c r="Q910" s="332"/>
      <c r="R910" s="219"/>
      <c r="S910" s="332"/>
      <c r="T910" s="219"/>
      <c r="U910" s="332"/>
      <c r="V910" s="332"/>
      <c r="W910" s="370"/>
      <c r="X910" s="370"/>
      <c r="Y910" s="370"/>
      <c r="Z910" s="370"/>
      <c r="AA910" s="370"/>
      <c r="AB910" s="370"/>
      <c r="AC910" s="370"/>
      <c r="AD910" s="370"/>
      <c r="AE910" s="370"/>
      <c r="AF910" s="370"/>
      <c r="AG910" s="370"/>
      <c r="AH910" s="370"/>
      <c r="AI910" s="370"/>
      <c r="AJ910" s="370"/>
      <c r="AL910" s="219"/>
      <c r="AM910" s="219"/>
      <c r="AN910" s="219"/>
      <c r="AO910" s="116"/>
      <c r="AP910" s="116"/>
      <c r="AU910" s="332"/>
      <c r="AV910" s="332"/>
      <c r="AW910" s="332"/>
      <c r="AX910" s="332"/>
      <c r="AY910" s="332"/>
      <c r="AZ910" s="332"/>
      <c r="BA910" s="332"/>
      <c r="BB910" s="31"/>
      <c r="BC910" s="31"/>
      <c r="BD910" s="31"/>
      <c r="BE910" s="31"/>
    </row>
    <row r="911" spans="1:57" ht="13">
      <c r="A911" s="153"/>
      <c r="F911" s="153"/>
      <c r="G911" s="116"/>
      <c r="H911" s="116"/>
      <c r="I911" s="116"/>
      <c r="J911" s="116"/>
      <c r="K911" s="219"/>
      <c r="L911" s="116"/>
      <c r="M911" s="31"/>
      <c r="N911" s="336"/>
      <c r="O911" s="336"/>
      <c r="P911" s="219"/>
      <c r="Q911" s="332"/>
      <c r="R911" s="219"/>
      <c r="S911" s="332"/>
      <c r="T911" s="219"/>
      <c r="U911" s="332"/>
      <c r="V911" s="332"/>
      <c r="W911" s="370"/>
      <c r="X911" s="370"/>
      <c r="Y911" s="370"/>
      <c r="Z911" s="370"/>
      <c r="AA911" s="370"/>
      <c r="AB911" s="370"/>
      <c r="AC911" s="370"/>
      <c r="AD911" s="370"/>
      <c r="AE911" s="370"/>
      <c r="AF911" s="370"/>
      <c r="AG911" s="370"/>
      <c r="AH911" s="370"/>
      <c r="AI911" s="370"/>
      <c r="AJ911" s="370"/>
      <c r="AL911" s="219"/>
      <c r="AM911" s="219"/>
      <c r="AN911" s="219"/>
      <c r="AO911" s="116"/>
      <c r="AP911" s="116"/>
      <c r="AU911" s="332"/>
      <c r="AV911" s="332"/>
      <c r="AW911" s="332"/>
      <c r="AX911" s="332"/>
      <c r="AY911" s="332"/>
      <c r="AZ911" s="332"/>
      <c r="BA911" s="332"/>
      <c r="BB911" s="31"/>
      <c r="BC911" s="31"/>
      <c r="BD911" s="31"/>
      <c r="BE911" s="31"/>
    </row>
    <row r="912" spans="1:57" ht="13">
      <c r="A912" s="153"/>
      <c r="F912" s="153"/>
      <c r="G912" s="116"/>
      <c r="H912" s="116"/>
      <c r="I912" s="116"/>
      <c r="J912" s="116"/>
      <c r="K912" s="219"/>
      <c r="L912" s="116"/>
      <c r="M912" s="31"/>
      <c r="N912" s="336"/>
      <c r="O912" s="336"/>
      <c r="P912" s="219"/>
      <c r="Q912" s="332"/>
      <c r="R912" s="219"/>
      <c r="S912" s="332"/>
      <c r="T912" s="219"/>
      <c r="U912" s="332"/>
      <c r="V912" s="332"/>
      <c r="W912" s="370"/>
      <c r="X912" s="370"/>
      <c r="Y912" s="370"/>
      <c r="Z912" s="370"/>
      <c r="AA912" s="370"/>
      <c r="AB912" s="370"/>
      <c r="AC912" s="370"/>
      <c r="AD912" s="370"/>
      <c r="AE912" s="370"/>
      <c r="AF912" s="370"/>
      <c r="AG912" s="370"/>
      <c r="AH912" s="370"/>
      <c r="AI912" s="370"/>
      <c r="AJ912" s="370"/>
      <c r="AL912" s="219"/>
      <c r="AM912" s="219"/>
      <c r="AN912" s="219"/>
      <c r="AO912" s="116"/>
      <c r="AP912" s="116"/>
      <c r="AU912" s="332"/>
      <c r="AV912" s="332"/>
      <c r="AW912" s="332"/>
      <c r="AX912" s="332"/>
      <c r="AY912" s="332"/>
      <c r="AZ912" s="332"/>
      <c r="BA912" s="332"/>
      <c r="BB912" s="31"/>
      <c r="BC912" s="31"/>
      <c r="BD912" s="31"/>
      <c r="BE912" s="31"/>
    </row>
    <row r="913" spans="1:57" ht="13">
      <c r="A913" s="153"/>
      <c r="F913" s="153"/>
      <c r="G913" s="116"/>
      <c r="H913" s="116"/>
      <c r="I913" s="116"/>
      <c r="J913" s="116"/>
      <c r="K913" s="219"/>
      <c r="L913" s="116"/>
      <c r="M913" s="31"/>
      <c r="N913" s="336"/>
      <c r="O913" s="336"/>
      <c r="P913" s="219"/>
      <c r="Q913" s="332"/>
      <c r="R913" s="219"/>
      <c r="S913" s="332"/>
      <c r="T913" s="219"/>
      <c r="U913" s="332"/>
      <c r="V913" s="332"/>
      <c r="W913" s="370"/>
      <c r="X913" s="370"/>
      <c r="Y913" s="370"/>
      <c r="Z913" s="370"/>
      <c r="AA913" s="370"/>
      <c r="AB913" s="370"/>
      <c r="AC913" s="370"/>
      <c r="AD913" s="370"/>
      <c r="AE913" s="370"/>
      <c r="AF913" s="370"/>
      <c r="AG913" s="370"/>
      <c r="AH913" s="370"/>
      <c r="AI913" s="370"/>
      <c r="AJ913" s="370"/>
      <c r="AL913" s="219"/>
      <c r="AM913" s="219"/>
      <c r="AN913" s="219"/>
      <c r="AO913" s="116"/>
      <c r="AP913" s="116"/>
      <c r="AU913" s="332"/>
      <c r="AV913" s="332"/>
      <c r="AW913" s="332"/>
      <c r="AX913" s="332"/>
      <c r="AY913" s="332"/>
      <c r="AZ913" s="332"/>
      <c r="BA913" s="332"/>
      <c r="BB913" s="31"/>
      <c r="BC913" s="31"/>
      <c r="BD913" s="31"/>
      <c r="BE913" s="31"/>
    </row>
    <row r="914" spans="1:57" ht="13">
      <c r="A914" s="153"/>
      <c r="F914" s="153"/>
      <c r="G914" s="116"/>
      <c r="H914" s="116"/>
      <c r="I914" s="116"/>
      <c r="J914" s="116"/>
      <c r="K914" s="219"/>
      <c r="L914" s="116"/>
      <c r="M914" s="31"/>
      <c r="N914" s="336"/>
      <c r="O914" s="336"/>
      <c r="P914" s="219"/>
      <c r="Q914" s="332"/>
      <c r="R914" s="219"/>
      <c r="S914" s="332"/>
      <c r="T914" s="219"/>
      <c r="U914" s="332"/>
      <c r="V914" s="332"/>
      <c r="W914" s="370"/>
      <c r="X914" s="370"/>
      <c r="Y914" s="370"/>
      <c r="Z914" s="370"/>
      <c r="AA914" s="370"/>
      <c r="AB914" s="370"/>
      <c r="AC914" s="370"/>
      <c r="AD914" s="370"/>
      <c r="AE914" s="370"/>
      <c r="AF914" s="370"/>
      <c r="AG914" s="370"/>
      <c r="AH914" s="370"/>
      <c r="AI914" s="370"/>
      <c r="AJ914" s="370"/>
      <c r="AL914" s="219"/>
      <c r="AM914" s="219"/>
      <c r="AN914" s="219"/>
      <c r="AO914" s="116"/>
      <c r="AP914" s="116"/>
      <c r="AU914" s="332"/>
      <c r="AV914" s="332"/>
      <c r="AW914" s="332"/>
      <c r="AX914" s="332"/>
      <c r="AY914" s="332"/>
      <c r="AZ914" s="332"/>
      <c r="BA914" s="332"/>
      <c r="BB914" s="31"/>
      <c r="BC914" s="31"/>
      <c r="BD914" s="31"/>
      <c r="BE914" s="31"/>
    </row>
    <row r="915" spans="1:57" ht="13">
      <c r="A915" s="153"/>
      <c r="F915" s="153"/>
      <c r="G915" s="116"/>
      <c r="H915" s="116"/>
      <c r="I915" s="116"/>
      <c r="J915" s="116"/>
      <c r="K915" s="219"/>
      <c r="L915" s="116"/>
      <c r="M915" s="31"/>
      <c r="N915" s="336"/>
      <c r="O915" s="336"/>
      <c r="P915" s="219"/>
      <c r="Q915" s="332"/>
      <c r="R915" s="219"/>
      <c r="S915" s="332"/>
      <c r="T915" s="219"/>
      <c r="U915" s="332"/>
      <c r="V915" s="332"/>
      <c r="W915" s="370"/>
      <c r="X915" s="370"/>
      <c r="Y915" s="370"/>
      <c r="Z915" s="370"/>
      <c r="AA915" s="370"/>
      <c r="AB915" s="370"/>
      <c r="AC915" s="370"/>
      <c r="AD915" s="370"/>
      <c r="AE915" s="370"/>
      <c r="AF915" s="370"/>
      <c r="AG915" s="370"/>
      <c r="AH915" s="370"/>
      <c r="AI915" s="370"/>
      <c r="AJ915" s="370"/>
      <c r="AL915" s="219"/>
      <c r="AM915" s="219"/>
      <c r="AN915" s="219"/>
      <c r="AO915" s="116"/>
      <c r="AP915" s="116"/>
      <c r="AU915" s="332"/>
      <c r="AV915" s="332"/>
      <c r="AW915" s="332"/>
      <c r="AX915" s="332"/>
      <c r="AY915" s="332"/>
      <c r="AZ915" s="332"/>
      <c r="BA915" s="332"/>
      <c r="BB915" s="31"/>
      <c r="BC915" s="31"/>
      <c r="BD915" s="31"/>
      <c r="BE915" s="31"/>
    </row>
    <row r="916" spans="1:57" ht="13">
      <c r="A916" s="153"/>
      <c r="F916" s="153"/>
      <c r="G916" s="116"/>
      <c r="H916" s="116"/>
      <c r="I916" s="116"/>
      <c r="J916" s="116"/>
      <c r="K916" s="219"/>
      <c r="L916" s="116"/>
      <c r="M916" s="31"/>
      <c r="N916" s="336"/>
      <c r="O916" s="336"/>
      <c r="P916" s="219"/>
      <c r="Q916" s="332"/>
      <c r="R916" s="219"/>
      <c r="S916" s="332"/>
      <c r="T916" s="219"/>
      <c r="U916" s="332"/>
      <c r="V916" s="332"/>
      <c r="W916" s="370"/>
      <c r="X916" s="370"/>
      <c r="Y916" s="370"/>
      <c r="Z916" s="370"/>
      <c r="AA916" s="370"/>
      <c r="AB916" s="370"/>
      <c r="AC916" s="370"/>
      <c r="AD916" s="370"/>
      <c r="AE916" s="370"/>
      <c r="AF916" s="370"/>
      <c r="AG916" s="370"/>
      <c r="AH916" s="370"/>
      <c r="AI916" s="370"/>
      <c r="AJ916" s="370"/>
      <c r="AL916" s="219"/>
      <c r="AM916" s="219"/>
      <c r="AN916" s="219"/>
      <c r="AO916" s="116"/>
      <c r="AP916" s="116"/>
      <c r="AU916" s="332"/>
      <c r="AV916" s="332"/>
      <c r="AW916" s="332"/>
      <c r="AX916" s="332"/>
      <c r="AY916" s="332"/>
      <c r="AZ916" s="332"/>
      <c r="BA916" s="332"/>
      <c r="BB916" s="31"/>
      <c r="BC916" s="31"/>
      <c r="BD916" s="31"/>
      <c r="BE916" s="31"/>
    </row>
    <row r="917" spans="1:57" ht="13">
      <c r="A917" s="153"/>
      <c r="F917" s="153"/>
      <c r="G917" s="116"/>
      <c r="H917" s="116"/>
      <c r="I917" s="116"/>
      <c r="J917" s="116"/>
      <c r="K917" s="219"/>
      <c r="L917" s="116"/>
      <c r="M917" s="31"/>
      <c r="N917" s="336"/>
      <c r="O917" s="336"/>
      <c r="P917" s="219"/>
      <c r="Q917" s="332"/>
      <c r="R917" s="219"/>
      <c r="S917" s="332"/>
      <c r="T917" s="219"/>
      <c r="U917" s="332"/>
      <c r="V917" s="332"/>
      <c r="W917" s="370"/>
      <c r="X917" s="370"/>
      <c r="Y917" s="370"/>
      <c r="Z917" s="370"/>
      <c r="AA917" s="370"/>
      <c r="AB917" s="370"/>
      <c r="AC917" s="370"/>
      <c r="AD917" s="370"/>
      <c r="AE917" s="370"/>
      <c r="AF917" s="370"/>
      <c r="AG917" s="370"/>
      <c r="AH917" s="370"/>
      <c r="AI917" s="370"/>
      <c r="AJ917" s="370"/>
      <c r="AL917" s="219"/>
      <c r="AM917" s="219"/>
      <c r="AN917" s="219"/>
      <c r="AO917" s="116"/>
      <c r="AP917" s="116"/>
      <c r="AU917" s="332"/>
      <c r="AV917" s="332"/>
      <c r="AW917" s="332"/>
      <c r="AX917" s="332"/>
      <c r="AY917" s="332"/>
      <c r="AZ917" s="332"/>
      <c r="BA917" s="332"/>
      <c r="BB917" s="31"/>
      <c r="BC917" s="31"/>
      <c r="BD917" s="31"/>
      <c r="BE917" s="31"/>
    </row>
    <row r="918" spans="1:57" ht="13">
      <c r="A918" s="153"/>
      <c r="F918" s="153"/>
      <c r="G918" s="116"/>
      <c r="H918" s="116"/>
      <c r="I918" s="116"/>
      <c r="J918" s="116"/>
      <c r="K918" s="219"/>
      <c r="L918" s="116"/>
      <c r="M918" s="31"/>
      <c r="N918" s="336"/>
      <c r="O918" s="336"/>
      <c r="P918" s="219"/>
      <c r="Q918" s="332"/>
      <c r="R918" s="219"/>
      <c r="S918" s="332"/>
      <c r="T918" s="219"/>
      <c r="U918" s="332"/>
      <c r="V918" s="332"/>
      <c r="W918" s="370"/>
      <c r="X918" s="370"/>
      <c r="Y918" s="370"/>
      <c r="Z918" s="370"/>
      <c r="AA918" s="370"/>
      <c r="AB918" s="370"/>
      <c r="AC918" s="370"/>
      <c r="AD918" s="370"/>
      <c r="AE918" s="370"/>
      <c r="AF918" s="370"/>
      <c r="AG918" s="370"/>
      <c r="AH918" s="370"/>
      <c r="AI918" s="370"/>
      <c r="AJ918" s="370"/>
      <c r="AL918" s="219"/>
      <c r="AM918" s="219"/>
      <c r="AN918" s="219"/>
      <c r="AO918" s="116"/>
      <c r="AP918" s="116"/>
      <c r="AU918" s="332"/>
      <c r="AV918" s="332"/>
      <c r="AW918" s="332"/>
      <c r="AX918" s="332"/>
      <c r="AY918" s="332"/>
      <c r="AZ918" s="332"/>
      <c r="BA918" s="332"/>
      <c r="BB918" s="31"/>
      <c r="BC918" s="31"/>
      <c r="BD918" s="31"/>
      <c r="BE918" s="31"/>
    </row>
    <row r="919" spans="1:57" ht="13">
      <c r="A919" s="153"/>
      <c r="F919" s="153"/>
      <c r="G919" s="116"/>
      <c r="H919" s="116"/>
      <c r="I919" s="116"/>
      <c r="J919" s="116"/>
      <c r="K919" s="219"/>
      <c r="L919" s="116"/>
      <c r="M919" s="31"/>
      <c r="N919" s="336"/>
      <c r="O919" s="336"/>
      <c r="P919" s="219"/>
      <c r="Q919" s="332"/>
      <c r="R919" s="219"/>
      <c r="S919" s="332"/>
      <c r="T919" s="219"/>
      <c r="U919" s="332"/>
      <c r="V919" s="332"/>
      <c r="W919" s="370"/>
      <c r="X919" s="370"/>
      <c r="Y919" s="370"/>
      <c r="Z919" s="370"/>
      <c r="AA919" s="370"/>
      <c r="AB919" s="370"/>
      <c r="AC919" s="370"/>
      <c r="AD919" s="370"/>
      <c r="AE919" s="370"/>
      <c r="AF919" s="370"/>
      <c r="AG919" s="370"/>
      <c r="AH919" s="370"/>
      <c r="AI919" s="370"/>
      <c r="AJ919" s="370"/>
      <c r="AL919" s="219"/>
      <c r="AM919" s="219"/>
      <c r="AN919" s="219"/>
      <c r="AO919" s="116"/>
      <c r="AP919" s="116"/>
      <c r="AU919" s="332"/>
      <c r="AV919" s="332"/>
      <c r="AW919" s="332"/>
      <c r="AX919" s="332"/>
      <c r="AY919" s="332"/>
      <c r="AZ919" s="332"/>
      <c r="BA919" s="332"/>
      <c r="BB919" s="31"/>
      <c r="BC919" s="31"/>
      <c r="BD919" s="31"/>
      <c r="BE919" s="31"/>
    </row>
    <row r="920" spans="1:57" ht="13">
      <c r="A920" s="153"/>
      <c r="F920" s="153"/>
      <c r="G920" s="116"/>
      <c r="H920" s="116"/>
      <c r="I920" s="116"/>
      <c r="J920" s="116"/>
      <c r="K920" s="219"/>
      <c r="L920" s="116"/>
      <c r="M920" s="31"/>
      <c r="N920" s="336"/>
      <c r="O920" s="336"/>
      <c r="P920" s="219"/>
      <c r="Q920" s="332"/>
      <c r="R920" s="219"/>
      <c r="S920" s="332"/>
      <c r="T920" s="219"/>
      <c r="U920" s="332"/>
      <c r="V920" s="332"/>
      <c r="W920" s="370"/>
      <c r="X920" s="370"/>
      <c r="Y920" s="370"/>
      <c r="Z920" s="370"/>
      <c r="AA920" s="370"/>
      <c r="AB920" s="370"/>
      <c r="AC920" s="370"/>
      <c r="AD920" s="370"/>
      <c r="AE920" s="370"/>
      <c r="AF920" s="370"/>
      <c r="AG920" s="370"/>
      <c r="AH920" s="370"/>
      <c r="AI920" s="370"/>
      <c r="AJ920" s="370"/>
      <c r="AL920" s="219"/>
      <c r="AM920" s="219"/>
      <c r="AN920" s="219"/>
      <c r="AO920" s="116"/>
      <c r="AP920" s="116"/>
      <c r="AU920" s="332"/>
      <c r="AV920" s="332"/>
      <c r="AW920" s="332"/>
      <c r="AX920" s="332"/>
      <c r="AY920" s="332"/>
      <c r="AZ920" s="332"/>
      <c r="BA920" s="332"/>
      <c r="BB920" s="31"/>
      <c r="BC920" s="31"/>
      <c r="BD920" s="31"/>
      <c r="BE920" s="31"/>
    </row>
    <row r="921" spans="1:57" ht="13">
      <c r="A921" s="153"/>
      <c r="F921" s="153"/>
      <c r="G921" s="116"/>
      <c r="H921" s="116"/>
      <c r="I921" s="116"/>
      <c r="J921" s="116"/>
      <c r="K921" s="219"/>
      <c r="L921" s="116"/>
      <c r="M921" s="31"/>
      <c r="N921" s="336"/>
      <c r="O921" s="336"/>
      <c r="P921" s="219"/>
      <c r="Q921" s="332"/>
      <c r="R921" s="219"/>
      <c r="S921" s="332"/>
      <c r="T921" s="219"/>
      <c r="U921" s="332"/>
      <c r="V921" s="332"/>
      <c r="W921" s="370"/>
      <c r="X921" s="370"/>
      <c r="Y921" s="370"/>
      <c r="Z921" s="370"/>
      <c r="AA921" s="370"/>
      <c r="AB921" s="370"/>
      <c r="AC921" s="370"/>
      <c r="AD921" s="370"/>
      <c r="AE921" s="370"/>
      <c r="AF921" s="370"/>
      <c r="AG921" s="370"/>
      <c r="AH921" s="370"/>
      <c r="AI921" s="370"/>
      <c r="AJ921" s="370"/>
      <c r="AL921" s="219"/>
      <c r="AM921" s="219"/>
      <c r="AN921" s="219"/>
      <c r="AO921" s="116"/>
      <c r="AP921" s="116"/>
      <c r="AU921" s="332"/>
      <c r="AV921" s="332"/>
      <c r="AW921" s="332"/>
      <c r="AX921" s="332"/>
      <c r="AY921" s="332"/>
      <c r="AZ921" s="332"/>
      <c r="BA921" s="332"/>
      <c r="BB921" s="31"/>
      <c r="BC921" s="31"/>
      <c r="BD921" s="31"/>
      <c r="BE921" s="31"/>
    </row>
    <row r="922" spans="1:57" ht="13">
      <c r="A922" s="153"/>
      <c r="F922" s="153"/>
      <c r="G922" s="116"/>
      <c r="H922" s="116"/>
      <c r="I922" s="116"/>
      <c r="J922" s="116"/>
      <c r="K922" s="219"/>
      <c r="L922" s="116"/>
      <c r="M922" s="31"/>
      <c r="N922" s="336"/>
      <c r="O922" s="336"/>
      <c r="P922" s="219"/>
      <c r="Q922" s="332"/>
      <c r="R922" s="219"/>
      <c r="S922" s="332"/>
      <c r="T922" s="219"/>
      <c r="U922" s="332"/>
      <c r="V922" s="332"/>
      <c r="W922" s="370"/>
      <c r="X922" s="370"/>
      <c r="Y922" s="370"/>
      <c r="Z922" s="370"/>
      <c r="AA922" s="370"/>
      <c r="AB922" s="370"/>
      <c r="AC922" s="370"/>
      <c r="AD922" s="370"/>
      <c r="AE922" s="370"/>
      <c r="AF922" s="370"/>
      <c r="AG922" s="370"/>
      <c r="AH922" s="370"/>
      <c r="AI922" s="370"/>
      <c r="AJ922" s="370"/>
      <c r="AL922" s="219"/>
      <c r="AM922" s="219"/>
      <c r="AN922" s="219"/>
      <c r="AO922" s="116"/>
      <c r="AP922" s="116"/>
      <c r="AU922" s="332"/>
      <c r="AV922" s="332"/>
      <c r="AW922" s="332"/>
      <c r="AX922" s="332"/>
      <c r="AY922" s="332"/>
      <c r="AZ922" s="332"/>
      <c r="BA922" s="332"/>
      <c r="BB922" s="31"/>
      <c r="BC922" s="31"/>
      <c r="BD922" s="31"/>
      <c r="BE922" s="31"/>
    </row>
    <row r="923" spans="1:57" ht="13">
      <c r="A923" s="153"/>
      <c r="F923" s="153"/>
      <c r="G923" s="116"/>
      <c r="H923" s="116"/>
      <c r="I923" s="116"/>
      <c r="J923" s="116"/>
      <c r="K923" s="219"/>
      <c r="L923" s="116"/>
      <c r="M923" s="31"/>
      <c r="N923" s="336"/>
      <c r="O923" s="336"/>
      <c r="P923" s="219"/>
      <c r="Q923" s="332"/>
      <c r="R923" s="219"/>
      <c r="S923" s="332"/>
      <c r="T923" s="219"/>
      <c r="U923" s="332"/>
      <c r="V923" s="332"/>
      <c r="W923" s="370"/>
      <c r="X923" s="370"/>
      <c r="Y923" s="370"/>
      <c r="Z923" s="370"/>
      <c r="AA923" s="370"/>
      <c r="AB923" s="370"/>
      <c r="AC923" s="370"/>
      <c r="AD923" s="370"/>
      <c r="AE923" s="370"/>
      <c r="AF923" s="370"/>
      <c r="AG923" s="370"/>
      <c r="AH923" s="370"/>
      <c r="AI923" s="370"/>
      <c r="AJ923" s="370"/>
      <c r="AL923" s="219"/>
      <c r="AM923" s="219"/>
      <c r="AN923" s="219"/>
      <c r="AO923" s="116"/>
      <c r="AP923" s="116"/>
      <c r="AU923" s="332"/>
      <c r="AV923" s="332"/>
      <c r="AW923" s="332"/>
      <c r="AX923" s="332"/>
      <c r="AY923" s="332"/>
      <c r="AZ923" s="332"/>
      <c r="BA923" s="332"/>
      <c r="BB923" s="31"/>
      <c r="BC923" s="31"/>
      <c r="BD923" s="31"/>
      <c r="BE923" s="31"/>
    </row>
    <row r="924" spans="1:57" ht="13">
      <c r="A924" s="153"/>
      <c r="F924" s="153"/>
      <c r="G924" s="116"/>
      <c r="H924" s="116"/>
      <c r="I924" s="116"/>
      <c r="J924" s="116"/>
      <c r="K924" s="219"/>
      <c r="L924" s="116"/>
      <c r="M924" s="31"/>
      <c r="N924" s="336"/>
      <c r="O924" s="336"/>
      <c r="P924" s="219"/>
      <c r="Q924" s="332"/>
      <c r="R924" s="219"/>
      <c r="S924" s="332"/>
      <c r="T924" s="219"/>
      <c r="U924" s="332"/>
      <c r="V924" s="332"/>
      <c r="W924" s="370"/>
      <c r="X924" s="370"/>
      <c r="Y924" s="370"/>
      <c r="Z924" s="370"/>
      <c r="AA924" s="370"/>
      <c r="AB924" s="370"/>
      <c r="AC924" s="370"/>
      <c r="AD924" s="370"/>
      <c r="AE924" s="370"/>
      <c r="AF924" s="370"/>
      <c r="AG924" s="370"/>
      <c r="AH924" s="370"/>
      <c r="AI924" s="370"/>
      <c r="AJ924" s="370"/>
      <c r="AL924" s="219"/>
      <c r="AM924" s="219"/>
      <c r="AN924" s="219"/>
      <c r="AO924" s="116"/>
      <c r="AP924" s="116"/>
      <c r="AU924" s="332"/>
      <c r="AV924" s="332"/>
      <c r="AW924" s="332"/>
      <c r="AX924" s="332"/>
      <c r="AY924" s="332"/>
      <c r="AZ924" s="332"/>
      <c r="BA924" s="332"/>
      <c r="BB924" s="31"/>
      <c r="BC924" s="31"/>
      <c r="BD924" s="31"/>
      <c r="BE924" s="31"/>
    </row>
    <row r="925" spans="1:57" ht="13">
      <c r="A925" s="153"/>
      <c r="F925" s="153"/>
      <c r="G925" s="116"/>
      <c r="H925" s="116"/>
      <c r="I925" s="116"/>
      <c r="J925" s="116"/>
      <c r="K925" s="219"/>
      <c r="L925" s="116"/>
      <c r="M925" s="31"/>
      <c r="N925" s="336"/>
      <c r="O925" s="336"/>
      <c r="P925" s="219"/>
      <c r="Q925" s="332"/>
      <c r="R925" s="219"/>
      <c r="S925" s="332"/>
      <c r="T925" s="219"/>
      <c r="U925" s="332"/>
      <c r="V925" s="332"/>
      <c r="W925" s="370"/>
      <c r="X925" s="370"/>
      <c r="Y925" s="370"/>
      <c r="Z925" s="370"/>
      <c r="AA925" s="370"/>
      <c r="AB925" s="370"/>
      <c r="AC925" s="370"/>
      <c r="AD925" s="370"/>
      <c r="AE925" s="370"/>
      <c r="AF925" s="370"/>
      <c r="AG925" s="370"/>
      <c r="AH925" s="370"/>
      <c r="AI925" s="370"/>
      <c r="AJ925" s="370"/>
      <c r="AL925" s="219"/>
      <c r="AM925" s="219"/>
      <c r="AN925" s="219"/>
      <c r="AO925" s="116"/>
      <c r="AP925" s="116"/>
      <c r="AU925" s="332"/>
      <c r="AV925" s="332"/>
      <c r="AW925" s="332"/>
      <c r="AX925" s="332"/>
      <c r="AY925" s="332"/>
      <c r="AZ925" s="332"/>
      <c r="BA925" s="332"/>
      <c r="BB925" s="31"/>
      <c r="BC925" s="31"/>
      <c r="BD925" s="31"/>
      <c r="BE925" s="31"/>
    </row>
    <row r="926" spans="1:57" ht="13">
      <c r="A926" s="153"/>
      <c r="F926" s="153"/>
      <c r="G926" s="116"/>
      <c r="H926" s="116"/>
      <c r="I926" s="116"/>
      <c r="J926" s="116"/>
      <c r="K926" s="219"/>
      <c r="L926" s="116"/>
      <c r="M926" s="31"/>
      <c r="N926" s="336"/>
      <c r="O926" s="336"/>
      <c r="P926" s="219"/>
      <c r="Q926" s="332"/>
      <c r="R926" s="219"/>
      <c r="S926" s="332"/>
      <c r="T926" s="219"/>
      <c r="U926" s="332"/>
      <c r="V926" s="332"/>
      <c r="W926" s="370"/>
      <c r="X926" s="370"/>
      <c r="Y926" s="370"/>
      <c r="Z926" s="370"/>
      <c r="AA926" s="370"/>
      <c r="AB926" s="370"/>
      <c r="AC926" s="370"/>
      <c r="AD926" s="370"/>
      <c r="AE926" s="370"/>
      <c r="AF926" s="370"/>
      <c r="AG926" s="370"/>
      <c r="AH926" s="370"/>
      <c r="AI926" s="370"/>
      <c r="AJ926" s="370"/>
      <c r="AL926" s="219"/>
      <c r="AM926" s="219"/>
      <c r="AN926" s="219"/>
      <c r="AO926" s="116"/>
      <c r="AP926" s="116"/>
      <c r="AU926" s="332"/>
      <c r="AV926" s="332"/>
      <c r="AW926" s="332"/>
      <c r="AX926" s="332"/>
      <c r="AY926" s="332"/>
      <c r="AZ926" s="332"/>
      <c r="BA926" s="332"/>
      <c r="BB926" s="31"/>
      <c r="BC926" s="31"/>
      <c r="BD926" s="31"/>
      <c r="BE926" s="31"/>
    </row>
    <row r="927" spans="1:57" ht="13">
      <c r="A927" s="153"/>
      <c r="F927" s="153"/>
      <c r="G927" s="116"/>
      <c r="H927" s="116"/>
      <c r="I927" s="116"/>
      <c r="J927" s="116"/>
      <c r="K927" s="219"/>
      <c r="L927" s="116"/>
      <c r="M927" s="31"/>
      <c r="N927" s="336"/>
      <c r="O927" s="336"/>
      <c r="P927" s="219"/>
      <c r="Q927" s="332"/>
      <c r="R927" s="219"/>
      <c r="S927" s="332"/>
      <c r="T927" s="219"/>
      <c r="U927" s="332"/>
      <c r="V927" s="332"/>
      <c r="W927" s="370"/>
      <c r="X927" s="370"/>
      <c r="Y927" s="370"/>
      <c r="Z927" s="370"/>
      <c r="AA927" s="370"/>
      <c r="AB927" s="370"/>
      <c r="AC927" s="370"/>
      <c r="AD927" s="370"/>
      <c r="AE927" s="370"/>
      <c r="AF927" s="370"/>
      <c r="AG927" s="370"/>
      <c r="AH927" s="370"/>
      <c r="AI927" s="370"/>
      <c r="AJ927" s="370"/>
      <c r="AL927" s="219"/>
      <c r="AM927" s="219"/>
      <c r="AN927" s="219"/>
      <c r="AO927" s="116"/>
      <c r="AP927" s="116"/>
      <c r="AU927" s="332"/>
      <c r="AV927" s="332"/>
      <c r="AW927" s="332"/>
      <c r="AX927" s="332"/>
      <c r="AY927" s="332"/>
      <c r="AZ927" s="332"/>
      <c r="BA927" s="332"/>
      <c r="BB927" s="31"/>
      <c r="BC927" s="31"/>
      <c r="BD927" s="31"/>
      <c r="BE927" s="31"/>
    </row>
    <row r="928" spans="1:57" ht="13">
      <c r="A928" s="153"/>
      <c r="F928" s="153"/>
      <c r="G928" s="116"/>
      <c r="H928" s="116"/>
      <c r="I928" s="116"/>
      <c r="J928" s="116"/>
      <c r="K928" s="219"/>
      <c r="L928" s="116"/>
      <c r="M928" s="31"/>
      <c r="N928" s="336"/>
      <c r="O928" s="336"/>
      <c r="P928" s="219"/>
      <c r="Q928" s="332"/>
      <c r="R928" s="219"/>
      <c r="S928" s="332"/>
      <c r="T928" s="219"/>
      <c r="U928" s="332"/>
      <c r="V928" s="332"/>
      <c r="W928" s="370"/>
      <c r="X928" s="370"/>
      <c r="Y928" s="370"/>
      <c r="Z928" s="370"/>
      <c r="AA928" s="370"/>
      <c r="AB928" s="370"/>
      <c r="AC928" s="370"/>
      <c r="AD928" s="370"/>
      <c r="AE928" s="370"/>
      <c r="AF928" s="370"/>
      <c r="AG928" s="370"/>
      <c r="AH928" s="370"/>
      <c r="AI928" s="370"/>
      <c r="AJ928" s="370"/>
      <c r="AL928" s="219"/>
      <c r="AM928" s="219"/>
      <c r="AN928" s="219"/>
      <c r="AO928" s="116"/>
      <c r="AP928" s="116"/>
      <c r="AU928" s="332"/>
      <c r="AV928" s="332"/>
      <c r="AW928" s="332"/>
      <c r="AX928" s="332"/>
      <c r="AY928" s="332"/>
      <c r="AZ928" s="332"/>
      <c r="BA928" s="332"/>
      <c r="BB928" s="31"/>
      <c r="BC928" s="31"/>
      <c r="BD928" s="31"/>
      <c r="BE928" s="31"/>
    </row>
    <row r="929" spans="1:57" ht="13">
      <c r="A929" s="153"/>
      <c r="F929" s="153"/>
      <c r="G929" s="116"/>
      <c r="H929" s="116"/>
      <c r="I929" s="116"/>
      <c r="J929" s="116"/>
      <c r="K929" s="219"/>
      <c r="L929" s="116"/>
      <c r="M929" s="31"/>
      <c r="N929" s="336"/>
      <c r="O929" s="336"/>
      <c r="P929" s="219"/>
      <c r="Q929" s="332"/>
      <c r="R929" s="219"/>
      <c r="S929" s="332"/>
      <c r="T929" s="219"/>
      <c r="U929" s="332"/>
      <c r="V929" s="332"/>
      <c r="W929" s="370"/>
      <c r="X929" s="370"/>
      <c r="Y929" s="370"/>
      <c r="Z929" s="370"/>
      <c r="AA929" s="370"/>
      <c r="AB929" s="370"/>
      <c r="AC929" s="370"/>
      <c r="AD929" s="370"/>
      <c r="AE929" s="370"/>
      <c r="AF929" s="370"/>
      <c r="AG929" s="370"/>
      <c r="AH929" s="370"/>
      <c r="AI929" s="370"/>
      <c r="AJ929" s="370"/>
      <c r="AL929" s="219"/>
      <c r="AM929" s="219"/>
      <c r="AN929" s="219"/>
      <c r="AO929" s="116"/>
      <c r="AP929" s="116"/>
      <c r="AU929" s="332"/>
      <c r="AV929" s="332"/>
      <c r="AW929" s="332"/>
      <c r="AX929" s="332"/>
      <c r="AY929" s="332"/>
      <c r="AZ929" s="332"/>
      <c r="BA929" s="332"/>
      <c r="BB929" s="31"/>
      <c r="BC929" s="31"/>
      <c r="BD929" s="31"/>
      <c r="BE929" s="31"/>
    </row>
    <row r="930" spans="1:57" ht="13">
      <c r="A930" s="153"/>
      <c r="F930" s="153"/>
      <c r="G930" s="116"/>
      <c r="H930" s="116"/>
      <c r="I930" s="116"/>
      <c r="J930" s="116"/>
      <c r="K930" s="219"/>
      <c r="L930" s="116"/>
      <c r="M930" s="31"/>
      <c r="N930" s="336"/>
      <c r="O930" s="336"/>
      <c r="P930" s="219"/>
      <c r="Q930" s="332"/>
      <c r="R930" s="219"/>
      <c r="S930" s="332"/>
      <c r="T930" s="219"/>
      <c r="U930" s="332"/>
      <c r="V930" s="332"/>
      <c r="W930" s="370"/>
      <c r="X930" s="370"/>
      <c r="Y930" s="370"/>
      <c r="Z930" s="370"/>
      <c r="AA930" s="370"/>
      <c r="AB930" s="370"/>
      <c r="AC930" s="370"/>
      <c r="AD930" s="370"/>
      <c r="AE930" s="370"/>
      <c r="AF930" s="370"/>
      <c r="AG930" s="370"/>
      <c r="AH930" s="370"/>
      <c r="AI930" s="370"/>
      <c r="AJ930" s="370"/>
      <c r="AL930" s="219"/>
      <c r="AM930" s="219"/>
      <c r="AN930" s="219"/>
      <c r="AO930" s="116"/>
      <c r="AP930" s="116"/>
      <c r="AU930" s="332"/>
      <c r="AV930" s="332"/>
      <c r="AW930" s="332"/>
      <c r="AX930" s="332"/>
      <c r="AY930" s="332"/>
      <c r="AZ930" s="332"/>
      <c r="BA930" s="332"/>
      <c r="BB930" s="31"/>
      <c r="BC930" s="31"/>
      <c r="BD930" s="31"/>
      <c r="BE930" s="31"/>
    </row>
    <row r="931" spans="1:57" ht="13">
      <c r="A931" s="153"/>
      <c r="F931" s="153"/>
      <c r="G931" s="116"/>
      <c r="H931" s="116"/>
      <c r="I931" s="116"/>
      <c r="J931" s="116"/>
      <c r="K931" s="219"/>
      <c r="L931" s="116"/>
      <c r="M931" s="31"/>
      <c r="N931" s="336"/>
      <c r="O931" s="336"/>
      <c r="P931" s="219"/>
      <c r="Q931" s="332"/>
      <c r="R931" s="219"/>
      <c r="S931" s="332"/>
      <c r="T931" s="219"/>
      <c r="U931" s="332"/>
      <c r="V931" s="332"/>
      <c r="W931" s="370"/>
      <c r="X931" s="370"/>
      <c r="Y931" s="370"/>
      <c r="Z931" s="370"/>
      <c r="AA931" s="370"/>
      <c r="AB931" s="370"/>
      <c r="AC931" s="370"/>
      <c r="AD931" s="370"/>
      <c r="AE931" s="370"/>
      <c r="AF931" s="370"/>
      <c r="AG931" s="370"/>
      <c r="AH931" s="370"/>
      <c r="AI931" s="370"/>
      <c r="AJ931" s="370"/>
      <c r="AL931" s="219"/>
      <c r="AM931" s="219"/>
      <c r="AN931" s="219"/>
      <c r="AO931" s="116"/>
      <c r="AP931" s="116"/>
      <c r="AU931" s="332"/>
      <c r="AV931" s="332"/>
      <c r="AW931" s="332"/>
      <c r="AX931" s="332"/>
      <c r="AY931" s="332"/>
      <c r="AZ931" s="332"/>
      <c r="BA931" s="332"/>
      <c r="BB931" s="31"/>
      <c r="BC931" s="31"/>
      <c r="BD931" s="31"/>
      <c r="BE931" s="31"/>
    </row>
    <row r="932" spans="1:57" ht="13">
      <c r="A932" s="153"/>
      <c r="F932" s="153"/>
      <c r="G932" s="116"/>
      <c r="H932" s="116"/>
      <c r="I932" s="116"/>
      <c r="J932" s="116"/>
      <c r="K932" s="219"/>
      <c r="L932" s="116"/>
      <c r="M932" s="31"/>
      <c r="N932" s="336"/>
      <c r="O932" s="336"/>
      <c r="P932" s="219"/>
      <c r="Q932" s="332"/>
      <c r="R932" s="219"/>
      <c r="S932" s="332"/>
      <c r="T932" s="219"/>
      <c r="U932" s="332"/>
      <c r="V932" s="332"/>
      <c r="W932" s="370"/>
      <c r="X932" s="370"/>
      <c r="Y932" s="370"/>
      <c r="Z932" s="370"/>
      <c r="AA932" s="370"/>
      <c r="AB932" s="370"/>
      <c r="AC932" s="370"/>
      <c r="AD932" s="370"/>
      <c r="AE932" s="370"/>
      <c r="AF932" s="370"/>
      <c r="AG932" s="370"/>
      <c r="AH932" s="370"/>
      <c r="AI932" s="370"/>
      <c r="AJ932" s="370"/>
      <c r="AL932" s="219"/>
      <c r="AM932" s="219"/>
      <c r="AN932" s="219"/>
      <c r="AO932" s="116"/>
      <c r="AP932" s="116"/>
      <c r="AU932" s="332"/>
      <c r="AV932" s="332"/>
      <c r="AW932" s="332"/>
      <c r="AX932" s="332"/>
      <c r="AY932" s="332"/>
      <c r="AZ932" s="332"/>
      <c r="BA932" s="332"/>
      <c r="BB932" s="31"/>
      <c r="BC932" s="31"/>
      <c r="BD932" s="31"/>
      <c r="BE932" s="31"/>
    </row>
    <row r="933" spans="1:57" ht="13">
      <c r="A933" s="153"/>
      <c r="F933" s="153"/>
      <c r="G933" s="116"/>
      <c r="H933" s="116"/>
      <c r="I933" s="116"/>
      <c r="J933" s="116"/>
      <c r="K933" s="219"/>
      <c r="L933" s="116"/>
      <c r="M933" s="31"/>
      <c r="N933" s="336"/>
      <c r="O933" s="336"/>
      <c r="P933" s="219"/>
      <c r="Q933" s="332"/>
      <c r="R933" s="219"/>
      <c r="S933" s="332"/>
      <c r="T933" s="219"/>
      <c r="U933" s="332"/>
      <c r="V933" s="332"/>
      <c r="W933" s="370"/>
      <c r="X933" s="370"/>
      <c r="Y933" s="370"/>
      <c r="Z933" s="370"/>
      <c r="AA933" s="370"/>
      <c r="AB933" s="370"/>
      <c r="AC933" s="370"/>
      <c r="AD933" s="370"/>
      <c r="AE933" s="370"/>
      <c r="AF933" s="370"/>
      <c r="AG933" s="370"/>
      <c r="AH933" s="370"/>
      <c r="AI933" s="370"/>
      <c r="AJ933" s="370"/>
      <c r="AL933" s="219"/>
      <c r="AM933" s="219"/>
      <c r="AN933" s="219"/>
      <c r="AO933" s="116"/>
      <c r="AP933" s="116"/>
      <c r="AU933" s="332"/>
      <c r="AV933" s="332"/>
      <c r="AW933" s="332"/>
      <c r="AX933" s="332"/>
      <c r="AY933" s="332"/>
      <c r="AZ933" s="332"/>
      <c r="BA933" s="332"/>
      <c r="BB933" s="31"/>
      <c r="BC933" s="31"/>
      <c r="BD933" s="31"/>
      <c r="BE933" s="31"/>
    </row>
    <row r="934" spans="1:57" ht="13">
      <c r="A934" s="153"/>
      <c r="F934" s="153"/>
      <c r="G934" s="116"/>
      <c r="H934" s="116"/>
      <c r="I934" s="116"/>
      <c r="J934" s="116"/>
      <c r="K934" s="219"/>
      <c r="L934" s="116"/>
      <c r="M934" s="31"/>
      <c r="N934" s="336"/>
      <c r="O934" s="336"/>
      <c r="P934" s="219"/>
      <c r="Q934" s="332"/>
      <c r="R934" s="219"/>
      <c r="S934" s="332"/>
      <c r="T934" s="219"/>
      <c r="U934" s="332"/>
      <c r="V934" s="332"/>
      <c r="W934" s="370"/>
      <c r="X934" s="370"/>
      <c r="Y934" s="370"/>
      <c r="Z934" s="370"/>
      <c r="AA934" s="370"/>
      <c r="AB934" s="370"/>
      <c r="AC934" s="370"/>
      <c r="AD934" s="370"/>
      <c r="AE934" s="370"/>
      <c r="AF934" s="370"/>
      <c r="AG934" s="370"/>
      <c r="AH934" s="370"/>
      <c r="AI934" s="370"/>
      <c r="AJ934" s="370"/>
      <c r="AL934" s="219"/>
      <c r="AM934" s="219"/>
      <c r="AN934" s="219"/>
      <c r="AO934" s="116"/>
      <c r="AP934" s="116"/>
      <c r="AU934" s="332"/>
      <c r="AV934" s="332"/>
      <c r="AW934" s="332"/>
      <c r="AX934" s="332"/>
      <c r="AY934" s="332"/>
      <c r="AZ934" s="332"/>
      <c r="BA934" s="332"/>
      <c r="BB934" s="31"/>
      <c r="BC934" s="31"/>
      <c r="BD934" s="31"/>
      <c r="BE934" s="31"/>
    </row>
    <row r="935" spans="1:57" ht="13">
      <c r="A935" s="153"/>
      <c r="F935" s="153"/>
      <c r="G935" s="116"/>
      <c r="H935" s="116"/>
      <c r="I935" s="116"/>
      <c r="J935" s="116"/>
      <c r="K935" s="219"/>
      <c r="L935" s="116"/>
      <c r="M935" s="31"/>
      <c r="N935" s="336"/>
      <c r="O935" s="336"/>
      <c r="P935" s="219"/>
      <c r="Q935" s="332"/>
      <c r="R935" s="219"/>
      <c r="S935" s="332"/>
      <c r="T935" s="219"/>
      <c r="U935" s="332"/>
      <c r="V935" s="332"/>
      <c r="W935" s="370"/>
      <c r="X935" s="370"/>
      <c r="Y935" s="370"/>
      <c r="Z935" s="370"/>
      <c r="AA935" s="370"/>
      <c r="AB935" s="370"/>
      <c r="AC935" s="370"/>
      <c r="AD935" s="370"/>
      <c r="AE935" s="370"/>
      <c r="AF935" s="370"/>
      <c r="AG935" s="370"/>
      <c r="AH935" s="370"/>
      <c r="AI935" s="370"/>
      <c r="AJ935" s="370"/>
      <c r="AL935" s="219"/>
      <c r="AM935" s="219"/>
      <c r="AN935" s="219"/>
      <c r="AO935" s="116"/>
      <c r="AP935" s="116"/>
      <c r="AU935" s="332"/>
      <c r="AV935" s="332"/>
      <c r="AW935" s="332"/>
      <c r="AX935" s="332"/>
      <c r="AY935" s="332"/>
      <c r="AZ935" s="332"/>
      <c r="BA935" s="332"/>
      <c r="BB935" s="31"/>
      <c r="BC935" s="31"/>
      <c r="BD935" s="31"/>
      <c r="BE935" s="31"/>
    </row>
    <row r="936" spans="1:57" ht="13">
      <c r="A936" s="153"/>
      <c r="F936" s="153"/>
      <c r="G936" s="116"/>
      <c r="H936" s="116"/>
      <c r="I936" s="116"/>
      <c r="J936" s="116"/>
      <c r="K936" s="219"/>
      <c r="L936" s="116"/>
      <c r="M936" s="31"/>
      <c r="N936" s="336"/>
      <c r="O936" s="336"/>
      <c r="P936" s="219"/>
      <c r="Q936" s="332"/>
      <c r="R936" s="219"/>
      <c r="S936" s="332"/>
      <c r="T936" s="219"/>
      <c r="U936" s="332"/>
      <c r="V936" s="332"/>
      <c r="W936" s="370"/>
      <c r="X936" s="370"/>
      <c r="Y936" s="370"/>
      <c r="Z936" s="370"/>
      <c r="AA936" s="370"/>
      <c r="AB936" s="370"/>
      <c r="AC936" s="370"/>
      <c r="AD936" s="370"/>
      <c r="AE936" s="370"/>
      <c r="AF936" s="370"/>
      <c r="AG936" s="370"/>
      <c r="AH936" s="370"/>
      <c r="AI936" s="370"/>
      <c r="AJ936" s="370"/>
      <c r="AL936" s="219"/>
      <c r="AM936" s="219"/>
      <c r="AN936" s="219"/>
      <c r="AO936" s="116"/>
      <c r="AP936" s="116"/>
      <c r="AU936" s="332"/>
      <c r="AV936" s="332"/>
      <c r="AW936" s="332"/>
      <c r="AX936" s="332"/>
      <c r="AY936" s="332"/>
      <c r="AZ936" s="332"/>
      <c r="BA936" s="332"/>
      <c r="BB936" s="31"/>
      <c r="BC936" s="31"/>
      <c r="BD936" s="31"/>
      <c r="BE936" s="31"/>
    </row>
    <row r="937" spans="1:57" ht="13">
      <c r="A937" s="153"/>
      <c r="F937" s="153"/>
      <c r="G937" s="116"/>
      <c r="H937" s="116"/>
      <c r="I937" s="116"/>
      <c r="J937" s="116"/>
      <c r="K937" s="219"/>
      <c r="L937" s="116"/>
      <c r="M937" s="31"/>
      <c r="N937" s="336"/>
      <c r="O937" s="336"/>
      <c r="P937" s="219"/>
      <c r="Q937" s="332"/>
      <c r="R937" s="219"/>
      <c r="S937" s="332"/>
      <c r="T937" s="219"/>
      <c r="U937" s="332"/>
      <c r="V937" s="332"/>
      <c r="W937" s="370"/>
      <c r="X937" s="370"/>
      <c r="Y937" s="370"/>
      <c r="Z937" s="370"/>
      <c r="AA937" s="370"/>
      <c r="AB937" s="370"/>
      <c r="AC937" s="370"/>
      <c r="AD937" s="370"/>
      <c r="AE937" s="370"/>
      <c r="AF937" s="370"/>
      <c r="AG937" s="370"/>
      <c r="AH937" s="370"/>
      <c r="AI937" s="370"/>
      <c r="AJ937" s="370"/>
      <c r="AL937" s="219"/>
      <c r="AM937" s="219"/>
      <c r="AN937" s="219"/>
      <c r="AO937" s="116"/>
      <c r="AP937" s="116"/>
      <c r="AU937" s="332"/>
      <c r="AV937" s="332"/>
      <c r="AW937" s="332"/>
      <c r="AX937" s="332"/>
      <c r="AY937" s="332"/>
      <c r="AZ937" s="332"/>
      <c r="BA937" s="332"/>
      <c r="BB937" s="31"/>
      <c r="BC937" s="31"/>
      <c r="BD937" s="31"/>
      <c r="BE937" s="31"/>
    </row>
    <row r="938" spans="1:57" ht="13">
      <c r="A938" s="153"/>
      <c r="F938" s="153"/>
      <c r="G938" s="116"/>
      <c r="H938" s="116"/>
      <c r="I938" s="116"/>
      <c r="J938" s="116"/>
      <c r="K938" s="219"/>
      <c r="L938" s="116"/>
      <c r="M938" s="31"/>
      <c r="N938" s="336"/>
      <c r="O938" s="336"/>
      <c r="P938" s="219"/>
      <c r="Q938" s="332"/>
      <c r="R938" s="219"/>
      <c r="S938" s="332"/>
      <c r="T938" s="219"/>
      <c r="U938" s="332"/>
      <c r="V938" s="332"/>
      <c r="W938" s="370"/>
      <c r="X938" s="370"/>
      <c r="Y938" s="370"/>
      <c r="Z938" s="370"/>
      <c r="AA938" s="370"/>
      <c r="AB938" s="370"/>
      <c r="AC938" s="370"/>
      <c r="AD938" s="370"/>
      <c r="AE938" s="370"/>
      <c r="AF938" s="370"/>
      <c r="AG938" s="370"/>
      <c r="AH938" s="370"/>
      <c r="AI938" s="370"/>
      <c r="AJ938" s="370"/>
      <c r="AL938" s="219"/>
      <c r="AM938" s="219"/>
      <c r="AN938" s="219"/>
      <c r="AO938" s="116"/>
      <c r="AP938" s="116"/>
      <c r="AU938" s="332"/>
      <c r="AV938" s="332"/>
      <c r="AW938" s="332"/>
      <c r="AX938" s="332"/>
      <c r="AY938" s="332"/>
      <c r="AZ938" s="332"/>
      <c r="BA938" s="332"/>
      <c r="BB938" s="31"/>
      <c r="BC938" s="31"/>
      <c r="BD938" s="31"/>
      <c r="BE938" s="31"/>
    </row>
    <row r="939" spans="1:57" ht="13">
      <c r="A939" s="153"/>
      <c r="F939" s="153"/>
      <c r="G939" s="116"/>
      <c r="H939" s="116"/>
      <c r="I939" s="116"/>
      <c r="J939" s="116"/>
      <c r="K939" s="219"/>
      <c r="L939" s="116"/>
      <c r="M939" s="31"/>
      <c r="N939" s="336"/>
      <c r="O939" s="336"/>
      <c r="P939" s="219"/>
      <c r="Q939" s="332"/>
      <c r="R939" s="219"/>
      <c r="S939" s="332"/>
      <c r="T939" s="219"/>
      <c r="U939" s="332"/>
      <c r="V939" s="332"/>
      <c r="W939" s="370"/>
      <c r="X939" s="370"/>
      <c r="Y939" s="370"/>
      <c r="Z939" s="370"/>
      <c r="AA939" s="370"/>
      <c r="AB939" s="370"/>
      <c r="AC939" s="370"/>
      <c r="AD939" s="370"/>
      <c r="AE939" s="370"/>
      <c r="AF939" s="370"/>
      <c r="AG939" s="370"/>
      <c r="AH939" s="370"/>
      <c r="AI939" s="370"/>
      <c r="AJ939" s="370"/>
      <c r="AL939" s="219"/>
      <c r="AM939" s="219"/>
      <c r="AN939" s="219"/>
      <c r="AO939" s="116"/>
      <c r="AP939" s="116"/>
      <c r="AU939" s="332"/>
      <c r="AV939" s="332"/>
      <c r="AW939" s="332"/>
      <c r="AX939" s="332"/>
      <c r="AY939" s="332"/>
      <c r="AZ939" s="332"/>
      <c r="BA939" s="332"/>
      <c r="BB939" s="31"/>
      <c r="BC939" s="31"/>
      <c r="BD939" s="31"/>
      <c r="BE939" s="31"/>
    </row>
    <row r="940" spans="1:57" ht="13">
      <c r="A940" s="153"/>
      <c r="F940" s="153"/>
      <c r="G940" s="116"/>
      <c r="H940" s="116"/>
      <c r="I940" s="116"/>
      <c r="J940" s="116"/>
      <c r="K940" s="219"/>
      <c r="L940" s="116"/>
      <c r="M940" s="31"/>
      <c r="N940" s="336"/>
      <c r="O940" s="336"/>
      <c r="P940" s="219"/>
      <c r="Q940" s="332"/>
      <c r="R940" s="219"/>
      <c r="S940" s="332"/>
      <c r="T940" s="219"/>
      <c r="U940" s="332"/>
      <c r="V940" s="332"/>
      <c r="W940" s="370"/>
      <c r="X940" s="370"/>
      <c r="Y940" s="370"/>
      <c r="Z940" s="370"/>
      <c r="AA940" s="370"/>
      <c r="AB940" s="370"/>
      <c r="AC940" s="370"/>
      <c r="AD940" s="370"/>
      <c r="AE940" s="370"/>
      <c r="AF940" s="370"/>
      <c r="AG940" s="370"/>
      <c r="AH940" s="370"/>
      <c r="AI940" s="370"/>
      <c r="AJ940" s="370"/>
      <c r="AL940" s="219"/>
      <c r="AM940" s="219"/>
      <c r="AN940" s="219"/>
      <c r="AO940" s="116"/>
      <c r="AP940" s="116"/>
      <c r="AU940" s="332"/>
      <c r="AV940" s="332"/>
      <c r="AW940" s="332"/>
      <c r="AX940" s="332"/>
      <c r="AY940" s="332"/>
      <c r="AZ940" s="332"/>
      <c r="BA940" s="332"/>
      <c r="BB940" s="31"/>
      <c r="BC940" s="31"/>
      <c r="BD940" s="31"/>
      <c r="BE940" s="31"/>
    </row>
    <row r="941" spans="1:57" ht="13">
      <c r="A941" s="153"/>
      <c r="F941" s="153"/>
      <c r="G941" s="116"/>
      <c r="H941" s="116"/>
      <c r="I941" s="116"/>
      <c r="J941" s="116"/>
      <c r="K941" s="219"/>
      <c r="L941" s="116"/>
      <c r="M941" s="31"/>
      <c r="N941" s="336"/>
      <c r="O941" s="336"/>
      <c r="P941" s="219"/>
      <c r="Q941" s="332"/>
      <c r="R941" s="219"/>
      <c r="S941" s="332"/>
      <c r="T941" s="219"/>
      <c r="U941" s="332"/>
      <c r="V941" s="332"/>
      <c r="W941" s="370"/>
      <c r="X941" s="370"/>
      <c r="Y941" s="370"/>
      <c r="Z941" s="370"/>
      <c r="AA941" s="370"/>
      <c r="AB941" s="370"/>
      <c r="AC941" s="370"/>
      <c r="AD941" s="370"/>
      <c r="AE941" s="370"/>
      <c r="AF941" s="370"/>
      <c r="AG941" s="370"/>
      <c r="AH941" s="370"/>
      <c r="AI941" s="370"/>
      <c r="AJ941" s="370"/>
      <c r="AL941" s="219"/>
      <c r="AM941" s="219"/>
      <c r="AN941" s="219"/>
      <c r="AO941" s="116"/>
      <c r="AP941" s="116"/>
      <c r="AU941" s="332"/>
      <c r="AV941" s="332"/>
      <c r="AW941" s="332"/>
      <c r="AX941" s="332"/>
      <c r="AY941" s="332"/>
      <c r="AZ941" s="332"/>
      <c r="BA941" s="332"/>
      <c r="BB941" s="31"/>
      <c r="BC941" s="31"/>
      <c r="BD941" s="31"/>
      <c r="BE941" s="31"/>
    </row>
    <row r="942" spans="1:57" ht="13">
      <c r="A942" s="153"/>
      <c r="F942" s="153"/>
      <c r="G942" s="116"/>
      <c r="H942" s="116"/>
      <c r="I942" s="116"/>
      <c r="J942" s="116"/>
      <c r="K942" s="219"/>
      <c r="L942" s="116"/>
      <c r="M942" s="31"/>
      <c r="N942" s="336"/>
      <c r="O942" s="336"/>
      <c r="P942" s="219"/>
      <c r="Q942" s="332"/>
      <c r="R942" s="219"/>
      <c r="S942" s="332"/>
      <c r="T942" s="219"/>
      <c r="U942" s="332"/>
      <c r="V942" s="332"/>
      <c r="W942" s="370"/>
      <c r="X942" s="370"/>
      <c r="Y942" s="370"/>
      <c r="Z942" s="370"/>
      <c r="AA942" s="370"/>
      <c r="AB942" s="370"/>
      <c r="AC942" s="370"/>
      <c r="AD942" s="370"/>
      <c r="AE942" s="370"/>
      <c r="AF942" s="370"/>
      <c r="AG942" s="370"/>
      <c r="AH942" s="370"/>
      <c r="AI942" s="370"/>
      <c r="AJ942" s="370"/>
      <c r="AL942" s="219"/>
      <c r="AM942" s="219"/>
      <c r="AN942" s="219"/>
      <c r="AO942" s="116"/>
      <c r="AP942" s="116"/>
      <c r="AU942" s="332"/>
      <c r="AV942" s="332"/>
      <c r="AW942" s="332"/>
      <c r="AX942" s="332"/>
      <c r="AY942" s="332"/>
      <c r="AZ942" s="332"/>
      <c r="BA942" s="332"/>
      <c r="BB942" s="31"/>
      <c r="BC942" s="31"/>
      <c r="BD942" s="31"/>
      <c r="BE942" s="31"/>
    </row>
    <row r="943" spans="1:57" ht="13">
      <c r="A943" s="153"/>
      <c r="F943" s="153"/>
      <c r="G943" s="116"/>
      <c r="H943" s="116"/>
      <c r="I943" s="116"/>
      <c r="J943" s="116"/>
      <c r="K943" s="219"/>
      <c r="L943" s="116"/>
      <c r="M943" s="31"/>
      <c r="N943" s="336"/>
      <c r="O943" s="336"/>
      <c r="P943" s="219"/>
      <c r="Q943" s="332"/>
      <c r="R943" s="219"/>
      <c r="S943" s="332"/>
      <c r="T943" s="219"/>
      <c r="U943" s="332"/>
      <c r="V943" s="332"/>
      <c r="W943" s="370"/>
      <c r="X943" s="370"/>
      <c r="Y943" s="370"/>
      <c r="Z943" s="370"/>
      <c r="AA943" s="370"/>
      <c r="AB943" s="370"/>
      <c r="AC943" s="370"/>
      <c r="AD943" s="370"/>
      <c r="AE943" s="370"/>
      <c r="AF943" s="370"/>
      <c r="AG943" s="370"/>
      <c r="AH943" s="370"/>
      <c r="AI943" s="370"/>
      <c r="AJ943" s="370"/>
      <c r="AL943" s="219"/>
      <c r="AM943" s="219"/>
      <c r="AN943" s="219"/>
      <c r="AO943" s="116"/>
      <c r="AP943" s="116"/>
      <c r="AU943" s="332"/>
      <c r="AV943" s="332"/>
      <c r="AW943" s="332"/>
      <c r="AX943" s="332"/>
      <c r="AY943" s="332"/>
      <c r="AZ943" s="332"/>
      <c r="BA943" s="332"/>
      <c r="BB943" s="31"/>
      <c r="BC943" s="31"/>
      <c r="BD943" s="31"/>
      <c r="BE943" s="31"/>
    </row>
    <row r="944" spans="1:57" ht="13">
      <c r="A944" s="153"/>
      <c r="F944" s="153"/>
      <c r="G944" s="116"/>
      <c r="H944" s="116"/>
      <c r="I944" s="116"/>
      <c r="J944" s="116"/>
      <c r="K944" s="219"/>
      <c r="L944" s="116"/>
      <c r="M944" s="31"/>
      <c r="N944" s="336"/>
      <c r="O944" s="336"/>
      <c r="P944" s="219"/>
      <c r="Q944" s="332"/>
      <c r="R944" s="219"/>
      <c r="S944" s="332"/>
      <c r="T944" s="219"/>
      <c r="U944" s="332"/>
      <c r="V944" s="332"/>
      <c r="W944" s="370"/>
      <c r="X944" s="370"/>
      <c r="Y944" s="370"/>
      <c r="Z944" s="370"/>
      <c r="AA944" s="370"/>
      <c r="AB944" s="370"/>
      <c r="AC944" s="370"/>
      <c r="AD944" s="370"/>
      <c r="AE944" s="370"/>
      <c r="AF944" s="370"/>
      <c r="AG944" s="370"/>
      <c r="AH944" s="370"/>
      <c r="AI944" s="370"/>
      <c r="AJ944" s="370"/>
      <c r="AL944" s="219"/>
      <c r="AM944" s="219"/>
      <c r="AN944" s="219"/>
      <c r="AO944" s="116"/>
      <c r="AP944" s="116"/>
      <c r="AU944" s="332"/>
      <c r="AV944" s="332"/>
      <c r="AW944" s="332"/>
      <c r="AX944" s="332"/>
      <c r="AY944" s="332"/>
      <c r="AZ944" s="332"/>
      <c r="BA944" s="332"/>
      <c r="BB944" s="31"/>
      <c r="BC944" s="31"/>
      <c r="BD944" s="31"/>
      <c r="BE944" s="31"/>
    </row>
    <row r="945" spans="1:57" ht="13">
      <c r="A945" s="153"/>
      <c r="F945" s="153"/>
      <c r="G945" s="116"/>
      <c r="H945" s="116"/>
      <c r="I945" s="116"/>
      <c r="J945" s="116"/>
      <c r="K945" s="219"/>
      <c r="L945" s="116"/>
      <c r="M945" s="31"/>
      <c r="N945" s="336"/>
      <c r="O945" s="336"/>
      <c r="P945" s="219"/>
      <c r="Q945" s="332"/>
      <c r="R945" s="219"/>
      <c r="S945" s="332"/>
      <c r="T945" s="219"/>
      <c r="U945" s="332"/>
      <c r="V945" s="332"/>
      <c r="W945" s="370"/>
      <c r="X945" s="370"/>
      <c r="Y945" s="370"/>
      <c r="Z945" s="370"/>
      <c r="AA945" s="370"/>
      <c r="AB945" s="370"/>
      <c r="AC945" s="370"/>
      <c r="AD945" s="370"/>
      <c r="AE945" s="370"/>
      <c r="AF945" s="370"/>
      <c r="AG945" s="370"/>
      <c r="AH945" s="370"/>
      <c r="AI945" s="370"/>
      <c r="AJ945" s="370"/>
      <c r="AL945" s="219"/>
      <c r="AM945" s="219"/>
      <c r="AN945" s="219"/>
      <c r="AO945" s="116"/>
      <c r="AP945" s="116"/>
      <c r="AU945" s="332"/>
      <c r="AV945" s="332"/>
      <c r="AW945" s="332"/>
      <c r="AX945" s="332"/>
      <c r="AY945" s="332"/>
      <c r="AZ945" s="332"/>
      <c r="BA945" s="332"/>
      <c r="BB945" s="31"/>
      <c r="BC945" s="31"/>
      <c r="BD945" s="31"/>
      <c r="BE945" s="31"/>
    </row>
    <row r="946" spans="1:57" ht="13">
      <c r="A946" s="153"/>
      <c r="F946" s="153"/>
      <c r="G946" s="116"/>
      <c r="H946" s="116"/>
      <c r="I946" s="116"/>
      <c r="J946" s="116"/>
      <c r="K946" s="219"/>
      <c r="L946" s="116"/>
      <c r="M946" s="31"/>
      <c r="N946" s="336"/>
      <c r="O946" s="336"/>
      <c r="P946" s="219"/>
      <c r="Q946" s="332"/>
      <c r="R946" s="219"/>
      <c r="S946" s="332"/>
      <c r="T946" s="219"/>
      <c r="U946" s="332"/>
      <c r="V946" s="332"/>
      <c r="W946" s="370"/>
      <c r="X946" s="370"/>
      <c r="Y946" s="370"/>
      <c r="Z946" s="370"/>
      <c r="AA946" s="370"/>
      <c r="AB946" s="370"/>
      <c r="AC946" s="370"/>
      <c r="AD946" s="370"/>
      <c r="AE946" s="370"/>
      <c r="AF946" s="370"/>
      <c r="AG946" s="370"/>
      <c r="AH946" s="370"/>
      <c r="AI946" s="370"/>
      <c r="AJ946" s="370"/>
      <c r="AL946" s="219"/>
      <c r="AM946" s="219"/>
      <c r="AN946" s="219"/>
      <c r="AO946" s="116"/>
      <c r="AP946" s="116"/>
      <c r="AU946" s="332"/>
      <c r="AV946" s="332"/>
      <c r="AW946" s="332"/>
      <c r="AX946" s="332"/>
      <c r="AY946" s="332"/>
      <c r="AZ946" s="332"/>
      <c r="BA946" s="332"/>
      <c r="BB946" s="31"/>
      <c r="BC946" s="31"/>
      <c r="BD946" s="31"/>
      <c r="BE946" s="31"/>
    </row>
    <row r="947" spans="1:57" ht="13">
      <c r="A947" s="153"/>
      <c r="F947" s="153"/>
      <c r="G947" s="116"/>
      <c r="H947" s="116"/>
      <c r="I947" s="116"/>
      <c r="J947" s="116"/>
      <c r="K947" s="219"/>
      <c r="L947" s="116"/>
      <c r="M947" s="31"/>
      <c r="N947" s="336"/>
      <c r="O947" s="336"/>
      <c r="P947" s="219"/>
      <c r="Q947" s="332"/>
      <c r="R947" s="219"/>
      <c r="S947" s="332"/>
      <c r="T947" s="219"/>
      <c r="U947" s="332"/>
      <c r="V947" s="332"/>
      <c r="W947" s="370"/>
      <c r="X947" s="370"/>
      <c r="Y947" s="370"/>
      <c r="Z947" s="370"/>
      <c r="AA947" s="370"/>
      <c r="AB947" s="370"/>
      <c r="AC947" s="370"/>
      <c r="AD947" s="370"/>
      <c r="AE947" s="370"/>
      <c r="AF947" s="370"/>
      <c r="AG947" s="370"/>
      <c r="AH947" s="370"/>
      <c r="AI947" s="370"/>
      <c r="AJ947" s="370"/>
      <c r="AL947" s="219"/>
      <c r="AM947" s="219"/>
      <c r="AN947" s="219"/>
      <c r="AO947" s="116"/>
      <c r="AP947" s="116"/>
      <c r="AU947" s="332"/>
      <c r="AV947" s="332"/>
      <c r="AW947" s="332"/>
      <c r="AX947" s="332"/>
      <c r="AY947" s="332"/>
      <c r="AZ947" s="332"/>
      <c r="BA947" s="332"/>
      <c r="BB947" s="31"/>
      <c r="BC947" s="31"/>
      <c r="BD947" s="31"/>
      <c r="BE947" s="31"/>
    </row>
    <row r="948" spans="1:57" ht="13">
      <c r="A948" s="153"/>
      <c r="F948" s="153"/>
      <c r="G948" s="116"/>
      <c r="H948" s="116"/>
      <c r="I948" s="116"/>
      <c r="J948" s="116"/>
      <c r="K948" s="219"/>
      <c r="L948" s="116"/>
      <c r="M948" s="31"/>
      <c r="N948" s="336"/>
      <c r="O948" s="336"/>
      <c r="P948" s="219"/>
      <c r="Q948" s="332"/>
      <c r="R948" s="219"/>
      <c r="S948" s="332"/>
      <c r="T948" s="219"/>
      <c r="U948" s="332"/>
      <c r="V948" s="332"/>
      <c r="W948" s="370"/>
      <c r="X948" s="370"/>
      <c r="Y948" s="370"/>
      <c r="Z948" s="370"/>
      <c r="AA948" s="370"/>
      <c r="AB948" s="370"/>
      <c r="AC948" s="370"/>
      <c r="AD948" s="370"/>
      <c r="AE948" s="370"/>
      <c r="AF948" s="370"/>
      <c r="AG948" s="370"/>
      <c r="AH948" s="370"/>
      <c r="AI948" s="370"/>
      <c r="AJ948" s="370"/>
      <c r="AL948" s="219"/>
      <c r="AM948" s="219"/>
      <c r="AN948" s="219"/>
      <c r="AO948" s="116"/>
      <c r="AP948" s="116"/>
      <c r="AU948" s="332"/>
      <c r="AV948" s="332"/>
      <c r="AW948" s="332"/>
      <c r="AX948" s="332"/>
      <c r="AY948" s="332"/>
      <c r="AZ948" s="332"/>
      <c r="BA948" s="332"/>
      <c r="BB948" s="31"/>
      <c r="BC948" s="31"/>
      <c r="BD948" s="31"/>
      <c r="BE948" s="31"/>
    </row>
    <row r="949" spans="1:57" ht="13">
      <c r="A949" s="153"/>
      <c r="F949" s="153"/>
      <c r="G949" s="116"/>
      <c r="H949" s="116"/>
      <c r="I949" s="116"/>
      <c r="J949" s="116"/>
      <c r="K949" s="219"/>
      <c r="L949" s="116"/>
      <c r="M949" s="31"/>
      <c r="N949" s="336"/>
      <c r="O949" s="336"/>
      <c r="P949" s="219"/>
      <c r="Q949" s="332"/>
      <c r="R949" s="219"/>
      <c r="S949" s="332"/>
      <c r="T949" s="219"/>
      <c r="U949" s="332"/>
      <c r="V949" s="332"/>
      <c r="W949" s="370"/>
      <c r="X949" s="370"/>
      <c r="Y949" s="370"/>
      <c r="Z949" s="370"/>
      <c r="AA949" s="370"/>
      <c r="AB949" s="370"/>
      <c r="AC949" s="370"/>
      <c r="AD949" s="370"/>
      <c r="AE949" s="370"/>
      <c r="AF949" s="370"/>
      <c r="AG949" s="370"/>
      <c r="AH949" s="370"/>
      <c r="AI949" s="370"/>
      <c r="AJ949" s="370"/>
      <c r="AL949" s="219"/>
      <c r="AM949" s="219"/>
      <c r="AN949" s="219"/>
      <c r="AO949" s="116"/>
      <c r="AP949" s="116"/>
      <c r="AU949" s="332"/>
      <c r="AV949" s="332"/>
      <c r="AW949" s="332"/>
      <c r="AX949" s="332"/>
      <c r="AY949" s="332"/>
      <c r="AZ949" s="332"/>
      <c r="BA949" s="332"/>
      <c r="BB949" s="31"/>
      <c r="BC949" s="31"/>
      <c r="BD949" s="31"/>
      <c r="BE949" s="31"/>
    </row>
    <row r="950" spans="1:57" ht="13">
      <c r="A950" s="153"/>
      <c r="F950" s="153"/>
      <c r="G950" s="116"/>
      <c r="H950" s="116"/>
      <c r="I950" s="116"/>
      <c r="J950" s="116"/>
      <c r="K950" s="219"/>
      <c r="L950" s="116"/>
      <c r="M950" s="31"/>
      <c r="N950" s="336"/>
      <c r="O950" s="336"/>
      <c r="P950" s="219"/>
      <c r="Q950" s="332"/>
      <c r="R950" s="219"/>
      <c r="S950" s="332"/>
      <c r="T950" s="219"/>
      <c r="U950" s="332"/>
      <c r="V950" s="332"/>
      <c r="W950" s="370"/>
      <c r="X950" s="370"/>
      <c r="Y950" s="370"/>
      <c r="Z950" s="370"/>
      <c r="AA950" s="370"/>
      <c r="AB950" s="370"/>
      <c r="AC950" s="370"/>
      <c r="AD950" s="370"/>
      <c r="AE950" s="370"/>
      <c r="AF950" s="370"/>
      <c r="AG950" s="370"/>
      <c r="AH950" s="370"/>
      <c r="AI950" s="370"/>
      <c r="AJ950" s="370"/>
      <c r="AL950" s="219"/>
      <c r="AM950" s="219"/>
      <c r="AN950" s="219"/>
      <c r="AO950" s="116"/>
      <c r="AP950" s="116"/>
      <c r="AU950" s="332"/>
      <c r="AV950" s="332"/>
      <c r="AW950" s="332"/>
      <c r="AX950" s="332"/>
      <c r="AY950" s="332"/>
      <c r="AZ950" s="332"/>
      <c r="BA950" s="332"/>
      <c r="BB950" s="31"/>
      <c r="BC950" s="31"/>
      <c r="BD950" s="31"/>
      <c r="BE950" s="31"/>
    </row>
    <row r="951" spans="1:57" ht="13">
      <c r="A951" s="153"/>
      <c r="F951" s="153"/>
      <c r="G951" s="116"/>
      <c r="H951" s="116"/>
      <c r="I951" s="116"/>
      <c r="J951" s="116"/>
      <c r="K951" s="219"/>
      <c r="L951" s="116"/>
      <c r="M951" s="31"/>
      <c r="N951" s="336"/>
      <c r="O951" s="336"/>
      <c r="P951" s="219"/>
      <c r="Q951" s="332"/>
      <c r="R951" s="219"/>
      <c r="S951" s="332"/>
      <c r="T951" s="219"/>
      <c r="U951" s="332"/>
      <c r="V951" s="332"/>
      <c r="W951" s="370"/>
      <c r="X951" s="370"/>
      <c r="Y951" s="370"/>
      <c r="Z951" s="370"/>
      <c r="AA951" s="370"/>
      <c r="AB951" s="370"/>
      <c r="AC951" s="370"/>
      <c r="AD951" s="370"/>
      <c r="AE951" s="370"/>
      <c r="AF951" s="370"/>
      <c r="AG951" s="370"/>
      <c r="AH951" s="370"/>
      <c r="AI951" s="370"/>
      <c r="AJ951" s="370"/>
      <c r="AL951" s="219"/>
      <c r="AM951" s="219"/>
      <c r="AN951" s="219"/>
      <c r="AO951" s="116"/>
      <c r="AP951" s="116"/>
      <c r="AU951" s="332"/>
      <c r="AV951" s="332"/>
      <c r="AW951" s="332"/>
      <c r="AX951" s="332"/>
      <c r="AY951" s="332"/>
      <c r="AZ951" s="332"/>
      <c r="BA951" s="332"/>
      <c r="BB951" s="31"/>
      <c r="BC951" s="31"/>
      <c r="BD951" s="31"/>
      <c r="BE951" s="31"/>
    </row>
    <row r="952" spans="1:57" ht="13">
      <c r="A952" s="153"/>
      <c r="F952" s="153"/>
      <c r="G952" s="116"/>
      <c r="H952" s="116"/>
      <c r="I952" s="116"/>
      <c r="J952" s="116"/>
      <c r="K952" s="219"/>
      <c r="L952" s="116"/>
      <c r="M952" s="31"/>
      <c r="N952" s="336"/>
      <c r="O952" s="336"/>
      <c r="P952" s="219"/>
      <c r="Q952" s="332"/>
      <c r="R952" s="219"/>
      <c r="S952" s="332"/>
      <c r="T952" s="219"/>
      <c r="U952" s="332"/>
      <c r="V952" s="332"/>
      <c r="W952" s="370"/>
      <c r="X952" s="370"/>
      <c r="Y952" s="370"/>
      <c r="Z952" s="370"/>
      <c r="AA952" s="370"/>
      <c r="AB952" s="370"/>
      <c r="AC952" s="370"/>
      <c r="AD952" s="370"/>
      <c r="AE952" s="370"/>
      <c r="AF952" s="370"/>
      <c r="AG952" s="370"/>
      <c r="AH952" s="370"/>
      <c r="AI952" s="370"/>
      <c r="AJ952" s="370"/>
      <c r="AL952" s="219"/>
      <c r="AM952" s="219"/>
      <c r="AN952" s="219"/>
      <c r="AO952" s="116"/>
      <c r="AP952" s="116"/>
      <c r="AU952" s="332"/>
      <c r="AV952" s="332"/>
      <c r="AW952" s="332"/>
      <c r="AX952" s="332"/>
      <c r="AY952" s="332"/>
      <c r="AZ952" s="332"/>
      <c r="BA952" s="332"/>
      <c r="BB952" s="31"/>
      <c r="BC952" s="31"/>
      <c r="BD952" s="31"/>
      <c r="BE952" s="31"/>
    </row>
    <row r="953" spans="1:57" ht="13">
      <c r="A953" s="153"/>
      <c r="F953" s="153"/>
      <c r="G953" s="116"/>
      <c r="H953" s="116"/>
      <c r="I953" s="116"/>
      <c r="J953" s="116"/>
      <c r="K953" s="219"/>
      <c r="L953" s="116"/>
      <c r="M953" s="31"/>
      <c r="N953" s="336"/>
      <c r="O953" s="336"/>
      <c r="P953" s="219"/>
      <c r="Q953" s="332"/>
      <c r="R953" s="219"/>
      <c r="S953" s="332"/>
      <c r="T953" s="219"/>
      <c r="U953" s="332"/>
      <c r="V953" s="332"/>
      <c r="W953" s="370"/>
      <c r="X953" s="370"/>
      <c r="Y953" s="370"/>
      <c r="Z953" s="370"/>
      <c r="AA953" s="370"/>
      <c r="AB953" s="370"/>
      <c r="AC953" s="370"/>
      <c r="AD953" s="370"/>
      <c r="AE953" s="370"/>
      <c r="AF953" s="370"/>
      <c r="AG953" s="370"/>
      <c r="AH953" s="370"/>
      <c r="AI953" s="370"/>
      <c r="AJ953" s="370"/>
      <c r="AL953" s="219"/>
      <c r="AM953" s="219"/>
      <c r="AN953" s="219"/>
      <c r="AO953" s="116"/>
      <c r="AP953" s="116"/>
      <c r="AU953" s="332"/>
      <c r="AV953" s="332"/>
      <c r="AW953" s="332"/>
      <c r="AX953" s="332"/>
      <c r="AY953" s="332"/>
      <c r="AZ953" s="332"/>
      <c r="BA953" s="332"/>
      <c r="BB953" s="31"/>
      <c r="BC953" s="31"/>
      <c r="BD953" s="31"/>
      <c r="BE953" s="31"/>
    </row>
    <row r="954" spans="1:57" ht="13">
      <c r="A954" s="153"/>
      <c r="F954" s="153"/>
      <c r="G954" s="116"/>
      <c r="H954" s="116"/>
      <c r="I954" s="116"/>
      <c r="J954" s="116"/>
      <c r="K954" s="219"/>
      <c r="L954" s="116"/>
      <c r="M954" s="31"/>
      <c r="N954" s="336"/>
      <c r="O954" s="336"/>
      <c r="P954" s="219"/>
      <c r="Q954" s="332"/>
      <c r="R954" s="219"/>
      <c r="S954" s="332"/>
      <c r="T954" s="219"/>
      <c r="U954" s="332"/>
      <c r="V954" s="332"/>
      <c r="W954" s="370"/>
      <c r="X954" s="370"/>
      <c r="Y954" s="370"/>
      <c r="Z954" s="370"/>
      <c r="AA954" s="370"/>
      <c r="AB954" s="370"/>
      <c r="AC954" s="370"/>
      <c r="AD954" s="370"/>
      <c r="AE954" s="370"/>
      <c r="AF954" s="370"/>
      <c r="AG954" s="370"/>
      <c r="AH954" s="370"/>
      <c r="AI954" s="370"/>
      <c r="AJ954" s="370"/>
      <c r="AL954" s="219"/>
      <c r="AM954" s="219"/>
      <c r="AN954" s="219"/>
      <c r="AO954" s="116"/>
      <c r="AP954" s="116"/>
      <c r="AU954" s="332"/>
      <c r="AV954" s="332"/>
      <c r="AW954" s="332"/>
      <c r="AX954" s="332"/>
      <c r="AY954" s="332"/>
      <c r="AZ954" s="332"/>
      <c r="BA954" s="332"/>
      <c r="BB954" s="31"/>
      <c r="BC954" s="31"/>
      <c r="BD954" s="31"/>
      <c r="BE954" s="31"/>
    </row>
    <row r="955" spans="1:57" ht="13">
      <c r="A955" s="153"/>
      <c r="F955" s="153"/>
      <c r="G955" s="116"/>
      <c r="H955" s="116"/>
      <c r="I955" s="116"/>
      <c r="J955" s="116"/>
      <c r="K955" s="219"/>
      <c r="L955" s="116"/>
      <c r="M955" s="31"/>
      <c r="N955" s="336"/>
      <c r="O955" s="336"/>
      <c r="P955" s="219"/>
      <c r="Q955" s="332"/>
      <c r="R955" s="219"/>
      <c r="S955" s="332"/>
      <c r="T955" s="219"/>
      <c r="U955" s="332"/>
      <c r="V955" s="332"/>
      <c r="W955" s="370"/>
      <c r="X955" s="370"/>
      <c r="Y955" s="370"/>
      <c r="Z955" s="370"/>
      <c r="AA955" s="370"/>
      <c r="AB955" s="370"/>
      <c r="AC955" s="370"/>
      <c r="AD955" s="370"/>
      <c r="AE955" s="370"/>
      <c r="AF955" s="370"/>
      <c r="AG955" s="370"/>
      <c r="AH955" s="370"/>
      <c r="AI955" s="370"/>
      <c r="AJ955" s="370"/>
      <c r="AL955" s="219"/>
      <c r="AM955" s="219"/>
      <c r="AN955" s="219"/>
      <c r="AO955" s="116"/>
      <c r="AP955" s="116"/>
      <c r="AU955" s="332"/>
      <c r="AV955" s="332"/>
      <c r="AW955" s="332"/>
      <c r="AX955" s="332"/>
      <c r="AY955" s="332"/>
      <c r="AZ955" s="332"/>
      <c r="BA955" s="332"/>
      <c r="BB955" s="31"/>
      <c r="BC955" s="31"/>
      <c r="BD955" s="31"/>
      <c r="BE955" s="31"/>
    </row>
    <row r="956" spans="1:57" ht="13">
      <c r="A956" s="153"/>
      <c r="F956" s="153"/>
      <c r="G956" s="116"/>
      <c r="H956" s="116"/>
      <c r="I956" s="116"/>
      <c r="J956" s="116"/>
      <c r="K956" s="219"/>
      <c r="L956" s="116"/>
      <c r="M956" s="31"/>
      <c r="N956" s="336"/>
      <c r="O956" s="336"/>
      <c r="P956" s="219"/>
      <c r="Q956" s="332"/>
      <c r="R956" s="219"/>
      <c r="S956" s="332"/>
      <c r="T956" s="219"/>
      <c r="U956" s="332"/>
      <c r="V956" s="332"/>
      <c r="W956" s="370"/>
      <c r="X956" s="370"/>
      <c r="Y956" s="370"/>
      <c r="Z956" s="370"/>
      <c r="AA956" s="370"/>
      <c r="AB956" s="370"/>
      <c r="AC956" s="370"/>
      <c r="AD956" s="370"/>
      <c r="AE956" s="370"/>
      <c r="AF956" s="370"/>
      <c r="AG956" s="370"/>
      <c r="AH956" s="370"/>
      <c r="AI956" s="370"/>
      <c r="AJ956" s="370"/>
      <c r="AL956" s="219"/>
      <c r="AM956" s="219"/>
      <c r="AN956" s="219"/>
      <c r="AO956" s="116"/>
      <c r="AP956" s="116"/>
      <c r="AU956" s="332"/>
      <c r="AV956" s="332"/>
      <c r="AW956" s="332"/>
      <c r="AX956" s="332"/>
      <c r="AY956" s="332"/>
      <c r="AZ956" s="332"/>
      <c r="BA956" s="332"/>
      <c r="BB956" s="31"/>
      <c r="BC956" s="31"/>
      <c r="BD956" s="31"/>
      <c r="BE956" s="31"/>
    </row>
    <row r="957" spans="1:57" ht="13">
      <c r="A957" s="153"/>
      <c r="F957" s="153"/>
      <c r="G957" s="116"/>
      <c r="H957" s="116"/>
      <c r="I957" s="116"/>
      <c r="J957" s="116"/>
      <c r="K957" s="219"/>
      <c r="L957" s="116"/>
      <c r="M957" s="31"/>
      <c r="N957" s="336"/>
      <c r="O957" s="336"/>
      <c r="P957" s="219"/>
      <c r="Q957" s="332"/>
      <c r="R957" s="219"/>
      <c r="S957" s="332"/>
      <c r="T957" s="219"/>
      <c r="U957" s="332"/>
      <c r="V957" s="332"/>
      <c r="W957" s="370"/>
      <c r="X957" s="370"/>
      <c r="Y957" s="370"/>
      <c r="Z957" s="370"/>
      <c r="AA957" s="370"/>
      <c r="AB957" s="370"/>
      <c r="AC957" s="370"/>
      <c r="AD957" s="370"/>
      <c r="AE957" s="370"/>
      <c r="AF957" s="370"/>
      <c r="AG957" s="370"/>
      <c r="AH957" s="370"/>
      <c r="AI957" s="370"/>
      <c r="AJ957" s="370"/>
      <c r="AL957" s="219"/>
      <c r="AM957" s="219"/>
      <c r="AN957" s="219"/>
      <c r="AO957" s="116"/>
      <c r="AP957" s="116"/>
      <c r="AU957" s="332"/>
      <c r="AV957" s="332"/>
      <c r="AW957" s="332"/>
      <c r="AX957" s="332"/>
      <c r="AY957" s="332"/>
      <c r="AZ957" s="332"/>
      <c r="BA957" s="332"/>
      <c r="BB957" s="31"/>
      <c r="BC957" s="31"/>
      <c r="BD957" s="31"/>
      <c r="BE957" s="31"/>
    </row>
    <row r="958" spans="1:57" ht="13">
      <c r="A958" s="153"/>
      <c r="F958" s="153"/>
      <c r="G958" s="116"/>
      <c r="H958" s="116"/>
      <c r="I958" s="116"/>
      <c r="J958" s="116"/>
      <c r="K958" s="219"/>
      <c r="L958" s="116"/>
      <c r="M958" s="31"/>
      <c r="N958" s="336"/>
      <c r="O958" s="336"/>
      <c r="P958" s="219"/>
      <c r="Q958" s="332"/>
      <c r="R958" s="219"/>
      <c r="S958" s="332"/>
      <c r="T958" s="219"/>
      <c r="U958" s="332"/>
      <c r="V958" s="332"/>
      <c r="W958" s="370"/>
      <c r="X958" s="370"/>
      <c r="Y958" s="370"/>
      <c r="Z958" s="370"/>
      <c r="AA958" s="370"/>
      <c r="AB958" s="370"/>
      <c r="AC958" s="370"/>
      <c r="AD958" s="370"/>
      <c r="AE958" s="370"/>
      <c r="AF958" s="370"/>
      <c r="AG958" s="370"/>
      <c r="AH958" s="370"/>
      <c r="AI958" s="370"/>
      <c r="AJ958" s="370"/>
      <c r="AL958" s="219"/>
      <c r="AM958" s="219"/>
      <c r="AN958" s="219"/>
      <c r="AO958" s="116"/>
      <c r="AP958" s="116"/>
      <c r="AU958" s="332"/>
      <c r="AV958" s="332"/>
      <c r="AW958" s="332"/>
      <c r="AX958" s="332"/>
      <c r="AY958" s="332"/>
      <c r="AZ958" s="332"/>
      <c r="BA958" s="332"/>
      <c r="BB958" s="31"/>
      <c r="BC958" s="31"/>
      <c r="BD958" s="31"/>
      <c r="BE958" s="31"/>
    </row>
    <row r="959" spans="1:57" ht="13">
      <c r="A959" s="153"/>
      <c r="F959" s="153"/>
      <c r="G959" s="116"/>
      <c r="H959" s="116"/>
      <c r="I959" s="116"/>
      <c r="J959" s="116"/>
      <c r="K959" s="219"/>
      <c r="L959" s="116"/>
      <c r="M959" s="31"/>
      <c r="N959" s="336"/>
      <c r="O959" s="336"/>
      <c r="P959" s="219"/>
      <c r="Q959" s="332"/>
      <c r="R959" s="219"/>
      <c r="S959" s="332"/>
      <c r="T959" s="219"/>
      <c r="U959" s="332"/>
      <c r="V959" s="332"/>
      <c r="W959" s="370"/>
      <c r="X959" s="370"/>
      <c r="Y959" s="370"/>
      <c r="Z959" s="370"/>
      <c r="AA959" s="370"/>
      <c r="AB959" s="370"/>
      <c r="AC959" s="370"/>
      <c r="AD959" s="370"/>
      <c r="AE959" s="370"/>
      <c r="AF959" s="370"/>
      <c r="AG959" s="370"/>
      <c r="AH959" s="370"/>
      <c r="AI959" s="370"/>
      <c r="AJ959" s="370"/>
      <c r="AL959" s="219"/>
      <c r="AM959" s="219"/>
      <c r="AN959" s="219"/>
      <c r="AO959" s="116"/>
      <c r="AP959" s="116"/>
      <c r="AU959" s="332"/>
      <c r="AV959" s="332"/>
      <c r="AW959" s="332"/>
      <c r="AX959" s="332"/>
      <c r="AY959" s="332"/>
      <c r="AZ959" s="332"/>
      <c r="BA959" s="332"/>
      <c r="BB959" s="31"/>
      <c r="BC959" s="31"/>
      <c r="BD959" s="31"/>
      <c r="BE959" s="31"/>
    </row>
    <row r="960" spans="1:57" ht="13">
      <c r="A960" s="153"/>
      <c r="F960" s="153"/>
      <c r="G960" s="116"/>
      <c r="H960" s="116"/>
      <c r="I960" s="116"/>
      <c r="J960" s="116"/>
      <c r="K960" s="219"/>
      <c r="L960" s="116"/>
      <c r="M960" s="31"/>
      <c r="N960" s="336"/>
      <c r="O960" s="336"/>
      <c r="P960" s="219"/>
      <c r="Q960" s="332"/>
      <c r="R960" s="219"/>
      <c r="S960" s="332"/>
      <c r="T960" s="219"/>
      <c r="U960" s="332"/>
      <c r="V960" s="332"/>
      <c r="W960" s="370"/>
      <c r="X960" s="370"/>
      <c r="Y960" s="370"/>
      <c r="Z960" s="370"/>
      <c r="AA960" s="370"/>
      <c r="AB960" s="370"/>
      <c r="AC960" s="370"/>
      <c r="AD960" s="370"/>
      <c r="AE960" s="370"/>
      <c r="AF960" s="370"/>
      <c r="AG960" s="370"/>
      <c r="AH960" s="370"/>
      <c r="AI960" s="370"/>
      <c r="AJ960" s="370"/>
      <c r="AL960" s="219"/>
      <c r="AM960" s="219"/>
      <c r="AN960" s="219"/>
      <c r="AO960" s="116"/>
      <c r="AP960" s="116"/>
      <c r="AU960" s="332"/>
      <c r="AV960" s="332"/>
      <c r="AW960" s="332"/>
      <c r="AX960" s="332"/>
      <c r="AY960" s="332"/>
      <c r="AZ960" s="332"/>
      <c r="BA960" s="332"/>
      <c r="BB960" s="31"/>
      <c r="BC960" s="31"/>
      <c r="BD960" s="31"/>
      <c r="BE960" s="31"/>
    </row>
    <row r="961" spans="1:57" ht="13">
      <c r="A961" s="153"/>
      <c r="F961" s="153"/>
      <c r="G961" s="116"/>
      <c r="H961" s="116"/>
      <c r="I961" s="116"/>
      <c r="J961" s="116"/>
      <c r="K961" s="219"/>
      <c r="L961" s="116"/>
      <c r="M961" s="31"/>
      <c r="N961" s="336"/>
      <c r="O961" s="336"/>
      <c r="P961" s="219"/>
      <c r="Q961" s="332"/>
      <c r="R961" s="219"/>
      <c r="S961" s="332"/>
      <c r="T961" s="219"/>
      <c r="U961" s="332"/>
      <c r="V961" s="332"/>
      <c r="W961" s="370"/>
      <c r="X961" s="370"/>
      <c r="Y961" s="370"/>
      <c r="Z961" s="370"/>
      <c r="AA961" s="370"/>
      <c r="AB961" s="370"/>
      <c r="AC961" s="370"/>
      <c r="AD961" s="370"/>
      <c r="AE961" s="370"/>
      <c r="AF961" s="370"/>
      <c r="AG961" s="370"/>
      <c r="AH961" s="370"/>
      <c r="AI961" s="370"/>
      <c r="AJ961" s="370"/>
      <c r="AL961" s="219"/>
      <c r="AM961" s="219"/>
      <c r="AN961" s="219"/>
      <c r="AO961" s="116"/>
      <c r="AP961" s="116"/>
      <c r="AU961" s="332"/>
      <c r="AV961" s="332"/>
      <c r="AW961" s="332"/>
      <c r="AX961" s="332"/>
      <c r="AY961" s="332"/>
      <c r="AZ961" s="332"/>
      <c r="BA961" s="332"/>
      <c r="BB961" s="31"/>
      <c r="BC961" s="31"/>
      <c r="BD961" s="31"/>
      <c r="BE961" s="31"/>
    </row>
    <row r="962" spans="1:57" ht="13">
      <c r="A962" s="153"/>
      <c r="F962" s="153"/>
      <c r="G962" s="116"/>
      <c r="H962" s="116"/>
      <c r="I962" s="116"/>
      <c r="J962" s="116"/>
      <c r="K962" s="219"/>
      <c r="L962" s="116"/>
      <c r="M962" s="31"/>
      <c r="N962" s="336"/>
      <c r="O962" s="336"/>
      <c r="P962" s="219"/>
      <c r="Q962" s="332"/>
      <c r="R962" s="219"/>
      <c r="S962" s="332"/>
      <c r="T962" s="219"/>
      <c r="U962" s="332"/>
      <c r="V962" s="332"/>
      <c r="W962" s="370"/>
      <c r="X962" s="370"/>
      <c r="Y962" s="370"/>
      <c r="Z962" s="370"/>
      <c r="AA962" s="370"/>
      <c r="AB962" s="370"/>
      <c r="AC962" s="370"/>
      <c r="AD962" s="370"/>
      <c r="AE962" s="370"/>
      <c r="AF962" s="370"/>
      <c r="AG962" s="370"/>
      <c r="AH962" s="370"/>
      <c r="AI962" s="370"/>
      <c r="AJ962" s="370"/>
      <c r="AL962" s="219"/>
      <c r="AM962" s="219"/>
      <c r="AN962" s="219"/>
      <c r="AO962" s="116"/>
      <c r="AP962" s="116"/>
      <c r="AU962" s="332"/>
      <c r="AV962" s="332"/>
      <c r="AW962" s="332"/>
      <c r="AX962" s="332"/>
      <c r="AY962" s="332"/>
      <c r="AZ962" s="332"/>
      <c r="BA962" s="332"/>
      <c r="BB962" s="31"/>
      <c r="BC962" s="31"/>
      <c r="BD962" s="31"/>
      <c r="BE962" s="31"/>
    </row>
    <row r="963" spans="1:57" ht="13">
      <c r="A963" s="153"/>
      <c r="F963" s="153"/>
      <c r="G963" s="116"/>
      <c r="H963" s="116"/>
      <c r="I963" s="116"/>
      <c r="J963" s="116"/>
      <c r="K963" s="219"/>
      <c r="L963" s="116"/>
      <c r="M963" s="31"/>
      <c r="N963" s="336"/>
      <c r="O963" s="336"/>
      <c r="P963" s="219"/>
      <c r="Q963" s="332"/>
      <c r="R963" s="219"/>
      <c r="S963" s="332"/>
      <c r="T963" s="219"/>
      <c r="U963" s="332"/>
      <c r="V963" s="332"/>
      <c r="W963" s="370"/>
      <c r="X963" s="370"/>
      <c r="Y963" s="370"/>
      <c r="Z963" s="370"/>
      <c r="AA963" s="370"/>
      <c r="AB963" s="370"/>
      <c r="AC963" s="370"/>
      <c r="AD963" s="370"/>
      <c r="AE963" s="370"/>
      <c r="AF963" s="370"/>
      <c r="AG963" s="370"/>
      <c r="AH963" s="370"/>
      <c r="AI963" s="370"/>
      <c r="AJ963" s="370"/>
      <c r="AL963" s="219"/>
      <c r="AM963" s="219"/>
      <c r="AN963" s="219"/>
      <c r="AO963" s="116"/>
      <c r="AP963" s="116"/>
      <c r="AU963" s="332"/>
      <c r="AV963" s="332"/>
      <c r="AW963" s="332"/>
      <c r="AX963" s="332"/>
      <c r="AY963" s="332"/>
      <c r="AZ963" s="332"/>
      <c r="BA963" s="332"/>
      <c r="BB963" s="31"/>
      <c r="BC963" s="31"/>
      <c r="BD963" s="31"/>
      <c r="BE963" s="31"/>
    </row>
    <row r="964" spans="1:57" ht="13">
      <c r="A964" s="153"/>
      <c r="F964" s="153"/>
      <c r="G964" s="116"/>
      <c r="H964" s="116"/>
      <c r="I964" s="116"/>
      <c r="J964" s="116"/>
      <c r="K964" s="219"/>
      <c r="L964" s="116"/>
      <c r="M964" s="31"/>
      <c r="N964" s="336"/>
      <c r="O964" s="336"/>
      <c r="P964" s="219"/>
      <c r="Q964" s="332"/>
      <c r="R964" s="219"/>
      <c r="S964" s="332"/>
      <c r="T964" s="219"/>
      <c r="U964" s="332"/>
      <c r="V964" s="332"/>
      <c r="W964" s="370"/>
      <c r="X964" s="370"/>
      <c r="Y964" s="370"/>
      <c r="Z964" s="370"/>
      <c r="AA964" s="370"/>
      <c r="AB964" s="370"/>
      <c r="AC964" s="370"/>
      <c r="AD964" s="370"/>
      <c r="AE964" s="370"/>
      <c r="AF964" s="370"/>
      <c r="AG964" s="370"/>
      <c r="AH964" s="370"/>
      <c r="AI964" s="370"/>
      <c r="AJ964" s="370"/>
      <c r="AL964" s="219"/>
      <c r="AM964" s="219"/>
      <c r="AN964" s="219"/>
      <c r="AO964" s="116"/>
      <c r="AP964" s="116"/>
      <c r="AU964" s="332"/>
      <c r="AV964" s="332"/>
      <c r="AW964" s="332"/>
      <c r="AX964" s="332"/>
      <c r="AY964" s="332"/>
      <c r="AZ964" s="332"/>
      <c r="BA964" s="332"/>
      <c r="BB964" s="31"/>
      <c r="BC964" s="31"/>
      <c r="BD964" s="31"/>
      <c r="BE964" s="31"/>
    </row>
    <row r="965" spans="1:57" ht="13">
      <c r="A965" s="153"/>
      <c r="F965" s="153"/>
      <c r="G965" s="116"/>
      <c r="H965" s="116"/>
      <c r="I965" s="116"/>
      <c r="J965" s="116"/>
      <c r="K965" s="219"/>
      <c r="L965" s="116"/>
      <c r="M965" s="31"/>
      <c r="N965" s="336"/>
      <c r="O965" s="336"/>
      <c r="P965" s="219"/>
      <c r="Q965" s="332"/>
      <c r="R965" s="219"/>
      <c r="S965" s="332"/>
      <c r="T965" s="219"/>
      <c r="U965" s="332"/>
      <c r="V965" s="332"/>
      <c r="W965" s="370"/>
      <c r="X965" s="370"/>
      <c r="Y965" s="370"/>
      <c r="Z965" s="370"/>
      <c r="AA965" s="370"/>
      <c r="AB965" s="370"/>
      <c r="AC965" s="370"/>
      <c r="AD965" s="370"/>
      <c r="AE965" s="370"/>
      <c r="AF965" s="370"/>
      <c r="AG965" s="370"/>
      <c r="AH965" s="370"/>
      <c r="AI965" s="370"/>
      <c r="AJ965" s="370"/>
      <c r="AL965" s="219"/>
      <c r="AM965" s="219"/>
      <c r="AN965" s="219"/>
      <c r="AO965" s="116"/>
      <c r="AP965" s="116"/>
      <c r="AU965" s="332"/>
      <c r="AV965" s="332"/>
      <c r="AW965" s="332"/>
      <c r="AX965" s="332"/>
      <c r="AY965" s="332"/>
      <c r="AZ965" s="332"/>
      <c r="BA965" s="332"/>
      <c r="BB965" s="31"/>
      <c r="BC965" s="31"/>
      <c r="BD965" s="31"/>
      <c r="BE965" s="31"/>
    </row>
    <row r="966" spans="1:57" ht="13">
      <c r="A966" s="153"/>
      <c r="F966" s="153"/>
      <c r="G966" s="116"/>
      <c r="H966" s="116"/>
      <c r="I966" s="116"/>
      <c r="J966" s="116"/>
      <c r="K966" s="219"/>
      <c r="L966" s="116"/>
      <c r="M966" s="31"/>
      <c r="N966" s="336"/>
      <c r="O966" s="336"/>
      <c r="P966" s="219"/>
      <c r="Q966" s="332"/>
      <c r="R966" s="219"/>
      <c r="S966" s="332"/>
      <c r="T966" s="219"/>
      <c r="U966" s="332"/>
      <c r="V966" s="332"/>
      <c r="W966" s="370"/>
      <c r="X966" s="370"/>
      <c r="Y966" s="370"/>
      <c r="Z966" s="370"/>
      <c r="AA966" s="370"/>
      <c r="AB966" s="370"/>
      <c r="AC966" s="370"/>
      <c r="AD966" s="370"/>
      <c r="AE966" s="370"/>
      <c r="AF966" s="370"/>
      <c r="AG966" s="370"/>
      <c r="AH966" s="370"/>
      <c r="AI966" s="370"/>
      <c r="AJ966" s="370"/>
      <c r="AL966" s="219"/>
      <c r="AM966" s="219"/>
      <c r="AN966" s="219"/>
      <c r="AO966" s="116"/>
      <c r="AP966" s="116"/>
      <c r="AU966" s="332"/>
      <c r="AV966" s="332"/>
      <c r="AW966" s="332"/>
      <c r="AX966" s="332"/>
      <c r="AY966" s="332"/>
      <c r="AZ966" s="332"/>
      <c r="BA966" s="332"/>
      <c r="BB966" s="31"/>
      <c r="BC966" s="31"/>
      <c r="BD966" s="31"/>
      <c r="BE966" s="31"/>
    </row>
    <row r="967" spans="1:57" ht="13">
      <c r="A967" s="153"/>
      <c r="F967" s="153"/>
      <c r="G967" s="116"/>
      <c r="H967" s="116"/>
      <c r="I967" s="116"/>
      <c r="J967" s="116"/>
      <c r="K967" s="219"/>
      <c r="L967" s="116"/>
      <c r="M967" s="31"/>
      <c r="N967" s="336"/>
      <c r="O967" s="336"/>
      <c r="P967" s="219"/>
      <c r="Q967" s="332"/>
      <c r="R967" s="219"/>
      <c r="S967" s="332"/>
      <c r="T967" s="219"/>
      <c r="U967" s="332"/>
      <c r="V967" s="332"/>
      <c r="W967" s="370"/>
      <c r="X967" s="370"/>
      <c r="Y967" s="370"/>
      <c r="Z967" s="370"/>
      <c r="AA967" s="370"/>
      <c r="AB967" s="370"/>
      <c r="AC967" s="370"/>
      <c r="AD967" s="370"/>
      <c r="AE967" s="370"/>
      <c r="AF967" s="370"/>
      <c r="AG967" s="370"/>
      <c r="AH967" s="370"/>
      <c r="AI967" s="370"/>
      <c r="AJ967" s="370"/>
      <c r="AL967" s="219"/>
      <c r="AM967" s="219"/>
      <c r="AN967" s="219"/>
      <c r="AO967" s="116"/>
      <c r="AP967" s="116"/>
      <c r="AU967" s="332"/>
      <c r="AV967" s="332"/>
      <c r="AW967" s="332"/>
      <c r="AX967" s="332"/>
      <c r="AY967" s="332"/>
      <c r="AZ967" s="332"/>
      <c r="BA967" s="332"/>
      <c r="BB967" s="31"/>
      <c r="BC967" s="31"/>
      <c r="BD967" s="31"/>
      <c r="BE967" s="31"/>
    </row>
    <row r="968" spans="1:57" ht="13">
      <c r="A968" s="153"/>
      <c r="F968" s="153"/>
      <c r="G968" s="116"/>
      <c r="H968" s="116"/>
      <c r="I968" s="116"/>
      <c r="J968" s="116"/>
      <c r="K968" s="219"/>
      <c r="L968" s="116"/>
      <c r="M968" s="31"/>
      <c r="N968" s="336"/>
      <c r="O968" s="336"/>
      <c r="P968" s="219"/>
      <c r="Q968" s="332"/>
      <c r="R968" s="219"/>
      <c r="S968" s="332"/>
      <c r="T968" s="219"/>
      <c r="U968" s="332"/>
      <c r="V968" s="332"/>
      <c r="W968" s="370"/>
      <c r="X968" s="370"/>
      <c r="Y968" s="370"/>
      <c r="Z968" s="370"/>
      <c r="AA968" s="370"/>
      <c r="AB968" s="370"/>
      <c r="AC968" s="370"/>
      <c r="AD968" s="370"/>
      <c r="AE968" s="370"/>
      <c r="AF968" s="370"/>
      <c r="AG968" s="370"/>
      <c r="AH968" s="370"/>
      <c r="AI968" s="370"/>
      <c r="AJ968" s="370"/>
      <c r="AL968" s="219"/>
      <c r="AM968" s="219"/>
      <c r="AN968" s="219"/>
      <c r="AO968" s="116"/>
      <c r="AP968" s="116"/>
      <c r="AU968" s="332"/>
      <c r="AV968" s="332"/>
      <c r="AW968" s="332"/>
      <c r="AX968" s="332"/>
      <c r="AY968" s="332"/>
      <c r="AZ968" s="332"/>
      <c r="BA968" s="332"/>
      <c r="BB968" s="31"/>
      <c r="BC968" s="31"/>
      <c r="BD968" s="31"/>
      <c r="BE968" s="31"/>
    </row>
    <row r="969" spans="1:57" ht="13">
      <c r="A969" s="153"/>
      <c r="F969" s="153"/>
      <c r="G969" s="116"/>
      <c r="H969" s="116"/>
      <c r="I969" s="116"/>
      <c r="J969" s="116"/>
      <c r="K969" s="219"/>
      <c r="L969" s="116"/>
      <c r="M969" s="31"/>
      <c r="N969" s="336"/>
      <c r="O969" s="336"/>
      <c r="P969" s="219"/>
      <c r="Q969" s="332"/>
      <c r="R969" s="219"/>
      <c r="S969" s="332"/>
      <c r="T969" s="219"/>
      <c r="U969" s="332"/>
      <c r="V969" s="332"/>
      <c r="W969" s="370"/>
      <c r="X969" s="370"/>
      <c r="Y969" s="370"/>
      <c r="Z969" s="370"/>
      <c r="AA969" s="370"/>
      <c r="AB969" s="370"/>
      <c r="AC969" s="370"/>
      <c r="AD969" s="370"/>
      <c r="AE969" s="370"/>
      <c r="AF969" s="370"/>
      <c r="AG969" s="370"/>
      <c r="AH969" s="370"/>
      <c r="AI969" s="370"/>
      <c r="AJ969" s="370"/>
      <c r="AL969" s="219"/>
      <c r="AM969" s="219"/>
      <c r="AN969" s="219"/>
      <c r="AO969" s="116"/>
      <c r="AP969" s="116"/>
      <c r="AU969" s="332"/>
      <c r="AV969" s="332"/>
      <c r="AW969" s="332"/>
      <c r="AX969" s="332"/>
      <c r="AY969" s="332"/>
      <c r="AZ969" s="332"/>
      <c r="BA969" s="332"/>
      <c r="BB969" s="31"/>
      <c r="BC969" s="31"/>
      <c r="BD969" s="31"/>
      <c r="BE969" s="31"/>
    </row>
    <row r="970" spans="1:57" ht="13">
      <c r="A970" s="153"/>
      <c r="F970" s="153"/>
      <c r="G970" s="116"/>
      <c r="H970" s="116"/>
      <c r="I970" s="116"/>
      <c r="J970" s="116"/>
      <c r="K970" s="219"/>
      <c r="L970" s="116"/>
      <c r="M970" s="31"/>
      <c r="N970" s="336"/>
      <c r="O970" s="336"/>
      <c r="P970" s="219"/>
      <c r="Q970" s="332"/>
      <c r="R970" s="219"/>
      <c r="S970" s="332"/>
      <c r="T970" s="219"/>
      <c r="U970" s="332"/>
      <c r="V970" s="332"/>
      <c r="W970" s="370"/>
      <c r="X970" s="370"/>
      <c r="Y970" s="370"/>
      <c r="Z970" s="370"/>
      <c r="AA970" s="370"/>
      <c r="AB970" s="370"/>
      <c r="AC970" s="370"/>
      <c r="AD970" s="370"/>
      <c r="AE970" s="370"/>
      <c r="AF970" s="370"/>
      <c r="AG970" s="370"/>
      <c r="AH970" s="370"/>
      <c r="AI970" s="370"/>
      <c r="AJ970" s="370"/>
      <c r="AL970" s="219"/>
      <c r="AM970" s="219"/>
      <c r="AN970" s="219"/>
      <c r="AO970" s="116"/>
      <c r="AP970" s="116"/>
      <c r="AU970" s="332"/>
      <c r="AV970" s="332"/>
      <c r="AW970" s="332"/>
      <c r="AX970" s="332"/>
      <c r="AY970" s="332"/>
      <c r="AZ970" s="332"/>
      <c r="BA970" s="332"/>
      <c r="BB970" s="31"/>
      <c r="BC970" s="31"/>
      <c r="BD970" s="31"/>
      <c r="BE970" s="31"/>
    </row>
    <row r="971" spans="1:57" ht="13">
      <c r="A971" s="153"/>
      <c r="F971" s="153"/>
      <c r="G971" s="116"/>
      <c r="H971" s="116"/>
      <c r="I971" s="116"/>
      <c r="J971" s="116"/>
      <c r="K971" s="219"/>
      <c r="L971" s="116"/>
      <c r="M971" s="31"/>
      <c r="N971" s="336"/>
      <c r="O971" s="336"/>
      <c r="P971" s="219"/>
      <c r="Q971" s="332"/>
      <c r="R971" s="219"/>
      <c r="S971" s="332"/>
      <c r="T971" s="219"/>
      <c r="U971" s="332"/>
      <c r="V971" s="332"/>
      <c r="W971" s="370"/>
      <c r="X971" s="370"/>
      <c r="Y971" s="370"/>
      <c r="Z971" s="370"/>
      <c r="AA971" s="370"/>
      <c r="AB971" s="370"/>
      <c r="AC971" s="370"/>
      <c r="AD971" s="370"/>
      <c r="AE971" s="370"/>
      <c r="AF971" s="370"/>
      <c r="AG971" s="370"/>
      <c r="AH971" s="370"/>
      <c r="AI971" s="370"/>
      <c r="AJ971" s="370"/>
      <c r="AL971" s="219"/>
      <c r="AM971" s="219"/>
      <c r="AN971" s="219"/>
      <c r="AO971" s="116"/>
      <c r="AP971" s="116"/>
      <c r="AU971" s="332"/>
      <c r="AV971" s="332"/>
      <c r="AW971" s="332"/>
      <c r="AX971" s="332"/>
      <c r="AY971" s="332"/>
      <c r="AZ971" s="332"/>
      <c r="BA971" s="332"/>
      <c r="BB971" s="31"/>
      <c r="BC971" s="31"/>
      <c r="BD971" s="31"/>
      <c r="BE971" s="31"/>
    </row>
    <row r="972" spans="1:57" ht="13">
      <c r="A972" s="153"/>
      <c r="F972" s="153"/>
      <c r="G972" s="116"/>
      <c r="H972" s="116"/>
      <c r="I972" s="116"/>
      <c r="J972" s="116"/>
      <c r="K972" s="219"/>
      <c r="L972" s="116"/>
      <c r="M972" s="31"/>
      <c r="N972" s="336"/>
      <c r="O972" s="336"/>
      <c r="P972" s="219"/>
      <c r="Q972" s="332"/>
      <c r="R972" s="219"/>
      <c r="S972" s="332"/>
      <c r="T972" s="219"/>
      <c r="U972" s="332"/>
      <c r="V972" s="332"/>
      <c r="W972" s="370"/>
      <c r="X972" s="370"/>
      <c r="Y972" s="370"/>
      <c r="Z972" s="370"/>
      <c r="AA972" s="370"/>
      <c r="AB972" s="370"/>
      <c r="AC972" s="370"/>
      <c r="AD972" s="370"/>
      <c r="AE972" s="370"/>
      <c r="AF972" s="370"/>
      <c r="AG972" s="370"/>
      <c r="AH972" s="370"/>
      <c r="AI972" s="370"/>
      <c r="AJ972" s="370"/>
      <c r="AL972" s="219"/>
      <c r="AM972" s="219"/>
      <c r="AN972" s="219"/>
      <c r="AO972" s="116"/>
      <c r="AP972" s="116"/>
      <c r="AU972" s="332"/>
      <c r="AV972" s="332"/>
      <c r="AW972" s="332"/>
      <c r="AX972" s="332"/>
      <c r="AY972" s="332"/>
      <c r="AZ972" s="332"/>
      <c r="BA972" s="332"/>
      <c r="BB972" s="31"/>
      <c r="BC972" s="31"/>
      <c r="BD972" s="31"/>
      <c r="BE972" s="31"/>
    </row>
    <row r="973" spans="1:57" ht="13">
      <c r="A973" s="153"/>
      <c r="F973" s="153"/>
      <c r="G973" s="116"/>
      <c r="H973" s="116"/>
      <c r="I973" s="116"/>
      <c r="J973" s="116"/>
      <c r="K973" s="219"/>
      <c r="L973" s="116"/>
      <c r="M973" s="31"/>
      <c r="N973" s="336"/>
      <c r="O973" s="336"/>
      <c r="P973" s="219"/>
      <c r="Q973" s="332"/>
      <c r="R973" s="219"/>
      <c r="S973" s="332"/>
      <c r="T973" s="219"/>
      <c r="U973" s="332"/>
      <c r="V973" s="332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  <c r="AH973" s="370"/>
      <c r="AI973" s="370"/>
      <c r="AJ973" s="370"/>
      <c r="AL973" s="219"/>
      <c r="AM973" s="219"/>
      <c r="AN973" s="219"/>
      <c r="AO973" s="116"/>
      <c r="AP973" s="116"/>
      <c r="AU973" s="332"/>
      <c r="AV973" s="332"/>
      <c r="AW973" s="332"/>
      <c r="AX973" s="332"/>
      <c r="AY973" s="332"/>
      <c r="AZ973" s="332"/>
      <c r="BA973" s="332"/>
      <c r="BB973" s="31"/>
      <c r="BC973" s="31"/>
      <c r="BD973" s="31"/>
      <c r="BE973" s="31"/>
    </row>
    <row r="974" spans="1:57" ht="13">
      <c r="A974" s="153"/>
      <c r="F974" s="153"/>
      <c r="G974" s="116"/>
      <c r="H974" s="116"/>
      <c r="I974" s="116"/>
      <c r="J974" s="116"/>
      <c r="K974" s="219"/>
      <c r="L974" s="116"/>
      <c r="M974" s="31"/>
      <c r="N974" s="336"/>
      <c r="O974" s="336"/>
      <c r="P974" s="219"/>
      <c r="Q974" s="332"/>
      <c r="R974" s="219"/>
      <c r="S974" s="332"/>
      <c r="T974" s="219"/>
      <c r="U974" s="332"/>
      <c r="V974" s="332"/>
      <c r="W974" s="370"/>
      <c r="X974" s="370"/>
      <c r="Y974" s="370"/>
      <c r="Z974" s="370"/>
      <c r="AA974" s="370"/>
      <c r="AB974" s="370"/>
      <c r="AC974" s="370"/>
      <c r="AD974" s="370"/>
      <c r="AE974" s="370"/>
      <c r="AF974" s="370"/>
      <c r="AG974" s="370"/>
      <c r="AH974" s="370"/>
      <c r="AI974" s="370"/>
      <c r="AJ974" s="370"/>
      <c r="AL974" s="219"/>
      <c r="AM974" s="219"/>
      <c r="AN974" s="219"/>
      <c r="AO974" s="116"/>
      <c r="AP974" s="116"/>
      <c r="AU974" s="332"/>
      <c r="AV974" s="332"/>
      <c r="AW974" s="332"/>
      <c r="AX974" s="332"/>
      <c r="AY974" s="332"/>
      <c r="AZ974" s="332"/>
      <c r="BA974" s="332"/>
      <c r="BB974" s="31"/>
      <c r="BC974" s="31"/>
      <c r="BD974" s="31"/>
      <c r="BE974" s="31"/>
    </row>
    <row r="975" spans="1:57" ht="13">
      <c r="A975" s="153"/>
      <c r="F975" s="153"/>
      <c r="G975" s="116"/>
      <c r="H975" s="116"/>
      <c r="I975" s="116"/>
      <c r="J975" s="116"/>
      <c r="K975" s="219"/>
      <c r="L975" s="116"/>
      <c r="M975" s="31"/>
      <c r="N975" s="336"/>
      <c r="O975" s="336"/>
      <c r="P975" s="219"/>
      <c r="Q975" s="332"/>
      <c r="R975" s="219"/>
      <c r="S975" s="332"/>
      <c r="T975" s="219"/>
      <c r="U975" s="332"/>
      <c r="V975" s="332"/>
      <c r="W975" s="370"/>
      <c r="X975" s="370"/>
      <c r="Y975" s="370"/>
      <c r="Z975" s="370"/>
      <c r="AA975" s="370"/>
      <c r="AB975" s="370"/>
      <c r="AC975" s="370"/>
      <c r="AD975" s="370"/>
      <c r="AE975" s="370"/>
      <c r="AF975" s="370"/>
      <c r="AG975" s="370"/>
      <c r="AH975" s="370"/>
      <c r="AI975" s="370"/>
      <c r="AJ975" s="370"/>
      <c r="AL975" s="219"/>
      <c r="AM975" s="219"/>
      <c r="AN975" s="219"/>
      <c r="AO975" s="116"/>
      <c r="AP975" s="116"/>
      <c r="AU975" s="332"/>
      <c r="AV975" s="332"/>
      <c r="AW975" s="332"/>
      <c r="AX975" s="332"/>
      <c r="AY975" s="332"/>
      <c r="AZ975" s="332"/>
      <c r="BA975" s="332"/>
      <c r="BB975" s="31"/>
      <c r="BC975" s="31"/>
      <c r="BD975" s="31"/>
      <c r="BE975" s="31"/>
    </row>
    <row r="976" spans="1:57" ht="13">
      <c r="A976" s="153"/>
      <c r="F976" s="153"/>
      <c r="G976" s="116"/>
      <c r="H976" s="116"/>
      <c r="I976" s="116"/>
      <c r="J976" s="116"/>
      <c r="K976" s="219"/>
      <c r="L976" s="116"/>
      <c r="M976" s="31"/>
      <c r="N976" s="336"/>
      <c r="O976" s="336"/>
      <c r="P976" s="219"/>
      <c r="Q976" s="332"/>
      <c r="R976" s="219"/>
      <c r="S976" s="332"/>
      <c r="T976" s="219"/>
      <c r="U976" s="332"/>
      <c r="V976" s="332"/>
      <c r="W976" s="370"/>
      <c r="X976" s="370"/>
      <c r="Y976" s="370"/>
      <c r="Z976" s="370"/>
      <c r="AA976" s="370"/>
      <c r="AB976" s="370"/>
      <c r="AC976" s="370"/>
      <c r="AD976" s="370"/>
      <c r="AE976" s="370"/>
      <c r="AF976" s="370"/>
      <c r="AG976" s="370"/>
      <c r="AH976" s="370"/>
      <c r="AI976" s="370"/>
      <c r="AJ976" s="370"/>
      <c r="AL976" s="219"/>
      <c r="AM976" s="219"/>
      <c r="AN976" s="219"/>
      <c r="AO976" s="116"/>
      <c r="AP976" s="116"/>
      <c r="AU976" s="332"/>
      <c r="AV976" s="332"/>
      <c r="AW976" s="332"/>
      <c r="AX976" s="332"/>
      <c r="AY976" s="332"/>
      <c r="AZ976" s="332"/>
      <c r="BA976" s="332"/>
      <c r="BB976" s="31"/>
      <c r="BC976" s="31"/>
      <c r="BD976" s="31"/>
      <c r="BE976" s="31"/>
    </row>
    <row r="977" spans="1:57" ht="13">
      <c r="A977" s="153"/>
      <c r="F977" s="153"/>
      <c r="G977" s="116"/>
      <c r="H977" s="116"/>
      <c r="I977" s="116"/>
      <c r="J977" s="116"/>
      <c r="K977" s="219"/>
      <c r="L977" s="116"/>
      <c r="M977" s="31"/>
      <c r="N977" s="336"/>
      <c r="O977" s="336"/>
      <c r="P977" s="219"/>
      <c r="Q977" s="332"/>
      <c r="R977" s="219"/>
      <c r="S977" s="332"/>
      <c r="T977" s="219"/>
      <c r="U977" s="332"/>
      <c r="V977" s="332"/>
      <c r="W977" s="370"/>
      <c r="X977" s="370"/>
      <c r="Y977" s="370"/>
      <c r="Z977" s="370"/>
      <c r="AA977" s="370"/>
      <c r="AB977" s="370"/>
      <c r="AC977" s="370"/>
      <c r="AD977" s="370"/>
      <c r="AE977" s="370"/>
      <c r="AF977" s="370"/>
      <c r="AG977" s="370"/>
      <c r="AH977" s="370"/>
      <c r="AI977" s="370"/>
      <c r="AJ977" s="370"/>
      <c r="AL977" s="219"/>
      <c r="AM977" s="219"/>
      <c r="AN977" s="219"/>
      <c r="AO977" s="116"/>
      <c r="AP977" s="116"/>
      <c r="AU977" s="332"/>
      <c r="AV977" s="332"/>
      <c r="AW977" s="332"/>
      <c r="AX977" s="332"/>
      <c r="AY977" s="332"/>
      <c r="AZ977" s="332"/>
      <c r="BA977" s="332"/>
      <c r="BB977" s="31"/>
      <c r="BC977" s="31"/>
      <c r="BD977" s="31"/>
      <c r="BE977" s="31"/>
    </row>
    <row r="978" spans="1:57" ht="13">
      <c r="A978" s="153"/>
      <c r="F978" s="153"/>
      <c r="G978" s="116"/>
      <c r="H978" s="116"/>
      <c r="I978" s="116"/>
      <c r="J978" s="116"/>
      <c r="K978" s="219"/>
      <c r="L978" s="116"/>
      <c r="M978" s="31"/>
      <c r="N978" s="336"/>
      <c r="O978" s="336"/>
      <c r="P978" s="219"/>
      <c r="Q978" s="332"/>
      <c r="R978" s="219"/>
      <c r="S978" s="332"/>
      <c r="T978" s="219"/>
      <c r="U978" s="332"/>
      <c r="V978" s="332"/>
      <c r="W978" s="370"/>
      <c r="X978" s="370"/>
      <c r="Y978" s="370"/>
      <c r="Z978" s="370"/>
      <c r="AA978" s="370"/>
      <c r="AB978" s="370"/>
      <c r="AC978" s="370"/>
      <c r="AD978" s="370"/>
      <c r="AE978" s="370"/>
      <c r="AF978" s="370"/>
      <c r="AG978" s="370"/>
      <c r="AH978" s="370"/>
      <c r="AI978" s="370"/>
      <c r="AJ978" s="370"/>
      <c r="AL978" s="219"/>
      <c r="AM978" s="219"/>
      <c r="AN978" s="219"/>
      <c r="AO978" s="116"/>
      <c r="AP978" s="116"/>
      <c r="AU978" s="332"/>
      <c r="AV978" s="332"/>
      <c r="AW978" s="332"/>
      <c r="AX978" s="332"/>
      <c r="AY978" s="332"/>
      <c r="AZ978" s="332"/>
      <c r="BA978" s="332"/>
      <c r="BB978" s="31"/>
      <c r="BC978" s="31"/>
      <c r="BD978" s="31"/>
      <c r="BE978" s="31"/>
    </row>
    <row r="979" spans="1:57" ht="13">
      <c r="A979" s="153"/>
      <c r="F979" s="153"/>
      <c r="G979" s="116"/>
      <c r="H979" s="116"/>
      <c r="I979" s="116"/>
      <c r="J979" s="116"/>
      <c r="K979" s="219"/>
      <c r="L979" s="116"/>
      <c r="M979" s="31"/>
      <c r="N979" s="336"/>
      <c r="O979" s="336"/>
      <c r="P979" s="219"/>
      <c r="Q979" s="332"/>
      <c r="R979" s="219"/>
      <c r="S979" s="332"/>
      <c r="T979" s="219"/>
      <c r="U979" s="332"/>
      <c r="V979" s="332"/>
      <c r="W979" s="370"/>
      <c r="X979" s="370"/>
      <c r="Y979" s="370"/>
      <c r="Z979" s="370"/>
      <c r="AA979" s="370"/>
      <c r="AB979" s="370"/>
      <c r="AC979" s="370"/>
      <c r="AD979" s="370"/>
      <c r="AE979" s="370"/>
      <c r="AF979" s="370"/>
      <c r="AG979" s="370"/>
      <c r="AH979" s="370"/>
      <c r="AI979" s="370"/>
      <c r="AJ979" s="370"/>
      <c r="AL979" s="219"/>
      <c r="AM979" s="219"/>
      <c r="AN979" s="219"/>
      <c r="AO979" s="116"/>
      <c r="AP979" s="116"/>
      <c r="AU979" s="332"/>
      <c r="AV979" s="332"/>
      <c r="AW979" s="332"/>
      <c r="AX979" s="332"/>
      <c r="AY979" s="332"/>
      <c r="AZ979" s="332"/>
      <c r="BA979" s="332"/>
      <c r="BB979" s="31"/>
      <c r="BC979" s="31"/>
      <c r="BD979" s="31"/>
      <c r="BE979" s="31"/>
    </row>
    <row r="980" spans="1:57" ht="13">
      <c r="A980" s="153"/>
      <c r="F980" s="153"/>
      <c r="G980" s="116"/>
      <c r="H980" s="116"/>
      <c r="I980" s="116"/>
      <c r="J980" s="116"/>
      <c r="K980" s="219"/>
      <c r="L980" s="116"/>
      <c r="M980" s="31"/>
      <c r="N980" s="336"/>
      <c r="O980" s="336"/>
      <c r="P980" s="219"/>
      <c r="Q980" s="332"/>
      <c r="R980" s="219"/>
      <c r="S980" s="332"/>
      <c r="T980" s="219"/>
      <c r="U980" s="332"/>
      <c r="V980" s="332"/>
      <c r="W980" s="370"/>
      <c r="X980" s="370"/>
      <c r="Y980" s="370"/>
      <c r="Z980" s="370"/>
      <c r="AA980" s="370"/>
      <c r="AB980" s="370"/>
      <c r="AC980" s="370"/>
      <c r="AD980" s="370"/>
      <c r="AE980" s="370"/>
      <c r="AF980" s="370"/>
      <c r="AG980" s="370"/>
      <c r="AH980" s="370"/>
      <c r="AI980" s="370"/>
      <c r="AJ980" s="370"/>
      <c r="AL980" s="219"/>
      <c r="AM980" s="219"/>
      <c r="AN980" s="219"/>
      <c r="AO980" s="116"/>
      <c r="AP980" s="116"/>
      <c r="AU980" s="332"/>
      <c r="AV980" s="332"/>
      <c r="AW980" s="332"/>
      <c r="AX980" s="332"/>
      <c r="AY980" s="332"/>
      <c r="AZ980" s="332"/>
      <c r="BA980" s="332"/>
      <c r="BB980" s="31"/>
      <c r="BC980" s="31"/>
      <c r="BD980" s="31"/>
      <c r="BE980" s="31"/>
    </row>
    <row r="981" spans="1:57" ht="13">
      <c r="A981" s="153"/>
      <c r="F981" s="153"/>
      <c r="G981" s="116"/>
      <c r="H981" s="116"/>
      <c r="I981" s="116"/>
      <c r="J981" s="116"/>
      <c r="K981" s="219"/>
      <c r="L981" s="116"/>
      <c r="M981" s="31"/>
      <c r="N981" s="336"/>
      <c r="O981" s="336"/>
      <c r="P981" s="219"/>
      <c r="Q981" s="332"/>
      <c r="R981" s="219"/>
      <c r="S981" s="332"/>
      <c r="T981" s="219"/>
      <c r="U981" s="332"/>
      <c r="V981" s="332"/>
      <c r="W981" s="370"/>
      <c r="X981" s="370"/>
      <c r="Y981" s="370"/>
      <c r="Z981" s="370"/>
      <c r="AA981" s="370"/>
      <c r="AB981" s="370"/>
      <c r="AC981" s="370"/>
      <c r="AD981" s="370"/>
      <c r="AE981" s="370"/>
      <c r="AF981" s="370"/>
      <c r="AG981" s="370"/>
      <c r="AH981" s="370"/>
      <c r="AI981" s="370"/>
      <c r="AJ981" s="370"/>
      <c r="AL981" s="219"/>
      <c r="AM981" s="219"/>
      <c r="AN981" s="219"/>
      <c r="AO981" s="116"/>
      <c r="AP981" s="116"/>
      <c r="AU981" s="332"/>
      <c r="AV981" s="332"/>
      <c r="AW981" s="332"/>
      <c r="AX981" s="332"/>
      <c r="AY981" s="332"/>
      <c r="AZ981" s="332"/>
      <c r="BA981" s="332"/>
      <c r="BB981" s="31"/>
      <c r="BC981" s="31"/>
      <c r="BD981" s="31"/>
      <c r="BE981" s="31"/>
    </row>
    <row r="982" spans="1:57" ht="13">
      <c r="A982" s="153"/>
      <c r="F982" s="153"/>
      <c r="G982" s="116"/>
      <c r="H982" s="116"/>
      <c r="I982" s="116"/>
      <c r="J982" s="116"/>
      <c r="K982" s="219"/>
      <c r="L982" s="116"/>
      <c r="M982" s="31"/>
      <c r="N982" s="336"/>
      <c r="O982" s="336"/>
      <c r="P982" s="219"/>
      <c r="Q982" s="332"/>
      <c r="R982" s="219"/>
      <c r="S982" s="332"/>
      <c r="T982" s="219"/>
      <c r="U982" s="332"/>
      <c r="V982" s="332"/>
      <c r="W982" s="370"/>
      <c r="X982" s="370"/>
      <c r="Y982" s="370"/>
      <c r="Z982" s="370"/>
      <c r="AA982" s="370"/>
      <c r="AB982" s="370"/>
      <c r="AC982" s="370"/>
      <c r="AD982" s="370"/>
      <c r="AE982" s="370"/>
      <c r="AF982" s="370"/>
      <c r="AG982" s="370"/>
      <c r="AH982" s="370"/>
      <c r="AI982" s="370"/>
      <c r="AJ982" s="370"/>
      <c r="AL982" s="219"/>
      <c r="AM982" s="219"/>
      <c r="AN982" s="219"/>
      <c r="AO982" s="116"/>
      <c r="AP982" s="116"/>
      <c r="AU982" s="332"/>
      <c r="AV982" s="332"/>
      <c r="AW982" s="332"/>
      <c r="AX982" s="332"/>
      <c r="AY982" s="332"/>
      <c r="AZ982" s="332"/>
      <c r="BA982" s="332"/>
      <c r="BB982" s="31"/>
      <c r="BC982" s="31"/>
      <c r="BD982" s="31"/>
      <c r="BE982" s="31"/>
    </row>
    <row r="983" spans="1:57" ht="13">
      <c r="A983" s="153"/>
      <c r="F983" s="153"/>
      <c r="G983" s="116"/>
      <c r="H983" s="116"/>
      <c r="I983" s="116"/>
      <c r="J983" s="116"/>
      <c r="K983" s="219"/>
      <c r="L983" s="116"/>
      <c r="M983" s="31"/>
      <c r="N983" s="336"/>
      <c r="O983" s="336"/>
      <c r="P983" s="219"/>
      <c r="Q983" s="332"/>
      <c r="R983" s="219"/>
      <c r="S983" s="332"/>
      <c r="T983" s="219"/>
      <c r="U983" s="332"/>
      <c r="V983" s="332"/>
      <c r="W983" s="370"/>
      <c r="X983" s="370"/>
      <c r="Y983" s="370"/>
      <c r="Z983" s="370"/>
      <c r="AA983" s="370"/>
      <c r="AB983" s="370"/>
      <c r="AC983" s="370"/>
      <c r="AD983" s="370"/>
      <c r="AE983" s="370"/>
      <c r="AF983" s="370"/>
      <c r="AG983" s="370"/>
      <c r="AH983" s="370"/>
      <c r="AI983" s="370"/>
      <c r="AJ983" s="370"/>
      <c r="AL983" s="219"/>
      <c r="AM983" s="219"/>
      <c r="AN983" s="219"/>
      <c r="AO983" s="116"/>
      <c r="AP983" s="116"/>
      <c r="AU983" s="332"/>
      <c r="AV983" s="332"/>
      <c r="AW983" s="332"/>
      <c r="AX983" s="332"/>
      <c r="AY983" s="332"/>
      <c r="AZ983" s="332"/>
      <c r="BA983" s="332"/>
      <c r="BB983" s="31"/>
      <c r="BC983" s="31"/>
      <c r="BD983" s="31"/>
      <c r="BE983" s="31"/>
    </row>
    <row r="984" spans="1:57" ht="13">
      <c r="A984" s="153"/>
      <c r="F984" s="153"/>
      <c r="G984" s="116"/>
      <c r="H984" s="116"/>
      <c r="I984" s="116"/>
      <c r="J984" s="116"/>
      <c r="K984" s="219"/>
      <c r="L984" s="116"/>
      <c r="M984" s="31"/>
      <c r="N984" s="336"/>
      <c r="O984" s="336"/>
      <c r="P984" s="219"/>
      <c r="Q984" s="332"/>
      <c r="R984" s="219"/>
      <c r="S984" s="332"/>
      <c r="T984" s="219"/>
      <c r="U984" s="332"/>
      <c r="V984" s="332"/>
      <c r="W984" s="370"/>
      <c r="X984" s="370"/>
      <c r="Y984" s="370"/>
      <c r="Z984" s="370"/>
      <c r="AA984" s="370"/>
      <c r="AB984" s="370"/>
      <c r="AC984" s="370"/>
      <c r="AD984" s="370"/>
      <c r="AE984" s="370"/>
      <c r="AF984" s="370"/>
      <c r="AG984" s="370"/>
      <c r="AH984" s="370"/>
      <c r="AI984" s="370"/>
      <c r="AJ984" s="370"/>
      <c r="AL984" s="219"/>
      <c r="AM984" s="219"/>
      <c r="AN984" s="219"/>
      <c r="AO984" s="116"/>
      <c r="AP984" s="116"/>
      <c r="AU984" s="332"/>
      <c r="AV984" s="332"/>
      <c r="AW984" s="332"/>
      <c r="AX984" s="332"/>
      <c r="AY984" s="332"/>
      <c r="AZ984" s="332"/>
      <c r="BA984" s="332"/>
      <c r="BB984" s="31"/>
      <c r="BC984" s="31"/>
      <c r="BD984" s="31"/>
      <c r="BE984" s="31"/>
    </row>
    <row r="985" spans="1:57" ht="13">
      <c r="A985" s="153"/>
      <c r="F985" s="153"/>
      <c r="G985" s="116"/>
      <c r="H985" s="116"/>
      <c r="I985" s="116"/>
      <c r="J985" s="116"/>
      <c r="K985" s="219"/>
      <c r="L985" s="116"/>
      <c r="M985" s="31"/>
      <c r="N985" s="336"/>
      <c r="O985" s="336"/>
      <c r="P985" s="219"/>
      <c r="Q985" s="332"/>
      <c r="R985" s="219"/>
      <c r="S985" s="332"/>
      <c r="T985" s="219"/>
      <c r="U985" s="332"/>
      <c r="V985" s="332"/>
      <c r="W985" s="370"/>
      <c r="X985" s="370"/>
      <c r="Y985" s="370"/>
      <c r="Z985" s="370"/>
      <c r="AA985" s="370"/>
      <c r="AB985" s="370"/>
      <c r="AC985" s="370"/>
      <c r="AD985" s="370"/>
      <c r="AE985" s="370"/>
      <c r="AF985" s="370"/>
      <c r="AG985" s="370"/>
      <c r="AH985" s="370"/>
      <c r="AI985" s="370"/>
      <c r="AJ985" s="370"/>
      <c r="AL985" s="219"/>
      <c r="AM985" s="219"/>
      <c r="AN985" s="219"/>
      <c r="AO985" s="116"/>
      <c r="AP985" s="116"/>
      <c r="AU985" s="332"/>
      <c r="AV985" s="332"/>
      <c r="AW985" s="332"/>
      <c r="AX985" s="332"/>
      <c r="AY985" s="332"/>
      <c r="AZ985" s="332"/>
      <c r="BA985" s="332"/>
      <c r="BB985" s="31"/>
      <c r="BC985" s="31"/>
      <c r="BD985" s="31"/>
      <c r="BE985" s="31"/>
    </row>
    <row r="986" spans="1:57" ht="13">
      <c r="A986" s="153"/>
      <c r="F986" s="153"/>
      <c r="G986" s="116"/>
      <c r="H986" s="116"/>
      <c r="I986" s="116"/>
      <c r="J986" s="116"/>
      <c r="K986" s="219"/>
      <c r="L986" s="116"/>
      <c r="M986" s="31"/>
      <c r="N986" s="336"/>
      <c r="O986" s="336"/>
      <c r="P986" s="219"/>
      <c r="Q986" s="332"/>
      <c r="R986" s="219"/>
      <c r="S986" s="332"/>
      <c r="T986" s="219"/>
      <c r="U986" s="332"/>
      <c r="V986" s="332"/>
      <c r="W986" s="370"/>
      <c r="X986" s="370"/>
      <c r="Y986" s="370"/>
      <c r="Z986" s="370"/>
      <c r="AA986" s="370"/>
      <c r="AB986" s="370"/>
      <c r="AC986" s="370"/>
      <c r="AD986" s="370"/>
      <c r="AE986" s="370"/>
      <c r="AF986" s="370"/>
      <c r="AG986" s="370"/>
      <c r="AH986" s="370"/>
      <c r="AI986" s="370"/>
      <c r="AJ986" s="370"/>
      <c r="AL986" s="219"/>
      <c r="AM986" s="219"/>
      <c r="AN986" s="219"/>
      <c r="AO986" s="116"/>
      <c r="AP986" s="116"/>
      <c r="AU986" s="332"/>
      <c r="AV986" s="332"/>
      <c r="AW986" s="332"/>
      <c r="AX986" s="332"/>
      <c r="AY986" s="332"/>
      <c r="AZ986" s="332"/>
      <c r="BA986" s="332"/>
      <c r="BB986" s="31"/>
      <c r="BC986" s="31"/>
      <c r="BD986" s="31"/>
      <c r="BE986" s="31"/>
    </row>
    <row r="987" spans="1:57" ht="13">
      <c r="A987" s="153"/>
      <c r="F987" s="153"/>
      <c r="G987" s="116"/>
      <c r="H987" s="116"/>
      <c r="I987" s="116"/>
      <c r="J987" s="116"/>
      <c r="K987" s="219"/>
      <c r="L987" s="116"/>
      <c r="M987" s="31"/>
      <c r="N987" s="336"/>
      <c r="O987" s="336"/>
      <c r="P987" s="219"/>
      <c r="Q987" s="332"/>
      <c r="R987" s="219"/>
      <c r="S987" s="332"/>
      <c r="T987" s="219"/>
      <c r="U987" s="332"/>
      <c r="V987" s="332"/>
      <c r="W987" s="370"/>
      <c r="X987" s="370"/>
      <c r="Y987" s="370"/>
      <c r="Z987" s="370"/>
      <c r="AA987" s="370"/>
      <c r="AB987" s="370"/>
      <c r="AC987" s="370"/>
      <c r="AD987" s="370"/>
      <c r="AE987" s="370"/>
      <c r="AF987" s="370"/>
      <c r="AG987" s="370"/>
      <c r="AH987" s="370"/>
      <c r="AI987" s="370"/>
      <c r="AJ987" s="370"/>
      <c r="AL987" s="219"/>
      <c r="AM987" s="219"/>
      <c r="AN987" s="219"/>
      <c r="AO987" s="116"/>
      <c r="AP987" s="116"/>
      <c r="AU987" s="332"/>
      <c r="AV987" s="332"/>
      <c r="AW987" s="332"/>
      <c r="AX987" s="332"/>
      <c r="AY987" s="332"/>
      <c r="AZ987" s="332"/>
      <c r="BA987" s="332"/>
      <c r="BB987" s="31"/>
      <c r="BC987" s="31"/>
      <c r="BD987" s="31"/>
      <c r="BE987" s="31"/>
    </row>
    <row r="988" spans="1:57" ht="13">
      <c r="A988" s="153"/>
      <c r="F988" s="153"/>
      <c r="G988" s="116"/>
      <c r="H988" s="116"/>
      <c r="I988" s="116"/>
      <c r="J988" s="116"/>
      <c r="K988" s="219"/>
      <c r="L988" s="116"/>
      <c r="M988" s="31"/>
      <c r="N988" s="336"/>
      <c r="O988" s="336"/>
      <c r="P988" s="219"/>
      <c r="Q988" s="332"/>
      <c r="R988" s="219"/>
      <c r="S988" s="332"/>
      <c r="T988" s="219"/>
      <c r="U988" s="332"/>
      <c r="V988" s="332"/>
      <c r="W988" s="370"/>
      <c r="X988" s="370"/>
      <c r="Y988" s="370"/>
      <c r="Z988" s="370"/>
      <c r="AA988" s="370"/>
      <c r="AB988" s="370"/>
      <c r="AC988" s="370"/>
      <c r="AD988" s="370"/>
      <c r="AE988" s="370"/>
      <c r="AF988" s="370"/>
      <c r="AG988" s="370"/>
      <c r="AH988" s="370"/>
      <c r="AI988" s="370"/>
      <c r="AJ988" s="370"/>
      <c r="AL988" s="219"/>
      <c r="AM988" s="219"/>
      <c r="AN988" s="219"/>
      <c r="AO988" s="116"/>
      <c r="AP988" s="116"/>
      <c r="AU988" s="332"/>
      <c r="AV988" s="332"/>
      <c r="AW988" s="332"/>
      <c r="AX988" s="332"/>
      <c r="AY988" s="332"/>
      <c r="AZ988" s="332"/>
      <c r="BA988" s="332"/>
      <c r="BB988" s="31"/>
      <c r="BC988" s="31"/>
      <c r="BD988" s="31"/>
      <c r="BE988" s="31"/>
    </row>
    <row r="989" spans="1:57" ht="13">
      <c r="A989" s="153"/>
      <c r="F989" s="153"/>
      <c r="G989" s="116"/>
      <c r="H989" s="116"/>
      <c r="I989" s="116"/>
      <c r="J989" s="116"/>
      <c r="K989" s="219"/>
      <c r="L989" s="116"/>
      <c r="M989" s="31"/>
      <c r="N989" s="336"/>
      <c r="O989" s="336"/>
      <c r="P989" s="219"/>
      <c r="Q989" s="332"/>
      <c r="R989" s="219"/>
      <c r="S989" s="332"/>
      <c r="T989" s="219"/>
      <c r="U989" s="332"/>
      <c r="V989" s="332"/>
      <c r="W989" s="370"/>
      <c r="X989" s="370"/>
      <c r="Y989" s="370"/>
      <c r="Z989" s="370"/>
      <c r="AA989" s="370"/>
      <c r="AB989" s="370"/>
      <c r="AC989" s="370"/>
      <c r="AD989" s="370"/>
      <c r="AE989" s="370"/>
      <c r="AF989" s="370"/>
      <c r="AG989" s="370"/>
      <c r="AH989" s="370"/>
      <c r="AI989" s="370"/>
      <c r="AJ989" s="370"/>
      <c r="AL989" s="219"/>
      <c r="AM989" s="219"/>
      <c r="AN989" s="219"/>
      <c r="AO989" s="116"/>
      <c r="AP989" s="116"/>
      <c r="AU989" s="332"/>
      <c r="AV989" s="332"/>
      <c r="AW989" s="332"/>
      <c r="AX989" s="332"/>
      <c r="AY989" s="332"/>
      <c r="AZ989" s="332"/>
      <c r="BA989" s="332"/>
      <c r="BB989" s="31"/>
      <c r="BC989" s="31"/>
      <c r="BD989" s="31"/>
      <c r="BE989" s="31"/>
    </row>
    <row r="990" spans="1:57" ht="13">
      <c r="A990" s="153"/>
      <c r="F990" s="153"/>
      <c r="G990" s="116"/>
      <c r="H990" s="116"/>
      <c r="I990" s="116"/>
      <c r="J990" s="116"/>
      <c r="K990" s="219"/>
      <c r="L990" s="116"/>
      <c r="M990" s="31"/>
      <c r="N990" s="336"/>
      <c r="O990" s="336"/>
      <c r="P990" s="219"/>
      <c r="Q990" s="332"/>
      <c r="R990" s="219"/>
      <c r="S990" s="332"/>
      <c r="T990" s="219"/>
      <c r="U990" s="332"/>
      <c r="V990" s="332"/>
      <c r="W990" s="370"/>
      <c r="X990" s="370"/>
      <c r="Y990" s="370"/>
      <c r="Z990" s="370"/>
      <c r="AA990" s="370"/>
      <c r="AB990" s="370"/>
      <c r="AC990" s="370"/>
      <c r="AD990" s="370"/>
      <c r="AE990" s="370"/>
      <c r="AF990" s="370"/>
      <c r="AG990" s="370"/>
      <c r="AH990" s="370"/>
      <c r="AI990" s="370"/>
      <c r="AJ990" s="370"/>
      <c r="AL990" s="219"/>
      <c r="AM990" s="219"/>
      <c r="AN990" s="219"/>
      <c r="AO990" s="116"/>
      <c r="AP990" s="116"/>
      <c r="AU990" s="332"/>
      <c r="AV990" s="332"/>
      <c r="AW990" s="332"/>
      <c r="AX990" s="332"/>
      <c r="AY990" s="332"/>
      <c r="AZ990" s="332"/>
      <c r="BA990" s="332"/>
      <c r="BB990" s="31"/>
      <c r="BC990" s="31"/>
      <c r="BD990" s="31"/>
      <c r="BE990" s="31"/>
    </row>
    <row r="991" spans="1:57" ht="13">
      <c r="A991" s="153"/>
      <c r="F991" s="153"/>
      <c r="G991" s="116"/>
      <c r="H991" s="116"/>
      <c r="I991" s="116"/>
      <c r="J991" s="116"/>
      <c r="K991" s="219"/>
      <c r="L991" s="116"/>
      <c r="M991" s="31"/>
      <c r="N991" s="336"/>
      <c r="O991" s="336"/>
      <c r="P991" s="219"/>
      <c r="Q991" s="332"/>
      <c r="R991" s="219"/>
      <c r="S991" s="332"/>
      <c r="T991" s="219"/>
      <c r="U991" s="332"/>
      <c r="V991" s="332"/>
      <c r="W991" s="370"/>
      <c r="X991" s="370"/>
      <c r="Y991" s="370"/>
      <c r="Z991" s="370"/>
      <c r="AA991" s="370"/>
      <c r="AB991" s="370"/>
      <c r="AC991" s="370"/>
      <c r="AD991" s="370"/>
      <c r="AE991" s="370"/>
      <c r="AF991" s="370"/>
      <c r="AG991" s="370"/>
      <c r="AH991" s="370"/>
      <c r="AI991" s="370"/>
      <c r="AJ991" s="370"/>
      <c r="AL991" s="219"/>
      <c r="AM991" s="219"/>
      <c r="AN991" s="219"/>
      <c r="AO991" s="116"/>
      <c r="AP991" s="116"/>
      <c r="AU991" s="332"/>
      <c r="AV991" s="332"/>
      <c r="AW991" s="332"/>
      <c r="AX991" s="332"/>
      <c r="AY991" s="332"/>
      <c r="AZ991" s="332"/>
      <c r="BA991" s="332"/>
      <c r="BB991" s="31"/>
      <c r="BC991" s="31"/>
      <c r="BD991" s="31"/>
      <c r="BE991" s="31"/>
    </row>
    <row r="992" spans="1:57" ht="13">
      <c r="A992" s="153"/>
      <c r="F992" s="153"/>
      <c r="G992" s="116"/>
      <c r="H992" s="116"/>
      <c r="I992" s="116"/>
      <c r="J992" s="116"/>
      <c r="K992" s="219"/>
      <c r="L992" s="116"/>
      <c r="M992" s="31"/>
      <c r="N992" s="336"/>
      <c r="O992" s="336"/>
      <c r="P992" s="219"/>
      <c r="Q992" s="332"/>
      <c r="R992" s="219"/>
      <c r="S992" s="332"/>
      <c r="T992" s="219"/>
      <c r="U992" s="332"/>
      <c r="V992" s="332"/>
      <c r="W992" s="370"/>
      <c r="X992" s="370"/>
      <c r="Y992" s="370"/>
      <c r="Z992" s="370"/>
      <c r="AA992" s="370"/>
      <c r="AB992" s="370"/>
      <c r="AC992" s="370"/>
      <c r="AD992" s="370"/>
      <c r="AE992" s="370"/>
      <c r="AF992" s="370"/>
      <c r="AG992" s="370"/>
      <c r="AH992" s="370"/>
      <c r="AI992" s="370"/>
      <c r="AJ992" s="370"/>
      <c r="AL992" s="219"/>
      <c r="AM992" s="219"/>
      <c r="AN992" s="219"/>
      <c r="AO992" s="116"/>
      <c r="AP992" s="116"/>
      <c r="AU992" s="332"/>
      <c r="AV992" s="332"/>
      <c r="AW992" s="332"/>
      <c r="AX992" s="332"/>
      <c r="AY992" s="332"/>
      <c r="AZ992" s="332"/>
      <c r="BA992" s="332"/>
      <c r="BB992" s="31"/>
      <c r="BC992" s="31"/>
      <c r="BD992" s="31"/>
      <c r="BE992" s="31"/>
    </row>
    <row r="993" spans="1:57" ht="13">
      <c r="A993" s="153"/>
      <c r="F993" s="153"/>
      <c r="G993" s="116"/>
      <c r="H993" s="116"/>
      <c r="I993" s="116"/>
      <c r="J993" s="116"/>
      <c r="K993" s="219"/>
      <c r="L993" s="116"/>
      <c r="M993" s="31"/>
      <c r="N993" s="336"/>
      <c r="O993" s="336"/>
      <c r="P993" s="219"/>
      <c r="Q993" s="332"/>
      <c r="R993" s="219"/>
      <c r="S993" s="332"/>
      <c r="T993" s="219"/>
      <c r="U993" s="332"/>
      <c r="V993" s="332"/>
      <c r="W993" s="370"/>
      <c r="X993" s="370"/>
      <c r="Y993" s="370"/>
      <c r="Z993" s="370"/>
      <c r="AA993" s="370"/>
      <c r="AB993" s="370"/>
      <c r="AC993" s="370"/>
      <c r="AD993" s="370"/>
      <c r="AE993" s="370"/>
      <c r="AF993" s="370"/>
      <c r="AG993" s="370"/>
      <c r="AH993" s="370"/>
      <c r="AI993" s="370"/>
      <c r="AJ993" s="370"/>
      <c r="AL993" s="219"/>
      <c r="AM993" s="219"/>
      <c r="AN993" s="219"/>
      <c r="AO993" s="116"/>
      <c r="AP993" s="116"/>
      <c r="AU993" s="332"/>
      <c r="AV993" s="332"/>
      <c r="AW993" s="332"/>
      <c r="AX993" s="332"/>
      <c r="AY993" s="332"/>
      <c r="AZ993" s="332"/>
      <c r="BA993" s="332"/>
      <c r="BB993" s="31"/>
      <c r="BC993" s="31"/>
      <c r="BD993" s="31"/>
      <c r="BE993" s="31"/>
    </row>
    <row r="994" spans="1:57" ht="13">
      <c r="A994" s="153"/>
      <c r="F994" s="153"/>
      <c r="G994" s="116"/>
      <c r="H994" s="116"/>
      <c r="I994" s="116"/>
      <c r="J994" s="116"/>
      <c r="K994" s="219"/>
      <c r="L994" s="116"/>
      <c r="M994" s="31"/>
      <c r="N994" s="336"/>
      <c r="O994" s="336"/>
      <c r="P994" s="219"/>
      <c r="Q994" s="332"/>
      <c r="R994" s="219"/>
      <c r="S994" s="332"/>
      <c r="T994" s="219"/>
      <c r="U994" s="332"/>
      <c r="V994" s="332"/>
      <c r="W994" s="370"/>
      <c r="X994" s="370"/>
      <c r="Y994" s="370"/>
      <c r="Z994" s="370"/>
      <c r="AA994" s="370"/>
      <c r="AB994" s="370"/>
      <c r="AC994" s="370"/>
      <c r="AD994" s="370"/>
      <c r="AE994" s="370"/>
      <c r="AF994" s="370"/>
      <c r="AG994" s="370"/>
      <c r="AH994" s="370"/>
      <c r="AI994" s="370"/>
      <c r="AJ994" s="370"/>
      <c r="AL994" s="219"/>
      <c r="AM994" s="219"/>
      <c r="AN994" s="219"/>
      <c r="AO994" s="116"/>
      <c r="AP994" s="116"/>
      <c r="AU994" s="332"/>
      <c r="AV994" s="332"/>
      <c r="AW994" s="332"/>
      <c r="AX994" s="332"/>
      <c r="AY994" s="332"/>
      <c r="AZ994" s="332"/>
      <c r="BA994" s="332"/>
      <c r="BB994" s="31"/>
      <c r="BC994" s="31"/>
      <c r="BD994" s="31"/>
      <c r="BE994" s="31"/>
    </row>
    <row r="995" spans="1:57" ht="13">
      <c r="A995" s="153"/>
      <c r="F995" s="153"/>
      <c r="G995" s="116"/>
      <c r="H995" s="116"/>
      <c r="I995" s="116"/>
      <c r="J995" s="116"/>
      <c r="K995" s="219"/>
      <c r="L995" s="116"/>
      <c r="M995" s="31"/>
      <c r="N995" s="336"/>
      <c r="O995" s="336"/>
      <c r="P995" s="219"/>
      <c r="Q995" s="332"/>
      <c r="R995" s="219"/>
      <c r="S995" s="332"/>
      <c r="T995" s="219"/>
      <c r="U995" s="332"/>
      <c r="V995" s="332"/>
      <c r="W995" s="370"/>
      <c r="X995" s="370"/>
      <c r="Y995" s="370"/>
      <c r="Z995" s="370"/>
      <c r="AA995" s="370"/>
      <c r="AB995" s="370"/>
      <c r="AC995" s="370"/>
      <c r="AD995" s="370"/>
      <c r="AE995" s="370"/>
      <c r="AF995" s="370"/>
      <c r="AG995" s="370"/>
      <c r="AH995" s="370"/>
      <c r="AI995" s="370"/>
      <c r="AJ995" s="370"/>
      <c r="AL995" s="219"/>
      <c r="AM995" s="219"/>
      <c r="AN995" s="219"/>
      <c r="AO995" s="116"/>
      <c r="AP995" s="116"/>
      <c r="AU995" s="332"/>
      <c r="AV995" s="332"/>
      <c r="AW995" s="332"/>
      <c r="AX995" s="332"/>
      <c r="AY995" s="332"/>
      <c r="AZ995" s="332"/>
      <c r="BA995" s="332"/>
      <c r="BB995" s="31"/>
      <c r="BC995" s="31"/>
      <c r="BD995" s="31"/>
      <c r="BE995" s="31"/>
    </row>
    <row r="996" spans="1:57" ht="13">
      <c r="A996" s="153"/>
      <c r="F996" s="153"/>
      <c r="G996" s="116"/>
      <c r="H996" s="116"/>
      <c r="I996" s="116"/>
      <c r="J996" s="116"/>
      <c r="K996" s="219"/>
      <c r="L996" s="116"/>
      <c r="M996" s="31"/>
      <c r="N996" s="336"/>
      <c r="O996" s="336"/>
      <c r="P996" s="219"/>
      <c r="Q996" s="332"/>
      <c r="R996" s="219"/>
      <c r="S996" s="332"/>
      <c r="T996" s="219"/>
      <c r="U996" s="332"/>
      <c r="V996" s="332"/>
      <c r="W996" s="370"/>
      <c r="X996" s="370"/>
      <c r="Y996" s="370"/>
      <c r="Z996" s="370"/>
      <c r="AA996" s="370"/>
      <c r="AB996" s="370"/>
      <c r="AC996" s="370"/>
      <c r="AD996" s="370"/>
      <c r="AE996" s="370"/>
      <c r="AF996" s="370"/>
      <c r="AG996" s="370"/>
      <c r="AH996" s="370"/>
      <c r="AI996" s="370"/>
      <c r="AJ996" s="370"/>
      <c r="AL996" s="219"/>
      <c r="AM996" s="219"/>
      <c r="AN996" s="219"/>
      <c r="AO996" s="116"/>
      <c r="AP996" s="116"/>
      <c r="AU996" s="332"/>
      <c r="AV996" s="332"/>
      <c r="AW996" s="332"/>
      <c r="AX996" s="332"/>
      <c r="AY996" s="332"/>
      <c r="AZ996" s="332"/>
      <c r="BA996" s="332"/>
      <c r="BB996" s="31"/>
      <c r="BC996" s="31"/>
      <c r="BD996" s="31"/>
      <c r="BE996" s="31"/>
    </row>
    <row r="997" spans="1:57" ht="13">
      <c r="A997" s="153"/>
      <c r="F997" s="153"/>
      <c r="G997" s="116"/>
      <c r="H997" s="116"/>
      <c r="I997" s="116"/>
      <c r="J997" s="116"/>
      <c r="K997" s="219"/>
      <c r="L997" s="116"/>
      <c r="M997" s="31"/>
      <c r="N997" s="336"/>
      <c r="O997" s="336"/>
      <c r="P997" s="219"/>
      <c r="Q997" s="332"/>
      <c r="R997" s="219"/>
      <c r="S997" s="332"/>
      <c r="T997" s="219"/>
      <c r="U997" s="332"/>
      <c r="V997" s="332"/>
      <c r="W997" s="370"/>
      <c r="X997" s="370"/>
      <c r="Y997" s="370"/>
      <c r="Z997" s="370"/>
      <c r="AA997" s="370"/>
      <c r="AB997" s="370"/>
      <c r="AC997" s="370"/>
      <c r="AD997" s="370"/>
      <c r="AE997" s="370"/>
      <c r="AF997" s="370"/>
      <c r="AG997" s="370"/>
      <c r="AH997" s="370"/>
      <c r="AI997" s="370"/>
      <c r="AJ997" s="370"/>
      <c r="AL997" s="219"/>
      <c r="AM997" s="219"/>
      <c r="AN997" s="219"/>
      <c r="AO997" s="116"/>
      <c r="AP997" s="116"/>
      <c r="AU997" s="332"/>
      <c r="AV997" s="332"/>
      <c r="AW997" s="332"/>
      <c r="AX997" s="332"/>
      <c r="AY997" s="332"/>
      <c r="AZ997" s="332"/>
      <c r="BA997" s="332"/>
      <c r="BB997" s="31"/>
      <c r="BC997" s="31"/>
      <c r="BD997" s="31"/>
      <c r="BE997" s="31"/>
    </row>
    <row r="998" spans="1:57" ht="13">
      <c r="A998" s="153"/>
      <c r="F998" s="153"/>
      <c r="G998" s="116"/>
      <c r="H998" s="116"/>
      <c r="I998" s="116"/>
      <c r="J998" s="116"/>
      <c r="K998" s="219"/>
      <c r="L998" s="116"/>
      <c r="M998" s="31"/>
      <c r="N998" s="336"/>
      <c r="O998" s="336"/>
      <c r="P998" s="219"/>
      <c r="Q998" s="332"/>
      <c r="R998" s="219"/>
      <c r="S998" s="332"/>
      <c r="T998" s="219"/>
      <c r="U998" s="332"/>
      <c r="V998" s="332"/>
      <c r="W998" s="370"/>
      <c r="X998" s="370"/>
      <c r="Y998" s="370"/>
      <c r="Z998" s="370"/>
      <c r="AA998" s="370"/>
      <c r="AB998" s="370"/>
      <c r="AC998" s="370"/>
      <c r="AD998" s="370"/>
      <c r="AE998" s="370"/>
      <c r="AF998" s="370"/>
      <c r="AG998" s="370"/>
      <c r="AH998" s="370"/>
      <c r="AI998" s="370"/>
      <c r="AJ998" s="370"/>
      <c r="AL998" s="219"/>
      <c r="AM998" s="219"/>
      <c r="AN998" s="219"/>
      <c r="AO998" s="116"/>
      <c r="AP998" s="116"/>
      <c r="AU998" s="332"/>
      <c r="AV998" s="332"/>
      <c r="AW998" s="332"/>
      <c r="AX998" s="332"/>
      <c r="AY998" s="332"/>
      <c r="AZ998" s="332"/>
      <c r="BA998" s="332"/>
      <c r="BB998" s="31"/>
      <c r="BC998" s="31"/>
      <c r="BD998" s="31"/>
      <c r="BE998" s="31"/>
    </row>
    <row r="999" spans="1:57" ht="13">
      <c r="A999" s="153"/>
      <c r="F999" s="153"/>
      <c r="G999" s="116"/>
      <c r="H999" s="116"/>
      <c r="I999" s="116"/>
      <c r="J999" s="116"/>
      <c r="K999" s="219"/>
      <c r="L999" s="116"/>
      <c r="M999" s="31"/>
      <c r="N999" s="336"/>
      <c r="O999" s="336"/>
      <c r="P999" s="219"/>
      <c r="Q999" s="332"/>
      <c r="R999" s="219"/>
      <c r="S999" s="332"/>
      <c r="T999" s="219"/>
      <c r="U999" s="332"/>
      <c r="V999" s="332"/>
      <c r="W999" s="370"/>
      <c r="X999" s="370"/>
      <c r="Y999" s="370"/>
      <c r="Z999" s="370"/>
      <c r="AA999" s="370"/>
      <c r="AB999" s="370"/>
      <c r="AC999" s="370"/>
      <c r="AD999" s="370"/>
      <c r="AE999" s="370"/>
      <c r="AF999" s="370"/>
      <c r="AG999" s="370"/>
      <c r="AH999" s="370"/>
      <c r="AI999" s="370"/>
      <c r="AJ999" s="370"/>
      <c r="AL999" s="219"/>
      <c r="AM999" s="219"/>
      <c r="AN999" s="219"/>
      <c r="AO999" s="116"/>
      <c r="AP999" s="116"/>
      <c r="AU999" s="332"/>
      <c r="AV999" s="332"/>
      <c r="AW999" s="332"/>
      <c r="AX999" s="332"/>
      <c r="AY999" s="332"/>
      <c r="AZ999" s="332"/>
      <c r="BA999" s="332"/>
      <c r="BB999" s="31"/>
      <c r="BC999" s="31"/>
      <c r="BD999" s="31"/>
      <c r="BE999" s="31"/>
    </row>
    <row r="1000" spans="1:57" ht="13">
      <c r="A1000" s="153"/>
      <c r="F1000" s="153"/>
      <c r="G1000" s="116"/>
      <c r="H1000" s="116"/>
      <c r="I1000" s="116"/>
      <c r="J1000" s="116"/>
      <c r="K1000" s="219"/>
      <c r="L1000" s="116"/>
      <c r="M1000" s="31"/>
      <c r="N1000" s="336"/>
      <c r="O1000" s="336"/>
      <c r="P1000" s="219"/>
      <c r="Q1000" s="332"/>
      <c r="R1000" s="219"/>
      <c r="S1000" s="332"/>
      <c r="T1000" s="219"/>
      <c r="U1000" s="332"/>
      <c r="V1000" s="332"/>
      <c r="W1000" s="370"/>
      <c r="X1000" s="370"/>
      <c r="Y1000" s="370"/>
      <c r="Z1000" s="370"/>
      <c r="AA1000" s="370"/>
      <c r="AB1000" s="370"/>
      <c r="AC1000" s="370"/>
      <c r="AD1000" s="370"/>
      <c r="AE1000" s="370"/>
      <c r="AF1000" s="370"/>
      <c r="AG1000" s="370"/>
      <c r="AH1000" s="370"/>
      <c r="AI1000" s="370"/>
      <c r="AJ1000" s="370"/>
      <c r="AL1000" s="219"/>
      <c r="AM1000" s="219"/>
      <c r="AN1000" s="219"/>
      <c r="AO1000" s="116"/>
      <c r="AP1000" s="116"/>
      <c r="AU1000" s="332"/>
      <c r="AV1000" s="332"/>
      <c r="AW1000" s="332"/>
      <c r="AX1000" s="332"/>
      <c r="AY1000" s="332"/>
      <c r="AZ1000" s="332"/>
      <c r="BA1000" s="332"/>
      <c r="BB1000" s="31"/>
      <c r="BC1000" s="31"/>
      <c r="BD1000" s="31"/>
      <c r="BE1000" s="31"/>
    </row>
    <row r="1001" spans="1:57" ht="13">
      <c r="A1001" s="153"/>
      <c r="F1001" s="153"/>
      <c r="G1001" s="116"/>
      <c r="H1001" s="116"/>
      <c r="I1001" s="116"/>
      <c r="J1001" s="116"/>
      <c r="K1001" s="219"/>
      <c r="L1001" s="116"/>
      <c r="M1001" s="31"/>
      <c r="N1001" s="336"/>
      <c r="O1001" s="336"/>
      <c r="P1001" s="219"/>
      <c r="Q1001" s="332"/>
      <c r="R1001" s="219"/>
      <c r="S1001" s="332"/>
      <c r="T1001" s="219"/>
      <c r="U1001" s="332"/>
      <c r="V1001" s="332"/>
      <c r="W1001" s="370"/>
      <c r="X1001" s="370"/>
      <c r="Y1001" s="370"/>
      <c r="Z1001" s="370"/>
      <c r="AA1001" s="370"/>
      <c r="AB1001" s="370"/>
      <c r="AC1001" s="370"/>
      <c r="AD1001" s="370"/>
      <c r="AE1001" s="370"/>
      <c r="AF1001" s="370"/>
      <c r="AG1001" s="370"/>
      <c r="AH1001" s="370"/>
      <c r="AI1001" s="370"/>
      <c r="AJ1001" s="370"/>
      <c r="AL1001" s="219"/>
      <c r="AM1001" s="219"/>
      <c r="AN1001" s="219"/>
      <c r="AO1001" s="116"/>
      <c r="AP1001" s="116"/>
      <c r="AU1001" s="332"/>
      <c r="AV1001" s="332"/>
      <c r="AW1001" s="332"/>
      <c r="AX1001" s="332"/>
      <c r="AY1001" s="332"/>
      <c r="AZ1001" s="332"/>
      <c r="BA1001" s="332"/>
      <c r="BB1001" s="31"/>
      <c r="BC1001" s="31"/>
      <c r="BD1001" s="31"/>
      <c r="BE1001" s="31"/>
    </row>
    <row r="1002" spans="1:57" ht="13">
      <c r="A1002" s="153"/>
      <c r="F1002" s="153"/>
      <c r="G1002" s="116"/>
      <c r="H1002" s="116"/>
      <c r="I1002" s="116"/>
      <c r="J1002" s="116"/>
      <c r="K1002" s="219"/>
      <c r="L1002" s="116"/>
      <c r="M1002" s="31"/>
      <c r="N1002" s="336"/>
      <c r="O1002" s="336"/>
      <c r="P1002" s="219"/>
      <c r="Q1002" s="332"/>
      <c r="R1002" s="219"/>
      <c r="S1002" s="332"/>
      <c r="T1002" s="219"/>
      <c r="U1002" s="332"/>
      <c r="V1002" s="332"/>
      <c r="W1002" s="370"/>
      <c r="X1002" s="370"/>
      <c r="Y1002" s="370"/>
      <c r="Z1002" s="370"/>
      <c r="AA1002" s="370"/>
      <c r="AB1002" s="370"/>
      <c r="AC1002" s="370"/>
      <c r="AD1002" s="370"/>
      <c r="AE1002" s="370"/>
      <c r="AF1002" s="370"/>
      <c r="AG1002" s="370"/>
      <c r="AH1002" s="370"/>
      <c r="AI1002" s="370"/>
      <c r="AJ1002" s="370"/>
      <c r="AL1002" s="219"/>
      <c r="AM1002" s="219"/>
      <c r="AN1002" s="219"/>
      <c r="AO1002" s="116"/>
      <c r="AP1002" s="116"/>
      <c r="AU1002" s="332"/>
      <c r="AV1002" s="332"/>
      <c r="AW1002" s="332"/>
      <c r="AX1002" s="332"/>
      <c r="AY1002" s="332"/>
      <c r="AZ1002" s="332"/>
      <c r="BA1002" s="332"/>
      <c r="BB1002" s="31"/>
      <c r="BC1002" s="31"/>
      <c r="BD1002" s="31"/>
      <c r="BE1002" s="31"/>
    </row>
    <row r="1003" spans="1:57" ht="13">
      <c r="A1003" s="153"/>
      <c r="F1003" s="153"/>
      <c r="G1003" s="116"/>
      <c r="H1003" s="116"/>
      <c r="I1003" s="116"/>
      <c r="J1003" s="116"/>
      <c r="K1003" s="219"/>
      <c r="L1003" s="116"/>
      <c r="M1003" s="31"/>
      <c r="N1003" s="336"/>
      <c r="O1003" s="336"/>
      <c r="P1003" s="219"/>
      <c r="Q1003" s="332"/>
      <c r="R1003" s="219"/>
      <c r="S1003" s="332"/>
      <c r="T1003" s="219"/>
      <c r="U1003" s="332"/>
      <c r="V1003" s="332"/>
      <c r="W1003" s="370"/>
      <c r="X1003" s="370"/>
      <c r="Y1003" s="370"/>
      <c r="Z1003" s="370"/>
      <c r="AA1003" s="370"/>
      <c r="AB1003" s="370"/>
      <c r="AC1003" s="370"/>
      <c r="AD1003" s="370"/>
      <c r="AE1003" s="370"/>
      <c r="AF1003" s="370"/>
      <c r="AG1003" s="370"/>
      <c r="AH1003" s="370"/>
      <c r="AI1003" s="370"/>
      <c r="AJ1003" s="370"/>
      <c r="AL1003" s="219"/>
      <c r="AM1003" s="219"/>
      <c r="AN1003" s="219"/>
      <c r="AO1003" s="116"/>
      <c r="AP1003" s="116"/>
      <c r="AU1003" s="332"/>
      <c r="AV1003" s="332"/>
      <c r="AW1003" s="332"/>
      <c r="AX1003" s="332"/>
      <c r="AY1003" s="332"/>
      <c r="AZ1003" s="332"/>
      <c r="BA1003" s="332"/>
      <c r="BB1003" s="31"/>
      <c r="BC1003" s="31"/>
      <c r="BD1003" s="31"/>
      <c r="BE1003" s="31"/>
    </row>
    <row r="1004" spans="1:57" ht="13">
      <c r="A1004" s="153"/>
      <c r="F1004" s="153"/>
      <c r="G1004" s="116"/>
      <c r="H1004" s="116"/>
      <c r="I1004" s="116"/>
      <c r="J1004" s="116"/>
      <c r="K1004" s="219"/>
      <c r="L1004" s="116"/>
      <c r="M1004" s="31"/>
      <c r="N1004" s="336"/>
      <c r="O1004" s="336"/>
      <c r="P1004" s="219"/>
      <c r="Q1004" s="332"/>
      <c r="R1004" s="219"/>
      <c r="S1004" s="332"/>
      <c r="T1004" s="219"/>
      <c r="U1004" s="332"/>
      <c r="V1004" s="332"/>
      <c r="W1004" s="370"/>
      <c r="X1004" s="370"/>
      <c r="Y1004" s="370"/>
      <c r="Z1004" s="370"/>
      <c r="AA1004" s="370"/>
      <c r="AB1004" s="370"/>
      <c r="AC1004" s="370"/>
      <c r="AD1004" s="370"/>
      <c r="AE1004" s="370"/>
      <c r="AF1004" s="370"/>
      <c r="AG1004" s="370"/>
      <c r="AH1004" s="370"/>
      <c r="AI1004" s="370"/>
      <c r="AJ1004" s="370"/>
      <c r="AL1004" s="219"/>
      <c r="AM1004" s="219"/>
      <c r="AN1004" s="219"/>
      <c r="AO1004" s="116"/>
      <c r="AP1004" s="116"/>
      <c r="AU1004" s="332"/>
      <c r="AV1004" s="332"/>
      <c r="AW1004" s="332"/>
      <c r="AX1004" s="332"/>
      <c r="AY1004" s="332"/>
      <c r="AZ1004" s="332"/>
      <c r="BA1004" s="332"/>
      <c r="BB1004" s="31"/>
      <c r="BC1004" s="31"/>
      <c r="BD1004" s="31"/>
      <c r="BE1004" s="31"/>
    </row>
    <row r="1005" spans="1:57" ht="13">
      <c r="A1005" s="153"/>
      <c r="F1005" s="153"/>
      <c r="G1005" s="116"/>
      <c r="H1005" s="116"/>
      <c r="I1005" s="116"/>
      <c r="J1005" s="116"/>
      <c r="K1005" s="219"/>
      <c r="L1005" s="116"/>
      <c r="M1005" s="31"/>
      <c r="N1005" s="336"/>
      <c r="O1005" s="336"/>
      <c r="P1005" s="219"/>
      <c r="Q1005" s="332"/>
      <c r="R1005" s="219"/>
      <c r="S1005" s="332"/>
      <c r="T1005" s="219"/>
      <c r="U1005" s="332"/>
      <c r="V1005" s="332"/>
      <c r="W1005" s="370"/>
      <c r="X1005" s="370"/>
      <c r="Y1005" s="370"/>
      <c r="Z1005" s="370"/>
      <c r="AA1005" s="370"/>
      <c r="AB1005" s="370"/>
      <c r="AC1005" s="370"/>
      <c r="AD1005" s="370"/>
      <c r="AE1005" s="370"/>
      <c r="AF1005" s="370"/>
      <c r="AG1005" s="370"/>
      <c r="AH1005" s="370"/>
      <c r="AI1005" s="370"/>
      <c r="AJ1005" s="370"/>
      <c r="AL1005" s="219"/>
      <c r="AM1005" s="219"/>
      <c r="AN1005" s="219"/>
      <c r="AO1005" s="116"/>
      <c r="AP1005" s="116"/>
      <c r="AU1005" s="332"/>
      <c r="AV1005" s="332"/>
      <c r="AW1005" s="332"/>
      <c r="AX1005" s="332"/>
      <c r="AY1005" s="332"/>
      <c r="AZ1005" s="332"/>
      <c r="BA1005" s="332"/>
      <c r="BB1005" s="31"/>
      <c r="BC1005" s="31"/>
      <c r="BD1005" s="31"/>
      <c r="BE1005" s="31"/>
    </row>
    <row r="1006" spans="1:57" ht="13">
      <c r="A1006" s="153"/>
      <c r="F1006" s="153"/>
      <c r="G1006" s="116"/>
      <c r="H1006" s="116"/>
      <c r="I1006" s="116"/>
      <c r="J1006" s="116"/>
      <c r="K1006" s="219"/>
      <c r="L1006" s="116"/>
      <c r="M1006" s="31"/>
      <c r="N1006" s="336"/>
      <c r="O1006" s="336"/>
      <c r="P1006" s="219"/>
      <c r="Q1006" s="332"/>
      <c r="R1006" s="219"/>
      <c r="S1006" s="332"/>
      <c r="T1006" s="219"/>
      <c r="U1006" s="332"/>
      <c r="V1006" s="332"/>
      <c r="W1006" s="370"/>
      <c r="X1006" s="370"/>
      <c r="Y1006" s="370"/>
      <c r="Z1006" s="370"/>
      <c r="AA1006" s="370"/>
      <c r="AB1006" s="370"/>
      <c r="AC1006" s="370"/>
      <c r="AD1006" s="370"/>
      <c r="AE1006" s="370"/>
      <c r="AF1006" s="370"/>
      <c r="AG1006" s="370"/>
      <c r="AH1006" s="370"/>
      <c r="AI1006" s="370"/>
      <c r="AJ1006" s="370"/>
      <c r="AL1006" s="219"/>
      <c r="AM1006" s="219"/>
      <c r="AN1006" s="219"/>
      <c r="AO1006" s="116"/>
      <c r="AP1006" s="116"/>
      <c r="AU1006" s="332"/>
      <c r="AV1006" s="332"/>
      <c r="AW1006" s="332"/>
      <c r="AX1006" s="332"/>
      <c r="AY1006" s="332"/>
      <c r="AZ1006" s="332"/>
      <c r="BA1006" s="332"/>
      <c r="BB1006" s="31"/>
      <c r="BC1006" s="31"/>
      <c r="BD1006" s="31"/>
      <c r="BE1006" s="31"/>
    </row>
    <row r="1007" spans="1:57" ht="13">
      <c r="A1007" s="153"/>
      <c r="F1007" s="153"/>
      <c r="G1007" s="116"/>
      <c r="H1007" s="116"/>
      <c r="I1007" s="116"/>
      <c r="J1007" s="116"/>
      <c r="K1007" s="219"/>
      <c r="L1007" s="116"/>
      <c r="M1007" s="31"/>
      <c r="N1007" s="336"/>
      <c r="O1007" s="336"/>
      <c r="P1007" s="219"/>
      <c r="Q1007" s="332"/>
      <c r="R1007" s="219"/>
      <c r="S1007" s="332"/>
      <c r="T1007" s="219"/>
      <c r="U1007" s="332"/>
      <c r="V1007" s="332"/>
      <c r="W1007" s="370"/>
      <c r="X1007" s="370"/>
      <c r="Y1007" s="370"/>
      <c r="Z1007" s="370"/>
      <c r="AA1007" s="370"/>
      <c r="AB1007" s="370"/>
      <c r="AC1007" s="370"/>
      <c r="AD1007" s="370"/>
      <c r="AE1007" s="370"/>
      <c r="AF1007" s="370"/>
      <c r="AG1007" s="370"/>
      <c r="AH1007" s="370"/>
      <c r="AI1007" s="370"/>
      <c r="AJ1007" s="370"/>
      <c r="AL1007" s="219"/>
      <c r="AM1007" s="219"/>
      <c r="AN1007" s="219"/>
      <c r="AO1007" s="116"/>
      <c r="AP1007" s="116"/>
      <c r="AU1007" s="332"/>
      <c r="AV1007" s="332"/>
      <c r="AW1007" s="332"/>
      <c r="AX1007" s="332"/>
      <c r="AY1007" s="332"/>
      <c r="AZ1007" s="332"/>
      <c r="BA1007" s="332"/>
      <c r="BB1007" s="31"/>
      <c r="BC1007" s="31"/>
      <c r="BD1007" s="31"/>
      <c r="BE1007" s="31"/>
    </row>
    <row r="1008" spans="1:57" ht="13">
      <c r="A1008" s="153"/>
      <c r="F1008" s="153"/>
      <c r="G1008" s="116"/>
      <c r="H1008" s="116"/>
      <c r="I1008" s="116"/>
      <c r="J1008" s="116"/>
      <c r="K1008" s="219"/>
      <c r="L1008" s="116"/>
      <c r="M1008" s="31"/>
      <c r="N1008" s="336"/>
      <c r="O1008" s="336"/>
      <c r="P1008" s="219"/>
      <c r="Q1008" s="332"/>
      <c r="R1008" s="219"/>
      <c r="S1008" s="332"/>
      <c r="T1008" s="219"/>
      <c r="U1008" s="332"/>
      <c r="V1008" s="332"/>
      <c r="W1008" s="370"/>
      <c r="X1008" s="370"/>
      <c r="Y1008" s="370"/>
      <c r="Z1008" s="370"/>
      <c r="AA1008" s="370"/>
      <c r="AB1008" s="370"/>
      <c r="AC1008" s="370"/>
      <c r="AD1008" s="370"/>
      <c r="AE1008" s="370"/>
      <c r="AF1008" s="370"/>
      <c r="AG1008" s="370"/>
      <c r="AH1008" s="370"/>
      <c r="AI1008" s="370"/>
      <c r="AJ1008" s="370"/>
      <c r="AL1008" s="219"/>
      <c r="AM1008" s="219"/>
      <c r="AN1008" s="219"/>
      <c r="AO1008" s="116"/>
      <c r="AP1008" s="116"/>
      <c r="AU1008" s="332"/>
      <c r="AV1008" s="332"/>
      <c r="AW1008" s="332"/>
      <c r="AX1008" s="332"/>
      <c r="AY1008" s="332"/>
      <c r="AZ1008" s="332"/>
      <c r="BA1008" s="332"/>
      <c r="BB1008" s="31"/>
      <c r="BC1008" s="31"/>
      <c r="BD1008" s="31"/>
      <c r="BE1008" s="31"/>
    </row>
    <row r="1009" spans="1:57" ht="13">
      <c r="A1009" s="153"/>
      <c r="F1009" s="153"/>
      <c r="G1009" s="116"/>
      <c r="H1009" s="116"/>
      <c r="I1009" s="116"/>
      <c r="J1009" s="116"/>
      <c r="K1009" s="219"/>
      <c r="L1009" s="116"/>
      <c r="M1009" s="31"/>
      <c r="N1009" s="336"/>
      <c r="O1009" s="336"/>
      <c r="P1009" s="219"/>
      <c r="Q1009" s="332"/>
      <c r="R1009" s="219"/>
      <c r="S1009" s="332"/>
      <c r="T1009" s="219"/>
      <c r="U1009" s="332"/>
      <c r="V1009" s="332"/>
      <c r="W1009" s="370"/>
      <c r="X1009" s="370"/>
      <c r="Y1009" s="370"/>
      <c r="Z1009" s="370"/>
      <c r="AA1009" s="370"/>
      <c r="AB1009" s="370"/>
      <c r="AC1009" s="370"/>
      <c r="AD1009" s="370"/>
      <c r="AE1009" s="370"/>
      <c r="AF1009" s="370"/>
      <c r="AG1009" s="370"/>
      <c r="AH1009" s="370"/>
      <c r="AI1009" s="370"/>
      <c r="AJ1009" s="370"/>
      <c r="AL1009" s="219"/>
      <c r="AM1009" s="219"/>
      <c r="AN1009" s="219"/>
      <c r="AO1009" s="116"/>
      <c r="AP1009" s="116"/>
      <c r="AU1009" s="332"/>
      <c r="AV1009" s="332"/>
      <c r="AW1009" s="332"/>
      <c r="AX1009" s="332"/>
      <c r="AY1009" s="332"/>
      <c r="AZ1009" s="332"/>
      <c r="BA1009" s="332"/>
      <c r="BB1009" s="31"/>
      <c r="BC1009" s="31"/>
      <c r="BD1009" s="31"/>
      <c r="BE1009" s="31"/>
    </row>
    <row r="1010" spans="1:57" ht="13">
      <c r="A1010" s="153"/>
      <c r="F1010" s="153"/>
      <c r="G1010" s="116"/>
      <c r="H1010" s="116"/>
      <c r="I1010" s="116"/>
      <c r="J1010" s="116"/>
      <c r="K1010" s="219"/>
      <c r="L1010" s="116"/>
      <c r="M1010" s="31"/>
      <c r="N1010" s="336"/>
      <c r="O1010" s="336"/>
      <c r="P1010" s="219"/>
      <c r="Q1010" s="332"/>
      <c r="R1010" s="219"/>
      <c r="S1010" s="332"/>
      <c r="T1010" s="219"/>
      <c r="U1010" s="332"/>
      <c r="V1010" s="332"/>
      <c r="W1010" s="370"/>
      <c r="X1010" s="370"/>
      <c r="Y1010" s="370"/>
      <c r="Z1010" s="370"/>
      <c r="AA1010" s="370"/>
      <c r="AB1010" s="370"/>
      <c r="AC1010" s="370"/>
      <c r="AD1010" s="370"/>
      <c r="AE1010" s="370"/>
      <c r="AF1010" s="370"/>
      <c r="AG1010" s="370"/>
      <c r="AH1010" s="370"/>
      <c r="AI1010" s="370"/>
      <c r="AJ1010" s="370"/>
      <c r="AL1010" s="219"/>
      <c r="AM1010" s="219"/>
      <c r="AN1010" s="219"/>
      <c r="AO1010" s="116"/>
      <c r="AP1010" s="116"/>
      <c r="AU1010" s="332"/>
      <c r="AV1010" s="332"/>
      <c r="AW1010" s="332"/>
      <c r="AX1010" s="332"/>
      <c r="AY1010" s="332"/>
      <c r="AZ1010" s="332"/>
      <c r="BA1010" s="332"/>
      <c r="BB1010" s="31"/>
      <c r="BC1010" s="31"/>
      <c r="BD1010" s="31"/>
      <c r="BE1010" s="31"/>
    </row>
    <row r="1011" spans="1:57" ht="13">
      <c r="A1011" s="153"/>
      <c r="F1011" s="153"/>
      <c r="G1011" s="116"/>
      <c r="H1011" s="116"/>
      <c r="I1011" s="116"/>
      <c r="J1011" s="116"/>
      <c r="K1011" s="219"/>
      <c r="L1011" s="116"/>
      <c r="M1011" s="31"/>
      <c r="N1011" s="336"/>
      <c r="O1011" s="336"/>
      <c r="P1011" s="219"/>
      <c r="Q1011" s="332"/>
      <c r="R1011" s="219"/>
      <c r="S1011" s="332"/>
      <c r="T1011" s="219"/>
      <c r="U1011" s="332"/>
      <c r="V1011" s="332"/>
      <c r="W1011" s="370"/>
      <c r="X1011" s="370"/>
      <c r="Y1011" s="370"/>
      <c r="Z1011" s="370"/>
      <c r="AA1011" s="370"/>
      <c r="AB1011" s="370"/>
      <c r="AC1011" s="370"/>
      <c r="AD1011" s="370"/>
      <c r="AE1011" s="370"/>
      <c r="AF1011" s="370"/>
      <c r="AG1011" s="370"/>
      <c r="AH1011" s="370"/>
      <c r="AI1011" s="370"/>
      <c r="AJ1011" s="370"/>
      <c r="AL1011" s="219"/>
      <c r="AM1011" s="219"/>
      <c r="AN1011" s="219"/>
      <c r="AO1011" s="116"/>
      <c r="AP1011" s="116"/>
      <c r="AU1011" s="332"/>
      <c r="AV1011" s="332"/>
      <c r="AW1011" s="332"/>
      <c r="AX1011" s="332"/>
      <c r="AY1011" s="332"/>
      <c r="AZ1011" s="332"/>
      <c r="BA1011" s="332"/>
      <c r="BB1011" s="31"/>
      <c r="BC1011" s="31"/>
      <c r="BD1011" s="31"/>
      <c r="BE1011" s="31"/>
    </row>
    <row r="1012" spans="1:57" ht="13">
      <c r="A1012" s="153"/>
      <c r="F1012" s="153"/>
      <c r="G1012" s="116"/>
      <c r="H1012" s="116"/>
      <c r="I1012" s="116"/>
      <c r="J1012" s="116"/>
      <c r="K1012" s="219"/>
      <c r="L1012" s="116"/>
      <c r="M1012" s="31"/>
      <c r="N1012" s="336"/>
      <c r="O1012" s="336"/>
      <c r="P1012" s="219"/>
      <c r="Q1012" s="332"/>
      <c r="R1012" s="219"/>
      <c r="S1012" s="332"/>
      <c r="T1012" s="219"/>
      <c r="U1012" s="332"/>
      <c r="V1012" s="332"/>
      <c r="W1012" s="370"/>
      <c r="X1012" s="370"/>
      <c r="Y1012" s="370"/>
      <c r="Z1012" s="370"/>
      <c r="AA1012" s="370"/>
      <c r="AB1012" s="370"/>
      <c r="AC1012" s="370"/>
      <c r="AD1012" s="370"/>
      <c r="AE1012" s="370"/>
      <c r="AF1012" s="370"/>
      <c r="AG1012" s="370"/>
      <c r="AH1012" s="370"/>
      <c r="AI1012" s="370"/>
      <c r="AJ1012" s="370"/>
      <c r="AL1012" s="219"/>
      <c r="AM1012" s="219"/>
      <c r="AN1012" s="219"/>
      <c r="AO1012" s="116"/>
      <c r="AP1012" s="116"/>
      <c r="AU1012" s="332"/>
      <c r="AV1012" s="332"/>
      <c r="AW1012" s="332"/>
      <c r="AX1012" s="332"/>
      <c r="AY1012" s="332"/>
      <c r="AZ1012" s="332"/>
      <c r="BA1012" s="332"/>
      <c r="BB1012" s="31"/>
      <c r="BC1012" s="31"/>
      <c r="BD1012" s="31"/>
      <c r="BE1012" s="31"/>
    </row>
    <row r="1013" spans="1:57" ht="13">
      <c r="A1013" s="153"/>
      <c r="F1013" s="153"/>
      <c r="G1013" s="116"/>
      <c r="H1013" s="116"/>
      <c r="I1013" s="116"/>
      <c r="J1013" s="116"/>
      <c r="K1013" s="219"/>
      <c r="L1013" s="116"/>
      <c r="M1013" s="31"/>
      <c r="N1013" s="336"/>
      <c r="O1013" s="336"/>
      <c r="P1013" s="219"/>
      <c r="Q1013" s="332"/>
      <c r="R1013" s="219"/>
      <c r="S1013" s="332"/>
      <c r="T1013" s="219"/>
      <c r="U1013" s="332"/>
      <c r="V1013" s="332"/>
      <c r="W1013" s="370"/>
      <c r="X1013" s="370"/>
      <c r="Y1013" s="370"/>
      <c r="Z1013" s="370"/>
      <c r="AA1013" s="370"/>
      <c r="AB1013" s="370"/>
      <c r="AC1013" s="370"/>
      <c r="AD1013" s="370"/>
      <c r="AE1013" s="370"/>
      <c r="AF1013" s="370"/>
      <c r="AG1013" s="370"/>
      <c r="AH1013" s="370"/>
      <c r="AI1013" s="370"/>
      <c r="AJ1013" s="370"/>
      <c r="AL1013" s="219"/>
      <c r="AM1013" s="219"/>
      <c r="AN1013" s="219"/>
      <c r="AO1013" s="116"/>
      <c r="AP1013" s="116"/>
      <c r="AU1013" s="332"/>
      <c r="AV1013" s="332"/>
      <c r="AW1013" s="332"/>
      <c r="AX1013" s="332"/>
      <c r="AY1013" s="332"/>
      <c r="AZ1013" s="332"/>
      <c r="BA1013" s="332"/>
      <c r="BB1013" s="31"/>
      <c r="BC1013" s="31"/>
      <c r="BD1013" s="31"/>
      <c r="BE1013" s="31"/>
    </row>
    <row r="1014" spans="1:57" ht="13">
      <c r="A1014" s="153"/>
      <c r="F1014" s="153"/>
      <c r="G1014" s="116"/>
      <c r="H1014" s="116"/>
      <c r="I1014" s="116"/>
      <c r="J1014" s="116"/>
      <c r="K1014" s="219"/>
      <c r="L1014" s="116"/>
      <c r="M1014" s="31"/>
      <c r="N1014" s="336"/>
      <c r="O1014" s="336"/>
      <c r="P1014" s="219"/>
      <c r="Q1014" s="332"/>
      <c r="R1014" s="219"/>
      <c r="S1014" s="332"/>
      <c r="T1014" s="219"/>
      <c r="U1014" s="332"/>
      <c r="V1014" s="332"/>
      <c r="W1014" s="370"/>
      <c r="X1014" s="370"/>
      <c r="Y1014" s="370"/>
      <c r="Z1014" s="370"/>
      <c r="AA1014" s="370"/>
      <c r="AB1014" s="370"/>
      <c r="AC1014" s="370"/>
      <c r="AD1014" s="370"/>
      <c r="AE1014" s="370"/>
      <c r="AF1014" s="370"/>
      <c r="AG1014" s="370"/>
      <c r="AH1014" s="370"/>
      <c r="AI1014" s="370"/>
      <c r="AJ1014" s="370"/>
      <c r="AL1014" s="219"/>
      <c r="AM1014" s="219"/>
      <c r="AN1014" s="219"/>
      <c r="AO1014" s="116"/>
      <c r="AP1014" s="116"/>
      <c r="AU1014" s="332"/>
      <c r="AV1014" s="332"/>
      <c r="AW1014" s="332"/>
      <c r="AX1014" s="332"/>
      <c r="AY1014" s="332"/>
      <c r="AZ1014" s="332"/>
      <c r="BA1014" s="332"/>
      <c r="BB1014" s="31"/>
      <c r="BC1014" s="31"/>
      <c r="BD1014" s="31"/>
      <c r="BE1014" s="31"/>
    </row>
    <row r="1015" spans="1:57" ht="13">
      <c r="A1015" s="153"/>
      <c r="F1015" s="153"/>
      <c r="G1015" s="116"/>
      <c r="H1015" s="116"/>
      <c r="I1015" s="116"/>
      <c r="J1015" s="116"/>
      <c r="K1015" s="219"/>
      <c r="L1015" s="116"/>
      <c r="M1015" s="31"/>
      <c r="N1015" s="336"/>
      <c r="O1015" s="336"/>
      <c r="P1015" s="219"/>
      <c r="Q1015" s="332"/>
      <c r="R1015" s="219"/>
      <c r="S1015" s="332"/>
      <c r="T1015" s="219"/>
      <c r="U1015" s="332"/>
      <c r="V1015" s="332"/>
      <c r="W1015" s="370"/>
      <c r="X1015" s="370"/>
      <c r="Y1015" s="370"/>
      <c r="Z1015" s="370"/>
      <c r="AA1015" s="370"/>
      <c r="AB1015" s="370"/>
      <c r="AC1015" s="370"/>
      <c r="AD1015" s="370"/>
      <c r="AE1015" s="370"/>
      <c r="AF1015" s="370"/>
      <c r="AG1015" s="370"/>
      <c r="AH1015" s="370"/>
      <c r="AI1015" s="370"/>
      <c r="AJ1015" s="370"/>
      <c r="AL1015" s="219"/>
      <c r="AM1015" s="219"/>
      <c r="AN1015" s="219"/>
      <c r="AO1015" s="116"/>
      <c r="AP1015" s="116"/>
      <c r="AU1015" s="332"/>
      <c r="AV1015" s="332"/>
      <c r="AW1015" s="332"/>
      <c r="AX1015" s="332"/>
      <c r="AY1015" s="332"/>
      <c r="AZ1015" s="332"/>
      <c r="BA1015" s="332"/>
      <c r="BB1015" s="31"/>
      <c r="BC1015" s="31"/>
      <c r="BD1015" s="31"/>
      <c r="BE1015" s="31"/>
    </row>
    <row r="1016" spans="1:57" ht="13">
      <c r="A1016" s="153"/>
      <c r="F1016" s="153"/>
      <c r="G1016" s="116"/>
      <c r="H1016" s="116"/>
      <c r="I1016" s="116"/>
      <c r="J1016" s="116"/>
      <c r="K1016" s="219"/>
      <c r="L1016" s="116"/>
      <c r="M1016" s="31"/>
      <c r="N1016" s="336"/>
      <c r="O1016" s="336"/>
      <c r="P1016" s="219"/>
      <c r="Q1016" s="332"/>
      <c r="R1016" s="219"/>
      <c r="S1016" s="332"/>
      <c r="T1016" s="219"/>
      <c r="U1016" s="332"/>
      <c r="V1016" s="332"/>
      <c r="W1016" s="370"/>
      <c r="X1016" s="370"/>
      <c r="Y1016" s="370"/>
      <c r="Z1016" s="370"/>
      <c r="AA1016" s="370"/>
      <c r="AB1016" s="370"/>
      <c r="AC1016" s="370"/>
      <c r="AD1016" s="370"/>
      <c r="AE1016" s="370"/>
      <c r="AF1016" s="370"/>
      <c r="AG1016" s="370"/>
      <c r="AH1016" s="370"/>
      <c r="AI1016" s="370"/>
      <c r="AJ1016" s="370"/>
      <c r="AL1016" s="219"/>
      <c r="AM1016" s="219"/>
      <c r="AN1016" s="219"/>
      <c r="AO1016" s="116"/>
      <c r="AP1016" s="116"/>
      <c r="AU1016" s="332"/>
      <c r="AV1016" s="332"/>
      <c r="AW1016" s="332"/>
      <c r="AX1016" s="332"/>
      <c r="AY1016" s="332"/>
      <c r="AZ1016" s="332"/>
      <c r="BA1016" s="332"/>
      <c r="BB1016" s="31"/>
      <c r="BC1016" s="31"/>
      <c r="BD1016" s="31"/>
      <c r="BE1016" s="31"/>
    </row>
    <row r="1017" spans="1:57" ht="13">
      <c r="A1017" s="153"/>
      <c r="F1017" s="153"/>
      <c r="G1017" s="116"/>
      <c r="H1017" s="116"/>
      <c r="I1017" s="116"/>
      <c r="J1017" s="116"/>
      <c r="K1017" s="219"/>
      <c r="L1017" s="116"/>
      <c r="M1017" s="31"/>
      <c r="N1017" s="336"/>
      <c r="O1017" s="336"/>
      <c r="P1017" s="219"/>
      <c r="Q1017" s="332"/>
      <c r="R1017" s="219"/>
      <c r="S1017" s="332"/>
      <c r="T1017" s="219"/>
      <c r="U1017" s="332"/>
      <c r="V1017" s="332"/>
      <c r="W1017" s="370"/>
      <c r="X1017" s="370"/>
      <c r="Y1017" s="370"/>
      <c r="Z1017" s="370"/>
      <c r="AA1017" s="370"/>
      <c r="AB1017" s="370"/>
      <c r="AC1017" s="370"/>
      <c r="AD1017" s="370"/>
      <c r="AE1017" s="370"/>
      <c r="AF1017" s="370"/>
      <c r="AG1017" s="370"/>
      <c r="AH1017" s="370"/>
      <c r="AI1017" s="370"/>
      <c r="AJ1017" s="370"/>
      <c r="AL1017" s="219"/>
      <c r="AM1017" s="219"/>
      <c r="AN1017" s="219"/>
      <c r="AO1017" s="116"/>
      <c r="AP1017" s="116"/>
      <c r="AU1017" s="332"/>
      <c r="AV1017" s="332"/>
      <c r="AW1017" s="332"/>
      <c r="AX1017" s="332"/>
      <c r="AY1017" s="332"/>
      <c r="AZ1017" s="332"/>
      <c r="BA1017" s="332"/>
      <c r="BB1017" s="31"/>
      <c r="BC1017" s="31"/>
      <c r="BD1017" s="31"/>
      <c r="BE1017" s="31"/>
    </row>
    <row r="1018" spans="1:57" ht="13">
      <c r="A1018" s="153"/>
      <c r="F1018" s="153"/>
      <c r="G1018" s="116"/>
      <c r="H1018" s="116"/>
      <c r="I1018" s="116"/>
      <c r="J1018" s="116"/>
      <c r="K1018" s="219"/>
      <c r="L1018" s="116"/>
      <c r="M1018" s="31"/>
      <c r="N1018" s="336"/>
      <c r="O1018" s="336"/>
      <c r="P1018" s="219"/>
      <c r="Q1018" s="332"/>
      <c r="R1018" s="219"/>
      <c r="S1018" s="332"/>
      <c r="T1018" s="219"/>
      <c r="U1018" s="332"/>
      <c r="V1018" s="332"/>
      <c r="W1018" s="370"/>
      <c r="X1018" s="370"/>
      <c r="Y1018" s="370"/>
      <c r="Z1018" s="370"/>
      <c r="AA1018" s="370"/>
      <c r="AB1018" s="370"/>
      <c r="AC1018" s="370"/>
      <c r="AD1018" s="370"/>
      <c r="AE1018" s="370"/>
      <c r="AF1018" s="370"/>
      <c r="AG1018" s="370"/>
      <c r="AH1018" s="370"/>
      <c r="AI1018" s="370"/>
      <c r="AJ1018" s="370"/>
      <c r="AL1018" s="219"/>
      <c r="AM1018" s="219"/>
      <c r="AN1018" s="219"/>
      <c r="AO1018" s="116"/>
      <c r="AP1018" s="116"/>
      <c r="AU1018" s="332"/>
      <c r="AV1018" s="332"/>
      <c r="AW1018" s="332"/>
      <c r="AX1018" s="332"/>
      <c r="AY1018" s="332"/>
      <c r="AZ1018" s="332"/>
      <c r="BA1018" s="332"/>
      <c r="BB1018" s="31"/>
      <c r="BC1018" s="31"/>
      <c r="BD1018" s="31"/>
      <c r="BE1018" s="31"/>
    </row>
    <row r="1019" spans="1:57" ht="13">
      <c r="A1019" s="153"/>
      <c r="F1019" s="153"/>
      <c r="G1019" s="116"/>
      <c r="H1019" s="116"/>
      <c r="I1019" s="116"/>
      <c r="J1019" s="116"/>
      <c r="K1019" s="219"/>
      <c r="L1019" s="116"/>
      <c r="M1019" s="31"/>
      <c r="N1019" s="336"/>
      <c r="O1019" s="336"/>
      <c r="P1019" s="219"/>
      <c r="Q1019" s="332"/>
      <c r="R1019" s="219"/>
      <c r="S1019" s="332"/>
      <c r="T1019" s="219"/>
      <c r="U1019" s="332"/>
      <c r="V1019" s="332"/>
      <c r="W1019" s="370"/>
      <c r="X1019" s="370"/>
      <c r="Y1019" s="370"/>
      <c r="Z1019" s="370"/>
      <c r="AA1019" s="370"/>
      <c r="AB1019" s="370"/>
      <c r="AC1019" s="370"/>
      <c r="AD1019" s="370"/>
      <c r="AE1019" s="370"/>
      <c r="AF1019" s="370"/>
      <c r="AG1019" s="370"/>
      <c r="AH1019" s="370"/>
      <c r="AI1019" s="370"/>
      <c r="AJ1019" s="370"/>
      <c r="AL1019" s="219"/>
      <c r="AM1019" s="219"/>
      <c r="AN1019" s="219"/>
      <c r="AO1019" s="116"/>
      <c r="AP1019" s="116"/>
      <c r="AU1019" s="332"/>
      <c r="AV1019" s="332"/>
      <c r="AW1019" s="332"/>
      <c r="AX1019" s="332"/>
      <c r="AY1019" s="332"/>
      <c r="AZ1019" s="332"/>
      <c r="BA1019" s="332"/>
      <c r="BB1019" s="31"/>
      <c r="BC1019" s="31"/>
      <c r="BD1019" s="31"/>
      <c r="BE1019" s="31"/>
    </row>
    <row r="1020" spans="1:57" ht="13">
      <c r="A1020" s="153"/>
      <c r="F1020" s="153"/>
      <c r="G1020" s="116"/>
      <c r="H1020" s="116"/>
      <c r="I1020" s="116"/>
      <c r="J1020" s="116"/>
      <c r="K1020" s="219"/>
      <c r="L1020" s="116"/>
      <c r="M1020" s="31"/>
      <c r="N1020" s="336"/>
      <c r="O1020" s="336"/>
      <c r="P1020" s="219"/>
      <c r="Q1020" s="332"/>
      <c r="R1020" s="219"/>
      <c r="S1020" s="332"/>
      <c r="T1020" s="219"/>
      <c r="U1020" s="332"/>
      <c r="V1020" s="332"/>
      <c r="W1020" s="370"/>
      <c r="X1020" s="370"/>
      <c r="Y1020" s="370"/>
      <c r="Z1020" s="370"/>
      <c r="AA1020" s="370"/>
      <c r="AB1020" s="370"/>
      <c r="AC1020" s="370"/>
      <c r="AD1020" s="370"/>
      <c r="AE1020" s="370"/>
      <c r="AF1020" s="370"/>
      <c r="AG1020" s="370"/>
      <c r="AH1020" s="370"/>
      <c r="AI1020" s="370"/>
      <c r="AJ1020" s="370"/>
      <c r="AL1020" s="219"/>
      <c r="AM1020" s="219"/>
      <c r="AN1020" s="219"/>
      <c r="AO1020" s="116"/>
      <c r="AP1020" s="116"/>
      <c r="AU1020" s="332"/>
      <c r="AV1020" s="332"/>
      <c r="AW1020" s="332"/>
      <c r="AX1020" s="332"/>
      <c r="AY1020" s="332"/>
      <c r="AZ1020" s="332"/>
      <c r="BA1020" s="332"/>
      <c r="BB1020" s="31"/>
      <c r="BC1020" s="31"/>
      <c r="BD1020" s="31"/>
      <c r="BE1020" s="31"/>
    </row>
    <row r="1021" spans="1:57" ht="13">
      <c r="A1021" s="153"/>
      <c r="F1021" s="153"/>
      <c r="G1021" s="116"/>
      <c r="H1021" s="116"/>
      <c r="I1021" s="116"/>
      <c r="J1021" s="116"/>
      <c r="K1021" s="219"/>
      <c r="L1021" s="116"/>
      <c r="M1021" s="31"/>
      <c r="N1021" s="336"/>
      <c r="O1021" s="336"/>
      <c r="P1021" s="219"/>
      <c r="Q1021" s="332"/>
      <c r="R1021" s="219"/>
      <c r="S1021" s="332"/>
      <c r="T1021" s="219"/>
      <c r="U1021" s="332"/>
      <c r="V1021" s="332"/>
      <c r="W1021" s="370"/>
      <c r="X1021" s="370"/>
      <c r="Y1021" s="370"/>
      <c r="Z1021" s="370"/>
      <c r="AA1021" s="370"/>
      <c r="AB1021" s="370"/>
      <c r="AC1021" s="370"/>
      <c r="AD1021" s="370"/>
      <c r="AE1021" s="370"/>
      <c r="AF1021" s="370"/>
      <c r="AG1021" s="370"/>
      <c r="AH1021" s="370"/>
      <c r="AI1021" s="370"/>
      <c r="AJ1021" s="370"/>
      <c r="AL1021" s="219"/>
      <c r="AM1021" s="219"/>
      <c r="AN1021" s="219"/>
      <c r="AO1021" s="116"/>
      <c r="AP1021" s="116"/>
      <c r="AU1021" s="332"/>
      <c r="AV1021" s="332"/>
      <c r="AW1021" s="332"/>
      <c r="AX1021" s="332"/>
      <c r="AY1021" s="332"/>
      <c r="AZ1021" s="332"/>
      <c r="BA1021" s="332"/>
      <c r="BB1021" s="31"/>
      <c r="BC1021" s="31"/>
      <c r="BD1021" s="31"/>
      <c r="BE1021" s="31"/>
    </row>
    <row r="1022" spans="1:57" ht="13">
      <c r="A1022" s="153"/>
      <c r="F1022" s="153"/>
      <c r="G1022" s="116"/>
      <c r="H1022" s="116"/>
      <c r="I1022" s="116"/>
      <c r="J1022" s="116"/>
      <c r="K1022" s="219"/>
      <c r="L1022" s="116"/>
      <c r="M1022" s="31"/>
      <c r="N1022" s="336"/>
      <c r="O1022" s="336"/>
      <c r="P1022" s="219"/>
      <c r="Q1022" s="332"/>
      <c r="R1022" s="219"/>
      <c r="S1022" s="332"/>
      <c r="T1022" s="219"/>
      <c r="U1022" s="332"/>
      <c r="V1022" s="332"/>
      <c r="W1022" s="370"/>
      <c r="X1022" s="370"/>
      <c r="Y1022" s="370"/>
      <c r="Z1022" s="370"/>
      <c r="AA1022" s="370"/>
      <c r="AB1022" s="370"/>
      <c r="AC1022" s="370"/>
      <c r="AD1022" s="370"/>
      <c r="AE1022" s="370"/>
      <c r="AF1022" s="370"/>
      <c r="AG1022" s="370"/>
      <c r="AH1022" s="370"/>
      <c r="AI1022" s="370"/>
      <c r="AJ1022" s="370"/>
      <c r="AL1022" s="219"/>
      <c r="AM1022" s="219"/>
      <c r="AN1022" s="219"/>
      <c r="AO1022" s="116"/>
      <c r="AP1022" s="116"/>
      <c r="AU1022" s="332"/>
      <c r="AV1022" s="332"/>
      <c r="AW1022" s="332"/>
      <c r="AX1022" s="332"/>
      <c r="AY1022" s="332"/>
      <c r="AZ1022" s="332"/>
      <c r="BA1022" s="332"/>
      <c r="BB1022" s="31"/>
      <c r="BC1022" s="31"/>
      <c r="BD1022" s="31"/>
      <c r="BE1022" s="31"/>
    </row>
    <row r="1023" spans="1:57" ht="13">
      <c r="A1023" s="153"/>
      <c r="F1023" s="153"/>
      <c r="G1023" s="116"/>
      <c r="H1023" s="116"/>
      <c r="I1023" s="116"/>
      <c r="J1023" s="116"/>
      <c r="K1023" s="219"/>
      <c r="L1023" s="116"/>
      <c r="M1023" s="31"/>
      <c r="N1023" s="336"/>
      <c r="O1023" s="336"/>
      <c r="P1023" s="219"/>
      <c r="Q1023" s="332"/>
      <c r="R1023" s="219"/>
      <c r="S1023" s="332"/>
      <c r="T1023" s="219"/>
      <c r="U1023" s="332"/>
      <c r="V1023" s="332"/>
      <c r="W1023" s="370"/>
      <c r="X1023" s="370"/>
      <c r="Y1023" s="370"/>
      <c r="Z1023" s="370"/>
      <c r="AA1023" s="370"/>
      <c r="AB1023" s="370"/>
      <c r="AC1023" s="370"/>
      <c r="AD1023" s="370"/>
      <c r="AE1023" s="370"/>
      <c r="AF1023" s="370"/>
      <c r="AG1023" s="370"/>
      <c r="AH1023" s="370"/>
      <c r="AI1023" s="370"/>
      <c r="AJ1023" s="370"/>
      <c r="AL1023" s="219"/>
      <c r="AM1023" s="219"/>
      <c r="AN1023" s="219"/>
      <c r="AO1023" s="116"/>
      <c r="AP1023" s="116"/>
      <c r="AU1023" s="332"/>
      <c r="AV1023" s="332"/>
      <c r="AW1023" s="332"/>
      <c r="AX1023" s="332"/>
      <c r="AY1023" s="332"/>
      <c r="AZ1023" s="332"/>
      <c r="BA1023" s="332"/>
      <c r="BB1023" s="31"/>
      <c r="BC1023" s="31"/>
      <c r="BD1023" s="31"/>
      <c r="BE1023" s="31"/>
    </row>
    <row r="1024" spans="1:57" ht="13">
      <c r="A1024" s="153"/>
      <c r="F1024" s="153"/>
      <c r="G1024" s="116"/>
      <c r="H1024" s="116"/>
      <c r="I1024" s="116"/>
      <c r="J1024" s="116"/>
      <c r="K1024" s="219"/>
      <c r="L1024" s="116"/>
      <c r="M1024" s="31"/>
      <c r="N1024" s="336"/>
      <c r="O1024" s="336"/>
      <c r="P1024" s="219"/>
      <c r="Q1024" s="332"/>
      <c r="R1024" s="219"/>
      <c r="S1024" s="332"/>
      <c r="T1024" s="219"/>
      <c r="U1024" s="332"/>
      <c r="V1024" s="332"/>
      <c r="W1024" s="370"/>
      <c r="X1024" s="370"/>
      <c r="Y1024" s="370"/>
      <c r="Z1024" s="370"/>
      <c r="AA1024" s="370"/>
      <c r="AB1024" s="370"/>
      <c r="AC1024" s="370"/>
      <c r="AD1024" s="370"/>
      <c r="AE1024" s="370"/>
      <c r="AF1024" s="370"/>
      <c r="AG1024" s="370"/>
      <c r="AH1024" s="370"/>
      <c r="AI1024" s="370"/>
      <c r="AJ1024" s="370"/>
      <c r="AL1024" s="219"/>
      <c r="AM1024" s="219"/>
      <c r="AN1024" s="219"/>
      <c r="AO1024" s="116"/>
      <c r="AP1024" s="116"/>
      <c r="AU1024" s="332"/>
      <c r="AV1024" s="332"/>
      <c r="AW1024" s="332"/>
      <c r="AX1024" s="332"/>
      <c r="AY1024" s="332"/>
      <c r="AZ1024" s="332"/>
      <c r="BA1024" s="332"/>
      <c r="BB1024" s="31"/>
      <c r="BC1024" s="31"/>
      <c r="BD1024" s="31"/>
      <c r="BE1024" s="31"/>
    </row>
    <row r="1025" spans="1:57" ht="13">
      <c r="A1025" s="153"/>
      <c r="F1025" s="153"/>
      <c r="G1025" s="116"/>
      <c r="H1025" s="116"/>
      <c r="I1025" s="116"/>
      <c r="J1025" s="116"/>
      <c r="K1025" s="219"/>
      <c r="L1025" s="116"/>
      <c r="M1025" s="31"/>
      <c r="N1025" s="336"/>
      <c r="O1025" s="336"/>
      <c r="P1025" s="219"/>
      <c r="Q1025" s="332"/>
      <c r="R1025" s="219"/>
      <c r="S1025" s="332"/>
      <c r="T1025" s="219"/>
      <c r="U1025" s="332"/>
      <c r="V1025" s="332"/>
      <c r="W1025" s="370"/>
      <c r="X1025" s="370"/>
      <c r="Y1025" s="370"/>
      <c r="Z1025" s="370"/>
      <c r="AA1025" s="370"/>
      <c r="AB1025" s="370"/>
      <c r="AC1025" s="370"/>
      <c r="AD1025" s="370"/>
      <c r="AE1025" s="370"/>
      <c r="AF1025" s="370"/>
      <c r="AG1025" s="370"/>
      <c r="AH1025" s="370"/>
      <c r="AI1025" s="370"/>
      <c r="AJ1025" s="370"/>
      <c r="AL1025" s="219"/>
      <c r="AM1025" s="219"/>
      <c r="AN1025" s="219"/>
      <c r="AO1025" s="116"/>
      <c r="AP1025" s="116"/>
      <c r="AU1025" s="332"/>
      <c r="AV1025" s="332"/>
      <c r="AW1025" s="332"/>
      <c r="AX1025" s="332"/>
      <c r="AY1025" s="332"/>
      <c r="AZ1025" s="332"/>
      <c r="BA1025" s="332"/>
      <c r="BB1025" s="31"/>
      <c r="BC1025" s="31"/>
      <c r="BD1025" s="31"/>
      <c r="BE1025" s="31"/>
    </row>
    <row r="1026" spans="1:57" ht="13">
      <c r="A1026" s="153"/>
      <c r="F1026" s="153"/>
      <c r="G1026" s="116"/>
      <c r="H1026" s="116"/>
      <c r="I1026" s="116"/>
      <c r="J1026" s="116"/>
      <c r="K1026" s="219"/>
      <c r="L1026" s="116"/>
      <c r="M1026" s="31"/>
      <c r="N1026" s="336"/>
      <c r="O1026" s="336"/>
      <c r="P1026" s="219"/>
      <c r="Q1026" s="332"/>
      <c r="R1026" s="219"/>
      <c r="S1026" s="332"/>
      <c r="T1026" s="219"/>
      <c r="U1026" s="332"/>
      <c r="V1026" s="332"/>
      <c r="W1026" s="370"/>
      <c r="X1026" s="370"/>
      <c r="Y1026" s="370"/>
      <c r="Z1026" s="370"/>
      <c r="AA1026" s="370"/>
      <c r="AB1026" s="370"/>
      <c r="AC1026" s="370"/>
      <c r="AD1026" s="370"/>
      <c r="AE1026" s="370"/>
      <c r="AF1026" s="370"/>
      <c r="AG1026" s="370"/>
      <c r="AH1026" s="370"/>
      <c r="AI1026" s="370"/>
      <c r="AJ1026" s="370"/>
      <c r="AL1026" s="219"/>
      <c r="AM1026" s="219"/>
      <c r="AN1026" s="219"/>
      <c r="AO1026" s="116"/>
      <c r="AP1026" s="116"/>
      <c r="AU1026" s="332"/>
      <c r="AV1026" s="332"/>
      <c r="AW1026" s="332"/>
      <c r="AX1026" s="332"/>
      <c r="AY1026" s="332"/>
      <c r="AZ1026" s="332"/>
      <c r="BA1026" s="332"/>
      <c r="BB1026" s="31"/>
      <c r="BC1026" s="31"/>
      <c r="BD1026" s="31"/>
      <c r="BE1026" s="31"/>
    </row>
    <row r="1027" spans="1:57" ht="13">
      <c r="A1027" s="153"/>
      <c r="F1027" s="153"/>
      <c r="G1027" s="116"/>
      <c r="H1027" s="116"/>
      <c r="I1027" s="116"/>
      <c r="J1027" s="116"/>
      <c r="K1027" s="219"/>
      <c r="L1027" s="116"/>
      <c r="M1027" s="31"/>
      <c r="N1027" s="336"/>
      <c r="O1027" s="336"/>
      <c r="P1027" s="219"/>
      <c r="Q1027" s="332"/>
      <c r="R1027" s="219"/>
      <c r="S1027" s="332"/>
      <c r="T1027" s="219"/>
      <c r="U1027" s="332"/>
      <c r="V1027" s="332"/>
      <c r="W1027" s="370"/>
      <c r="X1027" s="370"/>
      <c r="Y1027" s="370"/>
      <c r="Z1027" s="370"/>
      <c r="AA1027" s="370"/>
      <c r="AB1027" s="370"/>
      <c r="AC1027" s="370"/>
      <c r="AD1027" s="370"/>
      <c r="AE1027" s="370"/>
      <c r="AF1027" s="370"/>
      <c r="AG1027" s="370"/>
      <c r="AH1027" s="370"/>
      <c r="AI1027" s="370"/>
      <c r="AJ1027" s="370"/>
      <c r="AL1027" s="219"/>
      <c r="AM1027" s="219"/>
      <c r="AN1027" s="219"/>
      <c r="AO1027" s="116"/>
      <c r="AP1027" s="116"/>
      <c r="AU1027" s="332"/>
      <c r="AV1027" s="332"/>
      <c r="AW1027" s="332"/>
      <c r="AX1027" s="332"/>
      <c r="AY1027" s="332"/>
      <c r="AZ1027" s="332"/>
      <c r="BA1027" s="332"/>
      <c r="BB1027" s="31"/>
      <c r="BC1027" s="31"/>
      <c r="BD1027" s="31"/>
      <c r="BE1027" s="31"/>
    </row>
    <row r="1028" spans="1:57" ht="13">
      <c r="A1028" s="153"/>
      <c r="F1028" s="153"/>
      <c r="G1028" s="116"/>
      <c r="H1028" s="116"/>
      <c r="I1028" s="116"/>
      <c r="J1028" s="116"/>
      <c r="K1028" s="219"/>
      <c r="L1028" s="116"/>
      <c r="M1028" s="31"/>
      <c r="N1028" s="336"/>
      <c r="O1028" s="336"/>
      <c r="P1028" s="219"/>
      <c r="Q1028" s="332"/>
      <c r="R1028" s="219"/>
      <c r="S1028" s="332"/>
      <c r="T1028" s="219"/>
      <c r="U1028" s="332"/>
      <c r="V1028" s="332"/>
      <c r="W1028" s="370"/>
      <c r="X1028" s="370"/>
      <c r="Y1028" s="370"/>
      <c r="Z1028" s="370"/>
      <c r="AA1028" s="370"/>
      <c r="AB1028" s="370"/>
      <c r="AC1028" s="370"/>
      <c r="AD1028" s="370"/>
      <c r="AE1028" s="370"/>
      <c r="AF1028" s="370"/>
      <c r="AG1028" s="370"/>
      <c r="AH1028" s="370"/>
      <c r="AI1028" s="370"/>
      <c r="AJ1028" s="370"/>
      <c r="AL1028" s="219"/>
      <c r="AM1028" s="219"/>
      <c r="AN1028" s="219"/>
      <c r="AO1028" s="116"/>
      <c r="AP1028" s="116"/>
      <c r="AU1028" s="332"/>
      <c r="AV1028" s="332"/>
      <c r="AW1028" s="332"/>
      <c r="AX1028" s="332"/>
      <c r="AY1028" s="332"/>
      <c r="AZ1028" s="332"/>
      <c r="BA1028" s="332"/>
      <c r="BB1028" s="31"/>
      <c r="BC1028" s="31"/>
      <c r="BD1028" s="31"/>
      <c r="BE1028" s="31"/>
    </row>
    <row r="1029" spans="1:57" ht="13">
      <c r="A1029" s="153"/>
      <c r="F1029" s="153"/>
      <c r="G1029" s="116"/>
      <c r="H1029" s="116"/>
      <c r="I1029" s="116"/>
      <c r="J1029" s="116"/>
      <c r="K1029" s="219"/>
      <c r="L1029" s="116"/>
      <c r="M1029" s="31"/>
      <c r="N1029" s="336"/>
      <c r="O1029" s="336"/>
      <c r="P1029" s="219"/>
      <c r="Q1029" s="332"/>
      <c r="R1029" s="219"/>
      <c r="S1029" s="332"/>
      <c r="T1029" s="219"/>
      <c r="U1029" s="332"/>
      <c r="V1029" s="332"/>
      <c r="W1029" s="370"/>
      <c r="X1029" s="370"/>
      <c r="Y1029" s="370"/>
      <c r="Z1029" s="370"/>
      <c r="AA1029" s="370"/>
      <c r="AB1029" s="370"/>
      <c r="AC1029" s="370"/>
      <c r="AD1029" s="370"/>
      <c r="AE1029" s="370"/>
      <c r="AF1029" s="370"/>
      <c r="AG1029" s="370"/>
      <c r="AH1029" s="370"/>
      <c r="AI1029" s="370"/>
      <c r="AJ1029" s="370"/>
      <c r="AL1029" s="219"/>
      <c r="AM1029" s="219"/>
      <c r="AN1029" s="219"/>
      <c r="AO1029" s="116"/>
      <c r="AP1029" s="116"/>
      <c r="AU1029" s="332"/>
      <c r="AV1029" s="332"/>
      <c r="AW1029" s="332"/>
      <c r="AX1029" s="332"/>
      <c r="AY1029" s="332"/>
      <c r="AZ1029" s="332"/>
      <c r="BA1029" s="332"/>
      <c r="BB1029" s="31"/>
      <c r="BC1029" s="31"/>
      <c r="BD1029" s="31"/>
      <c r="BE1029" s="31"/>
    </row>
    <row r="1030" spans="1:57" ht="13">
      <c r="A1030" s="153"/>
      <c r="F1030" s="153"/>
      <c r="G1030" s="116"/>
      <c r="H1030" s="116"/>
      <c r="I1030" s="116"/>
      <c r="J1030" s="116"/>
      <c r="K1030" s="219"/>
      <c r="L1030" s="116"/>
      <c r="M1030" s="31"/>
      <c r="N1030" s="336"/>
      <c r="O1030" s="336"/>
      <c r="P1030" s="219"/>
      <c r="Q1030" s="332"/>
      <c r="R1030" s="219"/>
      <c r="S1030" s="332"/>
      <c r="T1030" s="219"/>
      <c r="U1030" s="332"/>
      <c r="V1030" s="332"/>
      <c r="W1030" s="370"/>
      <c r="X1030" s="370"/>
      <c r="Y1030" s="370"/>
      <c r="Z1030" s="370"/>
      <c r="AA1030" s="370"/>
      <c r="AB1030" s="370"/>
      <c r="AC1030" s="370"/>
      <c r="AD1030" s="370"/>
      <c r="AE1030" s="370"/>
      <c r="AF1030" s="370"/>
      <c r="AG1030" s="370"/>
      <c r="AH1030" s="370"/>
      <c r="AI1030" s="370"/>
      <c r="AJ1030" s="370"/>
      <c r="AL1030" s="219"/>
      <c r="AM1030" s="219"/>
      <c r="AN1030" s="219"/>
      <c r="AO1030" s="116"/>
      <c r="AP1030" s="116"/>
      <c r="AU1030" s="332"/>
      <c r="AV1030" s="332"/>
      <c r="AW1030" s="332"/>
      <c r="AX1030" s="332"/>
      <c r="AY1030" s="332"/>
      <c r="AZ1030" s="332"/>
      <c r="BA1030" s="332"/>
      <c r="BB1030" s="31"/>
      <c r="BC1030" s="31"/>
      <c r="BD1030" s="31"/>
      <c r="BE1030" s="31"/>
    </row>
    <row r="1031" spans="1:57" ht="13">
      <c r="A1031" s="153"/>
      <c r="F1031" s="153"/>
      <c r="G1031" s="116"/>
      <c r="H1031" s="116"/>
      <c r="I1031" s="116"/>
      <c r="J1031" s="116"/>
      <c r="K1031" s="219"/>
      <c r="L1031" s="116"/>
      <c r="M1031" s="31"/>
      <c r="N1031" s="336"/>
      <c r="O1031" s="336"/>
      <c r="P1031" s="219"/>
      <c r="Q1031" s="332"/>
      <c r="R1031" s="219"/>
      <c r="S1031" s="332"/>
      <c r="T1031" s="219"/>
      <c r="U1031" s="332"/>
      <c r="V1031" s="332"/>
      <c r="W1031" s="370"/>
      <c r="X1031" s="370"/>
      <c r="Y1031" s="370"/>
      <c r="Z1031" s="370"/>
      <c r="AA1031" s="370"/>
      <c r="AB1031" s="370"/>
      <c r="AC1031" s="370"/>
      <c r="AD1031" s="370"/>
      <c r="AE1031" s="370"/>
      <c r="AF1031" s="370"/>
      <c r="AG1031" s="370"/>
      <c r="AH1031" s="370"/>
      <c r="AI1031" s="370"/>
      <c r="AJ1031" s="370"/>
      <c r="AL1031" s="219"/>
      <c r="AM1031" s="219"/>
      <c r="AN1031" s="219"/>
      <c r="AO1031" s="116"/>
      <c r="AP1031" s="116"/>
      <c r="AU1031" s="332"/>
      <c r="AV1031" s="332"/>
      <c r="AW1031" s="332"/>
      <c r="AX1031" s="332"/>
      <c r="AY1031" s="332"/>
      <c r="AZ1031" s="332"/>
      <c r="BA1031" s="332"/>
      <c r="BB1031" s="31"/>
      <c r="BC1031" s="31"/>
      <c r="BD1031" s="31"/>
      <c r="BE1031" s="31"/>
    </row>
    <row r="1032" spans="1:57" ht="13">
      <c r="A1032" s="153"/>
      <c r="F1032" s="153"/>
      <c r="G1032" s="116"/>
      <c r="H1032" s="116"/>
      <c r="I1032" s="116"/>
      <c r="J1032" s="116"/>
      <c r="K1032" s="219"/>
      <c r="L1032" s="116"/>
      <c r="M1032" s="31"/>
      <c r="N1032" s="336"/>
      <c r="O1032" s="336"/>
      <c r="P1032" s="219"/>
      <c r="Q1032" s="332"/>
      <c r="R1032" s="219"/>
      <c r="S1032" s="332"/>
      <c r="T1032" s="219"/>
      <c r="U1032" s="332"/>
      <c r="V1032" s="332"/>
      <c r="W1032" s="370"/>
      <c r="X1032" s="370"/>
      <c r="Y1032" s="370"/>
      <c r="Z1032" s="370"/>
      <c r="AA1032" s="370"/>
      <c r="AB1032" s="370"/>
      <c r="AC1032" s="370"/>
      <c r="AD1032" s="370"/>
      <c r="AE1032" s="370"/>
      <c r="AF1032" s="370"/>
      <c r="AG1032" s="370"/>
      <c r="AH1032" s="370"/>
      <c r="AI1032" s="370"/>
      <c r="AJ1032" s="370"/>
      <c r="AL1032" s="219"/>
      <c r="AM1032" s="219"/>
      <c r="AN1032" s="219"/>
      <c r="AO1032" s="116"/>
      <c r="AP1032" s="116"/>
      <c r="AU1032" s="332"/>
      <c r="AV1032" s="332"/>
      <c r="AW1032" s="332"/>
      <c r="AX1032" s="332"/>
      <c r="AY1032" s="332"/>
      <c r="AZ1032" s="332"/>
      <c r="BA1032" s="332"/>
      <c r="BB1032" s="31"/>
      <c r="BC1032" s="31"/>
      <c r="BD1032" s="31"/>
      <c r="BE1032" s="31"/>
    </row>
    <row r="1033" spans="1:57" ht="13">
      <c r="A1033" s="153"/>
      <c r="F1033" s="153"/>
      <c r="G1033" s="116"/>
      <c r="H1033" s="116"/>
      <c r="I1033" s="116"/>
      <c r="J1033" s="116"/>
      <c r="K1033" s="219"/>
      <c r="L1033" s="116"/>
      <c r="M1033" s="31"/>
      <c r="N1033" s="336"/>
      <c r="O1033" s="336"/>
      <c r="P1033" s="219"/>
      <c r="Q1033" s="332"/>
      <c r="R1033" s="219"/>
      <c r="S1033" s="332"/>
      <c r="T1033" s="219"/>
      <c r="U1033" s="332"/>
      <c r="V1033" s="332"/>
      <c r="W1033" s="370"/>
      <c r="X1033" s="370"/>
      <c r="Y1033" s="370"/>
      <c r="Z1033" s="370"/>
      <c r="AA1033" s="370"/>
      <c r="AB1033" s="370"/>
      <c r="AC1033" s="370"/>
      <c r="AD1033" s="370"/>
      <c r="AE1033" s="370"/>
      <c r="AF1033" s="370"/>
      <c r="AG1033" s="370"/>
      <c r="AH1033" s="370"/>
      <c r="AI1033" s="370"/>
      <c r="AJ1033" s="370"/>
      <c r="AL1033" s="219"/>
      <c r="AM1033" s="219"/>
      <c r="AN1033" s="219"/>
      <c r="AO1033" s="116"/>
      <c r="AP1033" s="116"/>
      <c r="AU1033" s="332"/>
      <c r="AV1033" s="332"/>
      <c r="AW1033" s="332"/>
      <c r="AX1033" s="332"/>
      <c r="AY1033" s="332"/>
      <c r="AZ1033" s="332"/>
      <c r="BA1033" s="332"/>
      <c r="BB1033" s="31"/>
      <c r="BC1033" s="31"/>
      <c r="BD1033" s="31"/>
      <c r="BE1033" s="31"/>
    </row>
    <row r="1034" spans="1:57" ht="13">
      <c r="A1034" s="153"/>
      <c r="F1034" s="153"/>
      <c r="G1034" s="116"/>
      <c r="H1034" s="116"/>
      <c r="I1034" s="116"/>
      <c r="J1034" s="116"/>
      <c r="K1034" s="219"/>
      <c r="L1034" s="116"/>
      <c r="M1034" s="31"/>
      <c r="N1034" s="336"/>
      <c r="O1034" s="336"/>
      <c r="P1034" s="219"/>
      <c r="Q1034" s="332"/>
      <c r="R1034" s="219"/>
      <c r="S1034" s="332"/>
      <c r="T1034" s="219"/>
      <c r="U1034" s="332"/>
      <c r="V1034" s="332"/>
      <c r="W1034" s="370"/>
      <c r="X1034" s="370"/>
      <c r="Y1034" s="370"/>
      <c r="Z1034" s="370"/>
      <c r="AA1034" s="370"/>
      <c r="AB1034" s="370"/>
      <c r="AC1034" s="370"/>
      <c r="AD1034" s="370"/>
      <c r="AE1034" s="370"/>
      <c r="AF1034" s="370"/>
      <c r="AG1034" s="370"/>
      <c r="AH1034" s="370"/>
      <c r="AI1034" s="370"/>
      <c r="AJ1034" s="370"/>
      <c r="AL1034" s="219"/>
      <c r="AM1034" s="219"/>
      <c r="AN1034" s="219"/>
      <c r="AO1034" s="116"/>
      <c r="AP1034" s="116"/>
      <c r="AU1034" s="332"/>
      <c r="AV1034" s="332"/>
      <c r="AW1034" s="332"/>
      <c r="AX1034" s="332"/>
      <c r="AY1034" s="332"/>
      <c r="AZ1034" s="332"/>
      <c r="BA1034" s="332"/>
      <c r="BB1034" s="31"/>
      <c r="BC1034" s="31"/>
      <c r="BD1034" s="31"/>
      <c r="BE1034" s="31"/>
    </row>
    <row r="1035" spans="1:57" ht="13">
      <c r="A1035" s="153"/>
      <c r="F1035" s="153"/>
      <c r="G1035" s="116"/>
      <c r="H1035" s="116"/>
      <c r="I1035" s="116"/>
      <c r="J1035" s="116"/>
      <c r="K1035" s="219"/>
      <c r="L1035" s="116"/>
      <c r="M1035" s="31"/>
      <c r="N1035" s="336"/>
      <c r="O1035" s="336"/>
      <c r="P1035" s="219"/>
      <c r="Q1035" s="332"/>
      <c r="R1035" s="219"/>
      <c r="S1035" s="332"/>
      <c r="T1035" s="219"/>
      <c r="U1035" s="332"/>
      <c r="V1035" s="332"/>
      <c r="W1035" s="370"/>
      <c r="X1035" s="370"/>
      <c r="Y1035" s="370"/>
      <c r="Z1035" s="370"/>
      <c r="AA1035" s="370"/>
      <c r="AB1035" s="370"/>
      <c r="AC1035" s="370"/>
      <c r="AD1035" s="370"/>
      <c r="AE1035" s="370"/>
      <c r="AF1035" s="370"/>
      <c r="AG1035" s="370"/>
      <c r="AH1035" s="370"/>
      <c r="AI1035" s="370"/>
      <c r="AJ1035" s="370"/>
      <c r="AL1035" s="219"/>
      <c r="AM1035" s="219"/>
      <c r="AN1035" s="219"/>
      <c r="AO1035" s="116"/>
      <c r="AP1035" s="116"/>
      <c r="AU1035" s="332"/>
      <c r="AV1035" s="332"/>
      <c r="AW1035" s="332"/>
      <c r="AX1035" s="332"/>
      <c r="AY1035" s="332"/>
      <c r="AZ1035" s="332"/>
      <c r="BA1035" s="332"/>
      <c r="BB1035" s="31"/>
      <c r="BC1035" s="31"/>
      <c r="BD1035" s="31"/>
      <c r="BE1035" s="31"/>
    </row>
    <row r="1036" spans="1:57" ht="13">
      <c r="A1036" s="153"/>
      <c r="F1036" s="153"/>
      <c r="G1036" s="116"/>
      <c r="H1036" s="116"/>
      <c r="I1036" s="116"/>
      <c r="J1036" s="116"/>
      <c r="K1036" s="219"/>
      <c r="L1036" s="116"/>
      <c r="M1036" s="31"/>
      <c r="N1036" s="336"/>
      <c r="O1036" s="336"/>
      <c r="P1036" s="219"/>
      <c r="Q1036" s="332"/>
      <c r="R1036" s="219"/>
      <c r="S1036" s="332"/>
      <c r="T1036" s="219"/>
      <c r="U1036" s="332"/>
      <c r="V1036" s="332"/>
      <c r="W1036" s="370"/>
      <c r="X1036" s="370"/>
      <c r="Y1036" s="370"/>
      <c r="Z1036" s="370"/>
      <c r="AA1036" s="370"/>
      <c r="AB1036" s="370"/>
      <c r="AC1036" s="370"/>
      <c r="AD1036" s="370"/>
      <c r="AE1036" s="370"/>
      <c r="AF1036" s="370"/>
      <c r="AG1036" s="370"/>
      <c r="AH1036" s="370"/>
      <c r="AI1036" s="370"/>
      <c r="AJ1036" s="370"/>
      <c r="AL1036" s="219"/>
      <c r="AM1036" s="219"/>
      <c r="AN1036" s="219"/>
      <c r="AO1036" s="116"/>
      <c r="AP1036" s="116"/>
      <c r="AU1036" s="332"/>
      <c r="AV1036" s="332"/>
      <c r="AW1036" s="332"/>
      <c r="AX1036" s="332"/>
      <c r="AY1036" s="332"/>
      <c r="AZ1036" s="332"/>
      <c r="BA1036" s="332"/>
      <c r="BB1036" s="31"/>
      <c r="BC1036" s="31"/>
      <c r="BD1036" s="31"/>
      <c r="BE1036" s="31"/>
    </row>
    <row r="1037" spans="1:57" ht="13">
      <c r="A1037" s="153"/>
      <c r="F1037" s="153"/>
      <c r="G1037" s="116"/>
      <c r="H1037" s="116"/>
      <c r="I1037" s="116"/>
      <c r="J1037" s="116"/>
      <c r="K1037" s="219"/>
      <c r="L1037" s="116"/>
      <c r="M1037" s="31"/>
      <c r="N1037" s="336"/>
      <c r="O1037" s="336"/>
      <c r="P1037" s="219"/>
      <c r="Q1037" s="332"/>
      <c r="R1037" s="219"/>
      <c r="S1037" s="332"/>
      <c r="T1037" s="219"/>
      <c r="U1037" s="332"/>
      <c r="V1037" s="332"/>
      <c r="W1037" s="370"/>
      <c r="X1037" s="370"/>
      <c r="Y1037" s="370"/>
      <c r="Z1037" s="370"/>
      <c r="AA1037" s="370"/>
      <c r="AB1037" s="370"/>
      <c r="AC1037" s="370"/>
      <c r="AD1037" s="370"/>
      <c r="AE1037" s="370"/>
      <c r="AF1037" s="370"/>
      <c r="AG1037" s="370"/>
      <c r="AH1037" s="370"/>
      <c r="AI1037" s="370"/>
      <c r="AJ1037" s="370"/>
      <c r="AL1037" s="219"/>
      <c r="AM1037" s="219"/>
      <c r="AN1037" s="219"/>
      <c r="AO1037" s="116"/>
      <c r="AP1037" s="116"/>
      <c r="AU1037" s="332"/>
      <c r="AV1037" s="332"/>
      <c r="AW1037" s="332"/>
      <c r="AX1037" s="332"/>
      <c r="AY1037" s="332"/>
      <c r="AZ1037" s="332"/>
      <c r="BA1037" s="332"/>
      <c r="BB1037" s="31"/>
      <c r="BC1037" s="31"/>
      <c r="BD1037" s="31"/>
      <c r="BE1037" s="31"/>
    </row>
    <row r="1038" spans="1:57" ht="13">
      <c r="A1038" s="153"/>
      <c r="F1038" s="153"/>
      <c r="G1038" s="116"/>
      <c r="H1038" s="116"/>
      <c r="I1038" s="116"/>
      <c r="J1038" s="116"/>
      <c r="K1038" s="219"/>
      <c r="L1038" s="116"/>
      <c r="M1038" s="31"/>
      <c r="N1038" s="336"/>
      <c r="O1038" s="336"/>
      <c r="P1038" s="219"/>
      <c r="Q1038" s="332"/>
      <c r="R1038" s="219"/>
      <c r="S1038" s="332"/>
      <c r="T1038" s="219"/>
      <c r="U1038" s="332"/>
      <c r="V1038" s="332"/>
      <c r="W1038" s="370"/>
      <c r="X1038" s="370"/>
      <c r="Y1038" s="370"/>
      <c r="Z1038" s="370"/>
      <c r="AA1038" s="370"/>
      <c r="AB1038" s="370"/>
      <c r="AC1038" s="370"/>
      <c r="AD1038" s="370"/>
      <c r="AE1038" s="370"/>
      <c r="AF1038" s="370"/>
      <c r="AG1038" s="370"/>
      <c r="AH1038" s="370"/>
      <c r="AI1038" s="370"/>
      <c r="AJ1038" s="370"/>
      <c r="AL1038" s="219"/>
      <c r="AM1038" s="219"/>
      <c r="AN1038" s="219"/>
      <c r="AO1038" s="116"/>
      <c r="AP1038" s="116"/>
      <c r="AU1038" s="332"/>
      <c r="AV1038" s="332"/>
      <c r="AW1038" s="332"/>
      <c r="AX1038" s="332"/>
      <c r="AY1038" s="332"/>
      <c r="AZ1038" s="332"/>
      <c r="BA1038" s="332"/>
      <c r="BB1038" s="31"/>
      <c r="BC1038" s="31"/>
      <c r="BD1038" s="31"/>
      <c r="BE1038" s="31"/>
    </row>
    <row r="1039" spans="1:57" ht="13">
      <c r="A1039" s="153"/>
      <c r="F1039" s="153"/>
      <c r="G1039" s="116"/>
      <c r="H1039" s="116"/>
      <c r="I1039" s="116"/>
      <c r="J1039" s="116"/>
      <c r="K1039" s="219"/>
      <c r="L1039" s="116"/>
      <c r="M1039" s="31"/>
      <c r="N1039" s="336"/>
      <c r="O1039" s="336"/>
      <c r="P1039" s="219"/>
      <c r="Q1039" s="332"/>
      <c r="R1039" s="219"/>
      <c r="S1039" s="332"/>
      <c r="T1039" s="219"/>
      <c r="U1039" s="332"/>
      <c r="V1039" s="332"/>
      <c r="W1039" s="370"/>
      <c r="X1039" s="370"/>
      <c r="Y1039" s="370"/>
      <c r="Z1039" s="370"/>
      <c r="AA1039" s="370"/>
      <c r="AB1039" s="370"/>
      <c r="AC1039" s="370"/>
      <c r="AD1039" s="370"/>
      <c r="AE1039" s="370"/>
      <c r="AF1039" s="370"/>
      <c r="AG1039" s="370"/>
      <c r="AH1039" s="370"/>
      <c r="AI1039" s="370"/>
      <c r="AJ1039" s="370"/>
      <c r="AL1039" s="219"/>
      <c r="AM1039" s="219"/>
      <c r="AN1039" s="219"/>
      <c r="AO1039" s="116"/>
      <c r="AP1039" s="116"/>
      <c r="AU1039" s="332"/>
      <c r="AV1039" s="332"/>
      <c r="AW1039" s="332"/>
      <c r="AX1039" s="332"/>
      <c r="AY1039" s="332"/>
      <c r="AZ1039" s="332"/>
      <c r="BA1039" s="332"/>
      <c r="BB1039" s="31"/>
      <c r="BC1039" s="31"/>
      <c r="BD1039" s="31"/>
      <c r="BE1039" s="31"/>
    </row>
    <row r="1040" spans="1:57" ht="13">
      <c r="A1040" s="153"/>
      <c r="F1040" s="153"/>
      <c r="G1040" s="116"/>
      <c r="H1040" s="116"/>
      <c r="I1040" s="116"/>
      <c r="J1040" s="116"/>
      <c r="K1040" s="219"/>
      <c r="L1040" s="116"/>
      <c r="M1040" s="31"/>
      <c r="N1040" s="336"/>
      <c r="O1040" s="336"/>
      <c r="P1040" s="219"/>
      <c r="Q1040" s="332"/>
      <c r="R1040" s="219"/>
      <c r="S1040" s="332"/>
      <c r="T1040" s="219"/>
      <c r="U1040" s="332"/>
      <c r="V1040" s="332"/>
      <c r="W1040" s="370"/>
      <c r="X1040" s="370"/>
      <c r="Y1040" s="370"/>
      <c r="Z1040" s="370"/>
      <c r="AA1040" s="370"/>
      <c r="AB1040" s="370"/>
      <c r="AC1040" s="370"/>
      <c r="AD1040" s="370"/>
      <c r="AE1040" s="370"/>
      <c r="AF1040" s="370"/>
      <c r="AG1040" s="370"/>
      <c r="AH1040" s="370"/>
      <c r="AI1040" s="370"/>
      <c r="AJ1040" s="370"/>
      <c r="AL1040" s="219"/>
      <c r="AM1040" s="219"/>
      <c r="AN1040" s="219"/>
      <c r="AO1040" s="116"/>
      <c r="AP1040" s="116"/>
      <c r="AU1040" s="332"/>
      <c r="AV1040" s="332"/>
      <c r="AW1040" s="332"/>
      <c r="AX1040" s="332"/>
      <c r="AY1040" s="332"/>
      <c r="AZ1040" s="332"/>
      <c r="BA1040" s="332"/>
      <c r="BB1040" s="31"/>
      <c r="BC1040" s="31"/>
      <c r="BD1040" s="31"/>
      <c r="BE1040" s="31"/>
    </row>
    <row r="1041" spans="1:57" ht="13">
      <c r="A1041" s="153"/>
      <c r="F1041" s="153"/>
      <c r="G1041" s="116"/>
      <c r="H1041" s="116"/>
      <c r="I1041" s="116"/>
      <c r="J1041" s="116"/>
      <c r="K1041" s="219"/>
      <c r="L1041" s="116"/>
      <c r="M1041" s="31"/>
      <c r="N1041" s="336"/>
      <c r="O1041" s="336"/>
      <c r="P1041" s="219"/>
      <c r="Q1041" s="332"/>
      <c r="R1041" s="219"/>
      <c r="S1041" s="332"/>
      <c r="T1041" s="219"/>
      <c r="U1041" s="332"/>
      <c r="V1041" s="332"/>
      <c r="W1041" s="370"/>
      <c r="X1041" s="370"/>
      <c r="Y1041" s="370"/>
      <c r="Z1041" s="370"/>
      <c r="AA1041" s="370"/>
      <c r="AB1041" s="370"/>
      <c r="AC1041" s="370"/>
      <c r="AD1041" s="370"/>
      <c r="AE1041" s="370"/>
      <c r="AF1041" s="370"/>
      <c r="AG1041" s="370"/>
      <c r="AH1041" s="370"/>
      <c r="AI1041" s="370"/>
      <c r="AJ1041" s="370"/>
      <c r="AL1041" s="219"/>
      <c r="AM1041" s="219"/>
      <c r="AN1041" s="219"/>
      <c r="AO1041" s="116"/>
      <c r="AP1041" s="116"/>
      <c r="AU1041" s="332"/>
      <c r="AV1041" s="332"/>
      <c r="AW1041" s="332"/>
      <c r="AX1041" s="332"/>
      <c r="AY1041" s="332"/>
      <c r="AZ1041" s="332"/>
      <c r="BA1041" s="332"/>
      <c r="BB1041" s="31"/>
      <c r="BC1041" s="31"/>
      <c r="BD1041" s="31"/>
      <c r="BE1041" s="31"/>
    </row>
    <row r="1042" spans="1:57" ht="13">
      <c r="A1042" s="153"/>
      <c r="F1042" s="153"/>
      <c r="G1042" s="116"/>
      <c r="H1042" s="116"/>
      <c r="I1042" s="116"/>
      <c r="J1042" s="116"/>
      <c r="K1042" s="219"/>
      <c r="L1042" s="116"/>
      <c r="M1042" s="31"/>
      <c r="N1042" s="336"/>
      <c r="O1042" s="336"/>
      <c r="P1042" s="219"/>
      <c r="Q1042" s="332"/>
      <c r="R1042" s="219"/>
      <c r="S1042" s="332"/>
      <c r="T1042" s="219"/>
      <c r="U1042" s="332"/>
      <c r="V1042" s="332"/>
      <c r="W1042" s="370"/>
      <c r="X1042" s="370"/>
      <c r="Y1042" s="370"/>
      <c r="Z1042" s="370"/>
      <c r="AA1042" s="370"/>
      <c r="AB1042" s="370"/>
      <c r="AC1042" s="370"/>
      <c r="AD1042" s="370"/>
      <c r="AE1042" s="370"/>
      <c r="AF1042" s="370"/>
      <c r="AG1042" s="370"/>
      <c r="AH1042" s="370"/>
      <c r="AI1042" s="370"/>
      <c r="AJ1042" s="370"/>
      <c r="AL1042" s="219"/>
      <c r="AM1042" s="219"/>
      <c r="AN1042" s="219"/>
      <c r="AO1042" s="116"/>
      <c r="AP1042" s="116"/>
      <c r="AU1042" s="332"/>
      <c r="AV1042" s="332"/>
      <c r="AW1042" s="332"/>
      <c r="AX1042" s="332"/>
      <c r="AY1042" s="332"/>
      <c r="AZ1042" s="332"/>
      <c r="BA1042" s="332"/>
      <c r="BB1042" s="31"/>
      <c r="BC1042" s="31"/>
      <c r="BD1042" s="31"/>
      <c r="BE1042" s="31"/>
    </row>
    <row r="1043" spans="1:57" ht="13">
      <c r="A1043" s="153"/>
      <c r="F1043" s="153"/>
      <c r="G1043" s="116"/>
      <c r="H1043" s="116"/>
      <c r="I1043" s="116"/>
      <c r="J1043" s="116"/>
      <c r="K1043" s="219"/>
      <c r="L1043" s="116"/>
      <c r="M1043" s="31"/>
      <c r="N1043" s="336"/>
      <c r="O1043" s="336"/>
      <c r="P1043" s="219"/>
      <c r="Q1043" s="332"/>
      <c r="R1043" s="219"/>
      <c r="S1043" s="332"/>
      <c r="T1043" s="219"/>
      <c r="U1043" s="332"/>
      <c r="V1043" s="332"/>
      <c r="W1043" s="370"/>
      <c r="X1043" s="370"/>
      <c r="Y1043" s="370"/>
      <c r="Z1043" s="370"/>
      <c r="AA1043" s="370"/>
      <c r="AB1043" s="370"/>
      <c r="AC1043" s="370"/>
      <c r="AD1043" s="370"/>
      <c r="AE1043" s="370"/>
      <c r="AF1043" s="370"/>
      <c r="AG1043" s="370"/>
      <c r="AH1043" s="370"/>
      <c r="AI1043" s="370"/>
      <c r="AJ1043" s="370"/>
      <c r="AL1043" s="219"/>
      <c r="AM1043" s="219"/>
      <c r="AN1043" s="219"/>
      <c r="AO1043" s="116"/>
      <c r="AP1043" s="116"/>
      <c r="AU1043" s="332"/>
      <c r="AV1043" s="332"/>
      <c r="AW1043" s="332"/>
      <c r="AX1043" s="332"/>
      <c r="AY1043" s="332"/>
      <c r="AZ1043" s="332"/>
      <c r="BA1043" s="332"/>
      <c r="BB1043" s="31"/>
      <c r="BC1043" s="31"/>
      <c r="BD1043" s="31"/>
      <c r="BE1043" s="31"/>
    </row>
    <row r="1044" spans="1:57" ht="13">
      <c r="A1044" s="153"/>
      <c r="F1044" s="153"/>
      <c r="G1044" s="116"/>
      <c r="H1044" s="116"/>
      <c r="I1044" s="116"/>
      <c r="J1044" s="116"/>
      <c r="K1044" s="219"/>
      <c r="L1044" s="116"/>
      <c r="M1044" s="31"/>
      <c r="N1044" s="336"/>
      <c r="O1044" s="336"/>
      <c r="P1044" s="219"/>
      <c r="Q1044" s="332"/>
      <c r="R1044" s="219"/>
      <c r="S1044" s="332"/>
      <c r="T1044" s="219"/>
      <c r="U1044" s="332"/>
      <c r="V1044" s="332"/>
      <c r="W1044" s="370"/>
      <c r="X1044" s="370"/>
      <c r="Y1044" s="370"/>
      <c r="Z1044" s="370"/>
      <c r="AA1044" s="370"/>
      <c r="AB1044" s="370"/>
      <c r="AC1044" s="370"/>
      <c r="AD1044" s="370"/>
      <c r="AE1044" s="370"/>
      <c r="AF1044" s="370"/>
      <c r="AG1044" s="370"/>
      <c r="AH1044" s="370"/>
      <c r="AI1044" s="370"/>
      <c r="AJ1044" s="370"/>
      <c r="AL1044" s="219"/>
      <c r="AM1044" s="219"/>
      <c r="AN1044" s="219"/>
      <c r="AO1044" s="116"/>
      <c r="AP1044" s="116"/>
      <c r="AU1044" s="332"/>
      <c r="AV1044" s="332"/>
      <c r="AW1044" s="332"/>
      <c r="AX1044" s="332"/>
      <c r="AY1044" s="332"/>
      <c r="AZ1044" s="332"/>
      <c r="BA1044" s="332"/>
      <c r="BB1044" s="31"/>
      <c r="BC1044" s="31"/>
      <c r="BD1044" s="31"/>
      <c r="BE1044" s="31"/>
    </row>
    <row r="1045" spans="1:57" ht="13">
      <c r="A1045" s="153"/>
      <c r="F1045" s="153"/>
      <c r="G1045" s="116"/>
      <c r="H1045" s="116"/>
      <c r="I1045" s="116"/>
      <c r="J1045" s="116"/>
      <c r="K1045" s="219"/>
      <c r="L1045" s="116"/>
      <c r="M1045" s="31"/>
      <c r="N1045" s="336"/>
      <c r="O1045" s="336"/>
      <c r="P1045" s="219"/>
      <c r="Q1045" s="332"/>
      <c r="R1045" s="219"/>
      <c r="S1045" s="332"/>
      <c r="T1045" s="219"/>
      <c r="U1045" s="332"/>
      <c r="V1045" s="332"/>
      <c r="W1045" s="370"/>
      <c r="X1045" s="370"/>
      <c r="Y1045" s="370"/>
      <c r="Z1045" s="370"/>
      <c r="AA1045" s="370"/>
      <c r="AB1045" s="370"/>
      <c r="AC1045" s="370"/>
      <c r="AD1045" s="370"/>
      <c r="AE1045" s="370"/>
      <c r="AF1045" s="370"/>
      <c r="AG1045" s="370"/>
      <c r="AH1045" s="370"/>
      <c r="AI1045" s="370"/>
      <c r="AJ1045" s="370"/>
      <c r="AL1045" s="219"/>
      <c r="AM1045" s="219"/>
      <c r="AN1045" s="219"/>
      <c r="AO1045" s="116"/>
      <c r="AP1045" s="116"/>
      <c r="AU1045" s="332"/>
      <c r="AV1045" s="332"/>
      <c r="AW1045" s="332"/>
      <c r="AX1045" s="332"/>
      <c r="AY1045" s="332"/>
      <c r="AZ1045" s="332"/>
      <c r="BA1045" s="332"/>
      <c r="BB1045" s="31"/>
      <c r="BC1045" s="31"/>
      <c r="BD1045" s="31"/>
      <c r="BE1045" s="31"/>
    </row>
    <row r="1046" spans="1:57" ht="13">
      <c r="A1046" s="153"/>
      <c r="F1046" s="153"/>
      <c r="G1046" s="116"/>
      <c r="H1046" s="116"/>
      <c r="I1046" s="116"/>
      <c r="J1046" s="116"/>
      <c r="K1046" s="219"/>
      <c r="L1046" s="116"/>
      <c r="M1046" s="31"/>
      <c r="N1046" s="336"/>
      <c r="O1046" s="336"/>
      <c r="P1046" s="219"/>
      <c r="Q1046" s="332"/>
      <c r="R1046" s="219"/>
      <c r="S1046" s="332"/>
      <c r="T1046" s="219"/>
      <c r="U1046" s="332"/>
      <c r="V1046" s="332"/>
      <c r="W1046" s="370"/>
      <c r="X1046" s="370"/>
      <c r="Y1046" s="370"/>
      <c r="Z1046" s="370"/>
      <c r="AA1046" s="370"/>
      <c r="AB1046" s="370"/>
      <c r="AC1046" s="370"/>
      <c r="AD1046" s="370"/>
      <c r="AE1046" s="370"/>
      <c r="AF1046" s="370"/>
      <c r="AG1046" s="370"/>
      <c r="AH1046" s="370"/>
      <c r="AI1046" s="370"/>
      <c r="AJ1046" s="370"/>
      <c r="AL1046" s="219"/>
      <c r="AM1046" s="219"/>
      <c r="AN1046" s="219"/>
      <c r="AO1046" s="116"/>
      <c r="AP1046" s="116"/>
      <c r="AU1046" s="332"/>
      <c r="AV1046" s="332"/>
      <c r="AW1046" s="332"/>
      <c r="AX1046" s="332"/>
      <c r="AY1046" s="332"/>
      <c r="AZ1046" s="332"/>
      <c r="BA1046" s="332"/>
      <c r="BB1046" s="31"/>
      <c r="BC1046" s="31"/>
      <c r="BD1046" s="31"/>
      <c r="BE1046" s="31"/>
    </row>
    <row r="1047" spans="1:57" ht="13">
      <c r="A1047" s="153"/>
      <c r="F1047" s="153"/>
      <c r="G1047" s="116"/>
      <c r="H1047" s="116"/>
      <c r="I1047" s="116"/>
      <c r="J1047" s="116"/>
      <c r="K1047" s="219"/>
      <c r="L1047" s="116"/>
      <c r="M1047" s="31"/>
      <c r="N1047" s="336"/>
      <c r="O1047" s="336"/>
      <c r="P1047" s="219"/>
      <c r="Q1047" s="332"/>
      <c r="R1047" s="219"/>
      <c r="S1047" s="332"/>
      <c r="T1047" s="219"/>
      <c r="U1047" s="332"/>
      <c r="V1047" s="332"/>
      <c r="W1047" s="370"/>
      <c r="X1047" s="370"/>
      <c r="Y1047" s="370"/>
      <c r="Z1047" s="370"/>
      <c r="AA1047" s="370"/>
      <c r="AB1047" s="370"/>
      <c r="AC1047" s="370"/>
      <c r="AD1047" s="370"/>
      <c r="AE1047" s="370"/>
      <c r="AF1047" s="370"/>
      <c r="AG1047" s="370"/>
      <c r="AH1047" s="370"/>
      <c r="AI1047" s="370"/>
      <c r="AJ1047" s="370"/>
      <c r="AL1047" s="219"/>
      <c r="AM1047" s="219"/>
      <c r="AN1047" s="219"/>
      <c r="AO1047" s="116"/>
      <c r="AP1047" s="116"/>
      <c r="AU1047" s="332"/>
      <c r="AV1047" s="332"/>
      <c r="AW1047" s="332"/>
      <c r="AX1047" s="332"/>
      <c r="AY1047" s="332"/>
      <c r="AZ1047" s="332"/>
      <c r="BA1047" s="332"/>
      <c r="BB1047" s="31"/>
      <c r="BC1047" s="31"/>
      <c r="BD1047" s="31"/>
      <c r="BE1047" s="31"/>
    </row>
    <row r="1048" spans="1:57" ht="13">
      <c r="A1048" s="153"/>
      <c r="F1048" s="153"/>
      <c r="G1048" s="116"/>
      <c r="H1048" s="116"/>
      <c r="I1048" s="116"/>
      <c r="J1048" s="116"/>
      <c r="K1048" s="219"/>
      <c r="L1048" s="116"/>
      <c r="M1048" s="31"/>
      <c r="N1048" s="336"/>
      <c r="O1048" s="336"/>
      <c r="P1048" s="219"/>
      <c r="Q1048" s="332"/>
      <c r="R1048" s="219"/>
      <c r="S1048" s="332"/>
      <c r="T1048" s="219"/>
      <c r="U1048" s="332"/>
      <c r="V1048" s="332"/>
      <c r="W1048" s="370"/>
      <c r="X1048" s="370"/>
      <c r="Y1048" s="370"/>
      <c r="Z1048" s="370"/>
      <c r="AA1048" s="370"/>
      <c r="AB1048" s="370"/>
      <c r="AC1048" s="370"/>
      <c r="AD1048" s="370"/>
      <c r="AE1048" s="370"/>
      <c r="AF1048" s="370"/>
      <c r="AG1048" s="370"/>
      <c r="AH1048" s="370"/>
      <c r="AI1048" s="370"/>
      <c r="AJ1048" s="370"/>
      <c r="AL1048" s="219"/>
      <c r="AM1048" s="219"/>
      <c r="AN1048" s="219"/>
      <c r="AO1048" s="116"/>
      <c r="AP1048" s="116"/>
      <c r="AU1048" s="332"/>
      <c r="AV1048" s="332"/>
      <c r="AW1048" s="332"/>
      <c r="AX1048" s="332"/>
      <c r="AY1048" s="332"/>
      <c r="AZ1048" s="332"/>
      <c r="BA1048" s="332"/>
      <c r="BB1048" s="31"/>
      <c r="BC1048" s="31"/>
      <c r="BD1048" s="31"/>
      <c r="BE1048" s="31"/>
    </row>
    <row r="1049" spans="1:57" ht="13">
      <c r="A1049" s="153"/>
      <c r="F1049" s="153"/>
      <c r="G1049" s="116"/>
      <c r="H1049" s="116"/>
      <c r="I1049" s="116"/>
      <c r="J1049" s="116"/>
      <c r="K1049" s="219"/>
      <c r="L1049" s="116"/>
      <c r="M1049" s="31"/>
      <c r="N1049" s="336"/>
      <c r="O1049" s="336"/>
      <c r="P1049" s="219"/>
      <c r="Q1049" s="332"/>
      <c r="R1049" s="219"/>
      <c r="S1049" s="332"/>
      <c r="T1049" s="219"/>
      <c r="U1049" s="332"/>
      <c r="V1049" s="332"/>
      <c r="W1049" s="370"/>
      <c r="X1049" s="370"/>
      <c r="Y1049" s="370"/>
      <c r="Z1049" s="370"/>
      <c r="AA1049" s="370"/>
      <c r="AB1049" s="370"/>
      <c r="AC1049" s="370"/>
      <c r="AD1049" s="370"/>
      <c r="AE1049" s="370"/>
      <c r="AF1049" s="370"/>
      <c r="AG1049" s="370"/>
      <c r="AH1049" s="370"/>
      <c r="AI1049" s="370"/>
      <c r="AJ1049" s="370"/>
      <c r="AL1049" s="219"/>
      <c r="AM1049" s="219"/>
      <c r="AN1049" s="219"/>
      <c r="AO1049" s="116"/>
      <c r="AP1049" s="116"/>
      <c r="AU1049" s="332"/>
      <c r="AV1049" s="332"/>
      <c r="AW1049" s="332"/>
      <c r="AX1049" s="332"/>
      <c r="AY1049" s="332"/>
      <c r="AZ1049" s="332"/>
      <c r="BA1049" s="332"/>
      <c r="BB1049" s="31"/>
      <c r="BC1049" s="31"/>
      <c r="BD1049" s="31"/>
      <c r="BE1049" s="31"/>
    </row>
    <row r="1050" spans="1:57" ht="13">
      <c r="A1050" s="153"/>
      <c r="F1050" s="153"/>
      <c r="G1050" s="116"/>
      <c r="H1050" s="116"/>
      <c r="I1050" s="116"/>
      <c r="J1050" s="116"/>
      <c r="K1050" s="219"/>
      <c r="L1050" s="116"/>
      <c r="M1050" s="31"/>
      <c r="N1050" s="336"/>
      <c r="O1050" s="336"/>
      <c r="P1050" s="219"/>
      <c r="Q1050" s="332"/>
      <c r="R1050" s="219"/>
      <c r="S1050" s="332"/>
      <c r="T1050" s="219"/>
      <c r="U1050" s="332"/>
      <c r="V1050" s="332"/>
      <c r="W1050" s="370"/>
      <c r="X1050" s="370"/>
      <c r="Y1050" s="370"/>
      <c r="Z1050" s="370"/>
      <c r="AA1050" s="370"/>
      <c r="AB1050" s="370"/>
      <c r="AC1050" s="370"/>
      <c r="AD1050" s="370"/>
      <c r="AE1050" s="370"/>
      <c r="AF1050" s="370"/>
      <c r="AG1050" s="370"/>
      <c r="AH1050" s="370"/>
      <c r="AI1050" s="370"/>
      <c r="AJ1050" s="370"/>
      <c r="AL1050" s="219"/>
      <c r="AM1050" s="219"/>
      <c r="AN1050" s="219"/>
      <c r="AO1050" s="116"/>
      <c r="AP1050" s="116"/>
      <c r="AU1050" s="332"/>
      <c r="AV1050" s="332"/>
      <c r="AW1050" s="332"/>
      <c r="AX1050" s="332"/>
      <c r="AY1050" s="332"/>
      <c r="AZ1050" s="332"/>
      <c r="BA1050" s="332"/>
      <c r="BB1050" s="31"/>
      <c r="BC1050" s="31"/>
      <c r="BD1050" s="31"/>
      <c r="BE1050" s="31"/>
    </row>
    <row r="1051" spans="1:57" ht="13">
      <c r="A1051" s="153"/>
      <c r="F1051" s="153"/>
      <c r="G1051" s="116"/>
      <c r="H1051" s="116"/>
      <c r="I1051" s="116"/>
      <c r="J1051" s="116"/>
      <c r="K1051" s="219"/>
      <c r="L1051" s="116"/>
      <c r="M1051" s="31"/>
      <c r="N1051" s="336"/>
      <c r="O1051" s="336"/>
      <c r="P1051" s="219"/>
      <c r="Q1051" s="332"/>
      <c r="R1051" s="219"/>
      <c r="S1051" s="332"/>
      <c r="T1051" s="219"/>
      <c r="U1051" s="332"/>
      <c r="V1051" s="332"/>
      <c r="W1051" s="370"/>
      <c r="X1051" s="370"/>
      <c r="Y1051" s="370"/>
      <c r="Z1051" s="370"/>
      <c r="AA1051" s="370"/>
      <c r="AB1051" s="370"/>
      <c r="AC1051" s="370"/>
      <c r="AD1051" s="370"/>
      <c r="AE1051" s="370"/>
      <c r="AF1051" s="370"/>
      <c r="AG1051" s="370"/>
      <c r="AH1051" s="370"/>
      <c r="AI1051" s="370"/>
      <c r="AJ1051" s="370"/>
      <c r="AL1051" s="219"/>
      <c r="AM1051" s="219"/>
      <c r="AN1051" s="219"/>
      <c r="AO1051" s="116"/>
      <c r="AP1051" s="116"/>
      <c r="AU1051" s="332"/>
      <c r="AV1051" s="332"/>
      <c r="AW1051" s="332"/>
      <c r="AX1051" s="332"/>
      <c r="AY1051" s="332"/>
      <c r="AZ1051" s="332"/>
      <c r="BA1051" s="332"/>
      <c r="BB1051" s="31"/>
      <c r="BC1051" s="31"/>
      <c r="BD1051" s="31"/>
      <c r="BE1051" s="31"/>
    </row>
    <row r="1052" spans="1:57" ht="13">
      <c r="A1052" s="153"/>
      <c r="F1052" s="153"/>
      <c r="G1052" s="116"/>
      <c r="H1052" s="116"/>
      <c r="I1052" s="116"/>
      <c r="J1052" s="116"/>
      <c r="K1052" s="219"/>
      <c r="L1052" s="116"/>
      <c r="M1052" s="31"/>
      <c r="N1052" s="336"/>
      <c r="O1052" s="336"/>
      <c r="P1052" s="219"/>
      <c r="Q1052" s="332"/>
      <c r="R1052" s="219"/>
      <c r="S1052" s="332"/>
      <c r="T1052" s="219"/>
      <c r="U1052" s="332"/>
      <c r="V1052" s="332"/>
      <c r="W1052" s="370"/>
      <c r="X1052" s="370"/>
      <c r="Y1052" s="370"/>
      <c r="Z1052" s="370"/>
      <c r="AA1052" s="370"/>
      <c r="AB1052" s="370"/>
      <c r="AC1052" s="370"/>
      <c r="AD1052" s="370"/>
      <c r="AE1052" s="370"/>
      <c r="AF1052" s="370"/>
      <c r="AG1052" s="370"/>
      <c r="AH1052" s="370"/>
      <c r="AI1052" s="370"/>
      <c r="AJ1052" s="370"/>
      <c r="AL1052" s="219"/>
      <c r="AM1052" s="219"/>
      <c r="AN1052" s="219"/>
      <c r="AO1052" s="116"/>
      <c r="AP1052" s="116"/>
      <c r="AU1052" s="332"/>
      <c r="AV1052" s="332"/>
      <c r="AW1052" s="332"/>
      <c r="AX1052" s="332"/>
      <c r="AY1052" s="332"/>
      <c r="AZ1052" s="332"/>
      <c r="BA1052" s="332"/>
      <c r="BB1052" s="31"/>
      <c r="BC1052" s="31"/>
      <c r="BD1052" s="31"/>
      <c r="BE1052" s="31"/>
    </row>
    <row r="1053" spans="1:57" ht="13">
      <c r="A1053" s="153"/>
      <c r="F1053" s="153"/>
      <c r="G1053" s="116"/>
      <c r="H1053" s="116"/>
      <c r="I1053" s="116"/>
      <c r="J1053" s="116"/>
      <c r="K1053" s="219"/>
      <c r="L1053" s="116"/>
      <c r="M1053" s="31"/>
      <c r="N1053" s="336"/>
      <c r="O1053" s="336"/>
      <c r="P1053" s="219"/>
      <c r="Q1053" s="332"/>
      <c r="R1053" s="219"/>
      <c r="S1053" s="332"/>
      <c r="T1053" s="219"/>
      <c r="U1053" s="332"/>
      <c r="V1053" s="332"/>
      <c r="W1053" s="370"/>
      <c r="X1053" s="370"/>
      <c r="Y1053" s="370"/>
      <c r="Z1053" s="370"/>
      <c r="AA1053" s="370"/>
      <c r="AB1053" s="370"/>
      <c r="AC1053" s="370"/>
      <c r="AD1053" s="370"/>
      <c r="AE1053" s="370"/>
      <c r="AF1053" s="370"/>
      <c r="AG1053" s="370"/>
      <c r="AH1053" s="370"/>
      <c r="AI1053" s="370"/>
      <c r="AJ1053" s="370"/>
      <c r="AL1053" s="219"/>
      <c r="AM1053" s="219"/>
      <c r="AN1053" s="219"/>
      <c r="AO1053" s="116"/>
      <c r="AP1053" s="116"/>
      <c r="AU1053" s="332"/>
      <c r="AV1053" s="332"/>
      <c r="AW1053" s="332"/>
      <c r="AX1053" s="332"/>
      <c r="AY1053" s="332"/>
      <c r="AZ1053" s="332"/>
      <c r="BA1053" s="332"/>
      <c r="BB1053" s="31"/>
      <c r="BC1053" s="31"/>
      <c r="BD1053" s="31"/>
      <c r="BE1053" s="31"/>
    </row>
    <row r="1054" spans="1:57" ht="13">
      <c r="A1054" s="153"/>
      <c r="F1054" s="153"/>
      <c r="G1054" s="116"/>
      <c r="H1054" s="116"/>
      <c r="I1054" s="116"/>
      <c r="J1054" s="116"/>
      <c r="K1054" s="219"/>
      <c r="L1054" s="116"/>
      <c r="M1054" s="31"/>
      <c r="N1054" s="336"/>
      <c r="O1054" s="336"/>
      <c r="P1054" s="219"/>
      <c r="Q1054" s="332"/>
      <c r="R1054" s="219"/>
      <c r="S1054" s="332"/>
      <c r="T1054" s="219"/>
      <c r="U1054" s="332"/>
      <c r="V1054" s="332"/>
      <c r="W1054" s="370"/>
      <c r="X1054" s="370"/>
      <c r="Y1054" s="370"/>
      <c r="Z1054" s="370"/>
      <c r="AA1054" s="370"/>
      <c r="AB1054" s="370"/>
      <c r="AC1054" s="370"/>
      <c r="AD1054" s="370"/>
      <c r="AE1054" s="370"/>
      <c r="AF1054" s="370"/>
      <c r="AG1054" s="370"/>
      <c r="AH1054" s="370"/>
      <c r="AI1054" s="370"/>
      <c r="AJ1054" s="370"/>
      <c r="AL1054" s="219"/>
      <c r="AM1054" s="219"/>
      <c r="AN1054" s="219"/>
      <c r="AO1054" s="116"/>
      <c r="AP1054" s="116"/>
      <c r="AU1054" s="332"/>
      <c r="AV1054" s="332"/>
      <c r="AW1054" s="332"/>
      <c r="AX1054" s="332"/>
      <c r="AY1054" s="332"/>
      <c r="AZ1054" s="332"/>
      <c r="BA1054" s="332"/>
      <c r="BB1054" s="31"/>
      <c r="BC1054" s="31"/>
      <c r="BD1054" s="31"/>
      <c r="BE1054" s="31"/>
    </row>
    <row r="1055" spans="1:57" ht="13">
      <c r="A1055" s="153"/>
      <c r="F1055" s="153"/>
      <c r="G1055" s="116"/>
      <c r="H1055" s="116"/>
      <c r="I1055" s="116"/>
      <c r="J1055" s="116"/>
      <c r="K1055" s="219"/>
      <c r="L1055" s="116"/>
      <c r="M1055" s="31"/>
      <c r="N1055" s="336"/>
      <c r="O1055" s="336"/>
      <c r="P1055" s="219"/>
      <c r="Q1055" s="332"/>
      <c r="R1055" s="219"/>
      <c r="S1055" s="332"/>
      <c r="T1055" s="219"/>
      <c r="U1055" s="332"/>
      <c r="V1055" s="332"/>
      <c r="W1055" s="370"/>
      <c r="X1055" s="370"/>
      <c r="Y1055" s="370"/>
      <c r="Z1055" s="370"/>
      <c r="AA1055" s="370"/>
      <c r="AB1055" s="370"/>
      <c r="AC1055" s="370"/>
      <c r="AD1055" s="370"/>
      <c r="AE1055" s="370"/>
      <c r="AF1055" s="370"/>
      <c r="AG1055" s="370"/>
      <c r="AH1055" s="370"/>
      <c r="AI1055" s="370"/>
      <c r="AJ1055" s="370"/>
      <c r="AL1055" s="219"/>
      <c r="AM1055" s="219"/>
      <c r="AN1055" s="219"/>
      <c r="AO1055" s="116"/>
      <c r="AP1055" s="116"/>
      <c r="AU1055" s="332"/>
      <c r="AV1055" s="332"/>
      <c r="AW1055" s="332"/>
      <c r="AX1055" s="332"/>
      <c r="AY1055" s="332"/>
      <c r="AZ1055" s="332"/>
      <c r="BA1055" s="332"/>
      <c r="BB1055" s="31"/>
      <c r="BC1055" s="31"/>
      <c r="BD1055" s="31"/>
      <c r="BE1055" s="31"/>
    </row>
    <row r="1056" spans="1:57" ht="13">
      <c r="A1056" s="153"/>
      <c r="F1056" s="153"/>
      <c r="G1056" s="116"/>
      <c r="H1056" s="116"/>
      <c r="I1056" s="116"/>
      <c r="J1056" s="116"/>
      <c r="K1056" s="219"/>
      <c r="L1056" s="116"/>
      <c r="M1056" s="31"/>
      <c r="N1056" s="336"/>
      <c r="O1056" s="336"/>
      <c r="P1056" s="219"/>
      <c r="Q1056" s="332"/>
      <c r="R1056" s="219"/>
      <c r="S1056" s="332"/>
      <c r="T1056" s="219"/>
      <c r="U1056" s="332"/>
      <c r="V1056" s="332"/>
      <c r="W1056" s="370"/>
      <c r="X1056" s="370"/>
      <c r="Y1056" s="370"/>
      <c r="Z1056" s="370"/>
      <c r="AA1056" s="370"/>
      <c r="AB1056" s="370"/>
      <c r="AC1056" s="370"/>
      <c r="AD1056" s="370"/>
      <c r="AE1056" s="370"/>
      <c r="AF1056" s="370"/>
      <c r="AG1056" s="370"/>
      <c r="AH1056" s="370"/>
      <c r="AI1056" s="370"/>
      <c r="AJ1056" s="370"/>
      <c r="AL1056" s="219"/>
      <c r="AM1056" s="219"/>
      <c r="AN1056" s="219"/>
      <c r="AO1056" s="116"/>
      <c r="AP1056" s="116"/>
      <c r="AU1056" s="332"/>
      <c r="AV1056" s="332"/>
      <c r="AW1056" s="332"/>
      <c r="AX1056" s="332"/>
      <c r="AY1056" s="332"/>
      <c r="AZ1056" s="332"/>
      <c r="BA1056" s="332"/>
      <c r="BB1056" s="31"/>
      <c r="BC1056" s="31"/>
      <c r="BD1056" s="31"/>
      <c r="BE1056" s="31"/>
    </row>
    <row r="1057" spans="1:57" ht="13">
      <c r="A1057" s="153"/>
      <c r="F1057" s="153"/>
      <c r="G1057" s="116"/>
      <c r="H1057" s="116"/>
      <c r="I1057" s="116"/>
      <c r="J1057" s="116"/>
      <c r="K1057" s="219"/>
      <c r="L1057" s="116"/>
      <c r="M1057" s="31"/>
      <c r="N1057" s="336"/>
      <c r="O1057" s="336"/>
      <c r="P1057" s="219"/>
      <c r="Q1057" s="332"/>
      <c r="R1057" s="219"/>
      <c r="S1057" s="332"/>
      <c r="T1057" s="219"/>
      <c r="U1057" s="332"/>
      <c r="V1057" s="332"/>
      <c r="W1057" s="370"/>
      <c r="X1057" s="370"/>
      <c r="Y1057" s="370"/>
      <c r="Z1057" s="370"/>
      <c r="AA1057" s="370"/>
      <c r="AB1057" s="370"/>
      <c r="AC1057" s="370"/>
      <c r="AD1057" s="370"/>
      <c r="AE1057" s="370"/>
      <c r="AF1057" s="370"/>
      <c r="AG1057" s="370"/>
      <c r="AH1057" s="370"/>
      <c r="AI1057" s="370"/>
      <c r="AJ1057" s="370"/>
      <c r="AL1057" s="219"/>
      <c r="AM1057" s="219"/>
      <c r="AN1057" s="219"/>
      <c r="AO1057" s="116"/>
      <c r="AP1057" s="116"/>
      <c r="AU1057" s="332"/>
      <c r="AV1057" s="332"/>
      <c r="AW1057" s="332"/>
      <c r="AX1057" s="332"/>
      <c r="AY1057" s="332"/>
      <c r="AZ1057" s="332"/>
      <c r="BA1057" s="332"/>
      <c r="BB1057" s="31"/>
      <c r="BC1057" s="31"/>
      <c r="BD1057" s="31"/>
      <c r="BE1057" s="31"/>
    </row>
    <row r="1058" spans="1:57" ht="13">
      <c r="A1058" s="153"/>
      <c r="F1058" s="153"/>
      <c r="G1058" s="116"/>
      <c r="H1058" s="116"/>
      <c r="I1058" s="116"/>
      <c r="J1058" s="116"/>
      <c r="K1058" s="219"/>
      <c r="L1058" s="116"/>
      <c r="M1058" s="31"/>
      <c r="N1058" s="336"/>
      <c r="O1058" s="336"/>
      <c r="P1058" s="219"/>
      <c r="Q1058" s="332"/>
      <c r="R1058" s="219"/>
      <c r="S1058" s="332"/>
      <c r="T1058" s="219"/>
      <c r="U1058" s="332"/>
      <c r="V1058" s="332"/>
      <c r="W1058" s="370"/>
      <c r="X1058" s="370"/>
      <c r="Y1058" s="370"/>
      <c r="Z1058" s="370"/>
      <c r="AA1058" s="370"/>
      <c r="AB1058" s="370"/>
      <c r="AC1058" s="370"/>
      <c r="AD1058" s="370"/>
      <c r="AE1058" s="370"/>
      <c r="AF1058" s="370"/>
      <c r="AG1058" s="370"/>
      <c r="AH1058" s="370"/>
      <c r="AI1058" s="370"/>
      <c r="AJ1058" s="370"/>
      <c r="AL1058" s="219"/>
      <c r="AM1058" s="219"/>
      <c r="AN1058" s="219"/>
      <c r="AO1058" s="116"/>
      <c r="AP1058" s="116"/>
      <c r="AU1058" s="332"/>
      <c r="AV1058" s="332"/>
      <c r="AW1058" s="332"/>
      <c r="AX1058" s="332"/>
      <c r="AY1058" s="332"/>
      <c r="AZ1058" s="332"/>
      <c r="BA1058" s="332"/>
      <c r="BB1058" s="31"/>
      <c r="BC1058" s="31"/>
      <c r="BD1058" s="31"/>
      <c r="BE1058" s="31"/>
    </row>
    <row r="1059" spans="1:57" ht="13">
      <c r="A1059" s="153"/>
      <c r="F1059" s="153"/>
      <c r="G1059" s="116"/>
      <c r="H1059" s="116"/>
      <c r="I1059" s="116"/>
      <c r="J1059" s="116"/>
      <c r="K1059" s="219"/>
      <c r="L1059" s="116"/>
      <c r="M1059" s="31"/>
      <c r="N1059" s="336"/>
      <c r="O1059" s="336"/>
      <c r="P1059" s="219"/>
      <c r="Q1059" s="332"/>
      <c r="R1059" s="219"/>
      <c r="S1059" s="332"/>
      <c r="T1059" s="219"/>
      <c r="U1059" s="332"/>
      <c r="V1059" s="332"/>
      <c r="W1059" s="370"/>
      <c r="X1059" s="370"/>
      <c r="Y1059" s="370"/>
      <c r="Z1059" s="370"/>
      <c r="AA1059" s="370"/>
      <c r="AB1059" s="370"/>
      <c r="AC1059" s="370"/>
      <c r="AD1059" s="370"/>
      <c r="AE1059" s="370"/>
      <c r="AF1059" s="370"/>
      <c r="AG1059" s="370"/>
      <c r="AH1059" s="370"/>
      <c r="AI1059" s="370"/>
      <c r="AJ1059" s="370"/>
      <c r="AL1059" s="219"/>
      <c r="AM1059" s="219"/>
      <c r="AN1059" s="219"/>
      <c r="AO1059" s="116"/>
      <c r="AP1059" s="116"/>
      <c r="AU1059" s="332"/>
      <c r="AV1059" s="332"/>
      <c r="AW1059" s="332"/>
      <c r="AX1059" s="332"/>
      <c r="AY1059" s="332"/>
      <c r="AZ1059" s="332"/>
      <c r="BA1059" s="332"/>
      <c r="BB1059" s="31"/>
      <c r="BC1059" s="31"/>
      <c r="BD1059" s="31"/>
      <c r="BE1059" s="31"/>
    </row>
    <row r="1060" spans="1:57" ht="13">
      <c r="A1060" s="153"/>
      <c r="F1060" s="153"/>
      <c r="G1060" s="116"/>
      <c r="H1060" s="116"/>
      <c r="I1060" s="116"/>
      <c r="J1060" s="116"/>
      <c r="K1060" s="219"/>
      <c r="L1060" s="116"/>
      <c r="M1060" s="31"/>
      <c r="N1060" s="336"/>
      <c r="O1060" s="336"/>
      <c r="P1060" s="219"/>
      <c r="Q1060" s="332"/>
      <c r="R1060" s="219"/>
      <c r="S1060" s="332"/>
      <c r="T1060" s="219"/>
      <c r="U1060" s="332"/>
      <c r="V1060" s="332"/>
      <c r="W1060" s="370"/>
      <c r="X1060" s="370"/>
      <c r="Y1060" s="370"/>
      <c r="Z1060" s="370"/>
      <c r="AA1060" s="370"/>
      <c r="AB1060" s="370"/>
      <c r="AC1060" s="370"/>
      <c r="AD1060" s="370"/>
      <c r="AE1060" s="370"/>
      <c r="AF1060" s="370"/>
      <c r="AG1060" s="370"/>
      <c r="AH1060" s="370"/>
      <c r="AI1060" s="370"/>
      <c r="AJ1060" s="370"/>
      <c r="AL1060" s="219"/>
      <c r="AM1060" s="219"/>
      <c r="AN1060" s="219"/>
      <c r="AO1060" s="116"/>
      <c r="AP1060" s="116"/>
      <c r="AU1060" s="332"/>
      <c r="AV1060" s="332"/>
      <c r="AW1060" s="332"/>
      <c r="AX1060" s="332"/>
      <c r="AY1060" s="332"/>
      <c r="AZ1060" s="332"/>
      <c r="BA1060" s="332"/>
      <c r="BB1060" s="31"/>
      <c r="BC1060" s="31"/>
      <c r="BD1060" s="31"/>
      <c r="BE1060" s="31"/>
    </row>
    <row r="1061" spans="1:57" ht="13">
      <c r="A1061" s="153"/>
      <c r="F1061" s="153"/>
      <c r="G1061" s="116"/>
      <c r="H1061" s="116"/>
      <c r="I1061" s="116"/>
      <c r="J1061" s="116"/>
      <c r="K1061" s="219"/>
      <c r="L1061" s="116"/>
      <c r="M1061" s="31"/>
      <c r="N1061" s="336"/>
      <c r="O1061" s="336"/>
      <c r="P1061" s="219"/>
      <c r="Q1061" s="332"/>
      <c r="R1061" s="219"/>
      <c r="S1061" s="332"/>
      <c r="T1061" s="219"/>
      <c r="U1061" s="332"/>
      <c r="V1061" s="332"/>
      <c r="W1061" s="370"/>
      <c r="X1061" s="370"/>
      <c r="Y1061" s="370"/>
      <c r="Z1061" s="370"/>
      <c r="AA1061" s="370"/>
      <c r="AB1061" s="370"/>
      <c r="AC1061" s="370"/>
      <c r="AD1061" s="370"/>
      <c r="AE1061" s="370"/>
      <c r="AF1061" s="370"/>
      <c r="AG1061" s="370"/>
      <c r="AH1061" s="370"/>
      <c r="AI1061" s="370"/>
      <c r="AJ1061" s="370"/>
      <c r="AL1061" s="219"/>
      <c r="AM1061" s="219"/>
      <c r="AN1061" s="219"/>
      <c r="AO1061" s="116"/>
      <c r="AP1061" s="116"/>
      <c r="AU1061" s="332"/>
      <c r="AV1061" s="332"/>
      <c r="AW1061" s="332"/>
      <c r="AX1061" s="332"/>
      <c r="AY1061" s="332"/>
      <c r="AZ1061" s="332"/>
      <c r="BA1061" s="332"/>
      <c r="BB1061" s="31"/>
      <c r="BC1061" s="31"/>
      <c r="BD1061" s="31"/>
      <c r="BE1061" s="31"/>
    </row>
    <row r="1062" spans="1:57" ht="13">
      <c r="A1062" s="153"/>
      <c r="F1062" s="153"/>
      <c r="G1062" s="116"/>
      <c r="H1062" s="116"/>
      <c r="I1062" s="116"/>
      <c r="J1062" s="116"/>
      <c r="K1062" s="219"/>
      <c r="L1062" s="116"/>
      <c r="M1062" s="31"/>
      <c r="N1062" s="336"/>
      <c r="O1062" s="336"/>
      <c r="P1062" s="219"/>
      <c r="Q1062" s="332"/>
      <c r="R1062" s="219"/>
      <c r="S1062" s="332"/>
      <c r="T1062" s="219"/>
      <c r="U1062" s="332"/>
      <c r="V1062" s="332"/>
      <c r="W1062" s="370"/>
      <c r="X1062" s="370"/>
      <c r="Y1062" s="370"/>
      <c r="Z1062" s="370"/>
      <c r="AA1062" s="370"/>
      <c r="AB1062" s="370"/>
      <c r="AC1062" s="370"/>
      <c r="AD1062" s="370"/>
      <c r="AE1062" s="370"/>
      <c r="AF1062" s="370"/>
      <c r="AG1062" s="370"/>
      <c r="AH1062" s="370"/>
      <c r="AI1062" s="370"/>
      <c r="AJ1062" s="370"/>
      <c r="AL1062" s="219"/>
      <c r="AM1062" s="219"/>
      <c r="AN1062" s="219"/>
      <c r="AO1062" s="116"/>
      <c r="AP1062" s="116"/>
      <c r="AU1062" s="332"/>
      <c r="AV1062" s="332"/>
      <c r="AW1062" s="332"/>
      <c r="AX1062" s="332"/>
      <c r="AY1062" s="332"/>
      <c r="AZ1062" s="332"/>
      <c r="BA1062" s="332"/>
      <c r="BB1062" s="31"/>
      <c r="BC1062" s="31"/>
      <c r="BD1062" s="31"/>
      <c r="BE1062" s="31"/>
    </row>
    <row r="1063" spans="1:57" ht="13">
      <c r="A1063" s="153"/>
      <c r="F1063" s="153"/>
      <c r="G1063" s="116"/>
      <c r="H1063" s="116"/>
      <c r="I1063" s="116"/>
      <c r="J1063" s="116"/>
      <c r="K1063" s="219"/>
      <c r="L1063" s="116"/>
      <c r="M1063" s="31"/>
      <c r="N1063" s="336"/>
      <c r="O1063" s="336"/>
      <c r="P1063" s="219"/>
      <c r="Q1063" s="332"/>
      <c r="R1063" s="219"/>
      <c r="S1063" s="332"/>
      <c r="T1063" s="219"/>
      <c r="U1063" s="332"/>
      <c r="V1063" s="332"/>
      <c r="W1063" s="370"/>
      <c r="X1063" s="370"/>
      <c r="Y1063" s="370"/>
      <c r="Z1063" s="370"/>
      <c r="AA1063" s="370"/>
      <c r="AB1063" s="370"/>
      <c r="AC1063" s="370"/>
      <c r="AD1063" s="370"/>
      <c r="AE1063" s="370"/>
      <c r="AF1063" s="370"/>
      <c r="AG1063" s="370"/>
      <c r="AH1063" s="370"/>
      <c r="AI1063" s="370"/>
      <c r="AJ1063" s="370"/>
      <c r="AL1063" s="219"/>
      <c r="AM1063" s="219"/>
      <c r="AN1063" s="219"/>
      <c r="AO1063" s="116"/>
      <c r="AP1063" s="116"/>
      <c r="AU1063" s="332"/>
      <c r="AV1063" s="332"/>
      <c r="AW1063" s="332"/>
      <c r="AX1063" s="332"/>
      <c r="AY1063" s="332"/>
      <c r="AZ1063" s="332"/>
      <c r="BA1063" s="332"/>
      <c r="BB1063" s="31"/>
      <c r="BC1063" s="31"/>
      <c r="BD1063" s="31"/>
      <c r="BE1063" s="31"/>
    </row>
    <row r="1064" spans="1:57" ht="13">
      <c r="A1064" s="153"/>
      <c r="F1064" s="153"/>
      <c r="G1064" s="116"/>
      <c r="H1064" s="116"/>
      <c r="I1064" s="116"/>
      <c r="J1064" s="116"/>
      <c r="K1064" s="219"/>
      <c r="L1064" s="116"/>
      <c r="M1064" s="31"/>
      <c r="N1064" s="336"/>
      <c r="O1064" s="336"/>
      <c r="P1064" s="219"/>
      <c r="Q1064" s="332"/>
      <c r="R1064" s="219"/>
      <c r="S1064" s="332"/>
      <c r="T1064" s="219"/>
      <c r="U1064" s="332"/>
      <c r="V1064" s="332"/>
      <c r="W1064" s="370"/>
      <c r="X1064" s="370"/>
      <c r="Y1064" s="370"/>
      <c r="Z1064" s="370"/>
      <c r="AA1064" s="370"/>
      <c r="AB1064" s="370"/>
      <c r="AC1064" s="370"/>
      <c r="AD1064" s="370"/>
      <c r="AE1064" s="370"/>
      <c r="AF1064" s="370"/>
      <c r="AG1064" s="370"/>
      <c r="AH1064" s="370"/>
      <c r="AI1064" s="370"/>
      <c r="AJ1064" s="370"/>
      <c r="AL1064" s="219"/>
      <c r="AM1064" s="219"/>
      <c r="AN1064" s="219"/>
      <c r="AO1064" s="116"/>
      <c r="AP1064" s="116"/>
      <c r="AU1064" s="332"/>
      <c r="AV1064" s="332"/>
      <c r="AW1064" s="332"/>
      <c r="AX1064" s="332"/>
      <c r="AY1064" s="332"/>
      <c r="AZ1064" s="332"/>
      <c r="BA1064" s="332"/>
      <c r="BB1064" s="31"/>
      <c r="BC1064" s="31"/>
      <c r="BD1064" s="31"/>
      <c r="BE1064" s="31"/>
    </row>
    <row r="1065" spans="1:57" ht="13">
      <c r="A1065" s="153"/>
      <c r="F1065" s="153"/>
      <c r="G1065" s="116"/>
      <c r="H1065" s="116"/>
      <c r="I1065" s="116"/>
      <c r="J1065" s="116"/>
      <c r="K1065" s="219"/>
      <c r="L1065" s="116"/>
      <c r="M1065" s="31"/>
      <c r="N1065" s="336"/>
      <c r="O1065" s="336"/>
      <c r="P1065" s="219"/>
      <c r="Q1065" s="332"/>
      <c r="R1065" s="219"/>
      <c r="S1065" s="332"/>
      <c r="T1065" s="219"/>
      <c r="U1065" s="332"/>
      <c r="V1065" s="332"/>
      <c r="W1065" s="370"/>
      <c r="X1065" s="370"/>
      <c r="Y1065" s="370"/>
      <c r="Z1065" s="370"/>
      <c r="AA1065" s="370"/>
      <c r="AB1065" s="370"/>
      <c r="AC1065" s="370"/>
      <c r="AD1065" s="370"/>
      <c r="AE1065" s="370"/>
      <c r="AF1065" s="370"/>
      <c r="AG1065" s="370"/>
      <c r="AH1065" s="370"/>
      <c r="AI1065" s="370"/>
      <c r="AJ1065" s="370"/>
      <c r="AL1065" s="219"/>
      <c r="AM1065" s="219"/>
      <c r="AN1065" s="219"/>
      <c r="AO1065" s="116"/>
      <c r="AP1065" s="116"/>
      <c r="AU1065" s="332"/>
      <c r="AV1065" s="332"/>
      <c r="AW1065" s="332"/>
      <c r="AX1065" s="332"/>
      <c r="AY1065" s="332"/>
      <c r="AZ1065" s="332"/>
      <c r="BA1065" s="332"/>
      <c r="BB1065" s="31"/>
      <c r="BC1065" s="31"/>
      <c r="BD1065" s="31"/>
      <c r="BE1065" s="31"/>
    </row>
    <row r="1066" spans="1:57" ht="13">
      <c r="A1066" s="153"/>
      <c r="F1066" s="153"/>
      <c r="G1066" s="116"/>
      <c r="H1066" s="116"/>
      <c r="I1066" s="116"/>
      <c r="J1066" s="116"/>
      <c r="K1066" s="219"/>
      <c r="L1066" s="116"/>
      <c r="M1066" s="31"/>
      <c r="N1066" s="336"/>
      <c r="O1066" s="336"/>
      <c r="P1066" s="219"/>
      <c r="Q1066" s="332"/>
      <c r="R1066" s="219"/>
      <c r="S1066" s="332"/>
      <c r="T1066" s="219"/>
      <c r="U1066" s="332"/>
      <c r="V1066" s="332"/>
      <c r="W1066" s="370"/>
      <c r="X1066" s="370"/>
      <c r="Y1066" s="370"/>
      <c r="Z1066" s="370"/>
      <c r="AA1066" s="370"/>
      <c r="AB1066" s="370"/>
      <c r="AC1066" s="370"/>
      <c r="AD1066" s="370"/>
      <c r="AE1066" s="370"/>
      <c r="AF1066" s="370"/>
      <c r="AG1066" s="370"/>
      <c r="AH1066" s="370"/>
      <c r="AI1066" s="370"/>
      <c r="AJ1066" s="370"/>
      <c r="AL1066" s="219"/>
      <c r="AM1066" s="219"/>
      <c r="AN1066" s="219"/>
      <c r="AO1066" s="116"/>
      <c r="AP1066" s="116"/>
      <c r="AU1066" s="332"/>
      <c r="AV1066" s="332"/>
      <c r="AW1066" s="332"/>
      <c r="AX1066" s="332"/>
      <c r="AY1066" s="332"/>
      <c r="AZ1066" s="332"/>
      <c r="BA1066" s="332"/>
      <c r="BB1066" s="31"/>
      <c r="BC1066" s="31"/>
      <c r="BD1066" s="31"/>
      <c r="BE1066" s="31"/>
    </row>
    <row r="1067" spans="1:57" ht="13">
      <c r="A1067" s="153"/>
      <c r="F1067" s="153"/>
      <c r="G1067" s="116"/>
      <c r="H1067" s="116"/>
      <c r="I1067" s="116"/>
      <c r="J1067" s="116"/>
      <c r="K1067" s="219"/>
      <c r="L1067" s="116"/>
      <c r="M1067" s="31"/>
      <c r="N1067" s="336"/>
      <c r="O1067" s="336"/>
      <c r="P1067" s="219"/>
      <c r="Q1067" s="332"/>
      <c r="R1067" s="219"/>
      <c r="S1067" s="332"/>
      <c r="T1067" s="219"/>
      <c r="U1067" s="332"/>
      <c r="V1067" s="332"/>
      <c r="W1067" s="370"/>
      <c r="X1067" s="370"/>
      <c r="Y1067" s="370"/>
      <c r="Z1067" s="370"/>
      <c r="AA1067" s="370"/>
      <c r="AB1067" s="370"/>
      <c r="AC1067" s="370"/>
      <c r="AD1067" s="370"/>
      <c r="AE1067" s="370"/>
      <c r="AF1067" s="370"/>
      <c r="AG1067" s="370"/>
      <c r="AH1067" s="370"/>
      <c r="AI1067" s="370"/>
      <c r="AJ1067" s="370"/>
      <c r="AL1067" s="219"/>
      <c r="AM1067" s="219"/>
      <c r="AN1067" s="219"/>
      <c r="AO1067" s="116"/>
      <c r="AP1067" s="116"/>
      <c r="AU1067" s="332"/>
      <c r="AV1067" s="332"/>
      <c r="AW1067" s="332"/>
      <c r="AX1067" s="332"/>
      <c r="AY1067" s="332"/>
      <c r="AZ1067" s="332"/>
      <c r="BA1067" s="332"/>
      <c r="BB1067" s="31"/>
      <c r="BC1067" s="31"/>
      <c r="BD1067" s="31"/>
      <c r="BE1067" s="31"/>
    </row>
    <row r="1068" spans="1:57" ht="13">
      <c r="A1068" s="153"/>
      <c r="F1068" s="153"/>
      <c r="G1068" s="116"/>
      <c r="H1068" s="116"/>
      <c r="I1068" s="116"/>
      <c r="J1068" s="116"/>
      <c r="K1068" s="219"/>
      <c r="L1068" s="116"/>
      <c r="M1068" s="31"/>
      <c r="N1068" s="336"/>
      <c r="O1068" s="336"/>
      <c r="P1068" s="219"/>
      <c r="Q1068" s="332"/>
      <c r="R1068" s="219"/>
      <c r="S1068" s="332"/>
      <c r="T1068" s="219"/>
      <c r="U1068" s="332"/>
      <c r="V1068" s="332"/>
      <c r="W1068" s="370"/>
      <c r="X1068" s="370"/>
      <c r="Y1068" s="370"/>
      <c r="Z1068" s="370"/>
      <c r="AA1068" s="370"/>
      <c r="AB1068" s="370"/>
      <c r="AC1068" s="370"/>
      <c r="AD1068" s="370"/>
      <c r="AE1068" s="370"/>
      <c r="AF1068" s="370"/>
      <c r="AG1068" s="370"/>
      <c r="AH1068" s="370"/>
      <c r="AI1068" s="370"/>
      <c r="AJ1068" s="370"/>
      <c r="AL1068" s="219"/>
      <c r="AM1068" s="219"/>
      <c r="AN1068" s="219"/>
      <c r="AO1068" s="116"/>
      <c r="AP1068" s="116"/>
      <c r="AU1068" s="332"/>
      <c r="AV1068" s="332"/>
      <c r="AW1068" s="332"/>
      <c r="AX1068" s="332"/>
      <c r="AY1068" s="332"/>
      <c r="AZ1068" s="332"/>
      <c r="BA1068" s="332"/>
      <c r="BB1068" s="31"/>
      <c r="BC1068" s="31"/>
      <c r="BD1068" s="31"/>
      <c r="BE1068" s="31"/>
    </row>
    <row r="1069" spans="1:57" ht="13">
      <c r="A1069" s="153"/>
      <c r="F1069" s="153"/>
      <c r="G1069" s="116"/>
      <c r="H1069" s="116"/>
      <c r="I1069" s="116"/>
      <c r="J1069" s="116"/>
      <c r="K1069" s="219"/>
      <c r="L1069" s="116"/>
      <c r="M1069" s="31"/>
      <c r="N1069" s="336"/>
      <c r="O1069" s="336"/>
      <c r="P1069" s="219"/>
      <c r="Q1069" s="332"/>
      <c r="R1069" s="219"/>
      <c r="S1069" s="332"/>
      <c r="T1069" s="219"/>
      <c r="U1069" s="332"/>
      <c r="V1069" s="332"/>
      <c r="W1069" s="370"/>
      <c r="X1069" s="370"/>
      <c r="Y1069" s="370"/>
      <c r="Z1069" s="370"/>
      <c r="AA1069" s="370"/>
      <c r="AB1069" s="370"/>
      <c r="AC1069" s="370"/>
      <c r="AD1069" s="370"/>
      <c r="AE1069" s="370"/>
      <c r="AF1069" s="370"/>
      <c r="AG1069" s="370"/>
      <c r="AH1069" s="370"/>
      <c r="AI1069" s="370"/>
      <c r="AJ1069" s="370"/>
      <c r="AL1069" s="219"/>
      <c r="AM1069" s="219"/>
      <c r="AN1069" s="219"/>
      <c r="AO1069" s="116"/>
      <c r="AP1069" s="116"/>
      <c r="AU1069" s="332"/>
      <c r="AV1069" s="332"/>
      <c r="AW1069" s="332"/>
      <c r="AX1069" s="332"/>
      <c r="AY1069" s="332"/>
      <c r="AZ1069" s="332"/>
      <c r="BA1069" s="332"/>
      <c r="BB1069" s="31"/>
      <c r="BC1069" s="31"/>
      <c r="BD1069" s="31"/>
      <c r="BE1069" s="31"/>
    </row>
    <row r="1070" spans="1:57" ht="13">
      <c r="A1070" s="153"/>
      <c r="F1070" s="153"/>
      <c r="G1070" s="116"/>
      <c r="H1070" s="116"/>
      <c r="I1070" s="116"/>
      <c r="J1070" s="116"/>
      <c r="K1070" s="219"/>
      <c r="L1070" s="116"/>
      <c r="M1070" s="31"/>
      <c r="N1070" s="336"/>
      <c r="O1070" s="336"/>
      <c r="P1070" s="219"/>
      <c r="Q1070" s="332"/>
      <c r="R1070" s="219"/>
      <c r="S1070" s="332"/>
      <c r="T1070" s="219"/>
      <c r="U1070" s="332"/>
      <c r="V1070" s="332"/>
      <c r="W1070" s="370"/>
      <c r="X1070" s="370"/>
      <c r="Y1070" s="370"/>
      <c r="Z1070" s="370"/>
      <c r="AA1070" s="370"/>
      <c r="AB1070" s="370"/>
      <c r="AC1070" s="370"/>
      <c r="AD1070" s="370"/>
      <c r="AE1070" s="370"/>
      <c r="AF1070" s="370"/>
      <c r="AG1070" s="370"/>
      <c r="AH1070" s="370"/>
      <c r="AI1070" s="370"/>
      <c r="AJ1070" s="370"/>
      <c r="AL1070" s="219"/>
      <c r="AM1070" s="219"/>
      <c r="AN1070" s="219"/>
      <c r="AO1070" s="116"/>
      <c r="AP1070" s="116"/>
      <c r="AU1070" s="332"/>
      <c r="AV1070" s="332"/>
      <c r="AW1070" s="332"/>
      <c r="AX1070" s="332"/>
      <c r="AY1070" s="332"/>
      <c r="AZ1070" s="332"/>
      <c r="BA1070" s="332"/>
      <c r="BB1070" s="31"/>
      <c r="BC1070" s="31"/>
      <c r="BD1070" s="31"/>
      <c r="BE1070" s="31"/>
    </row>
    <row r="1071" spans="1:57" ht="13">
      <c r="A1071" s="153"/>
      <c r="F1071" s="153"/>
      <c r="G1071" s="116"/>
      <c r="H1071" s="116"/>
      <c r="I1071" s="116"/>
      <c r="J1071" s="116"/>
      <c r="K1071" s="219"/>
      <c r="L1071" s="116"/>
      <c r="M1071" s="31"/>
      <c r="N1071" s="336"/>
      <c r="O1071" s="336"/>
      <c r="P1071" s="219"/>
      <c r="Q1071" s="332"/>
      <c r="R1071" s="219"/>
      <c r="S1071" s="332"/>
      <c r="T1071" s="219"/>
      <c r="U1071" s="332"/>
      <c r="V1071" s="332"/>
      <c r="W1071" s="370"/>
      <c r="X1071" s="370"/>
      <c r="Y1071" s="370"/>
      <c r="Z1071" s="370"/>
      <c r="AA1071" s="370"/>
      <c r="AB1071" s="370"/>
      <c r="AC1071" s="370"/>
      <c r="AD1071" s="370"/>
      <c r="AE1071" s="370"/>
      <c r="AF1071" s="370"/>
      <c r="AG1071" s="370"/>
      <c r="AH1071" s="370"/>
      <c r="AI1071" s="370"/>
      <c r="AJ1071" s="370"/>
      <c r="AL1071" s="219"/>
      <c r="AM1071" s="219"/>
      <c r="AN1071" s="219"/>
      <c r="AO1071" s="116"/>
      <c r="AP1071" s="116"/>
      <c r="AU1071" s="332"/>
      <c r="AV1071" s="332"/>
      <c r="AW1071" s="332"/>
      <c r="AX1071" s="332"/>
      <c r="AY1071" s="332"/>
      <c r="AZ1071" s="332"/>
      <c r="BA1071" s="332"/>
      <c r="BB1071" s="31"/>
      <c r="BC1071" s="31"/>
      <c r="BD1071" s="31"/>
      <c r="BE1071" s="31"/>
    </row>
    <row r="1072" spans="1:57" ht="13">
      <c r="A1072" s="153"/>
      <c r="F1072" s="153"/>
      <c r="G1072" s="116"/>
      <c r="H1072" s="116"/>
      <c r="I1072" s="116"/>
      <c r="J1072" s="116"/>
      <c r="K1072" s="219"/>
      <c r="L1072" s="116"/>
      <c r="M1072" s="31"/>
      <c r="N1072" s="336"/>
      <c r="O1072" s="336"/>
      <c r="P1072" s="219"/>
      <c r="Q1072" s="332"/>
      <c r="R1072" s="219"/>
      <c r="S1072" s="332"/>
      <c r="T1072" s="219"/>
      <c r="U1072" s="332"/>
      <c r="V1072" s="332"/>
      <c r="W1072" s="370"/>
      <c r="X1072" s="370"/>
      <c r="Y1072" s="370"/>
      <c r="Z1072" s="370"/>
      <c r="AA1072" s="370"/>
      <c r="AB1072" s="370"/>
      <c r="AC1072" s="370"/>
      <c r="AD1072" s="370"/>
      <c r="AE1072" s="370"/>
      <c r="AF1072" s="370"/>
      <c r="AG1072" s="370"/>
      <c r="AH1072" s="370"/>
      <c r="AI1072" s="370"/>
      <c r="AJ1072" s="370"/>
      <c r="AL1072" s="219"/>
      <c r="AM1072" s="219"/>
      <c r="AN1072" s="219"/>
      <c r="AO1072" s="116"/>
      <c r="AP1072" s="116"/>
      <c r="AU1072" s="332"/>
      <c r="AV1072" s="332"/>
      <c r="AW1072" s="332"/>
      <c r="AX1072" s="332"/>
      <c r="AY1072" s="332"/>
      <c r="AZ1072" s="332"/>
      <c r="BA1072" s="332"/>
      <c r="BB1072" s="31"/>
      <c r="BC1072" s="31"/>
      <c r="BD1072" s="31"/>
      <c r="BE1072" s="31"/>
    </row>
    <row r="1073" spans="1:57" ht="13">
      <c r="A1073" s="153"/>
      <c r="F1073" s="153"/>
      <c r="G1073" s="116"/>
      <c r="H1073" s="116"/>
      <c r="I1073" s="116"/>
      <c r="J1073" s="116"/>
      <c r="K1073" s="219"/>
      <c r="L1073" s="116"/>
      <c r="M1073" s="31"/>
      <c r="N1073" s="336"/>
      <c r="O1073" s="336"/>
      <c r="P1073" s="219"/>
      <c r="Q1073" s="332"/>
      <c r="R1073" s="219"/>
      <c r="S1073" s="332"/>
      <c r="T1073" s="219"/>
      <c r="U1073" s="332"/>
      <c r="V1073" s="332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  <c r="AH1073" s="370"/>
      <c r="AI1073" s="370"/>
      <c r="AJ1073" s="370"/>
      <c r="AL1073" s="219"/>
      <c r="AM1073" s="219"/>
      <c r="AN1073" s="219"/>
      <c r="AO1073" s="116"/>
      <c r="AP1073" s="116"/>
      <c r="AU1073" s="332"/>
      <c r="AV1073" s="332"/>
      <c r="AW1073" s="332"/>
      <c r="AX1073" s="332"/>
      <c r="AY1073" s="332"/>
      <c r="AZ1073" s="332"/>
      <c r="BA1073" s="332"/>
      <c r="BB1073" s="31"/>
      <c r="BC1073" s="31"/>
      <c r="BD1073" s="31"/>
      <c r="BE1073" s="31"/>
    </row>
    <row r="1074" spans="1:57" ht="13">
      <c r="A1074" s="153"/>
      <c r="F1074" s="153"/>
      <c r="G1074" s="116"/>
      <c r="H1074" s="116"/>
      <c r="I1074" s="116"/>
      <c r="J1074" s="116"/>
      <c r="K1074" s="219"/>
      <c r="L1074" s="116"/>
      <c r="M1074" s="31"/>
      <c r="N1074" s="336"/>
      <c r="O1074" s="336"/>
      <c r="P1074" s="219"/>
      <c r="Q1074" s="332"/>
      <c r="R1074" s="219"/>
      <c r="S1074" s="332"/>
      <c r="T1074" s="219"/>
      <c r="U1074" s="332"/>
      <c r="V1074" s="332"/>
      <c r="W1074" s="370"/>
      <c r="X1074" s="370"/>
      <c r="Y1074" s="370"/>
      <c r="Z1074" s="370"/>
      <c r="AA1074" s="370"/>
      <c r="AB1074" s="370"/>
      <c r="AC1074" s="370"/>
      <c r="AD1074" s="370"/>
      <c r="AE1074" s="370"/>
      <c r="AF1074" s="370"/>
      <c r="AG1074" s="370"/>
      <c r="AH1074" s="370"/>
      <c r="AI1074" s="370"/>
      <c r="AJ1074" s="370"/>
      <c r="AL1074" s="219"/>
      <c r="AM1074" s="219"/>
      <c r="AN1074" s="219"/>
      <c r="AO1074" s="116"/>
      <c r="AP1074" s="116"/>
      <c r="AU1074" s="332"/>
      <c r="AV1074" s="332"/>
      <c r="AW1074" s="332"/>
      <c r="AX1074" s="332"/>
      <c r="AY1074" s="332"/>
      <c r="AZ1074" s="332"/>
      <c r="BA1074" s="332"/>
      <c r="BB1074" s="31"/>
      <c r="BC1074" s="31"/>
      <c r="BD1074" s="31"/>
      <c r="BE1074" s="31"/>
    </row>
    <row r="1075" spans="1:57" ht="13">
      <c r="A1075" s="153"/>
      <c r="F1075" s="153"/>
      <c r="G1075" s="116"/>
      <c r="H1075" s="116"/>
      <c r="I1075" s="116"/>
      <c r="J1075" s="116"/>
      <c r="K1075" s="219"/>
      <c r="L1075" s="116"/>
      <c r="M1075" s="31"/>
      <c r="N1075" s="336"/>
      <c r="O1075" s="336"/>
      <c r="P1075" s="219"/>
      <c r="Q1075" s="332"/>
      <c r="R1075" s="219"/>
      <c r="S1075" s="332"/>
      <c r="T1075" s="219"/>
      <c r="U1075" s="332"/>
      <c r="V1075" s="332"/>
      <c r="W1075" s="370"/>
      <c r="X1075" s="370"/>
      <c r="Y1075" s="370"/>
      <c r="Z1075" s="370"/>
      <c r="AA1075" s="370"/>
      <c r="AB1075" s="370"/>
      <c r="AC1075" s="370"/>
      <c r="AD1075" s="370"/>
      <c r="AE1075" s="370"/>
      <c r="AF1075" s="370"/>
      <c r="AG1075" s="370"/>
      <c r="AH1075" s="370"/>
      <c r="AI1075" s="370"/>
      <c r="AJ1075" s="370"/>
      <c r="AL1075" s="219"/>
      <c r="AM1075" s="219"/>
      <c r="AN1075" s="219"/>
      <c r="AO1075" s="116"/>
      <c r="AP1075" s="116"/>
      <c r="AU1075" s="332"/>
      <c r="AV1075" s="332"/>
      <c r="AW1075" s="332"/>
      <c r="AX1075" s="332"/>
      <c r="AY1075" s="332"/>
      <c r="AZ1075" s="332"/>
      <c r="BA1075" s="332"/>
      <c r="BB1075" s="31"/>
      <c r="BC1075" s="31"/>
      <c r="BD1075" s="31"/>
      <c r="BE1075" s="31"/>
    </row>
    <row r="1076" spans="1:57" ht="13">
      <c r="A1076" s="153"/>
      <c r="F1076" s="153"/>
      <c r="G1076" s="116"/>
      <c r="H1076" s="116"/>
      <c r="I1076" s="116"/>
      <c r="J1076" s="116"/>
      <c r="K1076" s="219"/>
      <c r="L1076" s="116"/>
      <c r="M1076" s="31"/>
      <c r="N1076" s="336"/>
      <c r="O1076" s="336"/>
      <c r="P1076" s="219"/>
      <c r="Q1076" s="332"/>
      <c r="R1076" s="219"/>
      <c r="S1076" s="332"/>
      <c r="T1076" s="219"/>
      <c r="U1076" s="332"/>
      <c r="V1076" s="332"/>
      <c r="W1076" s="370"/>
      <c r="X1076" s="370"/>
      <c r="Y1076" s="370"/>
      <c r="Z1076" s="370"/>
      <c r="AA1076" s="370"/>
      <c r="AB1076" s="370"/>
      <c r="AC1076" s="370"/>
      <c r="AD1076" s="370"/>
      <c r="AE1076" s="370"/>
      <c r="AF1076" s="370"/>
      <c r="AG1076" s="370"/>
      <c r="AH1076" s="370"/>
      <c r="AI1076" s="370"/>
      <c r="AJ1076" s="370"/>
      <c r="AL1076" s="219"/>
      <c r="AM1076" s="219"/>
      <c r="AN1076" s="219"/>
      <c r="AO1076" s="116"/>
      <c r="AP1076" s="116"/>
      <c r="AU1076" s="332"/>
      <c r="AV1076" s="332"/>
      <c r="AW1076" s="332"/>
      <c r="AX1076" s="332"/>
      <c r="AY1076" s="332"/>
      <c r="AZ1076" s="332"/>
      <c r="BA1076" s="332"/>
      <c r="BB1076" s="31"/>
      <c r="BC1076" s="31"/>
      <c r="BD1076" s="31"/>
      <c r="BE1076" s="31"/>
    </row>
    <row r="1077" spans="1:57" ht="13">
      <c r="A1077" s="153"/>
      <c r="F1077" s="153"/>
      <c r="G1077" s="116"/>
      <c r="H1077" s="116"/>
      <c r="I1077" s="116"/>
      <c r="J1077" s="116"/>
      <c r="K1077" s="219"/>
      <c r="L1077" s="116"/>
      <c r="M1077" s="31"/>
      <c r="N1077" s="336"/>
      <c r="O1077" s="336"/>
      <c r="P1077" s="219"/>
      <c r="Q1077" s="332"/>
      <c r="R1077" s="219"/>
      <c r="S1077" s="332"/>
      <c r="T1077" s="219"/>
      <c r="U1077" s="332"/>
      <c r="V1077" s="332"/>
      <c r="W1077" s="370"/>
      <c r="X1077" s="370"/>
      <c r="Y1077" s="370"/>
      <c r="Z1077" s="370"/>
      <c r="AA1077" s="370"/>
      <c r="AB1077" s="370"/>
      <c r="AC1077" s="370"/>
      <c r="AD1077" s="370"/>
      <c r="AE1077" s="370"/>
      <c r="AF1077" s="370"/>
      <c r="AG1077" s="370"/>
      <c r="AH1077" s="370"/>
      <c r="AI1077" s="370"/>
      <c r="AJ1077" s="370"/>
      <c r="AL1077" s="219"/>
      <c r="AM1077" s="219"/>
      <c r="AN1077" s="219"/>
      <c r="AO1077" s="116"/>
      <c r="AP1077" s="116"/>
      <c r="AU1077" s="332"/>
      <c r="AV1077" s="332"/>
      <c r="AW1077" s="332"/>
      <c r="AX1077" s="332"/>
      <c r="AY1077" s="332"/>
      <c r="AZ1077" s="332"/>
      <c r="BA1077" s="332"/>
      <c r="BB1077" s="31"/>
      <c r="BC1077" s="31"/>
      <c r="BD1077" s="31"/>
      <c r="BE1077" s="31"/>
    </row>
    <row r="1078" spans="1:57" ht="13">
      <c r="A1078" s="153"/>
      <c r="F1078" s="153"/>
      <c r="G1078" s="116"/>
      <c r="H1078" s="116"/>
      <c r="I1078" s="116"/>
      <c r="J1078" s="116"/>
      <c r="K1078" s="219"/>
      <c r="L1078" s="116"/>
      <c r="M1078" s="31"/>
      <c r="N1078" s="336"/>
      <c r="O1078" s="336"/>
      <c r="P1078" s="219"/>
      <c r="Q1078" s="332"/>
      <c r="R1078" s="219"/>
      <c r="S1078" s="332"/>
      <c r="T1078" s="219"/>
      <c r="U1078" s="332"/>
      <c r="V1078" s="332"/>
      <c r="W1078" s="370"/>
      <c r="X1078" s="370"/>
      <c r="Y1078" s="370"/>
      <c r="Z1078" s="370"/>
      <c r="AA1078" s="370"/>
      <c r="AB1078" s="370"/>
      <c r="AC1078" s="370"/>
      <c r="AD1078" s="370"/>
      <c r="AE1078" s="370"/>
      <c r="AF1078" s="370"/>
      <c r="AG1078" s="370"/>
      <c r="AH1078" s="370"/>
      <c r="AI1078" s="370"/>
      <c r="AJ1078" s="370"/>
      <c r="AL1078" s="219"/>
      <c r="AM1078" s="219"/>
      <c r="AN1078" s="219"/>
      <c r="AO1078" s="116"/>
      <c r="AP1078" s="116"/>
      <c r="AU1078" s="332"/>
      <c r="AV1078" s="332"/>
      <c r="AW1078" s="332"/>
      <c r="AX1078" s="332"/>
      <c r="AY1078" s="332"/>
      <c r="AZ1078" s="332"/>
      <c r="BA1078" s="332"/>
      <c r="BB1078" s="31"/>
      <c r="BC1078" s="31"/>
      <c r="BD1078" s="31"/>
      <c r="BE1078" s="31"/>
    </row>
    <row r="1079" spans="1:57" ht="13">
      <c r="A1079" s="153"/>
      <c r="F1079" s="153"/>
      <c r="G1079" s="116"/>
      <c r="H1079" s="116"/>
      <c r="I1079" s="116"/>
      <c r="J1079" s="116"/>
      <c r="K1079" s="219"/>
      <c r="L1079" s="116"/>
      <c r="M1079" s="31"/>
      <c r="N1079" s="336"/>
      <c r="O1079" s="336"/>
      <c r="P1079" s="219"/>
      <c r="Q1079" s="332"/>
      <c r="R1079" s="219"/>
      <c r="S1079" s="332"/>
      <c r="T1079" s="219"/>
      <c r="U1079" s="332"/>
      <c r="V1079" s="332"/>
      <c r="W1079" s="370"/>
      <c r="X1079" s="370"/>
      <c r="Y1079" s="370"/>
      <c r="Z1079" s="370"/>
      <c r="AA1079" s="370"/>
      <c r="AB1079" s="370"/>
      <c r="AC1079" s="370"/>
      <c r="AD1079" s="370"/>
      <c r="AE1079" s="370"/>
      <c r="AF1079" s="370"/>
      <c r="AG1079" s="370"/>
      <c r="AH1079" s="370"/>
      <c r="AI1079" s="370"/>
      <c r="AJ1079" s="370"/>
      <c r="AL1079" s="219"/>
      <c r="AM1079" s="219"/>
      <c r="AN1079" s="219"/>
      <c r="AO1079" s="116"/>
      <c r="AP1079" s="116"/>
      <c r="AU1079" s="332"/>
      <c r="AV1079" s="332"/>
      <c r="AW1079" s="332"/>
      <c r="AX1079" s="332"/>
      <c r="AY1079" s="332"/>
      <c r="AZ1079" s="332"/>
      <c r="BA1079" s="332"/>
      <c r="BB1079" s="31"/>
      <c r="BC1079" s="31"/>
      <c r="BD1079" s="31"/>
      <c r="BE1079" s="31"/>
    </row>
    <row r="1080" spans="1:57" ht="13">
      <c r="A1080" s="153"/>
      <c r="F1080" s="153"/>
      <c r="G1080" s="116"/>
      <c r="H1080" s="116"/>
      <c r="I1080" s="116"/>
      <c r="J1080" s="116"/>
      <c r="K1080" s="219"/>
      <c r="L1080" s="116"/>
      <c r="M1080" s="31"/>
      <c r="N1080" s="336"/>
      <c r="O1080" s="336"/>
      <c r="P1080" s="219"/>
      <c r="Q1080" s="332"/>
      <c r="R1080" s="219"/>
      <c r="S1080" s="332"/>
      <c r="T1080" s="219"/>
      <c r="U1080" s="332"/>
      <c r="V1080" s="332"/>
      <c r="W1080" s="370"/>
      <c r="X1080" s="370"/>
      <c r="Y1080" s="370"/>
      <c r="Z1080" s="370"/>
      <c r="AA1080" s="370"/>
      <c r="AB1080" s="370"/>
      <c r="AC1080" s="370"/>
      <c r="AD1080" s="370"/>
      <c r="AE1080" s="370"/>
      <c r="AF1080" s="370"/>
      <c r="AG1080" s="370"/>
      <c r="AH1080" s="370"/>
      <c r="AI1080" s="370"/>
      <c r="AJ1080" s="370"/>
      <c r="AL1080" s="219"/>
      <c r="AM1080" s="219"/>
      <c r="AN1080" s="219"/>
      <c r="AO1080" s="116"/>
      <c r="AP1080" s="116"/>
      <c r="AU1080" s="332"/>
      <c r="AV1080" s="332"/>
      <c r="AW1080" s="332"/>
      <c r="AX1080" s="332"/>
      <c r="AY1080" s="332"/>
      <c r="AZ1080" s="332"/>
      <c r="BA1080" s="332"/>
      <c r="BB1080" s="31"/>
      <c r="BC1080" s="31"/>
      <c r="BD1080" s="31"/>
      <c r="BE1080" s="31"/>
    </row>
    <row r="1081" spans="1:57" ht="13">
      <c r="A1081" s="153"/>
      <c r="F1081" s="153"/>
      <c r="G1081" s="116"/>
      <c r="H1081" s="116"/>
      <c r="I1081" s="116"/>
      <c r="J1081" s="116"/>
      <c r="K1081" s="219"/>
      <c r="L1081" s="116"/>
      <c r="M1081" s="31"/>
      <c r="N1081" s="336"/>
      <c r="O1081" s="336"/>
      <c r="P1081" s="219"/>
      <c r="Q1081" s="332"/>
      <c r="R1081" s="219"/>
      <c r="S1081" s="332"/>
      <c r="T1081" s="219"/>
      <c r="U1081" s="332"/>
      <c r="V1081" s="332"/>
      <c r="W1081" s="370"/>
      <c r="X1081" s="370"/>
      <c r="Y1081" s="370"/>
      <c r="Z1081" s="370"/>
      <c r="AA1081" s="370"/>
      <c r="AB1081" s="370"/>
      <c r="AC1081" s="370"/>
      <c r="AD1081" s="370"/>
      <c r="AE1081" s="370"/>
      <c r="AF1081" s="370"/>
      <c r="AG1081" s="370"/>
      <c r="AH1081" s="370"/>
      <c r="AI1081" s="370"/>
      <c r="AJ1081" s="370"/>
      <c r="AL1081" s="219"/>
      <c r="AM1081" s="219"/>
      <c r="AN1081" s="219"/>
      <c r="AO1081" s="116"/>
      <c r="AP1081" s="116"/>
      <c r="AU1081" s="332"/>
      <c r="AV1081" s="332"/>
      <c r="AW1081" s="332"/>
      <c r="AX1081" s="332"/>
      <c r="AY1081" s="332"/>
      <c r="AZ1081" s="332"/>
      <c r="BA1081" s="332"/>
      <c r="BB1081" s="31"/>
      <c r="BC1081" s="31"/>
      <c r="BD1081" s="31"/>
      <c r="BE1081" s="31"/>
    </row>
    <row r="1082" spans="1:57" ht="13">
      <c r="A1082" s="153"/>
      <c r="F1082" s="153"/>
      <c r="G1082" s="116"/>
      <c r="H1082" s="116"/>
      <c r="I1082" s="116"/>
      <c r="J1082" s="116"/>
      <c r="K1082" s="219"/>
      <c r="L1082" s="116"/>
      <c r="M1082" s="31"/>
      <c r="N1082" s="336"/>
      <c r="O1082" s="336"/>
      <c r="P1082" s="219"/>
      <c r="Q1082" s="332"/>
      <c r="R1082" s="219"/>
      <c r="S1082" s="332"/>
      <c r="T1082" s="219"/>
      <c r="U1082" s="332"/>
      <c r="V1082" s="332"/>
      <c r="W1082" s="370"/>
      <c r="X1082" s="370"/>
      <c r="Y1082" s="370"/>
      <c r="Z1082" s="370"/>
      <c r="AA1082" s="370"/>
      <c r="AB1082" s="370"/>
      <c r="AC1082" s="370"/>
      <c r="AD1082" s="370"/>
      <c r="AE1082" s="370"/>
      <c r="AF1082" s="370"/>
      <c r="AG1082" s="370"/>
      <c r="AH1082" s="370"/>
      <c r="AI1082" s="370"/>
      <c r="AJ1082" s="370"/>
      <c r="AL1082" s="219"/>
      <c r="AM1082" s="219"/>
      <c r="AN1082" s="219"/>
      <c r="AO1082" s="116"/>
      <c r="AP1082" s="116"/>
      <c r="AU1082" s="332"/>
      <c r="AV1082" s="332"/>
      <c r="AW1082" s="332"/>
      <c r="AX1082" s="332"/>
      <c r="AY1082" s="332"/>
      <c r="AZ1082" s="332"/>
      <c r="BA1082" s="332"/>
      <c r="BB1082" s="31"/>
      <c r="BC1082" s="31"/>
      <c r="BD1082" s="31"/>
      <c r="BE1082" s="31"/>
    </row>
    <row r="1083" spans="1:57" ht="13">
      <c r="A1083" s="153"/>
      <c r="F1083" s="153"/>
      <c r="G1083" s="116"/>
      <c r="H1083" s="116"/>
      <c r="I1083" s="116"/>
      <c r="J1083" s="116"/>
      <c r="K1083" s="219"/>
      <c r="L1083" s="116"/>
      <c r="M1083" s="31"/>
      <c r="N1083" s="336"/>
      <c r="O1083" s="336"/>
      <c r="P1083" s="219"/>
      <c r="Q1083" s="332"/>
      <c r="R1083" s="219"/>
      <c r="S1083" s="332"/>
      <c r="T1083" s="219"/>
      <c r="U1083" s="332"/>
      <c r="V1083" s="332"/>
      <c r="W1083" s="370"/>
      <c r="X1083" s="370"/>
      <c r="Y1083" s="370"/>
      <c r="Z1083" s="370"/>
      <c r="AA1083" s="370"/>
      <c r="AB1083" s="370"/>
      <c r="AC1083" s="370"/>
      <c r="AD1083" s="370"/>
      <c r="AE1083" s="370"/>
      <c r="AF1083" s="370"/>
      <c r="AG1083" s="370"/>
      <c r="AH1083" s="370"/>
      <c r="AI1083" s="370"/>
      <c r="AJ1083" s="370"/>
      <c r="AL1083" s="219"/>
      <c r="AM1083" s="219"/>
      <c r="AN1083" s="219"/>
      <c r="AO1083" s="116"/>
      <c r="AP1083" s="116"/>
      <c r="AU1083" s="332"/>
      <c r="AV1083" s="332"/>
      <c r="AW1083" s="332"/>
      <c r="AX1083" s="332"/>
      <c r="AY1083" s="332"/>
      <c r="AZ1083" s="332"/>
      <c r="BA1083" s="332"/>
      <c r="BB1083" s="31"/>
      <c r="BC1083" s="31"/>
      <c r="BD1083" s="31"/>
      <c r="BE1083" s="31"/>
    </row>
    <row r="1084" spans="1:57" ht="13">
      <c r="A1084" s="153"/>
      <c r="F1084" s="153"/>
      <c r="G1084" s="116"/>
      <c r="H1084" s="116"/>
      <c r="I1084" s="116"/>
      <c r="J1084" s="116"/>
      <c r="K1084" s="219"/>
      <c r="L1084" s="116"/>
      <c r="M1084" s="31"/>
      <c r="N1084" s="336"/>
      <c r="O1084" s="336"/>
      <c r="P1084" s="219"/>
      <c r="Q1084" s="332"/>
      <c r="R1084" s="219"/>
      <c r="S1084" s="332"/>
      <c r="T1084" s="219"/>
      <c r="U1084" s="332"/>
      <c r="V1084" s="332"/>
      <c r="W1084" s="370"/>
      <c r="X1084" s="370"/>
      <c r="Y1084" s="370"/>
      <c r="Z1084" s="370"/>
      <c r="AA1084" s="370"/>
      <c r="AB1084" s="370"/>
      <c r="AC1084" s="370"/>
      <c r="AD1084" s="370"/>
      <c r="AE1084" s="370"/>
      <c r="AF1084" s="370"/>
      <c r="AG1084" s="370"/>
      <c r="AH1084" s="370"/>
      <c r="AI1084" s="370"/>
      <c r="AJ1084" s="370"/>
      <c r="AL1084" s="219"/>
      <c r="AM1084" s="219"/>
      <c r="AN1084" s="219"/>
      <c r="AO1084" s="116"/>
      <c r="AP1084" s="116"/>
      <c r="AU1084" s="332"/>
      <c r="AV1084" s="332"/>
      <c r="AW1084" s="332"/>
      <c r="AX1084" s="332"/>
      <c r="AY1084" s="332"/>
      <c r="AZ1084" s="332"/>
      <c r="BA1084" s="332"/>
      <c r="BB1084" s="31"/>
      <c r="BC1084" s="31"/>
      <c r="BD1084" s="31"/>
      <c r="BE1084" s="31"/>
    </row>
    <row r="1085" spans="1:57" ht="13">
      <c r="A1085" s="153"/>
      <c r="F1085" s="153"/>
      <c r="G1085" s="116"/>
      <c r="H1085" s="116"/>
      <c r="I1085" s="116"/>
      <c r="J1085" s="116"/>
      <c r="K1085" s="219"/>
      <c r="L1085" s="116"/>
      <c r="M1085" s="31"/>
      <c r="N1085" s="336"/>
      <c r="O1085" s="336"/>
      <c r="P1085" s="219"/>
      <c r="Q1085" s="332"/>
      <c r="R1085" s="219"/>
      <c r="S1085" s="332"/>
      <c r="T1085" s="219"/>
      <c r="U1085" s="332"/>
      <c r="V1085" s="332"/>
      <c r="W1085" s="370"/>
      <c r="X1085" s="370"/>
      <c r="Y1085" s="370"/>
      <c r="Z1085" s="370"/>
      <c r="AA1085" s="370"/>
      <c r="AB1085" s="370"/>
      <c r="AC1085" s="370"/>
      <c r="AD1085" s="370"/>
      <c r="AE1085" s="370"/>
      <c r="AF1085" s="370"/>
      <c r="AG1085" s="370"/>
      <c r="AH1085" s="370"/>
      <c r="AI1085" s="370"/>
      <c r="AJ1085" s="370"/>
      <c r="AL1085" s="219"/>
      <c r="AM1085" s="219"/>
      <c r="AN1085" s="219"/>
      <c r="AO1085" s="116"/>
      <c r="AP1085" s="116"/>
      <c r="AU1085" s="332"/>
      <c r="AV1085" s="332"/>
      <c r="AW1085" s="332"/>
      <c r="AX1085" s="332"/>
      <c r="AY1085" s="332"/>
      <c r="AZ1085" s="332"/>
      <c r="BA1085" s="332"/>
      <c r="BB1085" s="31"/>
      <c r="BC1085" s="31"/>
      <c r="BD1085" s="31"/>
      <c r="BE1085" s="31"/>
    </row>
    <row r="1086" spans="1:57" ht="13">
      <c r="A1086" s="153"/>
      <c r="F1086" s="153"/>
      <c r="G1086" s="116"/>
      <c r="H1086" s="116"/>
      <c r="I1086" s="116"/>
      <c r="J1086" s="116"/>
      <c r="K1086" s="219"/>
      <c r="L1086" s="116"/>
      <c r="M1086" s="31"/>
      <c r="N1086" s="336"/>
      <c r="O1086" s="336"/>
      <c r="P1086" s="219"/>
      <c r="Q1086" s="332"/>
      <c r="R1086" s="219"/>
      <c r="S1086" s="332"/>
      <c r="T1086" s="219"/>
      <c r="U1086" s="332"/>
      <c r="V1086" s="332"/>
      <c r="W1086" s="370"/>
      <c r="X1086" s="370"/>
      <c r="Y1086" s="370"/>
      <c r="Z1086" s="370"/>
      <c r="AA1086" s="370"/>
      <c r="AB1086" s="370"/>
      <c r="AC1086" s="370"/>
      <c r="AD1086" s="370"/>
      <c r="AE1086" s="370"/>
      <c r="AF1086" s="370"/>
      <c r="AG1086" s="370"/>
      <c r="AH1086" s="370"/>
      <c r="AI1086" s="370"/>
      <c r="AJ1086" s="370"/>
      <c r="AL1086" s="219"/>
      <c r="AM1086" s="219"/>
      <c r="AN1086" s="219"/>
      <c r="AO1086" s="116"/>
      <c r="AP1086" s="116"/>
      <c r="AU1086" s="332"/>
      <c r="AV1086" s="332"/>
      <c r="AW1086" s="332"/>
      <c r="AX1086" s="332"/>
      <c r="AY1086" s="332"/>
      <c r="AZ1086" s="332"/>
      <c r="BA1086" s="332"/>
      <c r="BB1086" s="31"/>
      <c r="BC1086" s="31"/>
      <c r="BD1086" s="31"/>
      <c r="BE1086" s="31"/>
    </row>
    <row r="1087" spans="1:57" ht="13">
      <c r="A1087" s="153"/>
      <c r="F1087" s="153"/>
      <c r="G1087" s="116"/>
      <c r="H1087" s="116"/>
      <c r="I1087" s="116"/>
      <c r="J1087" s="116"/>
      <c r="K1087" s="219"/>
      <c r="L1087" s="116"/>
      <c r="M1087" s="31"/>
      <c r="N1087" s="336"/>
      <c r="O1087" s="336"/>
      <c r="P1087" s="219"/>
      <c r="Q1087" s="332"/>
      <c r="R1087" s="219"/>
      <c r="S1087" s="332"/>
      <c r="T1087" s="219"/>
      <c r="U1087" s="332"/>
      <c r="V1087" s="332"/>
      <c r="W1087" s="370"/>
      <c r="X1087" s="370"/>
      <c r="Y1087" s="370"/>
      <c r="Z1087" s="370"/>
      <c r="AA1087" s="370"/>
      <c r="AB1087" s="370"/>
      <c r="AC1087" s="370"/>
      <c r="AD1087" s="370"/>
      <c r="AE1087" s="370"/>
      <c r="AF1087" s="370"/>
      <c r="AG1087" s="370"/>
      <c r="AH1087" s="370"/>
      <c r="AI1087" s="370"/>
      <c r="AJ1087" s="370"/>
      <c r="AL1087" s="219"/>
      <c r="AM1087" s="219"/>
      <c r="AN1087" s="219"/>
      <c r="AO1087" s="116"/>
      <c r="AP1087" s="116"/>
      <c r="AU1087" s="332"/>
      <c r="AV1087" s="332"/>
      <c r="AW1087" s="332"/>
      <c r="AX1087" s="332"/>
      <c r="AY1087" s="332"/>
      <c r="AZ1087" s="332"/>
      <c r="BA1087" s="332"/>
      <c r="BB1087" s="31"/>
      <c r="BC1087" s="31"/>
      <c r="BD1087" s="31"/>
      <c r="BE1087" s="31"/>
    </row>
    <row r="1088" spans="1:57" ht="13">
      <c r="A1088" s="153"/>
      <c r="F1088" s="153"/>
      <c r="G1088" s="116"/>
      <c r="H1088" s="116"/>
      <c r="I1088" s="116"/>
      <c r="J1088" s="116"/>
      <c r="K1088" s="219"/>
      <c r="L1088" s="116"/>
      <c r="M1088" s="31"/>
      <c r="N1088" s="336"/>
      <c r="O1088" s="336"/>
      <c r="P1088" s="219"/>
      <c r="Q1088" s="332"/>
      <c r="R1088" s="219"/>
      <c r="S1088" s="332"/>
      <c r="T1088" s="219"/>
      <c r="U1088" s="332"/>
      <c r="V1088" s="332"/>
      <c r="W1088" s="370"/>
      <c r="X1088" s="370"/>
      <c r="Y1088" s="370"/>
      <c r="Z1088" s="370"/>
      <c r="AA1088" s="370"/>
      <c r="AB1088" s="370"/>
      <c r="AC1088" s="370"/>
      <c r="AD1088" s="370"/>
      <c r="AE1088" s="370"/>
      <c r="AF1088" s="370"/>
      <c r="AG1088" s="370"/>
      <c r="AH1088" s="370"/>
      <c r="AI1088" s="370"/>
      <c r="AJ1088" s="370"/>
      <c r="AL1088" s="219"/>
      <c r="AM1088" s="219"/>
      <c r="AN1088" s="219"/>
      <c r="AO1088" s="116"/>
      <c r="AP1088" s="116"/>
      <c r="AU1088" s="332"/>
      <c r="AV1088" s="332"/>
      <c r="AW1088" s="332"/>
      <c r="AX1088" s="332"/>
      <c r="AY1088" s="332"/>
      <c r="AZ1088" s="332"/>
      <c r="BA1088" s="332"/>
      <c r="BB1088" s="31"/>
      <c r="BC1088" s="31"/>
      <c r="BD1088" s="31"/>
      <c r="BE1088" s="31"/>
    </row>
    <row r="1089" spans="1:57" ht="13">
      <c r="A1089" s="153"/>
      <c r="F1089" s="153"/>
      <c r="G1089" s="116"/>
      <c r="H1089" s="116"/>
      <c r="I1089" s="116"/>
      <c r="J1089" s="116"/>
      <c r="K1089" s="219"/>
      <c r="L1089" s="116"/>
      <c r="M1089" s="31"/>
      <c r="N1089" s="336"/>
      <c r="O1089" s="336"/>
      <c r="P1089" s="219"/>
      <c r="Q1089" s="332"/>
      <c r="R1089" s="219"/>
      <c r="S1089" s="332"/>
      <c r="T1089" s="219"/>
      <c r="U1089" s="332"/>
      <c r="V1089" s="332"/>
      <c r="W1089" s="370"/>
      <c r="X1089" s="370"/>
      <c r="Y1089" s="370"/>
      <c r="Z1089" s="370"/>
      <c r="AA1089" s="370"/>
      <c r="AB1089" s="370"/>
      <c r="AC1089" s="370"/>
      <c r="AD1089" s="370"/>
      <c r="AE1089" s="370"/>
      <c r="AF1089" s="370"/>
      <c r="AG1089" s="370"/>
      <c r="AH1089" s="370"/>
      <c r="AI1089" s="370"/>
      <c r="AJ1089" s="370"/>
      <c r="AL1089" s="219"/>
      <c r="AM1089" s="219"/>
      <c r="AN1089" s="219"/>
      <c r="AO1089" s="116"/>
      <c r="AP1089" s="116"/>
      <c r="AU1089" s="332"/>
      <c r="AV1089" s="332"/>
      <c r="AW1089" s="332"/>
      <c r="AX1089" s="332"/>
      <c r="AY1089" s="332"/>
      <c r="AZ1089" s="332"/>
      <c r="BA1089" s="332"/>
      <c r="BB1089" s="31"/>
      <c r="BC1089" s="31"/>
      <c r="BD1089" s="31"/>
      <c r="BE1089" s="31"/>
    </row>
    <row r="1090" spans="1:57" ht="13">
      <c r="A1090" s="153"/>
      <c r="F1090" s="153"/>
      <c r="G1090" s="116"/>
      <c r="H1090" s="116"/>
      <c r="I1090" s="116"/>
      <c r="J1090" s="116"/>
      <c r="K1090" s="219"/>
      <c r="L1090" s="116"/>
      <c r="M1090" s="31"/>
      <c r="N1090" s="336"/>
      <c r="O1090" s="336"/>
      <c r="P1090" s="219"/>
      <c r="Q1090" s="332"/>
      <c r="R1090" s="219"/>
      <c r="S1090" s="332"/>
      <c r="T1090" s="219"/>
      <c r="U1090" s="332"/>
      <c r="V1090" s="332"/>
      <c r="W1090" s="370"/>
      <c r="X1090" s="370"/>
      <c r="Y1090" s="370"/>
      <c r="Z1090" s="370"/>
      <c r="AA1090" s="370"/>
      <c r="AB1090" s="370"/>
      <c r="AC1090" s="370"/>
      <c r="AD1090" s="370"/>
      <c r="AE1090" s="370"/>
      <c r="AF1090" s="370"/>
      <c r="AG1090" s="370"/>
      <c r="AH1090" s="370"/>
      <c r="AI1090" s="370"/>
      <c r="AJ1090" s="370"/>
      <c r="AL1090" s="219"/>
      <c r="AM1090" s="219"/>
      <c r="AN1090" s="219"/>
      <c r="AO1090" s="116"/>
      <c r="AP1090" s="116"/>
      <c r="AU1090" s="332"/>
      <c r="AV1090" s="332"/>
      <c r="AW1090" s="332"/>
      <c r="AX1090" s="332"/>
      <c r="AY1090" s="332"/>
      <c r="AZ1090" s="332"/>
      <c r="BA1090" s="332"/>
      <c r="BB1090" s="31"/>
      <c r="BC1090" s="31"/>
      <c r="BD1090" s="31"/>
      <c r="BE1090" s="31"/>
    </row>
    <row r="1091" spans="1:57" ht="13">
      <c r="A1091" s="153"/>
      <c r="F1091" s="153"/>
      <c r="G1091" s="116"/>
      <c r="H1091" s="116"/>
      <c r="I1091" s="116"/>
      <c r="J1091" s="116"/>
      <c r="K1091" s="219"/>
      <c r="L1091" s="116"/>
      <c r="M1091" s="31"/>
      <c r="N1091" s="336"/>
      <c r="O1091" s="336"/>
      <c r="P1091" s="219"/>
      <c r="Q1091" s="332"/>
      <c r="R1091" s="219"/>
      <c r="S1091" s="332"/>
      <c r="T1091" s="219"/>
      <c r="U1091" s="332"/>
      <c r="V1091" s="332"/>
      <c r="W1091" s="370"/>
      <c r="X1091" s="370"/>
      <c r="Y1091" s="370"/>
      <c r="Z1091" s="370"/>
      <c r="AA1091" s="370"/>
      <c r="AB1091" s="370"/>
      <c r="AC1091" s="370"/>
      <c r="AD1091" s="370"/>
      <c r="AE1091" s="370"/>
      <c r="AF1091" s="370"/>
      <c r="AG1091" s="370"/>
      <c r="AH1091" s="370"/>
      <c r="AI1091" s="370"/>
      <c r="AJ1091" s="370"/>
      <c r="AL1091" s="219"/>
      <c r="AM1091" s="219"/>
      <c r="AN1091" s="219"/>
      <c r="AO1091" s="116"/>
      <c r="AP1091" s="116"/>
      <c r="AU1091" s="332"/>
      <c r="AV1091" s="332"/>
      <c r="AW1091" s="332"/>
      <c r="AX1091" s="332"/>
      <c r="AY1091" s="332"/>
      <c r="AZ1091" s="332"/>
      <c r="BA1091" s="332"/>
      <c r="BB1091" s="31"/>
      <c r="BC1091" s="31"/>
      <c r="BD1091" s="31"/>
      <c r="BE1091" s="31"/>
    </row>
    <row r="1092" spans="1:57" ht="13">
      <c r="A1092" s="153"/>
      <c r="F1092" s="153"/>
      <c r="G1092" s="116"/>
      <c r="H1092" s="116"/>
      <c r="I1092" s="116"/>
      <c r="J1092" s="116"/>
      <c r="K1092" s="219"/>
      <c r="L1092" s="116"/>
      <c r="M1092" s="31"/>
      <c r="N1092" s="336"/>
      <c r="O1092" s="336"/>
      <c r="P1092" s="219"/>
      <c r="Q1092" s="332"/>
      <c r="R1092" s="219"/>
      <c r="S1092" s="332"/>
      <c r="T1092" s="219"/>
      <c r="U1092" s="332"/>
      <c r="V1092" s="332"/>
      <c r="W1092" s="370"/>
      <c r="X1092" s="370"/>
      <c r="Y1092" s="370"/>
      <c r="Z1092" s="370"/>
      <c r="AA1092" s="370"/>
      <c r="AB1092" s="370"/>
      <c r="AC1092" s="370"/>
      <c r="AD1092" s="370"/>
      <c r="AE1092" s="370"/>
      <c r="AF1092" s="370"/>
      <c r="AG1092" s="370"/>
      <c r="AH1092" s="370"/>
      <c r="AI1092" s="370"/>
      <c r="AJ1092" s="370"/>
      <c r="AL1092" s="219"/>
      <c r="AM1092" s="219"/>
      <c r="AN1092" s="219"/>
      <c r="AO1092" s="116"/>
      <c r="AP1092" s="116"/>
      <c r="AU1092" s="332"/>
      <c r="AV1092" s="332"/>
      <c r="AW1092" s="332"/>
      <c r="AX1092" s="332"/>
      <c r="AY1092" s="332"/>
      <c r="AZ1092" s="332"/>
      <c r="BA1092" s="332"/>
      <c r="BB1092" s="31"/>
      <c r="BC1092" s="31"/>
      <c r="BD1092" s="31"/>
      <c r="BE1092" s="31"/>
    </row>
    <row r="1093" spans="1:57" ht="13">
      <c r="A1093" s="153"/>
      <c r="F1093" s="153"/>
      <c r="G1093" s="116"/>
      <c r="H1093" s="116"/>
      <c r="I1093" s="116"/>
      <c r="J1093" s="116"/>
      <c r="K1093" s="219"/>
      <c r="L1093" s="116"/>
      <c r="M1093" s="31"/>
      <c r="N1093" s="336"/>
      <c r="O1093" s="336"/>
      <c r="P1093" s="219"/>
      <c r="Q1093" s="332"/>
      <c r="R1093" s="219"/>
      <c r="S1093" s="332"/>
      <c r="T1093" s="219"/>
      <c r="U1093" s="332"/>
      <c r="V1093" s="332"/>
      <c r="W1093" s="370"/>
      <c r="X1093" s="370"/>
      <c r="Y1093" s="370"/>
      <c r="Z1093" s="370"/>
      <c r="AA1093" s="370"/>
      <c r="AB1093" s="370"/>
      <c r="AC1093" s="370"/>
      <c r="AD1093" s="370"/>
      <c r="AE1093" s="370"/>
      <c r="AF1093" s="370"/>
      <c r="AG1093" s="370"/>
      <c r="AH1093" s="370"/>
      <c r="AI1093" s="370"/>
      <c r="AJ1093" s="370"/>
      <c r="AL1093" s="219"/>
      <c r="AM1093" s="219"/>
      <c r="AN1093" s="219"/>
      <c r="AO1093" s="116"/>
      <c r="AP1093" s="116"/>
      <c r="AU1093" s="332"/>
      <c r="AV1093" s="332"/>
      <c r="AW1093" s="332"/>
      <c r="AX1093" s="332"/>
      <c r="AY1093" s="332"/>
      <c r="AZ1093" s="332"/>
      <c r="BA1093" s="332"/>
      <c r="BB1093" s="31"/>
      <c r="BC1093" s="31"/>
      <c r="BD1093" s="31"/>
      <c r="BE1093" s="31"/>
    </row>
    <row r="1094" spans="1:57" ht="13">
      <c r="A1094" s="153"/>
      <c r="F1094" s="153"/>
      <c r="G1094" s="116"/>
      <c r="H1094" s="116"/>
      <c r="I1094" s="116"/>
      <c r="J1094" s="116"/>
      <c r="K1094" s="219"/>
      <c r="L1094" s="116"/>
      <c r="M1094" s="31"/>
      <c r="N1094" s="336"/>
      <c r="O1094" s="336"/>
      <c r="P1094" s="219"/>
      <c r="Q1094" s="332"/>
      <c r="R1094" s="219"/>
      <c r="S1094" s="332"/>
      <c r="T1094" s="219"/>
      <c r="U1094" s="332"/>
      <c r="V1094" s="332"/>
      <c r="W1094" s="370"/>
      <c r="X1094" s="370"/>
      <c r="Y1094" s="370"/>
      <c r="Z1094" s="370"/>
      <c r="AA1094" s="370"/>
      <c r="AB1094" s="370"/>
      <c r="AC1094" s="370"/>
      <c r="AD1094" s="370"/>
      <c r="AE1094" s="370"/>
      <c r="AF1094" s="370"/>
      <c r="AG1094" s="370"/>
      <c r="AH1094" s="370"/>
      <c r="AI1094" s="370"/>
      <c r="AJ1094" s="370"/>
      <c r="AL1094" s="219"/>
      <c r="AM1094" s="219"/>
      <c r="AN1094" s="219"/>
      <c r="AO1094" s="116"/>
      <c r="AP1094" s="116"/>
      <c r="AU1094" s="332"/>
      <c r="AV1094" s="332"/>
      <c r="AW1094" s="332"/>
      <c r="AX1094" s="332"/>
      <c r="AY1094" s="332"/>
      <c r="AZ1094" s="332"/>
      <c r="BA1094" s="332"/>
      <c r="BB1094" s="31"/>
      <c r="BC1094" s="31"/>
      <c r="BD1094" s="31"/>
      <c r="BE1094" s="31"/>
    </row>
    <row r="1095" spans="1:57" ht="13">
      <c r="A1095" s="153"/>
      <c r="F1095" s="153"/>
      <c r="G1095" s="116"/>
      <c r="H1095" s="116"/>
      <c r="I1095" s="116"/>
      <c r="J1095" s="116"/>
      <c r="K1095" s="219"/>
      <c r="L1095" s="116"/>
      <c r="M1095" s="31"/>
      <c r="N1095" s="336"/>
      <c r="O1095" s="336"/>
      <c r="P1095" s="219"/>
      <c r="Q1095" s="332"/>
      <c r="R1095" s="219"/>
      <c r="S1095" s="332"/>
      <c r="T1095" s="219"/>
      <c r="U1095" s="332"/>
      <c r="V1095" s="332"/>
      <c r="W1095" s="370"/>
      <c r="X1095" s="370"/>
      <c r="Y1095" s="370"/>
      <c r="Z1095" s="370"/>
      <c r="AA1095" s="370"/>
      <c r="AB1095" s="370"/>
      <c r="AC1095" s="370"/>
      <c r="AD1095" s="370"/>
      <c r="AE1095" s="370"/>
      <c r="AF1095" s="370"/>
      <c r="AG1095" s="370"/>
      <c r="AH1095" s="370"/>
      <c r="AI1095" s="370"/>
      <c r="AJ1095" s="370"/>
      <c r="AL1095" s="219"/>
      <c r="AM1095" s="219"/>
      <c r="AN1095" s="219"/>
      <c r="AO1095" s="116"/>
      <c r="AP1095" s="116"/>
      <c r="AU1095" s="332"/>
      <c r="AV1095" s="332"/>
      <c r="AW1095" s="332"/>
      <c r="AX1095" s="332"/>
      <c r="AY1095" s="332"/>
      <c r="AZ1095" s="332"/>
      <c r="BA1095" s="332"/>
      <c r="BB1095" s="31"/>
      <c r="BC1095" s="31"/>
      <c r="BD1095" s="31"/>
      <c r="BE1095" s="31"/>
    </row>
    <row r="1096" spans="1:57" ht="13">
      <c r="A1096" s="153"/>
      <c r="F1096" s="153"/>
      <c r="G1096" s="116"/>
      <c r="H1096" s="116"/>
      <c r="I1096" s="116"/>
      <c r="J1096" s="116"/>
      <c r="K1096" s="219"/>
      <c r="L1096" s="116"/>
      <c r="M1096" s="31"/>
      <c r="N1096" s="336"/>
      <c r="O1096" s="336"/>
      <c r="P1096" s="219"/>
      <c r="Q1096" s="332"/>
      <c r="R1096" s="219"/>
      <c r="S1096" s="332"/>
      <c r="T1096" s="219"/>
      <c r="U1096" s="332"/>
      <c r="V1096" s="332"/>
      <c r="W1096" s="370"/>
      <c r="X1096" s="370"/>
      <c r="Y1096" s="370"/>
      <c r="Z1096" s="370"/>
      <c r="AA1096" s="370"/>
      <c r="AB1096" s="370"/>
      <c r="AC1096" s="370"/>
      <c r="AD1096" s="370"/>
      <c r="AE1096" s="370"/>
      <c r="AF1096" s="370"/>
      <c r="AG1096" s="370"/>
      <c r="AH1096" s="370"/>
      <c r="AI1096" s="370"/>
      <c r="AJ1096" s="370"/>
      <c r="AL1096" s="219"/>
      <c r="AM1096" s="219"/>
      <c r="AN1096" s="219"/>
      <c r="AO1096" s="116"/>
      <c r="AP1096" s="116"/>
      <c r="AU1096" s="332"/>
      <c r="AV1096" s="332"/>
      <c r="AW1096" s="332"/>
      <c r="AX1096" s="332"/>
      <c r="AY1096" s="332"/>
      <c r="AZ1096" s="332"/>
      <c r="BA1096" s="332"/>
      <c r="BB1096" s="31"/>
      <c r="BC1096" s="31"/>
      <c r="BD1096" s="31"/>
      <c r="BE1096" s="31"/>
    </row>
    <row r="1097" spans="1:57" ht="13">
      <c r="A1097" s="153"/>
      <c r="F1097" s="153"/>
      <c r="G1097" s="116"/>
      <c r="H1097" s="116"/>
      <c r="I1097" s="116"/>
      <c r="J1097" s="116"/>
      <c r="K1097" s="219"/>
      <c r="L1097" s="116"/>
      <c r="M1097" s="31"/>
      <c r="N1097" s="336"/>
      <c r="O1097" s="336"/>
      <c r="P1097" s="219"/>
      <c r="Q1097" s="332"/>
      <c r="R1097" s="219"/>
      <c r="S1097" s="332"/>
      <c r="T1097" s="219"/>
      <c r="U1097" s="332"/>
      <c r="V1097" s="332"/>
      <c r="W1097" s="370"/>
      <c r="X1097" s="370"/>
      <c r="Y1097" s="370"/>
      <c r="Z1097" s="370"/>
      <c r="AA1097" s="370"/>
      <c r="AB1097" s="370"/>
      <c r="AC1097" s="370"/>
      <c r="AD1097" s="370"/>
      <c r="AE1097" s="370"/>
      <c r="AF1097" s="370"/>
      <c r="AG1097" s="370"/>
      <c r="AH1097" s="370"/>
      <c r="AI1097" s="370"/>
      <c r="AJ1097" s="370"/>
      <c r="AL1097" s="219"/>
      <c r="AM1097" s="219"/>
      <c r="AN1097" s="219"/>
      <c r="AO1097" s="116"/>
      <c r="AP1097" s="116"/>
      <c r="AU1097" s="332"/>
      <c r="AV1097" s="332"/>
      <c r="AW1097" s="332"/>
      <c r="AX1097" s="332"/>
      <c r="AY1097" s="332"/>
      <c r="AZ1097" s="332"/>
      <c r="BA1097" s="332"/>
      <c r="BB1097" s="31"/>
      <c r="BC1097" s="31"/>
      <c r="BD1097" s="31"/>
      <c r="BE1097" s="31"/>
    </row>
    <row r="1098" spans="1:57" ht="13">
      <c r="A1098" s="153"/>
      <c r="F1098" s="153"/>
      <c r="G1098" s="116"/>
      <c r="H1098" s="116"/>
      <c r="I1098" s="116"/>
      <c r="J1098" s="116"/>
      <c r="K1098" s="219"/>
      <c r="L1098" s="116"/>
      <c r="M1098" s="31"/>
      <c r="N1098" s="336"/>
      <c r="O1098" s="336"/>
      <c r="P1098" s="219"/>
      <c r="Q1098" s="332"/>
      <c r="R1098" s="219"/>
      <c r="S1098" s="332"/>
      <c r="T1098" s="219"/>
      <c r="U1098" s="332"/>
      <c r="V1098" s="332"/>
      <c r="W1098" s="370"/>
      <c r="X1098" s="370"/>
      <c r="Y1098" s="370"/>
      <c r="Z1098" s="370"/>
      <c r="AA1098" s="370"/>
      <c r="AB1098" s="370"/>
      <c r="AC1098" s="370"/>
      <c r="AD1098" s="370"/>
      <c r="AE1098" s="370"/>
      <c r="AF1098" s="370"/>
      <c r="AG1098" s="370"/>
      <c r="AH1098" s="370"/>
      <c r="AI1098" s="370"/>
      <c r="AJ1098" s="370"/>
      <c r="AL1098" s="219"/>
      <c r="AM1098" s="219"/>
      <c r="AN1098" s="219"/>
      <c r="AO1098" s="116"/>
      <c r="AP1098" s="116"/>
      <c r="AU1098" s="332"/>
      <c r="AV1098" s="332"/>
      <c r="AW1098" s="332"/>
      <c r="AX1098" s="332"/>
      <c r="AY1098" s="332"/>
      <c r="AZ1098" s="332"/>
      <c r="BA1098" s="332"/>
      <c r="BB1098" s="31"/>
      <c r="BC1098" s="31"/>
      <c r="BD1098" s="31"/>
      <c r="BE1098" s="31"/>
    </row>
    <row r="1099" spans="1:57" ht="13">
      <c r="A1099" s="153"/>
      <c r="F1099" s="153"/>
      <c r="G1099" s="116"/>
      <c r="H1099" s="116"/>
      <c r="I1099" s="116"/>
      <c r="J1099" s="116"/>
      <c r="K1099" s="219"/>
      <c r="L1099" s="116"/>
      <c r="M1099" s="31"/>
      <c r="N1099" s="336"/>
      <c r="O1099" s="336"/>
      <c r="P1099" s="219"/>
      <c r="Q1099" s="332"/>
      <c r="R1099" s="219"/>
      <c r="S1099" s="332"/>
      <c r="T1099" s="219"/>
      <c r="U1099" s="332"/>
      <c r="V1099" s="332"/>
      <c r="W1099" s="370"/>
      <c r="X1099" s="370"/>
      <c r="Y1099" s="370"/>
      <c r="Z1099" s="370"/>
      <c r="AA1099" s="370"/>
      <c r="AB1099" s="370"/>
      <c r="AC1099" s="370"/>
      <c r="AD1099" s="370"/>
      <c r="AE1099" s="370"/>
      <c r="AF1099" s="370"/>
      <c r="AG1099" s="370"/>
      <c r="AH1099" s="370"/>
      <c r="AI1099" s="370"/>
      <c r="AJ1099" s="370"/>
      <c r="AL1099" s="219"/>
      <c r="AM1099" s="219"/>
      <c r="AN1099" s="219"/>
      <c r="AO1099" s="116"/>
      <c r="AP1099" s="116"/>
      <c r="AU1099" s="332"/>
      <c r="AV1099" s="332"/>
      <c r="AW1099" s="332"/>
      <c r="AX1099" s="332"/>
      <c r="AY1099" s="332"/>
      <c r="AZ1099" s="332"/>
      <c r="BA1099" s="332"/>
      <c r="BB1099" s="31"/>
      <c r="BC1099" s="31"/>
      <c r="BD1099" s="31"/>
      <c r="BE1099" s="31"/>
    </row>
    <row r="1100" spans="1:57" ht="13">
      <c r="A1100" s="153"/>
      <c r="F1100" s="153"/>
      <c r="G1100" s="116"/>
      <c r="H1100" s="116"/>
      <c r="I1100" s="116"/>
      <c r="J1100" s="116"/>
      <c r="K1100" s="219"/>
      <c r="L1100" s="116"/>
      <c r="M1100" s="31"/>
      <c r="N1100" s="336"/>
      <c r="O1100" s="336"/>
      <c r="P1100" s="219"/>
      <c r="Q1100" s="332"/>
      <c r="R1100" s="219"/>
      <c r="S1100" s="332"/>
      <c r="T1100" s="219"/>
      <c r="U1100" s="332"/>
      <c r="V1100" s="332"/>
      <c r="W1100" s="370"/>
      <c r="X1100" s="370"/>
      <c r="Y1100" s="370"/>
      <c r="Z1100" s="370"/>
      <c r="AA1100" s="370"/>
      <c r="AB1100" s="370"/>
      <c r="AC1100" s="370"/>
      <c r="AD1100" s="370"/>
      <c r="AE1100" s="370"/>
      <c r="AF1100" s="370"/>
      <c r="AG1100" s="370"/>
      <c r="AH1100" s="370"/>
      <c r="AI1100" s="370"/>
      <c r="AJ1100" s="370"/>
      <c r="AL1100" s="219"/>
      <c r="AM1100" s="219"/>
      <c r="AN1100" s="219"/>
      <c r="AO1100" s="116"/>
      <c r="AP1100" s="116"/>
      <c r="AU1100" s="332"/>
      <c r="AV1100" s="332"/>
      <c r="AW1100" s="332"/>
      <c r="AX1100" s="332"/>
      <c r="AY1100" s="332"/>
      <c r="AZ1100" s="332"/>
      <c r="BA1100" s="332"/>
      <c r="BB1100" s="31"/>
      <c r="BC1100" s="31"/>
      <c r="BD1100" s="31"/>
      <c r="BE1100" s="31"/>
    </row>
    <row r="1101" spans="1:57" ht="13">
      <c r="A1101" s="153"/>
      <c r="F1101" s="153"/>
      <c r="G1101" s="116"/>
      <c r="H1101" s="116"/>
      <c r="I1101" s="116"/>
      <c r="J1101" s="116"/>
      <c r="K1101" s="219"/>
      <c r="L1101" s="116"/>
      <c r="M1101" s="31"/>
      <c r="N1101" s="336"/>
      <c r="O1101" s="336"/>
      <c r="P1101" s="219"/>
      <c r="Q1101" s="332"/>
      <c r="R1101" s="219"/>
      <c r="S1101" s="332"/>
      <c r="T1101" s="219"/>
      <c r="U1101" s="332"/>
      <c r="V1101" s="332"/>
      <c r="W1101" s="370"/>
      <c r="X1101" s="370"/>
      <c r="Y1101" s="370"/>
      <c r="Z1101" s="370"/>
      <c r="AA1101" s="370"/>
      <c r="AB1101" s="370"/>
      <c r="AC1101" s="370"/>
      <c r="AD1101" s="370"/>
      <c r="AE1101" s="370"/>
      <c r="AF1101" s="370"/>
      <c r="AG1101" s="370"/>
      <c r="AH1101" s="370"/>
      <c r="AI1101" s="370"/>
      <c r="AJ1101" s="370"/>
      <c r="AL1101" s="219"/>
      <c r="AM1101" s="219"/>
      <c r="AN1101" s="219"/>
      <c r="AO1101" s="116"/>
      <c r="AP1101" s="116"/>
      <c r="AU1101" s="332"/>
      <c r="AV1101" s="332"/>
      <c r="AW1101" s="332"/>
      <c r="AX1101" s="332"/>
      <c r="AY1101" s="332"/>
      <c r="AZ1101" s="332"/>
      <c r="BA1101" s="332"/>
      <c r="BB1101" s="31"/>
      <c r="BC1101" s="31"/>
      <c r="BD1101" s="31"/>
      <c r="BE1101" s="31"/>
    </row>
    <row r="1102" spans="1:57" ht="13">
      <c r="A1102" s="153"/>
      <c r="F1102" s="153"/>
      <c r="G1102" s="116"/>
      <c r="H1102" s="116"/>
      <c r="I1102" s="116"/>
      <c r="J1102" s="116"/>
      <c r="K1102" s="219"/>
      <c r="L1102" s="116"/>
      <c r="M1102" s="31"/>
      <c r="N1102" s="336"/>
      <c r="O1102" s="336"/>
      <c r="P1102" s="219"/>
      <c r="Q1102" s="332"/>
      <c r="R1102" s="219"/>
      <c r="S1102" s="332"/>
      <c r="T1102" s="219"/>
      <c r="U1102" s="332"/>
      <c r="V1102" s="332"/>
      <c r="W1102" s="370"/>
      <c r="X1102" s="370"/>
      <c r="Y1102" s="370"/>
      <c r="Z1102" s="370"/>
      <c r="AA1102" s="370"/>
      <c r="AB1102" s="370"/>
      <c r="AC1102" s="370"/>
      <c r="AD1102" s="370"/>
      <c r="AE1102" s="370"/>
      <c r="AF1102" s="370"/>
      <c r="AG1102" s="370"/>
      <c r="AH1102" s="370"/>
      <c r="AI1102" s="370"/>
      <c r="AJ1102" s="370"/>
      <c r="AL1102" s="219"/>
      <c r="AM1102" s="219"/>
      <c r="AN1102" s="219"/>
      <c r="AO1102" s="116"/>
      <c r="AP1102" s="116"/>
      <c r="AU1102" s="332"/>
      <c r="AV1102" s="332"/>
      <c r="AW1102" s="332"/>
      <c r="AX1102" s="332"/>
      <c r="AY1102" s="332"/>
      <c r="AZ1102" s="332"/>
      <c r="BA1102" s="332"/>
      <c r="BB1102" s="31"/>
      <c r="BC1102" s="31"/>
      <c r="BD1102" s="31"/>
      <c r="BE1102" s="31"/>
    </row>
    <row r="1103" spans="1:57" ht="13">
      <c r="A1103" s="153"/>
      <c r="F1103" s="153"/>
      <c r="G1103" s="116"/>
      <c r="H1103" s="116"/>
      <c r="I1103" s="116"/>
      <c r="J1103" s="116"/>
      <c r="K1103" s="219"/>
      <c r="L1103" s="116"/>
      <c r="M1103" s="31"/>
      <c r="N1103" s="336"/>
      <c r="O1103" s="336"/>
      <c r="P1103" s="219"/>
      <c r="Q1103" s="332"/>
      <c r="R1103" s="219"/>
      <c r="S1103" s="332"/>
      <c r="T1103" s="219"/>
      <c r="U1103" s="332"/>
      <c r="V1103" s="332"/>
      <c r="W1103" s="370"/>
      <c r="X1103" s="370"/>
      <c r="Y1103" s="370"/>
      <c r="Z1103" s="370"/>
      <c r="AA1103" s="370"/>
      <c r="AB1103" s="370"/>
      <c r="AC1103" s="370"/>
      <c r="AD1103" s="370"/>
      <c r="AE1103" s="370"/>
      <c r="AF1103" s="370"/>
      <c r="AG1103" s="370"/>
      <c r="AH1103" s="370"/>
      <c r="AI1103" s="370"/>
      <c r="AJ1103" s="370"/>
      <c r="AL1103" s="219"/>
      <c r="AM1103" s="219"/>
      <c r="AN1103" s="219"/>
      <c r="AO1103" s="116"/>
      <c r="AP1103" s="116"/>
      <c r="AU1103" s="332"/>
      <c r="AV1103" s="332"/>
      <c r="AW1103" s="332"/>
      <c r="AX1103" s="332"/>
      <c r="AY1103" s="332"/>
      <c r="AZ1103" s="332"/>
      <c r="BA1103" s="332"/>
      <c r="BB1103" s="31"/>
      <c r="BC1103" s="31"/>
      <c r="BD1103" s="31"/>
      <c r="BE1103" s="31"/>
    </row>
    <row r="1104" spans="1:57" ht="13">
      <c r="A1104" s="153"/>
      <c r="F1104" s="153"/>
      <c r="G1104" s="116"/>
      <c r="H1104" s="116"/>
      <c r="I1104" s="116"/>
      <c r="J1104" s="116"/>
      <c r="K1104" s="219"/>
      <c r="L1104" s="116"/>
      <c r="M1104" s="31"/>
      <c r="N1104" s="336"/>
      <c r="O1104" s="336"/>
      <c r="P1104" s="219"/>
      <c r="Q1104" s="332"/>
      <c r="R1104" s="219"/>
      <c r="S1104" s="332"/>
      <c r="T1104" s="219"/>
      <c r="U1104" s="332"/>
      <c r="V1104" s="332"/>
      <c r="W1104" s="370"/>
      <c r="X1104" s="370"/>
      <c r="Y1104" s="370"/>
      <c r="Z1104" s="370"/>
      <c r="AA1104" s="370"/>
      <c r="AB1104" s="370"/>
      <c r="AC1104" s="370"/>
      <c r="AD1104" s="370"/>
      <c r="AE1104" s="370"/>
      <c r="AF1104" s="370"/>
      <c r="AG1104" s="370"/>
      <c r="AH1104" s="370"/>
      <c r="AI1104" s="370"/>
      <c r="AJ1104" s="370"/>
      <c r="AL1104" s="219"/>
      <c r="AM1104" s="219"/>
      <c r="AN1104" s="219"/>
      <c r="AO1104" s="116"/>
      <c r="AP1104" s="116"/>
      <c r="AU1104" s="332"/>
      <c r="AV1104" s="332"/>
      <c r="AW1104" s="332"/>
      <c r="AX1104" s="332"/>
      <c r="AY1104" s="332"/>
      <c r="AZ1104" s="332"/>
      <c r="BA1104" s="332"/>
      <c r="BB1104" s="31"/>
      <c r="BC1104" s="31"/>
      <c r="BD1104" s="31"/>
      <c r="BE1104" s="31"/>
    </row>
    <row r="1105" spans="1:57" ht="13">
      <c r="A1105" s="153"/>
      <c r="F1105" s="153"/>
      <c r="G1105" s="116"/>
      <c r="H1105" s="116"/>
      <c r="I1105" s="116"/>
      <c r="J1105" s="116"/>
      <c r="K1105" s="219"/>
      <c r="L1105" s="116"/>
      <c r="M1105" s="31"/>
      <c r="N1105" s="336"/>
      <c r="O1105" s="336"/>
      <c r="P1105" s="219"/>
      <c r="Q1105" s="332"/>
      <c r="R1105" s="219"/>
      <c r="S1105" s="332"/>
      <c r="T1105" s="219"/>
      <c r="U1105" s="332"/>
      <c r="V1105" s="332"/>
      <c r="W1105" s="370"/>
      <c r="X1105" s="370"/>
      <c r="Y1105" s="370"/>
      <c r="Z1105" s="370"/>
      <c r="AA1105" s="370"/>
      <c r="AB1105" s="370"/>
      <c r="AC1105" s="370"/>
      <c r="AD1105" s="370"/>
      <c r="AE1105" s="370"/>
      <c r="AF1105" s="370"/>
      <c r="AG1105" s="370"/>
      <c r="AH1105" s="370"/>
      <c r="AI1105" s="370"/>
      <c r="AJ1105" s="370"/>
      <c r="AL1105" s="219"/>
      <c r="AM1105" s="219"/>
      <c r="AN1105" s="219"/>
      <c r="AO1105" s="116"/>
      <c r="AP1105" s="116"/>
      <c r="AU1105" s="332"/>
      <c r="AV1105" s="332"/>
      <c r="AW1105" s="332"/>
      <c r="AX1105" s="332"/>
      <c r="AY1105" s="332"/>
      <c r="AZ1105" s="332"/>
      <c r="BA1105" s="332"/>
      <c r="BB1105" s="31"/>
      <c r="BC1105" s="31"/>
      <c r="BD1105" s="31"/>
      <c r="BE1105" s="31"/>
    </row>
    <row r="1106" spans="1:57" ht="13">
      <c r="A1106" s="153"/>
      <c r="F1106" s="153"/>
      <c r="G1106" s="116"/>
      <c r="H1106" s="116"/>
      <c r="I1106" s="116"/>
      <c r="J1106" s="116"/>
      <c r="K1106" s="219"/>
      <c r="L1106" s="116"/>
      <c r="M1106" s="31"/>
      <c r="N1106" s="336"/>
      <c r="O1106" s="336"/>
      <c r="P1106" s="219"/>
      <c r="Q1106" s="332"/>
      <c r="R1106" s="219"/>
      <c r="S1106" s="332"/>
      <c r="T1106" s="219"/>
      <c r="U1106" s="332"/>
      <c r="V1106" s="332"/>
      <c r="W1106" s="370"/>
      <c r="X1106" s="370"/>
      <c r="Y1106" s="370"/>
      <c r="Z1106" s="370"/>
      <c r="AA1106" s="370"/>
      <c r="AB1106" s="370"/>
      <c r="AC1106" s="370"/>
      <c r="AD1106" s="370"/>
      <c r="AE1106" s="370"/>
      <c r="AF1106" s="370"/>
      <c r="AG1106" s="370"/>
      <c r="AH1106" s="370"/>
      <c r="AI1106" s="370"/>
      <c r="AJ1106" s="370"/>
      <c r="AL1106" s="219"/>
      <c r="AM1106" s="219"/>
      <c r="AN1106" s="219"/>
      <c r="AO1106" s="116"/>
      <c r="AP1106" s="116"/>
      <c r="AU1106" s="332"/>
      <c r="AV1106" s="332"/>
      <c r="AW1106" s="332"/>
      <c r="AX1106" s="332"/>
      <c r="AY1106" s="332"/>
      <c r="AZ1106" s="332"/>
      <c r="BA1106" s="332"/>
      <c r="BB1106" s="31"/>
      <c r="BC1106" s="31"/>
      <c r="BD1106" s="31"/>
      <c r="BE1106" s="31"/>
    </row>
    <row r="1107" spans="1:57" ht="13">
      <c r="A1107" s="153"/>
      <c r="F1107" s="153"/>
      <c r="G1107" s="116"/>
      <c r="H1107" s="116"/>
      <c r="I1107" s="116"/>
      <c r="J1107" s="116"/>
      <c r="K1107" s="219"/>
      <c r="L1107" s="116"/>
      <c r="M1107" s="31"/>
      <c r="N1107" s="336"/>
      <c r="O1107" s="336"/>
      <c r="P1107" s="219"/>
      <c r="Q1107" s="332"/>
      <c r="R1107" s="219"/>
      <c r="S1107" s="332"/>
      <c r="T1107" s="219"/>
      <c r="U1107" s="332"/>
      <c r="V1107" s="332"/>
      <c r="W1107" s="370"/>
      <c r="X1107" s="370"/>
      <c r="Y1107" s="370"/>
      <c r="Z1107" s="370"/>
      <c r="AA1107" s="370"/>
      <c r="AB1107" s="370"/>
      <c r="AC1107" s="370"/>
      <c r="AD1107" s="370"/>
      <c r="AE1107" s="370"/>
      <c r="AF1107" s="370"/>
      <c r="AG1107" s="370"/>
      <c r="AH1107" s="370"/>
      <c r="AI1107" s="370"/>
      <c r="AJ1107" s="370"/>
      <c r="AL1107" s="219"/>
      <c r="AM1107" s="219"/>
      <c r="AN1107" s="219"/>
      <c r="AO1107" s="116"/>
      <c r="AP1107" s="116"/>
      <c r="AU1107" s="332"/>
      <c r="AV1107" s="332"/>
      <c r="AW1107" s="332"/>
      <c r="AX1107" s="332"/>
      <c r="AY1107" s="332"/>
      <c r="AZ1107" s="332"/>
      <c r="BA1107" s="332"/>
      <c r="BB1107" s="31"/>
      <c r="BC1107" s="31"/>
      <c r="BD1107" s="31"/>
      <c r="BE1107" s="31"/>
    </row>
    <row r="1108" spans="1:57" ht="13">
      <c r="A1108" s="153"/>
      <c r="F1108" s="153"/>
      <c r="G1108" s="116"/>
      <c r="H1108" s="116"/>
      <c r="I1108" s="116"/>
      <c r="J1108" s="116"/>
      <c r="K1108" s="219"/>
      <c r="L1108" s="116"/>
      <c r="M1108" s="31"/>
      <c r="N1108" s="336"/>
      <c r="O1108" s="336"/>
      <c r="P1108" s="219"/>
      <c r="Q1108" s="332"/>
      <c r="R1108" s="219"/>
      <c r="S1108" s="332"/>
      <c r="T1108" s="219"/>
      <c r="U1108" s="332"/>
      <c r="V1108" s="332"/>
      <c r="W1108" s="370"/>
      <c r="X1108" s="370"/>
      <c r="Y1108" s="370"/>
      <c r="Z1108" s="370"/>
      <c r="AA1108" s="370"/>
      <c r="AB1108" s="370"/>
      <c r="AC1108" s="370"/>
      <c r="AD1108" s="370"/>
      <c r="AE1108" s="370"/>
      <c r="AF1108" s="370"/>
      <c r="AG1108" s="370"/>
      <c r="AH1108" s="370"/>
      <c r="AI1108" s="370"/>
      <c r="AJ1108" s="370"/>
      <c r="AL1108" s="219"/>
      <c r="AM1108" s="219"/>
      <c r="AN1108" s="219"/>
      <c r="AO1108" s="116"/>
      <c r="AP1108" s="116"/>
      <c r="AU1108" s="332"/>
      <c r="AV1108" s="332"/>
      <c r="AW1108" s="332"/>
      <c r="AX1108" s="332"/>
      <c r="AY1108" s="332"/>
      <c r="AZ1108" s="332"/>
      <c r="BA1108" s="332"/>
      <c r="BB1108" s="31"/>
      <c r="BC1108" s="31"/>
      <c r="BD1108" s="31"/>
      <c r="BE1108" s="31"/>
    </row>
    <row r="1109" spans="1:57" ht="13">
      <c r="A1109" s="153"/>
      <c r="F1109" s="153"/>
      <c r="G1109" s="116"/>
      <c r="H1109" s="116"/>
      <c r="I1109" s="116"/>
      <c r="J1109" s="116"/>
      <c r="K1109" s="219"/>
      <c r="L1109" s="116"/>
      <c r="M1109" s="31"/>
      <c r="N1109" s="336"/>
      <c r="O1109" s="336"/>
      <c r="P1109" s="219"/>
      <c r="Q1109" s="332"/>
      <c r="R1109" s="219"/>
      <c r="S1109" s="332"/>
      <c r="T1109" s="219"/>
      <c r="U1109" s="332"/>
      <c r="V1109" s="332"/>
      <c r="W1109" s="370"/>
      <c r="X1109" s="370"/>
      <c r="Y1109" s="370"/>
      <c r="Z1109" s="370"/>
      <c r="AA1109" s="370"/>
      <c r="AB1109" s="370"/>
      <c r="AC1109" s="370"/>
      <c r="AD1109" s="370"/>
      <c r="AE1109" s="370"/>
      <c r="AF1109" s="370"/>
      <c r="AG1109" s="370"/>
      <c r="AH1109" s="370"/>
      <c r="AI1109" s="370"/>
      <c r="AJ1109" s="370"/>
      <c r="AL1109" s="219"/>
      <c r="AM1109" s="219"/>
      <c r="AN1109" s="219"/>
      <c r="AO1109" s="116"/>
      <c r="AP1109" s="116"/>
      <c r="AU1109" s="332"/>
      <c r="AV1109" s="332"/>
      <c r="AW1109" s="332"/>
      <c r="AX1109" s="332"/>
      <c r="AY1109" s="332"/>
      <c r="AZ1109" s="332"/>
      <c r="BA1109" s="332"/>
      <c r="BB1109" s="31"/>
      <c r="BC1109" s="31"/>
      <c r="BD1109" s="31"/>
      <c r="BE1109" s="31"/>
    </row>
    <row r="1110" spans="1:57" ht="13">
      <c r="A1110" s="153"/>
      <c r="F1110" s="153"/>
      <c r="G1110" s="116"/>
      <c r="H1110" s="116"/>
      <c r="I1110" s="116"/>
      <c r="J1110" s="116"/>
      <c r="K1110" s="219"/>
      <c r="L1110" s="116"/>
      <c r="M1110" s="31"/>
      <c r="N1110" s="336"/>
      <c r="O1110" s="336"/>
      <c r="P1110" s="219"/>
      <c r="Q1110" s="332"/>
      <c r="R1110" s="219"/>
      <c r="S1110" s="332"/>
      <c r="T1110" s="219"/>
      <c r="U1110" s="332"/>
      <c r="V1110" s="332"/>
      <c r="W1110" s="370"/>
      <c r="X1110" s="370"/>
      <c r="Y1110" s="370"/>
      <c r="Z1110" s="370"/>
      <c r="AA1110" s="370"/>
      <c r="AB1110" s="370"/>
      <c r="AC1110" s="370"/>
      <c r="AD1110" s="370"/>
      <c r="AE1110" s="370"/>
      <c r="AF1110" s="370"/>
      <c r="AG1110" s="370"/>
      <c r="AH1110" s="370"/>
      <c r="AI1110" s="370"/>
      <c r="AJ1110" s="370"/>
      <c r="AL1110" s="219"/>
      <c r="AM1110" s="219"/>
      <c r="AN1110" s="219"/>
      <c r="AO1110" s="116"/>
      <c r="AP1110" s="116"/>
      <c r="AU1110" s="332"/>
      <c r="AV1110" s="332"/>
      <c r="AW1110" s="332"/>
      <c r="AX1110" s="332"/>
      <c r="AY1110" s="332"/>
      <c r="AZ1110" s="332"/>
      <c r="BA1110" s="332"/>
      <c r="BB1110" s="31"/>
      <c r="BC1110" s="31"/>
      <c r="BD1110" s="31"/>
      <c r="BE1110" s="31"/>
    </row>
    <row r="1111" spans="1:57" ht="13">
      <c r="A1111" s="153"/>
      <c r="F1111" s="153"/>
      <c r="G1111" s="116"/>
      <c r="H1111" s="116"/>
      <c r="I1111" s="116"/>
      <c r="J1111" s="116"/>
      <c r="K1111" s="219"/>
      <c r="L1111" s="116"/>
      <c r="M1111" s="31"/>
      <c r="N1111" s="336"/>
      <c r="O1111" s="336"/>
      <c r="P1111" s="219"/>
      <c r="Q1111" s="332"/>
      <c r="R1111" s="219"/>
      <c r="S1111" s="332"/>
      <c r="T1111" s="219"/>
      <c r="U1111" s="332"/>
      <c r="V1111" s="332"/>
      <c r="W1111" s="370"/>
      <c r="X1111" s="370"/>
      <c r="Y1111" s="370"/>
      <c r="Z1111" s="370"/>
      <c r="AA1111" s="370"/>
      <c r="AB1111" s="370"/>
      <c r="AC1111" s="370"/>
      <c r="AD1111" s="370"/>
      <c r="AE1111" s="370"/>
      <c r="AF1111" s="370"/>
      <c r="AG1111" s="370"/>
      <c r="AH1111" s="370"/>
      <c r="AI1111" s="370"/>
      <c r="AJ1111" s="370"/>
      <c r="AL1111" s="219"/>
      <c r="AM1111" s="219"/>
      <c r="AN1111" s="219"/>
      <c r="AO1111" s="116"/>
      <c r="AP1111" s="116"/>
      <c r="AU1111" s="332"/>
      <c r="AV1111" s="332"/>
      <c r="AW1111" s="332"/>
      <c r="AX1111" s="332"/>
      <c r="AY1111" s="332"/>
      <c r="AZ1111" s="332"/>
      <c r="BA1111" s="332"/>
      <c r="BB1111" s="31"/>
      <c r="BC1111" s="31"/>
      <c r="BD1111" s="31"/>
      <c r="BE1111" s="31"/>
    </row>
    <row r="1112" spans="1:57" ht="13">
      <c r="A1112" s="153"/>
      <c r="F1112" s="153"/>
      <c r="G1112" s="116"/>
      <c r="H1112" s="116"/>
      <c r="I1112" s="116"/>
      <c r="J1112" s="116"/>
      <c r="K1112" s="219"/>
      <c r="L1112" s="116"/>
      <c r="M1112" s="31"/>
      <c r="N1112" s="336"/>
      <c r="O1112" s="336"/>
      <c r="P1112" s="219"/>
      <c r="Q1112" s="332"/>
      <c r="R1112" s="219"/>
      <c r="S1112" s="332"/>
      <c r="T1112" s="219"/>
      <c r="U1112" s="332"/>
      <c r="V1112" s="332"/>
      <c r="W1112" s="370"/>
      <c r="X1112" s="370"/>
      <c r="Y1112" s="370"/>
      <c r="Z1112" s="370"/>
      <c r="AA1112" s="370"/>
      <c r="AB1112" s="370"/>
      <c r="AC1112" s="370"/>
      <c r="AD1112" s="370"/>
      <c r="AE1112" s="370"/>
      <c r="AF1112" s="370"/>
      <c r="AG1112" s="370"/>
      <c r="AH1112" s="370"/>
      <c r="AI1112" s="370"/>
      <c r="AJ1112" s="370"/>
      <c r="AL1112" s="219"/>
      <c r="AM1112" s="219"/>
      <c r="AN1112" s="219"/>
      <c r="AO1112" s="116"/>
      <c r="AP1112" s="116"/>
      <c r="AU1112" s="332"/>
      <c r="AV1112" s="332"/>
      <c r="AW1112" s="332"/>
      <c r="AX1112" s="332"/>
      <c r="AY1112" s="332"/>
      <c r="AZ1112" s="332"/>
      <c r="BA1112" s="332"/>
      <c r="BB1112" s="31"/>
      <c r="BC1112" s="31"/>
      <c r="BD1112" s="31"/>
      <c r="BE1112" s="31"/>
    </row>
    <row r="1113" spans="1:57" ht="13">
      <c r="A1113" s="153"/>
      <c r="F1113" s="153"/>
      <c r="G1113" s="116"/>
      <c r="H1113" s="116"/>
      <c r="I1113" s="116"/>
      <c r="J1113" s="116"/>
      <c r="K1113" s="219"/>
      <c r="L1113" s="116"/>
      <c r="M1113" s="31"/>
      <c r="N1113" s="336"/>
      <c r="O1113" s="336"/>
      <c r="P1113" s="219"/>
      <c r="Q1113" s="332"/>
      <c r="R1113" s="219"/>
      <c r="S1113" s="332"/>
      <c r="T1113" s="219"/>
      <c r="U1113" s="332"/>
      <c r="V1113" s="332"/>
      <c r="W1113" s="370"/>
      <c r="X1113" s="370"/>
      <c r="Y1113" s="370"/>
      <c r="Z1113" s="370"/>
      <c r="AA1113" s="370"/>
      <c r="AB1113" s="370"/>
      <c r="AC1113" s="370"/>
      <c r="AD1113" s="370"/>
      <c r="AE1113" s="370"/>
      <c r="AF1113" s="370"/>
      <c r="AG1113" s="370"/>
      <c r="AH1113" s="370"/>
      <c r="AI1113" s="370"/>
      <c r="AJ1113" s="370"/>
      <c r="AL1113" s="219"/>
      <c r="AM1113" s="219"/>
      <c r="AN1113" s="219"/>
      <c r="AO1113" s="116"/>
      <c r="AP1113" s="116"/>
      <c r="AU1113" s="332"/>
      <c r="AV1113" s="332"/>
      <c r="AW1113" s="332"/>
      <c r="AX1113" s="332"/>
      <c r="AY1113" s="332"/>
      <c r="AZ1113" s="332"/>
      <c r="BA1113" s="332"/>
      <c r="BB1113" s="31"/>
      <c r="BC1113" s="31"/>
      <c r="BD1113" s="31"/>
      <c r="BE1113" s="31"/>
    </row>
    <row r="1114" spans="1:57" ht="13">
      <c r="A1114" s="153"/>
      <c r="F1114" s="153"/>
      <c r="G1114" s="116"/>
      <c r="H1114" s="116"/>
      <c r="I1114" s="116"/>
      <c r="J1114" s="116"/>
      <c r="K1114" s="219"/>
      <c r="L1114" s="116"/>
      <c r="M1114" s="31"/>
      <c r="N1114" s="336"/>
      <c r="O1114" s="336"/>
      <c r="P1114" s="219"/>
      <c r="Q1114" s="332"/>
      <c r="R1114" s="219"/>
      <c r="S1114" s="332"/>
      <c r="T1114" s="219"/>
      <c r="U1114" s="332"/>
      <c r="V1114" s="332"/>
      <c r="W1114" s="370"/>
      <c r="X1114" s="370"/>
      <c r="Y1114" s="370"/>
      <c r="Z1114" s="370"/>
      <c r="AA1114" s="370"/>
      <c r="AB1114" s="370"/>
      <c r="AC1114" s="370"/>
      <c r="AD1114" s="370"/>
      <c r="AE1114" s="370"/>
      <c r="AF1114" s="370"/>
      <c r="AG1114" s="370"/>
      <c r="AH1114" s="370"/>
      <c r="AI1114" s="370"/>
      <c r="AJ1114" s="370"/>
      <c r="AL1114" s="219"/>
      <c r="AM1114" s="219"/>
      <c r="AN1114" s="219"/>
      <c r="AO1114" s="116"/>
      <c r="AP1114" s="116"/>
      <c r="AU1114" s="332"/>
      <c r="AV1114" s="332"/>
      <c r="AW1114" s="332"/>
      <c r="AX1114" s="332"/>
      <c r="AY1114" s="332"/>
      <c r="AZ1114" s="332"/>
      <c r="BA1114" s="332"/>
      <c r="BB1114" s="31"/>
      <c r="BC1114" s="31"/>
      <c r="BD1114" s="31"/>
      <c r="BE1114" s="31"/>
    </row>
    <row r="1115" spans="1:57" ht="13">
      <c r="A1115" s="153"/>
      <c r="F1115" s="153"/>
      <c r="G1115" s="116"/>
      <c r="H1115" s="116"/>
      <c r="I1115" s="116"/>
      <c r="J1115" s="116"/>
      <c r="K1115" s="219"/>
      <c r="L1115" s="116"/>
      <c r="M1115" s="31"/>
      <c r="N1115" s="336"/>
      <c r="O1115" s="336"/>
      <c r="P1115" s="219"/>
      <c r="Q1115" s="332"/>
      <c r="R1115" s="219"/>
      <c r="S1115" s="332"/>
      <c r="T1115" s="219"/>
      <c r="U1115" s="332"/>
      <c r="V1115" s="332"/>
      <c r="W1115" s="370"/>
      <c r="X1115" s="370"/>
      <c r="Y1115" s="370"/>
      <c r="Z1115" s="370"/>
      <c r="AA1115" s="370"/>
      <c r="AB1115" s="370"/>
      <c r="AC1115" s="370"/>
      <c r="AD1115" s="370"/>
      <c r="AE1115" s="370"/>
      <c r="AF1115" s="370"/>
      <c r="AG1115" s="370"/>
      <c r="AH1115" s="370"/>
      <c r="AI1115" s="370"/>
      <c r="AJ1115" s="370"/>
      <c r="AL1115" s="219"/>
      <c r="AM1115" s="219"/>
      <c r="AN1115" s="219"/>
      <c r="AO1115" s="116"/>
      <c r="AP1115" s="116"/>
      <c r="AU1115" s="332"/>
      <c r="AV1115" s="332"/>
      <c r="AW1115" s="332"/>
      <c r="AX1115" s="332"/>
      <c r="AY1115" s="332"/>
      <c r="AZ1115" s="332"/>
      <c r="BA1115" s="332"/>
      <c r="BB1115" s="31"/>
      <c r="BC1115" s="31"/>
      <c r="BD1115" s="31"/>
      <c r="BE1115" s="31"/>
    </row>
    <row r="1116" spans="1:57" ht="13">
      <c r="A1116" s="153"/>
      <c r="F1116" s="153"/>
      <c r="G1116" s="116"/>
      <c r="H1116" s="116"/>
      <c r="I1116" s="116"/>
      <c r="J1116" s="116"/>
      <c r="K1116" s="219"/>
      <c r="L1116" s="116"/>
      <c r="M1116" s="31"/>
      <c r="N1116" s="336"/>
      <c r="O1116" s="336"/>
      <c r="P1116" s="219"/>
      <c r="Q1116" s="332"/>
      <c r="R1116" s="219"/>
      <c r="S1116" s="332"/>
      <c r="T1116" s="219"/>
      <c r="U1116" s="332"/>
      <c r="V1116" s="332"/>
      <c r="W1116" s="370"/>
      <c r="X1116" s="370"/>
      <c r="Y1116" s="370"/>
      <c r="Z1116" s="370"/>
      <c r="AA1116" s="370"/>
      <c r="AB1116" s="370"/>
      <c r="AC1116" s="370"/>
      <c r="AD1116" s="370"/>
      <c r="AE1116" s="370"/>
      <c r="AF1116" s="370"/>
      <c r="AG1116" s="370"/>
      <c r="AH1116" s="370"/>
      <c r="AI1116" s="370"/>
      <c r="AJ1116" s="370"/>
      <c r="AL1116" s="219"/>
      <c r="AM1116" s="219"/>
      <c r="AN1116" s="219"/>
      <c r="AO1116" s="116"/>
      <c r="AP1116" s="116"/>
      <c r="AU1116" s="332"/>
      <c r="AV1116" s="332"/>
      <c r="AW1116" s="332"/>
      <c r="AX1116" s="332"/>
      <c r="AY1116" s="332"/>
      <c r="AZ1116" s="332"/>
      <c r="BA1116" s="332"/>
      <c r="BB1116" s="31"/>
      <c r="BC1116" s="31"/>
      <c r="BD1116" s="31"/>
      <c r="BE1116" s="31"/>
    </row>
    <row r="1117" spans="1:57" ht="13">
      <c r="A1117" s="153"/>
      <c r="F1117" s="153"/>
      <c r="G1117" s="116"/>
      <c r="H1117" s="116"/>
      <c r="I1117" s="116"/>
      <c r="J1117" s="116"/>
      <c r="K1117" s="219"/>
      <c r="L1117" s="116"/>
      <c r="M1117" s="31"/>
      <c r="N1117" s="336"/>
      <c r="O1117" s="336"/>
      <c r="P1117" s="219"/>
      <c r="Q1117" s="332"/>
      <c r="R1117" s="219"/>
      <c r="S1117" s="332"/>
      <c r="T1117" s="219"/>
      <c r="U1117" s="332"/>
      <c r="V1117" s="332"/>
      <c r="W1117" s="370"/>
      <c r="X1117" s="370"/>
      <c r="Y1117" s="370"/>
      <c r="Z1117" s="370"/>
      <c r="AA1117" s="370"/>
      <c r="AB1117" s="370"/>
      <c r="AC1117" s="370"/>
      <c r="AD1117" s="370"/>
      <c r="AE1117" s="370"/>
      <c r="AF1117" s="370"/>
      <c r="AG1117" s="370"/>
      <c r="AH1117" s="370"/>
      <c r="AI1117" s="370"/>
      <c r="AJ1117" s="370"/>
      <c r="AL1117" s="219"/>
      <c r="AM1117" s="219"/>
      <c r="AN1117" s="219"/>
      <c r="AO1117" s="116"/>
      <c r="AP1117" s="116"/>
      <c r="AU1117" s="332"/>
      <c r="AV1117" s="332"/>
      <c r="AW1117" s="332"/>
      <c r="AX1117" s="332"/>
      <c r="AY1117" s="332"/>
      <c r="AZ1117" s="332"/>
      <c r="BA1117" s="332"/>
      <c r="BB1117" s="31"/>
      <c r="BC1117" s="31"/>
      <c r="BD1117" s="31"/>
      <c r="BE1117" s="31"/>
    </row>
    <row r="1118" spans="1:57" ht="13">
      <c r="A1118" s="153"/>
      <c r="F1118" s="153"/>
      <c r="G1118" s="116"/>
      <c r="H1118" s="116"/>
      <c r="I1118" s="116"/>
      <c r="J1118" s="116"/>
      <c r="K1118" s="219"/>
      <c r="L1118" s="116"/>
      <c r="M1118" s="31"/>
      <c r="N1118" s="336"/>
      <c r="O1118" s="336"/>
      <c r="P1118" s="219"/>
      <c r="Q1118" s="332"/>
      <c r="R1118" s="219"/>
      <c r="S1118" s="332"/>
      <c r="T1118" s="219"/>
      <c r="U1118" s="332"/>
      <c r="V1118" s="332"/>
      <c r="W1118" s="370"/>
      <c r="X1118" s="370"/>
      <c r="Y1118" s="370"/>
      <c r="Z1118" s="370"/>
      <c r="AA1118" s="370"/>
      <c r="AB1118" s="370"/>
      <c r="AC1118" s="370"/>
      <c r="AD1118" s="370"/>
      <c r="AE1118" s="370"/>
      <c r="AF1118" s="370"/>
      <c r="AG1118" s="370"/>
      <c r="AH1118" s="370"/>
      <c r="AI1118" s="370"/>
      <c r="AJ1118" s="370"/>
      <c r="AL1118" s="219"/>
      <c r="AM1118" s="219"/>
      <c r="AN1118" s="219"/>
      <c r="AO1118" s="116"/>
      <c r="AP1118" s="116"/>
      <c r="AU1118" s="332"/>
      <c r="AV1118" s="332"/>
      <c r="AW1118" s="332"/>
      <c r="AX1118" s="332"/>
      <c r="AY1118" s="332"/>
      <c r="AZ1118" s="332"/>
      <c r="BA1118" s="332"/>
      <c r="BB1118" s="31"/>
      <c r="BC1118" s="31"/>
      <c r="BD1118" s="31"/>
      <c r="BE1118" s="31"/>
    </row>
    <row r="1119" spans="1:57" ht="13">
      <c r="A1119" s="153"/>
      <c r="F1119" s="153"/>
      <c r="G1119" s="116"/>
      <c r="H1119" s="116"/>
      <c r="I1119" s="116"/>
      <c r="J1119" s="116"/>
      <c r="K1119" s="219"/>
      <c r="L1119" s="116"/>
      <c r="M1119" s="31"/>
      <c r="N1119" s="336"/>
      <c r="O1119" s="336"/>
      <c r="P1119" s="219"/>
      <c r="Q1119" s="332"/>
      <c r="R1119" s="219"/>
      <c r="S1119" s="332"/>
      <c r="T1119" s="219"/>
      <c r="U1119" s="332"/>
      <c r="V1119" s="332"/>
      <c r="W1119" s="370"/>
      <c r="X1119" s="370"/>
      <c r="Y1119" s="370"/>
      <c r="Z1119" s="370"/>
      <c r="AA1119" s="370"/>
      <c r="AB1119" s="370"/>
      <c r="AC1119" s="370"/>
      <c r="AD1119" s="370"/>
      <c r="AE1119" s="370"/>
      <c r="AF1119" s="370"/>
      <c r="AG1119" s="370"/>
      <c r="AH1119" s="370"/>
      <c r="AI1119" s="370"/>
      <c r="AJ1119" s="370"/>
      <c r="AL1119" s="219"/>
      <c r="AM1119" s="219"/>
      <c r="AN1119" s="219"/>
      <c r="AO1119" s="116"/>
      <c r="AP1119" s="116"/>
      <c r="AU1119" s="332"/>
      <c r="AV1119" s="332"/>
      <c r="AW1119" s="332"/>
      <c r="AX1119" s="332"/>
      <c r="AY1119" s="332"/>
      <c r="AZ1119" s="332"/>
      <c r="BA1119" s="332"/>
      <c r="BB1119" s="31"/>
      <c r="BC1119" s="31"/>
      <c r="BD1119" s="31"/>
      <c r="BE1119" s="31"/>
    </row>
    <row r="1120" spans="1:57" ht="13">
      <c r="A1120" s="153"/>
      <c r="F1120" s="153"/>
      <c r="G1120" s="116"/>
      <c r="H1120" s="116"/>
      <c r="I1120" s="116"/>
      <c r="J1120" s="116"/>
      <c r="K1120" s="219"/>
      <c r="L1120" s="116"/>
      <c r="M1120" s="31"/>
      <c r="N1120" s="336"/>
      <c r="O1120" s="336"/>
      <c r="P1120" s="219"/>
      <c r="Q1120" s="332"/>
      <c r="R1120" s="219"/>
      <c r="S1120" s="332"/>
      <c r="T1120" s="219"/>
      <c r="U1120" s="332"/>
      <c r="V1120" s="332"/>
      <c r="W1120" s="370"/>
      <c r="X1120" s="370"/>
      <c r="Y1120" s="370"/>
      <c r="Z1120" s="370"/>
      <c r="AA1120" s="370"/>
      <c r="AB1120" s="370"/>
      <c r="AC1120" s="370"/>
      <c r="AD1120" s="370"/>
      <c r="AE1120" s="370"/>
      <c r="AF1120" s="370"/>
      <c r="AG1120" s="370"/>
      <c r="AH1120" s="370"/>
      <c r="AI1120" s="370"/>
      <c r="AJ1120" s="370"/>
      <c r="AL1120" s="219"/>
      <c r="AM1120" s="219"/>
      <c r="AN1120" s="219"/>
      <c r="AO1120" s="116"/>
      <c r="AP1120" s="116"/>
      <c r="AU1120" s="332"/>
      <c r="AV1120" s="332"/>
      <c r="AW1120" s="332"/>
      <c r="AX1120" s="332"/>
      <c r="AY1120" s="332"/>
      <c r="AZ1120" s="332"/>
      <c r="BA1120" s="332"/>
      <c r="BB1120" s="31"/>
      <c r="BC1120" s="31"/>
      <c r="BD1120" s="31"/>
      <c r="BE1120" s="31"/>
    </row>
    <row r="1121" spans="1:57" ht="13">
      <c r="A1121" s="153"/>
      <c r="F1121" s="153"/>
      <c r="G1121" s="116"/>
      <c r="H1121" s="116"/>
      <c r="I1121" s="116"/>
      <c r="J1121" s="116"/>
      <c r="K1121" s="219"/>
      <c r="L1121" s="116"/>
      <c r="M1121" s="31"/>
      <c r="N1121" s="336"/>
      <c r="O1121" s="336"/>
      <c r="P1121" s="219"/>
      <c r="Q1121" s="332"/>
      <c r="R1121" s="219"/>
      <c r="S1121" s="332"/>
      <c r="T1121" s="219"/>
      <c r="U1121" s="332"/>
      <c r="V1121" s="332"/>
      <c r="W1121" s="370"/>
      <c r="X1121" s="370"/>
      <c r="Y1121" s="370"/>
      <c r="Z1121" s="370"/>
      <c r="AA1121" s="370"/>
      <c r="AB1121" s="370"/>
      <c r="AC1121" s="370"/>
      <c r="AD1121" s="370"/>
      <c r="AE1121" s="370"/>
      <c r="AF1121" s="370"/>
      <c r="AG1121" s="370"/>
      <c r="AH1121" s="370"/>
      <c r="AI1121" s="370"/>
      <c r="AJ1121" s="370"/>
      <c r="AL1121" s="219"/>
      <c r="AM1121" s="219"/>
      <c r="AN1121" s="219"/>
      <c r="AO1121" s="116"/>
      <c r="AP1121" s="116"/>
      <c r="AU1121" s="332"/>
      <c r="AV1121" s="332"/>
      <c r="AW1121" s="332"/>
      <c r="AX1121" s="332"/>
      <c r="AY1121" s="332"/>
      <c r="AZ1121" s="332"/>
      <c r="BA1121" s="332"/>
      <c r="BB1121" s="31"/>
      <c r="BC1121" s="31"/>
      <c r="BD1121" s="31"/>
      <c r="BE1121" s="31"/>
    </row>
    <row r="1122" spans="1:57" ht="13">
      <c r="A1122" s="153"/>
      <c r="F1122" s="153"/>
      <c r="G1122" s="116"/>
      <c r="H1122" s="116"/>
      <c r="I1122" s="116"/>
      <c r="J1122" s="116"/>
      <c r="K1122" s="219"/>
      <c r="L1122" s="116"/>
      <c r="M1122" s="31"/>
      <c r="N1122" s="336"/>
      <c r="O1122" s="336"/>
      <c r="P1122" s="219"/>
      <c r="Q1122" s="332"/>
      <c r="R1122" s="219"/>
      <c r="S1122" s="332"/>
      <c r="T1122" s="219"/>
      <c r="U1122" s="332"/>
      <c r="V1122" s="332"/>
      <c r="W1122" s="370"/>
      <c r="X1122" s="370"/>
      <c r="Y1122" s="370"/>
      <c r="Z1122" s="370"/>
      <c r="AA1122" s="370"/>
      <c r="AB1122" s="370"/>
      <c r="AC1122" s="370"/>
      <c r="AD1122" s="370"/>
      <c r="AE1122" s="370"/>
      <c r="AF1122" s="370"/>
      <c r="AG1122" s="370"/>
      <c r="AH1122" s="370"/>
      <c r="AI1122" s="370"/>
      <c r="AJ1122" s="370"/>
      <c r="AL1122" s="219"/>
      <c r="AM1122" s="219"/>
      <c r="AN1122" s="219"/>
      <c r="AO1122" s="116"/>
      <c r="AP1122" s="116"/>
      <c r="AU1122" s="332"/>
      <c r="AV1122" s="332"/>
      <c r="AW1122" s="332"/>
      <c r="AX1122" s="332"/>
      <c r="AY1122" s="332"/>
      <c r="AZ1122" s="332"/>
      <c r="BA1122" s="332"/>
      <c r="BB1122" s="31"/>
      <c r="BC1122" s="31"/>
      <c r="BD1122" s="31"/>
      <c r="BE1122" s="31"/>
    </row>
    <row r="1123" spans="1:57" ht="13">
      <c r="A1123" s="153"/>
      <c r="F1123" s="153"/>
      <c r="G1123" s="116"/>
      <c r="H1123" s="116"/>
      <c r="I1123" s="116"/>
      <c r="J1123" s="116"/>
      <c r="K1123" s="219"/>
      <c r="L1123" s="116"/>
      <c r="M1123" s="31"/>
      <c r="N1123" s="336"/>
      <c r="O1123" s="336"/>
      <c r="P1123" s="219"/>
      <c r="Q1123" s="332"/>
      <c r="R1123" s="219"/>
      <c r="S1123" s="332"/>
      <c r="T1123" s="219"/>
      <c r="U1123" s="332"/>
      <c r="V1123" s="332"/>
      <c r="W1123" s="370"/>
      <c r="X1123" s="370"/>
      <c r="Y1123" s="370"/>
      <c r="Z1123" s="370"/>
      <c r="AA1123" s="370"/>
      <c r="AB1123" s="370"/>
      <c r="AC1123" s="370"/>
      <c r="AD1123" s="370"/>
      <c r="AE1123" s="370"/>
      <c r="AF1123" s="370"/>
      <c r="AG1123" s="370"/>
      <c r="AH1123" s="370"/>
      <c r="AI1123" s="370"/>
      <c r="AJ1123" s="370"/>
      <c r="AL1123" s="219"/>
      <c r="AM1123" s="219"/>
      <c r="AN1123" s="219"/>
      <c r="AO1123" s="116"/>
      <c r="AP1123" s="116"/>
      <c r="AU1123" s="332"/>
      <c r="AV1123" s="332"/>
      <c r="AW1123" s="332"/>
      <c r="AX1123" s="332"/>
      <c r="AY1123" s="332"/>
      <c r="AZ1123" s="332"/>
      <c r="BA1123" s="332"/>
      <c r="BB1123" s="31"/>
      <c r="BC1123" s="31"/>
      <c r="BD1123" s="31"/>
      <c r="BE1123" s="31"/>
    </row>
    <row r="1124" spans="1:57" ht="13">
      <c r="A1124" s="153"/>
      <c r="F1124" s="153"/>
      <c r="G1124" s="116"/>
      <c r="H1124" s="116"/>
      <c r="I1124" s="116"/>
      <c r="J1124" s="116"/>
      <c r="K1124" s="219"/>
      <c r="L1124" s="116"/>
      <c r="M1124" s="31"/>
      <c r="N1124" s="336"/>
      <c r="O1124" s="336"/>
      <c r="P1124" s="219"/>
      <c r="Q1124" s="332"/>
      <c r="R1124" s="219"/>
      <c r="S1124" s="332"/>
      <c r="T1124" s="219"/>
      <c r="U1124" s="332"/>
      <c r="V1124" s="332"/>
      <c r="W1124" s="370"/>
      <c r="X1124" s="370"/>
      <c r="Y1124" s="370"/>
      <c r="Z1124" s="370"/>
      <c r="AA1124" s="370"/>
      <c r="AB1124" s="370"/>
      <c r="AC1124" s="370"/>
      <c r="AD1124" s="370"/>
      <c r="AE1124" s="370"/>
      <c r="AF1124" s="370"/>
      <c r="AG1124" s="370"/>
      <c r="AH1124" s="370"/>
      <c r="AI1124" s="370"/>
      <c r="AJ1124" s="370"/>
      <c r="AL1124" s="219"/>
      <c r="AM1124" s="219"/>
      <c r="AN1124" s="219"/>
      <c r="AO1124" s="116"/>
      <c r="AP1124" s="116"/>
      <c r="AU1124" s="332"/>
      <c r="AV1124" s="332"/>
      <c r="AW1124" s="332"/>
      <c r="AX1124" s="332"/>
      <c r="AY1124" s="332"/>
      <c r="AZ1124" s="332"/>
      <c r="BA1124" s="332"/>
      <c r="BB1124" s="31"/>
      <c r="BC1124" s="31"/>
      <c r="BD1124" s="31"/>
      <c r="BE1124" s="31"/>
    </row>
    <row r="1125" spans="1:57" ht="13">
      <c r="A1125" s="153"/>
      <c r="F1125" s="153"/>
      <c r="G1125" s="116"/>
      <c r="H1125" s="116"/>
      <c r="I1125" s="116"/>
      <c r="J1125" s="116"/>
      <c r="K1125" s="219"/>
      <c r="L1125" s="116"/>
      <c r="M1125" s="31"/>
      <c r="N1125" s="336"/>
      <c r="O1125" s="336"/>
      <c r="P1125" s="219"/>
      <c r="Q1125" s="332"/>
      <c r="R1125" s="219"/>
      <c r="S1125" s="332"/>
      <c r="T1125" s="219"/>
      <c r="U1125" s="332"/>
      <c r="V1125" s="332"/>
      <c r="W1125" s="370"/>
      <c r="X1125" s="370"/>
      <c r="Y1125" s="370"/>
      <c r="Z1125" s="370"/>
      <c r="AA1125" s="370"/>
      <c r="AB1125" s="370"/>
      <c r="AC1125" s="370"/>
      <c r="AD1125" s="370"/>
      <c r="AE1125" s="370"/>
      <c r="AF1125" s="370"/>
      <c r="AG1125" s="370"/>
      <c r="AH1125" s="370"/>
      <c r="AI1125" s="370"/>
      <c r="AJ1125" s="370"/>
      <c r="AL1125" s="219"/>
      <c r="AM1125" s="219"/>
      <c r="AN1125" s="219"/>
      <c r="AO1125" s="116"/>
      <c r="AP1125" s="116"/>
      <c r="AU1125" s="332"/>
      <c r="AV1125" s="332"/>
      <c r="AW1125" s="332"/>
      <c r="AX1125" s="332"/>
      <c r="AY1125" s="332"/>
      <c r="AZ1125" s="332"/>
      <c r="BA1125" s="332"/>
      <c r="BB1125" s="31"/>
      <c r="BC1125" s="31"/>
      <c r="BD1125" s="31"/>
      <c r="BE1125" s="31"/>
    </row>
    <row r="1126" spans="1:57" ht="13">
      <c r="A1126" s="153"/>
      <c r="F1126" s="153"/>
      <c r="G1126" s="116"/>
      <c r="H1126" s="116"/>
      <c r="I1126" s="116"/>
      <c r="J1126" s="116"/>
      <c r="K1126" s="219"/>
      <c r="L1126" s="116"/>
      <c r="M1126" s="31"/>
      <c r="N1126" s="336"/>
      <c r="O1126" s="336"/>
      <c r="P1126" s="219"/>
      <c r="Q1126" s="332"/>
      <c r="R1126" s="219"/>
      <c r="S1126" s="332"/>
      <c r="T1126" s="219"/>
      <c r="U1126" s="332"/>
      <c r="V1126" s="332"/>
      <c r="W1126" s="370"/>
      <c r="X1126" s="370"/>
      <c r="Y1126" s="370"/>
      <c r="Z1126" s="370"/>
      <c r="AA1126" s="370"/>
      <c r="AB1126" s="370"/>
      <c r="AC1126" s="370"/>
      <c r="AD1126" s="370"/>
      <c r="AE1126" s="370"/>
      <c r="AF1126" s="370"/>
      <c r="AG1126" s="370"/>
      <c r="AH1126" s="370"/>
      <c r="AI1126" s="370"/>
      <c r="AJ1126" s="370"/>
      <c r="AL1126" s="219"/>
      <c r="AM1126" s="219"/>
      <c r="AN1126" s="219"/>
      <c r="AO1126" s="116"/>
      <c r="AP1126" s="116"/>
      <c r="AU1126" s="332"/>
      <c r="AV1126" s="332"/>
      <c r="AW1126" s="332"/>
      <c r="AX1126" s="332"/>
      <c r="AY1126" s="332"/>
      <c r="AZ1126" s="332"/>
      <c r="BA1126" s="332"/>
      <c r="BB1126" s="31"/>
      <c r="BC1126" s="31"/>
      <c r="BD1126" s="31"/>
      <c r="BE1126" s="31"/>
    </row>
    <row r="1127" spans="1:57" ht="13">
      <c r="A1127" s="153"/>
      <c r="F1127" s="153"/>
      <c r="G1127" s="116"/>
      <c r="H1127" s="116"/>
      <c r="I1127" s="116"/>
      <c r="J1127" s="116"/>
      <c r="K1127" s="219"/>
      <c r="L1127" s="116"/>
      <c r="M1127" s="31"/>
      <c r="N1127" s="336"/>
      <c r="O1127" s="336"/>
      <c r="P1127" s="219"/>
      <c r="Q1127" s="332"/>
      <c r="R1127" s="219"/>
      <c r="S1127" s="332"/>
      <c r="T1127" s="219"/>
      <c r="U1127" s="332"/>
      <c r="V1127" s="332"/>
      <c r="W1127" s="370"/>
      <c r="X1127" s="370"/>
      <c r="Y1127" s="370"/>
      <c r="Z1127" s="370"/>
      <c r="AA1127" s="370"/>
      <c r="AB1127" s="370"/>
      <c r="AC1127" s="370"/>
      <c r="AD1127" s="370"/>
      <c r="AE1127" s="370"/>
      <c r="AF1127" s="370"/>
      <c r="AG1127" s="370"/>
      <c r="AH1127" s="370"/>
      <c r="AI1127" s="370"/>
      <c r="AJ1127" s="370"/>
      <c r="AL1127" s="219"/>
      <c r="AM1127" s="219"/>
      <c r="AN1127" s="219"/>
      <c r="AO1127" s="116"/>
      <c r="AP1127" s="116"/>
      <c r="AU1127" s="332"/>
      <c r="AV1127" s="332"/>
      <c r="AW1127" s="332"/>
      <c r="AX1127" s="332"/>
      <c r="AY1127" s="332"/>
      <c r="AZ1127" s="332"/>
      <c r="BA1127" s="332"/>
      <c r="BB1127" s="31"/>
      <c r="BC1127" s="31"/>
      <c r="BD1127" s="31"/>
      <c r="BE1127" s="31"/>
    </row>
    <row r="1128" spans="1:57" ht="13">
      <c r="A1128" s="153"/>
      <c r="F1128" s="153"/>
      <c r="G1128" s="116"/>
      <c r="H1128" s="116"/>
      <c r="I1128" s="116"/>
      <c r="J1128" s="116"/>
      <c r="K1128" s="219"/>
      <c r="L1128" s="116"/>
      <c r="M1128" s="31"/>
      <c r="N1128" s="336"/>
      <c r="O1128" s="336"/>
      <c r="P1128" s="219"/>
      <c r="Q1128" s="332"/>
      <c r="R1128" s="219"/>
      <c r="S1128" s="332"/>
      <c r="T1128" s="219"/>
      <c r="U1128" s="332"/>
      <c r="V1128" s="332"/>
      <c r="W1128" s="370"/>
      <c r="X1128" s="370"/>
      <c r="Y1128" s="370"/>
      <c r="Z1128" s="370"/>
      <c r="AA1128" s="370"/>
      <c r="AB1128" s="370"/>
      <c r="AC1128" s="370"/>
      <c r="AD1128" s="370"/>
      <c r="AE1128" s="370"/>
      <c r="AF1128" s="370"/>
      <c r="AG1128" s="370"/>
      <c r="AH1128" s="370"/>
      <c r="AI1128" s="370"/>
      <c r="AJ1128" s="370"/>
      <c r="AL1128" s="219"/>
      <c r="AM1128" s="219"/>
      <c r="AN1128" s="219"/>
      <c r="AO1128" s="116"/>
      <c r="AP1128" s="116"/>
      <c r="AU1128" s="332"/>
      <c r="AV1128" s="332"/>
      <c r="AW1128" s="332"/>
      <c r="AX1128" s="332"/>
      <c r="AY1128" s="332"/>
      <c r="AZ1128" s="332"/>
      <c r="BA1128" s="332"/>
      <c r="BB1128" s="31"/>
      <c r="BC1128" s="31"/>
      <c r="BD1128" s="31"/>
      <c r="BE1128" s="31"/>
    </row>
    <row r="1129" spans="1:57" ht="13">
      <c r="A1129" s="153"/>
      <c r="F1129" s="153"/>
      <c r="G1129" s="116"/>
      <c r="H1129" s="116"/>
      <c r="I1129" s="116"/>
      <c r="J1129" s="116"/>
      <c r="K1129" s="219"/>
      <c r="L1129" s="116"/>
      <c r="M1129" s="31"/>
      <c r="N1129" s="336"/>
      <c r="O1129" s="336"/>
      <c r="P1129" s="219"/>
      <c r="Q1129" s="332"/>
      <c r="R1129" s="219"/>
      <c r="S1129" s="332"/>
      <c r="T1129" s="219"/>
      <c r="U1129" s="332"/>
      <c r="V1129" s="332"/>
      <c r="W1129" s="370"/>
      <c r="X1129" s="370"/>
      <c r="Y1129" s="370"/>
      <c r="Z1129" s="370"/>
      <c r="AA1129" s="370"/>
      <c r="AB1129" s="370"/>
      <c r="AC1129" s="370"/>
      <c r="AD1129" s="370"/>
      <c r="AE1129" s="370"/>
      <c r="AF1129" s="370"/>
      <c r="AG1129" s="370"/>
      <c r="AH1129" s="370"/>
      <c r="AI1129" s="370"/>
      <c r="AJ1129" s="370"/>
      <c r="AL1129" s="219"/>
      <c r="AM1129" s="219"/>
      <c r="AN1129" s="219"/>
      <c r="AO1129" s="116"/>
      <c r="AP1129" s="116"/>
      <c r="AU1129" s="332"/>
      <c r="AV1129" s="332"/>
      <c r="AW1129" s="332"/>
      <c r="AX1129" s="332"/>
      <c r="AY1129" s="332"/>
      <c r="AZ1129" s="332"/>
      <c r="BA1129" s="332"/>
      <c r="BB1129" s="31"/>
      <c r="BC1129" s="31"/>
      <c r="BD1129" s="31"/>
      <c r="BE1129" s="31"/>
    </row>
    <row r="1130" spans="1:57" ht="13">
      <c r="A1130" s="153"/>
      <c r="F1130" s="153"/>
      <c r="G1130" s="116"/>
      <c r="H1130" s="116"/>
      <c r="I1130" s="116"/>
      <c r="J1130" s="116"/>
      <c r="K1130" s="219"/>
      <c r="L1130" s="116"/>
      <c r="M1130" s="31"/>
      <c r="N1130" s="336"/>
      <c r="O1130" s="336"/>
      <c r="P1130" s="219"/>
      <c r="Q1130" s="332"/>
      <c r="R1130" s="219"/>
      <c r="S1130" s="332"/>
      <c r="T1130" s="219"/>
      <c r="U1130" s="332"/>
      <c r="V1130" s="332"/>
      <c r="W1130" s="370"/>
      <c r="X1130" s="370"/>
      <c r="Y1130" s="370"/>
      <c r="Z1130" s="370"/>
      <c r="AA1130" s="370"/>
      <c r="AB1130" s="370"/>
      <c r="AC1130" s="370"/>
      <c r="AD1130" s="370"/>
      <c r="AE1130" s="370"/>
      <c r="AF1130" s="370"/>
      <c r="AG1130" s="370"/>
      <c r="AH1130" s="370"/>
      <c r="AI1130" s="370"/>
      <c r="AJ1130" s="370"/>
      <c r="AL1130" s="219"/>
      <c r="AM1130" s="219"/>
      <c r="AN1130" s="219"/>
      <c r="AO1130" s="116"/>
      <c r="AP1130" s="116"/>
      <c r="AU1130" s="332"/>
      <c r="AV1130" s="332"/>
      <c r="AW1130" s="332"/>
      <c r="AX1130" s="332"/>
      <c r="AY1130" s="332"/>
      <c r="AZ1130" s="332"/>
      <c r="BA1130" s="332"/>
      <c r="BB1130" s="31"/>
      <c r="BC1130" s="31"/>
      <c r="BD1130" s="31"/>
      <c r="BE1130" s="31"/>
    </row>
    <row r="1131" spans="1:57" ht="13">
      <c r="A1131" s="153"/>
      <c r="F1131" s="153"/>
      <c r="G1131" s="116"/>
      <c r="H1131" s="116"/>
      <c r="I1131" s="116"/>
      <c r="J1131" s="116"/>
      <c r="K1131" s="219"/>
      <c r="L1131" s="116"/>
      <c r="M1131" s="31"/>
      <c r="N1131" s="336"/>
      <c r="O1131" s="336"/>
      <c r="P1131" s="219"/>
      <c r="Q1131" s="332"/>
      <c r="R1131" s="219"/>
      <c r="S1131" s="332"/>
      <c r="T1131" s="219"/>
      <c r="U1131" s="332"/>
      <c r="V1131" s="332"/>
      <c r="W1131" s="370"/>
      <c r="X1131" s="370"/>
      <c r="Y1131" s="370"/>
      <c r="Z1131" s="370"/>
      <c r="AA1131" s="370"/>
      <c r="AB1131" s="370"/>
      <c r="AC1131" s="370"/>
      <c r="AD1131" s="370"/>
      <c r="AE1131" s="370"/>
      <c r="AF1131" s="370"/>
      <c r="AG1131" s="370"/>
      <c r="AH1131" s="370"/>
      <c r="AI1131" s="370"/>
      <c r="AJ1131" s="370"/>
      <c r="AL1131" s="219"/>
      <c r="AM1131" s="219"/>
      <c r="AN1131" s="219"/>
      <c r="AO1131" s="116"/>
      <c r="AP1131" s="116"/>
      <c r="AU1131" s="332"/>
      <c r="AV1131" s="332"/>
      <c r="AW1131" s="332"/>
      <c r="AX1131" s="332"/>
      <c r="AY1131" s="332"/>
      <c r="AZ1131" s="332"/>
      <c r="BA1131" s="332"/>
      <c r="BB1131" s="31"/>
      <c r="BC1131" s="31"/>
      <c r="BD1131" s="31"/>
      <c r="BE1131" s="31"/>
    </row>
    <row r="1132" spans="1:57" ht="13">
      <c r="A1132" s="153"/>
      <c r="F1132" s="153"/>
      <c r="G1132" s="116"/>
      <c r="H1132" s="116"/>
      <c r="I1132" s="116"/>
      <c r="J1132" s="116"/>
      <c r="K1132" s="219"/>
      <c r="L1132" s="116"/>
      <c r="M1132" s="31"/>
      <c r="N1132" s="336"/>
      <c r="O1132" s="336"/>
      <c r="P1132" s="219"/>
      <c r="Q1132" s="332"/>
      <c r="R1132" s="219"/>
      <c r="S1132" s="332"/>
      <c r="T1132" s="219"/>
      <c r="U1132" s="332"/>
      <c r="V1132" s="332"/>
      <c r="W1132" s="370"/>
      <c r="X1132" s="370"/>
      <c r="Y1132" s="370"/>
      <c r="Z1132" s="370"/>
      <c r="AA1132" s="370"/>
      <c r="AB1132" s="370"/>
      <c r="AC1132" s="370"/>
      <c r="AD1132" s="370"/>
      <c r="AE1132" s="370"/>
      <c r="AF1132" s="370"/>
      <c r="AG1132" s="370"/>
      <c r="AH1132" s="370"/>
      <c r="AI1132" s="370"/>
      <c r="AJ1132" s="370"/>
      <c r="AL1132" s="219"/>
      <c r="AM1132" s="219"/>
      <c r="AN1132" s="219"/>
      <c r="AO1132" s="116"/>
      <c r="AP1132" s="116"/>
      <c r="AU1132" s="332"/>
      <c r="AV1132" s="332"/>
      <c r="AW1132" s="332"/>
      <c r="AX1132" s="332"/>
      <c r="AY1132" s="332"/>
      <c r="AZ1132" s="332"/>
      <c r="BA1132" s="332"/>
      <c r="BB1132" s="31"/>
      <c r="BC1132" s="31"/>
      <c r="BD1132" s="31"/>
      <c r="BE1132" s="31"/>
    </row>
    <row r="1133" spans="1:57" ht="13">
      <c r="A1133" s="153"/>
      <c r="F1133" s="153"/>
      <c r="G1133" s="116"/>
      <c r="H1133" s="116"/>
      <c r="I1133" s="116"/>
      <c r="J1133" s="116"/>
      <c r="K1133" s="219"/>
      <c r="L1133" s="116"/>
      <c r="M1133" s="31"/>
      <c r="N1133" s="336"/>
      <c r="O1133" s="336"/>
      <c r="P1133" s="219"/>
      <c r="Q1133" s="332"/>
      <c r="R1133" s="219"/>
      <c r="S1133" s="332"/>
      <c r="T1133" s="219"/>
      <c r="U1133" s="332"/>
      <c r="V1133" s="332"/>
      <c r="W1133" s="370"/>
      <c r="X1133" s="370"/>
      <c r="Y1133" s="370"/>
      <c r="Z1133" s="370"/>
      <c r="AA1133" s="370"/>
      <c r="AB1133" s="370"/>
      <c r="AC1133" s="370"/>
      <c r="AD1133" s="370"/>
      <c r="AE1133" s="370"/>
      <c r="AF1133" s="370"/>
      <c r="AG1133" s="370"/>
      <c r="AH1133" s="370"/>
      <c r="AI1133" s="370"/>
      <c r="AJ1133" s="370"/>
      <c r="AL1133" s="219"/>
      <c r="AM1133" s="219"/>
      <c r="AN1133" s="219"/>
      <c r="AO1133" s="116"/>
      <c r="AP1133" s="116"/>
      <c r="AU1133" s="332"/>
      <c r="AV1133" s="332"/>
      <c r="AW1133" s="332"/>
      <c r="AX1133" s="332"/>
      <c r="AY1133" s="332"/>
      <c r="AZ1133" s="332"/>
      <c r="BA1133" s="332"/>
      <c r="BB1133" s="31"/>
      <c r="BC1133" s="31"/>
      <c r="BD1133" s="31"/>
      <c r="BE1133" s="31"/>
    </row>
    <row r="1134" spans="1:57" ht="13">
      <c r="A1134" s="153"/>
      <c r="F1134" s="153"/>
      <c r="G1134" s="116"/>
      <c r="H1134" s="116"/>
      <c r="I1134" s="116"/>
      <c r="J1134" s="116"/>
      <c r="K1134" s="219"/>
      <c r="L1134" s="116"/>
      <c r="M1134" s="31"/>
      <c r="N1134" s="336"/>
      <c r="O1134" s="336"/>
      <c r="P1134" s="219"/>
      <c r="Q1134" s="332"/>
      <c r="R1134" s="219"/>
      <c r="S1134" s="332"/>
      <c r="T1134" s="219"/>
      <c r="U1134" s="332"/>
      <c r="V1134" s="332"/>
      <c r="W1134" s="370"/>
      <c r="X1134" s="370"/>
      <c r="Y1134" s="370"/>
      <c r="Z1134" s="370"/>
      <c r="AA1134" s="370"/>
      <c r="AB1134" s="370"/>
      <c r="AC1134" s="370"/>
      <c r="AD1134" s="370"/>
      <c r="AE1134" s="370"/>
      <c r="AF1134" s="370"/>
      <c r="AG1134" s="370"/>
      <c r="AH1134" s="370"/>
      <c r="AI1134" s="370"/>
      <c r="AJ1134" s="370"/>
      <c r="AL1134" s="219"/>
      <c r="AM1134" s="219"/>
      <c r="AN1134" s="219"/>
      <c r="AO1134" s="116"/>
      <c r="AP1134" s="116"/>
      <c r="AU1134" s="332"/>
      <c r="AV1134" s="332"/>
      <c r="AW1134" s="332"/>
      <c r="AX1134" s="332"/>
      <c r="AY1134" s="332"/>
      <c r="AZ1134" s="332"/>
      <c r="BA1134" s="332"/>
      <c r="BB1134" s="31"/>
      <c r="BC1134" s="31"/>
      <c r="BD1134" s="31"/>
      <c r="BE1134" s="31"/>
    </row>
    <row r="1135" spans="1:57" ht="13">
      <c r="A1135" s="153"/>
      <c r="F1135" s="153"/>
      <c r="G1135" s="116"/>
      <c r="H1135" s="116"/>
      <c r="I1135" s="116"/>
      <c r="J1135" s="116"/>
      <c r="K1135" s="219"/>
      <c r="L1135" s="116"/>
      <c r="M1135" s="31"/>
      <c r="N1135" s="336"/>
      <c r="O1135" s="336"/>
      <c r="P1135" s="219"/>
      <c r="Q1135" s="332"/>
      <c r="R1135" s="219"/>
      <c r="S1135" s="332"/>
      <c r="T1135" s="219"/>
      <c r="U1135" s="332"/>
      <c r="V1135" s="332"/>
      <c r="W1135" s="370"/>
      <c r="X1135" s="370"/>
      <c r="Y1135" s="370"/>
      <c r="Z1135" s="370"/>
      <c r="AA1135" s="370"/>
      <c r="AB1135" s="370"/>
      <c r="AC1135" s="370"/>
      <c r="AD1135" s="370"/>
      <c r="AE1135" s="370"/>
      <c r="AF1135" s="370"/>
      <c r="AG1135" s="370"/>
      <c r="AH1135" s="370"/>
      <c r="AI1135" s="370"/>
      <c r="AJ1135" s="370"/>
      <c r="AL1135" s="219"/>
      <c r="AM1135" s="219"/>
      <c r="AN1135" s="219"/>
      <c r="AO1135" s="116"/>
      <c r="AP1135" s="116"/>
      <c r="AU1135" s="332"/>
      <c r="AV1135" s="332"/>
      <c r="AW1135" s="332"/>
      <c r="AX1135" s="332"/>
      <c r="AY1135" s="332"/>
      <c r="AZ1135" s="332"/>
      <c r="BA1135" s="332"/>
      <c r="BB1135" s="31"/>
      <c r="BC1135" s="31"/>
      <c r="BD1135" s="31"/>
      <c r="BE1135" s="31"/>
    </row>
    <row r="1136" spans="1:57" ht="13">
      <c r="A1136" s="153"/>
      <c r="F1136" s="153"/>
      <c r="G1136" s="116"/>
      <c r="H1136" s="116"/>
      <c r="I1136" s="116"/>
      <c r="J1136" s="116"/>
      <c r="K1136" s="219"/>
      <c r="L1136" s="116"/>
      <c r="M1136" s="31"/>
      <c r="N1136" s="336"/>
      <c r="O1136" s="336"/>
      <c r="P1136" s="219"/>
      <c r="Q1136" s="332"/>
      <c r="R1136" s="219"/>
      <c r="S1136" s="332"/>
      <c r="T1136" s="219"/>
      <c r="U1136" s="332"/>
      <c r="V1136" s="332"/>
      <c r="W1136" s="370"/>
      <c r="X1136" s="370"/>
      <c r="Y1136" s="370"/>
      <c r="Z1136" s="370"/>
      <c r="AA1136" s="370"/>
      <c r="AB1136" s="370"/>
      <c r="AC1136" s="370"/>
      <c r="AD1136" s="370"/>
      <c r="AE1136" s="370"/>
      <c r="AF1136" s="370"/>
      <c r="AG1136" s="370"/>
      <c r="AH1136" s="370"/>
      <c r="AI1136" s="370"/>
      <c r="AJ1136" s="370"/>
      <c r="AL1136" s="219"/>
      <c r="AM1136" s="219"/>
      <c r="AN1136" s="219"/>
      <c r="AO1136" s="116"/>
      <c r="AP1136" s="116"/>
      <c r="AU1136" s="332"/>
      <c r="AV1136" s="332"/>
      <c r="AW1136" s="332"/>
      <c r="AX1136" s="332"/>
      <c r="AY1136" s="332"/>
      <c r="AZ1136" s="332"/>
      <c r="BA1136" s="332"/>
      <c r="BB1136" s="31"/>
      <c r="BC1136" s="31"/>
      <c r="BD1136" s="31"/>
      <c r="BE1136" s="31"/>
    </row>
    <row r="1137" spans="1:57" ht="13">
      <c r="A1137" s="153"/>
      <c r="F1137" s="153"/>
      <c r="G1137" s="116"/>
      <c r="H1137" s="116"/>
      <c r="I1137" s="116"/>
      <c r="J1137" s="116"/>
      <c r="K1137" s="219"/>
      <c r="L1137" s="116"/>
      <c r="M1137" s="31"/>
      <c r="N1137" s="336"/>
      <c r="O1137" s="336"/>
      <c r="P1137" s="219"/>
      <c r="Q1137" s="332"/>
      <c r="R1137" s="219"/>
      <c r="S1137" s="332"/>
      <c r="T1137" s="219"/>
      <c r="U1137" s="332"/>
      <c r="V1137" s="332"/>
      <c r="W1137" s="370"/>
      <c r="X1137" s="370"/>
      <c r="Y1137" s="370"/>
      <c r="Z1137" s="370"/>
      <c r="AA1137" s="370"/>
      <c r="AB1137" s="370"/>
      <c r="AC1137" s="370"/>
      <c r="AD1137" s="370"/>
      <c r="AE1137" s="370"/>
      <c r="AF1137" s="370"/>
      <c r="AG1137" s="370"/>
      <c r="AH1137" s="370"/>
      <c r="AI1137" s="370"/>
      <c r="AJ1137" s="370"/>
      <c r="AL1137" s="219"/>
      <c r="AM1137" s="219"/>
      <c r="AN1137" s="219"/>
      <c r="AO1137" s="116"/>
      <c r="AP1137" s="116"/>
      <c r="AU1137" s="332"/>
      <c r="AV1137" s="332"/>
      <c r="AW1137" s="332"/>
      <c r="AX1137" s="332"/>
      <c r="AY1137" s="332"/>
      <c r="AZ1137" s="332"/>
      <c r="BA1137" s="332"/>
      <c r="BB1137" s="31"/>
      <c r="BC1137" s="31"/>
      <c r="BD1137" s="31"/>
      <c r="BE1137" s="31"/>
    </row>
    <row r="1138" spans="1:57" ht="13">
      <c r="A1138" s="153"/>
      <c r="F1138" s="153"/>
      <c r="G1138" s="116"/>
      <c r="H1138" s="116"/>
      <c r="I1138" s="116"/>
      <c r="J1138" s="116"/>
      <c r="K1138" s="219"/>
      <c r="L1138" s="116"/>
      <c r="M1138" s="31"/>
      <c r="N1138" s="336"/>
      <c r="O1138" s="336"/>
      <c r="P1138" s="219"/>
      <c r="Q1138" s="332"/>
      <c r="R1138" s="219"/>
      <c r="S1138" s="332"/>
      <c r="T1138" s="219"/>
      <c r="U1138" s="332"/>
      <c r="V1138" s="332"/>
      <c r="W1138" s="370"/>
      <c r="X1138" s="370"/>
      <c r="Y1138" s="370"/>
      <c r="Z1138" s="370"/>
      <c r="AA1138" s="370"/>
      <c r="AB1138" s="370"/>
      <c r="AC1138" s="370"/>
      <c r="AD1138" s="370"/>
      <c r="AE1138" s="370"/>
      <c r="AF1138" s="370"/>
      <c r="AG1138" s="370"/>
      <c r="AH1138" s="370"/>
      <c r="AI1138" s="370"/>
      <c r="AJ1138" s="370"/>
      <c r="AL1138" s="219"/>
      <c r="AM1138" s="219"/>
      <c r="AN1138" s="219"/>
      <c r="AO1138" s="116"/>
      <c r="AP1138" s="116"/>
      <c r="AU1138" s="332"/>
      <c r="AV1138" s="332"/>
      <c r="AW1138" s="332"/>
      <c r="AX1138" s="332"/>
      <c r="AY1138" s="332"/>
      <c r="AZ1138" s="332"/>
      <c r="BA1138" s="332"/>
      <c r="BB1138" s="31"/>
      <c r="BC1138" s="31"/>
      <c r="BD1138" s="31"/>
      <c r="BE1138" s="31"/>
    </row>
    <row r="1139" spans="1:57" ht="13">
      <c r="A1139" s="153"/>
      <c r="F1139" s="153"/>
      <c r="G1139" s="116"/>
      <c r="H1139" s="116"/>
      <c r="I1139" s="116"/>
      <c r="J1139" s="116"/>
      <c r="K1139" s="219"/>
      <c r="L1139" s="116"/>
      <c r="M1139" s="31"/>
      <c r="N1139" s="336"/>
      <c r="O1139" s="336"/>
      <c r="P1139" s="219"/>
      <c r="Q1139" s="332"/>
      <c r="R1139" s="219"/>
      <c r="S1139" s="332"/>
      <c r="T1139" s="219"/>
      <c r="U1139" s="332"/>
      <c r="V1139" s="332"/>
      <c r="W1139" s="370"/>
      <c r="X1139" s="370"/>
      <c r="Y1139" s="370"/>
      <c r="Z1139" s="370"/>
      <c r="AA1139" s="370"/>
      <c r="AB1139" s="370"/>
      <c r="AC1139" s="370"/>
      <c r="AD1139" s="370"/>
      <c r="AE1139" s="370"/>
      <c r="AF1139" s="370"/>
      <c r="AG1139" s="370"/>
      <c r="AH1139" s="370"/>
      <c r="AI1139" s="370"/>
      <c r="AJ1139" s="370"/>
      <c r="AL1139" s="219"/>
      <c r="AM1139" s="219"/>
      <c r="AN1139" s="219"/>
      <c r="AO1139" s="116"/>
      <c r="AP1139" s="116"/>
      <c r="AU1139" s="332"/>
      <c r="AV1139" s="332"/>
      <c r="AW1139" s="332"/>
      <c r="AX1139" s="332"/>
      <c r="AY1139" s="332"/>
      <c r="AZ1139" s="332"/>
      <c r="BA1139" s="332"/>
      <c r="BB1139" s="31"/>
      <c r="BC1139" s="31"/>
      <c r="BD1139" s="31"/>
      <c r="BE1139" s="31"/>
    </row>
    <row r="1140" spans="1:57" ht="13">
      <c r="A1140" s="153"/>
      <c r="F1140" s="153"/>
      <c r="G1140" s="116"/>
      <c r="H1140" s="116"/>
      <c r="I1140" s="116"/>
      <c r="J1140" s="116"/>
      <c r="K1140" s="219"/>
      <c r="L1140" s="116"/>
      <c r="M1140" s="31"/>
      <c r="N1140" s="336"/>
      <c r="O1140" s="336"/>
      <c r="P1140" s="219"/>
      <c r="Q1140" s="332"/>
      <c r="R1140" s="219"/>
      <c r="S1140" s="332"/>
      <c r="T1140" s="219"/>
      <c r="U1140" s="332"/>
      <c r="V1140" s="332"/>
      <c r="W1140" s="370"/>
      <c r="X1140" s="370"/>
      <c r="Y1140" s="370"/>
      <c r="Z1140" s="370"/>
      <c r="AA1140" s="370"/>
      <c r="AB1140" s="370"/>
      <c r="AC1140" s="370"/>
      <c r="AD1140" s="370"/>
      <c r="AE1140" s="370"/>
      <c r="AF1140" s="370"/>
      <c r="AG1140" s="370"/>
      <c r="AH1140" s="370"/>
      <c r="AI1140" s="370"/>
      <c r="AJ1140" s="370"/>
      <c r="AL1140" s="219"/>
      <c r="AM1140" s="219"/>
      <c r="AN1140" s="219"/>
      <c r="AO1140" s="116"/>
      <c r="AP1140" s="116"/>
      <c r="AU1140" s="332"/>
      <c r="AV1140" s="332"/>
      <c r="AW1140" s="332"/>
      <c r="AX1140" s="332"/>
      <c r="AY1140" s="332"/>
      <c r="AZ1140" s="332"/>
      <c r="BA1140" s="332"/>
      <c r="BB1140" s="31"/>
      <c r="BC1140" s="31"/>
      <c r="BD1140" s="31"/>
      <c r="BE1140" s="31"/>
    </row>
    <row r="1141" spans="1:57" ht="13">
      <c r="A1141" s="153"/>
      <c r="F1141" s="153"/>
      <c r="G1141" s="116"/>
      <c r="H1141" s="116"/>
      <c r="I1141" s="116"/>
      <c r="J1141" s="116"/>
      <c r="K1141" s="219"/>
      <c r="L1141" s="116"/>
      <c r="M1141" s="31"/>
      <c r="N1141" s="336"/>
      <c r="O1141" s="336"/>
      <c r="P1141" s="219"/>
      <c r="Q1141" s="332"/>
      <c r="R1141" s="219"/>
      <c r="S1141" s="332"/>
      <c r="T1141" s="219"/>
      <c r="U1141" s="332"/>
      <c r="V1141" s="332"/>
      <c r="W1141" s="370"/>
      <c r="X1141" s="370"/>
      <c r="Y1141" s="370"/>
      <c r="Z1141" s="370"/>
      <c r="AA1141" s="370"/>
      <c r="AB1141" s="370"/>
      <c r="AC1141" s="370"/>
      <c r="AD1141" s="370"/>
      <c r="AE1141" s="370"/>
      <c r="AF1141" s="370"/>
      <c r="AG1141" s="370"/>
      <c r="AH1141" s="370"/>
      <c r="AI1141" s="370"/>
      <c r="AJ1141" s="370"/>
      <c r="AL1141" s="219"/>
      <c r="AM1141" s="219"/>
      <c r="AN1141" s="219"/>
      <c r="AO1141" s="116"/>
      <c r="AP1141" s="116"/>
      <c r="AU1141" s="332"/>
      <c r="AV1141" s="332"/>
      <c r="AW1141" s="332"/>
      <c r="AX1141" s="332"/>
      <c r="AY1141" s="332"/>
      <c r="AZ1141" s="332"/>
      <c r="BA1141" s="332"/>
      <c r="BB1141" s="31"/>
      <c r="BC1141" s="31"/>
      <c r="BD1141" s="31"/>
      <c r="BE1141" s="31"/>
    </row>
    <row r="1142" spans="1:57" ht="13">
      <c r="A1142" s="153"/>
      <c r="F1142" s="153"/>
      <c r="G1142" s="116"/>
      <c r="H1142" s="116"/>
      <c r="I1142" s="116"/>
      <c r="J1142" s="116"/>
      <c r="K1142" s="219"/>
      <c r="L1142" s="116"/>
      <c r="M1142" s="31"/>
      <c r="N1142" s="336"/>
      <c r="O1142" s="336"/>
      <c r="P1142" s="219"/>
      <c r="Q1142" s="332"/>
      <c r="R1142" s="219"/>
      <c r="S1142" s="332"/>
      <c r="T1142" s="219"/>
      <c r="U1142" s="332"/>
      <c r="V1142" s="332"/>
      <c r="W1142" s="370"/>
      <c r="X1142" s="370"/>
      <c r="Y1142" s="370"/>
      <c r="Z1142" s="370"/>
      <c r="AA1142" s="370"/>
      <c r="AB1142" s="370"/>
      <c r="AC1142" s="370"/>
      <c r="AD1142" s="370"/>
      <c r="AE1142" s="370"/>
      <c r="AF1142" s="370"/>
      <c r="AG1142" s="370"/>
      <c r="AH1142" s="370"/>
      <c r="AI1142" s="370"/>
      <c r="AJ1142" s="370"/>
      <c r="AL1142" s="219"/>
      <c r="AM1142" s="219"/>
      <c r="AN1142" s="219"/>
      <c r="AO1142" s="116"/>
      <c r="AP1142" s="116"/>
      <c r="AU1142" s="332"/>
      <c r="AV1142" s="332"/>
      <c r="AW1142" s="332"/>
      <c r="AX1142" s="332"/>
      <c r="AY1142" s="332"/>
      <c r="AZ1142" s="332"/>
      <c r="BA1142" s="332"/>
      <c r="BB1142" s="31"/>
      <c r="BC1142" s="31"/>
      <c r="BD1142" s="31"/>
      <c r="BE1142" s="31"/>
    </row>
    <row r="1143" spans="1:57" ht="13">
      <c r="A1143" s="153"/>
      <c r="F1143" s="153"/>
      <c r="G1143" s="116"/>
      <c r="H1143" s="116"/>
      <c r="I1143" s="116"/>
      <c r="J1143" s="116"/>
      <c r="K1143" s="219"/>
      <c r="L1143" s="116"/>
      <c r="M1143" s="31"/>
      <c r="N1143" s="336"/>
      <c r="O1143" s="336"/>
      <c r="P1143" s="219"/>
      <c r="Q1143" s="332"/>
      <c r="R1143" s="219"/>
      <c r="S1143" s="332"/>
      <c r="T1143" s="219"/>
      <c r="U1143" s="332"/>
      <c r="V1143" s="332"/>
      <c r="W1143" s="370"/>
      <c r="X1143" s="370"/>
      <c r="Y1143" s="370"/>
      <c r="Z1143" s="370"/>
      <c r="AA1143" s="370"/>
      <c r="AB1143" s="370"/>
      <c r="AC1143" s="370"/>
      <c r="AD1143" s="370"/>
      <c r="AE1143" s="370"/>
      <c r="AF1143" s="370"/>
      <c r="AG1143" s="370"/>
      <c r="AH1143" s="370"/>
      <c r="AI1143" s="370"/>
      <c r="AJ1143" s="370"/>
      <c r="AL1143" s="219"/>
      <c r="AM1143" s="219"/>
      <c r="AN1143" s="219"/>
      <c r="AO1143" s="116"/>
      <c r="AP1143" s="116"/>
      <c r="AU1143" s="332"/>
      <c r="AV1143" s="332"/>
      <c r="AW1143" s="332"/>
      <c r="AX1143" s="332"/>
      <c r="AY1143" s="332"/>
      <c r="AZ1143" s="332"/>
      <c r="BA1143" s="332"/>
      <c r="BB1143" s="31"/>
      <c r="BC1143" s="31"/>
      <c r="BD1143" s="31"/>
      <c r="BE1143" s="31"/>
    </row>
    <row r="1144" spans="1:57" ht="13">
      <c r="A1144" s="153"/>
      <c r="F1144" s="153"/>
      <c r="G1144" s="116"/>
      <c r="H1144" s="116"/>
      <c r="I1144" s="116"/>
      <c r="J1144" s="116"/>
      <c r="K1144" s="219"/>
      <c r="L1144" s="116"/>
      <c r="M1144" s="31"/>
      <c r="N1144" s="336"/>
      <c r="O1144" s="336"/>
      <c r="P1144" s="219"/>
      <c r="Q1144" s="332"/>
      <c r="R1144" s="219"/>
      <c r="S1144" s="332"/>
      <c r="T1144" s="219"/>
      <c r="U1144" s="332"/>
      <c r="V1144" s="332"/>
      <c r="W1144" s="370"/>
      <c r="X1144" s="370"/>
      <c r="Y1144" s="370"/>
      <c r="Z1144" s="370"/>
      <c r="AA1144" s="370"/>
      <c r="AB1144" s="370"/>
      <c r="AC1144" s="370"/>
      <c r="AD1144" s="370"/>
      <c r="AE1144" s="370"/>
      <c r="AF1144" s="370"/>
      <c r="AG1144" s="370"/>
      <c r="AH1144" s="370"/>
      <c r="AI1144" s="370"/>
      <c r="AJ1144" s="370"/>
      <c r="AL1144" s="219"/>
      <c r="AM1144" s="219"/>
      <c r="AN1144" s="219"/>
      <c r="AO1144" s="116"/>
      <c r="AP1144" s="116"/>
      <c r="AU1144" s="332"/>
      <c r="AV1144" s="332"/>
      <c r="AW1144" s="332"/>
      <c r="AX1144" s="332"/>
      <c r="AY1144" s="332"/>
      <c r="AZ1144" s="332"/>
      <c r="BA1144" s="332"/>
      <c r="BB1144" s="31"/>
      <c r="BC1144" s="31"/>
      <c r="BD1144" s="31"/>
      <c r="BE1144" s="31"/>
    </row>
    <row r="1145" spans="1:57" ht="13">
      <c r="A1145" s="153"/>
      <c r="F1145" s="153"/>
      <c r="G1145" s="116"/>
      <c r="H1145" s="116"/>
      <c r="I1145" s="116"/>
      <c r="J1145" s="116"/>
      <c r="K1145" s="219"/>
      <c r="L1145" s="116"/>
      <c r="M1145" s="31"/>
      <c r="N1145" s="336"/>
      <c r="O1145" s="336"/>
      <c r="P1145" s="219"/>
      <c r="Q1145" s="332"/>
      <c r="R1145" s="219"/>
      <c r="S1145" s="332"/>
      <c r="T1145" s="219"/>
      <c r="U1145" s="332"/>
      <c r="V1145" s="332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  <c r="AH1145" s="370"/>
      <c r="AI1145" s="370"/>
      <c r="AJ1145" s="370"/>
      <c r="AL1145" s="219"/>
      <c r="AM1145" s="219"/>
      <c r="AN1145" s="219"/>
      <c r="AO1145" s="116"/>
      <c r="AP1145" s="116"/>
      <c r="AU1145" s="332"/>
      <c r="AV1145" s="332"/>
      <c r="AW1145" s="332"/>
      <c r="AX1145" s="332"/>
      <c r="AY1145" s="332"/>
      <c r="AZ1145" s="332"/>
      <c r="BA1145" s="332"/>
      <c r="BB1145" s="31"/>
      <c r="BC1145" s="31"/>
      <c r="BD1145" s="31"/>
      <c r="BE1145" s="31"/>
    </row>
    <row r="1146" spans="1:57" ht="13">
      <c r="A1146" s="153"/>
      <c r="F1146" s="153"/>
      <c r="G1146" s="116"/>
      <c r="H1146" s="116"/>
      <c r="I1146" s="116"/>
      <c r="J1146" s="116"/>
      <c r="K1146" s="219"/>
      <c r="L1146" s="116"/>
      <c r="M1146" s="31"/>
      <c r="N1146" s="336"/>
      <c r="O1146" s="336"/>
      <c r="P1146" s="219"/>
      <c r="Q1146" s="332"/>
      <c r="R1146" s="219"/>
      <c r="S1146" s="332"/>
      <c r="T1146" s="219"/>
      <c r="U1146" s="332"/>
      <c r="V1146" s="332"/>
      <c r="W1146" s="370"/>
      <c r="X1146" s="370"/>
      <c r="Y1146" s="370"/>
      <c r="Z1146" s="370"/>
      <c r="AA1146" s="370"/>
      <c r="AB1146" s="370"/>
      <c r="AC1146" s="370"/>
      <c r="AD1146" s="370"/>
      <c r="AE1146" s="370"/>
      <c r="AF1146" s="370"/>
      <c r="AG1146" s="370"/>
      <c r="AH1146" s="370"/>
      <c r="AI1146" s="370"/>
      <c r="AJ1146" s="370"/>
      <c r="AL1146" s="219"/>
      <c r="AM1146" s="219"/>
      <c r="AN1146" s="219"/>
      <c r="AO1146" s="116"/>
      <c r="AP1146" s="116"/>
      <c r="AU1146" s="332"/>
      <c r="AV1146" s="332"/>
      <c r="AW1146" s="332"/>
      <c r="AX1146" s="332"/>
      <c r="AY1146" s="332"/>
      <c r="AZ1146" s="332"/>
      <c r="BA1146" s="332"/>
      <c r="BB1146" s="31"/>
      <c r="BC1146" s="31"/>
      <c r="BD1146" s="31"/>
      <c r="BE1146" s="31"/>
    </row>
    <row r="1147" spans="1:57" ht="13">
      <c r="A1147" s="153"/>
      <c r="F1147" s="153"/>
      <c r="G1147" s="116"/>
      <c r="H1147" s="116"/>
      <c r="I1147" s="116"/>
      <c r="J1147" s="116"/>
      <c r="K1147" s="219"/>
      <c r="L1147" s="116"/>
      <c r="M1147" s="31"/>
      <c r="N1147" s="336"/>
      <c r="O1147" s="336"/>
      <c r="P1147" s="219"/>
      <c r="Q1147" s="332"/>
      <c r="R1147" s="219"/>
      <c r="S1147" s="332"/>
      <c r="T1147" s="219"/>
      <c r="U1147" s="332"/>
      <c r="V1147" s="332"/>
      <c r="W1147" s="370"/>
      <c r="X1147" s="370"/>
      <c r="Y1147" s="370"/>
      <c r="Z1147" s="370"/>
      <c r="AA1147" s="370"/>
      <c r="AB1147" s="370"/>
      <c r="AC1147" s="370"/>
      <c r="AD1147" s="370"/>
      <c r="AE1147" s="370"/>
      <c r="AF1147" s="370"/>
      <c r="AG1147" s="370"/>
      <c r="AH1147" s="370"/>
      <c r="AI1147" s="370"/>
      <c r="AJ1147" s="370"/>
      <c r="AL1147" s="219"/>
      <c r="AM1147" s="219"/>
      <c r="AN1147" s="219"/>
      <c r="AO1147" s="116"/>
      <c r="AP1147" s="116"/>
      <c r="AU1147" s="332"/>
      <c r="AV1147" s="332"/>
      <c r="AW1147" s="332"/>
      <c r="AX1147" s="332"/>
      <c r="AY1147" s="332"/>
      <c r="AZ1147" s="332"/>
      <c r="BA1147" s="332"/>
      <c r="BB1147" s="31"/>
      <c r="BC1147" s="31"/>
      <c r="BD1147" s="31"/>
      <c r="BE1147" s="31"/>
    </row>
    <row r="1148" spans="1:57" ht="13">
      <c r="A1148" s="153"/>
      <c r="F1148" s="153"/>
      <c r="G1148" s="116"/>
      <c r="H1148" s="116"/>
      <c r="I1148" s="116"/>
      <c r="J1148" s="116"/>
      <c r="K1148" s="219"/>
      <c r="L1148" s="116"/>
      <c r="M1148" s="31"/>
      <c r="N1148" s="336"/>
      <c r="O1148" s="336"/>
      <c r="P1148" s="219"/>
      <c r="Q1148" s="332"/>
      <c r="R1148" s="219"/>
      <c r="S1148" s="332"/>
      <c r="T1148" s="219"/>
      <c r="U1148" s="332"/>
      <c r="V1148" s="332"/>
      <c r="W1148" s="370"/>
      <c r="X1148" s="370"/>
      <c r="Y1148" s="370"/>
      <c r="Z1148" s="370"/>
      <c r="AA1148" s="370"/>
      <c r="AB1148" s="370"/>
      <c r="AC1148" s="370"/>
      <c r="AD1148" s="370"/>
      <c r="AE1148" s="370"/>
      <c r="AF1148" s="370"/>
      <c r="AG1148" s="370"/>
      <c r="AH1148" s="370"/>
      <c r="AI1148" s="370"/>
      <c r="AJ1148" s="370"/>
      <c r="AL1148" s="219"/>
      <c r="AM1148" s="219"/>
      <c r="AN1148" s="219"/>
      <c r="AO1148" s="116"/>
      <c r="AP1148" s="116"/>
      <c r="AU1148" s="332"/>
      <c r="AV1148" s="332"/>
      <c r="AW1148" s="332"/>
      <c r="AX1148" s="332"/>
      <c r="AY1148" s="332"/>
      <c r="AZ1148" s="332"/>
      <c r="BA1148" s="332"/>
      <c r="BB1148" s="31"/>
      <c r="BC1148" s="31"/>
      <c r="BD1148" s="31"/>
      <c r="BE1148" s="31"/>
    </row>
    <row r="1149" spans="1:57" ht="13">
      <c r="A1149" s="153"/>
      <c r="F1149" s="153"/>
      <c r="G1149" s="116"/>
      <c r="H1149" s="116"/>
      <c r="I1149" s="116"/>
      <c r="J1149" s="116"/>
      <c r="K1149" s="219"/>
      <c r="L1149" s="116"/>
      <c r="M1149" s="31"/>
      <c r="N1149" s="336"/>
      <c r="O1149" s="336"/>
      <c r="P1149" s="219"/>
      <c r="Q1149" s="332"/>
      <c r="R1149" s="219"/>
      <c r="S1149" s="332"/>
      <c r="T1149" s="219"/>
      <c r="U1149" s="332"/>
      <c r="V1149" s="332"/>
      <c r="W1149" s="370"/>
      <c r="X1149" s="370"/>
      <c r="Y1149" s="370"/>
      <c r="Z1149" s="370"/>
      <c r="AA1149" s="370"/>
      <c r="AB1149" s="370"/>
      <c r="AC1149" s="370"/>
      <c r="AD1149" s="370"/>
      <c r="AE1149" s="370"/>
      <c r="AF1149" s="370"/>
      <c r="AG1149" s="370"/>
      <c r="AH1149" s="370"/>
      <c r="AI1149" s="370"/>
      <c r="AJ1149" s="370"/>
      <c r="AL1149" s="219"/>
      <c r="AM1149" s="219"/>
      <c r="AN1149" s="219"/>
      <c r="AO1149" s="116"/>
      <c r="AP1149" s="116"/>
      <c r="AU1149" s="332"/>
      <c r="AV1149" s="332"/>
      <c r="AW1149" s="332"/>
      <c r="AX1149" s="332"/>
      <c r="AY1149" s="332"/>
      <c r="AZ1149" s="332"/>
      <c r="BA1149" s="332"/>
      <c r="BB1149" s="31"/>
      <c r="BC1149" s="31"/>
      <c r="BD1149" s="31"/>
      <c r="BE1149" s="31"/>
    </row>
    <row r="1150" spans="1:57" ht="13">
      <c r="A1150" s="153"/>
      <c r="F1150" s="153"/>
      <c r="G1150" s="116"/>
      <c r="H1150" s="116"/>
      <c r="I1150" s="116"/>
      <c r="J1150" s="116"/>
      <c r="K1150" s="219"/>
      <c r="L1150" s="116"/>
      <c r="M1150" s="31"/>
      <c r="N1150" s="336"/>
      <c r="O1150" s="336"/>
      <c r="P1150" s="219"/>
      <c r="Q1150" s="332"/>
      <c r="R1150" s="219"/>
      <c r="S1150" s="332"/>
      <c r="T1150" s="219"/>
      <c r="U1150" s="332"/>
      <c r="V1150" s="332"/>
      <c r="W1150" s="370"/>
      <c r="X1150" s="370"/>
      <c r="Y1150" s="370"/>
      <c r="Z1150" s="370"/>
      <c r="AA1150" s="370"/>
      <c r="AB1150" s="370"/>
      <c r="AC1150" s="370"/>
      <c r="AD1150" s="370"/>
      <c r="AE1150" s="370"/>
      <c r="AF1150" s="370"/>
      <c r="AG1150" s="370"/>
      <c r="AH1150" s="370"/>
      <c r="AI1150" s="370"/>
      <c r="AJ1150" s="370"/>
      <c r="AL1150" s="219"/>
      <c r="AM1150" s="219"/>
      <c r="AN1150" s="219"/>
      <c r="AO1150" s="116"/>
      <c r="AP1150" s="116"/>
      <c r="AU1150" s="332"/>
      <c r="AV1150" s="332"/>
      <c r="AW1150" s="332"/>
      <c r="AX1150" s="332"/>
      <c r="AY1150" s="332"/>
      <c r="AZ1150" s="332"/>
      <c r="BA1150" s="332"/>
      <c r="BB1150" s="31"/>
      <c r="BC1150" s="31"/>
      <c r="BD1150" s="31"/>
      <c r="BE1150" s="31"/>
    </row>
    <row r="1151" spans="1:57" ht="13">
      <c r="A1151" s="153"/>
      <c r="F1151" s="153"/>
      <c r="G1151" s="116"/>
      <c r="H1151" s="116"/>
      <c r="I1151" s="116"/>
      <c r="J1151" s="116"/>
      <c r="K1151" s="219"/>
      <c r="L1151" s="116"/>
      <c r="M1151" s="31"/>
      <c r="N1151" s="336"/>
      <c r="O1151" s="336"/>
      <c r="P1151" s="219"/>
      <c r="Q1151" s="332"/>
      <c r="R1151" s="219"/>
      <c r="S1151" s="332"/>
      <c r="T1151" s="219"/>
      <c r="U1151" s="332"/>
      <c r="V1151" s="332"/>
      <c r="W1151" s="370"/>
      <c r="X1151" s="370"/>
      <c r="Y1151" s="370"/>
      <c r="Z1151" s="370"/>
      <c r="AA1151" s="370"/>
      <c r="AB1151" s="370"/>
      <c r="AC1151" s="370"/>
      <c r="AD1151" s="370"/>
      <c r="AE1151" s="370"/>
      <c r="AF1151" s="370"/>
      <c r="AG1151" s="370"/>
      <c r="AH1151" s="370"/>
      <c r="AI1151" s="370"/>
      <c r="AJ1151" s="370"/>
      <c r="AL1151" s="219"/>
      <c r="AM1151" s="219"/>
      <c r="AN1151" s="219"/>
      <c r="AO1151" s="116"/>
      <c r="AP1151" s="116"/>
      <c r="AU1151" s="332"/>
      <c r="AV1151" s="332"/>
      <c r="AW1151" s="332"/>
      <c r="AX1151" s="332"/>
      <c r="AY1151" s="332"/>
      <c r="AZ1151" s="332"/>
      <c r="BA1151" s="332"/>
      <c r="BB1151" s="31"/>
      <c r="BC1151" s="31"/>
      <c r="BD1151" s="31"/>
      <c r="BE1151" s="31"/>
    </row>
    <row r="1152" spans="1:57" ht="13">
      <c r="A1152" s="153"/>
      <c r="F1152" s="153"/>
      <c r="G1152" s="116"/>
      <c r="H1152" s="116"/>
      <c r="I1152" s="116"/>
      <c r="J1152" s="116"/>
      <c r="K1152" s="219"/>
      <c r="L1152" s="116"/>
      <c r="M1152" s="31"/>
      <c r="N1152" s="336"/>
      <c r="O1152" s="336"/>
      <c r="P1152" s="219"/>
      <c r="Q1152" s="332"/>
      <c r="R1152" s="219"/>
      <c r="S1152" s="332"/>
      <c r="T1152" s="219"/>
      <c r="U1152" s="332"/>
      <c r="V1152" s="332"/>
      <c r="W1152" s="370"/>
      <c r="X1152" s="370"/>
      <c r="Y1152" s="370"/>
      <c r="Z1152" s="370"/>
      <c r="AA1152" s="370"/>
      <c r="AB1152" s="370"/>
      <c r="AC1152" s="370"/>
      <c r="AD1152" s="370"/>
      <c r="AE1152" s="370"/>
      <c r="AF1152" s="370"/>
      <c r="AG1152" s="370"/>
      <c r="AH1152" s="370"/>
      <c r="AI1152" s="370"/>
      <c r="AJ1152" s="370"/>
      <c r="AL1152" s="219"/>
      <c r="AM1152" s="219"/>
      <c r="AN1152" s="219"/>
      <c r="AO1152" s="116"/>
      <c r="AP1152" s="116"/>
      <c r="AU1152" s="332"/>
      <c r="AV1152" s="332"/>
      <c r="AW1152" s="332"/>
      <c r="AX1152" s="332"/>
      <c r="AY1152" s="332"/>
      <c r="AZ1152" s="332"/>
      <c r="BA1152" s="332"/>
      <c r="BB1152" s="31"/>
      <c r="BC1152" s="31"/>
      <c r="BD1152" s="31"/>
      <c r="BE1152" s="31"/>
    </row>
    <row r="1153" spans="1:57" ht="13">
      <c r="A1153" s="153"/>
      <c r="F1153" s="153"/>
      <c r="G1153" s="116"/>
      <c r="H1153" s="116"/>
      <c r="I1153" s="116"/>
      <c r="J1153" s="116"/>
      <c r="K1153" s="219"/>
      <c r="L1153" s="116"/>
      <c r="M1153" s="31"/>
      <c r="N1153" s="336"/>
      <c r="O1153" s="336"/>
      <c r="P1153" s="219"/>
      <c r="Q1153" s="332"/>
      <c r="R1153" s="219"/>
      <c r="S1153" s="332"/>
      <c r="T1153" s="219"/>
      <c r="U1153" s="332"/>
      <c r="V1153" s="332"/>
      <c r="W1153" s="370"/>
      <c r="X1153" s="370"/>
      <c r="Y1153" s="370"/>
      <c r="Z1153" s="370"/>
      <c r="AA1153" s="370"/>
      <c r="AB1153" s="370"/>
      <c r="AC1153" s="370"/>
      <c r="AD1153" s="370"/>
      <c r="AE1153" s="370"/>
      <c r="AF1153" s="370"/>
      <c r="AG1153" s="370"/>
      <c r="AH1153" s="370"/>
      <c r="AI1153" s="370"/>
      <c r="AJ1153" s="370"/>
      <c r="AL1153" s="219"/>
      <c r="AM1153" s="219"/>
      <c r="AN1153" s="219"/>
      <c r="AO1153" s="116"/>
      <c r="AP1153" s="116"/>
      <c r="AU1153" s="332"/>
      <c r="AV1153" s="332"/>
      <c r="AW1153" s="332"/>
      <c r="AX1153" s="332"/>
      <c r="AY1153" s="332"/>
      <c r="AZ1153" s="332"/>
      <c r="BA1153" s="332"/>
      <c r="BB1153" s="31"/>
      <c r="BC1153" s="31"/>
      <c r="BD1153" s="31"/>
      <c r="BE1153" s="31"/>
    </row>
    <row r="1154" spans="1:57" ht="13">
      <c r="A1154" s="153"/>
      <c r="F1154" s="153"/>
      <c r="G1154" s="116"/>
      <c r="H1154" s="116"/>
      <c r="I1154" s="116"/>
      <c r="J1154" s="116"/>
      <c r="K1154" s="219"/>
      <c r="L1154" s="116"/>
      <c r="M1154" s="31"/>
      <c r="N1154" s="336"/>
      <c r="O1154" s="336"/>
      <c r="P1154" s="219"/>
      <c r="Q1154" s="332"/>
      <c r="R1154" s="219"/>
      <c r="S1154" s="332"/>
      <c r="T1154" s="219"/>
      <c r="U1154" s="332"/>
      <c r="V1154" s="332"/>
      <c r="W1154" s="370"/>
      <c r="X1154" s="370"/>
      <c r="Y1154" s="370"/>
      <c r="Z1154" s="370"/>
      <c r="AA1154" s="370"/>
      <c r="AB1154" s="370"/>
      <c r="AC1154" s="370"/>
      <c r="AD1154" s="370"/>
      <c r="AE1154" s="370"/>
      <c r="AF1154" s="370"/>
      <c r="AG1154" s="370"/>
      <c r="AH1154" s="370"/>
      <c r="AI1154" s="370"/>
      <c r="AJ1154" s="370"/>
      <c r="AL1154" s="219"/>
      <c r="AM1154" s="219"/>
      <c r="AN1154" s="219"/>
      <c r="AO1154" s="116"/>
      <c r="AP1154" s="116"/>
      <c r="AU1154" s="332"/>
      <c r="AV1154" s="332"/>
      <c r="AW1154" s="332"/>
      <c r="AX1154" s="332"/>
      <c r="AY1154" s="332"/>
      <c r="AZ1154" s="332"/>
      <c r="BA1154" s="332"/>
      <c r="BB1154" s="31"/>
      <c r="BC1154" s="31"/>
      <c r="BD1154" s="31"/>
      <c r="BE1154" s="31"/>
    </row>
    <row r="1155" spans="1:57" ht="13">
      <c r="A1155" s="153"/>
      <c r="F1155" s="153"/>
      <c r="G1155" s="116"/>
      <c r="H1155" s="116"/>
      <c r="I1155" s="116"/>
      <c r="J1155" s="116"/>
      <c r="K1155" s="219"/>
      <c r="L1155" s="116"/>
      <c r="M1155" s="31"/>
      <c r="N1155" s="336"/>
      <c r="O1155" s="336"/>
      <c r="P1155" s="219"/>
      <c r="Q1155" s="332"/>
      <c r="R1155" s="219"/>
      <c r="S1155" s="332"/>
      <c r="T1155" s="219"/>
      <c r="U1155" s="332"/>
      <c r="V1155" s="332"/>
      <c r="W1155" s="370"/>
      <c r="X1155" s="370"/>
      <c r="Y1155" s="370"/>
      <c r="Z1155" s="370"/>
      <c r="AA1155" s="370"/>
      <c r="AB1155" s="370"/>
      <c r="AC1155" s="370"/>
      <c r="AD1155" s="370"/>
      <c r="AE1155" s="370"/>
      <c r="AF1155" s="370"/>
      <c r="AG1155" s="370"/>
      <c r="AH1155" s="370"/>
      <c r="AI1155" s="370"/>
      <c r="AJ1155" s="370"/>
      <c r="AL1155" s="219"/>
      <c r="AM1155" s="219"/>
      <c r="AN1155" s="219"/>
      <c r="AO1155" s="116"/>
      <c r="AP1155" s="116"/>
      <c r="AU1155" s="332"/>
      <c r="AV1155" s="332"/>
      <c r="AW1155" s="332"/>
      <c r="AX1155" s="332"/>
      <c r="AY1155" s="332"/>
      <c r="AZ1155" s="332"/>
      <c r="BA1155" s="332"/>
      <c r="BB1155" s="31"/>
      <c r="BC1155" s="31"/>
      <c r="BD1155" s="31"/>
      <c r="BE1155" s="31"/>
    </row>
    <row r="1156" spans="1:57" ht="13">
      <c r="A1156" s="153"/>
      <c r="F1156" s="153"/>
      <c r="G1156" s="116"/>
      <c r="H1156" s="116"/>
      <c r="I1156" s="116"/>
      <c r="J1156" s="116"/>
      <c r="K1156" s="219"/>
      <c r="L1156" s="116"/>
      <c r="M1156" s="31"/>
      <c r="N1156" s="336"/>
      <c r="O1156" s="336"/>
      <c r="P1156" s="219"/>
      <c r="Q1156" s="332"/>
      <c r="R1156" s="219"/>
      <c r="S1156" s="332"/>
      <c r="T1156" s="219"/>
      <c r="U1156" s="332"/>
      <c r="V1156" s="332"/>
      <c r="W1156" s="370"/>
      <c r="X1156" s="370"/>
      <c r="Y1156" s="370"/>
      <c r="Z1156" s="370"/>
      <c r="AA1156" s="370"/>
      <c r="AB1156" s="370"/>
      <c r="AC1156" s="370"/>
      <c r="AD1156" s="370"/>
      <c r="AE1156" s="370"/>
      <c r="AF1156" s="370"/>
      <c r="AG1156" s="370"/>
      <c r="AH1156" s="370"/>
      <c r="AI1156" s="370"/>
      <c r="AJ1156" s="370"/>
      <c r="AL1156" s="219"/>
      <c r="AM1156" s="219"/>
      <c r="AN1156" s="219"/>
      <c r="AO1156" s="116"/>
      <c r="AP1156" s="116"/>
      <c r="AU1156" s="332"/>
      <c r="AV1156" s="332"/>
      <c r="AW1156" s="332"/>
      <c r="AX1156" s="332"/>
      <c r="AY1156" s="332"/>
      <c r="AZ1156" s="332"/>
      <c r="BA1156" s="332"/>
      <c r="BB1156" s="31"/>
      <c r="BC1156" s="31"/>
      <c r="BD1156" s="31"/>
      <c r="BE1156" s="31"/>
    </row>
    <row r="1157" spans="1:57" ht="13">
      <c r="A1157" s="153"/>
      <c r="F1157" s="153"/>
      <c r="G1157" s="116"/>
      <c r="H1157" s="116"/>
      <c r="I1157" s="116"/>
      <c r="J1157" s="116"/>
      <c r="K1157" s="219"/>
      <c r="L1157" s="116"/>
      <c r="M1157" s="31"/>
      <c r="N1157" s="336"/>
      <c r="O1157" s="336"/>
      <c r="P1157" s="219"/>
      <c r="Q1157" s="332"/>
      <c r="R1157" s="219"/>
      <c r="S1157" s="332"/>
      <c r="T1157" s="219"/>
      <c r="U1157" s="332"/>
      <c r="V1157" s="332"/>
      <c r="W1157" s="370"/>
      <c r="X1157" s="370"/>
      <c r="Y1157" s="370"/>
      <c r="Z1157" s="370"/>
      <c r="AA1157" s="370"/>
      <c r="AB1157" s="370"/>
      <c r="AC1157" s="370"/>
      <c r="AD1157" s="370"/>
      <c r="AE1157" s="370"/>
      <c r="AF1157" s="370"/>
      <c r="AG1157" s="370"/>
      <c r="AH1157" s="370"/>
      <c r="AI1157" s="370"/>
      <c r="AJ1157" s="370"/>
      <c r="AL1157" s="219"/>
      <c r="AM1157" s="219"/>
      <c r="AN1157" s="219"/>
      <c r="AO1157" s="116"/>
      <c r="AP1157" s="116"/>
      <c r="AU1157" s="332"/>
      <c r="AV1157" s="332"/>
      <c r="AW1157" s="332"/>
      <c r="AX1157" s="332"/>
      <c r="AY1157" s="332"/>
      <c r="AZ1157" s="332"/>
      <c r="BA1157" s="332"/>
      <c r="BB1157" s="31"/>
      <c r="BC1157" s="31"/>
      <c r="BD1157" s="31"/>
      <c r="BE1157" s="31"/>
    </row>
    <row r="1158" spans="1:57" ht="13">
      <c r="A1158" s="153"/>
      <c r="F1158" s="153"/>
      <c r="G1158" s="116"/>
      <c r="H1158" s="116"/>
      <c r="I1158" s="116"/>
      <c r="J1158" s="116"/>
      <c r="K1158" s="219"/>
      <c r="L1158" s="116"/>
      <c r="M1158" s="31"/>
      <c r="N1158" s="336"/>
      <c r="O1158" s="336"/>
      <c r="P1158" s="219"/>
      <c r="Q1158" s="332"/>
      <c r="R1158" s="219"/>
      <c r="S1158" s="332"/>
      <c r="T1158" s="219"/>
      <c r="U1158" s="332"/>
      <c r="V1158" s="332"/>
      <c r="W1158" s="370"/>
      <c r="X1158" s="370"/>
      <c r="Y1158" s="370"/>
      <c r="Z1158" s="370"/>
      <c r="AA1158" s="370"/>
      <c r="AB1158" s="370"/>
      <c r="AC1158" s="370"/>
      <c r="AD1158" s="370"/>
      <c r="AE1158" s="370"/>
      <c r="AF1158" s="370"/>
      <c r="AG1158" s="370"/>
      <c r="AH1158" s="370"/>
      <c r="AI1158" s="370"/>
      <c r="AJ1158" s="370"/>
      <c r="AL1158" s="219"/>
      <c r="AM1158" s="219"/>
      <c r="AN1158" s="219"/>
      <c r="AO1158" s="116"/>
      <c r="AP1158" s="116"/>
      <c r="AU1158" s="332"/>
      <c r="AV1158" s="332"/>
      <c r="AW1158" s="332"/>
      <c r="AX1158" s="332"/>
      <c r="AY1158" s="332"/>
      <c r="AZ1158" s="332"/>
      <c r="BA1158" s="332"/>
      <c r="BB1158" s="31"/>
      <c r="BC1158" s="31"/>
      <c r="BD1158" s="31"/>
      <c r="BE1158" s="31"/>
    </row>
    <row r="1159" spans="1:57" ht="13">
      <c r="A1159" s="153"/>
      <c r="F1159" s="153"/>
      <c r="G1159" s="116"/>
      <c r="H1159" s="116"/>
      <c r="I1159" s="116"/>
      <c r="J1159" s="116"/>
      <c r="K1159" s="219"/>
      <c r="L1159" s="116"/>
      <c r="M1159" s="31"/>
      <c r="N1159" s="336"/>
      <c r="O1159" s="336"/>
      <c r="P1159" s="219"/>
      <c r="Q1159" s="332"/>
      <c r="R1159" s="219"/>
      <c r="S1159" s="332"/>
      <c r="T1159" s="219"/>
      <c r="U1159" s="332"/>
      <c r="V1159" s="332"/>
      <c r="W1159" s="370"/>
      <c r="X1159" s="370"/>
      <c r="Y1159" s="370"/>
      <c r="Z1159" s="370"/>
      <c r="AA1159" s="370"/>
      <c r="AB1159" s="370"/>
      <c r="AC1159" s="370"/>
      <c r="AD1159" s="370"/>
      <c r="AE1159" s="370"/>
      <c r="AF1159" s="370"/>
      <c r="AG1159" s="370"/>
      <c r="AH1159" s="370"/>
      <c r="AI1159" s="370"/>
      <c r="AJ1159" s="370"/>
      <c r="AL1159" s="219"/>
      <c r="AM1159" s="219"/>
      <c r="AN1159" s="219"/>
      <c r="AO1159" s="116"/>
      <c r="AP1159" s="116"/>
      <c r="AU1159" s="332"/>
      <c r="AV1159" s="332"/>
      <c r="AW1159" s="332"/>
      <c r="AX1159" s="332"/>
      <c r="AY1159" s="332"/>
      <c r="AZ1159" s="332"/>
      <c r="BA1159" s="332"/>
      <c r="BB1159" s="31"/>
      <c r="BC1159" s="31"/>
      <c r="BD1159" s="31"/>
      <c r="BE1159" s="31"/>
    </row>
    <row r="1160" spans="1:57" ht="13">
      <c r="A1160" s="153"/>
      <c r="F1160" s="153"/>
      <c r="G1160" s="116"/>
      <c r="H1160" s="116"/>
      <c r="I1160" s="116"/>
      <c r="J1160" s="116"/>
      <c r="K1160" s="219"/>
      <c r="L1160" s="116"/>
      <c r="M1160" s="31"/>
      <c r="N1160" s="336"/>
      <c r="O1160" s="336"/>
      <c r="P1160" s="219"/>
      <c r="Q1160" s="332"/>
      <c r="R1160" s="219"/>
      <c r="S1160" s="332"/>
      <c r="T1160" s="219"/>
      <c r="U1160" s="332"/>
      <c r="V1160" s="332"/>
      <c r="W1160" s="370"/>
      <c r="X1160" s="370"/>
      <c r="Y1160" s="370"/>
      <c r="Z1160" s="370"/>
      <c r="AA1160" s="370"/>
      <c r="AB1160" s="370"/>
      <c r="AC1160" s="370"/>
      <c r="AD1160" s="370"/>
      <c r="AE1160" s="370"/>
      <c r="AF1160" s="370"/>
      <c r="AG1160" s="370"/>
      <c r="AH1160" s="370"/>
      <c r="AI1160" s="370"/>
      <c r="AJ1160" s="370"/>
      <c r="AL1160" s="219"/>
      <c r="AM1160" s="219"/>
      <c r="AN1160" s="219"/>
      <c r="AO1160" s="116"/>
      <c r="AP1160" s="116"/>
      <c r="AU1160" s="332"/>
      <c r="AV1160" s="332"/>
      <c r="AW1160" s="332"/>
      <c r="AX1160" s="332"/>
      <c r="AY1160" s="332"/>
      <c r="AZ1160" s="332"/>
      <c r="BA1160" s="332"/>
      <c r="BB1160" s="31"/>
      <c r="BC1160" s="31"/>
      <c r="BD1160" s="31"/>
      <c r="BE1160" s="31"/>
    </row>
    <row r="1161" spans="1:57" ht="13">
      <c r="A1161" s="153"/>
      <c r="F1161" s="153"/>
      <c r="G1161" s="116"/>
      <c r="H1161" s="116"/>
      <c r="I1161" s="116"/>
      <c r="J1161" s="116"/>
      <c r="K1161" s="219"/>
      <c r="L1161" s="116"/>
      <c r="M1161" s="31"/>
      <c r="N1161" s="336"/>
      <c r="O1161" s="336"/>
      <c r="P1161" s="219"/>
      <c r="Q1161" s="332"/>
      <c r="R1161" s="219"/>
      <c r="S1161" s="332"/>
      <c r="T1161" s="219"/>
      <c r="U1161" s="332"/>
      <c r="V1161" s="332"/>
      <c r="W1161" s="370"/>
      <c r="X1161" s="370"/>
      <c r="Y1161" s="370"/>
      <c r="Z1161" s="370"/>
      <c r="AA1161" s="370"/>
      <c r="AB1161" s="370"/>
      <c r="AC1161" s="370"/>
      <c r="AD1161" s="370"/>
      <c r="AE1161" s="370"/>
      <c r="AF1161" s="370"/>
      <c r="AG1161" s="370"/>
      <c r="AH1161" s="370"/>
      <c r="AI1161" s="370"/>
      <c r="AJ1161" s="370"/>
      <c r="AL1161" s="219"/>
      <c r="AM1161" s="219"/>
      <c r="AN1161" s="219"/>
      <c r="AO1161" s="116"/>
      <c r="AP1161" s="116"/>
      <c r="AU1161" s="332"/>
      <c r="AV1161" s="332"/>
      <c r="AW1161" s="332"/>
      <c r="AX1161" s="332"/>
      <c r="AY1161" s="332"/>
      <c r="AZ1161" s="332"/>
      <c r="BA1161" s="332"/>
      <c r="BB1161" s="31"/>
      <c r="BC1161" s="31"/>
      <c r="BD1161" s="31"/>
      <c r="BE1161" s="31"/>
    </row>
    <row r="1162" spans="1:57" ht="13">
      <c r="A1162" s="153"/>
      <c r="F1162" s="153"/>
      <c r="G1162" s="116"/>
      <c r="H1162" s="116"/>
      <c r="I1162" s="116"/>
      <c r="J1162" s="116"/>
      <c r="K1162" s="219"/>
      <c r="L1162" s="116"/>
      <c r="M1162" s="31"/>
      <c r="N1162" s="336"/>
      <c r="O1162" s="336"/>
      <c r="P1162" s="219"/>
      <c r="Q1162" s="332"/>
      <c r="R1162" s="219"/>
      <c r="S1162" s="332"/>
      <c r="T1162" s="219"/>
      <c r="U1162" s="332"/>
      <c r="V1162" s="332"/>
      <c r="W1162" s="370"/>
      <c r="X1162" s="370"/>
      <c r="Y1162" s="370"/>
      <c r="Z1162" s="370"/>
      <c r="AA1162" s="370"/>
      <c r="AB1162" s="370"/>
      <c r="AC1162" s="370"/>
      <c r="AD1162" s="370"/>
      <c r="AE1162" s="370"/>
      <c r="AF1162" s="370"/>
      <c r="AG1162" s="370"/>
      <c r="AH1162" s="370"/>
      <c r="AI1162" s="370"/>
      <c r="AJ1162" s="370"/>
      <c r="AL1162" s="219"/>
      <c r="AM1162" s="219"/>
      <c r="AN1162" s="219"/>
      <c r="AO1162" s="116"/>
      <c r="AP1162" s="116"/>
      <c r="AU1162" s="332"/>
      <c r="AV1162" s="332"/>
      <c r="AW1162" s="332"/>
      <c r="AX1162" s="332"/>
      <c r="AY1162" s="332"/>
      <c r="AZ1162" s="332"/>
      <c r="BA1162" s="332"/>
      <c r="BB1162" s="31"/>
      <c r="BC1162" s="31"/>
      <c r="BD1162" s="31"/>
      <c r="BE1162" s="31"/>
    </row>
    <row r="1163" spans="1:57" ht="13">
      <c r="A1163" s="153"/>
      <c r="F1163" s="153"/>
      <c r="G1163" s="116"/>
      <c r="H1163" s="116"/>
      <c r="I1163" s="116"/>
      <c r="J1163" s="116"/>
      <c r="K1163" s="219"/>
      <c r="L1163" s="116"/>
      <c r="M1163" s="31"/>
      <c r="N1163" s="336"/>
      <c r="O1163" s="336"/>
      <c r="P1163" s="219"/>
      <c r="Q1163" s="332"/>
      <c r="R1163" s="219"/>
      <c r="S1163" s="332"/>
      <c r="T1163" s="219"/>
      <c r="U1163" s="332"/>
      <c r="V1163" s="332"/>
      <c r="W1163" s="370"/>
      <c r="X1163" s="370"/>
      <c r="Y1163" s="370"/>
      <c r="Z1163" s="370"/>
      <c r="AA1163" s="370"/>
      <c r="AB1163" s="370"/>
      <c r="AC1163" s="370"/>
      <c r="AD1163" s="370"/>
      <c r="AE1163" s="370"/>
      <c r="AF1163" s="370"/>
      <c r="AG1163" s="370"/>
      <c r="AH1163" s="370"/>
      <c r="AI1163" s="370"/>
      <c r="AJ1163" s="370"/>
      <c r="AL1163" s="219"/>
      <c r="AM1163" s="219"/>
      <c r="AN1163" s="219"/>
      <c r="AO1163" s="116"/>
      <c r="AP1163" s="116"/>
      <c r="AU1163" s="332"/>
      <c r="AV1163" s="332"/>
      <c r="AW1163" s="332"/>
      <c r="AX1163" s="332"/>
      <c r="AY1163" s="332"/>
      <c r="AZ1163" s="332"/>
      <c r="BA1163" s="332"/>
      <c r="BB1163" s="31"/>
      <c r="BC1163" s="31"/>
      <c r="BD1163" s="31"/>
      <c r="BE1163" s="31"/>
    </row>
    <row r="1164" spans="1:57" ht="13">
      <c r="A1164" s="153"/>
      <c r="F1164" s="153"/>
      <c r="G1164" s="116"/>
      <c r="H1164" s="116"/>
      <c r="I1164" s="116"/>
      <c r="J1164" s="116"/>
      <c r="K1164" s="219"/>
      <c r="L1164" s="116"/>
      <c r="M1164" s="31"/>
      <c r="N1164" s="336"/>
      <c r="O1164" s="336"/>
      <c r="P1164" s="219"/>
      <c r="Q1164" s="332"/>
      <c r="R1164" s="219"/>
      <c r="S1164" s="332"/>
      <c r="T1164" s="219"/>
      <c r="U1164" s="332"/>
      <c r="V1164" s="332"/>
      <c r="W1164" s="370"/>
      <c r="X1164" s="370"/>
      <c r="Y1164" s="370"/>
      <c r="Z1164" s="370"/>
      <c r="AA1164" s="370"/>
      <c r="AB1164" s="370"/>
      <c r="AC1164" s="370"/>
      <c r="AD1164" s="370"/>
      <c r="AE1164" s="370"/>
      <c r="AF1164" s="370"/>
      <c r="AG1164" s="370"/>
      <c r="AH1164" s="370"/>
      <c r="AI1164" s="370"/>
      <c r="AJ1164" s="370"/>
      <c r="AL1164" s="219"/>
      <c r="AM1164" s="219"/>
      <c r="AN1164" s="219"/>
      <c r="AO1164" s="116"/>
      <c r="AP1164" s="116"/>
      <c r="AU1164" s="332"/>
      <c r="AV1164" s="332"/>
      <c r="AW1164" s="332"/>
      <c r="AX1164" s="332"/>
      <c r="AY1164" s="332"/>
      <c r="AZ1164" s="332"/>
      <c r="BA1164" s="332"/>
      <c r="BB1164" s="31"/>
      <c r="BC1164" s="31"/>
      <c r="BD1164" s="31"/>
      <c r="BE1164" s="31"/>
    </row>
    <row r="1165" spans="1:57" ht="13">
      <c r="A1165" s="153"/>
      <c r="F1165" s="153"/>
      <c r="G1165" s="116"/>
      <c r="H1165" s="116"/>
      <c r="I1165" s="116"/>
      <c r="J1165" s="116"/>
      <c r="K1165" s="219"/>
      <c r="L1165" s="116"/>
      <c r="M1165" s="31"/>
      <c r="N1165" s="336"/>
      <c r="O1165" s="336"/>
      <c r="P1165" s="219"/>
      <c r="Q1165" s="332"/>
      <c r="R1165" s="219"/>
      <c r="S1165" s="332"/>
      <c r="T1165" s="219"/>
      <c r="U1165" s="332"/>
      <c r="V1165" s="332"/>
      <c r="W1165" s="370"/>
      <c r="X1165" s="370"/>
      <c r="Y1165" s="370"/>
      <c r="Z1165" s="370"/>
      <c r="AA1165" s="370"/>
      <c r="AB1165" s="370"/>
      <c r="AC1165" s="370"/>
      <c r="AD1165" s="370"/>
      <c r="AE1165" s="370"/>
      <c r="AF1165" s="370"/>
      <c r="AG1165" s="370"/>
      <c r="AH1165" s="370"/>
      <c r="AI1165" s="370"/>
      <c r="AJ1165" s="370"/>
      <c r="AL1165" s="219"/>
      <c r="AM1165" s="219"/>
      <c r="AN1165" s="219"/>
      <c r="AO1165" s="116"/>
      <c r="AP1165" s="116"/>
      <c r="AU1165" s="332"/>
      <c r="AV1165" s="332"/>
      <c r="AW1165" s="332"/>
      <c r="AX1165" s="332"/>
      <c r="AY1165" s="332"/>
      <c r="AZ1165" s="332"/>
      <c r="BA1165" s="332"/>
      <c r="BB1165" s="31"/>
      <c r="BC1165" s="31"/>
      <c r="BD1165" s="31"/>
      <c r="BE1165" s="31"/>
    </row>
    <row r="1166" spans="1:57" ht="13">
      <c r="A1166" s="153"/>
      <c r="F1166" s="153"/>
      <c r="G1166" s="116"/>
      <c r="H1166" s="116"/>
      <c r="I1166" s="116"/>
      <c r="J1166" s="116"/>
      <c r="K1166" s="219"/>
      <c r="L1166" s="116"/>
      <c r="M1166" s="31"/>
      <c r="N1166" s="336"/>
      <c r="O1166" s="336"/>
      <c r="P1166" s="219"/>
      <c r="Q1166" s="332"/>
      <c r="R1166" s="219"/>
      <c r="S1166" s="332"/>
      <c r="T1166" s="219"/>
      <c r="U1166" s="332"/>
      <c r="V1166" s="332"/>
      <c r="W1166" s="370"/>
      <c r="X1166" s="370"/>
      <c r="Y1166" s="370"/>
      <c r="Z1166" s="370"/>
      <c r="AA1166" s="370"/>
      <c r="AB1166" s="370"/>
      <c r="AC1166" s="370"/>
      <c r="AD1166" s="370"/>
      <c r="AE1166" s="370"/>
      <c r="AF1166" s="370"/>
      <c r="AG1166" s="370"/>
      <c r="AH1166" s="370"/>
      <c r="AI1166" s="370"/>
      <c r="AJ1166" s="370"/>
      <c r="AL1166" s="219"/>
      <c r="AM1166" s="219"/>
      <c r="AN1166" s="219"/>
      <c r="AO1166" s="116"/>
      <c r="AP1166" s="116"/>
      <c r="AU1166" s="332"/>
      <c r="AV1166" s="332"/>
      <c r="AW1166" s="332"/>
      <c r="AX1166" s="332"/>
      <c r="AY1166" s="332"/>
      <c r="AZ1166" s="332"/>
      <c r="BA1166" s="332"/>
      <c r="BB1166" s="31"/>
      <c r="BC1166" s="31"/>
      <c r="BD1166" s="31"/>
      <c r="BE1166" s="31"/>
    </row>
    <row r="1167" spans="1:57" ht="13">
      <c r="A1167" s="153"/>
      <c r="F1167" s="153"/>
      <c r="G1167" s="116"/>
      <c r="H1167" s="116"/>
      <c r="I1167" s="116"/>
      <c r="J1167" s="116"/>
      <c r="K1167" s="219"/>
      <c r="L1167" s="116"/>
      <c r="M1167" s="31"/>
      <c r="N1167" s="336"/>
      <c r="O1167" s="336"/>
      <c r="P1167" s="219"/>
      <c r="Q1167" s="332"/>
      <c r="R1167" s="219"/>
      <c r="S1167" s="332"/>
      <c r="T1167" s="219"/>
      <c r="U1167" s="332"/>
      <c r="V1167" s="332"/>
      <c r="W1167" s="370"/>
      <c r="X1167" s="370"/>
      <c r="Y1167" s="370"/>
      <c r="Z1167" s="370"/>
      <c r="AA1167" s="370"/>
      <c r="AB1167" s="370"/>
      <c r="AC1167" s="370"/>
      <c r="AD1167" s="370"/>
      <c r="AE1167" s="370"/>
      <c r="AF1167" s="370"/>
      <c r="AG1167" s="370"/>
      <c r="AH1167" s="370"/>
      <c r="AI1167" s="370"/>
      <c r="AJ1167" s="370"/>
      <c r="AL1167" s="219"/>
      <c r="AM1167" s="219"/>
      <c r="AN1167" s="219"/>
      <c r="AO1167" s="116"/>
      <c r="AP1167" s="116"/>
      <c r="AU1167" s="332"/>
      <c r="AV1167" s="332"/>
      <c r="AW1167" s="332"/>
      <c r="AX1167" s="332"/>
      <c r="AY1167" s="332"/>
      <c r="AZ1167" s="332"/>
      <c r="BA1167" s="332"/>
      <c r="BB1167" s="31"/>
      <c r="BC1167" s="31"/>
      <c r="BD1167" s="31"/>
      <c r="BE1167" s="31"/>
    </row>
    <row r="1168" spans="1:57" ht="13">
      <c r="A1168" s="153"/>
      <c r="F1168" s="153"/>
      <c r="G1168" s="116"/>
      <c r="H1168" s="116"/>
      <c r="I1168" s="116"/>
      <c r="J1168" s="116"/>
      <c r="K1168" s="219"/>
      <c r="L1168" s="116"/>
      <c r="M1168" s="31"/>
      <c r="N1168" s="336"/>
      <c r="O1168" s="336"/>
      <c r="P1168" s="219"/>
      <c r="Q1168" s="332"/>
      <c r="R1168" s="219"/>
      <c r="S1168" s="332"/>
      <c r="T1168" s="219"/>
      <c r="U1168" s="332"/>
      <c r="V1168" s="332"/>
      <c r="W1168" s="370"/>
      <c r="X1168" s="370"/>
      <c r="Y1168" s="370"/>
      <c r="Z1168" s="370"/>
      <c r="AA1168" s="370"/>
      <c r="AB1168" s="370"/>
      <c r="AC1168" s="370"/>
      <c r="AD1168" s="370"/>
      <c r="AE1168" s="370"/>
      <c r="AF1168" s="370"/>
      <c r="AG1168" s="370"/>
      <c r="AH1168" s="370"/>
      <c r="AI1168" s="370"/>
      <c r="AJ1168" s="370"/>
      <c r="AL1168" s="219"/>
      <c r="AM1168" s="219"/>
      <c r="AN1168" s="219"/>
      <c r="AO1168" s="116"/>
      <c r="AP1168" s="116"/>
      <c r="AU1168" s="332"/>
      <c r="AV1168" s="332"/>
      <c r="AW1168" s="332"/>
      <c r="AX1168" s="332"/>
      <c r="AY1168" s="332"/>
      <c r="AZ1168" s="332"/>
      <c r="BA1168" s="332"/>
      <c r="BB1168" s="31"/>
      <c r="BC1168" s="31"/>
      <c r="BD1168" s="31"/>
      <c r="BE1168" s="31"/>
    </row>
    <row r="1169" spans="1:57" ht="13">
      <c r="A1169" s="153"/>
      <c r="F1169" s="153"/>
      <c r="G1169" s="116"/>
      <c r="H1169" s="116"/>
      <c r="I1169" s="116"/>
      <c r="J1169" s="116"/>
      <c r="K1169" s="219"/>
      <c r="L1169" s="116"/>
      <c r="M1169" s="31"/>
      <c r="N1169" s="336"/>
      <c r="O1169" s="336"/>
      <c r="P1169" s="219"/>
      <c r="Q1169" s="332"/>
      <c r="R1169" s="219"/>
      <c r="S1169" s="332"/>
      <c r="T1169" s="219"/>
      <c r="U1169" s="332"/>
      <c r="V1169" s="332"/>
      <c r="W1169" s="370"/>
      <c r="X1169" s="370"/>
      <c r="Y1169" s="370"/>
      <c r="Z1169" s="370"/>
      <c r="AA1169" s="370"/>
      <c r="AB1169" s="370"/>
      <c r="AC1169" s="370"/>
      <c r="AD1169" s="370"/>
      <c r="AE1169" s="370"/>
      <c r="AF1169" s="370"/>
      <c r="AG1169" s="370"/>
      <c r="AH1169" s="370"/>
      <c r="AI1169" s="370"/>
      <c r="AJ1169" s="370"/>
      <c r="AL1169" s="219"/>
      <c r="AM1169" s="219"/>
      <c r="AN1169" s="219"/>
      <c r="AO1169" s="116"/>
      <c r="AP1169" s="116"/>
      <c r="AU1169" s="332"/>
      <c r="AV1169" s="332"/>
      <c r="AW1169" s="332"/>
      <c r="AX1169" s="332"/>
      <c r="AY1169" s="332"/>
      <c r="AZ1169" s="332"/>
      <c r="BA1169" s="332"/>
      <c r="BB1169" s="31"/>
      <c r="BC1169" s="31"/>
      <c r="BD1169" s="31"/>
      <c r="BE1169" s="31"/>
    </row>
    <row r="1170" spans="1:57" ht="13">
      <c r="A1170" s="153"/>
      <c r="F1170" s="153"/>
      <c r="G1170" s="116"/>
      <c r="H1170" s="116"/>
      <c r="I1170" s="116"/>
      <c r="J1170" s="116"/>
      <c r="K1170" s="219"/>
      <c r="L1170" s="116"/>
      <c r="M1170" s="31"/>
      <c r="N1170" s="336"/>
      <c r="O1170" s="336"/>
      <c r="P1170" s="219"/>
      <c r="Q1170" s="332"/>
      <c r="R1170" s="219"/>
      <c r="S1170" s="332"/>
      <c r="T1170" s="219"/>
      <c r="U1170" s="332"/>
      <c r="V1170" s="332"/>
      <c r="W1170" s="370"/>
      <c r="X1170" s="370"/>
      <c r="Y1170" s="370"/>
      <c r="Z1170" s="370"/>
      <c r="AA1170" s="370"/>
      <c r="AB1170" s="370"/>
      <c r="AC1170" s="370"/>
      <c r="AD1170" s="370"/>
      <c r="AE1170" s="370"/>
      <c r="AF1170" s="370"/>
      <c r="AG1170" s="370"/>
      <c r="AH1170" s="370"/>
      <c r="AI1170" s="370"/>
      <c r="AJ1170" s="370"/>
      <c r="AL1170" s="219"/>
      <c r="AM1170" s="219"/>
      <c r="AN1170" s="219"/>
      <c r="AO1170" s="116"/>
      <c r="AP1170" s="116"/>
      <c r="AU1170" s="332"/>
      <c r="AV1170" s="332"/>
      <c r="AW1170" s="332"/>
      <c r="AX1170" s="332"/>
      <c r="AY1170" s="332"/>
      <c r="AZ1170" s="332"/>
      <c r="BA1170" s="332"/>
      <c r="BB1170" s="31"/>
      <c r="BC1170" s="31"/>
      <c r="BD1170" s="31"/>
      <c r="BE1170" s="31"/>
    </row>
    <row r="1171" spans="1:57" ht="13">
      <c r="A1171" s="153"/>
      <c r="F1171" s="153"/>
      <c r="G1171" s="116"/>
      <c r="H1171" s="116"/>
      <c r="I1171" s="116"/>
      <c r="J1171" s="116"/>
      <c r="K1171" s="219"/>
      <c r="L1171" s="116"/>
      <c r="M1171" s="31"/>
      <c r="N1171" s="336"/>
      <c r="O1171" s="336"/>
      <c r="P1171" s="219"/>
      <c r="Q1171" s="332"/>
      <c r="R1171" s="219"/>
      <c r="S1171" s="332"/>
      <c r="T1171" s="219"/>
      <c r="U1171" s="332"/>
      <c r="V1171" s="332"/>
      <c r="W1171" s="370"/>
      <c r="X1171" s="370"/>
      <c r="Y1171" s="370"/>
      <c r="Z1171" s="370"/>
      <c r="AA1171" s="370"/>
      <c r="AB1171" s="370"/>
      <c r="AC1171" s="370"/>
      <c r="AD1171" s="370"/>
      <c r="AE1171" s="370"/>
      <c r="AF1171" s="370"/>
      <c r="AG1171" s="370"/>
      <c r="AH1171" s="370"/>
      <c r="AI1171" s="370"/>
      <c r="AJ1171" s="370"/>
      <c r="AL1171" s="219"/>
      <c r="AM1171" s="219"/>
      <c r="AN1171" s="219"/>
      <c r="AO1171" s="116"/>
      <c r="AP1171" s="116"/>
      <c r="AU1171" s="332"/>
      <c r="AV1171" s="332"/>
      <c r="AW1171" s="332"/>
      <c r="AX1171" s="332"/>
      <c r="AY1171" s="332"/>
      <c r="AZ1171" s="332"/>
      <c r="BA1171" s="332"/>
      <c r="BB1171" s="31"/>
      <c r="BC1171" s="31"/>
      <c r="BD1171" s="31"/>
      <c r="BE1171" s="31"/>
    </row>
    <row r="1172" spans="1:57" ht="13">
      <c r="A1172" s="153"/>
      <c r="F1172" s="153"/>
      <c r="G1172" s="116"/>
      <c r="H1172" s="116"/>
      <c r="I1172" s="116"/>
      <c r="J1172" s="116"/>
      <c r="K1172" s="219"/>
      <c r="L1172" s="116"/>
      <c r="M1172" s="31"/>
      <c r="N1172" s="336"/>
      <c r="O1172" s="336"/>
      <c r="P1172" s="219"/>
      <c r="Q1172" s="332"/>
      <c r="R1172" s="219"/>
      <c r="S1172" s="332"/>
      <c r="T1172" s="219"/>
      <c r="U1172" s="332"/>
      <c r="V1172" s="332"/>
      <c r="W1172" s="370"/>
      <c r="X1172" s="370"/>
      <c r="Y1172" s="370"/>
      <c r="Z1172" s="370"/>
      <c r="AA1172" s="370"/>
      <c r="AB1172" s="370"/>
      <c r="AC1172" s="370"/>
      <c r="AD1172" s="370"/>
      <c r="AE1172" s="370"/>
      <c r="AF1172" s="370"/>
      <c r="AG1172" s="370"/>
      <c r="AH1172" s="370"/>
      <c r="AI1172" s="370"/>
      <c r="AJ1172" s="370"/>
      <c r="AL1172" s="219"/>
      <c r="AM1172" s="219"/>
      <c r="AN1172" s="219"/>
      <c r="AO1172" s="116"/>
      <c r="AP1172" s="116"/>
      <c r="AU1172" s="332"/>
      <c r="AV1172" s="332"/>
      <c r="AW1172" s="332"/>
      <c r="AX1172" s="332"/>
      <c r="AY1172" s="332"/>
      <c r="AZ1172" s="332"/>
      <c r="BA1172" s="332"/>
      <c r="BB1172" s="31"/>
      <c r="BC1172" s="31"/>
      <c r="BD1172" s="31"/>
      <c r="BE1172" s="31"/>
    </row>
    <row r="1173" spans="1:57" ht="13">
      <c r="A1173" s="153"/>
      <c r="F1173" s="153"/>
      <c r="G1173" s="116"/>
      <c r="H1173" s="116"/>
      <c r="I1173" s="116"/>
      <c r="J1173" s="116"/>
      <c r="K1173" s="219"/>
      <c r="L1173" s="116"/>
      <c r="M1173" s="31"/>
      <c r="N1173" s="336"/>
      <c r="O1173" s="336"/>
      <c r="P1173" s="219"/>
      <c r="Q1173" s="332"/>
      <c r="R1173" s="219"/>
      <c r="S1173" s="332"/>
      <c r="T1173" s="219"/>
      <c r="U1173" s="332"/>
      <c r="V1173" s="332"/>
      <c r="W1173" s="370"/>
      <c r="X1173" s="370"/>
      <c r="Y1173" s="370"/>
      <c r="Z1173" s="370"/>
      <c r="AA1173" s="370"/>
      <c r="AB1173" s="370"/>
      <c r="AC1173" s="370"/>
      <c r="AD1173" s="370"/>
      <c r="AE1173" s="370"/>
      <c r="AF1173" s="370"/>
      <c r="AG1173" s="370"/>
      <c r="AH1173" s="370"/>
      <c r="AI1173" s="370"/>
      <c r="AJ1173" s="370"/>
      <c r="AL1173" s="219"/>
      <c r="AM1173" s="219"/>
      <c r="AN1173" s="219"/>
      <c r="AO1173" s="116"/>
      <c r="AP1173" s="116"/>
      <c r="AU1173" s="332"/>
      <c r="AV1173" s="332"/>
      <c r="AW1173" s="332"/>
      <c r="AX1173" s="332"/>
      <c r="AY1173" s="332"/>
      <c r="AZ1173" s="332"/>
      <c r="BA1173" s="332"/>
      <c r="BB1173" s="31"/>
      <c r="BC1173" s="31"/>
      <c r="BD1173" s="31"/>
      <c r="BE1173" s="31"/>
    </row>
    <row r="1174" spans="1:57" ht="13">
      <c r="A1174" s="153"/>
      <c r="F1174" s="153"/>
      <c r="G1174" s="116"/>
      <c r="H1174" s="116"/>
      <c r="I1174" s="116"/>
      <c r="J1174" s="116"/>
      <c r="K1174" s="219"/>
      <c r="L1174" s="116"/>
      <c r="M1174" s="31"/>
      <c r="N1174" s="336"/>
      <c r="O1174" s="336"/>
      <c r="P1174" s="219"/>
      <c r="Q1174" s="332"/>
      <c r="R1174" s="219"/>
      <c r="S1174" s="332"/>
      <c r="T1174" s="219"/>
      <c r="U1174" s="332"/>
      <c r="V1174" s="332"/>
      <c r="W1174" s="370"/>
      <c r="X1174" s="370"/>
      <c r="Y1174" s="370"/>
      <c r="Z1174" s="370"/>
      <c r="AA1174" s="370"/>
      <c r="AB1174" s="370"/>
      <c r="AC1174" s="370"/>
      <c r="AD1174" s="370"/>
      <c r="AE1174" s="370"/>
      <c r="AF1174" s="370"/>
      <c r="AG1174" s="370"/>
      <c r="AH1174" s="370"/>
      <c r="AI1174" s="370"/>
      <c r="AJ1174" s="370"/>
      <c r="AL1174" s="219"/>
      <c r="AM1174" s="219"/>
      <c r="AN1174" s="219"/>
      <c r="AO1174" s="116"/>
      <c r="AP1174" s="116"/>
      <c r="AU1174" s="332"/>
      <c r="AV1174" s="332"/>
      <c r="AW1174" s="332"/>
      <c r="AX1174" s="332"/>
      <c r="AY1174" s="332"/>
      <c r="AZ1174" s="332"/>
      <c r="BA1174" s="332"/>
      <c r="BB1174" s="31"/>
      <c r="BC1174" s="31"/>
      <c r="BD1174" s="31"/>
      <c r="BE1174" s="31"/>
    </row>
    <row r="1175" spans="1:57" ht="13">
      <c r="A1175" s="153"/>
      <c r="F1175" s="153"/>
      <c r="G1175" s="116"/>
      <c r="H1175" s="116"/>
      <c r="I1175" s="116"/>
      <c r="J1175" s="116"/>
      <c r="K1175" s="219"/>
      <c r="L1175" s="116"/>
      <c r="M1175" s="31"/>
      <c r="N1175" s="336"/>
      <c r="O1175" s="336"/>
      <c r="P1175" s="219"/>
      <c r="Q1175" s="332"/>
      <c r="R1175" s="219"/>
      <c r="S1175" s="332"/>
      <c r="T1175" s="219"/>
      <c r="U1175" s="332"/>
      <c r="V1175" s="332"/>
      <c r="W1175" s="370"/>
      <c r="X1175" s="370"/>
      <c r="Y1175" s="370"/>
      <c r="Z1175" s="370"/>
      <c r="AA1175" s="370"/>
      <c r="AB1175" s="370"/>
      <c r="AC1175" s="370"/>
      <c r="AD1175" s="370"/>
      <c r="AE1175" s="370"/>
      <c r="AF1175" s="370"/>
      <c r="AG1175" s="370"/>
      <c r="AH1175" s="370"/>
      <c r="AI1175" s="370"/>
      <c r="AJ1175" s="370"/>
      <c r="AL1175" s="219"/>
      <c r="AM1175" s="219"/>
      <c r="AN1175" s="219"/>
      <c r="AO1175" s="116"/>
      <c r="AP1175" s="116"/>
      <c r="AU1175" s="332"/>
      <c r="AV1175" s="332"/>
      <c r="AW1175" s="332"/>
      <c r="AX1175" s="332"/>
      <c r="AY1175" s="332"/>
      <c r="AZ1175" s="332"/>
      <c r="BA1175" s="332"/>
      <c r="BB1175" s="31"/>
      <c r="BC1175" s="31"/>
      <c r="BD1175" s="31"/>
      <c r="BE1175" s="31"/>
    </row>
    <row r="1176" spans="1:57" ht="13">
      <c r="A1176" s="153"/>
      <c r="F1176" s="153"/>
      <c r="G1176" s="116"/>
      <c r="H1176" s="116"/>
      <c r="I1176" s="116"/>
      <c r="J1176" s="116"/>
      <c r="K1176" s="219"/>
      <c r="L1176" s="116"/>
      <c r="M1176" s="31"/>
      <c r="N1176" s="336"/>
      <c r="O1176" s="336"/>
      <c r="P1176" s="219"/>
      <c r="Q1176" s="332"/>
      <c r="R1176" s="219"/>
      <c r="S1176" s="332"/>
      <c r="T1176" s="219"/>
      <c r="U1176" s="332"/>
      <c r="V1176" s="332"/>
      <c r="W1176" s="370"/>
      <c r="X1176" s="370"/>
      <c r="Y1176" s="370"/>
      <c r="Z1176" s="370"/>
      <c r="AA1176" s="370"/>
      <c r="AB1176" s="370"/>
      <c r="AC1176" s="370"/>
      <c r="AD1176" s="370"/>
      <c r="AE1176" s="370"/>
      <c r="AF1176" s="370"/>
      <c r="AG1176" s="370"/>
      <c r="AH1176" s="370"/>
      <c r="AI1176" s="370"/>
      <c r="AJ1176" s="370"/>
      <c r="AL1176" s="219"/>
      <c r="AM1176" s="219"/>
      <c r="AN1176" s="219"/>
      <c r="AO1176" s="116"/>
      <c r="AP1176" s="116"/>
      <c r="AU1176" s="332"/>
      <c r="AV1176" s="332"/>
      <c r="AW1176" s="332"/>
      <c r="AX1176" s="332"/>
      <c r="AY1176" s="332"/>
      <c r="AZ1176" s="332"/>
      <c r="BA1176" s="332"/>
      <c r="BB1176" s="31"/>
      <c r="BC1176" s="31"/>
      <c r="BD1176" s="31"/>
      <c r="BE1176" s="31"/>
    </row>
    <row r="1177" spans="1:57" ht="13">
      <c r="A1177" s="153"/>
      <c r="F1177" s="153"/>
      <c r="G1177" s="116"/>
      <c r="H1177" s="116"/>
      <c r="I1177" s="116"/>
      <c r="J1177" s="116"/>
      <c r="K1177" s="219"/>
      <c r="L1177" s="116"/>
      <c r="M1177" s="31"/>
      <c r="N1177" s="336"/>
      <c r="O1177" s="336"/>
      <c r="P1177" s="219"/>
      <c r="Q1177" s="332"/>
      <c r="R1177" s="219"/>
      <c r="S1177" s="332"/>
      <c r="T1177" s="219"/>
      <c r="U1177" s="332"/>
      <c r="V1177" s="332"/>
      <c r="W1177" s="370"/>
      <c r="X1177" s="370"/>
      <c r="Y1177" s="370"/>
      <c r="Z1177" s="370"/>
      <c r="AA1177" s="370"/>
      <c r="AB1177" s="370"/>
      <c r="AC1177" s="370"/>
      <c r="AD1177" s="370"/>
      <c r="AE1177" s="370"/>
      <c r="AF1177" s="370"/>
      <c r="AG1177" s="370"/>
      <c r="AH1177" s="370"/>
      <c r="AI1177" s="370"/>
      <c r="AJ1177" s="370"/>
      <c r="AL1177" s="219"/>
      <c r="AM1177" s="219"/>
      <c r="AN1177" s="219"/>
      <c r="AO1177" s="116"/>
      <c r="AP1177" s="116"/>
      <c r="AU1177" s="332"/>
      <c r="AV1177" s="332"/>
      <c r="AW1177" s="332"/>
      <c r="AX1177" s="332"/>
      <c r="AY1177" s="332"/>
      <c r="AZ1177" s="332"/>
      <c r="BA1177" s="332"/>
      <c r="BB1177" s="31"/>
      <c r="BC1177" s="31"/>
      <c r="BD1177" s="31"/>
      <c r="BE1177" s="31"/>
    </row>
    <row r="1178" spans="1:57" ht="13">
      <c r="A1178" s="153"/>
      <c r="F1178" s="153"/>
      <c r="G1178" s="116"/>
      <c r="H1178" s="116"/>
      <c r="I1178" s="116"/>
      <c r="J1178" s="116"/>
      <c r="K1178" s="219"/>
      <c r="L1178" s="116"/>
      <c r="M1178" s="31"/>
      <c r="N1178" s="336"/>
      <c r="O1178" s="336"/>
      <c r="P1178" s="219"/>
      <c r="Q1178" s="332"/>
      <c r="R1178" s="219"/>
      <c r="S1178" s="332"/>
      <c r="T1178" s="219"/>
      <c r="U1178" s="332"/>
      <c r="V1178" s="332"/>
      <c r="W1178" s="370"/>
      <c r="X1178" s="370"/>
      <c r="Y1178" s="370"/>
      <c r="Z1178" s="370"/>
      <c r="AA1178" s="370"/>
      <c r="AB1178" s="370"/>
      <c r="AC1178" s="370"/>
      <c r="AD1178" s="370"/>
      <c r="AE1178" s="370"/>
      <c r="AF1178" s="370"/>
      <c r="AG1178" s="370"/>
      <c r="AH1178" s="370"/>
      <c r="AI1178" s="370"/>
      <c r="AJ1178" s="370"/>
      <c r="AL1178" s="219"/>
      <c r="AM1178" s="219"/>
      <c r="AN1178" s="219"/>
      <c r="AO1178" s="116"/>
      <c r="AP1178" s="116"/>
      <c r="AU1178" s="332"/>
      <c r="AV1178" s="332"/>
      <c r="AW1178" s="332"/>
      <c r="AX1178" s="332"/>
      <c r="AY1178" s="332"/>
      <c r="AZ1178" s="332"/>
      <c r="BA1178" s="332"/>
      <c r="BB1178" s="31"/>
      <c r="BC1178" s="31"/>
      <c r="BD1178" s="31"/>
      <c r="BE1178" s="31"/>
    </row>
    <row r="1179" spans="1:57" ht="13">
      <c r="A1179" s="153"/>
      <c r="F1179" s="153"/>
      <c r="G1179" s="116"/>
      <c r="H1179" s="116"/>
      <c r="I1179" s="116"/>
      <c r="J1179" s="116"/>
      <c r="K1179" s="219"/>
      <c r="L1179" s="116"/>
      <c r="M1179" s="31"/>
      <c r="N1179" s="336"/>
      <c r="O1179" s="336"/>
      <c r="P1179" s="219"/>
      <c r="Q1179" s="332"/>
      <c r="R1179" s="219"/>
      <c r="S1179" s="332"/>
      <c r="T1179" s="219"/>
      <c r="U1179" s="332"/>
      <c r="V1179" s="332"/>
      <c r="W1179" s="370"/>
      <c r="X1179" s="370"/>
      <c r="Y1179" s="370"/>
      <c r="Z1179" s="370"/>
      <c r="AA1179" s="370"/>
      <c r="AB1179" s="370"/>
      <c r="AC1179" s="370"/>
      <c r="AD1179" s="370"/>
      <c r="AE1179" s="370"/>
      <c r="AF1179" s="370"/>
      <c r="AG1179" s="370"/>
      <c r="AH1179" s="370"/>
      <c r="AI1179" s="370"/>
      <c r="AJ1179" s="370"/>
      <c r="AL1179" s="219"/>
      <c r="AM1179" s="219"/>
      <c r="AN1179" s="219"/>
      <c r="AO1179" s="116"/>
      <c r="AP1179" s="116"/>
      <c r="AU1179" s="332"/>
      <c r="AV1179" s="332"/>
      <c r="AW1179" s="332"/>
      <c r="AX1179" s="332"/>
      <c r="AY1179" s="332"/>
      <c r="AZ1179" s="332"/>
      <c r="BA1179" s="332"/>
      <c r="BB1179" s="31"/>
      <c r="BC1179" s="31"/>
      <c r="BD1179" s="31"/>
      <c r="BE1179" s="31"/>
    </row>
    <row r="1180" spans="1:57" ht="13">
      <c r="A1180" s="153"/>
      <c r="F1180" s="153"/>
      <c r="G1180" s="116"/>
      <c r="H1180" s="116"/>
      <c r="I1180" s="116"/>
      <c r="J1180" s="116"/>
      <c r="K1180" s="219"/>
      <c r="L1180" s="116"/>
      <c r="M1180" s="31"/>
      <c r="N1180" s="336"/>
      <c r="O1180" s="336"/>
      <c r="P1180" s="219"/>
      <c r="Q1180" s="332"/>
      <c r="R1180" s="219"/>
      <c r="S1180" s="332"/>
      <c r="T1180" s="219"/>
      <c r="U1180" s="332"/>
      <c r="V1180" s="332"/>
      <c r="W1180" s="370"/>
      <c r="X1180" s="370"/>
      <c r="Y1180" s="370"/>
      <c r="Z1180" s="370"/>
      <c r="AA1180" s="370"/>
      <c r="AB1180" s="370"/>
      <c r="AC1180" s="370"/>
      <c r="AD1180" s="370"/>
      <c r="AE1180" s="370"/>
      <c r="AF1180" s="370"/>
      <c r="AG1180" s="370"/>
      <c r="AH1180" s="370"/>
      <c r="AI1180" s="370"/>
      <c r="AJ1180" s="370"/>
      <c r="AL1180" s="219"/>
      <c r="AM1180" s="219"/>
      <c r="AN1180" s="219"/>
      <c r="AO1180" s="116"/>
      <c r="AP1180" s="116"/>
      <c r="AU1180" s="332"/>
      <c r="AV1180" s="332"/>
      <c r="AW1180" s="332"/>
      <c r="AX1180" s="332"/>
      <c r="AY1180" s="332"/>
      <c r="AZ1180" s="332"/>
      <c r="BA1180" s="332"/>
      <c r="BB1180" s="31"/>
      <c r="BC1180" s="31"/>
      <c r="BD1180" s="31"/>
      <c r="BE1180" s="31"/>
    </row>
    <row r="1181" spans="1:57" ht="13">
      <c r="A1181" s="153"/>
      <c r="F1181" s="153"/>
      <c r="G1181" s="116"/>
      <c r="H1181" s="116"/>
      <c r="I1181" s="116"/>
      <c r="J1181" s="116"/>
      <c r="K1181" s="219"/>
      <c r="L1181" s="116"/>
      <c r="M1181" s="31"/>
      <c r="N1181" s="336"/>
      <c r="O1181" s="336"/>
      <c r="P1181" s="219"/>
      <c r="Q1181" s="332"/>
      <c r="R1181" s="219"/>
      <c r="S1181" s="332"/>
      <c r="T1181" s="219"/>
      <c r="U1181" s="332"/>
      <c r="V1181" s="332"/>
      <c r="W1181" s="370"/>
      <c r="X1181" s="370"/>
      <c r="Y1181" s="370"/>
      <c r="Z1181" s="370"/>
      <c r="AA1181" s="370"/>
      <c r="AB1181" s="370"/>
      <c r="AC1181" s="370"/>
      <c r="AD1181" s="370"/>
      <c r="AE1181" s="370"/>
      <c r="AF1181" s="370"/>
      <c r="AG1181" s="370"/>
      <c r="AH1181" s="370"/>
      <c r="AI1181" s="370"/>
      <c r="AJ1181" s="370"/>
      <c r="AL1181" s="219"/>
      <c r="AM1181" s="219"/>
      <c r="AN1181" s="219"/>
      <c r="AO1181" s="116"/>
      <c r="AP1181" s="116"/>
      <c r="AU1181" s="332"/>
      <c r="AV1181" s="332"/>
      <c r="AW1181" s="332"/>
      <c r="AX1181" s="332"/>
      <c r="AY1181" s="332"/>
      <c r="AZ1181" s="332"/>
      <c r="BA1181" s="332"/>
      <c r="BB1181" s="31"/>
      <c r="BC1181" s="31"/>
      <c r="BD1181" s="31"/>
      <c r="BE1181" s="31"/>
    </row>
    <row r="1182" spans="1:57" ht="13">
      <c r="A1182" s="153"/>
      <c r="F1182" s="153"/>
      <c r="G1182" s="116"/>
      <c r="H1182" s="116"/>
      <c r="I1182" s="116"/>
      <c r="J1182" s="116"/>
      <c r="K1182" s="219"/>
      <c r="L1182" s="116"/>
      <c r="M1182" s="31"/>
      <c r="N1182" s="336"/>
      <c r="O1182" s="336"/>
      <c r="P1182" s="219"/>
      <c r="Q1182" s="332"/>
      <c r="R1182" s="219"/>
      <c r="S1182" s="332"/>
      <c r="T1182" s="219"/>
      <c r="U1182" s="332"/>
      <c r="V1182" s="332"/>
      <c r="W1182" s="370"/>
      <c r="X1182" s="370"/>
      <c r="Y1182" s="370"/>
      <c r="Z1182" s="370"/>
      <c r="AA1182" s="370"/>
      <c r="AB1182" s="370"/>
      <c r="AC1182" s="370"/>
      <c r="AD1182" s="370"/>
      <c r="AE1182" s="370"/>
      <c r="AF1182" s="370"/>
      <c r="AG1182" s="370"/>
      <c r="AH1182" s="370"/>
      <c r="AI1182" s="370"/>
      <c r="AJ1182" s="370"/>
      <c r="AL1182" s="219"/>
      <c r="AM1182" s="219"/>
      <c r="AN1182" s="219"/>
      <c r="AO1182" s="116"/>
      <c r="AP1182" s="116"/>
      <c r="AU1182" s="332"/>
      <c r="AV1182" s="332"/>
      <c r="AW1182" s="332"/>
      <c r="AX1182" s="332"/>
      <c r="AY1182" s="332"/>
      <c r="AZ1182" s="332"/>
      <c r="BA1182" s="332"/>
      <c r="BB1182" s="31"/>
      <c r="BC1182" s="31"/>
      <c r="BD1182" s="31"/>
      <c r="BE1182" s="31"/>
    </row>
    <row r="1183" spans="1:57" ht="13">
      <c r="A1183" s="153"/>
      <c r="F1183" s="153"/>
      <c r="G1183" s="116"/>
      <c r="H1183" s="116"/>
      <c r="I1183" s="116"/>
      <c r="J1183" s="116"/>
      <c r="K1183" s="219"/>
      <c r="L1183" s="116"/>
      <c r="M1183" s="31"/>
      <c r="N1183" s="336"/>
      <c r="O1183" s="336"/>
      <c r="P1183" s="219"/>
      <c r="Q1183" s="332"/>
      <c r="R1183" s="219"/>
      <c r="S1183" s="332"/>
      <c r="T1183" s="219"/>
      <c r="U1183" s="332"/>
      <c r="V1183" s="332"/>
      <c r="W1183" s="370"/>
      <c r="X1183" s="370"/>
      <c r="Y1183" s="370"/>
      <c r="Z1183" s="370"/>
      <c r="AA1183" s="370"/>
      <c r="AB1183" s="370"/>
      <c r="AC1183" s="370"/>
      <c r="AD1183" s="370"/>
      <c r="AE1183" s="370"/>
      <c r="AF1183" s="370"/>
      <c r="AG1183" s="370"/>
      <c r="AH1183" s="370"/>
      <c r="AI1183" s="370"/>
      <c r="AJ1183" s="370"/>
      <c r="AL1183" s="219"/>
      <c r="AM1183" s="219"/>
      <c r="AN1183" s="219"/>
      <c r="AO1183" s="116"/>
      <c r="AP1183" s="116"/>
      <c r="AU1183" s="332"/>
      <c r="AV1183" s="332"/>
      <c r="AW1183" s="332"/>
      <c r="AX1183" s="332"/>
      <c r="AY1183" s="332"/>
      <c r="AZ1183" s="332"/>
      <c r="BA1183" s="332"/>
      <c r="BB1183" s="31"/>
      <c r="BC1183" s="31"/>
      <c r="BD1183" s="31"/>
      <c r="BE1183" s="31"/>
    </row>
    <row r="1184" spans="1:57" ht="13">
      <c r="A1184" s="153"/>
      <c r="F1184" s="153"/>
      <c r="G1184" s="116"/>
      <c r="H1184" s="116"/>
      <c r="I1184" s="116"/>
      <c r="J1184" s="116"/>
      <c r="K1184" s="219"/>
      <c r="L1184" s="116"/>
      <c r="M1184" s="31"/>
      <c r="N1184" s="336"/>
      <c r="O1184" s="336"/>
      <c r="P1184" s="219"/>
      <c r="Q1184" s="332"/>
      <c r="R1184" s="219"/>
      <c r="S1184" s="332"/>
      <c r="T1184" s="219"/>
      <c r="U1184" s="332"/>
      <c r="V1184" s="332"/>
      <c r="W1184" s="370"/>
      <c r="X1184" s="370"/>
      <c r="Y1184" s="370"/>
      <c r="Z1184" s="370"/>
      <c r="AA1184" s="370"/>
      <c r="AB1184" s="370"/>
      <c r="AC1184" s="370"/>
      <c r="AD1184" s="370"/>
      <c r="AE1184" s="370"/>
      <c r="AF1184" s="370"/>
      <c r="AG1184" s="370"/>
      <c r="AH1184" s="370"/>
      <c r="AI1184" s="370"/>
      <c r="AJ1184" s="370"/>
      <c r="AL1184" s="219"/>
      <c r="AM1184" s="219"/>
      <c r="AN1184" s="219"/>
      <c r="AO1184" s="116"/>
      <c r="AP1184" s="116"/>
      <c r="AU1184" s="332"/>
      <c r="AV1184" s="332"/>
      <c r="AW1184" s="332"/>
      <c r="AX1184" s="332"/>
      <c r="AY1184" s="332"/>
      <c r="AZ1184" s="332"/>
      <c r="BA1184" s="332"/>
      <c r="BB1184" s="31"/>
      <c r="BC1184" s="31"/>
      <c r="BD1184" s="31"/>
      <c r="BE1184" s="31"/>
    </row>
    <row r="1185" spans="1:57" ht="13">
      <c r="A1185" s="153"/>
      <c r="F1185" s="153"/>
      <c r="G1185" s="116"/>
      <c r="H1185" s="116"/>
      <c r="I1185" s="116"/>
      <c r="J1185" s="116"/>
      <c r="K1185" s="219"/>
      <c r="L1185" s="116"/>
      <c r="M1185" s="31"/>
      <c r="N1185" s="336"/>
      <c r="O1185" s="336"/>
      <c r="P1185" s="219"/>
      <c r="Q1185" s="332"/>
      <c r="R1185" s="219"/>
      <c r="S1185" s="332"/>
      <c r="T1185" s="219"/>
      <c r="U1185" s="332"/>
      <c r="V1185" s="332"/>
      <c r="W1185" s="370"/>
      <c r="X1185" s="370"/>
      <c r="Y1185" s="370"/>
      <c r="Z1185" s="370"/>
      <c r="AA1185" s="370"/>
      <c r="AB1185" s="370"/>
      <c r="AC1185" s="370"/>
      <c r="AD1185" s="370"/>
      <c r="AE1185" s="370"/>
      <c r="AF1185" s="370"/>
      <c r="AG1185" s="370"/>
      <c r="AH1185" s="370"/>
      <c r="AI1185" s="370"/>
      <c r="AJ1185" s="370"/>
      <c r="AL1185" s="219"/>
      <c r="AM1185" s="219"/>
      <c r="AN1185" s="219"/>
      <c r="AO1185" s="116"/>
      <c r="AP1185" s="116"/>
      <c r="AU1185" s="332"/>
      <c r="AV1185" s="332"/>
      <c r="AW1185" s="332"/>
      <c r="AX1185" s="332"/>
      <c r="AY1185" s="332"/>
      <c r="AZ1185" s="332"/>
      <c r="BA1185" s="332"/>
      <c r="BB1185" s="31"/>
      <c r="BC1185" s="31"/>
      <c r="BD1185" s="31"/>
      <c r="BE1185" s="31"/>
    </row>
    <row r="1186" spans="1:57" ht="13">
      <c r="A1186" s="153"/>
      <c r="F1186" s="153"/>
      <c r="G1186" s="116"/>
      <c r="H1186" s="116"/>
      <c r="I1186" s="116"/>
      <c r="J1186" s="116"/>
      <c r="K1186" s="219"/>
      <c r="L1186" s="116"/>
      <c r="M1186" s="31"/>
      <c r="N1186" s="336"/>
      <c r="O1186" s="336"/>
      <c r="P1186" s="219"/>
      <c r="Q1186" s="332"/>
      <c r="R1186" s="219"/>
      <c r="S1186" s="332"/>
      <c r="T1186" s="219"/>
      <c r="U1186" s="332"/>
      <c r="V1186" s="332"/>
      <c r="W1186" s="370"/>
      <c r="X1186" s="370"/>
      <c r="Y1186" s="370"/>
      <c r="Z1186" s="370"/>
      <c r="AA1186" s="370"/>
      <c r="AB1186" s="370"/>
      <c r="AC1186" s="370"/>
      <c r="AD1186" s="370"/>
      <c r="AE1186" s="370"/>
      <c r="AF1186" s="370"/>
      <c r="AG1186" s="370"/>
      <c r="AH1186" s="370"/>
      <c r="AI1186" s="370"/>
      <c r="AJ1186" s="370"/>
      <c r="AL1186" s="219"/>
      <c r="AM1186" s="219"/>
      <c r="AN1186" s="219"/>
      <c r="AO1186" s="116"/>
      <c r="AP1186" s="116"/>
      <c r="AU1186" s="332"/>
      <c r="AV1186" s="332"/>
      <c r="AW1186" s="332"/>
      <c r="AX1186" s="332"/>
      <c r="AY1186" s="332"/>
      <c r="AZ1186" s="332"/>
      <c r="BA1186" s="332"/>
      <c r="BB1186" s="31"/>
      <c r="BC1186" s="31"/>
      <c r="BD1186" s="31"/>
      <c r="BE1186" s="31"/>
    </row>
    <row r="1187" spans="1:57" ht="13">
      <c r="A1187" s="153"/>
      <c r="F1187" s="153"/>
      <c r="G1187" s="116"/>
      <c r="H1187" s="116"/>
      <c r="I1187" s="116"/>
      <c r="J1187" s="116"/>
      <c r="K1187" s="219"/>
      <c r="L1187" s="116"/>
      <c r="M1187" s="31"/>
      <c r="N1187" s="336"/>
      <c r="O1187" s="336"/>
      <c r="P1187" s="219"/>
      <c r="Q1187" s="332"/>
      <c r="R1187" s="219"/>
      <c r="S1187" s="332"/>
      <c r="T1187" s="219"/>
      <c r="U1187" s="332"/>
      <c r="V1187" s="332"/>
      <c r="W1187" s="370"/>
      <c r="X1187" s="370"/>
      <c r="Y1187" s="370"/>
      <c r="Z1187" s="370"/>
      <c r="AA1187" s="370"/>
      <c r="AB1187" s="370"/>
      <c r="AC1187" s="370"/>
      <c r="AD1187" s="370"/>
      <c r="AE1187" s="370"/>
      <c r="AF1187" s="370"/>
      <c r="AG1187" s="370"/>
      <c r="AH1187" s="370"/>
      <c r="AI1187" s="370"/>
      <c r="AJ1187" s="370"/>
      <c r="AL1187" s="219"/>
      <c r="AM1187" s="219"/>
      <c r="AN1187" s="219"/>
      <c r="AO1187" s="116"/>
      <c r="AP1187" s="116"/>
      <c r="AU1187" s="332"/>
      <c r="AV1187" s="332"/>
      <c r="AW1187" s="332"/>
      <c r="AX1187" s="332"/>
      <c r="AY1187" s="332"/>
      <c r="AZ1187" s="332"/>
      <c r="BA1187" s="332"/>
      <c r="BB1187" s="31"/>
      <c r="BC1187" s="31"/>
      <c r="BD1187" s="31"/>
      <c r="BE1187" s="31"/>
    </row>
    <row r="1188" spans="1:57" ht="13">
      <c r="A1188" s="153"/>
      <c r="F1188" s="153"/>
      <c r="G1188" s="116"/>
      <c r="H1188" s="116"/>
      <c r="I1188" s="116"/>
      <c r="J1188" s="116"/>
      <c r="K1188" s="219"/>
      <c r="L1188" s="116"/>
      <c r="M1188" s="31"/>
      <c r="N1188" s="336"/>
      <c r="O1188" s="336"/>
      <c r="P1188" s="219"/>
      <c r="Q1188" s="332"/>
      <c r="R1188" s="219"/>
      <c r="S1188" s="332"/>
      <c r="T1188" s="219"/>
      <c r="U1188" s="332"/>
      <c r="V1188" s="332"/>
      <c r="W1188" s="370"/>
      <c r="X1188" s="370"/>
      <c r="Y1188" s="370"/>
      <c r="Z1188" s="370"/>
      <c r="AA1188" s="370"/>
      <c r="AB1188" s="370"/>
      <c r="AC1188" s="370"/>
      <c r="AD1188" s="370"/>
      <c r="AE1188" s="370"/>
      <c r="AF1188" s="370"/>
      <c r="AG1188" s="370"/>
      <c r="AH1188" s="370"/>
      <c r="AI1188" s="370"/>
      <c r="AJ1188" s="370"/>
      <c r="AL1188" s="219"/>
      <c r="AM1188" s="219"/>
      <c r="AN1188" s="219"/>
      <c r="AO1188" s="116"/>
      <c r="AP1188" s="116"/>
      <c r="AU1188" s="332"/>
      <c r="AV1188" s="332"/>
      <c r="AW1188" s="332"/>
      <c r="AX1188" s="332"/>
      <c r="AY1188" s="332"/>
      <c r="AZ1188" s="332"/>
      <c r="BA1188" s="332"/>
      <c r="BB1188" s="31"/>
      <c r="BC1188" s="31"/>
      <c r="BD1188" s="31"/>
      <c r="BE1188" s="31"/>
    </row>
    <row r="1189" spans="1:57" ht="13">
      <c r="A1189" s="153"/>
      <c r="F1189" s="153"/>
      <c r="G1189" s="116"/>
      <c r="H1189" s="116"/>
      <c r="I1189" s="116"/>
      <c r="J1189" s="116"/>
      <c r="K1189" s="219"/>
      <c r="L1189" s="116"/>
      <c r="M1189" s="31"/>
      <c r="N1189" s="336"/>
      <c r="O1189" s="336"/>
      <c r="P1189" s="219"/>
      <c r="Q1189" s="332"/>
      <c r="R1189" s="219"/>
      <c r="S1189" s="332"/>
      <c r="T1189" s="219"/>
      <c r="U1189" s="332"/>
      <c r="V1189" s="332"/>
      <c r="W1189" s="370"/>
      <c r="X1189" s="370"/>
      <c r="Y1189" s="370"/>
      <c r="Z1189" s="370"/>
      <c r="AA1189" s="370"/>
      <c r="AB1189" s="370"/>
      <c r="AC1189" s="370"/>
      <c r="AD1189" s="370"/>
      <c r="AE1189" s="370"/>
      <c r="AF1189" s="370"/>
      <c r="AG1189" s="370"/>
      <c r="AH1189" s="370"/>
      <c r="AI1189" s="370"/>
      <c r="AJ1189" s="370"/>
      <c r="AL1189" s="219"/>
      <c r="AM1189" s="219"/>
      <c r="AN1189" s="219"/>
      <c r="AO1189" s="116"/>
      <c r="AP1189" s="116"/>
      <c r="AU1189" s="332"/>
      <c r="AV1189" s="332"/>
      <c r="AW1189" s="332"/>
      <c r="AX1189" s="332"/>
      <c r="AY1189" s="332"/>
      <c r="AZ1189" s="332"/>
      <c r="BA1189" s="332"/>
      <c r="BB1189" s="31"/>
      <c r="BC1189" s="31"/>
      <c r="BD1189" s="31"/>
      <c r="BE1189" s="31"/>
    </row>
    <row r="1190" spans="1:57" ht="13">
      <c r="A1190" s="153"/>
      <c r="F1190" s="153"/>
      <c r="G1190" s="116"/>
      <c r="H1190" s="116"/>
      <c r="I1190" s="116"/>
      <c r="J1190" s="116"/>
      <c r="K1190" s="219"/>
      <c r="L1190" s="116"/>
      <c r="M1190" s="31"/>
      <c r="N1190" s="336"/>
      <c r="O1190" s="336"/>
      <c r="P1190" s="219"/>
      <c r="Q1190" s="332"/>
      <c r="R1190" s="219"/>
      <c r="S1190" s="332"/>
      <c r="T1190" s="219"/>
      <c r="U1190" s="332"/>
      <c r="V1190" s="332"/>
      <c r="W1190" s="370"/>
      <c r="X1190" s="370"/>
      <c r="Y1190" s="370"/>
      <c r="Z1190" s="370"/>
      <c r="AA1190" s="370"/>
      <c r="AB1190" s="370"/>
      <c r="AC1190" s="370"/>
      <c r="AD1190" s="370"/>
      <c r="AE1190" s="370"/>
      <c r="AF1190" s="370"/>
      <c r="AG1190" s="370"/>
      <c r="AH1190" s="370"/>
      <c r="AI1190" s="370"/>
      <c r="AJ1190" s="370"/>
      <c r="AL1190" s="219"/>
      <c r="AM1190" s="219"/>
      <c r="AN1190" s="219"/>
      <c r="AO1190" s="116"/>
      <c r="AP1190" s="116"/>
      <c r="AU1190" s="332"/>
      <c r="AV1190" s="332"/>
      <c r="AW1190" s="332"/>
      <c r="AX1190" s="332"/>
      <c r="AY1190" s="332"/>
      <c r="AZ1190" s="332"/>
      <c r="BA1190" s="332"/>
      <c r="BB1190" s="31"/>
      <c r="BC1190" s="31"/>
      <c r="BD1190" s="31"/>
      <c r="BE1190" s="31"/>
    </row>
    <row r="1191" spans="1:57" ht="13">
      <c r="A1191" s="153"/>
      <c r="F1191" s="153"/>
      <c r="G1191" s="116"/>
      <c r="H1191" s="116"/>
      <c r="I1191" s="116"/>
      <c r="J1191" s="116"/>
      <c r="K1191" s="219"/>
      <c r="L1191" s="116"/>
      <c r="M1191" s="31"/>
      <c r="N1191" s="336"/>
      <c r="O1191" s="336"/>
      <c r="P1191" s="219"/>
      <c r="Q1191" s="332"/>
      <c r="R1191" s="219"/>
      <c r="S1191" s="332"/>
      <c r="T1191" s="219"/>
      <c r="U1191" s="332"/>
      <c r="V1191" s="332"/>
      <c r="W1191" s="370"/>
      <c r="X1191" s="370"/>
      <c r="Y1191" s="370"/>
      <c r="Z1191" s="370"/>
      <c r="AA1191" s="370"/>
      <c r="AB1191" s="370"/>
      <c r="AC1191" s="370"/>
      <c r="AD1191" s="370"/>
      <c r="AE1191" s="370"/>
      <c r="AF1191" s="370"/>
      <c r="AG1191" s="370"/>
      <c r="AH1191" s="370"/>
      <c r="AI1191" s="370"/>
      <c r="AJ1191" s="370"/>
      <c r="AL1191" s="219"/>
      <c r="AM1191" s="219"/>
      <c r="AN1191" s="219"/>
      <c r="AO1191" s="116"/>
      <c r="AP1191" s="116"/>
      <c r="AU1191" s="332"/>
      <c r="AV1191" s="332"/>
      <c r="AW1191" s="332"/>
      <c r="AX1191" s="332"/>
      <c r="AY1191" s="332"/>
      <c r="AZ1191" s="332"/>
      <c r="BA1191" s="332"/>
      <c r="BB1191" s="31"/>
      <c r="BC1191" s="31"/>
      <c r="BD1191" s="31"/>
      <c r="BE1191" s="31"/>
    </row>
    <row r="1192" spans="1:57" ht="13">
      <c r="A1192" s="153"/>
      <c r="F1192" s="153"/>
      <c r="G1192" s="116"/>
      <c r="H1192" s="116"/>
      <c r="I1192" s="116"/>
      <c r="J1192" s="116"/>
      <c r="K1192" s="219"/>
      <c r="L1192" s="116"/>
      <c r="M1192" s="31"/>
      <c r="N1192" s="336"/>
      <c r="O1192" s="336"/>
      <c r="P1192" s="219"/>
      <c r="Q1192" s="332"/>
      <c r="R1192" s="219"/>
      <c r="S1192" s="332"/>
      <c r="T1192" s="219"/>
      <c r="U1192" s="332"/>
      <c r="V1192" s="332"/>
      <c r="W1192" s="370"/>
      <c r="X1192" s="370"/>
      <c r="Y1192" s="370"/>
      <c r="Z1192" s="370"/>
      <c r="AA1192" s="370"/>
      <c r="AB1192" s="370"/>
      <c r="AC1192" s="370"/>
      <c r="AD1192" s="370"/>
      <c r="AE1192" s="370"/>
      <c r="AF1192" s="370"/>
      <c r="AG1192" s="370"/>
      <c r="AH1192" s="370"/>
      <c r="AI1192" s="370"/>
      <c r="AJ1192" s="370"/>
      <c r="AL1192" s="219"/>
      <c r="AM1192" s="219"/>
      <c r="AN1192" s="219"/>
      <c r="AO1192" s="116"/>
      <c r="AP1192" s="116"/>
      <c r="AU1192" s="332"/>
      <c r="AV1192" s="332"/>
      <c r="AW1192" s="332"/>
      <c r="AX1192" s="332"/>
      <c r="AY1192" s="332"/>
      <c r="AZ1192" s="332"/>
      <c r="BA1192" s="332"/>
      <c r="BB1192" s="31"/>
      <c r="BC1192" s="31"/>
      <c r="BD1192" s="31"/>
      <c r="BE1192" s="31"/>
    </row>
    <row r="1193" spans="1:57" ht="13">
      <c r="A1193" s="153"/>
      <c r="F1193" s="153"/>
      <c r="G1193" s="116"/>
      <c r="H1193" s="116"/>
      <c r="I1193" s="116"/>
      <c r="J1193" s="116"/>
      <c r="K1193" s="219"/>
      <c r="L1193" s="116"/>
      <c r="M1193" s="31"/>
      <c r="N1193" s="336"/>
      <c r="O1193" s="336"/>
      <c r="P1193" s="219"/>
      <c r="Q1193" s="332"/>
      <c r="R1193" s="219"/>
      <c r="S1193" s="332"/>
      <c r="T1193" s="219"/>
      <c r="U1193" s="332"/>
      <c r="V1193" s="332"/>
      <c r="W1193" s="370"/>
      <c r="X1193" s="370"/>
      <c r="Y1193" s="370"/>
      <c r="Z1193" s="370"/>
      <c r="AA1193" s="370"/>
      <c r="AB1193" s="370"/>
      <c r="AC1193" s="370"/>
      <c r="AD1193" s="370"/>
      <c r="AE1193" s="370"/>
      <c r="AF1193" s="370"/>
      <c r="AG1193" s="370"/>
      <c r="AH1193" s="370"/>
      <c r="AI1193" s="370"/>
      <c r="AJ1193" s="370"/>
      <c r="AL1193" s="219"/>
      <c r="AM1193" s="219"/>
      <c r="AN1193" s="219"/>
      <c r="AO1193" s="116"/>
      <c r="AP1193" s="116"/>
      <c r="AU1193" s="332"/>
      <c r="AV1193" s="332"/>
      <c r="AW1193" s="332"/>
      <c r="AX1193" s="332"/>
      <c r="AY1193" s="332"/>
      <c r="AZ1193" s="332"/>
      <c r="BA1193" s="332"/>
      <c r="BB1193" s="31"/>
      <c r="BC1193" s="31"/>
      <c r="BD1193" s="31"/>
      <c r="BE1193" s="31"/>
    </row>
    <row r="1194" spans="1:57" ht="13">
      <c r="A1194" s="153"/>
      <c r="F1194" s="153"/>
      <c r="G1194" s="116"/>
      <c r="H1194" s="116"/>
      <c r="I1194" s="116"/>
      <c r="J1194" s="116"/>
      <c r="K1194" s="219"/>
      <c r="L1194" s="116"/>
      <c r="M1194" s="31"/>
      <c r="N1194" s="336"/>
      <c r="O1194" s="336"/>
      <c r="P1194" s="219"/>
      <c r="Q1194" s="332"/>
      <c r="R1194" s="219"/>
      <c r="S1194" s="332"/>
      <c r="T1194" s="219"/>
      <c r="U1194" s="332"/>
      <c r="V1194" s="332"/>
      <c r="W1194" s="370"/>
      <c r="X1194" s="370"/>
      <c r="Y1194" s="370"/>
      <c r="Z1194" s="370"/>
      <c r="AA1194" s="370"/>
      <c r="AB1194" s="370"/>
      <c r="AC1194" s="370"/>
      <c r="AD1194" s="370"/>
      <c r="AE1194" s="370"/>
      <c r="AF1194" s="370"/>
      <c r="AG1194" s="370"/>
      <c r="AH1194" s="370"/>
      <c r="AI1194" s="370"/>
      <c r="AJ1194" s="370"/>
      <c r="AL1194" s="219"/>
      <c r="AM1194" s="219"/>
      <c r="AN1194" s="219"/>
      <c r="AO1194" s="116"/>
      <c r="AP1194" s="116"/>
      <c r="AU1194" s="332"/>
      <c r="AV1194" s="332"/>
      <c r="AW1194" s="332"/>
      <c r="AX1194" s="332"/>
      <c r="AY1194" s="332"/>
      <c r="AZ1194" s="332"/>
      <c r="BA1194" s="332"/>
      <c r="BB1194" s="31"/>
      <c r="BC1194" s="31"/>
      <c r="BD1194" s="31"/>
      <c r="BE1194" s="31"/>
    </row>
    <row r="1195" spans="1:57" ht="13">
      <c r="A1195" s="153"/>
      <c r="F1195" s="153"/>
      <c r="G1195" s="116"/>
      <c r="H1195" s="116"/>
      <c r="I1195" s="116"/>
      <c r="J1195" s="116"/>
      <c r="K1195" s="219"/>
      <c r="L1195" s="116"/>
      <c r="M1195" s="31"/>
      <c r="N1195" s="336"/>
      <c r="O1195" s="336"/>
      <c r="P1195" s="219"/>
      <c r="Q1195" s="332"/>
      <c r="R1195" s="219"/>
      <c r="S1195" s="332"/>
      <c r="T1195" s="219"/>
      <c r="U1195" s="332"/>
      <c r="V1195" s="332"/>
      <c r="W1195" s="370"/>
      <c r="X1195" s="370"/>
      <c r="Y1195" s="370"/>
      <c r="Z1195" s="370"/>
      <c r="AA1195" s="370"/>
      <c r="AB1195" s="370"/>
      <c r="AC1195" s="370"/>
      <c r="AD1195" s="370"/>
      <c r="AE1195" s="370"/>
      <c r="AF1195" s="370"/>
      <c r="AG1195" s="370"/>
      <c r="AH1195" s="370"/>
      <c r="AI1195" s="370"/>
      <c r="AJ1195" s="370"/>
      <c r="AL1195" s="219"/>
      <c r="AM1195" s="219"/>
      <c r="AN1195" s="219"/>
      <c r="AO1195" s="116"/>
      <c r="AP1195" s="116"/>
      <c r="AU1195" s="332"/>
      <c r="AV1195" s="332"/>
      <c r="AW1195" s="332"/>
      <c r="AX1195" s="332"/>
      <c r="AY1195" s="332"/>
      <c r="AZ1195" s="332"/>
      <c r="BA1195" s="332"/>
      <c r="BB1195" s="31"/>
      <c r="BC1195" s="31"/>
      <c r="BD1195" s="31"/>
      <c r="BE1195" s="31"/>
    </row>
    <row r="1196" spans="1:57" ht="13">
      <c r="A1196" s="153"/>
      <c r="F1196" s="153"/>
      <c r="G1196" s="116"/>
      <c r="H1196" s="116"/>
      <c r="I1196" s="116"/>
      <c r="J1196" s="116"/>
      <c r="K1196" s="219"/>
      <c r="L1196" s="116"/>
      <c r="M1196" s="31"/>
      <c r="N1196" s="336"/>
      <c r="O1196" s="336"/>
      <c r="P1196" s="219"/>
      <c r="Q1196" s="332"/>
      <c r="R1196" s="219"/>
      <c r="S1196" s="332"/>
      <c r="T1196" s="219"/>
      <c r="U1196" s="332"/>
      <c r="V1196" s="332"/>
      <c r="W1196" s="370"/>
      <c r="X1196" s="370"/>
      <c r="Y1196" s="370"/>
      <c r="Z1196" s="370"/>
      <c r="AA1196" s="370"/>
      <c r="AB1196" s="370"/>
      <c r="AC1196" s="370"/>
      <c r="AD1196" s="370"/>
      <c r="AE1196" s="370"/>
      <c r="AF1196" s="370"/>
      <c r="AG1196" s="370"/>
      <c r="AH1196" s="370"/>
      <c r="AI1196" s="370"/>
      <c r="AJ1196" s="370"/>
      <c r="AL1196" s="219"/>
      <c r="AM1196" s="219"/>
      <c r="AN1196" s="219"/>
      <c r="AO1196" s="116"/>
      <c r="AP1196" s="116"/>
      <c r="AU1196" s="332"/>
      <c r="AV1196" s="332"/>
      <c r="AW1196" s="332"/>
      <c r="AX1196" s="332"/>
      <c r="AY1196" s="332"/>
      <c r="AZ1196" s="332"/>
      <c r="BA1196" s="332"/>
      <c r="BB1196" s="31"/>
      <c r="BC1196" s="31"/>
      <c r="BD1196" s="31"/>
      <c r="BE1196" s="31"/>
    </row>
    <row r="1197" spans="1:57" ht="13">
      <c r="A1197" s="153"/>
      <c r="F1197" s="153"/>
      <c r="G1197" s="116"/>
      <c r="H1197" s="116"/>
      <c r="I1197" s="116"/>
      <c r="J1197" s="116"/>
      <c r="K1197" s="219"/>
      <c r="L1197" s="116"/>
      <c r="M1197" s="31"/>
      <c r="N1197" s="336"/>
      <c r="O1197" s="336"/>
      <c r="P1197" s="219"/>
      <c r="Q1197" s="332"/>
      <c r="R1197" s="219"/>
      <c r="S1197" s="332"/>
      <c r="T1197" s="219"/>
      <c r="U1197" s="332"/>
      <c r="V1197" s="332"/>
      <c r="W1197" s="370"/>
      <c r="X1197" s="370"/>
      <c r="Y1197" s="370"/>
      <c r="Z1197" s="370"/>
      <c r="AA1197" s="370"/>
      <c r="AB1197" s="370"/>
      <c r="AC1197" s="370"/>
      <c r="AD1197" s="370"/>
      <c r="AE1197" s="370"/>
      <c r="AF1197" s="370"/>
      <c r="AG1197" s="370"/>
      <c r="AH1197" s="370"/>
      <c r="AI1197" s="370"/>
      <c r="AJ1197" s="370"/>
      <c r="AL1197" s="219"/>
      <c r="AM1197" s="219"/>
      <c r="AN1197" s="219"/>
      <c r="AO1197" s="116"/>
      <c r="AP1197" s="116"/>
      <c r="AU1197" s="332"/>
      <c r="AV1197" s="332"/>
      <c r="AW1197" s="332"/>
      <c r="AX1197" s="332"/>
      <c r="AY1197" s="332"/>
      <c r="AZ1197" s="332"/>
      <c r="BA1197" s="332"/>
      <c r="BB1197" s="31"/>
      <c r="BC1197" s="31"/>
      <c r="BD1197" s="31"/>
      <c r="BE1197" s="31"/>
    </row>
    <row r="1198" spans="1:57" ht="13">
      <c r="A1198" s="153"/>
      <c r="F1198" s="153"/>
      <c r="G1198" s="116"/>
      <c r="H1198" s="116"/>
      <c r="I1198" s="116"/>
      <c r="J1198" s="116"/>
      <c r="K1198" s="219"/>
      <c r="L1198" s="116"/>
      <c r="M1198" s="31"/>
      <c r="N1198" s="336"/>
      <c r="O1198" s="336"/>
      <c r="P1198" s="219"/>
      <c r="Q1198" s="332"/>
      <c r="R1198" s="219"/>
      <c r="S1198" s="332"/>
      <c r="T1198" s="219"/>
      <c r="U1198" s="332"/>
      <c r="V1198" s="332"/>
      <c r="W1198" s="370"/>
      <c r="X1198" s="370"/>
      <c r="Y1198" s="370"/>
      <c r="Z1198" s="370"/>
      <c r="AA1198" s="370"/>
      <c r="AB1198" s="370"/>
      <c r="AC1198" s="370"/>
      <c r="AD1198" s="370"/>
      <c r="AE1198" s="370"/>
      <c r="AF1198" s="370"/>
      <c r="AG1198" s="370"/>
      <c r="AH1198" s="370"/>
      <c r="AI1198" s="370"/>
      <c r="AJ1198" s="370"/>
      <c r="AL1198" s="219"/>
      <c r="AM1198" s="219"/>
      <c r="AN1198" s="219"/>
      <c r="AO1198" s="116"/>
      <c r="AP1198" s="116"/>
      <c r="AU1198" s="332"/>
      <c r="AV1198" s="332"/>
      <c r="AW1198" s="332"/>
      <c r="AX1198" s="332"/>
      <c r="AY1198" s="332"/>
      <c r="AZ1198" s="332"/>
      <c r="BA1198" s="332"/>
      <c r="BB1198" s="31"/>
      <c r="BC1198" s="31"/>
      <c r="BD1198" s="31"/>
      <c r="BE1198" s="31"/>
    </row>
    <row r="1199" spans="1:57" ht="13">
      <c r="A1199" s="153"/>
      <c r="F1199" s="153"/>
      <c r="G1199" s="116"/>
      <c r="H1199" s="116"/>
      <c r="I1199" s="116"/>
      <c r="J1199" s="116"/>
      <c r="K1199" s="219"/>
      <c r="L1199" s="116"/>
      <c r="M1199" s="31"/>
      <c r="N1199" s="336"/>
      <c r="O1199" s="336"/>
      <c r="P1199" s="219"/>
      <c r="Q1199" s="332"/>
      <c r="R1199" s="219"/>
      <c r="S1199" s="332"/>
      <c r="T1199" s="219"/>
      <c r="U1199" s="332"/>
      <c r="V1199" s="332"/>
      <c r="W1199" s="370"/>
      <c r="X1199" s="370"/>
      <c r="Y1199" s="370"/>
      <c r="Z1199" s="370"/>
      <c r="AA1199" s="370"/>
      <c r="AB1199" s="370"/>
      <c r="AC1199" s="370"/>
      <c r="AD1199" s="370"/>
      <c r="AE1199" s="370"/>
      <c r="AF1199" s="370"/>
      <c r="AG1199" s="370"/>
      <c r="AH1199" s="370"/>
      <c r="AI1199" s="370"/>
      <c r="AJ1199" s="370"/>
      <c r="AL1199" s="219"/>
      <c r="AM1199" s="219"/>
      <c r="AN1199" s="219"/>
      <c r="AO1199" s="116"/>
      <c r="AP1199" s="116"/>
      <c r="AU1199" s="332"/>
      <c r="AV1199" s="332"/>
      <c r="AW1199" s="332"/>
      <c r="AX1199" s="332"/>
      <c r="AY1199" s="332"/>
      <c r="AZ1199" s="332"/>
      <c r="BA1199" s="332"/>
      <c r="BB1199" s="31"/>
      <c r="BC1199" s="31"/>
      <c r="BD1199" s="31"/>
      <c r="BE1199" s="31"/>
    </row>
    <row r="1200" spans="1:57" ht="13">
      <c r="A1200" s="153"/>
      <c r="F1200" s="153"/>
      <c r="G1200" s="116"/>
      <c r="H1200" s="116"/>
      <c r="I1200" s="116"/>
      <c r="J1200" s="116"/>
      <c r="K1200" s="219"/>
      <c r="L1200" s="116"/>
      <c r="M1200" s="31"/>
      <c r="N1200" s="336"/>
      <c r="O1200" s="336"/>
      <c r="P1200" s="219"/>
      <c r="Q1200" s="332"/>
      <c r="R1200" s="219"/>
      <c r="S1200" s="332"/>
      <c r="T1200" s="219"/>
      <c r="U1200" s="332"/>
      <c r="V1200" s="332"/>
      <c r="W1200" s="370"/>
      <c r="X1200" s="370"/>
      <c r="Y1200" s="370"/>
      <c r="Z1200" s="370"/>
      <c r="AA1200" s="370"/>
      <c r="AB1200" s="370"/>
      <c r="AC1200" s="370"/>
      <c r="AD1200" s="370"/>
      <c r="AE1200" s="370"/>
      <c r="AF1200" s="370"/>
      <c r="AG1200" s="370"/>
      <c r="AH1200" s="370"/>
      <c r="AI1200" s="370"/>
      <c r="AJ1200" s="370"/>
      <c r="AL1200" s="219"/>
      <c r="AM1200" s="219"/>
      <c r="AN1200" s="219"/>
      <c r="AO1200" s="116"/>
      <c r="AP1200" s="116"/>
      <c r="AU1200" s="332"/>
      <c r="AV1200" s="332"/>
      <c r="AW1200" s="332"/>
      <c r="AX1200" s="332"/>
      <c r="AY1200" s="332"/>
      <c r="AZ1200" s="332"/>
      <c r="BA1200" s="332"/>
      <c r="BB1200" s="31"/>
      <c r="BC1200" s="31"/>
      <c r="BD1200" s="31"/>
      <c r="BE1200" s="31"/>
    </row>
    <row r="1201" spans="1:57" ht="13">
      <c r="A1201" s="153"/>
      <c r="F1201" s="153"/>
      <c r="G1201" s="116"/>
      <c r="H1201" s="116"/>
      <c r="I1201" s="116"/>
      <c r="J1201" s="116"/>
      <c r="K1201" s="219"/>
      <c r="L1201" s="116"/>
      <c r="M1201" s="31"/>
      <c r="N1201" s="336"/>
      <c r="O1201" s="336"/>
      <c r="P1201" s="219"/>
      <c r="Q1201" s="332"/>
      <c r="R1201" s="219"/>
      <c r="S1201" s="332"/>
      <c r="T1201" s="219"/>
      <c r="U1201" s="332"/>
      <c r="V1201" s="332"/>
      <c r="W1201" s="370"/>
      <c r="X1201" s="370"/>
      <c r="Y1201" s="370"/>
      <c r="Z1201" s="370"/>
      <c r="AA1201" s="370"/>
      <c r="AB1201" s="370"/>
      <c r="AC1201" s="370"/>
      <c r="AD1201" s="370"/>
      <c r="AE1201" s="370"/>
      <c r="AF1201" s="370"/>
      <c r="AG1201" s="370"/>
      <c r="AH1201" s="370"/>
      <c r="AI1201" s="370"/>
      <c r="AJ1201" s="370"/>
      <c r="AL1201" s="219"/>
      <c r="AM1201" s="219"/>
      <c r="AN1201" s="219"/>
      <c r="AO1201" s="116"/>
      <c r="AP1201" s="116"/>
      <c r="AU1201" s="332"/>
      <c r="AV1201" s="332"/>
      <c r="AW1201" s="332"/>
      <c r="AX1201" s="332"/>
      <c r="AY1201" s="332"/>
      <c r="AZ1201" s="332"/>
      <c r="BA1201" s="332"/>
      <c r="BB1201" s="31"/>
      <c r="BC1201" s="31"/>
      <c r="BD1201" s="31"/>
      <c r="BE1201" s="31"/>
    </row>
    <row r="1202" spans="1:57" ht="13">
      <c r="A1202" s="153"/>
      <c r="F1202" s="153"/>
      <c r="G1202" s="116"/>
      <c r="H1202" s="116"/>
      <c r="I1202" s="116"/>
      <c r="J1202" s="116"/>
      <c r="K1202" s="219"/>
      <c r="L1202" s="116"/>
      <c r="M1202" s="31"/>
      <c r="N1202" s="336"/>
      <c r="O1202" s="336"/>
      <c r="P1202" s="219"/>
      <c r="Q1202" s="332"/>
      <c r="R1202" s="219"/>
      <c r="S1202" s="332"/>
      <c r="T1202" s="219"/>
      <c r="U1202" s="332"/>
      <c r="V1202" s="332"/>
      <c r="W1202" s="370"/>
      <c r="X1202" s="370"/>
      <c r="Y1202" s="370"/>
      <c r="Z1202" s="370"/>
      <c r="AA1202" s="370"/>
      <c r="AB1202" s="370"/>
      <c r="AC1202" s="370"/>
      <c r="AD1202" s="370"/>
      <c r="AE1202" s="370"/>
      <c r="AF1202" s="370"/>
      <c r="AG1202" s="370"/>
      <c r="AH1202" s="370"/>
      <c r="AI1202" s="370"/>
      <c r="AJ1202" s="370"/>
      <c r="AL1202" s="219"/>
      <c r="AM1202" s="219"/>
      <c r="AN1202" s="219"/>
      <c r="AO1202" s="116"/>
      <c r="AP1202" s="116"/>
      <c r="AU1202" s="332"/>
      <c r="AV1202" s="332"/>
      <c r="AW1202" s="332"/>
      <c r="AX1202" s="332"/>
      <c r="AY1202" s="332"/>
      <c r="AZ1202" s="332"/>
      <c r="BA1202" s="332"/>
      <c r="BB1202" s="31"/>
      <c r="BC1202" s="31"/>
      <c r="BD1202" s="31"/>
      <c r="BE1202" s="31"/>
    </row>
    <row r="1203" spans="1:57" ht="13">
      <c r="A1203" s="153"/>
      <c r="F1203" s="153"/>
      <c r="G1203" s="116"/>
      <c r="H1203" s="116"/>
      <c r="I1203" s="116"/>
      <c r="J1203" s="116"/>
      <c r="K1203" s="219"/>
      <c r="L1203" s="116"/>
      <c r="M1203" s="31"/>
      <c r="N1203" s="336"/>
      <c r="O1203" s="336"/>
      <c r="P1203" s="219"/>
      <c r="Q1203" s="332"/>
      <c r="R1203" s="219"/>
      <c r="S1203" s="332"/>
      <c r="T1203" s="219"/>
      <c r="U1203" s="332"/>
      <c r="V1203" s="332"/>
      <c r="W1203" s="370"/>
      <c r="X1203" s="370"/>
      <c r="Y1203" s="370"/>
      <c r="Z1203" s="370"/>
      <c r="AA1203" s="370"/>
      <c r="AB1203" s="370"/>
      <c r="AC1203" s="370"/>
      <c r="AD1203" s="370"/>
      <c r="AE1203" s="370"/>
      <c r="AF1203" s="370"/>
      <c r="AG1203" s="370"/>
      <c r="AH1203" s="370"/>
      <c r="AI1203" s="370"/>
      <c r="AJ1203" s="370"/>
      <c r="AL1203" s="219"/>
      <c r="AM1203" s="219"/>
      <c r="AN1203" s="219"/>
      <c r="AO1203" s="116"/>
      <c r="AP1203" s="116"/>
      <c r="AU1203" s="332"/>
      <c r="AV1203" s="332"/>
      <c r="AW1203" s="332"/>
      <c r="AX1203" s="332"/>
      <c r="AY1203" s="332"/>
      <c r="AZ1203" s="332"/>
      <c r="BA1203" s="332"/>
      <c r="BB1203" s="31"/>
      <c r="BC1203" s="31"/>
      <c r="BD1203" s="31"/>
      <c r="BE1203" s="31"/>
    </row>
    <row r="1204" spans="1:57" ht="13">
      <c r="A1204" s="153"/>
      <c r="F1204" s="153"/>
      <c r="G1204" s="116"/>
      <c r="H1204" s="116"/>
      <c r="I1204" s="116"/>
      <c r="J1204" s="116"/>
      <c r="K1204" s="219"/>
      <c r="L1204" s="116"/>
      <c r="M1204" s="31"/>
      <c r="N1204" s="336"/>
      <c r="O1204" s="336"/>
      <c r="P1204" s="219"/>
      <c r="Q1204" s="332"/>
      <c r="R1204" s="219"/>
      <c r="S1204" s="332"/>
      <c r="T1204" s="219"/>
      <c r="U1204" s="332"/>
      <c r="V1204" s="332"/>
      <c r="W1204" s="370"/>
      <c r="X1204" s="370"/>
      <c r="Y1204" s="370"/>
      <c r="Z1204" s="370"/>
      <c r="AA1204" s="370"/>
      <c r="AB1204" s="370"/>
      <c r="AC1204" s="370"/>
      <c r="AD1204" s="370"/>
      <c r="AE1204" s="370"/>
      <c r="AF1204" s="370"/>
      <c r="AG1204" s="370"/>
      <c r="AH1204" s="370"/>
      <c r="AI1204" s="370"/>
      <c r="AJ1204" s="370"/>
      <c r="AL1204" s="219"/>
      <c r="AM1204" s="219"/>
      <c r="AN1204" s="219"/>
      <c r="AO1204" s="116"/>
      <c r="AP1204" s="116"/>
      <c r="AU1204" s="332"/>
      <c r="AV1204" s="332"/>
      <c r="AW1204" s="332"/>
      <c r="AX1204" s="332"/>
      <c r="AY1204" s="332"/>
      <c r="AZ1204" s="332"/>
      <c r="BA1204" s="332"/>
      <c r="BB1204" s="31"/>
      <c r="BC1204" s="31"/>
      <c r="BD1204" s="31"/>
      <c r="BE1204" s="31"/>
    </row>
    <row r="1205" spans="1:57" ht="13">
      <c r="A1205" s="153"/>
      <c r="F1205" s="153"/>
      <c r="G1205" s="116"/>
      <c r="H1205" s="116"/>
      <c r="I1205" s="116"/>
      <c r="J1205" s="116"/>
      <c r="K1205" s="219"/>
      <c r="L1205" s="116"/>
      <c r="M1205" s="31"/>
      <c r="N1205" s="336"/>
      <c r="O1205" s="336"/>
      <c r="P1205" s="219"/>
      <c r="Q1205" s="332"/>
      <c r="R1205" s="219"/>
      <c r="S1205" s="332"/>
      <c r="T1205" s="219"/>
      <c r="U1205" s="332"/>
      <c r="V1205" s="332"/>
      <c r="W1205" s="370"/>
      <c r="X1205" s="370"/>
      <c r="Y1205" s="370"/>
      <c r="Z1205" s="370"/>
      <c r="AA1205" s="370"/>
      <c r="AB1205" s="370"/>
      <c r="AC1205" s="370"/>
      <c r="AD1205" s="370"/>
      <c r="AE1205" s="370"/>
      <c r="AF1205" s="370"/>
      <c r="AG1205" s="370"/>
      <c r="AH1205" s="370"/>
      <c r="AI1205" s="370"/>
      <c r="AJ1205" s="370"/>
      <c r="AL1205" s="219"/>
      <c r="AM1205" s="219"/>
      <c r="AN1205" s="219"/>
      <c r="AO1205" s="116"/>
      <c r="AP1205" s="116"/>
      <c r="AU1205" s="332"/>
      <c r="AV1205" s="332"/>
      <c r="AW1205" s="332"/>
      <c r="AX1205" s="332"/>
      <c r="AY1205" s="332"/>
      <c r="AZ1205" s="332"/>
      <c r="BA1205" s="332"/>
      <c r="BB1205" s="31"/>
      <c r="BC1205" s="31"/>
      <c r="BD1205" s="31"/>
      <c r="BE1205" s="31"/>
    </row>
    <row r="1206" spans="1:57" ht="13">
      <c r="A1206" s="153"/>
      <c r="F1206" s="153"/>
      <c r="G1206" s="116"/>
      <c r="H1206" s="116"/>
      <c r="I1206" s="116"/>
      <c r="J1206" s="116"/>
      <c r="K1206" s="219"/>
      <c r="L1206" s="116"/>
      <c r="M1206" s="31"/>
      <c r="N1206" s="336"/>
      <c r="O1206" s="336"/>
      <c r="P1206" s="219"/>
      <c r="Q1206" s="332"/>
      <c r="R1206" s="219"/>
      <c r="S1206" s="332"/>
      <c r="T1206" s="219"/>
      <c r="U1206" s="332"/>
      <c r="V1206" s="332"/>
      <c r="W1206" s="370"/>
      <c r="X1206" s="370"/>
      <c r="Y1206" s="370"/>
      <c r="Z1206" s="370"/>
      <c r="AA1206" s="370"/>
      <c r="AB1206" s="370"/>
      <c r="AC1206" s="370"/>
      <c r="AD1206" s="370"/>
      <c r="AE1206" s="370"/>
      <c r="AF1206" s="370"/>
      <c r="AG1206" s="370"/>
      <c r="AH1206" s="370"/>
      <c r="AI1206" s="370"/>
      <c r="AJ1206" s="370"/>
      <c r="AL1206" s="219"/>
      <c r="AM1206" s="219"/>
      <c r="AN1206" s="219"/>
      <c r="AO1206" s="116"/>
      <c r="AP1206" s="116"/>
      <c r="AU1206" s="332"/>
      <c r="AV1206" s="332"/>
      <c r="AW1206" s="332"/>
      <c r="AX1206" s="332"/>
      <c r="AY1206" s="332"/>
      <c r="AZ1206" s="332"/>
      <c r="BA1206" s="332"/>
      <c r="BB1206" s="31"/>
      <c r="BC1206" s="31"/>
      <c r="BD1206" s="31"/>
      <c r="BE1206" s="31"/>
    </row>
    <row r="1207" spans="1:57" ht="13">
      <c r="A1207" s="153"/>
      <c r="F1207" s="153"/>
      <c r="G1207" s="116"/>
      <c r="H1207" s="116"/>
      <c r="I1207" s="116"/>
      <c r="J1207" s="116"/>
      <c r="K1207" s="219"/>
      <c r="L1207" s="116"/>
      <c r="M1207" s="31"/>
      <c r="N1207" s="336"/>
      <c r="O1207" s="336"/>
      <c r="P1207" s="219"/>
      <c r="Q1207" s="332"/>
      <c r="R1207" s="219"/>
      <c r="S1207" s="332"/>
      <c r="T1207" s="219"/>
      <c r="U1207" s="332"/>
      <c r="V1207" s="332"/>
      <c r="W1207" s="370"/>
      <c r="X1207" s="370"/>
      <c r="Y1207" s="370"/>
      <c r="Z1207" s="370"/>
      <c r="AA1207" s="370"/>
      <c r="AB1207" s="370"/>
      <c r="AC1207" s="370"/>
      <c r="AD1207" s="370"/>
      <c r="AE1207" s="370"/>
      <c r="AF1207" s="370"/>
      <c r="AG1207" s="370"/>
      <c r="AH1207" s="370"/>
      <c r="AI1207" s="370"/>
      <c r="AJ1207" s="370"/>
      <c r="AL1207" s="219"/>
      <c r="AM1207" s="219"/>
      <c r="AN1207" s="219"/>
      <c r="AO1207" s="116"/>
      <c r="AP1207" s="116"/>
      <c r="AU1207" s="332"/>
      <c r="AV1207" s="332"/>
      <c r="AW1207" s="332"/>
      <c r="AX1207" s="332"/>
      <c r="AY1207" s="332"/>
      <c r="AZ1207" s="332"/>
      <c r="BA1207" s="332"/>
      <c r="BB1207" s="31"/>
      <c r="BC1207" s="31"/>
      <c r="BD1207" s="31"/>
      <c r="BE1207" s="31"/>
    </row>
    <row r="1208" spans="1:57" ht="13">
      <c r="A1208" s="153"/>
      <c r="F1208" s="153"/>
      <c r="G1208" s="116"/>
      <c r="H1208" s="116"/>
      <c r="I1208" s="116"/>
      <c r="J1208" s="116"/>
      <c r="K1208" s="219"/>
      <c r="L1208" s="116"/>
      <c r="M1208" s="31"/>
      <c r="N1208" s="336"/>
      <c r="O1208" s="336"/>
      <c r="P1208" s="219"/>
      <c r="Q1208" s="332"/>
      <c r="R1208" s="219"/>
      <c r="S1208" s="332"/>
      <c r="T1208" s="219"/>
      <c r="U1208" s="332"/>
      <c r="V1208" s="332"/>
      <c r="W1208" s="370"/>
      <c r="X1208" s="370"/>
      <c r="Y1208" s="370"/>
      <c r="Z1208" s="370"/>
      <c r="AA1208" s="370"/>
      <c r="AB1208" s="370"/>
      <c r="AC1208" s="370"/>
      <c r="AD1208" s="370"/>
      <c r="AE1208" s="370"/>
      <c r="AF1208" s="370"/>
      <c r="AG1208" s="370"/>
      <c r="AH1208" s="370"/>
      <c r="AI1208" s="370"/>
      <c r="AJ1208" s="370"/>
      <c r="AL1208" s="219"/>
      <c r="AM1208" s="219"/>
      <c r="AN1208" s="219"/>
      <c r="AO1208" s="116"/>
      <c r="AP1208" s="116"/>
      <c r="AU1208" s="332"/>
      <c r="AV1208" s="332"/>
      <c r="AW1208" s="332"/>
      <c r="AX1208" s="332"/>
      <c r="AY1208" s="332"/>
      <c r="AZ1208" s="332"/>
      <c r="BA1208" s="332"/>
      <c r="BB1208" s="31"/>
      <c r="BC1208" s="31"/>
      <c r="BD1208" s="31"/>
      <c r="BE1208" s="31"/>
    </row>
    <row r="1209" spans="1:57" ht="13">
      <c r="A1209" s="153"/>
      <c r="F1209" s="153"/>
      <c r="G1209" s="116"/>
      <c r="H1209" s="116"/>
      <c r="I1209" s="116"/>
      <c r="J1209" s="116"/>
      <c r="K1209" s="219"/>
      <c r="L1209" s="116"/>
      <c r="M1209" s="31"/>
      <c r="N1209" s="336"/>
      <c r="O1209" s="336"/>
      <c r="P1209" s="219"/>
      <c r="Q1209" s="332"/>
      <c r="R1209" s="219"/>
      <c r="S1209" s="332"/>
      <c r="T1209" s="219"/>
      <c r="U1209" s="332"/>
      <c r="V1209" s="332"/>
      <c r="W1209" s="370"/>
      <c r="X1209" s="370"/>
      <c r="Y1209" s="370"/>
      <c r="Z1209" s="370"/>
      <c r="AA1209" s="370"/>
      <c r="AB1209" s="370"/>
      <c r="AC1209" s="370"/>
      <c r="AD1209" s="370"/>
      <c r="AE1209" s="370"/>
      <c r="AF1209" s="370"/>
      <c r="AG1209" s="370"/>
      <c r="AH1209" s="370"/>
      <c r="AI1209" s="370"/>
      <c r="AJ1209" s="370"/>
      <c r="AL1209" s="219"/>
      <c r="AM1209" s="219"/>
      <c r="AN1209" s="219"/>
      <c r="AO1209" s="116"/>
      <c r="AP1209" s="116"/>
      <c r="AU1209" s="332"/>
      <c r="AV1209" s="332"/>
      <c r="AW1209" s="332"/>
      <c r="AX1209" s="332"/>
      <c r="AY1209" s="332"/>
      <c r="AZ1209" s="332"/>
      <c r="BA1209" s="332"/>
      <c r="BB1209" s="31"/>
      <c r="BC1209" s="31"/>
      <c r="BD1209" s="31"/>
      <c r="BE1209" s="31"/>
    </row>
    <row r="1210" spans="1:57" ht="13">
      <c r="A1210" s="153"/>
      <c r="F1210" s="153"/>
      <c r="G1210" s="116"/>
      <c r="H1210" s="116"/>
      <c r="I1210" s="116"/>
      <c r="J1210" s="116"/>
      <c r="K1210" s="219"/>
      <c r="L1210" s="116"/>
      <c r="M1210" s="31"/>
      <c r="N1210" s="336"/>
      <c r="O1210" s="336"/>
      <c r="P1210" s="219"/>
      <c r="Q1210" s="332"/>
      <c r="R1210" s="219"/>
      <c r="S1210" s="332"/>
      <c r="T1210" s="219"/>
      <c r="U1210" s="332"/>
      <c r="V1210" s="332"/>
      <c r="W1210" s="370"/>
      <c r="X1210" s="370"/>
      <c r="Y1210" s="370"/>
      <c r="Z1210" s="370"/>
      <c r="AA1210" s="370"/>
      <c r="AB1210" s="370"/>
      <c r="AC1210" s="370"/>
      <c r="AD1210" s="370"/>
      <c r="AE1210" s="370"/>
      <c r="AF1210" s="370"/>
      <c r="AG1210" s="370"/>
      <c r="AH1210" s="370"/>
      <c r="AI1210" s="370"/>
      <c r="AJ1210" s="370"/>
      <c r="AL1210" s="219"/>
      <c r="AM1210" s="219"/>
      <c r="AN1210" s="219"/>
      <c r="AO1210" s="116"/>
      <c r="AP1210" s="116"/>
      <c r="AU1210" s="332"/>
      <c r="AV1210" s="332"/>
      <c r="AW1210" s="332"/>
      <c r="AX1210" s="332"/>
      <c r="AY1210" s="332"/>
      <c r="AZ1210" s="332"/>
      <c r="BA1210" s="332"/>
      <c r="BB1210" s="31"/>
      <c r="BC1210" s="31"/>
      <c r="BD1210" s="31"/>
      <c r="BE1210" s="31"/>
    </row>
    <row r="1211" spans="1:57" ht="13">
      <c r="A1211" s="153"/>
      <c r="F1211" s="153"/>
      <c r="G1211" s="116"/>
      <c r="H1211" s="116"/>
      <c r="I1211" s="116"/>
      <c r="J1211" s="116"/>
      <c r="K1211" s="219"/>
      <c r="L1211" s="116"/>
      <c r="M1211" s="31"/>
      <c r="N1211" s="336"/>
      <c r="O1211" s="336"/>
      <c r="P1211" s="219"/>
      <c r="Q1211" s="332"/>
      <c r="R1211" s="219"/>
      <c r="S1211" s="332"/>
      <c r="T1211" s="219"/>
      <c r="U1211" s="332"/>
      <c r="V1211" s="332"/>
      <c r="W1211" s="370"/>
      <c r="X1211" s="370"/>
      <c r="Y1211" s="370"/>
      <c r="Z1211" s="370"/>
      <c r="AA1211" s="370"/>
      <c r="AB1211" s="370"/>
      <c r="AC1211" s="370"/>
      <c r="AD1211" s="370"/>
      <c r="AE1211" s="370"/>
      <c r="AF1211" s="370"/>
      <c r="AG1211" s="370"/>
      <c r="AH1211" s="370"/>
      <c r="AI1211" s="370"/>
      <c r="AJ1211" s="370"/>
      <c r="AL1211" s="219"/>
      <c r="AM1211" s="219"/>
      <c r="AN1211" s="219"/>
      <c r="AO1211" s="116"/>
      <c r="AP1211" s="116"/>
      <c r="AU1211" s="332"/>
      <c r="AV1211" s="332"/>
      <c r="AW1211" s="332"/>
      <c r="AX1211" s="332"/>
      <c r="AY1211" s="332"/>
      <c r="AZ1211" s="332"/>
      <c r="BA1211" s="332"/>
      <c r="BB1211" s="31"/>
      <c r="BC1211" s="31"/>
      <c r="BD1211" s="31"/>
      <c r="BE1211" s="31"/>
    </row>
    <row r="1212" spans="1:57" ht="13">
      <c r="A1212" s="153"/>
      <c r="F1212" s="153"/>
      <c r="G1212" s="116"/>
      <c r="H1212" s="116"/>
      <c r="I1212" s="116"/>
      <c r="J1212" s="116"/>
      <c r="K1212" s="219"/>
      <c r="L1212" s="116"/>
      <c r="M1212" s="31"/>
      <c r="N1212" s="336"/>
      <c r="O1212" s="336"/>
      <c r="P1212" s="219"/>
      <c r="Q1212" s="332"/>
      <c r="R1212" s="219"/>
      <c r="S1212" s="332"/>
      <c r="T1212" s="219"/>
      <c r="U1212" s="332"/>
      <c r="V1212" s="332"/>
      <c r="W1212" s="370"/>
      <c r="X1212" s="370"/>
      <c r="Y1212" s="370"/>
      <c r="Z1212" s="370"/>
      <c r="AA1212" s="370"/>
      <c r="AB1212" s="370"/>
      <c r="AC1212" s="370"/>
      <c r="AD1212" s="370"/>
      <c r="AE1212" s="370"/>
      <c r="AF1212" s="370"/>
      <c r="AG1212" s="370"/>
      <c r="AH1212" s="370"/>
      <c r="AI1212" s="370"/>
      <c r="AJ1212" s="370"/>
      <c r="AL1212" s="219"/>
      <c r="AM1212" s="219"/>
      <c r="AN1212" s="219"/>
      <c r="AO1212" s="116"/>
      <c r="AP1212" s="116"/>
      <c r="AU1212" s="332"/>
      <c r="AV1212" s="332"/>
      <c r="AW1212" s="332"/>
      <c r="AX1212" s="332"/>
      <c r="AY1212" s="332"/>
      <c r="AZ1212" s="332"/>
      <c r="BA1212" s="332"/>
      <c r="BB1212" s="31"/>
      <c r="BC1212" s="31"/>
      <c r="BD1212" s="31"/>
      <c r="BE1212" s="31"/>
    </row>
    <row r="1213" spans="1:57" ht="13">
      <c r="A1213" s="153"/>
      <c r="F1213" s="153"/>
      <c r="G1213" s="116"/>
      <c r="H1213" s="116"/>
      <c r="I1213" s="116"/>
      <c r="J1213" s="116"/>
      <c r="K1213" s="219"/>
      <c r="L1213" s="116"/>
      <c r="M1213" s="31"/>
      <c r="N1213" s="336"/>
      <c r="O1213" s="336"/>
      <c r="P1213" s="219"/>
      <c r="Q1213" s="332"/>
      <c r="R1213" s="219"/>
      <c r="S1213" s="332"/>
      <c r="T1213" s="219"/>
      <c r="U1213" s="332"/>
      <c r="V1213" s="332"/>
      <c r="W1213" s="370"/>
      <c r="X1213" s="370"/>
      <c r="Y1213" s="370"/>
      <c r="Z1213" s="370"/>
      <c r="AA1213" s="370"/>
      <c r="AB1213" s="370"/>
      <c r="AC1213" s="370"/>
      <c r="AD1213" s="370"/>
      <c r="AE1213" s="370"/>
      <c r="AF1213" s="370"/>
      <c r="AG1213" s="370"/>
      <c r="AH1213" s="370"/>
      <c r="AI1213" s="370"/>
      <c r="AJ1213" s="370"/>
      <c r="AL1213" s="219"/>
      <c r="AM1213" s="219"/>
      <c r="AN1213" s="219"/>
      <c r="AO1213" s="116"/>
      <c r="AP1213" s="116"/>
      <c r="AU1213" s="332"/>
      <c r="AV1213" s="332"/>
      <c r="AW1213" s="332"/>
      <c r="AX1213" s="332"/>
      <c r="AY1213" s="332"/>
      <c r="AZ1213" s="332"/>
      <c r="BA1213" s="332"/>
      <c r="BB1213" s="31"/>
      <c r="BC1213" s="31"/>
      <c r="BD1213" s="31"/>
      <c r="BE1213" s="31"/>
    </row>
    <row r="1214" spans="1:57" ht="13">
      <c r="A1214" s="153"/>
      <c r="F1214" s="153"/>
      <c r="G1214" s="116"/>
      <c r="H1214" s="116"/>
      <c r="I1214" s="116"/>
      <c r="J1214" s="116"/>
      <c r="K1214" s="219"/>
      <c r="L1214" s="116"/>
      <c r="M1214" s="31"/>
      <c r="N1214" s="336"/>
      <c r="O1214" s="336"/>
      <c r="P1214" s="219"/>
      <c r="Q1214" s="332"/>
      <c r="R1214" s="219"/>
      <c r="S1214" s="332"/>
      <c r="T1214" s="219"/>
      <c r="U1214" s="332"/>
      <c r="V1214" s="332"/>
      <c r="W1214" s="370"/>
      <c r="X1214" s="370"/>
      <c r="Y1214" s="370"/>
      <c r="Z1214" s="370"/>
      <c r="AA1214" s="370"/>
      <c r="AB1214" s="370"/>
      <c r="AC1214" s="370"/>
      <c r="AD1214" s="370"/>
      <c r="AE1214" s="370"/>
      <c r="AF1214" s="370"/>
      <c r="AG1214" s="370"/>
      <c r="AH1214" s="370"/>
      <c r="AI1214" s="370"/>
      <c r="AJ1214" s="370"/>
      <c r="AL1214" s="219"/>
      <c r="AM1214" s="219"/>
      <c r="AN1214" s="219"/>
      <c r="AO1214" s="116"/>
      <c r="AP1214" s="116"/>
      <c r="AU1214" s="332"/>
      <c r="AV1214" s="332"/>
      <c r="AW1214" s="332"/>
      <c r="AX1214" s="332"/>
      <c r="AY1214" s="332"/>
      <c r="AZ1214" s="332"/>
      <c r="BA1214" s="332"/>
      <c r="BB1214" s="31"/>
      <c r="BC1214" s="31"/>
      <c r="BD1214" s="31"/>
      <c r="BE1214" s="31"/>
    </row>
    <row r="1215" spans="1:57" ht="13">
      <c r="A1215" s="153"/>
      <c r="F1215" s="153"/>
      <c r="G1215" s="116"/>
      <c r="H1215" s="116"/>
      <c r="I1215" s="116"/>
      <c r="J1215" s="116"/>
      <c r="K1215" s="219"/>
      <c r="L1215" s="116"/>
      <c r="M1215" s="31"/>
      <c r="N1215" s="336"/>
      <c r="O1215" s="336"/>
      <c r="P1215" s="219"/>
      <c r="Q1215" s="332"/>
      <c r="R1215" s="219"/>
      <c r="S1215" s="332"/>
      <c r="T1215" s="219"/>
      <c r="U1215" s="332"/>
      <c r="V1215" s="332"/>
      <c r="W1215" s="370"/>
      <c r="X1215" s="370"/>
      <c r="Y1215" s="370"/>
      <c r="Z1215" s="370"/>
      <c r="AA1215" s="370"/>
      <c r="AB1215" s="370"/>
      <c r="AC1215" s="370"/>
      <c r="AD1215" s="370"/>
      <c r="AE1215" s="370"/>
      <c r="AF1215" s="370"/>
      <c r="AG1215" s="370"/>
      <c r="AH1215" s="370"/>
      <c r="AI1215" s="370"/>
      <c r="AJ1215" s="370"/>
      <c r="AL1215" s="219"/>
      <c r="AM1215" s="219"/>
      <c r="AN1215" s="219"/>
      <c r="AO1215" s="116"/>
      <c r="AP1215" s="116"/>
      <c r="AU1215" s="332"/>
      <c r="AV1215" s="332"/>
      <c r="AW1215" s="332"/>
      <c r="AX1215" s="332"/>
      <c r="AY1215" s="332"/>
      <c r="AZ1215" s="332"/>
      <c r="BA1215" s="332"/>
      <c r="BB1215" s="31"/>
      <c r="BC1215" s="31"/>
      <c r="BD1215" s="31"/>
      <c r="BE1215" s="31"/>
    </row>
    <row r="1216" spans="1:57" ht="13">
      <c r="A1216" s="153"/>
      <c r="F1216" s="153"/>
      <c r="G1216" s="116"/>
      <c r="H1216" s="116"/>
      <c r="I1216" s="116"/>
      <c r="J1216" s="116"/>
      <c r="K1216" s="219"/>
      <c r="L1216" s="116"/>
      <c r="M1216" s="31"/>
      <c r="N1216" s="336"/>
      <c r="O1216" s="336"/>
      <c r="P1216" s="219"/>
      <c r="Q1216" s="332"/>
      <c r="R1216" s="219"/>
      <c r="S1216" s="332"/>
      <c r="T1216" s="219"/>
      <c r="U1216" s="332"/>
      <c r="V1216" s="332"/>
      <c r="W1216" s="370"/>
      <c r="X1216" s="370"/>
      <c r="Y1216" s="370"/>
      <c r="Z1216" s="370"/>
      <c r="AA1216" s="370"/>
      <c r="AB1216" s="370"/>
      <c r="AC1216" s="370"/>
      <c r="AD1216" s="370"/>
      <c r="AE1216" s="370"/>
      <c r="AF1216" s="370"/>
      <c r="AG1216" s="370"/>
      <c r="AH1216" s="370"/>
      <c r="AI1216" s="370"/>
      <c r="AJ1216" s="370"/>
      <c r="AL1216" s="219"/>
      <c r="AM1216" s="219"/>
      <c r="AN1216" s="219"/>
      <c r="AO1216" s="116"/>
      <c r="AP1216" s="116"/>
      <c r="AU1216" s="332"/>
      <c r="AV1216" s="332"/>
      <c r="AW1216" s="332"/>
      <c r="AX1216" s="332"/>
      <c r="AY1216" s="332"/>
      <c r="AZ1216" s="332"/>
      <c r="BA1216" s="332"/>
      <c r="BB1216" s="31"/>
      <c r="BC1216" s="31"/>
      <c r="BD1216" s="31"/>
      <c r="BE1216" s="31"/>
    </row>
    <row r="1217" spans="1:57" ht="13">
      <c r="A1217" s="153"/>
      <c r="F1217" s="153"/>
      <c r="G1217" s="116"/>
      <c r="H1217" s="116"/>
      <c r="I1217" s="116"/>
      <c r="J1217" s="116"/>
      <c r="K1217" s="219"/>
      <c r="L1217" s="116"/>
      <c r="M1217" s="31"/>
      <c r="N1217" s="336"/>
      <c r="O1217" s="336"/>
      <c r="P1217" s="219"/>
      <c r="Q1217" s="332"/>
      <c r="R1217" s="219"/>
      <c r="S1217" s="332"/>
      <c r="T1217" s="219"/>
      <c r="U1217" s="332"/>
      <c r="V1217" s="332"/>
      <c r="W1217" s="370"/>
      <c r="X1217" s="370"/>
      <c r="Y1217" s="370"/>
      <c r="Z1217" s="370"/>
      <c r="AA1217" s="370"/>
      <c r="AB1217" s="370"/>
      <c r="AC1217" s="370"/>
      <c r="AD1217" s="370"/>
      <c r="AE1217" s="370"/>
      <c r="AF1217" s="370"/>
      <c r="AG1217" s="370"/>
      <c r="AH1217" s="370"/>
      <c r="AI1217" s="370"/>
      <c r="AJ1217" s="370"/>
      <c r="AL1217" s="219"/>
      <c r="AM1217" s="219"/>
      <c r="AN1217" s="219"/>
      <c r="AO1217" s="116"/>
      <c r="AP1217" s="116"/>
      <c r="AU1217" s="332"/>
      <c r="AV1217" s="332"/>
      <c r="AW1217" s="332"/>
      <c r="AX1217" s="332"/>
      <c r="AY1217" s="332"/>
      <c r="AZ1217" s="332"/>
      <c r="BA1217" s="332"/>
      <c r="BB1217" s="31"/>
      <c r="BC1217" s="31"/>
      <c r="BD1217" s="31"/>
      <c r="BE1217" s="31"/>
    </row>
    <row r="1218" spans="1:57" ht="13">
      <c r="A1218" s="153"/>
      <c r="F1218" s="153"/>
      <c r="G1218" s="116"/>
      <c r="H1218" s="116"/>
      <c r="I1218" s="116"/>
      <c r="J1218" s="116"/>
      <c r="K1218" s="219"/>
      <c r="L1218" s="116"/>
      <c r="M1218" s="31"/>
      <c r="N1218" s="336"/>
      <c r="O1218" s="336"/>
      <c r="P1218" s="219"/>
      <c r="Q1218" s="332"/>
      <c r="R1218" s="219"/>
      <c r="S1218" s="332"/>
      <c r="T1218" s="219"/>
      <c r="U1218" s="332"/>
      <c r="V1218" s="332"/>
      <c r="W1218" s="370"/>
      <c r="X1218" s="370"/>
      <c r="Y1218" s="370"/>
      <c r="Z1218" s="370"/>
      <c r="AA1218" s="370"/>
      <c r="AB1218" s="370"/>
      <c r="AC1218" s="370"/>
      <c r="AD1218" s="370"/>
      <c r="AE1218" s="370"/>
      <c r="AF1218" s="370"/>
      <c r="AG1218" s="370"/>
      <c r="AH1218" s="370"/>
      <c r="AI1218" s="370"/>
      <c r="AJ1218" s="370"/>
      <c r="AL1218" s="219"/>
      <c r="AM1218" s="219"/>
      <c r="AN1218" s="219"/>
      <c r="AO1218" s="116"/>
      <c r="AP1218" s="116"/>
      <c r="AU1218" s="332"/>
      <c r="AV1218" s="332"/>
      <c r="AW1218" s="332"/>
      <c r="AX1218" s="332"/>
      <c r="AY1218" s="332"/>
      <c r="AZ1218" s="332"/>
      <c r="BA1218" s="332"/>
      <c r="BB1218" s="31"/>
      <c r="BC1218" s="31"/>
      <c r="BD1218" s="31"/>
      <c r="BE1218" s="31"/>
    </row>
    <row r="1219" spans="1:57" ht="13">
      <c r="A1219" s="153"/>
      <c r="F1219" s="153"/>
      <c r="G1219" s="116"/>
      <c r="H1219" s="116"/>
      <c r="I1219" s="116"/>
      <c r="J1219" s="116"/>
      <c r="K1219" s="219"/>
      <c r="L1219" s="116"/>
      <c r="M1219" s="31"/>
      <c r="N1219" s="336"/>
      <c r="O1219" s="336"/>
      <c r="P1219" s="219"/>
      <c r="Q1219" s="332"/>
      <c r="R1219" s="219"/>
      <c r="S1219" s="332"/>
      <c r="T1219" s="219"/>
      <c r="U1219" s="332"/>
      <c r="V1219" s="332"/>
      <c r="W1219" s="370"/>
      <c r="X1219" s="370"/>
      <c r="Y1219" s="370"/>
      <c r="Z1219" s="370"/>
      <c r="AA1219" s="370"/>
      <c r="AB1219" s="370"/>
      <c r="AC1219" s="370"/>
      <c r="AD1219" s="370"/>
      <c r="AE1219" s="370"/>
      <c r="AF1219" s="370"/>
      <c r="AG1219" s="370"/>
      <c r="AH1219" s="370"/>
      <c r="AI1219" s="370"/>
      <c r="AJ1219" s="370"/>
      <c r="AL1219" s="219"/>
      <c r="AM1219" s="219"/>
      <c r="AN1219" s="219"/>
      <c r="AO1219" s="116"/>
      <c r="AP1219" s="116"/>
      <c r="AU1219" s="332"/>
      <c r="AV1219" s="332"/>
      <c r="AW1219" s="332"/>
      <c r="AX1219" s="332"/>
      <c r="AY1219" s="332"/>
      <c r="AZ1219" s="332"/>
      <c r="BA1219" s="332"/>
      <c r="BB1219" s="31"/>
      <c r="BC1219" s="31"/>
      <c r="BD1219" s="31"/>
      <c r="BE1219" s="31"/>
    </row>
    <row r="1220" spans="1:57" ht="13">
      <c r="A1220" s="153"/>
      <c r="F1220" s="153"/>
      <c r="G1220" s="116"/>
      <c r="H1220" s="116"/>
      <c r="I1220" s="116"/>
      <c r="J1220" s="116"/>
      <c r="K1220" s="219"/>
      <c r="L1220" s="116"/>
      <c r="M1220" s="31"/>
      <c r="N1220" s="336"/>
      <c r="O1220" s="336"/>
      <c r="P1220" s="219"/>
      <c r="Q1220" s="332"/>
      <c r="R1220" s="219"/>
      <c r="S1220" s="332"/>
      <c r="T1220" s="219"/>
      <c r="U1220" s="332"/>
      <c r="V1220" s="332"/>
      <c r="W1220" s="370"/>
      <c r="X1220" s="370"/>
      <c r="Y1220" s="370"/>
      <c r="Z1220" s="370"/>
      <c r="AA1220" s="370"/>
      <c r="AB1220" s="370"/>
      <c r="AC1220" s="370"/>
      <c r="AD1220" s="370"/>
      <c r="AE1220" s="370"/>
      <c r="AF1220" s="370"/>
      <c r="AG1220" s="370"/>
      <c r="AH1220" s="370"/>
      <c r="AI1220" s="370"/>
      <c r="AJ1220" s="370"/>
      <c r="AL1220" s="219"/>
      <c r="AM1220" s="219"/>
      <c r="AN1220" s="219"/>
      <c r="AO1220" s="116"/>
      <c r="AP1220" s="116"/>
      <c r="AU1220" s="332"/>
      <c r="AV1220" s="332"/>
      <c r="AW1220" s="332"/>
      <c r="AX1220" s="332"/>
      <c r="AY1220" s="332"/>
      <c r="AZ1220" s="332"/>
      <c r="BA1220" s="332"/>
      <c r="BB1220" s="31"/>
      <c r="BC1220" s="31"/>
      <c r="BD1220" s="31"/>
      <c r="BE1220" s="31"/>
    </row>
    <row r="1221" spans="1:57" ht="13">
      <c r="A1221" s="153"/>
      <c r="F1221" s="153"/>
      <c r="G1221" s="116"/>
      <c r="H1221" s="116"/>
      <c r="I1221" s="116"/>
      <c r="J1221" s="116"/>
      <c r="K1221" s="219"/>
      <c r="L1221" s="116"/>
      <c r="M1221" s="31"/>
      <c r="N1221" s="336"/>
      <c r="O1221" s="336"/>
      <c r="P1221" s="219"/>
      <c r="Q1221" s="332"/>
      <c r="R1221" s="219"/>
      <c r="S1221" s="332"/>
      <c r="T1221" s="219"/>
      <c r="U1221" s="332"/>
      <c r="V1221" s="332"/>
      <c r="W1221" s="370"/>
      <c r="X1221" s="370"/>
      <c r="Y1221" s="370"/>
      <c r="Z1221" s="370"/>
      <c r="AA1221" s="370"/>
      <c r="AB1221" s="370"/>
      <c r="AC1221" s="370"/>
      <c r="AD1221" s="370"/>
      <c r="AE1221" s="370"/>
      <c r="AF1221" s="370"/>
      <c r="AG1221" s="370"/>
      <c r="AH1221" s="370"/>
      <c r="AI1221" s="370"/>
      <c r="AJ1221" s="370"/>
      <c r="AL1221" s="219"/>
      <c r="AM1221" s="219"/>
      <c r="AN1221" s="219"/>
      <c r="AO1221" s="116"/>
      <c r="AP1221" s="116"/>
      <c r="AU1221" s="332"/>
      <c r="AV1221" s="332"/>
      <c r="AW1221" s="332"/>
      <c r="AX1221" s="332"/>
      <c r="AY1221" s="332"/>
      <c r="AZ1221" s="332"/>
      <c r="BA1221" s="332"/>
      <c r="BB1221" s="31"/>
      <c r="BC1221" s="31"/>
      <c r="BD1221" s="31"/>
      <c r="BE1221" s="31"/>
    </row>
    <row r="1222" spans="1:57" ht="13">
      <c r="A1222" s="153"/>
      <c r="F1222" s="153"/>
      <c r="G1222" s="116"/>
      <c r="H1222" s="116"/>
      <c r="I1222" s="116"/>
      <c r="J1222" s="116"/>
      <c r="K1222" s="219"/>
      <c r="L1222" s="116"/>
      <c r="M1222" s="31"/>
      <c r="N1222" s="336"/>
      <c r="O1222" s="336"/>
      <c r="P1222" s="219"/>
      <c r="Q1222" s="332"/>
      <c r="R1222" s="219"/>
      <c r="S1222" s="332"/>
      <c r="T1222" s="219"/>
      <c r="U1222" s="332"/>
      <c r="V1222" s="332"/>
      <c r="W1222" s="370"/>
      <c r="X1222" s="370"/>
      <c r="Y1222" s="370"/>
      <c r="Z1222" s="370"/>
      <c r="AA1222" s="370"/>
      <c r="AB1222" s="370"/>
      <c r="AC1222" s="370"/>
      <c r="AD1222" s="370"/>
      <c r="AE1222" s="370"/>
      <c r="AF1222" s="370"/>
      <c r="AG1222" s="370"/>
      <c r="AH1222" s="370"/>
      <c r="AI1222" s="370"/>
      <c r="AJ1222" s="370"/>
      <c r="AL1222" s="219"/>
      <c r="AM1222" s="219"/>
      <c r="AN1222" s="219"/>
      <c r="AO1222" s="116"/>
      <c r="AP1222" s="116"/>
      <c r="AU1222" s="332"/>
      <c r="AV1222" s="332"/>
      <c r="AW1222" s="332"/>
      <c r="AX1222" s="332"/>
      <c r="AY1222" s="332"/>
      <c r="AZ1222" s="332"/>
      <c r="BA1222" s="332"/>
      <c r="BB1222" s="31"/>
      <c r="BC1222" s="31"/>
      <c r="BD1222" s="31"/>
      <c r="BE1222" s="31"/>
    </row>
    <row r="1223" spans="1:57" ht="13">
      <c r="A1223" s="153"/>
      <c r="F1223" s="153"/>
      <c r="G1223" s="116"/>
      <c r="H1223" s="116"/>
      <c r="I1223" s="116"/>
      <c r="J1223" s="116"/>
      <c r="K1223" s="219"/>
      <c r="L1223" s="116"/>
      <c r="M1223" s="31"/>
      <c r="N1223" s="336"/>
      <c r="O1223" s="336"/>
      <c r="P1223" s="219"/>
      <c r="Q1223" s="332"/>
      <c r="R1223" s="219"/>
      <c r="S1223" s="332"/>
      <c r="T1223" s="219"/>
      <c r="U1223" s="332"/>
      <c r="V1223" s="332"/>
      <c r="W1223" s="370"/>
      <c r="X1223" s="370"/>
      <c r="Y1223" s="370"/>
      <c r="Z1223" s="370"/>
      <c r="AA1223" s="370"/>
      <c r="AB1223" s="370"/>
      <c r="AC1223" s="370"/>
      <c r="AD1223" s="370"/>
      <c r="AE1223" s="370"/>
      <c r="AF1223" s="370"/>
      <c r="AG1223" s="370"/>
      <c r="AH1223" s="370"/>
      <c r="AI1223" s="370"/>
      <c r="AJ1223" s="370"/>
      <c r="AL1223" s="219"/>
      <c r="AM1223" s="219"/>
      <c r="AN1223" s="219"/>
      <c r="AO1223" s="116"/>
      <c r="AP1223" s="116"/>
      <c r="AU1223" s="332"/>
      <c r="AV1223" s="332"/>
      <c r="AW1223" s="332"/>
      <c r="AX1223" s="332"/>
      <c r="AY1223" s="332"/>
      <c r="AZ1223" s="332"/>
      <c r="BA1223" s="332"/>
      <c r="BB1223" s="31"/>
      <c r="BC1223" s="31"/>
      <c r="BD1223" s="31"/>
      <c r="BE1223" s="31"/>
    </row>
    <row r="1224" spans="1:57" ht="13">
      <c r="A1224" s="153"/>
      <c r="F1224" s="153"/>
      <c r="G1224" s="116"/>
      <c r="H1224" s="116"/>
      <c r="I1224" s="116"/>
      <c r="J1224" s="116"/>
      <c r="K1224" s="219"/>
      <c r="L1224" s="116"/>
      <c r="M1224" s="31"/>
      <c r="N1224" s="336"/>
      <c r="O1224" s="336"/>
      <c r="P1224" s="219"/>
      <c r="Q1224" s="332"/>
      <c r="R1224" s="219"/>
      <c r="S1224" s="332"/>
      <c r="T1224" s="219"/>
      <c r="U1224" s="332"/>
      <c r="V1224" s="332"/>
      <c r="W1224" s="370"/>
      <c r="X1224" s="370"/>
      <c r="Y1224" s="370"/>
      <c r="Z1224" s="370"/>
      <c r="AA1224" s="370"/>
      <c r="AB1224" s="370"/>
      <c r="AC1224" s="370"/>
      <c r="AD1224" s="370"/>
      <c r="AE1224" s="370"/>
      <c r="AF1224" s="370"/>
      <c r="AG1224" s="370"/>
      <c r="AH1224" s="370"/>
      <c r="AI1224" s="370"/>
      <c r="AJ1224" s="370"/>
      <c r="AL1224" s="219"/>
      <c r="AM1224" s="219"/>
      <c r="AN1224" s="219"/>
      <c r="AO1224" s="116"/>
      <c r="AP1224" s="116"/>
      <c r="AU1224" s="332"/>
      <c r="AV1224" s="332"/>
      <c r="AW1224" s="332"/>
      <c r="AX1224" s="332"/>
      <c r="AY1224" s="332"/>
      <c r="AZ1224" s="332"/>
      <c r="BA1224" s="332"/>
      <c r="BB1224" s="31"/>
      <c r="BC1224" s="31"/>
      <c r="BD1224" s="31"/>
      <c r="BE1224" s="31"/>
    </row>
    <row r="1225" spans="1:57" ht="13">
      <c r="A1225" s="153"/>
      <c r="F1225" s="153"/>
      <c r="G1225" s="116"/>
      <c r="H1225" s="116"/>
      <c r="I1225" s="116"/>
      <c r="J1225" s="116"/>
      <c r="K1225" s="219"/>
      <c r="L1225" s="116"/>
      <c r="M1225" s="31"/>
      <c r="N1225" s="336"/>
      <c r="O1225" s="336"/>
      <c r="P1225" s="219"/>
      <c r="Q1225" s="332"/>
      <c r="R1225" s="219"/>
      <c r="S1225" s="332"/>
      <c r="T1225" s="219"/>
      <c r="U1225" s="332"/>
      <c r="V1225" s="332"/>
      <c r="W1225" s="370"/>
      <c r="X1225" s="370"/>
      <c r="Y1225" s="370"/>
      <c r="Z1225" s="370"/>
      <c r="AA1225" s="370"/>
      <c r="AB1225" s="370"/>
      <c r="AC1225" s="370"/>
      <c r="AD1225" s="370"/>
      <c r="AE1225" s="370"/>
      <c r="AF1225" s="370"/>
      <c r="AG1225" s="370"/>
      <c r="AH1225" s="370"/>
      <c r="AI1225" s="370"/>
      <c r="AJ1225" s="370"/>
      <c r="AL1225" s="219"/>
      <c r="AM1225" s="219"/>
      <c r="AN1225" s="219"/>
      <c r="AO1225" s="116"/>
      <c r="AP1225" s="116"/>
      <c r="AU1225" s="332"/>
      <c r="AV1225" s="332"/>
      <c r="AW1225" s="332"/>
      <c r="AX1225" s="332"/>
      <c r="AY1225" s="332"/>
      <c r="AZ1225" s="332"/>
      <c r="BA1225" s="332"/>
      <c r="BB1225" s="31"/>
      <c r="BC1225" s="31"/>
      <c r="BD1225" s="31"/>
      <c r="BE1225" s="31"/>
    </row>
    <row r="1226" spans="1:57" ht="13">
      <c r="A1226" s="153"/>
      <c r="F1226" s="153"/>
      <c r="G1226" s="116"/>
      <c r="H1226" s="116"/>
      <c r="I1226" s="116"/>
      <c r="J1226" s="116"/>
      <c r="K1226" s="219"/>
      <c r="L1226" s="116"/>
      <c r="M1226" s="31"/>
      <c r="N1226" s="336"/>
      <c r="O1226" s="336"/>
      <c r="P1226" s="219"/>
      <c r="Q1226" s="332"/>
      <c r="R1226" s="219"/>
      <c r="S1226" s="332"/>
      <c r="T1226" s="219"/>
      <c r="U1226" s="332"/>
      <c r="V1226" s="332"/>
      <c r="W1226" s="370"/>
      <c r="X1226" s="370"/>
      <c r="Y1226" s="370"/>
      <c r="Z1226" s="370"/>
      <c r="AA1226" s="370"/>
      <c r="AB1226" s="370"/>
      <c r="AC1226" s="370"/>
      <c r="AD1226" s="370"/>
      <c r="AE1226" s="370"/>
      <c r="AF1226" s="370"/>
      <c r="AG1226" s="370"/>
      <c r="AH1226" s="370"/>
      <c r="AI1226" s="370"/>
      <c r="AJ1226" s="370"/>
      <c r="AL1226" s="219"/>
      <c r="AM1226" s="219"/>
      <c r="AN1226" s="219"/>
      <c r="AO1226" s="116"/>
      <c r="AP1226" s="116"/>
      <c r="AU1226" s="332"/>
      <c r="AV1226" s="332"/>
      <c r="AW1226" s="332"/>
      <c r="AX1226" s="332"/>
      <c r="AY1226" s="332"/>
      <c r="AZ1226" s="332"/>
      <c r="BA1226" s="332"/>
      <c r="BB1226" s="31"/>
      <c r="BC1226" s="31"/>
      <c r="BD1226" s="31"/>
      <c r="BE1226" s="31"/>
    </row>
    <row r="1227" spans="1:57" ht="13">
      <c r="A1227" s="153"/>
      <c r="F1227" s="153"/>
      <c r="G1227" s="116"/>
      <c r="H1227" s="116"/>
      <c r="I1227" s="116"/>
      <c r="J1227" s="116"/>
      <c r="K1227" s="219"/>
      <c r="L1227" s="116"/>
      <c r="M1227" s="31"/>
      <c r="N1227" s="336"/>
      <c r="O1227" s="336"/>
      <c r="P1227" s="219"/>
      <c r="Q1227" s="332"/>
      <c r="R1227" s="219"/>
      <c r="S1227" s="332"/>
      <c r="T1227" s="219"/>
      <c r="U1227" s="332"/>
      <c r="V1227" s="332"/>
      <c r="W1227" s="370"/>
      <c r="X1227" s="370"/>
      <c r="Y1227" s="370"/>
      <c r="Z1227" s="370"/>
      <c r="AA1227" s="370"/>
      <c r="AB1227" s="370"/>
      <c r="AC1227" s="370"/>
      <c r="AD1227" s="370"/>
      <c r="AE1227" s="370"/>
      <c r="AF1227" s="370"/>
      <c r="AG1227" s="370"/>
      <c r="AH1227" s="370"/>
      <c r="AI1227" s="370"/>
      <c r="AJ1227" s="370"/>
      <c r="AL1227" s="219"/>
      <c r="AM1227" s="219"/>
      <c r="AN1227" s="219"/>
      <c r="AO1227" s="116"/>
      <c r="AP1227" s="116"/>
      <c r="AU1227" s="332"/>
      <c r="AV1227" s="332"/>
      <c r="AW1227" s="332"/>
      <c r="AX1227" s="332"/>
      <c r="AY1227" s="332"/>
      <c r="AZ1227" s="332"/>
      <c r="BA1227" s="332"/>
      <c r="BB1227" s="31"/>
      <c r="BC1227" s="31"/>
      <c r="BD1227" s="31"/>
      <c r="BE1227" s="31"/>
    </row>
    <row r="1228" spans="1:57" ht="13">
      <c r="A1228" s="153"/>
      <c r="F1228" s="153"/>
      <c r="G1228" s="116"/>
      <c r="H1228" s="116"/>
      <c r="I1228" s="116"/>
      <c r="J1228" s="116"/>
      <c r="K1228" s="219"/>
      <c r="L1228" s="116"/>
      <c r="M1228" s="31"/>
      <c r="N1228" s="336"/>
      <c r="O1228" s="336"/>
      <c r="P1228" s="219"/>
      <c r="Q1228" s="332"/>
      <c r="R1228" s="219"/>
      <c r="S1228" s="332"/>
      <c r="T1228" s="219"/>
      <c r="U1228" s="332"/>
      <c r="V1228" s="332"/>
      <c r="W1228" s="370"/>
      <c r="X1228" s="370"/>
      <c r="Y1228" s="370"/>
      <c r="Z1228" s="370"/>
      <c r="AA1228" s="370"/>
      <c r="AB1228" s="370"/>
      <c r="AC1228" s="370"/>
      <c r="AD1228" s="370"/>
      <c r="AE1228" s="370"/>
      <c r="AF1228" s="370"/>
      <c r="AG1228" s="370"/>
      <c r="AH1228" s="370"/>
      <c r="AI1228" s="370"/>
      <c r="AJ1228" s="370"/>
      <c r="AL1228" s="219"/>
      <c r="AM1228" s="219"/>
      <c r="AN1228" s="219"/>
      <c r="AO1228" s="116"/>
      <c r="AP1228" s="116"/>
      <c r="AU1228" s="332"/>
      <c r="AV1228" s="332"/>
      <c r="AW1228" s="332"/>
      <c r="AX1228" s="332"/>
      <c r="AY1228" s="332"/>
      <c r="AZ1228" s="332"/>
      <c r="BA1228" s="332"/>
      <c r="BB1228" s="31"/>
      <c r="BC1228" s="31"/>
      <c r="BD1228" s="31"/>
      <c r="BE1228" s="31"/>
    </row>
    <row r="1229" spans="1:57" ht="13">
      <c r="A1229" s="153"/>
      <c r="F1229" s="153"/>
      <c r="G1229" s="116"/>
      <c r="H1229" s="116"/>
      <c r="I1229" s="116"/>
      <c r="J1229" s="116"/>
      <c r="K1229" s="219"/>
      <c r="L1229" s="116"/>
      <c r="M1229" s="31"/>
      <c r="N1229" s="336"/>
      <c r="O1229" s="336"/>
      <c r="P1229" s="219"/>
      <c r="Q1229" s="332"/>
      <c r="R1229" s="219"/>
      <c r="S1229" s="332"/>
      <c r="T1229" s="219"/>
      <c r="U1229" s="332"/>
      <c r="V1229" s="332"/>
      <c r="W1229" s="370"/>
      <c r="X1229" s="370"/>
      <c r="Y1229" s="370"/>
      <c r="Z1229" s="370"/>
      <c r="AA1229" s="370"/>
      <c r="AB1229" s="370"/>
      <c r="AC1229" s="370"/>
      <c r="AD1229" s="370"/>
      <c r="AE1229" s="370"/>
      <c r="AF1229" s="370"/>
      <c r="AG1229" s="370"/>
      <c r="AH1229" s="370"/>
      <c r="AI1229" s="370"/>
      <c r="AJ1229" s="370"/>
      <c r="AL1229" s="219"/>
      <c r="AM1229" s="219"/>
      <c r="AN1229" s="219"/>
      <c r="AO1229" s="116"/>
      <c r="AP1229" s="116"/>
      <c r="AU1229" s="332"/>
      <c r="AV1229" s="332"/>
      <c r="AW1229" s="332"/>
      <c r="AX1229" s="332"/>
      <c r="AY1229" s="332"/>
      <c r="AZ1229" s="332"/>
      <c r="BA1229" s="332"/>
      <c r="BB1229" s="31"/>
      <c r="BC1229" s="31"/>
      <c r="BD1229" s="31"/>
      <c r="BE1229" s="31"/>
    </row>
    <row r="1230" spans="1:57" ht="13">
      <c r="A1230" s="153"/>
      <c r="F1230" s="153"/>
      <c r="G1230" s="116"/>
      <c r="H1230" s="116"/>
      <c r="I1230" s="116"/>
      <c r="J1230" s="116"/>
      <c r="K1230" s="219"/>
      <c r="L1230" s="116"/>
      <c r="M1230" s="31"/>
      <c r="N1230" s="336"/>
      <c r="O1230" s="336"/>
      <c r="P1230" s="219"/>
      <c r="Q1230" s="332"/>
      <c r="R1230" s="219"/>
      <c r="S1230" s="332"/>
      <c r="T1230" s="219"/>
      <c r="U1230" s="332"/>
      <c r="V1230" s="332"/>
      <c r="W1230" s="370"/>
      <c r="X1230" s="370"/>
      <c r="Y1230" s="370"/>
      <c r="Z1230" s="370"/>
      <c r="AA1230" s="370"/>
      <c r="AB1230" s="370"/>
      <c r="AC1230" s="370"/>
      <c r="AD1230" s="370"/>
      <c r="AE1230" s="370"/>
      <c r="AF1230" s="370"/>
      <c r="AG1230" s="370"/>
      <c r="AH1230" s="370"/>
      <c r="AI1230" s="370"/>
      <c r="AJ1230" s="370"/>
      <c r="AL1230" s="219"/>
      <c r="AM1230" s="219"/>
      <c r="AN1230" s="219"/>
      <c r="AO1230" s="116"/>
      <c r="AP1230" s="116"/>
      <c r="AU1230" s="332"/>
      <c r="AV1230" s="332"/>
      <c r="AW1230" s="332"/>
      <c r="AX1230" s="332"/>
      <c r="AY1230" s="332"/>
      <c r="AZ1230" s="332"/>
      <c r="BA1230" s="332"/>
      <c r="BB1230" s="31"/>
      <c r="BC1230" s="31"/>
      <c r="BD1230" s="31"/>
      <c r="BE1230" s="31"/>
    </row>
    <row r="1231" spans="1:57" ht="13">
      <c r="A1231" s="153"/>
      <c r="F1231" s="153"/>
      <c r="G1231" s="116"/>
      <c r="H1231" s="116"/>
      <c r="I1231" s="116"/>
      <c r="J1231" s="116"/>
      <c r="K1231" s="219"/>
      <c r="L1231" s="116"/>
      <c r="M1231" s="31"/>
      <c r="N1231" s="336"/>
      <c r="O1231" s="336"/>
      <c r="P1231" s="219"/>
      <c r="Q1231" s="332"/>
      <c r="R1231" s="219"/>
      <c r="S1231" s="332"/>
      <c r="T1231" s="219"/>
      <c r="U1231" s="332"/>
      <c r="V1231" s="332"/>
      <c r="W1231" s="370"/>
      <c r="X1231" s="370"/>
      <c r="Y1231" s="370"/>
      <c r="Z1231" s="370"/>
      <c r="AA1231" s="370"/>
      <c r="AB1231" s="370"/>
      <c r="AC1231" s="370"/>
      <c r="AD1231" s="370"/>
      <c r="AE1231" s="370"/>
      <c r="AF1231" s="370"/>
      <c r="AG1231" s="370"/>
      <c r="AH1231" s="370"/>
      <c r="AI1231" s="370"/>
      <c r="AJ1231" s="370"/>
      <c r="AL1231" s="219"/>
      <c r="AM1231" s="219"/>
      <c r="AN1231" s="219"/>
      <c r="AO1231" s="116"/>
      <c r="AP1231" s="116"/>
      <c r="AU1231" s="332"/>
      <c r="AV1231" s="332"/>
      <c r="AW1231" s="332"/>
      <c r="AX1231" s="332"/>
      <c r="AY1231" s="332"/>
      <c r="AZ1231" s="332"/>
      <c r="BA1231" s="332"/>
      <c r="BB1231" s="31"/>
      <c r="BC1231" s="31"/>
      <c r="BD1231" s="31"/>
      <c r="BE1231" s="31"/>
    </row>
    <row r="1232" spans="1:57" ht="13">
      <c r="A1232" s="153"/>
      <c r="F1232" s="153"/>
      <c r="G1232" s="116"/>
      <c r="H1232" s="116"/>
      <c r="I1232" s="116"/>
      <c r="J1232" s="116"/>
      <c r="K1232" s="219"/>
      <c r="L1232" s="116"/>
      <c r="M1232" s="31"/>
      <c r="N1232" s="336"/>
      <c r="O1232" s="336"/>
      <c r="P1232" s="219"/>
      <c r="Q1232" s="332"/>
      <c r="R1232" s="219"/>
      <c r="S1232" s="332"/>
      <c r="T1232" s="219"/>
      <c r="U1232" s="332"/>
      <c r="V1232" s="332"/>
      <c r="W1232" s="370"/>
      <c r="X1232" s="370"/>
      <c r="Y1232" s="370"/>
      <c r="Z1232" s="370"/>
      <c r="AA1232" s="370"/>
      <c r="AB1232" s="370"/>
      <c r="AC1232" s="370"/>
      <c r="AD1232" s="370"/>
      <c r="AE1232" s="370"/>
      <c r="AF1232" s="370"/>
      <c r="AG1232" s="370"/>
      <c r="AH1232" s="370"/>
      <c r="AI1232" s="370"/>
      <c r="AJ1232" s="370"/>
      <c r="AL1232" s="219"/>
      <c r="AM1232" s="219"/>
      <c r="AN1232" s="219"/>
      <c r="AO1232" s="116"/>
      <c r="AP1232" s="116"/>
      <c r="AU1232" s="332"/>
      <c r="AV1232" s="332"/>
      <c r="AW1232" s="332"/>
      <c r="AX1232" s="332"/>
      <c r="AY1232" s="332"/>
      <c r="AZ1232" s="332"/>
      <c r="BA1232" s="332"/>
      <c r="BB1232" s="31"/>
      <c r="BC1232" s="31"/>
      <c r="BD1232" s="31"/>
      <c r="BE1232" s="31"/>
    </row>
    <row r="1233" spans="1:57" ht="13">
      <c r="A1233" s="153"/>
      <c r="F1233" s="153"/>
      <c r="G1233" s="116"/>
      <c r="H1233" s="116"/>
      <c r="I1233" s="116"/>
      <c r="J1233" s="116"/>
      <c r="K1233" s="219"/>
      <c r="L1233" s="116"/>
      <c r="M1233" s="31"/>
      <c r="N1233" s="336"/>
      <c r="O1233" s="336"/>
      <c r="P1233" s="219"/>
      <c r="Q1233" s="332"/>
      <c r="R1233" s="219"/>
      <c r="S1233" s="332"/>
      <c r="T1233" s="219"/>
      <c r="U1233" s="332"/>
      <c r="V1233" s="332"/>
      <c r="W1233" s="370"/>
      <c r="X1233" s="370"/>
      <c r="Y1233" s="370"/>
      <c r="Z1233" s="370"/>
      <c r="AA1233" s="370"/>
      <c r="AB1233" s="370"/>
      <c r="AC1233" s="370"/>
      <c r="AD1233" s="370"/>
      <c r="AE1233" s="370"/>
      <c r="AF1233" s="370"/>
      <c r="AG1233" s="370"/>
      <c r="AH1233" s="370"/>
      <c r="AI1233" s="370"/>
      <c r="AJ1233" s="370"/>
      <c r="AL1233" s="219"/>
      <c r="AM1233" s="219"/>
      <c r="AN1233" s="219"/>
      <c r="AO1233" s="116"/>
      <c r="AP1233" s="116"/>
      <c r="AU1233" s="332"/>
      <c r="AV1233" s="332"/>
      <c r="AW1233" s="332"/>
      <c r="AX1233" s="332"/>
      <c r="AY1233" s="332"/>
      <c r="AZ1233" s="332"/>
      <c r="BA1233" s="332"/>
      <c r="BB1233" s="31"/>
      <c r="BC1233" s="31"/>
      <c r="BD1233" s="31"/>
      <c r="BE1233" s="31"/>
    </row>
    <row r="1234" spans="1:57" ht="13">
      <c r="A1234" s="153"/>
      <c r="F1234" s="153"/>
      <c r="G1234" s="116"/>
      <c r="H1234" s="116"/>
      <c r="I1234" s="116"/>
      <c r="J1234" s="116"/>
      <c r="K1234" s="219"/>
      <c r="L1234" s="116"/>
      <c r="M1234" s="31"/>
      <c r="N1234" s="336"/>
      <c r="O1234" s="336"/>
      <c r="P1234" s="219"/>
      <c r="Q1234" s="332"/>
      <c r="R1234" s="219"/>
      <c r="S1234" s="332"/>
      <c r="T1234" s="219"/>
      <c r="U1234" s="332"/>
      <c r="V1234" s="332"/>
      <c r="W1234" s="370"/>
      <c r="X1234" s="370"/>
      <c r="Y1234" s="370"/>
      <c r="Z1234" s="370"/>
      <c r="AA1234" s="370"/>
      <c r="AB1234" s="370"/>
      <c r="AC1234" s="370"/>
      <c r="AD1234" s="370"/>
      <c r="AE1234" s="370"/>
      <c r="AF1234" s="370"/>
      <c r="AG1234" s="370"/>
      <c r="AH1234" s="370"/>
      <c r="AI1234" s="370"/>
      <c r="AJ1234" s="370"/>
      <c r="AL1234" s="219"/>
      <c r="AM1234" s="219"/>
      <c r="AN1234" s="219"/>
      <c r="AO1234" s="116"/>
      <c r="AP1234" s="116"/>
      <c r="AU1234" s="332"/>
      <c r="AV1234" s="332"/>
      <c r="AW1234" s="332"/>
      <c r="AX1234" s="332"/>
      <c r="AY1234" s="332"/>
      <c r="AZ1234" s="332"/>
      <c r="BA1234" s="332"/>
      <c r="BB1234" s="31"/>
      <c r="BC1234" s="31"/>
      <c r="BD1234" s="31"/>
      <c r="BE1234" s="31"/>
    </row>
    <row r="1235" spans="1:57" ht="13">
      <c r="A1235" s="153"/>
      <c r="F1235" s="153"/>
      <c r="G1235" s="116"/>
      <c r="H1235" s="116"/>
      <c r="I1235" s="116"/>
      <c r="J1235" s="116"/>
      <c r="K1235" s="219"/>
      <c r="L1235" s="116"/>
      <c r="M1235" s="31"/>
      <c r="N1235" s="336"/>
      <c r="O1235" s="336"/>
      <c r="P1235" s="219"/>
      <c r="Q1235" s="332"/>
      <c r="R1235" s="219"/>
      <c r="S1235" s="332"/>
      <c r="T1235" s="219"/>
      <c r="U1235" s="332"/>
      <c r="V1235" s="332"/>
      <c r="W1235" s="370"/>
      <c r="X1235" s="370"/>
      <c r="Y1235" s="370"/>
      <c r="Z1235" s="370"/>
      <c r="AA1235" s="370"/>
      <c r="AB1235" s="370"/>
      <c r="AC1235" s="370"/>
      <c r="AD1235" s="370"/>
      <c r="AE1235" s="370"/>
      <c r="AF1235" s="370"/>
      <c r="AG1235" s="370"/>
      <c r="AH1235" s="370"/>
      <c r="AI1235" s="370"/>
      <c r="AJ1235" s="370"/>
      <c r="AL1235" s="219"/>
      <c r="AM1235" s="219"/>
      <c r="AN1235" s="219"/>
      <c r="AO1235" s="116"/>
      <c r="AP1235" s="116"/>
      <c r="AU1235" s="332"/>
      <c r="AV1235" s="332"/>
      <c r="AW1235" s="332"/>
      <c r="AX1235" s="332"/>
      <c r="AY1235" s="332"/>
      <c r="AZ1235" s="332"/>
      <c r="BA1235" s="332"/>
      <c r="BB1235" s="31"/>
      <c r="BC1235" s="31"/>
      <c r="BD1235" s="31"/>
      <c r="BE1235" s="31"/>
    </row>
    <row r="1236" spans="1:57" ht="13">
      <c r="A1236" s="153"/>
      <c r="F1236" s="153"/>
      <c r="G1236" s="116"/>
      <c r="H1236" s="116"/>
      <c r="I1236" s="116"/>
      <c r="J1236" s="116"/>
      <c r="K1236" s="219"/>
      <c r="L1236" s="116"/>
      <c r="M1236" s="31"/>
      <c r="N1236" s="336"/>
      <c r="O1236" s="336"/>
      <c r="P1236" s="219"/>
      <c r="Q1236" s="332"/>
      <c r="R1236" s="219"/>
      <c r="S1236" s="332"/>
      <c r="T1236" s="219"/>
      <c r="U1236" s="332"/>
      <c r="V1236" s="332"/>
      <c r="W1236" s="370"/>
      <c r="X1236" s="370"/>
      <c r="Y1236" s="370"/>
      <c r="Z1236" s="370"/>
      <c r="AA1236" s="370"/>
      <c r="AB1236" s="370"/>
      <c r="AC1236" s="370"/>
      <c r="AD1236" s="370"/>
      <c r="AE1236" s="370"/>
      <c r="AF1236" s="370"/>
      <c r="AG1236" s="370"/>
      <c r="AH1236" s="370"/>
      <c r="AI1236" s="370"/>
      <c r="AJ1236" s="370"/>
      <c r="AL1236" s="219"/>
      <c r="AM1236" s="219"/>
      <c r="AN1236" s="219"/>
      <c r="AO1236" s="116"/>
      <c r="AP1236" s="116"/>
      <c r="AU1236" s="332"/>
      <c r="AV1236" s="332"/>
      <c r="AW1236" s="332"/>
      <c r="AX1236" s="332"/>
      <c r="AY1236" s="332"/>
      <c r="AZ1236" s="332"/>
      <c r="BA1236" s="332"/>
      <c r="BB1236" s="31"/>
      <c r="BC1236" s="31"/>
      <c r="BD1236" s="31"/>
      <c r="BE1236" s="31"/>
    </row>
    <row r="1237" spans="1:57" ht="13">
      <c r="A1237" s="153"/>
      <c r="F1237" s="153"/>
      <c r="G1237" s="116"/>
      <c r="H1237" s="116"/>
      <c r="I1237" s="116"/>
      <c r="J1237" s="116"/>
      <c r="K1237" s="219"/>
      <c r="L1237" s="116"/>
      <c r="M1237" s="31"/>
      <c r="N1237" s="336"/>
      <c r="O1237" s="336"/>
      <c r="P1237" s="219"/>
      <c r="Q1237" s="332"/>
      <c r="R1237" s="219"/>
      <c r="S1237" s="332"/>
      <c r="T1237" s="219"/>
      <c r="U1237" s="332"/>
      <c r="V1237" s="332"/>
      <c r="W1237" s="370"/>
      <c r="X1237" s="370"/>
      <c r="Y1237" s="370"/>
      <c r="Z1237" s="370"/>
      <c r="AA1237" s="370"/>
      <c r="AB1237" s="370"/>
      <c r="AC1237" s="370"/>
      <c r="AD1237" s="370"/>
      <c r="AE1237" s="370"/>
      <c r="AF1237" s="370"/>
      <c r="AG1237" s="370"/>
      <c r="AH1237" s="370"/>
      <c r="AI1237" s="370"/>
      <c r="AJ1237" s="370"/>
      <c r="AL1237" s="219"/>
      <c r="AM1237" s="219"/>
      <c r="AN1237" s="219"/>
      <c r="AO1237" s="116"/>
      <c r="AP1237" s="116"/>
      <c r="AU1237" s="332"/>
      <c r="AV1237" s="332"/>
      <c r="AW1237" s="332"/>
      <c r="AX1237" s="332"/>
      <c r="AY1237" s="332"/>
      <c r="AZ1237" s="332"/>
      <c r="BA1237" s="332"/>
      <c r="BB1237" s="31"/>
      <c r="BC1237" s="31"/>
      <c r="BD1237" s="31"/>
      <c r="BE1237" s="31"/>
    </row>
    <row r="1238" spans="1:57" ht="13">
      <c r="A1238" s="153"/>
      <c r="F1238" s="153"/>
      <c r="G1238" s="116"/>
      <c r="H1238" s="116"/>
      <c r="I1238" s="116"/>
      <c r="J1238" s="116"/>
      <c r="K1238" s="219"/>
      <c r="L1238" s="116"/>
      <c r="M1238" s="31"/>
      <c r="N1238" s="336"/>
      <c r="O1238" s="336"/>
      <c r="P1238" s="219"/>
      <c r="Q1238" s="332"/>
      <c r="R1238" s="219"/>
      <c r="S1238" s="332"/>
      <c r="T1238" s="219"/>
      <c r="U1238" s="332"/>
      <c r="V1238" s="332"/>
      <c r="W1238" s="370"/>
      <c r="X1238" s="370"/>
      <c r="Y1238" s="370"/>
      <c r="Z1238" s="370"/>
      <c r="AA1238" s="370"/>
      <c r="AB1238" s="370"/>
      <c r="AC1238" s="370"/>
      <c r="AD1238" s="370"/>
      <c r="AE1238" s="370"/>
      <c r="AF1238" s="370"/>
      <c r="AG1238" s="370"/>
      <c r="AH1238" s="370"/>
      <c r="AI1238" s="370"/>
      <c r="AJ1238" s="370"/>
      <c r="AL1238" s="219"/>
      <c r="AM1238" s="219"/>
      <c r="AN1238" s="219"/>
      <c r="AO1238" s="116"/>
      <c r="AP1238" s="116"/>
      <c r="AU1238" s="332"/>
      <c r="AV1238" s="332"/>
      <c r="AW1238" s="332"/>
      <c r="AX1238" s="332"/>
      <c r="AY1238" s="332"/>
      <c r="AZ1238" s="332"/>
      <c r="BA1238" s="332"/>
      <c r="BB1238" s="31"/>
      <c r="BC1238" s="31"/>
      <c r="BD1238" s="31"/>
      <c r="BE1238" s="31"/>
    </row>
    <row r="1239" spans="1:57" ht="13">
      <c r="A1239" s="153"/>
      <c r="F1239" s="153"/>
      <c r="G1239" s="116"/>
      <c r="H1239" s="116"/>
      <c r="I1239" s="116"/>
      <c r="J1239" s="116"/>
      <c r="K1239" s="219"/>
      <c r="L1239" s="116"/>
      <c r="M1239" s="31"/>
      <c r="N1239" s="336"/>
      <c r="O1239" s="336"/>
      <c r="P1239" s="219"/>
      <c r="Q1239" s="332"/>
      <c r="R1239" s="219"/>
      <c r="S1239" s="332"/>
      <c r="T1239" s="219"/>
      <c r="U1239" s="332"/>
      <c r="V1239" s="332"/>
      <c r="W1239" s="370"/>
      <c r="X1239" s="370"/>
      <c r="Y1239" s="370"/>
      <c r="Z1239" s="370"/>
      <c r="AA1239" s="370"/>
      <c r="AB1239" s="370"/>
      <c r="AC1239" s="370"/>
      <c r="AD1239" s="370"/>
      <c r="AE1239" s="370"/>
      <c r="AF1239" s="370"/>
      <c r="AG1239" s="370"/>
      <c r="AH1239" s="370"/>
      <c r="AI1239" s="370"/>
      <c r="AJ1239" s="370"/>
      <c r="AL1239" s="219"/>
      <c r="AM1239" s="219"/>
      <c r="AN1239" s="219"/>
      <c r="AO1239" s="116"/>
      <c r="AP1239" s="116"/>
      <c r="AU1239" s="332"/>
      <c r="AV1239" s="332"/>
      <c r="AW1239" s="332"/>
      <c r="AX1239" s="332"/>
      <c r="AY1239" s="332"/>
      <c r="AZ1239" s="332"/>
      <c r="BA1239" s="332"/>
      <c r="BB1239" s="31"/>
      <c r="BC1239" s="31"/>
      <c r="BD1239" s="31"/>
      <c r="BE1239" s="31"/>
    </row>
    <row r="1240" spans="1:57" ht="13">
      <c r="A1240" s="153"/>
      <c r="F1240" s="153"/>
      <c r="G1240" s="116"/>
      <c r="H1240" s="116"/>
      <c r="I1240" s="116"/>
      <c r="J1240" s="116"/>
      <c r="K1240" s="219"/>
      <c r="L1240" s="116"/>
      <c r="M1240" s="31"/>
      <c r="N1240" s="336"/>
      <c r="O1240" s="336"/>
      <c r="P1240" s="219"/>
      <c r="Q1240" s="332"/>
      <c r="R1240" s="219"/>
      <c r="S1240" s="332"/>
      <c r="T1240" s="219"/>
      <c r="U1240" s="332"/>
      <c r="V1240" s="332"/>
      <c r="W1240" s="370"/>
      <c r="X1240" s="370"/>
      <c r="Y1240" s="370"/>
      <c r="Z1240" s="370"/>
      <c r="AA1240" s="370"/>
      <c r="AB1240" s="370"/>
      <c r="AC1240" s="370"/>
      <c r="AD1240" s="370"/>
      <c r="AE1240" s="370"/>
      <c r="AF1240" s="370"/>
      <c r="AG1240" s="370"/>
      <c r="AH1240" s="370"/>
      <c r="AI1240" s="370"/>
      <c r="AJ1240" s="370"/>
      <c r="AL1240" s="219"/>
      <c r="AM1240" s="219"/>
      <c r="AN1240" s="219"/>
      <c r="AO1240" s="116"/>
      <c r="AP1240" s="116"/>
      <c r="AU1240" s="332"/>
      <c r="AV1240" s="332"/>
      <c r="AW1240" s="332"/>
      <c r="AX1240" s="332"/>
      <c r="AY1240" s="332"/>
      <c r="AZ1240" s="332"/>
      <c r="BA1240" s="332"/>
      <c r="BB1240" s="31"/>
      <c r="BC1240" s="31"/>
      <c r="BD1240" s="31"/>
      <c r="BE1240" s="31"/>
    </row>
    <row r="1241" spans="1:57" ht="13">
      <c r="A1241" s="153"/>
      <c r="F1241" s="153"/>
      <c r="G1241" s="116"/>
      <c r="H1241" s="116"/>
      <c r="I1241" s="116"/>
      <c r="J1241" s="116"/>
      <c r="K1241" s="219"/>
      <c r="L1241" s="116"/>
      <c r="M1241" s="31"/>
      <c r="N1241" s="336"/>
      <c r="O1241" s="336"/>
      <c r="P1241" s="219"/>
      <c r="Q1241" s="332"/>
      <c r="R1241" s="219"/>
      <c r="S1241" s="332"/>
      <c r="T1241" s="219"/>
      <c r="U1241" s="332"/>
      <c r="V1241" s="332"/>
      <c r="W1241" s="370"/>
      <c r="X1241" s="370"/>
      <c r="Y1241" s="370"/>
      <c r="Z1241" s="370"/>
      <c r="AA1241" s="370"/>
      <c r="AB1241" s="370"/>
      <c r="AC1241" s="370"/>
      <c r="AD1241" s="370"/>
      <c r="AE1241" s="370"/>
      <c r="AF1241" s="370"/>
      <c r="AG1241" s="370"/>
      <c r="AH1241" s="370"/>
      <c r="AI1241" s="370"/>
      <c r="AJ1241" s="370"/>
      <c r="AL1241" s="219"/>
      <c r="AM1241" s="219"/>
      <c r="AN1241" s="219"/>
      <c r="AO1241" s="116"/>
      <c r="AP1241" s="116"/>
      <c r="AU1241" s="332"/>
      <c r="AV1241" s="332"/>
      <c r="AW1241" s="332"/>
      <c r="AX1241" s="332"/>
      <c r="AY1241" s="332"/>
      <c r="AZ1241" s="332"/>
      <c r="BA1241" s="332"/>
      <c r="BB1241" s="31"/>
      <c r="BC1241" s="31"/>
      <c r="BD1241" s="31"/>
      <c r="BE1241" s="31"/>
    </row>
    <row r="1242" spans="1:57" ht="13">
      <c r="A1242" s="153"/>
      <c r="F1242" s="153"/>
      <c r="G1242" s="116"/>
      <c r="H1242" s="116"/>
      <c r="I1242" s="116"/>
      <c r="J1242" s="116"/>
      <c r="K1242" s="219"/>
      <c r="L1242" s="116"/>
      <c r="M1242" s="31"/>
      <c r="N1242" s="336"/>
      <c r="O1242" s="336"/>
      <c r="P1242" s="219"/>
      <c r="Q1242" s="332"/>
      <c r="R1242" s="219"/>
      <c r="S1242" s="332"/>
      <c r="T1242" s="219"/>
      <c r="U1242" s="332"/>
      <c r="V1242" s="332"/>
      <c r="W1242" s="370"/>
      <c r="X1242" s="370"/>
      <c r="Y1242" s="370"/>
      <c r="Z1242" s="370"/>
      <c r="AA1242" s="370"/>
      <c r="AB1242" s="370"/>
      <c r="AC1242" s="370"/>
      <c r="AD1242" s="370"/>
      <c r="AE1242" s="370"/>
      <c r="AF1242" s="370"/>
      <c r="AG1242" s="370"/>
      <c r="AH1242" s="370"/>
      <c r="AI1242" s="370"/>
      <c r="AJ1242" s="370"/>
      <c r="AL1242" s="219"/>
      <c r="AM1242" s="219"/>
      <c r="AN1242" s="219"/>
      <c r="AO1242" s="116"/>
      <c r="AP1242" s="116"/>
      <c r="AU1242" s="332"/>
      <c r="AV1242" s="332"/>
      <c r="AW1242" s="332"/>
      <c r="AX1242" s="332"/>
      <c r="AY1242" s="332"/>
      <c r="AZ1242" s="332"/>
      <c r="BA1242" s="332"/>
      <c r="BB1242" s="31"/>
      <c r="BC1242" s="31"/>
      <c r="BD1242" s="31"/>
      <c r="BE1242" s="31"/>
    </row>
    <row r="1243" spans="1:57" ht="13">
      <c r="A1243" s="153"/>
      <c r="F1243" s="153"/>
      <c r="G1243" s="116"/>
      <c r="H1243" s="116"/>
      <c r="I1243" s="116"/>
      <c r="J1243" s="116"/>
      <c r="K1243" s="219"/>
      <c r="L1243" s="116"/>
      <c r="M1243" s="31"/>
      <c r="N1243" s="336"/>
      <c r="O1243" s="336"/>
      <c r="P1243" s="219"/>
      <c r="Q1243" s="332"/>
      <c r="R1243" s="219"/>
      <c r="S1243" s="332"/>
      <c r="T1243" s="219"/>
      <c r="U1243" s="332"/>
      <c r="V1243" s="332"/>
      <c r="W1243" s="370"/>
      <c r="X1243" s="370"/>
      <c r="Y1243" s="370"/>
      <c r="Z1243" s="370"/>
      <c r="AA1243" s="370"/>
      <c r="AB1243" s="370"/>
      <c r="AC1243" s="370"/>
      <c r="AD1243" s="370"/>
      <c r="AE1243" s="370"/>
      <c r="AF1243" s="370"/>
      <c r="AG1243" s="370"/>
      <c r="AH1243" s="370"/>
      <c r="AI1243" s="370"/>
      <c r="AJ1243" s="370"/>
      <c r="AL1243" s="219"/>
      <c r="AM1243" s="219"/>
      <c r="AN1243" s="219"/>
      <c r="AO1243" s="116"/>
      <c r="AP1243" s="116"/>
      <c r="AU1243" s="332"/>
      <c r="AV1243" s="332"/>
      <c r="AW1243" s="332"/>
      <c r="AX1243" s="332"/>
      <c r="AY1243" s="332"/>
      <c r="AZ1243" s="332"/>
      <c r="BA1243" s="332"/>
      <c r="BB1243" s="31"/>
      <c r="BC1243" s="31"/>
      <c r="BD1243" s="31"/>
      <c r="BE1243" s="31"/>
    </row>
    <row r="1244" spans="1:57" ht="13">
      <c r="A1244" s="153"/>
      <c r="F1244" s="153"/>
      <c r="G1244" s="116"/>
      <c r="H1244" s="116"/>
      <c r="I1244" s="116"/>
      <c r="J1244" s="116"/>
      <c r="K1244" s="219"/>
      <c r="L1244" s="116"/>
      <c r="M1244" s="31"/>
      <c r="N1244" s="336"/>
      <c r="O1244" s="336"/>
      <c r="P1244" s="219"/>
      <c r="Q1244" s="332"/>
      <c r="R1244" s="219"/>
      <c r="S1244" s="332"/>
      <c r="T1244" s="219"/>
      <c r="U1244" s="332"/>
      <c r="V1244" s="332"/>
      <c r="W1244" s="370"/>
      <c r="X1244" s="370"/>
      <c r="Y1244" s="370"/>
      <c r="Z1244" s="370"/>
      <c r="AA1244" s="370"/>
      <c r="AB1244" s="370"/>
      <c r="AC1244" s="370"/>
      <c r="AD1244" s="370"/>
      <c r="AE1244" s="370"/>
      <c r="AF1244" s="370"/>
      <c r="AG1244" s="370"/>
      <c r="AH1244" s="370"/>
      <c r="AI1244" s="370"/>
      <c r="AJ1244" s="370"/>
      <c r="AL1244" s="219"/>
      <c r="AM1244" s="219"/>
      <c r="AN1244" s="219"/>
      <c r="AO1244" s="116"/>
      <c r="AP1244" s="116"/>
      <c r="AU1244" s="332"/>
      <c r="AV1244" s="332"/>
      <c r="AW1244" s="332"/>
      <c r="AX1244" s="332"/>
      <c r="AY1244" s="332"/>
      <c r="AZ1244" s="332"/>
      <c r="BA1244" s="332"/>
      <c r="BB1244" s="31"/>
      <c r="BC1244" s="31"/>
      <c r="BD1244" s="31"/>
      <c r="BE1244" s="31"/>
    </row>
    <row r="1245" spans="1:57" ht="13">
      <c r="A1245" s="153"/>
      <c r="F1245" s="153"/>
      <c r="G1245" s="116"/>
      <c r="H1245" s="116"/>
      <c r="I1245" s="116"/>
      <c r="J1245" s="116"/>
      <c r="K1245" s="219"/>
      <c r="L1245" s="116"/>
      <c r="M1245" s="31"/>
      <c r="N1245" s="336"/>
      <c r="O1245" s="336"/>
      <c r="P1245" s="219"/>
      <c r="Q1245" s="332"/>
      <c r="R1245" s="219"/>
      <c r="S1245" s="332"/>
      <c r="T1245" s="219"/>
      <c r="U1245" s="332"/>
      <c r="V1245" s="332"/>
      <c r="W1245" s="370"/>
      <c r="X1245" s="370"/>
      <c r="Y1245" s="370"/>
      <c r="Z1245" s="370"/>
      <c r="AA1245" s="370"/>
      <c r="AB1245" s="370"/>
      <c r="AC1245" s="370"/>
      <c r="AD1245" s="370"/>
      <c r="AE1245" s="370"/>
      <c r="AF1245" s="370"/>
      <c r="AG1245" s="370"/>
      <c r="AH1245" s="370"/>
      <c r="AI1245" s="370"/>
      <c r="AJ1245" s="370"/>
      <c r="AL1245" s="219"/>
      <c r="AM1245" s="219"/>
      <c r="AN1245" s="219"/>
      <c r="AO1245" s="116"/>
      <c r="AP1245" s="116"/>
      <c r="AU1245" s="332"/>
      <c r="AV1245" s="332"/>
      <c r="AW1245" s="332"/>
      <c r="AX1245" s="332"/>
      <c r="AY1245" s="332"/>
      <c r="AZ1245" s="332"/>
      <c r="BA1245" s="332"/>
      <c r="BB1245" s="31"/>
      <c r="BC1245" s="31"/>
      <c r="BD1245" s="31"/>
      <c r="BE1245" s="31"/>
    </row>
    <row r="1246" spans="1:57" ht="13">
      <c r="A1246" s="153"/>
      <c r="F1246" s="153"/>
      <c r="G1246" s="116"/>
      <c r="H1246" s="116"/>
      <c r="I1246" s="116"/>
      <c r="J1246" s="116"/>
      <c r="K1246" s="219"/>
      <c r="L1246" s="116"/>
      <c r="M1246" s="31"/>
      <c r="N1246" s="336"/>
      <c r="O1246" s="336"/>
      <c r="P1246" s="219"/>
      <c r="Q1246" s="332"/>
      <c r="R1246" s="219"/>
      <c r="S1246" s="332"/>
      <c r="T1246" s="219"/>
      <c r="U1246" s="332"/>
      <c r="V1246" s="332"/>
      <c r="W1246" s="370"/>
      <c r="X1246" s="370"/>
      <c r="Y1246" s="370"/>
      <c r="Z1246" s="370"/>
      <c r="AA1246" s="370"/>
      <c r="AB1246" s="370"/>
      <c r="AC1246" s="370"/>
      <c r="AD1246" s="370"/>
      <c r="AE1246" s="370"/>
      <c r="AF1246" s="370"/>
      <c r="AG1246" s="370"/>
      <c r="AH1246" s="370"/>
      <c r="AI1246" s="370"/>
      <c r="AJ1246" s="370"/>
      <c r="AL1246" s="219"/>
      <c r="AM1246" s="219"/>
      <c r="AN1246" s="219"/>
      <c r="AO1246" s="116"/>
      <c r="AP1246" s="116"/>
      <c r="AU1246" s="332"/>
      <c r="AV1246" s="332"/>
      <c r="AW1246" s="332"/>
      <c r="AX1246" s="332"/>
      <c r="AY1246" s="332"/>
      <c r="AZ1246" s="332"/>
      <c r="BA1246" s="332"/>
      <c r="BB1246" s="31"/>
      <c r="BC1246" s="31"/>
      <c r="BD1246" s="31"/>
      <c r="BE1246" s="31"/>
    </row>
    <row r="1247" spans="1:57" ht="13">
      <c r="A1247" s="153"/>
      <c r="F1247" s="153"/>
      <c r="G1247" s="116"/>
      <c r="H1247" s="116"/>
      <c r="I1247" s="116"/>
      <c r="J1247" s="116"/>
      <c r="K1247" s="219"/>
      <c r="L1247" s="116"/>
      <c r="M1247" s="31"/>
      <c r="N1247" s="336"/>
      <c r="O1247" s="336"/>
      <c r="P1247" s="219"/>
      <c r="Q1247" s="332"/>
      <c r="R1247" s="219"/>
      <c r="S1247" s="332"/>
      <c r="T1247" s="219"/>
      <c r="U1247" s="332"/>
      <c r="V1247" s="332"/>
      <c r="W1247" s="370"/>
      <c r="X1247" s="370"/>
      <c r="Y1247" s="370"/>
      <c r="Z1247" s="370"/>
      <c r="AA1247" s="370"/>
      <c r="AB1247" s="370"/>
      <c r="AC1247" s="370"/>
      <c r="AD1247" s="370"/>
      <c r="AE1247" s="370"/>
      <c r="AF1247" s="370"/>
      <c r="AG1247" s="370"/>
      <c r="AH1247" s="370"/>
      <c r="AI1247" s="370"/>
      <c r="AJ1247" s="370"/>
      <c r="AL1247" s="219"/>
      <c r="AM1247" s="219"/>
      <c r="AN1247" s="219"/>
      <c r="AO1247" s="116"/>
      <c r="AP1247" s="116"/>
      <c r="AU1247" s="332"/>
      <c r="AV1247" s="332"/>
      <c r="AW1247" s="332"/>
      <c r="AX1247" s="332"/>
      <c r="AY1247" s="332"/>
      <c r="AZ1247" s="332"/>
      <c r="BA1247" s="332"/>
      <c r="BB1247" s="31"/>
      <c r="BC1247" s="31"/>
      <c r="BD1247" s="31"/>
      <c r="BE1247" s="31"/>
    </row>
    <row r="1248" spans="1:57" ht="13">
      <c r="A1248" s="153"/>
      <c r="F1248" s="153"/>
      <c r="G1248" s="116"/>
      <c r="H1248" s="116"/>
      <c r="I1248" s="116"/>
      <c r="J1248" s="116"/>
      <c r="K1248" s="219"/>
      <c r="L1248" s="116"/>
      <c r="M1248" s="31"/>
      <c r="N1248" s="336"/>
      <c r="O1248" s="336"/>
      <c r="P1248" s="219"/>
      <c r="Q1248" s="332"/>
      <c r="R1248" s="219"/>
      <c r="S1248" s="332"/>
      <c r="T1248" s="219"/>
      <c r="U1248" s="332"/>
      <c r="V1248" s="332"/>
      <c r="W1248" s="370"/>
      <c r="X1248" s="370"/>
      <c r="Y1248" s="370"/>
      <c r="Z1248" s="370"/>
      <c r="AA1248" s="370"/>
      <c r="AB1248" s="370"/>
      <c r="AC1248" s="370"/>
      <c r="AD1248" s="370"/>
      <c r="AE1248" s="370"/>
      <c r="AF1248" s="370"/>
      <c r="AG1248" s="370"/>
      <c r="AH1248" s="370"/>
      <c r="AI1248" s="370"/>
      <c r="AJ1248" s="370"/>
      <c r="AL1248" s="219"/>
      <c r="AM1248" s="219"/>
      <c r="AN1248" s="219"/>
      <c r="AO1248" s="116"/>
      <c r="AP1248" s="116"/>
      <c r="AU1248" s="332"/>
      <c r="AV1248" s="332"/>
      <c r="AW1248" s="332"/>
      <c r="AX1248" s="332"/>
      <c r="AY1248" s="332"/>
      <c r="AZ1248" s="332"/>
      <c r="BA1248" s="332"/>
      <c r="BB1248" s="31"/>
      <c r="BC1248" s="31"/>
      <c r="BD1248" s="31"/>
      <c r="BE1248" s="31"/>
    </row>
    <row r="1249" spans="1:57" ht="13">
      <c r="A1249" s="153"/>
      <c r="F1249" s="153"/>
      <c r="G1249" s="116"/>
      <c r="H1249" s="116"/>
      <c r="I1249" s="116"/>
      <c r="J1249" s="116"/>
      <c r="K1249" s="219"/>
      <c r="L1249" s="116"/>
      <c r="M1249" s="31"/>
      <c r="N1249" s="336"/>
      <c r="O1249" s="336"/>
      <c r="P1249" s="219"/>
      <c r="Q1249" s="332"/>
      <c r="R1249" s="219"/>
      <c r="S1249" s="332"/>
      <c r="T1249" s="219"/>
      <c r="U1249" s="332"/>
      <c r="V1249" s="332"/>
      <c r="W1249" s="370"/>
      <c r="X1249" s="370"/>
      <c r="Y1249" s="370"/>
      <c r="Z1249" s="370"/>
      <c r="AA1249" s="370"/>
      <c r="AB1249" s="370"/>
      <c r="AC1249" s="370"/>
      <c r="AD1249" s="370"/>
      <c r="AE1249" s="370"/>
      <c r="AF1249" s="370"/>
      <c r="AG1249" s="370"/>
      <c r="AH1249" s="370"/>
      <c r="AI1249" s="370"/>
      <c r="AJ1249" s="370"/>
      <c r="AL1249" s="219"/>
      <c r="AM1249" s="219"/>
      <c r="AN1249" s="219"/>
      <c r="AO1249" s="116"/>
      <c r="AP1249" s="116"/>
      <c r="AU1249" s="332"/>
      <c r="AV1249" s="332"/>
      <c r="AW1249" s="332"/>
      <c r="AX1249" s="332"/>
      <c r="AY1249" s="332"/>
      <c r="AZ1249" s="332"/>
      <c r="BA1249" s="332"/>
      <c r="BB1249" s="31"/>
      <c r="BC1249" s="31"/>
      <c r="BD1249" s="31"/>
      <c r="BE1249" s="31"/>
    </row>
    <row r="1250" spans="1:57" ht="13">
      <c r="A1250" s="153"/>
      <c r="F1250" s="153"/>
      <c r="G1250" s="116"/>
      <c r="H1250" s="116"/>
      <c r="I1250" s="116"/>
      <c r="J1250" s="116"/>
      <c r="K1250" s="219"/>
      <c r="L1250" s="116"/>
      <c r="M1250" s="31"/>
      <c r="N1250" s="336"/>
      <c r="O1250" s="336"/>
      <c r="P1250" s="219"/>
      <c r="Q1250" s="332"/>
      <c r="R1250" s="219"/>
      <c r="S1250" s="332"/>
      <c r="T1250" s="219"/>
      <c r="U1250" s="332"/>
      <c r="V1250" s="332"/>
      <c r="W1250" s="370"/>
      <c r="X1250" s="370"/>
      <c r="Y1250" s="370"/>
      <c r="Z1250" s="370"/>
      <c r="AA1250" s="370"/>
      <c r="AB1250" s="370"/>
      <c r="AC1250" s="370"/>
      <c r="AD1250" s="370"/>
      <c r="AE1250" s="370"/>
      <c r="AF1250" s="370"/>
      <c r="AG1250" s="370"/>
      <c r="AH1250" s="370"/>
      <c r="AI1250" s="370"/>
      <c r="AJ1250" s="370"/>
      <c r="AL1250" s="219"/>
      <c r="AM1250" s="219"/>
      <c r="AN1250" s="219"/>
      <c r="AO1250" s="116"/>
      <c r="AP1250" s="116"/>
      <c r="AU1250" s="332"/>
      <c r="AV1250" s="332"/>
      <c r="AW1250" s="332"/>
      <c r="AX1250" s="332"/>
      <c r="AY1250" s="332"/>
      <c r="AZ1250" s="332"/>
      <c r="BA1250" s="332"/>
      <c r="BB1250" s="31"/>
      <c r="BC1250" s="31"/>
      <c r="BD1250" s="31"/>
      <c r="BE1250" s="31"/>
    </row>
    <row r="1251" spans="1:57" ht="13">
      <c r="A1251" s="153"/>
      <c r="F1251" s="153"/>
      <c r="G1251" s="116"/>
      <c r="H1251" s="116"/>
      <c r="I1251" s="116"/>
      <c r="J1251" s="116"/>
      <c r="K1251" s="219"/>
      <c r="L1251" s="116"/>
      <c r="M1251" s="31"/>
      <c r="N1251" s="336"/>
      <c r="O1251" s="336"/>
      <c r="P1251" s="219"/>
      <c r="Q1251" s="332"/>
      <c r="R1251" s="219"/>
      <c r="S1251" s="332"/>
      <c r="T1251" s="219"/>
      <c r="U1251" s="332"/>
      <c r="V1251" s="332"/>
      <c r="W1251" s="370"/>
      <c r="X1251" s="370"/>
      <c r="Y1251" s="370"/>
      <c r="Z1251" s="370"/>
      <c r="AA1251" s="370"/>
      <c r="AB1251" s="370"/>
      <c r="AC1251" s="370"/>
      <c r="AD1251" s="370"/>
      <c r="AE1251" s="370"/>
      <c r="AF1251" s="370"/>
      <c r="AG1251" s="370"/>
      <c r="AH1251" s="370"/>
      <c r="AI1251" s="370"/>
      <c r="AJ1251" s="370"/>
      <c r="AL1251" s="219"/>
      <c r="AM1251" s="219"/>
      <c r="AN1251" s="219"/>
      <c r="AO1251" s="116"/>
      <c r="AP1251" s="116"/>
      <c r="AU1251" s="332"/>
      <c r="AV1251" s="332"/>
      <c r="AW1251" s="332"/>
      <c r="AX1251" s="332"/>
      <c r="AY1251" s="332"/>
      <c r="AZ1251" s="332"/>
      <c r="BA1251" s="332"/>
      <c r="BB1251" s="31"/>
      <c r="BC1251" s="31"/>
      <c r="BD1251" s="31"/>
      <c r="BE1251" s="31"/>
    </row>
    <row r="1252" spans="1:57" ht="13">
      <c r="A1252" s="153"/>
      <c r="F1252" s="153"/>
      <c r="G1252" s="116"/>
      <c r="H1252" s="116"/>
      <c r="I1252" s="116"/>
      <c r="J1252" s="116"/>
      <c r="K1252" s="219"/>
      <c r="L1252" s="116"/>
      <c r="M1252" s="31"/>
      <c r="N1252" s="336"/>
      <c r="O1252" s="336"/>
      <c r="P1252" s="219"/>
      <c r="Q1252" s="332"/>
      <c r="R1252" s="219"/>
      <c r="S1252" s="332"/>
      <c r="T1252" s="219"/>
      <c r="U1252" s="332"/>
      <c r="V1252" s="332"/>
      <c r="W1252" s="370"/>
      <c r="X1252" s="370"/>
      <c r="Y1252" s="370"/>
      <c r="Z1252" s="370"/>
      <c r="AA1252" s="370"/>
      <c r="AB1252" s="370"/>
      <c r="AC1252" s="370"/>
      <c r="AD1252" s="370"/>
      <c r="AE1252" s="370"/>
      <c r="AF1252" s="370"/>
      <c r="AG1252" s="370"/>
      <c r="AH1252" s="370"/>
      <c r="AI1252" s="370"/>
      <c r="AJ1252" s="370"/>
      <c r="AL1252" s="219"/>
      <c r="AM1252" s="219"/>
      <c r="AN1252" s="219"/>
      <c r="AO1252" s="116"/>
      <c r="AP1252" s="116"/>
      <c r="AU1252" s="332"/>
      <c r="AV1252" s="332"/>
      <c r="AW1252" s="332"/>
      <c r="AX1252" s="332"/>
      <c r="AY1252" s="332"/>
      <c r="AZ1252" s="332"/>
      <c r="BA1252" s="332"/>
      <c r="BB1252" s="31"/>
      <c r="BC1252" s="31"/>
      <c r="BD1252" s="31"/>
      <c r="BE1252" s="31"/>
    </row>
    <row r="1253" spans="1:57" ht="13">
      <c r="A1253" s="153"/>
      <c r="F1253" s="153"/>
      <c r="G1253" s="116"/>
      <c r="H1253" s="116"/>
      <c r="I1253" s="116"/>
      <c r="J1253" s="116"/>
      <c r="K1253" s="219"/>
      <c r="L1253" s="116"/>
      <c r="M1253" s="31"/>
      <c r="N1253" s="336"/>
      <c r="O1253" s="336"/>
      <c r="P1253" s="219"/>
      <c r="Q1253" s="332"/>
      <c r="R1253" s="219"/>
      <c r="S1253" s="332"/>
      <c r="T1253" s="219"/>
      <c r="U1253" s="332"/>
      <c r="V1253" s="332"/>
      <c r="W1253" s="370"/>
      <c r="X1253" s="370"/>
      <c r="Y1253" s="370"/>
      <c r="Z1253" s="370"/>
      <c r="AA1253" s="370"/>
      <c r="AB1253" s="370"/>
      <c r="AC1253" s="370"/>
      <c r="AD1253" s="370"/>
      <c r="AE1253" s="370"/>
      <c r="AF1253" s="370"/>
      <c r="AG1253" s="370"/>
      <c r="AH1253" s="370"/>
      <c r="AI1253" s="370"/>
      <c r="AJ1253" s="370"/>
      <c r="AL1253" s="219"/>
      <c r="AM1253" s="219"/>
      <c r="AN1253" s="219"/>
      <c r="AO1253" s="116"/>
      <c r="AP1253" s="116"/>
      <c r="AU1253" s="332"/>
      <c r="AV1253" s="332"/>
      <c r="AW1253" s="332"/>
      <c r="AX1253" s="332"/>
      <c r="AY1253" s="332"/>
      <c r="AZ1253" s="332"/>
      <c r="BA1253" s="332"/>
      <c r="BB1253" s="31"/>
      <c r="BC1253" s="31"/>
      <c r="BD1253" s="31"/>
      <c r="BE1253" s="31"/>
    </row>
    <row r="1254" spans="1:57" ht="13">
      <c r="A1254" s="153"/>
      <c r="F1254" s="153"/>
      <c r="G1254" s="116"/>
      <c r="H1254" s="116"/>
      <c r="I1254" s="116"/>
      <c r="J1254" s="116"/>
      <c r="K1254" s="219"/>
      <c r="L1254" s="116"/>
      <c r="M1254" s="31"/>
      <c r="N1254" s="336"/>
      <c r="O1254" s="336"/>
      <c r="P1254" s="219"/>
      <c r="Q1254" s="332"/>
      <c r="R1254" s="219"/>
      <c r="S1254" s="332"/>
      <c r="T1254" s="219"/>
      <c r="U1254" s="332"/>
      <c r="V1254" s="332"/>
      <c r="W1254" s="370"/>
      <c r="X1254" s="370"/>
      <c r="Y1254" s="370"/>
      <c r="Z1254" s="370"/>
      <c r="AA1254" s="370"/>
      <c r="AB1254" s="370"/>
      <c r="AC1254" s="370"/>
      <c r="AD1254" s="370"/>
      <c r="AE1254" s="370"/>
      <c r="AF1254" s="370"/>
      <c r="AG1254" s="370"/>
      <c r="AH1254" s="370"/>
      <c r="AI1254" s="370"/>
      <c r="AJ1254" s="370"/>
      <c r="AL1254" s="219"/>
      <c r="AM1254" s="219"/>
      <c r="AN1254" s="219"/>
      <c r="AO1254" s="116"/>
      <c r="AP1254" s="116"/>
      <c r="AU1254" s="332"/>
      <c r="AV1254" s="332"/>
      <c r="AW1254" s="332"/>
      <c r="AX1254" s="332"/>
      <c r="AY1254" s="332"/>
      <c r="AZ1254" s="332"/>
      <c r="BA1254" s="332"/>
      <c r="BB1254" s="31"/>
      <c r="BC1254" s="31"/>
      <c r="BD1254" s="31"/>
      <c r="BE1254" s="31"/>
    </row>
    <row r="1255" spans="1:57" ht="13">
      <c r="A1255" s="153"/>
      <c r="F1255" s="153"/>
      <c r="G1255" s="116"/>
      <c r="H1255" s="116"/>
      <c r="I1255" s="116"/>
      <c r="J1255" s="116"/>
      <c r="K1255" s="219"/>
      <c r="L1255" s="116"/>
      <c r="M1255" s="31"/>
      <c r="N1255" s="336"/>
      <c r="O1255" s="336"/>
      <c r="P1255" s="219"/>
      <c r="Q1255" s="332"/>
      <c r="R1255" s="219"/>
      <c r="S1255" s="332"/>
      <c r="T1255" s="219"/>
      <c r="U1255" s="332"/>
      <c r="V1255" s="332"/>
      <c r="W1255" s="370"/>
      <c r="X1255" s="370"/>
      <c r="Y1255" s="370"/>
      <c r="Z1255" s="370"/>
      <c r="AA1255" s="370"/>
      <c r="AB1255" s="370"/>
      <c r="AC1255" s="370"/>
      <c r="AD1255" s="370"/>
      <c r="AE1255" s="370"/>
      <c r="AF1255" s="370"/>
      <c r="AG1255" s="370"/>
      <c r="AH1255" s="370"/>
      <c r="AI1255" s="370"/>
      <c r="AJ1255" s="370"/>
      <c r="AL1255" s="219"/>
      <c r="AM1255" s="219"/>
      <c r="AN1255" s="219"/>
      <c r="AO1255" s="116"/>
      <c r="AP1255" s="116"/>
      <c r="AU1255" s="332"/>
      <c r="AV1255" s="332"/>
      <c r="AW1255" s="332"/>
      <c r="AX1255" s="332"/>
      <c r="AY1255" s="332"/>
      <c r="AZ1255" s="332"/>
      <c r="BA1255" s="332"/>
      <c r="BB1255" s="31"/>
      <c r="BC1255" s="31"/>
      <c r="BD1255" s="31"/>
      <c r="BE1255" s="31"/>
    </row>
    <row r="1256" spans="1:57" ht="13">
      <c r="A1256" s="153"/>
      <c r="F1256" s="153"/>
      <c r="G1256" s="116"/>
      <c r="H1256" s="116"/>
      <c r="I1256" s="116"/>
      <c r="J1256" s="116"/>
      <c r="K1256" s="219"/>
      <c r="L1256" s="116"/>
      <c r="M1256" s="31"/>
      <c r="N1256" s="336"/>
      <c r="O1256" s="336"/>
      <c r="P1256" s="219"/>
      <c r="Q1256" s="332"/>
      <c r="R1256" s="219"/>
      <c r="S1256" s="332"/>
      <c r="T1256" s="219"/>
      <c r="U1256" s="332"/>
      <c r="V1256" s="332"/>
      <c r="W1256" s="370"/>
      <c r="X1256" s="370"/>
      <c r="Y1256" s="370"/>
      <c r="Z1256" s="370"/>
      <c r="AA1256" s="370"/>
      <c r="AB1256" s="370"/>
      <c r="AC1256" s="370"/>
      <c r="AD1256" s="370"/>
      <c r="AE1256" s="370"/>
      <c r="AF1256" s="370"/>
      <c r="AG1256" s="370"/>
      <c r="AH1256" s="370"/>
      <c r="AI1256" s="370"/>
      <c r="AJ1256" s="370"/>
      <c r="AL1256" s="219"/>
      <c r="AM1256" s="219"/>
      <c r="AN1256" s="219"/>
      <c r="AO1256" s="116"/>
      <c r="AP1256" s="116"/>
      <c r="AU1256" s="332"/>
      <c r="AV1256" s="332"/>
      <c r="AW1256" s="332"/>
      <c r="AX1256" s="332"/>
      <c r="AY1256" s="332"/>
      <c r="AZ1256" s="332"/>
      <c r="BA1256" s="332"/>
      <c r="BB1256" s="31"/>
      <c r="BC1256" s="31"/>
      <c r="BD1256" s="31"/>
      <c r="BE1256" s="31"/>
    </row>
    <row r="1257" spans="1:57" ht="13">
      <c r="A1257" s="153"/>
      <c r="F1257" s="153"/>
      <c r="G1257" s="116"/>
      <c r="H1257" s="116"/>
      <c r="I1257" s="116"/>
      <c r="J1257" s="116"/>
      <c r="K1257" s="219"/>
      <c r="L1257" s="116"/>
      <c r="M1257" s="31"/>
      <c r="N1257" s="336"/>
      <c r="O1257" s="336"/>
      <c r="P1257" s="219"/>
      <c r="Q1257" s="332"/>
      <c r="R1257" s="219"/>
      <c r="S1257" s="332"/>
      <c r="T1257" s="219"/>
      <c r="U1257" s="332"/>
      <c r="V1257" s="332"/>
      <c r="W1257" s="370"/>
      <c r="X1257" s="370"/>
      <c r="Y1257" s="370"/>
      <c r="Z1257" s="370"/>
      <c r="AA1257" s="370"/>
      <c r="AB1257" s="370"/>
      <c r="AC1257" s="370"/>
      <c r="AD1257" s="370"/>
      <c r="AE1257" s="370"/>
      <c r="AF1257" s="370"/>
      <c r="AG1257" s="370"/>
      <c r="AH1257" s="370"/>
      <c r="AI1257" s="370"/>
      <c r="AJ1257" s="370"/>
      <c r="AL1257" s="219"/>
      <c r="AM1257" s="219"/>
      <c r="AN1257" s="219"/>
      <c r="AO1257" s="116"/>
      <c r="AP1257" s="116"/>
      <c r="AU1257" s="332"/>
      <c r="AV1257" s="332"/>
      <c r="AW1257" s="332"/>
      <c r="AX1257" s="332"/>
      <c r="AY1257" s="332"/>
      <c r="AZ1257" s="332"/>
      <c r="BA1257" s="332"/>
      <c r="BB1257" s="31"/>
      <c r="BC1257" s="31"/>
      <c r="BD1257" s="31"/>
      <c r="BE1257" s="31"/>
    </row>
    <row r="1258" spans="1:57" ht="13">
      <c r="A1258" s="153"/>
      <c r="F1258" s="153"/>
      <c r="G1258" s="116"/>
      <c r="H1258" s="116"/>
      <c r="I1258" s="116"/>
      <c r="J1258" s="116"/>
      <c r="K1258" s="219"/>
      <c r="L1258" s="116"/>
      <c r="M1258" s="31"/>
      <c r="N1258" s="336"/>
      <c r="O1258" s="336"/>
      <c r="P1258" s="219"/>
      <c r="Q1258" s="332"/>
      <c r="R1258" s="219"/>
      <c r="S1258" s="332"/>
      <c r="T1258" s="219"/>
      <c r="U1258" s="332"/>
      <c r="V1258" s="332"/>
      <c r="W1258" s="370"/>
      <c r="X1258" s="370"/>
      <c r="Y1258" s="370"/>
      <c r="Z1258" s="370"/>
      <c r="AA1258" s="370"/>
      <c r="AB1258" s="370"/>
      <c r="AC1258" s="370"/>
      <c r="AD1258" s="370"/>
      <c r="AE1258" s="370"/>
      <c r="AF1258" s="370"/>
      <c r="AG1258" s="370"/>
      <c r="AH1258" s="370"/>
      <c r="AI1258" s="370"/>
      <c r="AJ1258" s="370"/>
      <c r="AL1258" s="219"/>
      <c r="AM1258" s="219"/>
      <c r="AN1258" s="219"/>
      <c r="AO1258" s="116"/>
      <c r="AP1258" s="116"/>
      <c r="AU1258" s="332"/>
      <c r="AV1258" s="332"/>
      <c r="AW1258" s="332"/>
      <c r="AX1258" s="332"/>
      <c r="AY1258" s="332"/>
      <c r="AZ1258" s="332"/>
      <c r="BA1258" s="332"/>
      <c r="BB1258" s="31"/>
      <c r="BC1258" s="31"/>
      <c r="BD1258" s="31"/>
      <c r="BE1258" s="31"/>
    </row>
    <row r="1259" spans="1:57" ht="13">
      <c r="A1259" s="153"/>
      <c r="F1259" s="153"/>
      <c r="G1259" s="116"/>
      <c r="H1259" s="116"/>
      <c r="I1259" s="116"/>
      <c r="J1259" s="116"/>
      <c r="K1259" s="219"/>
      <c r="L1259" s="116"/>
      <c r="M1259" s="31"/>
      <c r="N1259" s="336"/>
      <c r="O1259" s="336"/>
      <c r="P1259" s="219"/>
      <c r="Q1259" s="332"/>
      <c r="R1259" s="219"/>
      <c r="S1259" s="332"/>
      <c r="T1259" s="219"/>
      <c r="U1259" s="332"/>
      <c r="V1259" s="332"/>
      <c r="W1259" s="370"/>
      <c r="X1259" s="370"/>
      <c r="Y1259" s="370"/>
      <c r="Z1259" s="370"/>
      <c r="AA1259" s="370"/>
      <c r="AB1259" s="370"/>
      <c r="AC1259" s="370"/>
      <c r="AD1259" s="370"/>
      <c r="AE1259" s="370"/>
      <c r="AF1259" s="370"/>
      <c r="AG1259" s="370"/>
      <c r="AH1259" s="370"/>
      <c r="AI1259" s="370"/>
      <c r="AJ1259" s="370"/>
      <c r="AL1259" s="219"/>
      <c r="AM1259" s="219"/>
      <c r="AN1259" s="219"/>
      <c r="AO1259" s="116"/>
      <c r="AP1259" s="116"/>
      <c r="AU1259" s="332"/>
      <c r="AV1259" s="332"/>
      <c r="AW1259" s="332"/>
      <c r="AX1259" s="332"/>
      <c r="AY1259" s="332"/>
      <c r="AZ1259" s="332"/>
      <c r="BA1259" s="332"/>
      <c r="BB1259" s="31"/>
      <c r="BC1259" s="31"/>
      <c r="BD1259" s="31"/>
      <c r="BE1259" s="31"/>
    </row>
    <row r="1260" spans="1:57" ht="13">
      <c r="A1260" s="153"/>
      <c r="F1260" s="153"/>
      <c r="G1260" s="116"/>
      <c r="H1260" s="116"/>
      <c r="I1260" s="116"/>
      <c r="J1260" s="116"/>
      <c r="K1260" s="219"/>
      <c r="L1260" s="116"/>
      <c r="M1260" s="31"/>
      <c r="N1260" s="336"/>
      <c r="O1260" s="336"/>
      <c r="P1260" s="219"/>
      <c r="Q1260" s="332"/>
      <c r="R1260" s="219"/>
      <c r="S1260" s="332"/>
      <c r="T1260" s="219"/>
      <c r="U1260" s="332"/>
      <c r="V1260" s="332"/>
      <c r="W1260" s="370"/>
      <c r="X1260" s="370"/>
      <c r="Y1260" s="370"/>
      <c r="Z1260" s="370"/>
      <c r="AA1260" s="370"/>
      <c r="AB1260" s="370"/>
      <c r="AC1260" s="370"/>
      <c r="AD1260" s="370"/>
      <c r="AE1260" s="370"/>
      <c r="AF1260" s="370"/>
      <c r="AG1260" s="370"/>
      <c r="AH1260" s="370"/>
      <c r="AI1260" s="370"/>
      <c r="AJ1260" s="370"/>
      <c r="AL1260" s="219"/>
      <c r="AM1260" s="219"/>
      <c r="AN1260" s="219"/>
      <c r="AO1260" s="116"/>
      <c r="AP1260" s="116"/>
      <c r="AU1260" s="332"/>
      <c r="AV1260" s="332"/>
      <c r="AW1260" s="332"/>
      <c r="AX1260" s="332"/>
      <c r="AY1260" s="332"/>
      <c r="AZ1260" s="332"/>
      <c r="BA1260" s="332"/>
      <c r="BB1260" s="31"/>
      <c r="BC1260" s="31"/>
      <c r="BD1260" s="31"/>
      <c r="BE1260" s="31"/>
    </row>
    <row r="1261" spans="1:57" ht="13">
      <c r="A1261" s="153"/>
      <c r="F1261" s="153"/>
      <c r="G1261" s="116"/>
      <c r="H1261" s="116"/>
      <c r="I1261" s="116"/>
      <c r="J1261" s="116"/>
      <c r="K1261" s="219"/>
      <c r="L1261" s="116"/>
      <c r="M1261" s="31"/>
      <c r="N1261" s="336"/>
      <c r="O1261" s="336"/>
      <c r="P1261" s="219"/>
      <c r="Q1261" s="332"/>
      <c r="R1261" s="219"/>
      <c r="S1261" s="332"/>
      <c r="T1261" s="219"/>
      <c r="U1261" s="332"/>
      <c r="V1261" s="332"/>
      <c r="W1261" s="370"/>
      <c r="X1261" s="370"/>
      <c r="Y1261" s="370"/>
      <c r="Z1261" s="370"/>
      <c r="AA1261" s="370"/>
      <c r="AB1261" s="370"/>
      <c r="AC1261" s="370"/>
      <c r="AD1261" s="370"/>
      <c r="AE1261" s="370"/>
      <c r="AF1261" s="370"/>
      <c r="AG1261" s="370"/>
      <c r="AH1261" s="370"/>
      <c r="AI1261" s="370"/>
      <c r="AJ1261" s="370"/>
      <c r="AL1261" s="219"/>
      <c r="AM1261" s="219"/>
      <c r="AN1261" s="219"/>
      <c r="AO1261" s="116"/>
      <c r="AP1261" s="116"/>
      <c r="AU1261" s="332"/>
      <c r="AV1261" s="332"/>
      <c r="AW1261" s="332"/>
      <c r="AX1261" s="332"/>
      <c r="AY1261" s="332"/>
      <c r="AZ1261" s="332"/>
      <c r="BA1261" s="332"/>
      <c r="BB1261" s="31"/>
      <c r="BC1261" s="31"/>
      <c r="BD1261" s="31"/>
      <c r="BE1261" s="31"/>
    </row>
    <row r="1262" spans="1:57" ht="13">
      <c r="A1262" s="153"/>
      <c r="F1262" s="153"/>
      <c r="G1262" s="116"/>
      <c r="H1262" s="116"/>
      <c r="I1262" s="116"/>
      <c r="J1262" s="116"/>
      <c r="K1262" s="219"/>
      <c r="L1262" s="116"/>
      <c r="M1262" s="31"/>
      <c r="N1262" s="336"/>
      <c r="O1262" s="336"/>
      <c r="P1262" s="219"/>
      <c r="Q1262" s="332"/>
      <c r="R1262" s="219"/>
      <c r="S1262" s="332"/>
      <c r="T1262" s="219"/>
      <c r="U1262" s="332"/>
      <c r="V1262" s="332"/>
      <c r="W1262" s="370"/>
      <c r="X1262" s="370"/>
      <c r="Y1262" s="370"/>
      <c r="Z1262" s="370"/>
      <c r="AA1262" s="370"/>
      <c r="AB1262" s="370"/>
      <c r="AC1262" s="370"/>
      <c r="AD1262" s="370"/>
      <c r="AE1262" s="370"/>
      <c r="AF1262" s="370"/>
      <c r="AG1262" s="370"/>
      <c r="AH1262" s="370"/>
      <c r="AI1262" s="370"/>
      <c r="AJ1262" s="370"/>
      <c r="AL1262" s="219"/>
      <c r="AM1262" s="219"/>
      <c r="AN1262" s="219"/>
      <c r="AO1262" s="116"/>
      <c r="AP1262" s="116"/>
      <c r="AU1262" s="332"/>
      <c r="AV1262" s="332"/>
      <c r="AW1262" s="332"/>
      <c r="AX1262" s="332"/>
      <c r="AY1262" s="332"/>
      <c r="AZ1262" s="332"/>
      <c r="BA1262" s="332"/>
      <c r="BB1262" s="31"/>
      <c r="BC1262" s="31"/>
      <c r="BD1262" s="31"/>
      <c r="BE1262" s="31"/>
    </row>
    <row r="1263" spans="1:57" ht="13">
      <c r="A1263" s="153"/>
      <c r="F1263" s="153"/>
      <c r="G1263" s="116"/>
      <c r="H1263" s="116"/>
      <c r="I1263" s="116"/>
      <c r="J1263" s="116"/>
      <c r="K1263" s="219"/>
      <c r="L1263" s="116"/>
      <c r="M1263" s="31"/>
      <c r="N1263" s="336"/>
      <c r="O1263" s="336"/>
      <c r="P1263" s="219"/>
      <c r="Q1263" s="332"/>
      <c r="R1263" s="219"/>
      <c r="S1263" s="332"/>
      <c r="T1263" s="219"/>
      <c r="U1263" s="332"/>
      <c r="V1263" s="332"/>
      <c r="W1263" s="370"/>
      <c r="X1263" s="370"/>
      <c r="Y1263" s="370"/>
      <c r="Z1263" s="370"/>
      <c r="AA1263" s="370"/>
      <c r="AB1263" s="370"/>
      <c r="AC1263" s="370"/>
      <c r="AD1263" s="370"/>
      <c r="AE1263" s="370"/>
      <c r="AF1263" s="370"/>
      <c r="AG1263" s="370"/>
      <c r="AH1263" s="370"/>
      <c r="AI1263" s="370"/>
      <c r="AJ1263" s="370"/>
      <c r="AL1263" s="219"/>
      <c r="AM1263" s="219"/>
      <c r="AN1263" s="219"/>
      <c r="AO1263" s="116"/>
      <c r="AP1263" s="116"/>
      <c r="AU1263" s="332"/>
      <c r="AV1263" s="332"/>
      <c r="AW1263" s="332"/>
      <c r="AX1263" s="332"/>
      <c r="AY1263" s="332"/>
      <c r="AZ1263" s="332"/>
      <c r="BA1263" s="332"/>
      <c r="BB1263" s="31"/>
      <c r="BC1263" s="31"/>
      <c r="BD1263" s="31"/>
      <c r="BE1263" s="31"/>
    </row>
    <row r="1264" spans="1:57" ht="13">
      <c r="A1264" s="153"/>
      <c r="F1264" s="153"/>
      <c r="G1264" s="116"/>
      <c r="H1264" s="116"/>
      <c r="I1264" s="116"/>
      <c r="J1264" s="116"/>
      <c r="K1264" s="219"/>
      <c r="L1264" s="116"/>
      <c r="M1264" s="31"/>
      <c r="N1264" s="336"/>
      <c r="O1264" s="336"/>
      <c r="P1264" s="219"/>
      <c r="Q1264" s="332"/>
      <c r="R1264" s="219"/>
      <c r="S1264" s="332"/>
      <c r="T1264" s="219"/>
      <c r="U1264" s="332"/>
      <c r="V1264" s="332"/>
      <c r="W1264" s="370"/>
      <c r="X1264" s="370"/>
      <c r="Y1264" s="370"/>
      <c r="Z1264" s="370"/>
      <c r="AA1264" s="370"/>
      <c r="AB1264" s="370"/>
      <c r="AC1264" s="370"/>
      <c r="AD1264" s="370"/>
      <c r="AE1264" s="370"/>
      <c r="AF1264" s="370"/>
      <c r="AG1264" s="370"/>
      <c r="AH1264" s="370"/>
      <c r="AI1264" s="370"/>
      <c r="AJ1264" s="370"/>
      <c r="AL1264" s="219"/>
      <c r="AM1264" s="219"/>
      <c r="AN1264" s="219"/>
      <c r="AO1264" s="116"/>
      <c r="AP1264" s="116"/>
      <c r="AU1264" s="332"/>
      <c r="AV1264" s="332"/>
      <c r="AW1264" s="332"/>
      <c r="AX1264" s="332"/>
      <c r="AY1264" s="332"/>
      <c r="AZ1264" s="332"/>
      <c r="BA1264" s="332"/>
      <c r="BB1264" s="31"/>
      <c r="BC1264" s="31"/>
      <c r="BD1264" s="31"/>
      <c r="BE1264" s="31"/>
    </row>
    <row r="1265" spans="1:57" ht="13">
      <c r="A1265" s="153"/>
      <c r="F1265" s="153"/>
      <c r="G1265" s="116"/>
      <c r="H1265" s="116"/>
      <c r="I1265" s="116"/>
      <c r="J1265" s="116"/>
      <c r="K1265" s="219"/>
      <c r="L1265" s="116"/>
      <c r="M1265" s="31"/>
      <c r="N1265" s="336"/>
      <c r="O1265" s="336"/>
      <c r="P1265" s="219"/>
      <c r="Q1265" s="332"/>
      <c r="R1265" s="219"/>
      <c r="S1265" s="332"/>
      <c r="T1265" s="219"/>
      <c r="U1265" s="332"/>
      <c r="V1265" s="332"/>
      <c r="W1265" s="370"/>
      <c r="X1265" s="370"/>
      <c r="Y1265" s="370"/>
      <c r="Z1265" s="370"/>
      <c r="AA1265" s="370"/>
      <c r="AB1265" s="370"/>
      <c r="AC1265" s="370"/>
      <c r="AD1265" s="370"/>
      <c r="AE1265" s="370"/>
      <c r="AF1265" s="370"/>
      <c r="AG1265" s="370"/>
      <c r="AH1265" s="370"/>
      <c r="AI1265" s="370"/>
      <c r="AJ1265" s="370"/>
      <c r="AL1265" s="219"/>
      <c r="AM1265" s="219"/>
      <c r="AN1265" s="219"/>
      <c r="AO1265" s="116"/>
      <c r="AP1265" s="116"/>
      <c r="AU1265" s="332"/>
      <c r="AV1265" s="332"/>
      <c r="AW1265" s="332"/>
      <c r="AX1265" s="332"/>
      <c r="AY1265" s="332"/>
      <c r="AZ1265" s="332"/>
      <c r="BA1265" s="332"/>
      <c r="BB1265" s="31"/>
      <c r="BC1265" s="31"/>
      <c r="BD1265" s="31"/>
      <c r="BE1265" s="31"/>
    </row>
    <row r="1266" spans="1:57" ht="13">
      <c r="A1266" s="153"/>
      <c r="F1266" s="153"/>
      <c r="G1266" s="116"/>
      <c r="H1266" s="116"/>
      <c r="I1266" s="116"/>
      <c r="J1266" s="116"/>
      <c r="K1266" s="219"/>
      <c r="L1266" s="116"/>
      <c r="M1266" s="31"/>
      <c r="N1266" s="336"/>
      <c r="O1266" s="336"/>
      <c r="P1266" s="219"/>
      <c r="Q1266" s="332"/>
      <c r="R1266" s="219"/>
      <c r="S1266" s="332"/>
      <c r="T1266" s="219"/>
      <c r="U1266" s="332"/>
      <c r="V1266" s="332"/>
      <c r="W1266" s="370"/>
      <c r="X1266" s="370"/>
      <c r="Y1266" s="370"/>
      <c r="Z1266" s="370"/>
      <c r="AA1266" s="370"/>
      <c r="AB1266" s="370"/>
      <c r="AC1266" s="370"/>
      <c r="AD1266" s="370"/>
      <c r="AE1266" s="370"/>
      <c r="AF1266" s="370"/>
      <c r="AG1266" s="370"/>
      <c r="AH1266" s="370"/>
      <c r="AI1266" s="370"/>
      <c r="AJ1266" s="370"/>
      <c r="AL1266" s="219"/>
      <c r="AM1266" s="219"/>
      <c r="AN1266" s="219"/>
      <c r="AO1266" s="116"/>
      <c r="AP1266" s="116"/>
      <c r="AU1266" s="332"/>
      <c r="AV1266" s="332"/>
      <c r="AW1266" s="332"/>
      <c r="AX1266" s="332"/>
      <c r="AY1266" s="332"/>
      <c r="AZ1266" s="332"/>
      <c r="BA1266" s="332"/>
      <c r="BB1266" s="31"/>
      <c r="BC1266" s="31"/>
      <c r="BD1266" s="31"/>
      <c r="BE1266" s="31"/>
    </row>
    <row r="1267" spans="1:57" ht="13">
      <c r="A1267" s="153"/>
      <c r="F1267" s="153"/>
      <c r="G1267" s="116"/>
      <c r="H1267" s="116"/>
      <c r="I1267" s="116"/>
      <c r="J1267" s="116"/>
      <c r="K1267" s="219"/>
      <c r="L1267" s="116"/>
      <c r="M1267" s="31"/>
      <c r="N1267" s="336"/>
      <c r="O1267" s="336"/>
      <c r="P1267" s="219"/>
      <c r="Q1267" s="332"/>
      <c r="R1267" s="219"/>
      <c r="S1267" s="332"/>
      <c r="T1267" s="219"/>
      <c r="U1267" s="332"/>
      <c r="V1267" s="332"/>
      <c r="W1267" s="370"/>
      <c r="X1267" s="370"/>
      <c r="Y1267" s="370"/>
      <c r="Z1267" s="370"/>
      <c r="AA1267" s="370"/>
      <c r="AB1267" s="370"/>
      <c r="AC1267" s="370"/>
      <c r="AD1267" s="370"/>
      <c r="AE1267" s="370"/>
      <c r="AF1267" s="370"/>
      <c r="AG1267" s="370"/>
      <c r="AH1267" s="370"/>
      <c r="AI1267" s="370"/>
      <c r="AJ1267" s="370"/>
      <c r="AL1267" s="219"/>
      <c r="AM1267" s="219"/>
      <c r="AN1267" s="219"/>
      <c r="AO1267" s="116"/>
      <c r="AP1267" s="116"/>
      <c r="AU1267" s="332"/>
      <c r="AV1267" s="332"/>
      <c r="AW1267" s="332"/>
      <c r="AX1267" s="332"/>
      <c r="AY1267" s="332"/>
      <c r="AZ1267" s="332"/>
      <c r="BA1267" s="332"/>
      <c r="BB1267" s="31"/>
      <c r="BC1267" s="31"/>
      <c r="BD1267" s="31"/>
      <c r="BE1267" s="31"/>
    </row>
    <row r="1268" spans="1:57" ht="13">
      <c r="A1268" s="153"/>
      <c r="F1268" s="153"/>
      <c r="G1268" s="116"/>
      <c r="H1268" s="116"/>
      <c r="I1268" s="116"/>
      <c r="J1268" s="116"/>
      <c r="K1268" s="219"/>
      <c r="L1268" s="116"/>
      <c r="M1268" s="31"/>
      <c r="N1268" s="336"/>
      <c r="O1268" s="336"/>
      <c r="P1268" s="219"/>
      <c r="Q1268" s="332"/>
      <c r="R1268" s="219"/>
      <c r="S1268" s="332"/>
      <c r="T1268" s="219"/>
      <c r="U1268" s="332"/>
      <c r="V1268" s="332"/>
      <c r="W1268" s="370"/>
      <c r="X1268" s="370"/>
      <c r="Y1268" s="370"/>
      <c r="Z1268" s="370"/>
      <c r="AA1268" s="370"/>
      <c r="AB1268" s="370"/>
      <c r="AC1268" s="370"/>
      <c r="AD1268" s="370"/>
      <c r="AE1268" s="370"/>
      <c r="AF1268" s="370"/>
      <c r="AG1268" s="370"/>
      <c r="AH1268" s="370"/>
      <c r="AI1268" s="370"/>
      <c r="AJ1268" s="370"/>
      <c r="AL1268" s="219"/>
      <c r="AM1268" s="219"/>
      <c r="AN1268" s="219"/>
      <c r="AO1268" s="116"/>
      <c r="AP1268" s="116"/>
      <c r="AU1268" s="332"/>
      <c r="AV1268" s="332"/>
      <c r="AW1268" s="332"/>
      <c r="AX1268" s="332"/>
      <c r="AY1268" s="332"/>
      <c r="AZ1268" s="332"/>
      <c r="BA1268" s="332"/>
      <c r="BB1268" s="31"/>
      <c r="BC1268" s="31"/>
      <c r="BD1268" s="31"/>
      <c r="BE1268" s="31"/>
    </row>
    <row r="1269" spans="1:57" ht="13">
      <c r="A1269" s="153"/>
      <c r="F1269" s="153"/>
      <c r="G1269" s="116"/>
      <c r="H1269" s="116"/>
      <c r="I1269" s="116"/>
      <c r="J1269" s="116"/>
      <c r="K1269" s="219"/>
      <c r="L1269" s="116"/>
      <c r="M1269" s="31"/>
      <c r="N1269" s="336"/>
      <c r="O1269" s="336"/>
      <c r="P1269" s="219"/>
      <c r="Q1269" s="332"/>
      <c r="R1269" s="219"/>
      <c r="S1269" s="332"/>
      <c r="T1269" s="219"/>
      <c r="U1269" s="332"/>
      <c r="V1269" s="332"/>
      <c r="W1269" s="370"/>
      <c r="X1269" s="370"/>
      <c r="Y1269" s="370"/>
      <c r="Z1269" s="370"/>
      <c r="AA1269" s="370"/>
      <c r="AB1269" s="370"/>
      <c r="AC1269" s="370"/>
      <c r="AD1269" s="370"/>
      <c r="AE1269" s="370"/>
      <c r="AF1269" s="370"/>
      <c r="AG1269" s="370"/>
      <c r="AH1269" s="370"/>
      <c r="AI1269" s="370"/>
      <c r="AJ1269" s="370"/>
      <c r="AL1269" s="219"/>
      <c r="AM1269" s="219"/>
      <c r="AN1269" s="219"/>
      <c r="AO1269" s="116"/>
      <c r="AP1269" s="116"/>
      <c r="AU1269" s="332"/>
      <c r="AV1269" s="332"/>
      <c r="AW1269" s="332"/>
      <c r="AX1269" s="332"/>
      <c r="AY1269" s="332"/>
      <c r="AZ1269" s="332"/>
      <c r="BA1269" s="332"/>
      <c r="BB1269" s="31"/>
      <c r="BC1269" s="31"/>
      <c r="BD1269" s="31"/>
      <c r="BE1269" s="31"/>
    </row>
    <row r="1270" spans="1:57" ht="13">
      <c r="A1270" s="153"/>
      <c r="F1270" s="153"/>
      <c r="G1270" s="116"/>
      <c r="H1270" s="116"/>
      <c r="I1270" s="116"/>
      <c r="J1270" s="116"/>
      <c r="K1270" s="219"/>
      <c r="L1270" s="116"/>
      <c r="M1270" s="31"/>
      <c r="N1270" s="336"/>
      <c r="O1270" s="336"/>
      <c r="P1270" s="219"/>
      <c r="Q1270" s="332"/>
      <c r="R1270" s="219"/>
      <c r="S1270" s="332"/>
      <c r="T1270" s="219"/>
      <c r="U1270" s="332"/>
      <c r="V1270" s="332"/>
      <c r="W1270" s="370"/>
      <c r="X1270" s="370"/>
      <c r="Y1270" s="370"/>
      <c r="Z1270" s="370"/>
      <c r="AA1270" s="370"/>
      <c r="AB1270" s="370"/>
      <c r="AC1270" s="370"/>
      <c r="AD1270" s="370"/>
      <c r="AE1270" s="370"/>
      <c r="AF1270" s="370"/>
      <c r="AG1270" s="370"/>
      <c r="AH1270" s="370"/>
      <c r="AI1270" s="370"/>
      <c r="AJ1270" s="370"/>
      <c r="AL1270" s="219"/>
      <c r="AM1270" s="219"/>
      <c r="AN1270" s="219"/>
      <c r="AO1270" s="116"/>
      <c r="AP1270" s="116"/>
      <c r="AU1270" s="332"/>
      <c r="AV1270" s="332"/>
      <c r="AW1270" s="332"/>
      <c r="AX1270" s="332"/>
      <c r="AY1270" s="332"/>
      <c r="AZ1270" s="332"/>
      <c r="BA1270" s="332"/>
      <c r="BB1270" s="31"/>
      <c r="BC1270" s="31"/>
      <c r="BD1270" s="31"/>
      <c r="BE1270" s="31"/>
    </row>
    <row r="1271" spans="1:57" ht="13">
      <c r="A1271" s="153"/>
      <c r="F1271" s="153"/>
      <c r="G1271" s="116"/>
      <c r="H1271" s="116"/>
      <c r="I1271" s="116"/>
      <c r="J1271" s="116"/>
      <c r="K1271" s="219"/>
      <c r="L1271" s="116"/>
      <c r="M1271" s="31"/>
      <c r="N1271" s="336"/>
      <c r="O1271" s="336"/>
      <c r="P1271" s="219"/>
      <c r="Q1271" s="332"/>
      <c r="R1271" s="219"/>
      <c r="S1271" s="332"/>
      <c r="T1271" s="219"/>
      <c r="U1271" s="332"/>
      <c r="V1271" s="332"/>
      <c r="W1271" s="370"/>
      <c r="X1271" s="370"/>
      <c r="Y1271" s="370"/>
      <c r="Z1271" s="370"/>
      <c r="AA1271" s="370"/>
      <c r="AB1271" s="370"/>
      <c r="AC1271" s="370"/>
      <c r="AD1271" s="370"/>
      <c r="AE1271" s="370"/>
      <c r="AF1271" s="370"/>
      <c r="AG1271" s="370"/>
      <c r="AH1271" s="370"/>
      <c r="AI1271" s="370"/>
      <c r="AJ1271" s="370"/>
      <c r="AL1271" s="219"/>
      <c r="AM1271" s="219"/>
      <c r="AN1271" s="219"/>
      <c r="AO1271" s="116"/>
      <c r="AP1271" s="116"/>
      <c r="AU1271" s="332"/>
      <c r="AV1271" s="332"/>
      <c r="AW1271" s="332"/>
      <c r="AX1271" s="332"/>
      <c r="AY1271" s="332"/>
      <c r="AZ1271" s="332"/>
      <c r="BA1271" s="332"/>
      <c r="BB1271" s="31"/>
      <c r="BC1271" s="31"/>
      <c r="BD1271" s="31"/>
      <c r="BE1271" s="31"/>
    </row>
    <row r="1272" spans="1:57" ht="13">
      <c r="A1272" s="153"/>
      <c r="F1272" s="153"/>
      <c r="G1272" s="116"/>
      <c r="H1272" s="116"/>
      <c r="I1272" s="116"/>
      <c r="J1272" s="116"/>
      <c r="K1272" s="219"/>
      <c r="L1272" s="116"/>
      <c r="M1272" s="31"/>
      <c r="N1272" s="336"/>
      <c r="O1272" s="336"/>
      <c r="P1272" s="219"/>
      <c r="Q1272" s="332"/>
      <c r="R1272" s="219"/>
      <c r="S1272" s="332"/>
      <c r="T1272" s="219"/>
      <c r="U1272" s="332"/>
      <c r="V1272" s="332"/>
      <c r="W1272" s="370"/>
      <c r="X1272" s="370"/>
      <c r="Y1272" s="370"/>
      <c r="Z1272" s="370"/>
      <c r="AA1272" s="370"/>
      <c r="AB1272" s="370"/>
      <c r="AC1272" s="370"/>
      <c r="AD1272" s="370"/>
      <c r="AE1272" s="370"/>
      <c r="AF1272" s="370"/>
      <c r="AG1272" s="370"/>
      <c r="AH1272" s="370"/>
      <c r="AI1272" s="370"/>
      <c r="AJ1272" s="370"/>
      <c r="AL1272" s="219"/>
      <c r="AM1272" s="219"/>
      <c r="AN1272" s="219"/>
      <c r="AO1272" s="116"/>
      <c r="AP1272" s="116"/>
      <c r="AU1272" s="332"/>
      <c r="AV1272" s="332"/>
      <c r="AW1272" s="332"/>
      <c r="AX1272" s="332"/>
      <c r="AY1272" s="332"/>
      <c r="AZ1272" s="332"/>
      <c r="BA1272" s="332"/>
      <c r="BB1272" s="31"/>
      <c r="BC1272" s="31"/>
      <c r="BD1272" s="31"/>
      <c r="BE1272" s="31"/>
    </row>
    <row r="1273" spans="1:57" ht="13">
      <c r="A1273" s="153"/>
      <c r="F1273" s="153"/>
      <c r="G1273" s="116"/>
      <c r="H1273" s="116"/>
      <c r="I1273" s="116"/>
      <c r="J1273" s="116"/>
      <c r="K1273" s="219"/>
      <c r="L1273" s="116"/>
      <c r="M1273" s="31"/>
      <c r="N1273" s="336"/>
      <c r="O1273" s="336"/>
      <c r="P1273" s="219"/>
      <c r="Q1273" s="332"/>
      <c r="R1273" s="219"/>
      <c r="S1273" s="332"/>
      <c r="T1273" s="219"/>
      <c r="U1273" s="332"/>
      <c r="V1273" s="332"/>
      <c r="W1273" s="370"/>
      <c r="X1273" s="370"/>
      <c r="Y1273" s="370"/>
      <c r="Z1273" s="370"/>
      <c r="AA1273" s="370"/>
      <c r="AB1273" s="370"/>
      <c r="AC1273" s="370"/>
      <c r="AD1273" s="370"/>
      <c r="AE1273" s="370"/>
      <c r="AF1273" s="370"/>
      <c r="AG1273" s="370"/>
      <c r="AH1273" s="370"/>
      <c r="AI1273" s="370"/>
      <c r="AJ1273" s="370"/>
      <c r="AL1273" s="219"/>
      <c r="AM1273" s="219"/>
      <c r="AN1273" s="219"/>
      <c r="AO1273" s="116"/>
      <c r="AP1273" s="116"/>
      <c r="AU1273" s="332"/>
      <c r="AV1273" s="332"/>
      <c r="AW1273" s="332"/>
      <c r="AX1273" s="332"/>
      <c r="AY1273" s="332"/>
      <c r="AZ1273" s="332"/>
      <c r="BA1273" s="332"/>
      <c r="BB1273" s="31"/>
      <c r="BC1273" s="31"/>
      <c r="BD1273" s="31"/>
      <c r="BE1273" s="31"/>
    </row>
    <row r="1274" spans="1:57" ht="13">
      <c r="A1274" s="153"/>
      <c r="F1274" s="153"/>
      <c r="G1274" s="116"/>
      <c r="H1274" s="116"/>
      <c r="I1274" s="116"/>
      <c r="J1274" s="116"/>
      <c r="K1274" s="219"/>
      <c r="L1274" s="116"/>
      <c r="M1274" s="31"/>
      <c r="N1274" s="336"/>
      <c r="O1274" s="336"/>
      <c r="P1274" s="219"/>
      <c r="Q1274" s="332"/>
      <c r="R1274" s="219"/>
      <c r="S1274" s="332"/>
      <c r="T1274" s="219"/>
      <c r="U1274" s="332"/>
      <c r="V1274" s="332"/>
      <c r="W1274" s="370"/>
      <c r="X1274" s="370"/>
      <c r="Y1274" s="370"/>
      <c r="Z1274" s="370"/>
      <c r="AA1274" s="370"/>
      <c r="AB1274" s="370"/>
      <c r="AC1274" s="370"/>
      <c r="AD1274" s="370"/>
      <c r="AE1274" s="370"/>
      <c r="AF1274" s="370"/>
      <c r="AG1274" s="370"/>
      <c r="AH1274" s="370"/>
      <c r="AI1274" s="370"/>
      <c r="AJ1274" s="370"/>
      <c r="AL1274" s="219"/>
      <c r="AM1274" s="219"/>
      <c r="AN1274" s="219"/>
      <c r="AO1274" s="116"/>
      <c r="AP1274" s="116"/>
      <c r="AU1274" s="332"/>
      <c r="AV1274" s="332"/>
      <c r="AW1274" s="332"/>
      <c r="AX1274" s="332"/>
      <c r="AY1274" s="332"/>
      <c r="AZ1274" s="332"/>
      <c r="BA1274" s="332"/>
      <c r="BB1274" s="31"/>
      <c r="BC1274" s="31"/>
      <c r="BD1274" s="31"/>
      <c r="BE1274" s="31"/>
    </row>
    <row r="1275" spans="1:57" ht="13">
      <c r="A1275" s="153"/>
      <c r="F1275" s="153"/>
      <c r="G1275" s="116"/>
      <c r="H1275" s="116"/>
      <c r="I1275" s="116"/>
      <c r="J1275" s="116"/>
      <c r="K1275" s="219"/>
      <c r="L1275" s="116"/>
      <c r="M1275" s="31"/>
      <c r="N1275" s="336"/>
      <c r="O1275" s="336"/>
      <c r="P1275" s="219"/>
      <c r="Q1275" s="332"/>
      <c r="R1275" s="219"/>
      <c r="S1275" s="332"/>
      <c r="T1275" s="219"/>
      <c r="U1275" s="332"/>
      <c r="V1275" s="332"/>
      <c r="W1275" s="370"/>
      <c r="X1275" s="370"/>
      <c r="Y1275" s="370"/>
      <c r="Z1275" s="370"/>
      <c r="AA1275" s="370"/>
      <c r="AB1275" s="370"/>
      <c r="AC1275" s="370"/>
      <c r="AD1275" s="370"/>
      <c r="AE1275" s="370"/>
      <c r="AF1275" s="370"/>
      <c r="AG1275" s="370"/>
      <c r="AH1275" s="370"/>
      <c r="AI1275" s="370"/>
      <c r="AJ1275" s="370"/>
      <c r="AL1275" s="219"/>
      <c r="AM1275" s="219"/>
      <c r="AN1275" s="219"/>
      <c r="AO1275" s="116"/>
      <c r="AP1275" s="116"/>
      <c r="AU1275" s="332"/>
      <c r="AV1275" s="332"/>
      <c r="AW1275" s="332"/>
      <c r="AX1275" s="332"/>
      <c r="AY1275" s="332"/>
      <c r="AZ1275" s="332"/>
      <c r="BA1275" s="332"/>
      <c r="BB1275" s="31"/>
      <c r="BC1275" s="31"/>
      <c r="BD1275" s="31"/>
      <c r="BE1275" s="31"/>
    </row>
    <row r="1276" spans="1:57" ht="13">
      <c r="A1276" s="153"/>
      <c r="F1276" s="153"/>
      <c r="G1276" s="116"/>
      <c r="H1276" s="116"/>
      <c r="I1276" s="116"/>
      <c r="J1276" s="116"/>
      <c r="K1276" s="219"/>
      <c r="L1276" s="116"/>
      <c r="M1276" s="31"/>
      <c r="N1276" s="336"/>
      <c r="O1276" s="336"/>
      <c r="P1276" s="219"/>
      <c r="Q1276" s="332"/>
      <c r="R1276" s="219"/>
      <c r="S1276" s="332"/>
      <c r="T1276" s="219"/>
      <c r="U1276" s="332"/>
      <c r="V1276" s="332"/>
      <c r="W1276" s="370"/>
      <c r="X1276" s="370"/>
      <c r="Y1276" s="370"/>
      <c r="Z1276" s="370"/>
      <c r="AA1276" s="370"/>
      <c r="AB1276" s="370"/>
      <c r="AC1276" s="370"/>
      <c r="AD1276" s="370"/>
      <c r="AE1276" s="370"/>
      <c r="AF1276" s="370"/>
      <c r="AG1276" s="370"/>
      <c r="AH1276" s="370"/>
      <c r="AI1276" s="370"/>
      <c r="AJ1276" s="370"/>
      <c r="AL1276" s="219"/>
      <c r="AM1276" s="219"/>
      <c r="AN1276" s="219"/>
      <c r="AO1276" s="116"/>
      <c r="AP1276" s="116"/>
      <c r="AU1276" s="332"/>
      <c r="AV1276" s="332"/>
      <c r="AW1276" s="332"/>
      <c r="AX1276" s="332"/>
      <c r="AY1276" s="332"/>
      <c r="AZ1276" s="332"/>
      <c r="BA1276" s="332"/>
      <c r="BB1276" s="31"/>
      <c r="BC1276" s="31"/>
      <c r="BD1276" s="31"/>
      <c r="BE1276" s="31"/>
    </row>
    <row r="1277" spans="1:57" ht="13">
      <c r="A1277" s="153"/>
      <c r="F1277" s="153"/>
      <c r="G1277" s="116"/>
      <c r="H1277" s="116"/>
      <c r="I1277" s="116"/>
      <c r="J1277" s="116"/>
      <c r="K1277" s="219"/>
      <c r="L1277" s="116"/>
      <c r="M1277" s="31"/>
      <c r="N1277" s="336"/>
      <c r="O1277" s="336"/>
      <c r="P1277" s="219"/>
      <c r="Q1277" s="332"/>
      <c r="R1277" s="219"/>
      <c r="S1277" s="332"/>
      <c r="T1277" s="219"/>
      <c r="U1277" s="332"/>
      <c r="V1277" s="332"/>
      <c r="W1277" s="370"/>
      <c r="X1277" s="370"/>
      <c r="Y1277" s="370"/>
      <c r="Z1277" s="370"/>
      <c r="AA1277" s="370"/>
      <c r="AB1277" s="370"/>
      <c r="AC1277" s="370"/>
      <c r="AD1277" s="370"/>
      <c r="AE1277" s="370"/>
      <c r="AF1277" s="370"/>
      <c r="AG1277" s="370"/>
      <c r="AH1277" s="370"/>
      <c r="AI1277" s="370"/>
      <c r="AJ1277" s="370"/>
      <c r="AL1277" s="219"/>
      <c r="AM1277" s="219"/>
      <c r="AN1277" s="219"/>
      <c r="AO1277" s="116"/>
      <c r="AP1277" s="116"/>
      <c r="AU1277" s="332"/>
      <c r="AV1277" s="332"/>
      <c r="AW1277" s="332"/>
      <c r="AX1277" s="332"/>
      <c r="AY1277" s="332"/>
      <c r="AZ1277" s="332"/>
      <c r="BA1277" s="332"/>
      <c r="BB1277" s="31"/>
      <c r="BC1277" s="31"/>
      <c r="BD1277" s="31"/>
      <c r="BE1277" s="31"/>
    </row>
    <row r="1278" spans="1:57" ht="13">
      <c r="A1278" s="153"/>
      <c r="F1278" s="153"/>
      <c r="G1278" s="116"/>
      <c r="H1278" s="116"/>
      <c r="I1278" s="116"/>
      <c r="J1278" s="116"/>
      <c r="K1278" s="219"/>
      <c r="L1278" s="116"/>
      <c r="M1278" s="31"/>
      <c r="N1278" s="336"/>
      <c r="O1278" s="336"/>
      <c r="P1278" s="219"/>
      <c r="Q1278" s="332"/>
      <c r="R1278" s="219"/>
      <c r="S1278" s="332"/>
      <c r="T1278" s="219"/>
      <c r="U1278" s="332"/>
      <c r="V1278" s="332"/>
      <c r="W1278" s="370"/>
      <c r="X1278" s="370"/>
      <c r="Y1278" s="370"/>
      <c r="Z1278" s="370"/>
      <c r="AA1278" s="370"/>
      <c r="AB1278" s="370"/>
      <c r="AC1278" s="370"/>
      <c r="AD1278" s="370"/>
      <c r="AE1278" s="370"/>
      <c r="AF1278" s="370"/>
      <c r="AG1278" s="370"/>
      <c r="AH1278" s="370"/>
      <c r="AI1278" s="370"/>
      <c r="AJ1278" s="370"/>
      <c r="AL1278" s="219"/>
      <c r="AM1278" s="219"/>
      <c r="AN1278" s="219"/>
      <c r="AO1278" s="116"/>
      <c r="AP1278" s="116"/>
      <c r="AU1278" s="332"/>
      <c r="AV1278" s="332"/>
      <c r="AW1278" s="332"/>
      <c r="AX1278" s="332"/>
      <c r="AY1278" s="332"/>
      <c r="AZ1278" s="332"/>
      <c r="BA1278" s="332"/>
      <c r="BB1278" s="31"/>
      <c r="BC1278" s="31"/>
      <c r="BD1278" s="31"/>
      <c r="BE1278" s="31"/>
    </row>
    <row r="1279" spans="1:57" ht="13">
      <c r="A1279" s="153"/>
      <c r="F1279" s="153"/>
      <c r="G1279" s="116"/>
      <c r="H1279" s="116"/>
      <c r="I1279" s="116"/>
      <c r="J1279" s="116"/>
      <c r="K1279" s="219"/>
      <c r="L1279" s="116"/>
      <c r="M1279" s="31"/>
      <c r="N1279" s="336"/>
      <c r="O1279" s="336"/>
      <c r="P1279" s="219"/>
      <c r="Q1279" s="332"/>
      <c r="R1279" s="219"/>
      <c r="S1279" s="332"/>
      <c r="T1279" s="219"/>
      <c r="U1279" s="332"/>
      <c r="V1279" s="332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  <c r="AH1279" s="370"/>
      <c r="AI1279" s="370"/>
      <c r="AJ1279" s="370"/>
      <c r="AL1279" s="219"/>
      <c r="AM1279" s="219"/>
      <c r="AN1279" s="219"/>
      <c r="AO1279" s="116"/>
      <c r="AP1279" s="116"/>
      <c r="AU1279" s="332"/>
      <c r="AV1279" s="332"/>
      <c r="AW1279" s="332"/>
      <c r="AX1279" s="332"/>
      <c r="AY1279" s="332"/>
      <c r="AZ1279" s="332"/>
      <c r="BA1279" s="332"/>
      <c r="BB1279" s="31"/>
      <c r="BC1279" s="31"/>
      <c r="BD1279" s="31"/>
      <c r="BE1279" s="31"/>
    </row>
    <row r="1280" spans="1:57" ht="13">
      <c r="A1280" s="153"/>
      <c r="F1280" s="153"/>
      <c r="G1280" s="116"/>
      <c r="H1280" s="116"/>
      <c r="I1280" s="116"/>
      <c r="J1280" s="116"/>
      <c r="K1280" s="219"/>
      <c r="L1280" s="116"/>
      <c r="M1280" s="31"/>
      <c r="N1280" s="336"/>
      <c r="O1280" s="336"/>
      <c r="P1280" s="219"/>
      <c r="Q1280" s="332"/>
      <c r="R1280" s="219"/>
      <c r="S1280" s="332"/>
      <c r="T1280" s="219"/>
      <c r="U1280" s="332"/>
      <c r="V1280" s="332"/>
      <c r="W1280" s="370"/>
      <c r="X1280" s="370"/>
      <c r="Y1280" s="370"/>
      <c r="Z1280" s="370"/>
      <c r="AA1280" s="370"/>
      <c r="AB1280" s="370"/>
      <c r="AC1280" s="370"/>
      <c r="AD1280" s="370"/>
      <c r="AE1280" s="370"/>
      <c r="AF1280" s="370"/>
      <c r="AG1280" s="370"/>
      <c r="AH1280" s="370"/>
      <c r="AI1280" s="370"/>
      <c r="AJ1280" s="370"/>
      <c r="AL1280" s="219"/>
      <c r="AM1280" s="219"/>
      <c r="AN1280" s="219"/>
      <c r="AO1280" s="116"/>
      <c r="AP1280" s="116"/>
      <c r="AU1280" s="332"/>
      <c r="AV1280" s="332"/>
      <c r="AW1280" s="332"/>
      <c r="AX1280" s="332"/>
      <c r="AY1280" s="332"/>
      <c r="AZ1280" s="332"/>
      <c r="BA1280" s="332"/>
      <c r="BB1280" s="31"/>
      <c r="BC1280" s="31"/>
      <c r="BD1280" s="31"/>
      <c r="BE1280" s="31"/>
    </row>
    <row r="1281" spans="1:57" ht="13">
      <c r="A1281" s="153"/>
      <c r="F1281" s="153"/>
      <c r="G1281" s="116"/>
      <c r="H1281" s="116"/>
      <c r="I1281" s="116"/>
      <c r="J1281" s="116"/>
      <c r="K1281" s="219"/>
      <c r="L1281" s="116"/>
      <c r="M1281" s="31"/>
      <c r="N1281" s="336"/>
      <c r="O1281" s="336"/>
      <c r="P1281" s="219"/>
      <c r="Q1281" s="332"/>
      <c r="R1281" s="219"/>
      <c r="S1281" s="332"/>
      <c r="T1281" s="219"/>
      <c r="U1281" s="332"/>
      <c r="V1281" s="332"/>
      <c r="W1281" s="370"/>
      <c r="X1281" s="370"/>
      <c r="Y1281" s="370"/>
      <c r="Z1281" s="370"/>
      <c r="AA1281" s="370"/>
      <c r="AB1281" s="370"/>
      <c r="AC1281" s="370"/>
      <c r="AD1281" s="370"/>
      <c r="AE1281" s="370"/>
      <c r="AF1281" s="370"/>
      <c r="AG1281" s="370"/>
      <c r="AH1281" s="370"/>
      <c r="AI1281" s="370"/>
      <c r="AJ1281" s="370"/>
      <c r="AL1281" s="219"/>
      <c r="AM1281" s="219"/>
      <c r="AN1281" s="219"/>
      <c r="AO1281" s="116"/>
      <c r="AP1281" s="116"/>
      <c r="AU1281" s="332"/>
      <c r="AV1281" s="332"/>
      <c r="AW1281" s="332"/>
      <c r="AX1281" s="332"/>
      <c r="AY1281" s="332"/>
      <c r="AZ1281" s="332"/>
      <c r="BA1281" s="332"/>
      <c r="BB1281" s="31"/>
      <c r="BC1281" s="31"/>
      <c r="BD1281" s="31"/>
      <c r="BE1281" s="31"/>
    </row>
    <row r="1282" spans="1:57" ht="13">
      <c r="A1282" s="153"/>
      <c r="F1282" s="153"/>
      <c r="G1282" s="116"/>
      <c r="H1282" s="116"/>
      <c r="I1282" s="116"/>
      <c r="J1282" s="116"/>
      <c r="K1282" s="219"/>
      <c r="L1282" s="116"/>
      <c r="M1282" s="31"/>
      <c r="N1282" s="336"/>
      <c r="O1282" s="336"/>
      <c r="P1282" s="219"/>
      <c r="Q1282" s="332"/>
      <c r="R1282" s="219"/>
      <c r="S1282" s="332"/>
      <c r="T1282" s="219"/>
      <c r="U1282" s="332"/>
      <c r="V1282" s="332"/>
      <c r="W1282" s="370"/>
      <c r="X1282" s="370"/>
      <c r="Y1282" s="370"/>
      <c r="Z1282" s="370"/>
      <c r="AA1282" s="370"/>
      <c r="AB1282" s="370"/>
      <c r="AC1282" s="370"/>
      <c r="AD1282" s="370"/>
      <c r="AE1282" s="370"/>
      <c r="AF1282" s="370"/>
      <c r="AG1282" s="370"/>
      <c r="AH1282" s="370"/>
      <c r="AI1282" s="370"/>
      <c r="AJ1282" s="370"/>
      <c r="AL1282" s="219"/>
      <c r="AM1282" s="219"/>
      <c r="AN1282" s="219"/>
      <c r="AO1282" s="116"/>
      <c r="AP1282" s="116"/>
      <c r="AU1282" s="332"/>
      <c r="AV1282" s="332"/>
      <c r="AW1282" s="332"/>
      <c r="AX1282" s="332"/>
      <c r="AY1282" s="332"/>
      <c r="AZ1282" s="332"/>
      <c r="BA1282" s="332"/>
      <c r="BB1282" s="31"/>
      <c r="BC1282" s="31"/>
      <c r="BD1282" s="31"/>
      <c r="BE1282" s="31"/>
    </row>
    <row r="1283" spans="1:57" ht="13">
      <c r="A1283" s="153"/>
      <c r="F1283" s="153"/>
      <c r="G1283" s="116"/>
      <c r="H1283" s="116"/>
      <c r="I1283" s="116"/>
      <c r="J1283" s="116"/>
      <c r="K1283" s="219"/>
      <c r="L1283" s="116"/>
      <c r="M1283" s="31"/>
      <c r="N1283" s="336"/>
      <c r="O1283" s="336"/>
      <c r="P1283" s="219"/>
      <c r="Q1283" s="332"/>
      <c r="R1283" s="219"/>
      <c r="S1283" s="332"/>
      <c r="T1283" s="219"/>
      <c r="U1283" s="332"/>
      <c r="V1283" s="332"/>
      <c r="W1283" s="370"/>
      <c r="X1283" s="370"/>
      <c r="Y1283" s="370"/>
      <c r="Z1283" s="370"/>
      <c r="AA1283" s="370"/>
      <c r="AB1283" s="370"/>
      <c r="AC1283" s="370"/>
      <c r="AD1283" s="370"/>
      <c r="AE1283" s="370"/>
      <c r="AF1283" s="370"/>
      <c r="AG1283" s="370"/>
      <c r="AH1283" s="370"/>
      <c r="AI1283" s="370"/>
      <c r="AJ1283" s="370"/>
      <c r="AL1283" s="219"/>
      <c r="AM1283" s="219"/>
      <c r="AN1283" s="219"/>
      <c r="AO1283" s="116"/>
      <c r="AP1283" s="116"/>
      <c r="AU1283" s="332"/>
      <c r="AV1283" s="332"/>
      <c r="AW1283" s="332"/>
      <c r="AX1283" s="332"/>
      <c r="AY1283" s="332"/>
      <c r="AZ1283" s="332"/>
      <c r="BA1283" s="332"/>
      <c r="BB1283" s="31"/>
      <c r="BC1283" s="31"/>
      <c r="BD1283" s="31"/>
      <c r="BE1283" s="31"/>
    </row>
    <row r="1284" spans="1:57" ht="13">
      <c r="A1284" s="153"/>
      <c r="F1284" s="153"/>
      <c r="G1284" s="116"/>
      <c r="H1284" s="116"/>
      <c r="I1284" s="116"/>
      <c r="J1284" s="116"/>
      <c r="K1284" s="219"/>
      <c r="L1284" s="116"/>
      <c r="M1284" s="31"/>
      <c r="N1284" s="336"/>
      <c r="O1284" s="336"/>
      <c r="P1284" s="219"/>
      <c r="Q1284" s="332"/>
      <c r="R1284" s="219"/>
      <c r="S1284" s="332"/>
      <c r="T1284" s="219"/>
      <c r="U1284" s="332"/>
      <c r="V1284" s="332"/>
      <c r="W1284" s="370"/>
      <c r="X1284" s="370"/>
      <c r="Y1284" s="370"/>
      <c r="Z1284" s="370"/>
      <c r="AA1284" s="370"/>
      <c r="AB1284" s="370"/>
      <c r="AC1284" s="370"/>
      <c r="AD1284" s="370"/>
      <c r="AE1284" s="370"/>
      <c r="AF1284" s="370"/>
      <c r="AG1284" s="370"/>
      <c r="AH1284" s="370"/>
      <c r="AI1284" s="370"/>
      <c r="AJ1284" s="370"/>
      <c r="AL1284" s="219"/>
      <c r="AM1284" s="219"/>
      <c r="AN1284" s="219"/>
      <c r="AO1284" s="116"/>
      <c r="AP1284" s="116"/>
      <c r="AU1284" s="332"/>
      <c r="AV1284" s="332"/>
      <c r="AW1284" s="332"/>
      <c r="AX1284" s="332"/>
      <c r="AY1284" s="332"/>
      <c r="AZ1284" s="332"/>
      <c r="BA1284" s="332"/>
      <c r="BB1284" s="31"/>
      <c r="BC1284" s="31"/>
      <c r="BD1284" s="31"/>
      <c r="BE1284" s="31"/>
    </row>
    <row r="1285" spans="1:57" ht="13">
      <c r="A1285" s="153"/>
      <c r="F1285" s="153"/>
      <c r="G1285" s="116"/>
      <c r="H1285" s="116"/>
      <c r="I1285" s="116"/>
      <c r="J1285" s="116"/>
      <c r="K1285" s="219"/>
      <c r="L1285" s="116"/>
      <c r="M1285" s="31"/>
      <c r="N1285" s="336"/>
      <c r="O1285" s="336"/>
      <c r="P1285" s="219"/>
      <c r="Q1285" s="332"/>
      <c r="R1285" s="219"/>
      <c r="S1285" s="332"/>
      <c r="T1285" s="219"/>
      <c r="U1285" s="332"/>
      <c r="V1285" s="332"/>
      <c r="W1285" s="370"/>
      <c r="X1285" s="370"/>
      <c r="Y1285" s="370"/>
      <c r="Z1285" s="370"/>
      <c r="AA1285" s="370"/>
      <c r="AB1285" s="370"/>
      <c r="AC1285" s="370"/>
      <c r="AD1285" s="370"/>
      <c r="AE1285" s="370"/>
      <c r="AF1285" s="370"/>
      <c r="AG1285" s="370"/>
      <c r="AH1285" s="370"/>
      <c r="AI1285" s="370"/>
      <c r="AJ1285" s="370"/>
      <c r="AL1285" s="219"/>
      <c r="AM1285" s="219"/>
      <c r="AN1285" s="219"/>
      <c r="AO1285" s="116"/>
      <c r="AP1285" s="116"/>
      <c r="AU1285" s="332"/>
      <c r="AV1285" s="332"/>
      <c r="AW1285" s="332"/>
      <c r="AX1285" s="332"/>
      <c r="AY1285" s="332"/>
      <c r="AZ1285" s="332"/>
      <c r="BA1285" s="332"/>
      <c r="BB1285" s="31"/>
      <c r="BC1285" s="31"/>
      <c r="BD1285" s="31"/>
      <c r="BE1285" s="31"/>
    </row>
    <row r="1286" spans="1:57" ht="13">
      <c r="A1286" s="153"/>
      <c r="F1286" s="153"/>
      <c r="G1286" s="116"/>
      <c r="H1286" s="116"/>
      <c r="I1286" s="116"/>
      <c r="J1286" s="116"/>
      <c r="K1286" s="219"/>
      <c r="L1286" s="116"/>
      <c r="M1286" s="31"/>
      <c r="N1286" s="336"/>
      <c r="O1286" s="336"/>
      <c r="P1286" s="219"/>
      <c r="Q1286" s="332"/>
      <c r="R1286" s="219"/>
      <c r="S1286" s="332"/>
      <c r="T1286" s="219"/>
      <c r="U1286" s="332"/>
      <c r="V1286" s="332"/>
      <c r="W1286" s="370"/>
      <c r="X1286" s="370"/>
      <c r="Y1286" s="370"/>
      <c r="Z1286" s="370"/>
      <c r="AA1286" s="370"/>
      <c r="AB1286" s="370"/>
      <c r="AC1286" s="370"/>
      <c r="AD1286" s="370"/>
      <c r="AE1286" s="370"/>
      <c r="AF1286" s="370"/>
      <c r="AG1286" s="370"/>
      <c r="AH1286" s="370"/>
      <c r="AI1286" s="370"/>
      <c r="AJ1286" s="370"/>
      <c r="AL1286" s="219"/>
      <c r="AM1286" s="219"/>
      <c r="AN1286" s="219"/>
      <c r="AO1286" s="116"/>
      <c r="AP1286" s="116"/>
      <c r="AU1286" s="332"/>
      <c r="AV1286" s="332"/>
      <c r="AW1286" s="332"/>
      <c r="AX1286" s="332"/>
      <c r="AY1286" s="332"/>
      <c r="AZ1286" s="332"/>
      <c r="BA1286" s="332"/>
      <c r="BB1286" s="31"/>
      <c r="BC1286" s="31"/>
      <c r="BD1286" s="31"/>
      <c r="BE1286" s="31"/>
    </row>
    <row r="1287" spans="1:57" ht="13">
      <c r="A1287" s="153"/>
      <c r="F1287" s="153"/>
      <c r="G1287" s="116"/>
      <c r="H1287" s="116"/>
      <c r="I1287" s="116"/>
      <c r="J1287" s="116"/>
      <c r="K1287" s="219"/>
      <c r="L1287" s="116"/>
      <c r="M1287" s="31"/>
      <c r="N1287" s="336"/>
      <c r="O1287" s="336"/>
      <c r="P1287" s="219"/>
      <c r="Q1287" s="332"/>
      <c r="R1287" s="219"/>
      <c r="S1287" s="332"/>
      <c r="T1287" s="219"/>
      <c r="U1287" s="332"/>
      <c r="V1287" s="332"/>
      <c r="W1287" s="370"/>
      <c r="X1287" s="370"/>
      <c r="Y1287" s="370"/>
      <c r="Z1287" s="370"/>
      <c r="AA1287" s="370"/>
      <c r="AB1287" s="370"/>
      <c r="AC1287" s="370"/>
      <c r="AD1287" s="370"/>
      <c r="AE1287" s="370"/>
      <c r="AF1287" s="370"/>
      <c r="AG1287" s="370"/>
      <c r="AH1287" s="370"/>
      <c r="AI1287" s="370"/>
      <c r="AJ1287" s="370"/>
      <c r="AL1287" s="219"/>
      <c r="AM1287" s="219"/>
      <c r="AN1287" s="219"/>
      <c r="AO1287" s="116"/>
      <c r="AP1287" s="116"/>
      <c r="AU1287" s="332"/>
      <c r="AV1287" s="332"/>
      <c r="AW1287" s="332"/>
      <c r="AX1287" s="332"/>
      <c r="AY1287" s="332"/>
      <c r="AZ1287" s="332"/>
      <c r="BA1287" s="332"/>
      <c r="BB1287" s="31"/>
      <c r="BC1287" s="31"/>
      <c r="BD1287" s="31"/>
      <c r="BE1287" s="31"/>
    </row>
    <row r="1288" spans="1:57" ht="13">
      <c r="A1288" s="153"/>
      <c r="F1288" s="153"/>
      <c r="G1288" s="116"/>
      <c r="H1288" s="116"/>
      <c r="I1288" s="116"/>
      <c r="J1288" s="116"/>
      <c r="K1288" s="219"/>
      <c r="L1288" s="116"/>
      <c r="M1288" s="31"/>
      <c r="N1288" s="336"/>
      <c r="O1288" s="336"/>
      <c r="P1288" s="219"/>
      <c r="Q1288" s="332"/>
      <c r="R1288" s="219"/>
      <c r="S1288" s="332"/>
      <c r="T1288" s="219"/>
      <c r="U1288" s="332"/>
      <c r="V1288" s="332"/>
      <c r="W1288" s="370"/>
      <c r="X1288" s="370"/>
      <c r="Y1288" s="370"/>
      <c r="Z1288" s="370"/>
      <c r="AA1288" s="370"/>
      <c r="AB1288" s="370"/>
      <c r="AC1288" s="370"/>
      <c r="AD1288" s="370"/>
      <c r="AE1288" s="370"/>
      <c r="AF1288" s="370"/>
      <c r="AG1288" s="370"/>
      <c r="AH1288" s="370"/>
      <c r="AI1288" s="370"/>
      <c r="AJ1288" s="370"/>
      <c r="AL1288" s="219"/>
      <c r="AM1288" s="219"/>
      <c r="AN1288" s="219"/>
      <c r="AO1288" s="116"/>
      <c r="AP1288" s="116"/>
      <c r="AU1288" s="332"/>
      <c r="AV1288" s="332"/>
      <c r="AW1288" s="332"/>
      <c r="AX1288" s="332"/>
      <c r="AY1288" s="332"/>
      <c r="AZ1288" s="332"/>
      <c r="BA1288" s="332"/>
      <c r="BB1288" s="31"/>
      <c r="BC1288" s="31"/>
      <c r="BD1288" s="31"/>
      <c r="BE1288" s="31"/>
    </row>
    <row r="1289" spans="1:57" ht="13">
      <c r="A1289" s="153"/>
      <c r="F1289" s="153"/>
      <c r="G1289" s="116"/>
      <c r="H1289" s="116"/>
      <c r="I1289" s="116"/>
      <c r="J1289" s="116"/>
      <c r="K1289" s="219"/>
      <c r="L1289" s="116"/>
      <c r="M1289" s="31"/>
      <c r="N1289" s="336"/>
      <c r="O1289" s="336"/>
      <c r="P1289" s="219"/>
      <c r="Q1289" s="332"/>
      <c r="R1289" s="219"/>
      <c r="S1289" s="332"/>
      <c r="T1289" s="219"/>
      <c r="U1289" s="332"/>
      <c r="V1289" s="332"/>
      <c r="W1289" s="370"/>
      <c r="X1289" s="370"/>
      <c r="Y1289" s="370"/>
      <c r="Z1289" s="370"/>
      <c r="AA1289" s="370"/>
      <c r="AB1289" s="370"/>
      <c r="AC1289" s="370"/>
      <c r="AD1289" s="370"/>
      <c r="AE1289" s="370"/>
      <c r="AF1289" s="370"/>
      <c r="AG1289" s="370"/>
      <c r="AH1289" s="370"/>
      <c r="AI1289" s="370"/>
      <c r="AJ1289" s="370"/>
      <c r="AL1289" s="219"/>
      <c r="AM1289" s="219"/>
      <c r="AN1289" s="219"/>
      <c r="AO1289" s="116"/>
      <c r="AP1289" s="116"/>
      <c r="AU1289" s="332"/>
      <c r="AV1289" s="332"/>
      <c r="AW1289" s="332"/>
      <c r="AX1289" s="332"/>
      <c r="AY1289" s="332"/>
      <c r="AZ1289" s="332"/>
      <c r="BA1289" s="332"/>
      <c r="BB1289" s="31"/>
      <c r="BC1289" s="31"/>
      <c r="BD1289" s="31"/>
      <c r="BE1289" s="31"/>
    </row>
    <row r="1290" spans="1:57" ht="13">
      <c r="A1290" s="153"/>
      <c r="F1290" s="153"/>
      <c r="G1290" s="116"/>
      <c r="H1290" s="116"/>
      <c r="I1290" s="116"/>
      <c r="J1290" s="116"/>
      <c r="K1290" s="219"/>
      <c r="L1290" s="116"/>
      <c r="M1290" s="31"/>
      <c r="N1290" s="336"/>
      <c r="O1290" s="336"/>
      <c r="P1290" s="219"/>
      <c r="Q1290" s="332"/>
      <c r="R1290" s="219"/>
      <c r="S1290" s="332"/>
      <c r="T1290" s="219"/>
      <c r="U1290" s="332"/>
      <c r="V1290" s="332"/>
      <c r="W1290" s="370"/>
      <c r="X1290" s="370"/>
      <c r="Y1290" s="370"/>
      <c r="Z1290" s="370"/>
      <c r="AA1290" s="370"/>
      <c r="AB1290" s="370"/>
      <c r="AC1290" s="370"/>
      <c r="AD1290" s="370"/>
      <c r="AE1290" s="370"/>
      <c r="AF1290" s="370"/>
      <c r="AG1290" s="370"/>
      <c r="AH1290" s="370"/>
      <c r="AI1290" s="370"/>
      <c r="AJ1290" s="370"/>
      <c r="AL1290" s="219"/>
      <c r="AM1290" s="219"/>
      <c r="AN1290" s="219"/>
      <c r="AO1290" s="116"/>
      <c r="AP1290" s="116"/>
      <c r="AU1290" s="332"/>
      <c r="AV1290" s="332"/>
      <c r="AW1290" s="332"/>
      <c r="AX1290" s="332"/>
      <c r="AY1290" s="332"/>
      <c r="AZ1290" s="332"/>
      <c r="BA1290" s="332"/>
      <c r="BB1290" s="31"/>
      <c r="BC1290" s="31"/>
      <c r="BD1290" s="31"/>
      <c r="BE1290" s="31"/>
    </row>
    <row r="1291" spans="1:57" ht="13">
      <c r="A1291" s="153"/>
      <c r="F1291" s="153"/>
      <c r="G1291" s="116"/>
      <c r="H1291" s="116"/>
      <c r="I1291" s="116"/>
      <c r="J1291" s="116"/>
      <c r="K1291" s="219"/>
      <c r="L1291" s="116"/>
      <c r="M1291" s="31"/>
      <c r="N1291" s="336"/>
      <c r="O1291" s="336"/>
      <c r="P1291" s="219"/>
      <c r="Q1291" s="332"/>
      <c r="R1291" s="219"/>
      <c r="S1291" s="332"/>
      <c r="T1291" s="219"/>
      <c r="U1291" s="332"/>
      <c r="V1291" s="332"/>
      <c r="W1291" s="370"/>
      <c r="X1291" s="370"/>
      <c r="Y1291" s="370"/>
      <c r="Z1291" s="370"/>
      <c r="AA1291" s="370"/>
      <c r="AB1291" s="370"/>
      <c r="AC1291" s="370"/>
      <c r="AD1291" s="370"/>
      <c r="AE1291" s="370"/>
      <c r="AF1291" s="370"/>
      <c r="AG1291" s="370"/>
      <c r="AH1291" s="370"/>
      <c r="AI1291" s="370"/>
      <c r="AJ1291" s="370"/>
      <c r="AL1291" s="219"/>
      <c r="AM1291" s="219"/>
      <c r="AN1291" s="219"/>
      <c r="AO1291" s="116"/>
      <c r="AP1291" s="116"/>
      <c r="AU1291" s="332"/>
      <c r="AV1291" s="332"/>
      <c r="AW1291" s="332"/>
      <c r="AX1291" s="332"/>
      <c r="AY1291" s="332"/>
      <c r="AZ1291" s="332"/>
      <c r="BA1291" s="332"/>
      <c r="BB1291" s="31"/>
      <c r="BC1291" s="31"/>
      <c r="BD1291" s="31"/>
      <c r="BE1291" s="31"/>
    </row>
    <row r="1292" spans="1:57" ht="13">
      <c r="A1292" s="153"/>
      <c r="F1292" s="153"/>
      <c r="G1292" s="116"/>
      <c r="H1292" s="116"/>
      <c r="I1292" s="116"/>
      <c r="J1292" s="116"/>
      <c r="K1292" s="219"/>
      <c r="L1292" s="116"/>
      <c r="M1292" s="31"/>
      <c r="N1292" s="336"/>
      <c r="O1292" s="336"/>
      <c r="P1292" s="219"/>
      <c r="Q1292" s="332"/>
      <c r="R1292" s="219"/>
      <c r="S1292" s="332"/>
      <c r="T1292" s="219"/>
      <c r="U1292" s="332"/>
      <c r="V1292" s="332"/>
      <c r="W1292" s="370"/>
      <c r="X1292" s="370"/>
      <c r="Y1292" s="370"/>
      <c r="Z1292" s="370"/>
      <c r="AA1292" s="370"/>
      <c r="AB1292" s="370"/>
      <c r="AC1292" s="370"/>
      <c r="AD1292" s="370"/>
      <c r="AE1292" s="370"/>
      <c r="AF1292" s="370"/>
      <c r="AG1292" s="370"/>
      <c r="AH1292" s="370"/>
      <c r="AI1292" s="370"/>
      <c r="AJ1292" s="370"/>
      <c r="AL1292" s="219"/>
      <c r="AM1292" s="219"/>
      <c r="AN1292" s="219"/>
      <c r="AO1292" s="116"/>
      <c r="AP1292" s="116"/>
      <c r="AU1292" s="332"/>
      <c r="AV1292" s="332"/>
      <c r="AW1292" s="332"/>
      <c r="AX1292" s="332"/>
      <c r="AY1292" s="332"/>
      <c r="AZ1292" s="332"/>
      <c r="BA1292" s="332"/>
      <c r="BB1292" s="31"/>
      <c r="BC1292" s="31"/>
      <c r="BD1292" s="31"/>
      <c r="BE1292" s="31"/>
    </row>
    <row r="1293" spans="1:57" ht="13">
      <c r="A1293" s="153"/>
      <c r="F1293" s="153"/>
      <c r="G1293" s="116"/>
      <c r="H1293" s="116"/>
      <c r="I1293" s="116"/>
      <c r="J1293" s="116"/>
      <c r="K1293" s="219"/>
      <c r="L1293" s="116"/>
      <c r="M1293" s="31"/>
      <c r="N1293" s="336"/>
      <c r="O1293" s="336"/>
      <c r="P1293" s="219"/>
      <c r="Q1293" s="332"/>
      <c r="R1293" s="219"/>
      <c r="S1293" s="332"/>
      <c r="T1293" s="219"/>
      <c r="U1293" s="332"/>
      <c r="V1293" s="332"/>
      <c r="W1293" s="370"/>
      <c r="X1293" s="370"/>
      <c r="Y1293" s="370"/>
      <c r="Z1293" s="370"/>
      <c r="AA1293" s="370"/>
      <c r="AB1293" s="370"/>
      <c r="AC1293" s="370"/>
      <c r="AD1293" s="370"/>
      <c r="AE1293" s="370"/>
      <c r="AF1293" s="370"/>
      <c r="AG1293" s="370"/>
      <c r="AH1293" s="370"/>
      <c r="AI1293" s="370"/>
      <c r="AJ1293" s="370"/>
      <c r="AL1293" s="219"/>
      <c r="AM1293" s="219"/>
      <c r="AN1293" s="219"/>
      <c r="AO1293" s="116"/>
      <c r="AP1293" s="116"/>
      <c r="AU1293" s="332"/>
      <c r="AV1293" s="332"/>
      <c r="AW1293" s="332"/>
      <c r="AX1293" s="332"/>
      <c r="AY1293" s="332"/>
      <c r="AZ1293" s="332"/>
      <c r="BA1293" s="332"/>
      <c r="BB1293" s="31"/>
      <c r="BC1293" s="31"/>
      <c r="BD1293" s="31"/>
      <c r="BE1293" s="31"/>
    </row>
    <row r="1294" spans="1:57" ht="13">
      <c r="A1294" s="153"/>
      <c r="F1294" s="153"/>
      <c r="G1294" s="116"/>
      <c r="H1294" s="116"/>
      <c r="I1294" s="116"/>
      <c r="J1294" s="116"/>
      <c r="K1294" s="219"/>
      <c r="L1294" s="116"/>
      <c r="M1294" s="31"/>
      <c r="N1294" s="336"/>
      <c r="O1294" s="336"/>
      <c r="P1294" s="219"/>
      <c r="Q1294" s="332"/>
      <c r="R1294" s="219"/>
      <c r="S1294" s="332"/>
      <c r="T1294" s="219"/>
      <c r="U1294" s="332"/>
      <c r="V1294" s="332"/>
      <c r="W1294" s="370"/>
      <c r="X1294" s="370"/>
      <c r="Y1294" s="370"/>
      <c r="Z1294" s="370"/>
      <c r="AA1294" s="370"/>
      <c r="AB1294" s="370"/>
      <c r="AC1294" s="370"/>
      <c r="AD1294" s="370"/>
      <c r="AE1294" s="370"/>
      <c r="AF1294" s="370"/>
      <c r="AG1294" s="370"/>
      <c r="AH1294" s="370"/>
      <c r="AI1294" s="370"/>
      <c r="AJ1294" s="370"/>
      <c r="AL1294" s="219"/>
      <c r="AM1294" s="219"/>
      <c r="AN1294" s="219"/>
      <c r="AO1294" s="116"/>
      <c r="AP1294" s="116"/>
      <c r="AU1294" s="332"/>
      <c r="AV1294" s="332"/>
      <c r="AW1294" s="332"/>
      <c r="AX1294" s="332"/>
      <c r="AY1294" s="332"/>
      <c r="AZ1294" s="332"/>
      <c r="BA1294" s="332"/>
      <c r="BB1294" s="31"/>
      <c r="BC1294" s="31"/>
      <c r="BD1294" s="31"/>
      <c r="BE1294" s="31"/>
    </row>
    <row r="1295" spans="1:57" ht="13">
      <c r="A1295" s="153"/>
      <c r="F1295" s="153"/>
      <c r="G1295" s="116"/>
      <c r="H1295" s="116"/>
      <c r="I1295" s="116"/>
      <c r="J1295" s="116"/>
      <c r="K1295" s="219"/>
      <c r="L1295" s="116"/>
      <c r="M1295" s="31"/>
      <c r="N1295" s="336"/>
      <c r="O1295" s="336"/>
      <c r="P1295" s="219"/>
      <c r="Q1295" s="332"/>
      <c r="R1295" s="219"/>
      <c r="S1295" s="332"/>
      <c r="T1295" s="219"/>
      <c r="U1295" s="332"/>
      <c r="V1295" s="332"/>
      <c r="W1295" s="370"/>
      <c r="X1295" s="370"/>
      <c r="Y1295" s="370"/>
      <c r="Z1295" s="370"/>
      <c r="AA1295" s="370"/>
      <c r="AB1295" s="370"/>
      <c r="AC1295" s="370"/>
      <c r="AD1295" s="370"/>
      <c r="AE1295" s="370"/>
      <c r="AF1295" s="370"/>
      <c r="AG1295" s="370"/>
      <c r="AH1295" s="370"/>
      <c r="AI1295" s="370"/>
      <c r="AJ1295" s="370"/>
      <c r="AL1295" s="219"/>
      <c r="AM1295" s="219"/>
      <c r="AN1295" s="219"/>
      <c r="AO1295" s="116"/>
      <c r="AP1295" s="116"/>
      <c r="AU1295" s="332"/>
      <c r="AV1295" s="332"/>
      <c r="AW1295" s="332"/>
      <c r="AX1295" s="332"/>
      <c r="AY1295" s="332"/>
      <c r="AZ1295" s="332"/>
      <c r="BA1295" s="332"/>
      <c r="BB1295" s="31"/>
      <c r="BC1295" s="31"/>
      <c r="BD1295" s="31"/>
      <c r="BE1295" s="31"/>
    </row>
    <row r="1296" spans="1:57" ht="13">
      <c r="A1296" s="153"/>
      <c r="F1296" s="153"/>
      <c r="G1296" s="116"/>
      <c r="H1296" s="116"/>
      <c r="I1296" s="116"/>
      <c r="J1296" s="116"/>
      <c r="K1296" s="219"/>
      <c r="L1296" s="116"/>
      <c r="M1296" s="31"/>
      <c r="N1296" s="336"/>
      <c r="O1296" s="336"/>
      <c r="P1296" s="219"/>
      <c r="Q1296" s="332"/>
      <c r="R1296" s="219"/>
      <c r="S1296" s="332"/>
      <c r="T1296" s="219"/>
      <c r="U1296" s="332"/>
      <c r="V1296" s="332"/>
      <c r="W1296" s="370"/>
      <c r="X1296" s="370"/>
      <c r="Y1296" s="370"/>
      <c r="Z1296" s="370"/>
      <c r="AA1296" s="370"/>
      <c r="AB1296" s="370"/>
      <c r="AC1296" s="370"/>
      <c r="AD1296" s="370"/>
      <c r="AE1296" s="370"/>
      <c r="AF1296" s="370"/>
      <c r="AG1296" s="370"/>
      <c r="AH1296" s="370"/>
      <c r="AI1296" s="370"/>
      <c r="AJ1296" s="370"/>
      <c r="AL1296" s="219"/>
      <c r="AM1296" s="219"/>
      <c r="AN1296" s="219"/>
      <c r="AO1296" s="116"/>
      <c r="AP1296" s="116"/>
      <c r="AU1296" s="332"/>
      <c r="AV1296" s="332"/>
      <c r="AW1296" s="332"/>
      <c r="AX1296" s="332"/>
      <c r="AY1296" s="332"/>
      <c r="AZ1296" s="332"/>
      <c r="BA1296" s="332"/>
      <c r="BB1296" s="31"/>
      <c r="BC1296" s="31"/>
      <c r="BD1296" s="31"/>
      <c r="BE1296" s="31"/>
    </row>
    <row r="1297" spans="1:57" ht="13">
      <c r="A1297" s="153"/>
      <c r="F1297" s="153"/>
      <c r="G1297" s="116"/>
      <c r="H1297" s="116"/>
      <c r="I1297" s="116"/>
      <c r="J1297" s="116"/>
      <c r="K1297" s="219"/>
      <c r="L1297" s="116"/>
      <c r="M1297" s="31"/>
      <c r="N1297" s="336"/>
      <c r="O1297" s="336"/>
      <c r="P1297" s="219"/>
      <c r="Q1297" s="332"/>
      <c r="R1297" s="219"/>
      <c r="S1297" s="332"/>
      <c r="T1297" s="219"/>
      <c r="U1297" s="332"/>
      <c r="V1297" s="332"/>
      <c r="W1297" s="370"/>
      <c r="X1297" s="370"/>
      <c r="Y1297" s="370"/>
      <c r="Z1297" s="370"/>
      <c r="AA1297" s="370"/>
      <c r="AB1297" s="370"/>
      <c r="AC1297" s="370"/>
      <c r="AD1297" s="370"/>
      <c r="AE1297" s="370"/>
      <c r="AF1297" s="370"/>
      <c r="AG1297" s="370"/>
      <c r="AH1297" s="370"/>
      <c r="AI1297" s="370"/>
      <c r="AJ1297" s="370"/>
      <c r="AL1297" s="219"/>
      <c r="AM1297" s="219"/>
      <c r="AN1297" s="219"/>
      <c r="AO1297" s="116"/>
      <c r="AP1297" s="116"/>
      <c r="AU1297" s="332"/>
      <c r="AV1297" s="332"/>
      <c r="AW1297" s="332"/>
      <c r="AX1297" s="332"/>
      <c r="AY1297" s="332"/>
      <c r="AZ1297" s="332"/>
      <c r="BA1297" s="332"/>
      <c r="BB1297" s="31"/>
      <c r="BC1297" s="31"/>
      <c r="BD1297" s="31"/>
      <c r="BE1297" s="31"/>
    </row>
    <row r="1298" spans="1:57" ht="13">
      <c r="A1298" s="153"/>
      <c r="F1298" s="153"/>
      <c r="G1298" s="116"/>
      <c r="H1298" s="116"/>
      <c r="I1298" s="116"/>
      <c r="J1298" s="116"/>
      <c r="K1298" s="219"/>
      <c r="L1298" s="116"/>
      <c r="M1298" s="31"/>
      <c r="N1298" s="336"/>
      <c r="O1298" s="336"/>
      <c r="P1298" s="219"/>
      <c r="Q1298" s="332"/>
      <c r="R1298" s="219"/>
      <c r="S1298" s="332"/>
      <c r="T1298" s="219"/>
      <c r="U1298" s="332"/>
      <c r="V1298" s="332"/>
      <c r="W1298" s="370"/>
      <c r="X1298" s="370"/>
      <c r="Y1298" s="370"/>
      <c r="Z1298" s="370"/>
      <c r="AA1298" s="370"/>
      <c r="AB1298" s="370"/>
      <c r="AC1298" s="370"/>
      <c r="AD1298" s="370"/>
      <c r="AE1298" s="370"/>
      <c r="AF1298" s="370"/>
      <c r="AG1298" s="370"/>
      <c r="AH1298" s="370"/>
      <c r="AI1298" s="370"/>
      <c r="AJ1298" s="370"/>
      <c r="AL1298" s="219"/>
      <c r="AM1298" s="219"/>
      <c r="AN1298" s="219"/>
      <c r="AO1298" s="116"/>
      <c r="AP1298" s="116"/>
      <c r="AU1298" s="332"/>
      <c r="AV1298" s="332"/>
      <c r="AW1298" s="332"/>
      <c r="AX1298" s="332"/>
      <c r="AY1298" s="332"/>
      <c r="AZ1298" s="332"/>
      <c r="BA1298" s="332"/>
      <c r="BB1298" s="31"/>
      <c r="BC1298" s="31"/>
      <c r="BD1298" s="31"/>
      <c r="BE1298" s="31"/>
    </row>
    <row r="1299" spans="1:57" ht="13">
      <c r="A1299" s="153"/>
      <c r="F1299" s="153"/>
      <c r="G1299" s="116"/>
      <c r="H1299" s="116"/>
      <c r="I1299" s="116"/>
      <c r="J1299" s="116"/>
      <c r="K1299" s="219"/>
      <c r="L1299" s="116"/>
      <c r="M1299" s="31"/>
      <c r="N1299" s="336"/>
      <c r="O1299" s="336"/>
      <c r="P1299" s="219"/>
      <c r="Q1299" s="332"/>
      <c r="R1299" s="219"/>
      <c r="S1299" s="332"/>
      <c r="T1299" s="219"/>
      <c r="U1299" s="332"/>
      <c r="V1299" s="332"/>
      <c r="W1299" s="370"/>
      <c r="X1299" s="370"/>
      <c r="Y1299" s="370"/>
      <c r="Z1299" s="370"/>
      <c r="AA1299" s="370"/>
      <c r="AB1299" s="370"/>
      <c r="AC1299" s="370"/>
      <c r="AD1299" s="370"/>
      <c r="AE1299" s="370"/>
      <c r="AF1299" s="370"/>
      <c r="AG1299" s="370"/>
      <c r="AH1299" s="370"/>
      <c r="AI1299" s="370"/>
      <c r="AJ1299" s="370"/>
      <c r="AL1299" s="219"/>
      <c r="AM1299" s="219"/>
      <c r="AN1299" s="219"/>
      <c r="AO1299" s="116"/>
      <c r="AP1299" s="116"/>
      <c r="AU1299" s="332"/>
      <c r="AV1299" s="332"/>
      <c r="AW1299" s="332"/>
      <c r="AX1299" s="332"/>
      <c r="AY1299" s="332"/>
      <c r="AZ1299" s="332"/>
      <c r="BA1299" s="332"/>
      <c r="BB1299" s="31"/>
      <c r="BC1299" s="31"/>
      <c r="BD1299" s="31"/>
      <c r="BE1299" s="31"/>
    </row>
    <row r="1300" spans="1:57" ht="13">
      <c r="A1300" s="153"/>
      <c r="F1300" s="153"/>
      <c r="G1300" s="116"/>
      <c r="H1300" s="116"/>
      <c r="I1300" s="116"/>
      <c r="J1300" s="116"/>
      <c r="K1300" s="219"/>
      <c r="L1300" s="116"/>
      <c r="M1300" s="31"/>
      <c r="N1300" s="336"/>
      <c r="O1300" s="336"/>
      <c r="P1300" s="219"/>
      <c r="Q1300" s="332"/>
      <c r="R1300" s="219"/>
      <c r="S1300" s="332"/>
      <c r="T1300" s="219"/>
      <c r="U1300" s="332"/>
      <c r="V1300" s="332"/>
      <c r="W1300" s="370"/>
      <c r="X1300" s="370"/>
      <c r="Y1300" s="370"/>
      <c r="Z1300" s="370"/>
      <c r="AA1300" s="370"/>
      <c r="AB1300" s="370"/>
      <c r="AC1300" s="370"/>
      <c r="AD1300" s="370"/>
      <c r="AE1300" s="370"/>
      <c r="AF1300" s="370"/>
      <c r="AG1300" s="370"/>
      <c r="AH1300" s="370"/>
      <c r="AI1300" s="370"/>
      <c r="AJ1300" s="370"/>
      <c r="AL1300" s="219"/>
      <c r="AM1300" s="219"/>
      <c r="AN1300" s="219"/>
      <c r="AO1300" s="116"/>
      <c r="AP1300" s="116"/>
      <c r="AU1300" s="332"/>
      <c r="AV1300" s="332"/>
      <c r="AW1300" s="332"/>
      <c r="AX1300" s="332"/>
      <c r="AY1300" s="332"/>
      <c r="AZ1300" s="332"/>
      <c r="BA1300" s="332"/>
      <c r="BB1300" s="31"/>
      <c r="BC1300" s="31"/>
      <c r="BD1300" s="31"/>
      <c r="BE1300" s="31"/>
    </row>
    <row r="1301" spans="1:57" ht="13">
      <c r="A1301" s="153"/>
      <c r="F1301" s="153"/>
      <c r="G1301" s="116"/>
      <c r="H1301" s="116"/>
      <c r="I1301" s="116"/>
      <c r="J1301" s="116"/>
      <c r="K1301" s="219"/>
      <c r="L1301" s="116"/>
      <c r="M1301" s="31"/>
      <c r="N1301" s="336"/>
      <c r="O1301" s="336"/>
      <c r="P1301" s="219"/>
      <c r="Q1301" s="332"/>
      <c r="R1301" s="219"/>
      <c r="S1301" s="332"/>
      <c r="T1301" s="219"/>
      <c r="U1301" s="332"/>
      <c r="V1301" s="332"/>
      <c r="W1301" s="370"/>
      <c r="X1301" s="370"/>
      <c r="Y1301" s="370"/>
      <c r="Z1301" s="370"/>
      <c r="AA1301" s="370"/>
      <c r="AB1301" s="370"/>
      <c r="AC1301" s="370"/>
      <c r="AD1301" s="370"/>
      <c r="AE1301" s="370"/>
      <c r="AF1301" s="370"/>
      <c r="AG1301" s="370"/>
      <c r="AH1301" s="370"/>
      <c r="AI1301" s="370"/>
      <c r="AJ1301" s="370"/>
      <c r="AL1301" s="219"/>
      <c r="AM1301" s="219"/>
      <c r="AN1301" s="219"/>
      <c r="AO1301" s="116"/>
      <c r="AP1301" s="116"/>
      <c r="AU1301" s="332"/>
      <c r="AV1301" s="332"/>
      <c r="AW1301" s="332"/>
      <c r="AX1301" s="332"/>
      <c r="AY1301" s="332"/>
      <c r="AZ1301" s="332"/>
      <c r="BA1301" s="332"/>
      <c r="BB1301" s="31"/>
      <c r="BC1301" s="31"/>
      <c r="BD1301" s="31"/>
      <c r="BE1301" s="31"/>
    </row>
    <row r="1302" spans="1:57" ht="13">
      <c r="A1302" s="153"/>
      <c r="F1302" s="153"/>
      <c r="G1302" s="116"/>
      <c r="H1302" s="116"/>
      <c r="I1302" s="116"/>
      <c r="J1302" s="116"/>
      <c r="K1302" s="219"/>
      <c r="L1302" s="116"/>
      <c r="M1302" s="31"/>
      <c r="N1302" s="336"/>
      <c r="O1302" s="336"/>
      <c r="P1302" s="219"/>
      <c r="Q1302" s="332"/>
      <c r="R1302" s="219"/>
      <c r="S1302" s="332"/>
      <c r="T1302" s="219"/>
      <c r="U1302" s="332"/>
      <c r="V1302" s="332"/>
      <c r="W1302" s="370"/>
      <c r="X1302" s="370"/>
      <c r="Y1302" s="370"/>
      <c r="Z1302" s="370"/>
      <c r="AA1302" s="370"/>
      <c r="AB1302" s="370"/>
      <c r="AC1302" s="370"/>
      <c r="AD1302" s="370"/>
      <c r="AE1302" s="370"/>
      <c r="AF1302" s="370"/>
      <c r="AG1302" s="370"/>
      <c r="AH1302" s="370"/>
      <c r="AI1302" s="370"/>
      <c r="AJ1302" s="370"/>
      <c r="AL1302" s="219"/>
      <c r="AM1302" s="219"/>
      <c r="AN1302" s="219"/>
      <c r="AO1302" s="116"/>
      <c r="AP1302" s="116"/>
      <c r="AU1302" s="332"/>
      <c r="AV1302" s="332"/>
      <c r="AW1302" s="332"/>
      <c r="AX1302" s="332"/>
      <c r="AY1302" s="332"/>
      <c r="AZ1302" s="332"/>
      <c r="BA1302" s="332"/>
      <c r="BB1302" s="31"/>
      <c r="BC1302" s="31"/>
      <c r="BD1302" s="31"/>
      <c r="BE1302" s="31"/>
    </row>
    <row r="1303" spans="1:57" ht="13">
      <c r="A1303" s="153"/>
      <c r="F1303" s="153"/>
      <c r="G1303" s="116"/>
      <c r="H1303" s="116"/>
      <c r="I1303" s="116"/>
      <c r="J1303" s="116"/>
      <c r="K1303" s="219"/>
      <c r="L1303" s="116"/>
      <c r="M1303" s="31"/>
      <c r="N1303" s="336"/>
      <c r="O1303" s="336"/>
      <c r="P1303" s="219"/>
      <c r="Q1303" s="332"/>
      <c r="R1303" s="219"/>
      <c r="S1303" s="332"/>
      <c r="T1303" s="219"/>
      <c r="U1303" s="332"/>
      <c r="V1303" s="332"/>
      <c r="W1303" s="370"/>
      <c r="X1303" s="370"/>
      <c r="Y1303" s="370"/>
      <c r="Z1303" s="370"/>
      <c r="AA1303" s="370"/>
      <c r="AB1303" s="370"/>
      <c r="AC1303" s="370"/>
      <c r="AD1303" s="370"/>
      <c r="AE1303" s="370"/>
      <c r="AF1303" s="370"/>
      <c r="AG1303" s="370"/>
      <c r="AH1303" s="370"/>
      <c r="AI1303" s="370"/>
      <c r="AJ1303" s="370"/>
      <c r="AL1303" s="219"/>
      <c r="AM1303" s="219"/>
      <c r="AN1303" s="219"/>
      <c r="AO1303" s="116"/>
      <c r="AP1303" s="116"/>
      <c r="AU1303" s="332"/>
      <c r="AV1303" s="332"/>
      <c r="AW1303" s="332"/>
      <c r="AX1303" s="332"/>
      <c r="AY1303" s="332"/>
      <c r="AZ1303" s="332"/>
      <c r="BA1303" s="332"/>
      <c r="BB1303" s="31"/>
      <c r="BC1303" s="31"/>
      <c r="BD1303" s="31"/>
      <c r="BE1303" s="31"/>
    </row>
    <row r="1304" spans="1:57" ht="13">
      <c r="A1304" s="153"/>
      <c r="F1304" s="153"/>
      <c r="G1304" s="116"/>
      <c r="H1304" s="116"/>
      <c r="I1304" s="116"/>
      <c r="J1304" s="116"/>
      <c r="K1304" s="219"/>
      <c r="L1304" s="116"/>
      <c r="M1304" s="31"/>
      <c r="N1304" s="336"/>
      <c r="O1304" s="336"/>
      <c r="P1304" s="219"/>
      <c r="Q1304" s="332"/>
      <c r="R1304" s="219"/>
      <c r="S1304" s="332"/>
      <c r="T1304" s="219"/>
      <c r="U1304" s="332"/>
      <c r="V1304" s="332"/>
      <c r="W1304" s="370"/>
      <c r="X1304" s="370"/>
      <c r="Y1304" s="370"/>
      <c r="Z1304" s="370"/>
      <c r="AA1304" s="370"/>
      <c r="AB1304" s="370"/>
      <c r="AC1304" s="370"/>
      <c r="AD1304" s="370"/>
      <c r="AE1304" s="370"/>
      <c r="AF1304" s="370"/>
      <c r="AG1304" s="370"/>
      <c r="AH1304" s="370"/>
      <c r="AI1304" s="370"/>
      <c r="AJ1304" s="370"/>
      <c r="AL1304" s="219"/>
      <c r="AM1304" s="219"/>
      <c r="AN1304" s="219"/>
      <c r="AO1304" s="116"/>
      <c r="AP1304" s="116"/>
      <c r="AU1304" s="332"/>
      <c r="AV1304" s="332"/>
      <c r="AW1304" s="332"/>
      <c r="AX1304" s="332"/>
      <c r="AY1304" s="332"/>
      <c r="AZ1304" s="332"/>
      <c r="BA1304" s="332"/>
      <c r="BB1304" s="31"/>
      <c r="BC1304" s="31"/>
      <c r="BD1304" s="31"/>
      <c r="BE1304" s="31"/>
    </row>
    <row r="1305" spans="1:57" ht="13">
      <c r="A1305" s="153"/>
      <c r="F1305" s="153"/>
      <c r="G1305" s="116"/>
      <c r="H1305" s="116"/>
      <c r="I1305" s="116"/>
      <c r="J1305" s="116"/>
      <c r="K1305" s="219"/>
      <c r="L1305" s="116"/>
      <c r="M1305" s="31"/>
      <c r="N1305" s="336"/>
      <c r="O1305" s="336"/>
      <c r="P1305" s="219"/>
      <c r="Q1305" s="332"/>
      <c r="R1305" s="219"/>
      <c r="S1305" s="332"/>
      <c r="T1305" s="219"/>
      <c r="U1305" s="332"/>
      <c r="V1305" s="332"/>
      <c r="W1305" s="370"/>
      <c r="X1305" s="370"/>
      <c r="Y1305" s="370"/>
      <c r="Z1305" s="370"/>
      <c r="AA1305" s="370"/>
      <c r="AB1305" s="370"/>
      <c r="AC1305" s="370"/>
      <c r="AD1305" s="370"/>
      <c r="AE1305" s="370"/>
      <c r="AF1305" s="370"/>
      <c r="AG1305" s="370"/>
      <c r="AH1305" s="370"/>
      <c r="AI1305" s="370"/>
      <c r="AJ1305" s="370"/>
      <c r="AL1305" s="219"/>
      <c r="AM1305" s="219"/>
      <c r="AN1305" s="219"/>
      <c r="AO1305" s="116"/>
      <c r="AP1305" s="116"/>
      <c r="AU1305" s="332"/>
      <c r="AV1305" s="332"/>
      <c r="AW1305" s="332"/>
      <c r="AX1305" s="332"/>
      <c r="AY1305" s="332"/>
      <c r="AZ1305" s="332"/>
      <c r="BA1305" s="332"/>
      <c r="BB1305" s="31"/>
      <c r="BC1305" s="31"/>
      <c r="BD1305" s="31"/>
      <c r="BE1305" s="31"/>
    </row>
    <row r="1306" spans="1:57" ht="13">
      <c r="A1306" s="153"/>
      <c r="F1306" s="153"/>
      <c r="G1306" s="116"/>
      <c r="H1306" s="116"/>
      <c r="I1306" s="116"/>
      <c r="J1306" s="116"/>
      <c r="K1306" s="219"/>
      <c r="L1306" s="116"/>
      <c r="M1306" s="31"/>
      <c r="N1306" s="336"/>
      <c r="O1306" s="336"/>
      <c r="P1306" s="219"/>
      <c r="Q1306" s="332"/>
      <c r="R1306" s="219"/>
      <c r="S1306" s="332"/>
      <c r="T1306" s="219"/>
      <c r="U1306" s="332"/>
      <c r="V1306" s="332"/>
      <c r="W1306" s="370"/>
      <c r="X1306" s="370"/>
      <c r="Y1306" s="370"/>
      <c r="Z1306" s="370"/>
      <c r="AA1306" s="370"/>
      <c r="AB1306" s="370"/>
      <c r="AC1306" s="370"/>
      <c r="AD1306" s="370"/>
      <c r="AE1306" s="370"/>
      <c r="AF1306" s="370"/>
      <c r="AG1306" s="370"/>
      <c r="AH1306" s="370"/>
      <c r="AI1306" s="370"/>
      <c r="AJ1306" s="370"/>
      <c r="AL1306" s="219"/>
      <c r="AM1306" s="219"/>
      <c r="AN1306" s="219"/>
      <c r="AO1306" s="116"/>
      <c r="AP1306" s="116"/>
      <c r="AU1306" s="332"/>
      <c r="AV1306" s="332"/>
      <c r="AW1306" s="332"/>
      <c r="AX1306" s="332"/>
      <c r="AY1306" s="332"/>
      <c r="AZ1306" s="332"/>
      <c r="BA1306" s="332"/>
      <c r="BB1306" s="31"/>
      <c r="BC1306" s="31"/>
      <c r="BD1306" s="31"/>
      <c r="BE1306" s="31"/>
    </row>
    <row r="1307" spans="1:57" ht="13">
      <c r="A1307" s="153"/>
      <c r="F1307" s="153"/>
      <c r="G1307" s="116"/>
      <c r="H1307" s="116"/>
      <c r="I1307" s="116"/>
      <c r="J1307" s="116"/>
      <c r="K1307" s="219"/>
      <c r="L1307" s="116"/>
      <c r="M1307" s="31"/>
      <c r="N1307" s="336"/>
      <c r="O1307" s="336"/>
      <c r="P1307" s="219"/>
      <c r="Q1307" s="332"/>
      <c r="R1307" s="219"/>
      <c r="S1307" s="332"/>
      <c r="T1307" s="219"/>
      <c r="U1307" s="332"/>
      <c r="V1307" s="332"/>
      <c r="W1307" s="370"/>
      <c r="X1307" s="370"/>
      <c r="Y1307" s="370"/>
      <c r="Z1307" s="370"/>
      <c r="AA1307" s="370"/>
      <c r="AB1307" s="370"/>
      <c r="AC1307" s="370"/>
      <c r="AD1307" s="370"/>
      <c r="AE1307" s="370"/>
      <c r="AF1307" s="370"/>
      <c r="AG1307" s="370"/>
      <c r="AH1307" s="370"/>
      <c r="AI1307" s="370"/>
      <c r="AJ1307" s="370"/>
      <c r="AL1307" s="219"/>
      <c r="AM1307" s="219"/>
      <c r="AN1307" s="219"/>
      <c r="AO1307" s="116"/>
      <c r="AP1307" s="116"/>
      <c r="AU1307" s="332"/>
      <c r="AV1307" s="332"/>
      <c r="AW1307" s="332"/>
      <c r="AX1307" s="332"/>
      <c r="AY1307" s="332"/>
      <c r="AZ1307" s="332"/>
      <c r="BA1307" s="332"/>
      <c r="BB1307" s="31"/>
      <c r="BC1307" s="31"/>
      <c r="BD1307" s="31"/>
      <c r="BE1307" s="31"/>
    </row>
    <row r="1308" spans="1:57" ht="13">
      <c r="A1308" s="153"/>
      <c r="F1308" s="153"/>
      <c r="G1308" s="116"/>
      <c r="H1308" s="116"/>
      <c r="I1308" s="116"/>
      <c r="J1308" s="116"/>
      <c r="K1308" s="219"/>
      <c r="L1308" s="116"/>
      <c r="M1308" s="31"/>
      <c r="N1308" s="336"/>
      <c r="O1308" s="336"/>
      <c r="P1308" s="219"/>
      <c r="Q1308" s="332"/>
      <c r="R1308" s="219"/>
      <c r="S1308" s="332"/>
      <c r="T1308" s="219"/>
      <c r="U1308" s="332"/>
      <c r="V1308" s="332"/>
      <c r="W1308" s="370"/>
      <c r="X1308" s="370"/>
      <c r="Y1308" s="370"/>
      <c r="Z1308" s="370"/>
      <c r="AA1308" s="370"/>
      <c r="AB1308" s="370"/>
      <c r="AC1308" s="370"/>
      <c r="AD1308" s="370"/>
      <c r="AE1308" s="370"/>
      <c r="AF1308" s="370"/>
      <c r="AG1308" s="370"/>
      <c r="AH1308" s="370"/>
      <c r="AI1308" s="370"/>
      <c r="AJ1308" s="370"/>
      <c r="AL1308" s="219"/>
      <c r="AM1308" s="219"/>
      <c r="AN1308" s="219"/>
      <c r="AO1308" s="116"/>
      <c r="AP1308" s="116"/>
      <c r="AU1308" s="332"/>
      <c r="AV1308" s="332"/>
      <c r="AW1308" s="332"/>
      <c r="AX1308" s="332"/>
      <c r="AY1308" s="332"/>
      <c r="AZ1308" s="332"/>
      <c r="BA1308" s="332"/>
      <c r="BB1308" s="31"/>
      <c r="BC1308" s="31"/>
      <c r="BD1308" s="31"/>
      <c r="BE1308" s="31"/>
    </row>
    <row r="1309" spans="1:57" ht="13">
      <c r="A1309" s="153"/>
      <c r="F1309" s="153"/>
      <c r="G1309" s="116"/>
      <c r="H1309" s="116"/>
      <c r="I1309" s="116"/>
      <c r="J1309" s="116"/>
      <c r="K1309" s="219"/>
      <c r="L1309" s="116"/>
      <c r="M1309" s="31"/>
      <c r="N1309" s="336"/>
      <c r="O1309" s="336"/>
      <c r="P1309" s="219"/>
      <c r="Q1309" s="332"/>
      <c r="R1309" s="219"/>
      <c r="S1309" s="332"/>
      <c r="T1309" s="219"/>
      <c r="U1309" s="332"/>
      <c r="V1309" s="332"/>
      <c r="W1309" s="370"/>
      <c r="X1309" s="370"/>
      <c r="Y1309" s="370"/>
      <c r="Z1309" s="370"/>
      <c r="AA1309" s="370"/>
      <c r="AB1309" s="370"/>
      <c r="AC1309" s="370"/>
      <c r="AD1309" s="370"/>
      <c r="AE1309" s="370"/>
      <c r="AF1309" s="370"/>
      <c r="AG1309" s="370"/>
      <c r="AH1309" s="370"/>
      <c r="AI1309" s="370"/>
      <c r="AJ1309" s="370"/>
      <c r="AL1309" s="219"/>
      <c r="AM1309" s="219"/>
      <c r="AN1309" s="219"/>
      <c r="AO1309" s="116"/>
      <c r="AP1309" s="116"/>
      <c r="AU1309" s="332"/>
      <c r="AV1309" s="332"/>
      <c r="AW1309" s="332"/>
      <c r="AX1309" s="332"/>
      <c r="AY1309" s="332"/>
      <c r="AZ1309" s="332"/>
      <c r="BA1309" s="332"/>
      <c r="BB1309" s="31"/>
      <c r="BC1309" s="31"/>
      <c r="BD1309" s="31"/>
      <c r="BE1309" s="31"/>
    </row>
    <row r="1310" spans="1:57" ht="13">
      <c r="A1310" s="153"/>
      <c r="F1310" s="153"/>
      <c r="G1310" s="116"/>
      <c r="H1310" s="116"/>
      <c r="I1310" s="116"/>
      <c r="J1310" s="116"/>
      <c r="K1310" s="219"/>
      <c r="L1310" s="116"/>
      <c r="M1310" s="31"/>
      <c r="N1310" s="336"/>
      <c r="O1310" s="336"/>
      <c r="P1310" s="219"/>
      <c r="Q1310" s="332"/>
      <c r="R1310" s="219"/>
      <c r="S1310" s="332"/>
      <c r="T1310" s="219"/>
      <c r="U1310" s="332"/>
      <c r="V1310" s="332"/>
      <c r="W1310" s="370"/>
      <c r="X1310" s="370"/>
      <c r="Y1310" s="370"/>
      <c r="Z1310" s="370"/>
      <c r="AA1310" s="370"/>
      <c r="AB1310" s="370"/>
      <c r="AC1310" s="370"/>
      <c r="AD1310" s="370"/>
      <c r="AE1310" s="370"/>
      <c r="AF1310" s="370"/>
      <c r="AG1310" s="370"/>
      <c r="AH1310" s="370"/>
      <c r="AI1310" s="370"/>
      <c r="AJ1310" s="370"/>
      <c r="AL1310" s="219"/>
      <c r="AM1310" s="219"/>
      <c r="AN1310" s="219"/>
      <c r="AO1310" s="116"/>
      <c r="AP1310" s="116"/>
      <c r="AU1310" s="332"/>
      <c r="AV1310" s="332"/>
      <c r="AW1310" s="332"/>
      <c r="AX1310" s="332"/>
      <c r="AY1310" s="332"/>
      <c r="AZ1310" s="332"/>
      <c r="BA1310" s="332"/>
      <c r="BB1310" s="31"/>
      <c r="BC1310" s="31"/>
      <c r="BD1310" s="31"/>
      <c r="BE1310" s="31"/>
    </row>
    <row r="1311" spans="1:57" ht="13">
      <c r="A1311" s="153"/>
      <c r="F1311" s="153"/>
      <c r="G1311" s="116"/>
      <c r="H1311" s="116"/>
      <c r="I1311" s="116"/>
      <c r="J1311" s="116"/>
      <c r="K1311" s="219"/>
      <c r="L1311" s="116"/>
      <c r="M1311" s="31"/>
      <c r="N1311" s="336"/>
      <c r="O1311" s="336"/>
      <c r="P1311" s="219"/>
      <c r="Q1311" s="332"/>
      <c r="R1311" s="219"/>
      <c r="S1311" s="332"/>
      <c r="T1311" s="219"/>
      <c r="U1311" s="332"/>
      <c r="V1311" s="332"/>
      <c r="W1311" s="370"/>
      <c r="X1311" s="370"/>
      <c r="Y1311" s="370"/>
      <c r="Z1311" s="370"/>
      <c r="AA1311" s="370"/>
      <c r="AB1311" s="370"/>
      <c r="AC1311" s="370"/>
      <c r="AD1311" s="370"/>
      <c r="AE1311" s="370"/>
      <c r="AF1311" s="370"/>
      <c r="AG1311" s="370"/>
      <c r="AH1311" s="370"/>
      <c r="AI1311" s="370"/>
      <c r="AJ1311" s="370"/>
      <c r="AL1311" s="219"/>
      <c r="AM1311" s="219"/>
      <c r="AN1311" s="219"/>
      <c r="AO1311" s="116"/>
      <c r="AP1311" s="116"/>
      <c r="AU1311" s="332"/>
      <c r="AV1311" s="332"/>
      <c r="AW1311" s="332"/>
      <c r="AX1311" s="332"/>
      <c r="AY1311" s="332"/>
      <c r="AZ1311" s="332"/>
      <c r="BA1311" s="332"/>
      <c r="BB1311" s="31"/>
      <c r="BC1311" s="31"/>
      <c r="BD1311" s="31"/>
      <c r="BE1311" s="31"/>
    </row>
    <row r="1312" spans="1:57" ht="13">
      <c r="A1312" s="153"/>
      <c r="F1312" s="153"/>
      <c r="G1312" s="116"/>
      <c r="H1312" s="116"/>
      <c r="I1312" s="116"/>
      <c r="J1312" s="116"/>
      <c r="K1312" s="219"/>
      <c r="L1312" s="116"/>
      <c r="M1312" s="31"/>
      <c r="N1312" s="336"/>
      <c r="O1312" s="336"/>
      <c r="P1312" s="219"/>
      <c r="Q1312" s="332"/>
      <c r="R1312" s="219"/>
      <c r="S1312" s="332"/>
      <c r="T1312" s="219"/>
      <c r="U1312" s="332"/>
      <c r="V1312" s="332"/>
      <c r="W1312" s="370"/>
      <c r="X1312" s="370"/>
      <c r="Y1312" s="370"/>
      <c r="Z1312" s="370"/>
      <c r="AA1312" s="370"/>
      <c r="AB1312" s="370"/>
      <c r="AC1312" s="370"/>
      <c r="AD1312" s="370"/>
      <c r="AE1312" s="370"/>
      <c r="AF1312" s="370"/>
      <c r="AG1312" s="370"/>
      <c r="AH1312" s="370"/>
      <c r="AI1312" s="370"/>
      <c r="AJ1312" s="370"/>
      <c r="AL1312" s="219"/>
      <c r="AM1312" s="219"/>
      <c r="AN1312" s="219"/>
      <c r="AO1312" s="116"/>
      <c r="AP1312" s="116"/>
      <c r="AU1312" s="332"/>
      <c r="AV1312" s="332"/>
      <c r="AW1312" s="332"/>
      <c r="AX1312" s="332"/>
      <c r="AY1312" s="332"/>
      <c r="AZ1312" s="332"/>
      <c r="BA1312" s="332"/>
      <c r="BB1312" s="31"/>
      <c r="BC1312" s="31"/>
      <c r="BD1312" s="31"/>
      <c r="BE1312" s="31"/>
    </row>
    <row r="1313" spans="1:57" ht="13">
      <c r="A1313" s="153"/>
      <c r="F1313" s="153"/>
      <c r="G1313" s="116"/>
      <c r="H1313" s="116"/>
      <c r="I1313" s="116"/>
      <c r="J1313" s="116"/>
      <c r="K1313" s="219"/>
      <c r="L1313" s="116"/>
      <c r="M1313" s="31"/>
      <c r="N1313" s="336"/>
      <c r="O1313" s="336"/>
      <c r="P1313" s="219"/>
      <c r="Q1313" s="332"/>
      <c r="R1313" s="219"/>
      <c r="S1313" s="332"/>
      <c r="T1313" s="219"/>
      <c r="U1313" s="332"/>
      <c r="V1313" s="332"/>
      <c r="W1313" s="370"/>
      <c r="X1313" s="370"/>
      <c r="Y1313" s="370"/>
      <c r="Z1313" s="370"/>
      <c r="AA1313" s="370"/>
      <c r="AB1313" s="370"/>
      <c r="AC1313" s="370"/>
      <c r="AD1313" s="370"/>
      <c r="AE1313" s="370"/>
      <c r="AF1313" s="370"/>
      <c r="AG1313" s="370"/>
      <c r="AH1313" s="370"/>
      <c r="AI1313" s="370"/>
      <c r="AJ1313" s="370"/>
      <c r="AL1313" s="219"/>
      <c r="AM1313" s="219"/>
      <c r="AN1313" s="219"/>
      <c r="AO1313" s="116"/>
      <c r="AP1313" s="116"/>
      <c r="AU1313" s="332"/>
      <c r="AV1313" s="332"/>
      <c r="AW1313" s="332"/>
      <c r="AX1313" s="332"/>
      <c r="AY1313" s="332"/>
      <c r="AZ1313" s="332"/>
      <c r="BA1313" s="332"/>
      <c r="BB1313" s="31"/>
      <c r="BC1313" s="31"/>
      <c r="BD1313" s="31"/>
      <c r="BE1313" s="31"/>
    </row>
    <row r="1314" spans="1:57" ht="13">
      <c r="A1314" s="153"/>
      <c r="F1314" s="153"/>
      <c r="G1314" s="116"/>
      <c r="H1314" s="116"/>
      <c r="I1314" s="116"/>
      <c r="J1314" s="116"/>
      <c r="K1314" s="219"/>
      <c r="L1314" s="116"/>
      <c r="M1314" s="31"/>
      <c r="N1314" s="336"/>
      <c r="O1314" s="336"/>
      <c r="P1314" s="219"/>
      <c r="Q1314" s="332"/>
      <c r="R1314" s="219"/>
      <c r="S1314" s="332"/>
      <c r="T1314" s="219"/>
      <c r="U1314" s="332"/>
      <c r="V1314" s="332"/>
      <c r="W1314" s="370"/>
      <c r="X1314" s="370"/>
      <c r="Y1314" s="370"/>
      <c r="Z1314" s="370"/>
      <c r="AA1314" s="370"/>
      <c r="AB1314" s="370"/>
      <c r="AC1314" s="370"/>
      <c r="AD1314" s="370"/>
      <c r="AE1314" s="370"/>
      <c r="AF1314" s="370"/>
      <c r="AG1314" s="370"/>
      <c r="AH1314" s="370"/>
      <c r="AI1314" s="370"/>
      <c r="AJ1314" s="370"/>
      <c r="AL1314" s="219"/>
      <c r="AM1314" s="219"/>
      <c r="AN1314" s="219"/>
      <c r="AO1314" s="116"/>
      <c r="AP1314" s="116"/>
      <c r="AU1314" s="332"/>
      <c r="AV1314" s="332"/>
      <c r="AW1314" s="332"/>
      <c r="AX1314" s="332"/>
      <c r="AY1314" s="332"/>
      <c r="AZ1314" s="332"/>
      <c r="BA1314" s="332"/>
      <c r="BB1314" s="31"/>
      <c r="BC1314" s="31"/>
      <c r="BD1314" s="31"/>
      <c r="BE1314" s="31"/>
    </row>
    <row r="1315" spans="1:57" ht="13">
      <c r="A1315" s="153"/>
      <c r="F1315" s="153"/>
      <c r="G1315" s="116"/>
      <c r="H1315" s="116"/>
      <c r="I1315" s="116"/>
      <c r="J1315" s="116"/>
      <c r="K1315" s="219"/>
      <c r="L1315" s="116"/>
      <c r="M1315" s="31"/>
      <c r="N1315" s="336"/>
      <c r="O1315" s="336"/>
      <c r="P1315" s="219"/>
      <c r="Q1315" s="332"/>
      <c r="R1315" s="219"/>
      <c r="S1315" s="332"/>
      <c r="T1315" s="219"/>
      <c r="U1315" s="332"/>
      <c r="V1315" s="332"/>
      <c r="W1315" s="370"/>
      <c r="X1315" s="370"/>
      <c r="Y1315" s="370"/>
      <c r="Z1315" s="370"/>
      <c r="AA1315" s="370"/>
      <c r="AB1315" s="370"/>
      <c r="AC1315" s="370"/>
      <c r="AD1315" s="370"/>
      <c r="AE1315" s="370"/>
      <c r="AF1315" s="370"/>
      <c r="AG1315" s="370"/>
      <c r="AH1315" s="370"/>
      <c r="AI1315" s="370"/>
      <c r="AJ1315" s="370"/>
      <c r="AL1315" s="219"/>
      <c r="AM1315" s="219"/>
      <c r="AN1315" s="219"/>
      <c r="AO1315" s="116"/>
      <c r="AP1315" s="116"/>
      <c r="AU1315" s="332"/>
      <c r="AV1315" s="332"/>
      <c r="AW1315" s="332"/>
      <c r="AX1315" s="332"/>
      <c r="AY1315" s="332"/>
      <c r="AZ1315" s="332"/>
      <c r="BA1315" s="332"/>
      <c r="BB1315" s="31"/>
      <c r="BC1315" s="31"/>
      <c r="BD1315" s="31"/>
      <c r="BE1315" s="31"/>
    </row>
    <row r="1316" spans="1:57" ht="13">
      <c r="A1316" s="153"/>
      <c r="F1316" s="153"/>
      <c r="G1316" s="116"/>
      <c r="H1316" s="116"/>
      <c r="I1316" s="116"/>
      <c r="J1316" s="116"/>
      <c r="K1316" s="219"/>
      <c r="L1316" s="116"/>
      <c r="M1316" s="31"/>
      <c r="N1316" s="336"/>
      <c r="O1316" s="336"/>
      <c r="P1316" s="219"/>
      <c r="Q1316" s="332"/>
      <c r="R1316" s="219"/>
      <c r="S1316" s="332"/>
      <c r="T1316" s="219"/>
      <c r="U1316" s="332"/>
      <c r="V1316" s="332"/>
      <c r="W1316" s="370"/>
      <c r="X1316" s="370"/>
      <c r="Y1316" s="370"/>
      <c r="Z1316" s="370"/>
      <c r="AA1316" s="370"/>
      <c r="AB1316" s="370"/>
      <c r="AC1316" s="370"/>
      <c r="AD1316" s="370"/>
      <c r="AE1316" s="370"/>
      <c r="AF1316" s="370"/>
      <c r="AG1316" s="370"/>
      <c r="AH1316" s="370"/>
      <c r="AI1316" s="370"/>
      <c r="AJ1316" s="370"/>
      <c r="AL1316" s="219"/>
      <c r="AM1316" s="219"/>
      <c r="AN1316" s="219"/>
      <c r="AO1316" s="116"/>
      <c r="AP1316" s="116"/>
      <c r="AU1316" s="332"/>
      <c r="AV1316" s="332"/>
      <c r="AW1316" s="332"/>
      <c r="AX1316" s="332"/>
      <c r="AY1316" s="332"/>
      <c r="AZ1316" s="332"/>
      <c r="BA1316" s="332"/>
      <c r="BB1316" s="31"/>
      <c r="BC1316" s="31"/>
      <c r="BD1316" s="31"/>
      <c r="BE1316" s="31"/>
    </row>
    <row r="1317" spans="1:57" ht="13">
      <c r="A1317" s="153"/>
      <c r="F1317" s="153"/>
      <c r="G1317" s="116"/>
      <c r="H1317" s="116"/>
      <c r="I1317" s="116"/>
      <c r="J1317" s="116"/>
      <c r="K1317" s="219"/>
      <c r="L1317" s="116"/>
      <c r="M1317" s="31"/>
      <c r="N1317" s="336"/>
      <c r="O1317" s="336"/>
      <c r="P1317" s="219"/>
      <c r="Q1317" s="332"/>
      <c r="R1317" s="219"/>
      <c r="S1317" s="332"/>
      <c r="T1317" s="219"/>
      <c r="U1317" s="332"/>
      <c r="V1317" s="332"/>
      <c r="W1317" s="370"/>
      <c r="X1317" s="370"/>
      <c r="Y1317" s="370"/>
      <c r="Z1317" s="370"/>
      <c r="AA1317" s="370"/>
      <c r="AB1317" s="370"/>
      <c r="AC1317" s="370"/>
      <c r="AD1317" s="370"/>
      <c r="AE1317" s="370"/>
      <c r="AF1317" s="370"/>
      <c r="AG1317" s="370"/>
      <c r="AH1317" s="370"/>
      <c r="AI1317" s="370"/>
      <c r="AJ1317" s="370"/>
      <c r="AL1317" s="219"/>
      <c r="AM1317" s="219"/>
      <c r="AN1317" s="219"/>
      <c r="AO1317" s="116"/>
      <c r="AP1317" s="116"/>
      <c r="AU1317" s="332"/>
      <c r="AV1317" s="332"/>
      <c r="AW1317" s="332"/>
      <c r="AX1317" s="332"/>
      <c r="AY1317" s="332"/>
      <c r="AZ1317" s="332"/>
      <c r="BA1317" s="332"/>
      <c r="BB1317" s="31"/>
      <c r="BC1317" s="31"/>
      <c r="BD1317" s="31"/>
      <c r="BE1317" s="31"/>
    </row>
    <row r="1318" spans="1:57" ht="13">
      <c r="A1318" s="153"/>
      <c r="F1318" s="153"/>
      <c r="G1318" s="116"/>
      <c r="H1318" s="116"/>
      <c r="I1318" s="116"/>
      <c r="J1318" s="116"/>
      <c r="K1318" s="219"/>
      <c r="L1318" s="116"/>
      <c r="M1318" s="31"/>
      <c r="N1318" s="336"/>
      <c r="O1318" s="336"/>
      <c r="P1318" s="219"/>
      <c r="Q1318" s="332"/>
      <c r="R1318" s="219"/>
      <c r="S1318" s="332"/>
      <c r="T1318" s="219"/>
      <c r="U1318" s="332"/>
      <c r="V1318" s="332"/>
      <c r="W1318" s="370"/>
      <c r="X1318" s="370"/>
      <c r="Y1318" s="370"/>
      <c r="Z1318" s="370"/>
      <c r="AA1318" s="370"/>
      <c r="AB1318" s="370"/>
      <c r="AC1318" s="370"/>
      <c r="AD1318" s="370"/>
      <c r="AE1318" s="370"/>
      <c r="AF1318" s="370"/>
      <c r="AG1318" s="370"/>
      <c r="AH1318" s="370"/>
      <c r="AI1318" s="370"/>
      <c r="AJ1318" s="370"/>
      <c r="AL1318" s="219"/>
      <c r="AM1318" s="219"/>
      <c r="AN1318" s="219"/>
      <c r="AO1318" s="116"/>
      <c r="AP1318" s="116"/>
      <c r="AU1318" s="332"/>
      <c r="AV1318" s="332"/>
      <c r="AW1318" s="332"/>
      <c r="AX1318" s="332"/>
      <c r="AY1318" s="332"/>
      <c r="AZ1318" s="332"/>
      <c r="BA1318" s="332"/>
      <c r="BB1318" s="31"/>
      <c r="BC1318" s="31"/>
      <c r="BD1318" s="31"/>
      <c r="BE1318" s="31"/>
    </row>
    <row r="1319" spans="1:57" ht="13">
      <c r="A1319" s="153"/>
      <c r="F1319" s="153"/>
      <c r="G1319" s="116"/>
      <c r="H1319" s="116"/>
      <c r="I1319" s="116"/>
      <c r="J1319" s="116"/>
      <c r="K1319" s="219"/>
      <c r="L1319" s="116"/>
      <c r="M1319" s="31"/>
      <c r="N1319" s="336"/>
      <c r="O1319" s="336"/>
      <c r="P1319" s="219"/>
      <c r="Q1319" s="332"/>
      <c r="R1319" s="219"/>
      <c r="S1319" s="332"/>
      <c r="T1319" s="219"/>
      <c r="U1319" s="332"/>
      <c r="V1319" s="332"/>
      <c r="W1319" s="370"/>
      <c r="X1319" s="370"/>
      <c r="Y1319" s="370"/>
      <c r="Z1319" s="370"/>
      <c r="AA1319" s="370"/>
      <c r="AB1319" s="370"/>
      <c r="AC1319" s="370"/>
      <c r="AD1319" s="370"/>
      <c r="AE1319" s="370"/>
      <c r="AF1319" s="370"/>
      <c r="AG1319" s="370"/>
      <c r="AH1319" s="370"/>
      <c r="AI1319" s="370"/>
      <c r="AJ1319" s="370"/>
      <c r="AL1319" s="219"/>
      <c r="AM1319" s="219"/>
      <c r="AN1319" s="219"/>
      <c r="AO1319" s="116"/>
      <c r="AP1319" s="116"/>
      <c r="AU1319" s="332"/>
      <c r="AV1319" s="332"/>
      <c r="AW1319" s="332"/>
      <c r="AX1319" s="332"/>
      <c r="AY1319" s="332"/>
      <c r="AZ1319" s="332"/>
      <c r="BA1319" s="332"/>
      <c r="BB1319" s="31"/>
      <c r="BC1319" s="31"/>
      <c r="BD1319" s="31"/>
      <c r="BE1319" s="31"/>
    </row>
    <row r="1320" spans="1:57" ht="13">
      <c r="A1320" s="153"/>
      <c r="F1320" s="153"/>
      <c r="G1320" s="116"/>
      <c r="H1320" s="116"/>
      <c r="I1320" s="116"/>
      <c r="J1320" s="116"/>
      <c r="K1320" s="219"/>
      <c r="L1320" s="116"/>
      <c r="M1320" s="31"/>
      <c r="N1320" s="336"/>
      <c r="O1320" s="336"/>
      <c r="P1320" s="219"/>
      <c r="Q1320" s="332"/>
      <c r="R1320" s="219"/>
      <c r="S1320" s="332"/>
      <c r="T1320" s="219"/>
      <c r="U1320" s="332"/>
      <c r="V1320" s="332"/>
      <c r="W1320" s="370"/>
      <c r="X1320" s="370"/>
      <c r="Y1320" s="370"/>
      <c r="Z1320" s="370"/>
      <c r="AA1320" s="370"/>
      <c r="AB1320" s="370"/>
      <c r="AC1320" s="370"/>
      <c r="AD1320" s="370"/>
      <c r="AE1320" s="370"/>
      <c r="AF1320" s="370"/>
      <c r="AG1320" s="370"/>
      <c r="AH1320" s="370"/>
      <c r="AI1320" s="370"/>
      <c r="AJ1320" s="370"/>
      <c r="AL1320" s="219"/>
      <c r="AM1320" s="219"/>
      <c r="AN1320" s="219"/>
      <c r="AO1320" s="116"/>
      <c r="AP1320" s="116"/>
      <c r="AU1320" s="332"/>
      <c r="AV1320" s="332"/>
      <c r="AW1320" s="332"/>
      <c r="AX1320" s="332"/>
      <c r="AY1320" s="332"/>
      <c r="AZ1320" s="332"/>
      <c r="BA1320" s="332"/>
      <c r="BB1320" s="31"/>
      <c r="BC1320" s="31"/>
      <c r="BD1320" s="31"/>
      <c r="BE1320" s="31"/>
    </row>
    <row r="1321" spans="1:57" ht="13">
      <c r="A1321" s="153"/>
      <c r="F1321" s="153"/>
      <c r="G1321" s="116"/>
      <c r="H1321" s="116"/>
      <c r="I1321" s="116"/>
      <c r="J1321" s="116"/>
      <c r="K1321" s="219"/>
      <c r="L1321" s="116"/>
      <c r="M1321" s="31"/>
      <c r="N1321" s="336"/>
      <c r="O1321" s="336"/>
      <c r="P1321" s="219"/>
      <c r="Q1321" s="332"/>
      <c r="R1321" s="219"/>
      <c r="S1321" s="332"/>
      <c r="T1321" s="219"/>
      <c r="U1321" s="332"/>
      <c r="V1321" s="332"/>
      <c r="W1321" s="370"/>
      <c r="X1321" s="370"/>
      <c r="Y1321" s="370"/>
      <c r="Z1321" s="370"/>
      <c r="AA1321" s="370"/>
      <c r="AB1321" s="370"/>
      <c r="AC1321" s="370"/>
      <c r="AD1321" s="370"/>
      <c r="AE1321" s="370"/>
      <c r="AF1321" s="370"/>
      <c r="AG1321" s="370"/>
      <c r="AH1321" s="370"/>
      <c r="AI1321" s="370"/>
      <c r="AJ1321" s="370"/>
      <c r="AL1321" s="219"/>
      <c r="AM1321" s="219"/>
      <c r="AN1321" s="219"/>
      <c r="AO1321" s="116"/>
      <c r="AP1321" s="116"/>
      <c r="AU1321" s="332"/>
      <c r="AV1321" s="332"/>
      <c r="AW1321" s="332"/>
      <c r="AX1321" s="332"/>
      <c r="AY1321" s="332"/>
      <c r="AZ1321" s="332"/>
      <c r="BA1321" s="332"/>
      <c r="BB1321" s="31"/>
      <c r="BC1321" s="31"/>
      <c r="BD1321" s="31"/>
      <c r="BE1321" s="31"/>
    </row>
    <row r="1322" spans="1:57" ht="13">
      <c r="A1322" s="153"/>
      <c r="F1322" s="153"/>
      <c r="G1322" s="116"/>
      <c r="H1322" s="116"/>
      <c r="I1322" s="116"/>
      <c r="J1322" s="116"/>
      <c r="K1322" s="219"/>
      <c r="L1322" s="116"/>
      <c r="M1322" s="31"/>
      <c r="N1322" s="336"/>
      <c r="O1322" s="336"/>
      <c r="P1322" s="219"/>
      <c r="Q1322" s="332"/>
      <c r="R1322" s="219"/>
      <c r="S1322" s="332"/>
      <c r="T1322" s="219"/>
      <c r="U1322" s="332"/>
      <c r="V1322" s="332"/>
      <c r="W1322" s="370"/>
      <c r="X1322" s="370"/>
      <c r="Y1322" s="370"/>
      <c r="Z1322" s="370"/>
      <c r="AA1322" s="370"/>
      <c r="AB1322" s="370"/>
      <c r="AC1322" s="370"/>
      <c r="AD1322" s="370"/>
      <c r="AE1322" s="370"/>
      <c r="AF1322" s="370"/>
      <c r="AG1322" s="370"/>
      <c r="AH1322" s="370"/>
      <c r="AI1322" s="370"/>
      <c r="AJ1322" s="370"/>
      <c r="AL1322" s="219"/>
      <c r="AM1322" s="219"/>
      <c r="AN1322" s="219"/>
      <c r="AO1322" s="116"/>
      <c r="AP1322" s="116"/>
      <c r="AU1322" s="332"/>
      <c r="AV1322" s="332"/>
      <c r="AW1322" s="332"/>
      <c r="AX1322" s="332"/>
      <c r="AY1322" s="332"/>
      <c r="AZ1322" s="332"/>
      <c r="BA1322" s="332"/>
      <c r="BB1322" s="31"/>
      <c r="BC1322" s="31"/>
      <c r="BD1322" s="31"/>
      <c r="BE1322" s="31"/>
    </row>
    <row r="1323" spans="1:57" ht="13">
      <c r="A1323" s="153"/>
      <c r="F1323" s="153"/>
      <c r="G1323" s="116"/>
      <c r="H1323" s="116"/>
      <c r="I1323" s="116"/>
      <c r="J1323" s="116"/>
      <c r="K1323" s="219"/>
      <c r="L1323" s="116"/>
      <c r="M1323" s="31"/>
      <c r="N1323" s="336"/>
      <c r="O1323" s="336"/>
      <c r="P1323" s="219"/>
      <c r="Q1323" s="332"/>
      <c r="R1323" s="219"/>
      <c r="S1323" s="332"/>
      <c r="T1323" s="219"/>
      <c r="U1323" s="332"/>
      <c r="V1323" s="332"/>
      <c r="W1323" s="370"/>
      <c r="X1323" s="370"/>
      <c r="Y1323" s="370"/>
      <c r="Z1323" s="370"/>
      <c r="AA1323" s="370"/>
      <c r="AB1323" s="370"/>
      <c r="AC1323" s="370"/>
      <c r="AD1323" s="370"/>
      <c r="AE1323" s="370"/>
      <c r="AF1323" s="370"/>
      <c r="AG1323" s="370"/>
      <c r="AH1323" s="370"/>
      <c r="AI1323" s="370"/>
      <c r="AJ1323" s="370"/>
      <c r="AL1323" s="219"/>
      <c r="AM1323" s="219"/>
      <c r="AN1323" s="219"/>
      <c r="AO1323" s="116"/>
      <c r="AP1323" s="116"/>
      <c r="AU1323" s="332"/>
      <c r="AV1323" s="332"/>
      <c r="AW1323" s="332"/>
      <c r="AX1323" s="332"/>
      <c r="AY1323" s="332"/>
      <c r="AZ1323" s="332"/>
      <c r="BA1323" s="332"/>
      <c r="BB1323" s="31"/>
      <c r="BC1323" s="31"/>
      <c r="BD1323" s="31"/>
      <c r="BE1323" s="31"/>
    </row>
    <row r="1324" spans="1:57" ht="13">
      <c r="A1324" s="153"/>
      <c r="F1324" s="153"/>
      <c r="G1324" s="116"/>
      <c r="H1324" s="116"/>
      <c r="I1324" s="116"/>
      <c r="J1324" s="116"/>
      <c r="K1324" s="219"/>
      <c r="L1324" s="116"/>
      <c r="M1324" s="31"/>
      <c r="N1324" s="336"/>
      <c r="O1324" s="336"/>
      <c r="P1324" s="219"/>
      <c r="Q1324" s="332"/>
      <c r="R1324" s="219"/>
      <c r="S1324" s="332"/>
      <c r="T1324" s="219"/>
      <c r="U1324" s="332"/>
      <c r="V1324" s="332"/>
      <c r="W1324" s="370"/>
      <c r="X1324" s="370"/>
      <c r="Y1324" s="370"/>
      <c r="Z1324" s="370"/>
      <c r="AA1324" s="370"/>
      <c r="AB1324" s="370"/>
      <c r="AC1324" s="370"/>
      <c r="AD1324" s="370"/>
      <c r="AE1324" s="370"/>
      <c r="AF1324" s="370"/>
      <c r="AG1324" s="370"/>
      <c r="AH1324" s="370"/>
      <c r="AI1324" s="370"/>
      <c r="AJ1324" s="370"/>
      <c r="AL1324" s="219"/>
      <c r="AM1324" s="219"/>
      <c r="AN1324" s="219"/>
      <c r="AO1324" s="116"/>
      <c r="AP1324" s="116"/>
      <c r="AU1324" s="332"/>
      <c r="AV1324" s="332"/>
      <c r="AW1324" s="332"/>
      <c r="AX1324" s="332"/>
      <c r="AY1324" s="332"/>
      <c r="AZ1324" s="332"/>
      <c r="BA1324" s="332"/>
      <c r="BB1324" s="31"/>
      <c r="BC1324" s="31"/>
      <c r="BD1324" s="31"/>
      <c r="BE1324" s="31"/>
    </row>
    <row r="1325" spans="1:57" ht="13">
      <c r="A1325" s="153"/>
      <c r="F1325" s="153"/>
      <c r="G1325" s="116"/>
      <c r="H1325" s="116"/>
      <c r="I1325" s="116"/>
      <c r="J1325" s="116"/>
      <c r="K1325" s="219"/>
      <c r="L1325" s="116"/>
      <c r="M1325" s="31"/>
      <c r="N1325" s="336"/>
      <c r="O1325" s="336"/>
      <c r="P1325" s="219"/>
      <c r="Q1325" s="332"/>
      <c r="R1325" s="219"/>
      <c r="S1325" s="332"/>
      <c r="T1325" s="219"/>
      <c r="U1325" s="332"/>
      <c r="V1325" s="332"/>
      <c r="W1325" s="370"/>
      <c r="X1325" s="370"/>
      <c r="Y1325" s="370"/>
      <c r="Z1325" s="370"/>
      <c r="AA1325" s="370"/>
      <c r="AB1325" s="370"/>
      <c r="AC1325" s="370"/>
      <c r="AD1325" s="370"/>
      <c r="AE1325" s="370"/>
      <c r="AF1325" s="370"/>
      <c r="AG1325" s="370"/>
      <c r="AH1325" s="370"/>
      <c r="AI1325" s="370"/>
      <c r="AJ1325" s="370"/>
      <c r="AL1325" s="219"/>
      <c r="AM1325" s="219"/>
      <c r="AN1325" s="219"/>
      <c r="AO1325" s="116"/>
      <c r="AP1325" s="116"/>
      <c r="AU1325" s="332"/>
      <c r="AV1325" s="332"/>
      <c r="AW1325" s="332"/>
      <c r="AX1325" s="332"/>
      <c r="AY1325" s="332"/>
      <c r="AZ1325" s="332"/>
      <c r="BA1325" s="332"/>
      <c r="BB1325" s="31"/>
      <c r="BC1325" s="31"/>
      <c r="BD1325" s="31"/>
      <c r="BE1325" s="31"/>
    </row>
    <row r="1326" spans="1:57" ht="13">
      <c r="A1326" s="153"/>
      <c r="F1326" s="153"/>
      <c r="G1326" s="116"/>
      <c r="H1326" s="116"/>
      <c r="I1326" s="116"/>
      <c r="J1326" s="116"/>
      <c r="K1326" s="219"/>
      <c r="L1326" s="116"/>
      <c r="M1326" s="31"/>
      <c r="N1326" s="336"/>
      <c r="O1326" s="336"/>
      <c r="P1326" s="219"/>
      <c r="Q1326" s="332"/>
      <c r="R1326" s="219"/>
      <c r="S1326" s="332"/>
      <c r="T1326" s="219"/>
      <c r="U1326" s="332"/>
      <c r="V1326" s="332"/>
      <c r="W1326" s="370"/>
      <c r="X1326" s="370"/>
      <c r="Y1326" s="370"/>
      <c r="Z1326" s="370"/>
      <c r="AA1326" s="370"/>
      <c r="AB1326" s="370"/>
      <c r="AC1326" s="370"/>
      <c r="AD1326" s="370"/>
      <c r="AE1326" s="370"/>
      <c r="AF1326" s="370"/>
      <c r="AG1326" s="370"/>
      <c r="AH1326" s="370"/>
      <c r="AI1326" s="370"/>
      <c r="AJ1326" s="370"/>
      <c r="AL1326" s="219"/>
      <c r="AM1326" s="219"/>
      <c r="AN1326" s="219"/>
      <c r="AO1326" s="116"/>
      <c r="AP1326" s="116"/>
      <c r="AU1326" s="332"/>
      <c r="AV1326" s="332"/>
      <c r="AW1326" s="332"/>
      <c r="AX1326" s="332"/>
      <c r="AY1326" s="332"/>
      <c r="AZ1326" s="332"/>
      <c r="BA1326" s="332"/>
      <c r="BB1326" s="31"/>
      <c r="BC1326" s="31"/>
      <c r="BD1326" s="31"/>
      <c r="BE1326" s="31"/>
    </row>
    <row r="1327" spans="1:57" ht="13">
      <c r="A1327" s="153"/>
      <c r="F1327" s="153"/>
      <c r="G1327" s="116"/>
      <c r="H1327" s="116"/>
      <c r="I1327" s="116"/>
      <c r="J1327" s="116"/>
      <c r="K1327" s="219"/>
      <c r="L1327" s="116"/>
      <c r="M1327" s="31"/>
      <c r="N1327" s="336"/>
      <c r="O1327" s="336"/>
      <c r="P1327" s="219"/>
      <c r="Q1327" s="332"/>
      <c r="R1327" s="219"/>
      <c r="S1327" s="332"/>
      <c r="T1327" s="219"/>
      <c r="U1327" s="332"/>
      <c r="V1327" s="332"/>
      <c r="W1327" s="370"/>
      <c r="X1327" s="370"/>
      <c r="Y1327" s="370"/>
      <c r="Z1327" s="370"/>
      <c r="AA1327" s="370"/>
      <c r="AB1327" s="370"/>
      <c r="AC1327" s="370"/>
      <c r="AD1327" s="370"/>
      <c r="AE1327" s="370"/>
      <c r="AF1327" s="370"/>
      <c r="AG1327" s="370"/>
      <c r="AH1327" s="370"/>
      <c r="AI1327" s="370"/>
      <c r="AJ1327" s="370"/>
      <c r="AL1327" s="219"/>
      <c r="AM1327" s="219"/>
      <c r="AN1327" s="219"/>
      <c r="AO1327" s="116"/>
      <c r="AP1327" s="116"/>
      <c r="AU1327" s="332"/>
      <c r="AV1327" s="332"/>
      <c r="AW1327" s="332"/>
      <c r="AX1327" s="332"/>
      <c r="AY1327" s="332"/>
      <c r="AZ1327" s="332"/>
      <c r="BA1327" s="332"/>
      <c r="BB1327" s="31"/>
      <c r="BC1327" s="31"/>
      <c r="BD1327" s="31"/>
      <c r="BE1327" s="31"/>
    </row>
    <row r="1328" spans="1:57" ht="13">
      <c r="A1328" s="153"/>
      <c r="F1328" s="153"/>
      <c r="G1328" s="116"/>
      <c r="H1328" s="116"/>
      <c r="I1328" s="116"/>
      <c r="J1328" s="116"/>
      <c r="K1328" s="219"/>
      <c r="L1328" s="116"/>
      <c r="M1328" s="31"/>
      <c r="N1328" s="336"/>
      <c r="O1328" s="336"/>
      <c r="P1328" s="219"/>
      <c r="Q1328" s="332"/>
      <c r="R1328" s="219"/>
      <c r="S1328" s="332"/>
      <c r="T1328" s="219"/>
      <c r="U1328" s="332"/>
      <c r="V1328" s="332"/>
      <c r="W1328" s="370"/>
      <c r="X1328" s="370"/>
      <c r="Y1328" s="370"/>
      <c r="Z1328" s="370"/>
      <c r="AA1328" s="370"/>
      <c r="AB1328" s="370"/>
      <c r="AC1328" s="370"/>
      <c r="AD1328" s="370"/>
      <c r="AE1328" s="370"/>
      <c r="AF1328" s="370"/>
      <c r="AG1328" s="370"/>
      <c r="AH1328" s="370"/>
      <c r="AI1328" s="370"/>
      <c r="AJ1328" s="370"/>
      <c r="AL1328" s="219"/>
      <c r="AM1328" s="219"/>
      <c r="AN1328" s="219"/>
      <c r="AO1328" s="116"/>
      <c r="AP1328" s="116"/>
      <c r="AU1328" s="332"/>
      <c r="AV1328" s="332"/>
      <c r="AW1328" s="332"/>
      <c r="AX1328" s="332"/>
      <c r="AY1328" s="332"/>
      <c r="AZ1328" s="332"/>
      <c r="BA1328" s="332"/>
      <c r="BB1328" s="31"/>
      <c r="BC1328" s="31"/>
      <c r="BD1328" s="31"/>
      <c r="BE1328" s="31"/>
    </row>
    <row r="1329" spans="1:57" ht="13">
      <c r="A1329" s="153"/>
      <c r="F1329" s="153"/>
      <c r="G1329" s="116"/>
      <c r="H1329" s="116"/>
      <c r="I1329" s="116"/>
      <c r="J1329" s="116"/>
      <c r="K1329" s="219"/>
      <c r="L1329" s="116"/>
      <c r="M1329" s="31"/>
      <c r="N1329" s="336"/>
      <c r="O1329" s="336"/>
      <c r="P1329" s="219"/>
      <c r="Q1329" s="332"/>
      <c r="R1329" s="219"/>
      <c r="S1329" s="332"/>
      <c r="T1329" s="219"/>
      <c r="U1329" s="332"/>
      <c r="V1329" s="332"/>
      <c r="W1329" s="370"/>
      <c r="X1329" s="370"/>
      <c r="Y1329" s="370"/>
      <c r="Z1329" s="370"/>
      <c r="AA1329" s="370"/>
      <c r="AB1329" s="370"/>
      <c r="AC1329" s="370"/>
      <c r="AD1329" s="370"/>
      <c r="AE1329" s="370"/>
      <c r="AF1329" s="370"/>
      <c r="AG1329" s="370"/>
      <c r="AH1329" s="370"/>
      <c r="AI1329" s="370"/>
      <c r="AJ1329" s="370"/>
      <c r="AL1329" s="219"/>
      <c r="AM1329" s="219"/>
      <c r="AN1329" s="219"/>
      <c r="AO1329" s="116"/>
      <c r="AP1329" s="116"/>
      <c r="AU1329" s="332"/>
      <c r="AV1329" s="332"/>
      <c r="AW1329" s="332"/>
      <c r="AX1329" s="332"/>
      <c r="AY1329" s="332"/>
      <c r="AZ1329" s="332"/>
      <c r="BA1329" s="332"/>
      <c r="BB1329" s="31"/>
      <c r="BC1329" s="31"/>
      <c r="BD1329" s="31"/>
      <c r="BE1329" s="31"/>
    </row>
    <row r="1330" spans="1:57" ht="13">
      <c r="A1330" s="153"/>
      <c r="F1330" s="153"/>
      <c r="G1330" s="116"/>
      <c r="H1330" s="116"/>
      <c r="I1330" s="116"/>
      <c r="J1330" s="116"/>
      <c r="K1330" s="219"/>
      <c r="L1330" s="116"/>
      <c r="M1330" s="31"/>
      <c r="N1330" s="336"/>
      <c r="O1330" s="336"/>
      <c r="P1330" s="219"/>
      <c r="Q1330" s="332"/>
      <c r="R1330" s="219"/>
      <c r="S1330" s="332"/>
      <c r="T1330" s="219"/>
      <c r="U1330" s="332"/>
      <c r="V1330" s="332"/>
      <c r="W1330" s="370"/>
      <c r="X1330" s="370"/>
      <c r="Y1330" s="370"/>
      <c r="Z1330" s="370"/>
      <c r="AA1330" s="370"/>
      <c r="AB1330" s="370"/>
      <c r="AC1330" s="370"/>
      <c r="AD1330" s="370"/>
      <c r="AE1330" s="370"/>
      <c r="AF1330" s="370"/>
      <c r="AG1330" s="370"/>
      <c r="AH1330" s="370"/>
      <c r="AI1330" s="370"/>
      <c r="AJ1330" s="370"/>
      <c r="AL1330" s="219"/>
      <c r="AM1330" s="219"/>
      <c r="AN1330" s="219"/>
      <c r="AO1330" s="116"/>
      <c r="AP1330" s="116"/>
      <c r="AU1330" s="332"/>
      <c r="AV1330" s="332"/>
      <c r="AW1330" s="332"/>
      <c r="AX1330" s="332"/>
      <c r="AY1330" s="332"/>
      <c r="AZ1330" s="332"/>
      <c r="BA1330" s="332"/>
      <c r="BB1330" s="31"/>
      <c r="BC1330" s="31"/>
      <c r="BD1330" s="31"/>
      <c r="BE1330" s="31"/>
    </row>
    <row r="1331" spans="1:57" ht="13">
      <c r="A1331" s="153"/>
      <c r="F1331" s="153"/>
      <c r="G1331" s="116"/>
      <c r="H1331" s="116"/>
      <c r="I1331" s="116"/>
      <c r="J1331" s="116"/>
      <c r="K1331" s="219"/>
      <c r="L1331" s="116"/>
      <c r="M1331" s="31"/>
      <c r="N1331" s="336"/>
      <c r="O1331" s="336"/>
      <c r="P1331" s="219"/>
      <c r="Q1331" s="332"/>
      <c r="R1331" s="219"/>
      <c r="S1331" s="332"/>
      <c r="T1331" s="219"/>
      <c r="U1331" s="332"/>
      <c r="V1331" s="332"/>
      <c r="W1331" s="370"/>
      <c r="X1331" s="370"/>
      <c r="Y1331" s="370"/>
      <c r="Z1331" s="370"/>
      <c r="AA1331" s="370"/>
      <c r="AB1331" s="370"/>
      <c r="AC1331" s="370"/>
      <c r="AD1331" s="370"/>
      <c r="AE1331" s="370"/>
      <c r="AF1331" s="370"/>
      <c r="AG1331" s="370"/>
      <c r="AH1331" s="370"/>
      <c r="AI1331" s="370"/>
      <c r="AJ1331" s="370"/>
      <c r="AL1331" s="219"/>
      <c r="AM1331" s="219"/>
      <c r="AN1331" s="219"/>
      <c r="AO1331" s="116"/>
      <c r="AP1331" s="116"/>
      <c r="AU1331" s="332"/>
      <c r="AV1331" s="332"/>
      <c r="AW1331" s="332"/>
      <c r="AX1331" s="332"/>
      <c r="AY1331" s="332"/>
      <c r="AZ1331" s="332"/>
      <c r="BA1331" s="332"/>
      <c r="BB1331" s="31"/>
      <c r="BC1331" s="31"/>
      <c r="BD1331" s="31"/>
      <c r="BE1331" s="31"/>
    </row>
    <row r="1332" spans="1:57" ht="13">
      <c r="A1332" s="153"/>
      <c r="F1332" s="153"/>
      <c r="G1332" s="116"/>
      <c r="H1332" s="116"/>
      <c r="I1332" s="116"/>
      <c r="J1332" s="116"/>
      <c r="K1332" s="219"/>
      <c r="L1332" s="116"/>
      <c r="M1332" s="31"/>
      <c r="N1332" s="336"/>
      <c r="O1332" s="336"/>
      <c r="P1332" s="219"/>
      <c r="Q1332" s="332"/>
      <c r="R1332" s="219"/>
      <c r="S1332" s="332"/>
      <c r="T1332" s="219"/>
      <c r="U1332" s="332"/>
      <c r="V1332" s="332"/>
      <c r="W1332" s="370"/>
      <c r="X1332" s="370"/>
      <c r="Y1332" s="370"/>
      <c r="Z1332" s="370"/>
      <c r="AA1332" s="370"/>
      <c r="AB1332" s="370"/>
      <c r="AC1332" s="370"/>
      <c r="AD1332" s="370"/>
      <c r="AE1332" s="370"/>
      <c r="AF1332" s="370"/>
      <c r="AG1332" s="370"/>
      <c r="AH1332" s="370"/>
      <c r="AI1332" s="370"/>
      <c r="AJ1332" s="370"/>
      <c r="AL1332" s="219"/>
      <c r="AM1332" s="219"/>
      <c r="AN1332" s="219"/>
      <c r="AO1332" s="116"/>
      <c r="AP1332" s="116"/>
      <c r="AU1332" s="332"/>
      <c r="AV1332" s="332"/>
      <c r="AW1332" s="332"/>
      <c r="AX1332" s="332"/>
      <c r="AY1332" s="332"/>
      <c r="AZ1332" s="332"/>
      <c r="BA1332" s="332"/>
      <c r="BB1332" s="31"/>
      <c r="BC1332" s="31"/>
      <c r="BD1332" s="31"/>
      <c r="BE1332" s="31"/>
    </row>
    <row r="1333" spans="1:57" ht="13">
      <c r="A1333" s="153"/>
      <c r="F1333" s="153"/>
      <c r="G1333" s="116"/>
      <c r="H1333" s="116"/>
      <c r="I1333" s="116"/>
      <c r="J1333" s="116"/>
      <c r="K1333" s="219"/>
      <c r="L1333" s="116"/>
      <c r="M1333" s="31"/>
      <c r="N1333" s="336"/>
      <c r="O1333" s="336"/>
      <c r="P1333" s="219"/>
      <c r="Q1333" s="332"/>
      <c r="R1333" s="219"/>
      <c r="S1333" s="332"/>
      <c r="T1333" s="219"/>
      <c r="U1333" s="332"/>
      <c r="V1333" s="332"/>
      <c r="W1333" s="370"/>
      <c r="X1333" s="370"/>
      <c r="Y1333" s="370"/>
      <c r="Z1333" s="370"/>
      <c r="AA1333" s="370"/>
      <c r="AB1333" s="370"/>
      <c r="AC1333" s="370"/>
      <c r="AD1333" s="370"/>
      <c r="AE1333" s="370"/>
      <c r="AF1333" s="370"/>
      <c r="AG1333" s="370"/>
      <c r="AH1333" s="370"/>
      <c r="AI1333" s="370"/>
      <c r="AJ1333" s="370"/>
      <c r="AL1333" s="219"/>
      <c r="AM1333" s="219"/>
      <c r="AN1333" s="219"/>
      <c r="AO1333" s="116"/>
      <c r="AP1333" s="116"/>
      <c r="AU1333" s="332"/>
      <c r="AV1333" s="332"/>
      <c r="AW1333" s="332"/>
      <c r="AX1333" s="332"/>
      <c r="AY1333" s="332"/>
      <c r="AZ1333" s="332"/>
      <c r="BA1333" s="332"/>
      <c r="BB1333" s="31"/>
      <c r="BC1333" s="31"/>
      <c r="BD1333" s="31"/>
      <c r="BE1333" s="31"/>
    </row>
    <row r="1334" spans="1:57" ht="13">
      <c r="A1334" s="153"/>
      <c r="F1334" s="153"/>
      <c r="G1334" s="116"/>
      <c r="H1334" s="116"/>
      <c r="I1334" s="116"/>
      <c r="J1334" s="116"/>
      <c r="K1334" s="219"/>
      <c r="L1334" s="116"/>
      <c r="M1334" s="31"/>
      <c r="N1334" s="336"/>
      <c r="O1334" s="336"/>
      <c r="P1334" s="219"/>
      <c r="Q1334" s="332"/>
      <c r="R1334" s="219"/>
      <c r="S1334" s="332"/>
      <c r="T1334" s="219"/>
      <c r="U1334" s="332"/>
      <c r="V1334" s="332"/>
      <c r="W1334" s="370"/>
      <c r="X1334" s="370"/>
      <c r="Y1334" s="370"/>
      <c r="Z1334" s="370"/>
      <c r="AA1334" s="370"/>
      <c r="AB1334" s="370"/>
      <c r="AC1334" s="370"/>
      <c r="AD1334" s="370"/>
      <c r="AE1334" s="370"/>
      <c r="AF1334" s="370"/>
      <c r="AG1334" s="370"/>
      <c r="AH1334" s="370"/>
      <c r="AI1334" s="370"/>
      <c r="AJ1334" s="370"/>
      <c r="AL1334" s="219"/>
      <c r="AM1334" s="219"/>
      <c r="AN1334" s="219"/>
      <c r="AO1334" s="116"/>
      <c r="AP1334" s="116"/>
      <c r="AU1334" s="332"/>
      <c r="AV1334" s="332"/>
      <c r="AW1334" s="332"/>
      <c r="AX1334" s="332"/>
      <c r="AY1334" s="332"/>
      <c r="AZ1334" s="332"/>
      <c r="BA1334" s="332"/>
      <c r="BB1334" s="31"/>
      <c r="BC1334" s="31"/>
      <c r="BD1334" s="31"/>
      <c r="BE1334" s="31"/>
    </row>
    <row r="1335" spans="1:57" ht="13">
      <c r="A1335" s="153"/>
      <c r="F1335" s="153"/>
      <c r="G1335" s="116"/>
      <c r="H1335" s="116"/>
      <c r="I1335" s="116"/>
      <c r="J1335" s="116"/>
      <c r="K1335" s="219"/>
      <c r="L1335" s="116"/>
      <c r="M1335" s="31"/>
      <c r="N1335" s="336"/>
      <c r="O1335" s="336"/>
      <c r="P1335" s="219"/>
      <c r="Q1335" s="332"/>
      <c r="R1335" s="219"/>
      <c r="S1335" s="332"/>
      <c r="T1335" s="219"/>
      <c r="U1335" s="332"/>
      <c r="V1335" s="332"/>
      <c r="W1335" s="370"/>
      <c r="X1335" s="370"/>
      <c r="Y1335" s="370"/>
      <c r="Z1335" s="370"/>
      <c r="AA1335" s="370"/>
      <c r="AB1335" s="370"/>
      <c r="AC1335" s="370"/>
      <c r="AD1335" s="370"/>
      <c r="AE1335" s="370"/>
      <c r="AF1335" s="370"/>
      <c r="AG1335" s="370"/>
      <c r="AH1335" s="370"/>
      <c r="AI1335" s="370"/>
      <c r="AJ1335" s="370"/>
      <c r="AL1335" s="219"/>
      <c r="AM1335" s="219"/>
      <c r="AN1335" s="219"/>
      <c r="AO1335" s="116"/>
      <c r="AP1335" s="116"/>
      <c r="AU1335" s="332"/>
      <c r="AV1335" s="332"/>
      <c r="AW1335" s="332"/>
      <c r="AX1335" s="332"/>
      <c r="AY1335" s="332"/>
      <c r="AZ1335" s="332"/>
      <c r="BA1335" s="332"/>
      <c r="BB1335" s="31"/>
      <c r="BC1335" s="31"/>
      <c r="BD1335" s="31"/>
      <c r="BE1335" s="31"/>
    </row>
    <row r="1336" spans="1:57" ht="13">
      <c r="A1336" s="153"/>
      <c r="F1336" s="153"/>
      <c r="G1336" s="116"/>
      <c r="H1336" s="116"/>
      <c r="I1336" s="116"/>
      <c r="J1336" s="116"/>
      <c r="K1336" s="219"/>
      <c r="L1336" s="116"/>
      <c r="M1336" s="31"/>
      <c r="N1336" s="336"/>
      <c r="O1336" s="336"/>
      <c r="P1336" s="219"/>
      <c r="Q1336" s="332"/>
      <c r="R1336" s="219"/>
      <c r="S1336" s="332"/>
      <c r="T1336" s="219"/>
      <c r="U1336" s="332"/>
      <c r="V1336" s="332"/>
      <c r="W1336" s="370"/>
      <c r="X1336" s="370"/>
      <c r="Y1336" s="370"/>
      <c r="Z1336" s="370"/>
      <c r="AA1336" s="370"/>
      <c r="AB1336" s="370"/>
      <c r="AC1336" s="370"/>
      <c r="AD1336" s="370"/>
      <c r="AE1336" s="370"/>
      <c r="AF1336" s="370"/>
      <c r="AG1336" s="370"/>
      <c r="AH1336" s="370"/>
      <c r="AI1336" s="370"/>
      <c r="AJ1336" s="370"/>
      <c r="AL1336" s="219"/>
      <c r="AM1336" s="219"/>
      <c r="AN1336" s="219"/>
      <c r="AO1336" s="116"/>
      <c r="AP1336" s="116"/>
      <c r="AU1336" s="332"/>
      <c r="AV1336" s="332"/>
      <c r="AW1336" s="332"/>
      <c r="AX1336" s="332"/>
      <c r="AY1336" s="332"/>
      <c r="AZ1336" s="332"/>
      <c r="BA1336" s="332"/>
      <c r="BB1336" s="31"/>
      <c r="BC1336" s="31"/>
      <c r="BD1336" s="31"/>
      <c r="BE1336" s="31"/>
    </row>
    <row r="1337" spans="1:57" ht="13">
      <c r="A1337" s="153"/>
      <c r="F1337" s="153"/>
      <c r="G1337" s="116"/>
      <c r="H1337" s="116"/>
      <c r="I1337" s="116"/>
      <c r="J1337" s="116"/>
      <c r="K1337" s="219"/>
      <c r="L1337" s="116"/>
      <c r="M1337" s="31"/>
      <c r="N1337" s="336"/>
      <c r="O1337" s="336"/>
      <c r="P1337" s="219"/>
      <c r="Q1337" s="332"/>
      <c r="R1337" s="219"/>
      <c r="S1337" s="332"/>
      <c r="T1337" s="219"/>
      <c r="U1337" s="332"/>
      <c r="V1337" s="332"/>
      <c r="W1337" s="370"/>
      <c r="X1337" s="370"/>
      <c r="Y1337" s="370"/>
      <c r="Z1337" s="370"/>
      <c r="AA1337" s="370"/>
      <c r="AB1337" s="370"/>
      <c r="AC1337" s="370"/>
      <c r="AD1337" s="370"/>
      <c r="AE1337" s="370"/>
      <c r="AF1337" s="370"/>
      <c r="AG1337" s="370"/>
      <c r="AH1337" s="370"/>
      <c r="AI1337" s="370"/>
      <c r="AJ1337" s="370"/>
      <c r="AL1337" s="219"/>
      <c r="AM1337" s="219"/>
      <c r="AN1337" s="219"/>
      <c r="AO1337" s="116"/>
      <c r="AP1337" s="116"/>
      <c r="AU1337" s="332"/>
      <c r="AV1337" s="332"/>
      <c r="AW1337" s="332"/>
      <c r="AX1337" s="332"/>
      <c r="AY1337" s="332"/>
      <c r="AZ1337" s="332"/>
      <c r="BA1337" s="332"/>
      <c r="BB1337" s="31"/>
      <c r="BC1337" s="31"/>
      <c r="BD1337" s="31"/>
      <c r="BE1337" s="31"/>
    </row>
    <row r="1338" spans="1:57" ht="13">
      <c r="A1338" s="153"/>
      <c r="F1338" s="153"/>
      <c r="G1338" s="116"/>
      <c r="H1338" s="116"/>
      <c r="I1338" s="116"/>
      <c r="J1338" s="116"/>
      <c r="K1338" s="219"/>
      <c r="L1338" s="116"/>
      <c r="M1338" s="31"/>
      <c r="N1338" s="336"/>
      <c r="O1338" s="336"/>
      <c r="P1338" s="219"/>
      <c r="Q1338" s="332"/>
      <c r="R1338" s="219"/>
      <c r="S1338" s="332"/>
      <c r="T1338" s="219"/>
      <c r="U1338" s="332"/>
      <c r="V1338" s="332"/>
      <c r="W1338" s="370"/>
      <c r="X1338" s="370"/>
      <c r="Y1338" s="370"/>
      <c r="Z1338" s="370"/>
      <c r="AA1338" s="370"/>
      <c r="AB1338" s="370"/>
      <c r="AC1338" s="370"/>
      <c r="AD1338" s="370"/>
      <c r="AE1338" s="370"/>
      <c r="AF1338" s="370"/>
      <c r="AG1338" s="370"/>
      <c r="AH1338" s="370"/>
      <c r="AI1338" s="370"/>
      <c r="AJ1338" s="370"/>
      <c r="AL1338" s="219"/>
      <c r="AM1338" s="219"/>
      <c r="AN1338" s="219"/>
      <c r="AO1338" s="116"/>
      <c r="AP1338" s="116"/>
      <c r="AU1338" s="332"/>
      <c r="AV1338" s="332"/>
      <c r="AW1338" s="332"/>
      <c r="AX1338" s="332"/>
      <c r="AY1338" s="332"/>
      <c r="AZ1338" s="332"/>
      <c r="BA1338" s="332"/>
      <c r="BB1338" s="31"/>
      <c r="BC1338" s="31"/>
      <c r="BD1338" s="31"/>
      <c r="BE1338" s="31"/>
    </row>
    <row r="1339" spans="1:57" ht="13">
      <c r="A1339" s="153"/>
      <c r="F1339" s="153"/>
      <c r="G1339" s="116"/>
      <c r="H1339" s="116"/>
      <c r="I1339" s="116"/>
      <c r="J1339" s="116"/>
      <c r="K1339" s="219"/>
      <c r="L1339" s="116"/>
      <c r="M1339" s="31"/>
      <c r="N1339" s="336"/>
      <c r="O1339" s="336"/>
      <c r="P1339" s="219"/>
      <c r="Q1339" s="332"/>
      <c r="R1339" s="219"/>
      <c r="S1339" s="332"/>
      <c r="T1339" s="219"/>
      <c r="U1339" s="332"/>
      <c r="V1339" s="332"/>
      <c r="W1339" s="370"/>
      <c r="X1339" s="370"/>
      <c r="Y1339" s="370"/>
      <c r="Z1339" s="370"/>
      <c r="AA1339" s="370"/>
      <c r="AB1339" s="370"/>
      <c r="AC1339" s="370"/>
      <c r="AD1339" s="370"/>
      <c r="AE1339" s="370"/>
      <c r="AF1339" s="370"/>
      <c r="AG1339" s="370"/>
      <c r="AH1339" s="370"/>
      <c r="AI1339" s="370"/>
      <c r="AJ1339" s="370"/>
      <c r="AL1339" s="219"/>
      <c r="AM1339" s="219"/>
      <c r="AN1339" s="219"/>
      <c r="AO1339" s="116"/>
      <c r="AP1339" s="116"/>
      <c r="AU1339" s="332"/>
      <c r="AV1339" s="332"/>
      <c r="AW1339" s="332"/>
      <c r="AX1339" s="332"/>
      <c r="AY1339" s="332"/>
      <c r="AZ1339" s="332"/>
      <c r="BA1339" s="332"/>
      <c r="BB1339" s="31"/>
      <c r="BC1339" s="31"/>
      <c r="BD1339" s="31"/>
      <c r="BE1339" s="31"/>
    </row>
    <row r="1340" spans="1:57" ht="13">
      <c r="A1340" s="153"/>
      <c r="F1340" s="153"/>
      <c r="G1340" s="116"/>
      <c r="H1340" s="116"/>
      <c r="I1340" s="116"/>
      <c r="J1340" s="116"/>
      <c r="K1340" s="219"/>
      <c r="L1340" s="116"/>
      <c r="M1340" s="31"/>
      <c r="N1340" s="336"/>
      <c r="O1340" s="336"/>
      <c r="P1340" s="219"/>
      <c r="Q1340" s="332"/>
      <c r="R1340" s="219"/>
      <c r="S1340" s="332"/>
      <c r="T1340" s="219"/>
      <c r="U1340" s="332"/>
      <c r="V1340" s="332"/>
      <c r="W1340" s="370"/>
      <c r="X1340" s="370"/>
      <c r="Y1340" s="370"/>
      <c r="Z1340" s="370"/>
      <c r="AA1340" s="370"/>
      <c r="AB1340" s="370"/>
      <c r="AC1340" s="370"/>
      <c r="AD1340" s="370"/>
      <c r="AE1340" s="370"/>
      <c r="AF1340" s="370"/>
      <c r="AG1340" s="370"/>
      <c r="AH1340" s="370"/>
      <c r="AI1340" s="370"/>
      <c r="AJ1340" s="370"/>
      <c r="AL1340" s="219"/>
      <c r="AM1340" s="219"/>
      <c r="AN1340" s="219"/>
      <c r="AO1340" s="116"/>
      <c r="AP1340" s="116"/>
      <c r="AU1340" s="332"/>
      <c r="AV1340" s="332"/>
      <c r="AW1340" s="332"/>
      <c r="AX1340" s="332"/>
      <c r="AY1340" s="332"/>
      <c r="AZ1340" s="332"/>
      <c r="BA1340" s="332"/>
      <c r="BB1340" s="31"/>
      <c r="BC1340" s="31"/>
      <c r="BD1340" s="31"/>
      <c r="BE1340" s="31"/>
    </row>
    <row r="1341" spans="1:57" ht="13">
      <c r="A1341" s="153"/>
      <c r="F1341" s="153"/>
      <c r="G1341" s="116"/>
      <c r="H1341" s="116"/>
      <c r="I1341" s="116"/>
      <c r="J1341" s="116"/>
      <c r="K1341" s="219"/>
      <c r="L1341" s="116"/>
      <c r="M1341" s="31"/>
      <c r="N1341" s="336"/>
      <c r="O1341" s="336"/>
      <c r="P1341" s="219"/>
      <c r="Q1341" s="332"/>
      <c r="R1341" s="219"/>
      <c r="S1341" s="332"/>
      <c r="T1341" s="219"/>
      <c r="U1341" s="332"/>
      <c r="V1341" s="332"/>
      <c r="W1341" s="370"/>
      <c r="X1341" s="370"/>
      <c r="Y1341" s="370"/>
      <c r="Z1341" s="370"/>
      <c r="AA1341" s="370"/>
      <c r="AB1341" s="370"/>
      <c r="AC1341" s="370"/>
      <c r="AD1341" s="370"/>
      <c r="AE1341" s="370"/>
      <c r="AF1341" s="370"/>
      <c r="AG1341" s="370"/>
      <c r="AH1341" s="370"/>
      <c r="AI1341" s="370"/>
      <c r="AJ1341" s="370"/>
      <c r="AL1341" s="219"/>
      <c r="AM1341" s="219"/>
      <c r="AN1341" s="219"/>
      <c r="AO1341" s="116"/>
      <c r="AP1341" s="116"/>
      <c r="AU1341" s="332"/>
      <c r="AV1341" s="332"/>
      <c r="AW1341" s="332"/>
      <c r="AX1341" s="332"/>
      <c r="AY1341" s="332"/>
      <c r="AZ1341" s="332"/>
      <c r="BA1341" s="332"/>
      <c r="BB1341" s="31"/>
      <c r="BC1341" s="31"/>
      <c r="BD1341" s="31"/>
      <c r="BE1341" s="31"/>
    </row>
    <row r="1342" spans="1:57" ht="13">
      <c r="A1342" s="153"/>
      <c r="F1342" s="153"/>
      <c r="G1342" s="116"/>
      <c r="H1342" s="116"/>
      <c r="I1342" s="116"/>
      <c r="J1342" s="116"/>
      <c r="K1342" s="219"/>
      <c r="L1342" s="116"/>
      <c r="M1342" s="31"/>
      <c r="N1342" s="336"/>
      <c r="O1342" s="336"/>
      <c r="P1342" s="219"/>
      <c r="Q1342" s="332"/>
      <c r="R1342" s="219"/>
      <c r="S1342" s="332"/>
      <c r="T1342" s="219"/>
      <c r="U1342" s="332"/>
      <c r="V1342" s="332"/>
      <c r="W1342" s="370"/>
      <c r="X1342" s="370"/>
      <c r="Y1342" s="370"/>
      <c r="Z1342" s="370"/>
      <c r="AA1342" s="370"/>
      <c r="AB1342" s="370"/>
      <c r="AC1342" s="370"/>
      <c r="AD1342" s="370"/>
      <c r="AE1342" s="370"/>
      <c r="AF1342" s="370"/>
      <c r="AG1342" s="370"/>
      <c r="AH1342" s="370"/>
      <c r="AI1342" s="370"/>
      <c r="AJ1342" s="370"/>
      <c r="AL1342" s="219"/>
      <c r="AM1342" s="219"/>
      <c r="AN1342" s="219"/>
      <c r="AO1342" s="116"/>
      <c r="AP1342" s="116"/>
      <c r="AU1342" s="332"/>
      <c r="AV1342" s="332"/>
      <c r="AW1342" s="332"/>
      <c r="AX1342" s="332"/>
      <c r="AY1342" s="332"/>
      <c r="AZ1342" s="332"/>
      <c r="BA1342" s="332"/>
      <c r="BB1342" s="31"/>
      <c r="BC1342" s="31"/>
      <c r="BD1342" s="31"/>
      <c r="BE1342" s="31"/>
    </row>
    <row r="1343" spans="1:57" ht="13">
      <c r="A1343" s="153"/>
      <c r="F1343" s="153"/>
      <c r="G1343" s="116"/>
      <c r="H1343" s="116"/>
      <c r="I1343" s="116"/>
      <c r="J1343" s="116"/>
      <c r="K1343" s="219"/>
      <c r="L1343" s="116"/>
      <c r="M1343" s="31"/>
      <c r="N1343" s="336"/>
      <c r="O1343" s="336"/>
      <c r="P1343" s="219"/>
      <c r="Q1343" s="332"/>
      <c r="R1343" s="219"/>
      <c r="S1343" s="332"/>
      <c r="T1343" s="219"/>
      <c r="U1343" s="332"/>
      <c r="V1343" s="332"/>
      <c r="W1343" s="370"/>
      <c r="X1343" s="370"/>
      <c r="Y1343" s="370"/>
      <c r="Z1343" s="370"/>
      <c r="AA1343" s="370"/>
      <c r="AB1343" s="370"/>
      <c r="AC1343" s="370"/>
      <c r="AD1343" s="370"/>
      <c r="AE1343" s="370"/>
      <c r="AF1343" s="370"/>
      <c r="AG1343" s="370"/>
      <c r="AH1343" s="370"/>
      <c r="AI1343" s="370"/>
      <c r="AJ1343" s="370"/>
      <c r="AL1343" s="219"/>
      <c r="AM1343" s="219"/>
      <c r="AN1343" s="219"/>
      <c r="AO1343" s="116"/>
      <c r="AP1343" s="116"/>
      <c r="AU1343" s="332"/>
      <c r="AV1343" s="332"/>
      <c r="AW1343" s="332"/>
      <c r="AX1343" s="332"/>
      <c r="AY1343" s="332"/>
      <c r="AZ1343" s="332"/>
      <c r="BA1343" s="332"/>
      <c r="BB1343" s="31"/>
      <c r="BC1343" s="31"/>
      <c r="BD1343" s="31"/>
      <c r="BE1343" s="31"/>
    </row>
    <row r="1344" spans="1:57" ht="13">
      <c r="A1344" s="153"/>
      <c r="F1344" s="153"/>
      <c r="G1344" s="116"/>
      <c r="H1344" s="116"/>
      <c r="I1344" s="116"/>
      <c r="J1344" s="116"/>
      <c r="K1344" s="219"/>
      <c r="L1344" s="116"/>
      <c r="M1344" s="31"/>
      <c r="N1344" s="336"/>
      <c r="O1344" s="336"/>
      <c r="P1344" s="219"/>
      <c r="Q1344" s="332"/>
      <c r="R1344" s="219"/>
      <c r="S1344" s="332"/>
      <c r="T1344" s="219"/>
      <c r="U1344" s="332"/>
      <c r="V1344" s="332"/>
      <c r="W1344" s="370"/>
      <c r="X1344" s="370"/>
      <c r="Y1344" s="370"/>
      <c r="Z1344" s="370"/>
      <c r="AA1344" s="370"/>
      <c r="AB1344" s="370"/>
      <c r="AC1344" s="370"/>
      <c r="AD1344" s="370"/>
      <c r="AE1344" s="370"/>
      <c r="AF1344" s="370"/>
      <c r="AG1344" s="370"/>
      <c r="AH1344" s="370"/>
      <c r="AI1344" s="370"/>
      <c r="AJ1344" s="370"/>
      <c r="AL1344" s="219"/>
      <c r="AM1344" s="219"/>
      <c r="AN1344" s="219"/>
      <c r="AO1344" s="116"/>
      <c r="AP1344" s="116"/>
      <c r="AU1344" s="332"/>
      <c r="AV1344" s="332"/>
      <c r="AW1344" s="332"/>
      <c r="AX1344" s="332"/>
      <c r="AY1344" s="332"/>
      <c r="AZ1344" s="332"/>
      <c r="BA1344" s="332"/>
      <c r="BB1344" s="31"/>
      <c r="BC1344" s="31"/>
      <c r="BD1344" s="31"/>
      <c r="BE1344" s="31"/>
    </row>
    <row r="1345" spans="1:57" ht="13">
      <c r="A1345" s="153"/>
      <c r="F1345" s="153"/>
      <c r="G1345" s="116"/>
      <c r="H1345" s="116"/>
      <c r="I1345" s="116"/>
      <c r="J1345" s="116"/>
      <c r="K1345" s="219"/>
      <c r="L1345" s="116"/>
      <c r="M1345" s="31"/>
      <c r="N1345" s="336"/>
      <c r="O1345" s="336"/>
      <c r="P1345" s="219"/>
      <c r="Q1345" s="332"/>
      <c r="R1345" s="219"/>
      <c r="S1345" s="332"/>
      <c r="T1345" s="219"/>
      <c r="U1345" s="332"/>
      <c r="V1345" s="332"/>
      <c r="W1345" s="370"/>
      <c r="X1345" s="370"/>
      <c r="Y1345" s="370"/>
      <c r="Z1345" s="370"/>
      <c r="AA1345" s="370"/>
      <c r="AB1345" s="370"/>
      <c r="AC1345" s="370"/>
      <c r="AD1345" s="370"/>
      <c r="AE1345" s="370"/>
      <c r="AF1345" s="370"/>
      <c r="AG1345" s="370"/>
      <c r="AH1345" s="370"/>
      <c r="AI1345" s="370"/>
      <c r="AJ1345" s="370"/>
      <c r="AL1345" s="219"/>
      <c r="AM1345" s="219"/>
      <c r="AN1345" s="219"/>
      <c r="AO1345" s="116"/>
      <c r="AP1345" s="116"/>
      <c r="AU1345" s="332"/>
      <c r="AV1345" s="332"/>
      <c r="AW1345" s="332"/>
      <c r="AX1345" s="332"/>
      <c r="AY1345" s="332"/>
      <c r="AZ1345" s="332"/>
      <c r="BA1345" s="332"/>
      <c r="BB1345" s="31"/>
      <c r="BC1345" s="31"/>
      <c r="BD1345" s="31"/>
      <c r="BE1345" s="31"/>
    </row>
    <row r="1346" spans="1:57" ht="13">
      <c r="A1346" s="153"/>
      <c r="F1346" s="153"/>
      <c r="G1346" s="116"/>
      <c r="H1346" s="116"/>
      <c r="I1346" s="116"/>
      <c r="J1346" s="116"/>
      <c r="K1346" s="219"/>
      <c r="L1346" s="116"/>
      <c r="M1346" s="31"/>
      <c r="N1346" s="336"/>
      <c r="O1346" s="336"/>
      <c r="P1346" s="219"/>
      <c r="Q1346" s="332"/>
      <c r="R1346" s="219"/>
      <c r="S1346" s="332"/>
      <c r="T1346" s="219"/>
      <c r="U1346" s="332"/>
      <c r="V1346" s="332"/>
      <c r="W1346" s="370"/>
      <c r="X1346" s="370"/>
      <c r="Y1346" s="370"/>
      <c r="Z1346" s="370"/>
      <c r="AA1346" s="370"/>
      <c r="AB1346" s="370"/>
      <c r="AC1346" s="370"/>
      <c r="AD1346" s="370"/>
      <c r="AE1346" s="370"/>
      <c r="AF1346" s="370"/>
      <c r="AG1346" s="370"/>
      <c r="AH1346" s="370"/>
      <c r="AI1346" s="370"/>
      <c r="AJ1346" s="370"/>
      <c r="AL1346" s="219"/>
      <c r="AM1346" s="219"/>
      <c r="AN1346" s="219"/>
      <c r="AO1346" s="116"/>
      <c r="AP1346" s="116"/>
      <c r="AU1346" s="332"/>
      <c r="AV1346" s="332"/>
      <c r="AW1346" s="332"/>
      <c r="AX1346" s="332"/>
      <c r="AY1346" s="332"/>
      <c r="AZ1346" s="332"/>
      <c r="BA1346" s="332"/>
      <c r="BB1346" s="31"/>
      <c r="BC1346" s="31"/>
      <c r="BD1346" s="31"/>
      <c r="BE1346" s="31"/>
    </row>
    <row r="1347" spans="1:57" ht="13">
      <c r="A1347" s="153"/>
      <c r="F1347" s="153"/>
      <c r="G1347" s="116"/>
      <c r="H1347" s="116"/>
      <c r="I1347" s="116"/>
      <c r="J1347" s="116"/>
      <c r="K1347" s="219"/>
      <c r="L1347" s="116"/>
      <c r="M1347" s="31"/>
      <c r="N1347" s="336"/>
      <c r="O1347" s="336"/>
      <c r="P1347" s="219"/>
      <c r="Q1347" s="332"/>
      <c r="R1347" s="219"/>
      <c r="S1347" s="332"/>
      <c r="T1347" s="219"/>
      <c r="U1347" s="332"/>
      <c r="V1347" s="332"/>
      <c r="W1347" s="370"/>
      <c r="X1347" s="370"/>
      <c r="Y1347" s="370"/>
      <c r="Z1347" s="370"/>
      <c r="AA1347" s="370"/>
      <c r="AB1347" s="370"/>
      <c r="AC1347" s="370"/>
      <c r="AD1347" s="370"/>
      <c r="AE1347" s="370"/>
      <c r="AF1347" s="370"/>
      <c r="AG1347" s="370"/>
      <c r="AH1347" s="370"/>
      <c r="AI1347" s="370"/>
      <c r="AJ1347" s="370"/>
      <c r="AL1347" s="219"/>
      <c r="AM1347" s="219"/>
      <c r="AN1347" s="219"/>
      <c r="AO1347" s="116"/>
      <c r="AP1347" s="116"/>
      <c r="AU1347" s="332"/>
      <c r="AV1347" s="332"/>
      <c r="AW1347" s="332"/>
      <c r="AX1347" s="332"/>
      <c r="AY1347" s="332"/>
      <c r="AZ1347" s="332"/>
      <c r="BA1347" s="332"/>
      <c r="BB1347" s="31"/>
      <c r="BC1347" s="31"/>
      <c r="BD1347" s="31"/>
      <c r="BE1347" s="31"/>
    </row>
    <row r="1348" spans="1:57" ht="13">
      <c r="A1348" s="153"/>
      <c r="F1348" s="153"/>
      <c r="G1348" s="116"/>
      <c r="H1348" s="116"/>
      <c r="I1348" s="116"/>
      <c r="J1348" s="116"/>
      <c r="K1348" s="219"/>
      <c r="L1348" s="116"/>
      <c r="M1348" s="31"/>
      <c r="N1348" s="336"/>
      <c r="O1348" s="336"/>
      <c r="P1348" s="219"/>
      <c r="Q1348" s="332"/>
      <c r="R1348" s="219"/>
      <c r="S1348" s="332"/>
      <c r="T1348" s="219"/>
      <c r="U1348" s="332"/>
      <c r="V1348" s="332"/>
      <c r="W1348" s="370"/>
      <c r="X1348" s="370"/>
      <c r="Y1348" s="370"/>
      <c r="Z1348" s="370"/>
      <c r="AA1348" s="370"/>
      <c r="AB1348" s="370"/>
      <c r="AC1348" s="370"/>
      <c r="AD1348" s="370"/>
      <c r="AE1348" s="370"/>
      <c r="AF1348" s="370"/>
      <c r="AG1348" s="370"/>
      <c r="AH1348" s="370"/>
      <c r="AI1348" s="370"/>
      <c r="AJ1348" s="370"/>
      <c r="AL1348" s="219"/>
      <c r="AM1348" s="219"/>
      <c r="AN1348" s="219"/>
      <c r="AO1348" s="116"/>
      <c r="AP1348" s="116"/>
      <c r="AU1348" s="332"/>
      <c r="AV1348" s="332"/>
      <c r="AW1348" s="332"/>
      <c r="AX1348" s="332"/>
      <c r="AY1348" s="332"/>
      <c r="AZ1348" s="332"/>
      <c r="BA1348" s="332"/>
      <c r="BB1348" s="31"/>
      <c r="BC1348" s="31"/>
      <c r="BD1348" s="31"/>
      <c r="BE1348" s="31"/>
    </row>
    <row r="1349" spans="1:57" ht="13">
      <c r="A1349" s="153"/>
      <c r="F1349" s="153"/>
      <c r="G1349" s="116"/>
      <c r="H1349" s="116"/>
      <c r="I1349" s="116"/>
      <c r="J1349" s="116"/>
      <c r="K1349" s="219"/>
      <c r="L1349" s="116"/>
      <c r="M1349" s="31"/>
      <c r="N1349" s="336"/>
      <c r="O1349" s="336"/>
      <c r="P1349" s="219"/>
      <c r="Q1349" s="332"/>
      <c r="R1349" s="219"/>
      <c r="S1349" s="332"/>
      <c r="T1349" s="219"/>
      <c r="U1349" s="332"/>
      <c r="V1349" s="332"/>
      <c r="W1349" s="370"/>
      <c r="X1349" s="370"/>
      <c r="Y1349" s="370"/>
      <c r="Z1349" s="370"/>
      <c r="AA1349" s="370"/>
      <c r="AB1349" s="370"/>
      <c r="AC1349" s="370"/>
      <c r="AD1349" s="370"/>
      <c r="AE1349" s="370"/>
      <c r="AF1349" s="370"/>
      <c r="AG1349" s="370"/>
      <c r="AH1349" s="370"/>
      <c r="AI1349" s="370"/>
      <c r="AJ1349" s="370"/>
      <c r="AL1349" s="219"/>
      <c r="AM1349" s="219"/>
      <c r="AN1349" s="219"/>
      <c r="AO1349" s="116"/>
      <c r="AP1349" s="116"/>
      <c r="AU1349" s="332"/>
      <c r="AV1349" s="332"/>
      <c r="AW1349" s="332"/>
      <c r="AX1349" s="332"/>
      <c r="AY1349" s="332"/>
      <c r="AZ1349" s="332"/>
      <c r="BA1349" s="332"/>
      <c r="BB1349" s="31"/>
      <c r="BC1349" s="31"/>
      <c r="BD1349" s="31"/>
      <c r="BE1349" s="31"/>
    </row>
    <row r="1350" spans="1:57" ht="13">
      <c r="A1350" s="153"/>
      <c r="F1350" s="153"/>
      <c r="G1350" s="116"/>
      <c r="H1350" s="116"/>
      <c r="I1350" s="116"/>
      <c r="J1350" s="116"/>
      <c r="K1350" s="219"/>
      <c r="L1350" s="116"/>
      <c r="M1350" s="31"/>
      <c r="N1350" s="336"/>
      <c r="O1350" s="336"/>
      <c r="P1350" s="219"/>
      <c r="Q1350" s="332"/>
      <c r="R1350" s="219"/>
      <c r="S1350" s="332"/>
      <c r="T1350" s="219"/>
      <c r="U1350" s="332"/>
      <c r="V1350" s="332"/>
      <c r="W1350" s="370"/>
      <c r="X1350" s="370"/>
      <c r="Y1350" s="370"/>
      <c r="Z1350" s="370"/>
      <c r="AA1350" s="370"/>
      <c r="AB1350" s="370"/>
      <c r="AC1350" s="370"/>
      <c r="AD1350" s="370"/>
      <c r="AE1350" s="370"/>
      <c r="AF1350" s="370"/>
      <c r="AG1350" s="370"/>
      <c r="AH1350" s="370"/>
      <c r="AI1350" s="370"/>
      <c r="AJ1350" s="370"/>
      <c r="AL1350" s="219"/>
      <c r="AM1350" s="219"/>
      <c r="AN1350" s="219"/>
      <c r="AO1350" s="116"/>
      <c r="AP1350" s="116"/>
      <c r="AU1350" s="332"/>
      <c r="AV1350" s="332"/>
      <c r="AW1350" s="332"/>
      <c r="AX1350" s="332"/>
      <c r="AY1350" s="332"/>
      <c r="AZ1350" s="332"/>
      <c r="BA1350" s="332"/>
      <c r="BB1350" s="31"/>
      <c r="BC1350" s="31"/>
      <c r="BD1350" s="31"/>
      <c r="BE1350" s="31"/>
    </row>
    <row r="1351" spans="1:57" ht="13">
      <c r="A1351" s="153"/>
      <c r="F1351" s="153"/>
      <c r="G1351" s="116"/>
      <c r="H1351" s="116"/>
      <c r="I1351" s="116"/>
      <c r="J1351" s="116"/>
      <c r="K1351" s="219"/>
      <c r="L1351" s="116"/>
      <c r="M1351" s="31"/>
      <c r="N1351" s="336"/>
      <c r="O1351" s="336"/>
      <c r="P1351" s="219"/>
      <c r="Q1351" s="332"/>
      <c r="R1351" s="219"/>
      <c r="S1351" s="332"/>
      <c r="T1351" s="219"/>
      <c r="U1351" s="332"/>
      <c r="V1351" s="332"/>
      <c r="W1351" s="370"/>
      <c r="X1351" s="370"/>
      <c r="Y1351" s="370"/>
      <c r="Z1351" s="370"/>
      <c r="AA1351" s="370"/>
      <c r="AB1351" s="370"/>
      <c r="AC1351" s="370"/>
      <c r="AD1351" s="370"/>
      <c r="AE1351" s="370"/>
      <c r="AF1351" s="370"/>
      <c r="AG1351" s="370"/>
      <c r="AH1351" s="370"/>
      <c r="AI1351" s="370"/>
      <c r="AJ1351" s="370"/>
      <c r="AL1351" s="219"/>
      <c r="AM1351" s="219"/>
      <c r="AN1351" s="219"/>
      <c r="AO1351" s="116"/>
      <c r="AP1351" s="116"/>
      <c r="AU1351" s="332"/>
      <c r="AV1351" s="332"/>
      <c r="AW1351" s="332"/>
      <c r="AX1351" s="332"/>
      <c r="AY1351" s="332"/>
      <c r="AZ1351" s="332"/>
      <c r="BA1351" s="332"/>
      <c r="BB1351" s="31"/>
      <c r="BC1351" s="31"/>
      <c r="BD1351" s="31"/>
      <c r="BE1351" s="31"/>
    </row>
    <row r="1352" spans="1:57" ht="13">
      <c r="A1352" s="153"/>
      <c r="F1352" s="153"/>
      <c r="G1352" s="116"/>
      <c r="H1352" s="116"/>
      <c r="I1352" s="116"/>
      <c r="J1352" s="116"/>
      <c r="K1352" s="219"/>
      <c r="L1352" s="116"/>
      <c r="M1352" s="31"/>
      <c r="N1352" s="336"/>
      <c r="O1352" s="336"/>
      <c r="P1352" s="219"/>
      <c r="Q1352" s="332"/>
      <c r="R1352" s="219"/>
      <c r="S1352" s="332"/>
      <c r="T1352" s="219"/>
      <c r="U1352" s="332"/>
      <c r="V1352" s="332"/>
      <c r="W1352" s="370"/>
      <c r="X1352" s="370"/>
      <c r="Y1352" s="370"/>
      <c r="Z1352" s="370"/>
      <c r="AA1352" s="370"/>
      <c r="AB1352" s="370"/>
      <c r="AC1352" s="370"/>
      <c r="AD1352" s="370"/>
      <c r="AE1352" s="370"/>
      <c r="AF1352" s="370"/>
      <c r="AG1352" s="370"/>
      <c r="AH1352" s="370"/>
      <c r="AI1352" s="370"/>
      <c r="AJ1352" s="370"/>
      <c r="AL1352" s="219"/>
      <c r="AM1352" s="219"/>
      <c r="AN1352" s="219"/>
      <c r="AO1352" s="116"/>
      <c r="AP1352" s="116"/>
      <c r="AU1352" s="332"/>
      <c r="AV1352" s="332"/>
      <c r="AW1352" s="332"/>
      <c r="AX1352" s="332"/>
      <c r="AY1352" s="332"/>
      <c r="AZ1352" s="332"/>
      <c r="BA1352" s="332"/>
      <c r="BB1352" s="31"/>
      <c r="BC1352" s="31"/>
      <c r="BD1352" s="31"/>
      <c r="BE1352" s="31"/>
    </row>
    <row r="1353" spans="1:57" ht="13">
      <c r="A1353" s="153"/>
      <c r="F1353" s="153"/>
      <c r="G1353" s="116"/>
      <c r="H1353" s="116"/>
      <c r="I1353" s="116"/>
      <c r="J1353" s="116"/>
      <c r="K1353" s="219"/>
      <c r="L1353" s="116"/>
      <c r="M1353" s="31"/>
      <c r="N1353" s="336"/>
      <c r="O1353" s="336"/>
      <c r="P1353" s="219"/>
      <c r="Q1353" s="332"/>
      <c r="R1353" s="219"/>
      <c r="S1353" s="332"/>
      <c r="T1353" s="219"/>
      <c r="U1353" s="332"/>
      <c r="V1353" s="332"/>
      <c r="W1353" s="370"/>
      <c r="X1353" s="370"/>
      <c r="Y1353" s="370"/>
      <c r="Z1353" s="370"/>
      <c r="AA1353" s="370"/>
      <c r="AB1353" s="370"/>
      <c r="AC1353" s="370"/>
      <c r="AD1353" s="370"/>
      <c r="AE1353" s="370"/>
      <c r="AF1353" s="370"/>
      <c r="AG1353" s="370"/>
      <c r="AH1353" s="370"/>
      <c r="AI1353" s="370"/>
      <c r="AJ1353" s="370"/>
      <c r="AL1353" s="219"/>
      <c r="AM1353" s="219"/>
      <c r="AN1353" s="219"/>
      <c r="AO1353" s="116"/>
      <c r="AP1353" s="116"/>
      <c r="AU1353" s="332"/>
      <c r="AV1353" s="332"/>
      <c r="AW1353" s="332"/>
      <c r="AX1353" s="332"/>
      <c r="AY1353" s="332"/>
      <c r="AZ1353" s="332"/>
      <c r="BA1353" s="332"/>
      <c r="BB1353" s="31"/>
      <c r="BC1353" s="31"/>
      <c r="BD1353" s="31"/>
      <c r="BE1353" s="31"/>
    </row>
    <row r="1354" spans="1:57" ht="13">
      <c r="A1354" s="153"/>
      <c r="F1354" s="153"/>
      <c r="G1354" s="116"/>
      <c r="H1354" s="116"/>
      <c r="I1354" s="116"/>
      <c r="J1354" s="116"/>
      <c r="K1354" s="219"/>
      <c r="L1354" s="116"/>
      <c r="M1354" s="31"/>
      <c r="N1354" s="336"/>
      <c r="O1354" s="336"/>
      <c r="P1354" s="219"/>
      <c r="Q1354" s="332"/>
      <c r="R1354" s="219"/>
      <c r="S1354" s="332"/>
      <c r="T1354" s="219"/>
      <c r="U1354" s="332"/>
      <c r="V1354" s="332"/>
      <c r="W1354" s="370"/>
      <c r="X1354" s="370"/>
      <c r="Y1354" s="370"/>
      <c r="Z1354" s="370"/>
      <c r="AA1354" s="370"/>
      <c r="AB1354" s="370"/>
      <c r="AC1354" s="370"/>
      <c r="AD1354" s="370"/>
      <c r="AE1354" s="370"/>
      <c r="AF1354" s="370"/>
      <c r="AG1354" s="370"/>
      <c r="AH1354" s="370"/>
      <c r="AI1354" s="370"/>
      <c r="AJ1354" s="370"/>
      <c r="AL1354" s="219"/>
      <c r="AM1354" s="219"/>
      <c r="AN1354" s="219"/>
      <c r="AO1354" s="116"/>
      <c r="AP1354" s="116"/>
      <c r="AU1354" s="332"/>
      <c r="AV1354" s="332"/>
      <c r="AW1354" s="332"/>
      <c r="AX1354" s="332"/>
      <c r="AY1354" s="332"/>
      <c r="AZ1354" s="332"/>
      <c r="BA1354" s="332"/>
      <c r="BB1354" s="31"/>
      <c r="BC1354" s="31"/>
      <c r="BD1354" s="31"/>
      <c r="BE1354" s="31"/>
    </row>
    <row r="1355" spans="1:57" ht="13">
      <c r="A1355" s="153"/>
      <c r="F1355" s="153"/>
      <c r="G1355" s="116"/>
      <c r="H1355" s="116"/>
      <c r="I1355" s="116"/>
      <c r="J1355" s="116"/>
      <c r="K1355" s="219"/>
      <c r="L1355" s="116"/>
      <c r="M1355" s="31"/>
      <c r="N1355" s="336"/>
      <c r="O1355" s="336"/>
      <c r="P1355" s="219"/>
      <c r="Q1355" s="332"/>
      <c r="R1355" s="219"/>
      <c r="S1355" s="332"/>
      <c r="T1355" s="219"/>
      <c r="U1355" s="332"/>
      <c r="V1355" s="332"/>
      <c r="W1355" s="370"/>
      <c r="X1355" s="370"/>
      <c r="Y1355" s="370"/>
      <c r="Z1355" s="370"/>
      <c r="AA1355" s="370"/>
      <c r="AB1355" s="370"/>
      <c r="AC1355" s="370"/>
      <c r="AD1355" s="370"/>
      <c r="AE1355" s="370"/>
      <c r="AF1355" s="370"/>
      <c r="AG1355" s="370"/>
      <c r="AH1355" s="370"/>
      <c r="AI1355" s="370"/>
      <c r="AJ1355" s="370"/>
      <c r="AL1355" s="219"/>
      <c r="AM1355" s="219"/>
      <c r="AN1355" s="219"/>
      <c r="AO1355" s="116"/>
      <c r="AP1355" s="116"/>
      <c r="AU1355" s="332"/>
      <c r="AV1355" s="332"/>
      <c r="AW1355" s="332"/>
      <c r="AX1355" s="332"/>
      <c r="AY1355" s="332"/>
      <c r="AZ1355" s="332"/>
      <c r="BA1355" s="332"/>
      <c r="BB1355" s="31"/>
      <c r="BC1355" s="31"/>
      <c r="BD1355" s="31"/>
      <c r="BE1355" s="31"/>
    </row>
    <row r="1356" spans="1:57" ht="13">
      <c r="A1356" s="153"/>
      <c r="F1356" s="153"/>
      <c r="G1356" s="116"/>
      <c r="H1356" s="116"/>
      <c r="I1356" s="116"/>
      <c r="J1356" s="116"/>
      <c r="K1356" s="219"/>
      <c r="L1356" s="116"/>
      <c r="M1356" s="31"/>
      <c r="N1356" s="336"/>
      <c r="O1356" s="336"/>
      <c r="P1356" s="219"/>
      <c r="Q1356" s="332"/>
      <c r="R1356" s="219"/>
      <c r="S1356" s="332"/>
      <c r="T1356" s="219"/>
      <c r="U1356" s="332"/>
      <c r="V1356" s="332"/>
      <c r="W1356" s="370"/>
      <c r="X1356" s="370"/>
      <c r="Y1356" s="370"/>
      <c r="Z1356" s="370"/>
      <c r="AA1356" s="370"/>
      <c r="AB1356" s="370"/>
      <c r="AC1356" s="370"/>
      <c r="AD1356" s="370"/>
      <c r="AE1356" s="370"/>
      <c r="AF1356" s="370"/>
      <c r="AG1356" s="370"/>
      <c r="AH1356" s="370"/>
      <c r="AI1356" s="370"/>
      <c r="AJ1356" s="370"/>
      <c r="AL1356" s="219"/>
      <c r="AM1356" s="219"/>
      <c r="AN1356" s="219"/>
      <c r="AO1356" s="116"/>
      <c r="AP1356" s="116"/>
      <c r="AU1356" s="332"/>
      <c r="AV1356" s="332"/>
      <c r="AW1356" s="332"/>
      <c r="AX1356" s="332"/>
      <c r="AY1356" s="332"/>
      <c r="AZ1356" s="332"/>
      <c r="BA1356" s="332"/>
      <c r="BB1356" s="31"/>
      <c r="BC1356" s="31"/>
      <c r="BD1356" s="31"/>
      <c r="BE1356" s="31"/>
    </row>
    <row r="1357" spans="1:57" ht="13">
      <c r="A1357" s="153"/>
      <c r="F1357" s="153"/>
      <c r="G1357" s="116"/>
      <c r="H1357" s="116"/>
      <c r="I1357" s="116"/>
      <c r="J1357" s="116"/>
      <c r="K1357" s="219"/>
      <c r="L1357" s="116"/>
      <c r="M1357" s="31"/>
      <c r="N1357" s="336"/>
      <c r="O1357" s="336"/>
      <c r="P1357" s="219"/>
      <c r="Q1357" s="332"/>
      <c r="R1357" s="219"/>
      <c r="S1357" s="332"/>
      <c r="T1357" s="219"/>
      <c r="U1357" s="332"/>
      <c r="V1357" s="332"/>
      <c r="W1357" s="370"/>
      <c r="X1357" s="370"/>
      <c r="Y1357" s="370"/>
      <c r="Z1357" s="370"/>
      <c r="AA1357" s="370"/>
      <c r="AB1357" s="370"/>
      <c r="AC1357" s="370"/>
      <c r="AD1357" s="370"/>
      <c r="AE1357" s="370"/>
      <c r="AF1357" s="370"/>
      <c r="AG1357" s="370"/>
      <c r="AH1357" s="370"/>
      <c r="AI1357" s="370"/>
      <c r="AJ1357" s="370"/>
      <c r="AL1357" s="219"/>
      <c r="AM1357" s="219"/>
      <c r="AN1357" s="219"/>
      <c r="AO1357" s="116"/>
      <c r="AP1357" s="116"/>
      <c r="AU1357" s="332"/>
      <c r="AV1357" s="332"/>
      <c r="AW1357" s="332"/>
      <c r="AX1357" s="332"/>
      <c r="AY1357" s="332"/>
      <c r="AZ1357" s="332"/>
      <c r="BA1357" s="332"/>
      <c r="BB1357" s="31"/>
      <c r="BC1357" s="31"/>
      <c r="BD1357" s="31"/>
      <c r="BE1357" s="31"/>
    </row>
    <row r="1358" spans="1:57" ht="13">
      <c r="A1358" s="153"/>
      <c r="F1358" s="153"/>
      <c r="G1358" s="116"/>
      <c r="H1358" s="116"/>
      <c r="I1358" s="116"/>
      <c r="J1358" s="116"/>
      <c r="K1358" s="219"/>
      <c r="L1358" s="116"/>
      <c r="M1358" s="31"/>
      <c r="N1358" s="336"/>
      <c r="O1358" s="336"/>
      <c r="P1358" s="219"/>
      <c r="Q1358" s="332"/>
      <c r="R1358" s="219"/>
      <c r="S1358" s="332"/>
      <c r="T1358" s="219"/>
      <c r="U1358" s="332"/>
      <c r="V1358" s="332"/>
      <c r="W1358" s="370"/>
      <c r="X1358" s="370"/>
      <c r="Y1358" s="370"/>
      <c r="Z1358" s="370"/>
      <c r="AA1358" s="370"/>
      <c r="AB1358" s="370"/>
      <c r="AC1358" s="370"/>
      <c r="AD1358" s="370"/>
      <c r="AE1358" s="370"/>
      <c r="AF1358" s="370"/>
      <c r="AG1358" s="370"/>
      <c r="AH1358" s="370"/>
      <c r="AI1358" s="370"/>
      <c r="AJ1358" s="370"/>
      <c r="AL1358" s="219"/>
      <c r="AM1358" s="219"/>
      <c r="AN1358" s="219"/>
      <c r="AO1358" s="116"/>
      <c r="AP1358" s="116"/>
      <c r="AU1358" s="332"/>
      <c r="AV1358" s="332"/>
      <c r="AW1358" s="332"/>
      <c r="AX1358" s="332"/>
      <c r="AY1358" s="332"/>
      <c r="AZ1358" s="332"/>
      <c r="BA1358" s="332"/>
      <c r="BB1358" s="31"/>
      <c r="BC1358" s="31"/>
      <c r="BD1358" s="31"/>
      <c r="BE1358" s="31"/>
    </row>
    <row r="1359" spans="1:57" ht="13">
      <c r="A1359" s="153"/>
      <c r="F1359" s="153"/>
      <c r="G1359" s="116"/>
      <c r="H1359" s="116"/>
      <c r="I1359" s="116"/>
      <c r="J1359" s="116"/>
      <c r="K1359" s="219"/>
      <c r="L1359" s="116"/>
      <c r="M1359" s="31"/>
      <c r="N1359" s="336"/>
      <c r="O1359" s="336"/>
      <c r="P1359" s="219"/>
      <c r="Q1359" s="332"/>
      <c r="R1359" s="219"/>
      <c r="S1359" s="332"/>
      <c r="T1359" s="219"/>
      <c r="U1359" s="332"/>
      <c r="V1359" s="332"/>
      <c r="W1359" s="370"/>
      <c r="X1359" s="370"/>
      <c r="Y1359" s="370"/>
      <c r="Z1359" s="370"/>
      <c r="AA1359" s="370"/>
      <c r="AB1359" s="370"/>
      <c r="AC1359" s="370"/>
      <c r="AD1359" s="370"/>
      <c r="AE1359" s="370"/>
      <c r="AF1359" s="370"/>
      <c r="AG1359" s="370"/>
      <c r="AH1359" s="370"/>
      <c r="AI1359" s="370"/>
      <c r="AJ1359" s="370"/>
      <c r="AL1359" s="219"/>
      <c r="AM1359" s="219"/>
      <c r="AN1359" s="219"/>
      <c r="AO1359" s="116"/>
      <c r="AP1359" s="116"/>
      <c r="AU1359" s="332"/>
      <c r="AV1359" s="332"/>
      <c r="AW1359" s="332"/>
      <c r="AX1359" s="332"/>
      <c r="AY1359" s="332"/>
      <c r="AZ1359" s="332"/>
      <c r="BA1359" s="332"/>
      <c r="BB1359" s="31"/>
      <c r="BC1359" s="31"/>
      <c r="BD1359" s="31"/>
      <c r="BE1359" s="31"/>
    </row>
    <row r="1360" spans="1:57" ht="13">
      <c r="A1360" s="153"/>
      <c r="F1360" s="153"/>
      <c r="G1360" s="116"/>
      <c r="H1360" s="116"/>
      <c r="I1360" s="116"/>
      <c r="J1360" s="116"/>
      <c r="K1360" s="219"/>
      <c r="L1360" s="116"/>
      <c r="M1360" s="31"/>
      <c r="N1360" s="336"/>
      <c r="O1360" s="336"/>
      <c r="P1360" s="219"/>
      <c r="Q1360" s="332"/>
      <c r="R1360" s="219"/>
      <c r="S1360" s="332"/>
      <c r="T1360" s="219"/>
      <c r="U1360" s="332"/>
      <c r="V1360" s="332"/>
      <c r="W1360" s="370"/>
      <c r="X1360" s="370"/>
      <c r="Y1360" s="370"/>
      <c r="Z1360" s="370"/>
      <c r="AA1360" s="370"/>
      <c r="AB1360" s="370"/>
      <c r="AC1360" s="370"/>
      <c r="AD1360" s="370"/>
      <c r="AE1360" s="370"/>
      <c r="AF1360" s="370"/>
      <c r="AG1360" s="370"/>
      <c r="AH1360" s="370"/>
      <c r="AI1360" s="370"/>
      <c r="AJ1360" s="370"/>
      <c r="AL1360" s="219"/>
      <c r="AM1360" s="219"/>
      <c r="AN1360" s="219"/>
      <c r="AO1360" s="116"/>
      <c r="AP1360" s="116"/>
      <c r="AU1360" s="332"/>
      <c r="AV1360" s="332"/>
      <c r="AW1360" s="332"/>
      <c r="AX1360" s="332"/>
      <c r="AY1360" s="332"/>
      <c r="AZ1360" s="332"/>
      <c r="BA1360" s="332"/>
      <c r="BB1360" s="31"/>
      <c r="BC1360" s="31"/>
      <c r="BD1360" s="31"/>
      <c r="BE1360" s="31"/>
    </row>
    <row r="1361" spans="1:57" ht="13">
      <c r="A1361" s="153"/>
      <c r="F1361" s="153"/>
      <c r="G1361" s="116"/>
      <c r="H1361" s="116"/>
      <c r="I1361" s="116"/>
      <c r="J1361" s="116"/>
      <c r="K1361" s="219"/>
      <c r="L1361" s="116"/>
      <c r="M1361" s="31"/>
      <c r="N1361" s="336"/>
      <c r="O1361" s="336"/>
      <c r="P1361" s="219"/>
      <c r="Q1361" s="332"/>
      <c r="R1361" s="219"/>
      <c r="S1361" s="332"/>
      <c r="T1361" s="219"/>
      <c r="U1361" s="332"/>
      <c r="V1361" s="332"/>
      <c r="W1361" s="370"/>
      <c r="X1361" s="370"/>
      <c r="Y1361" s="370"/>
      <c r="Z1361" s="370"/>
      <c r="AA1361" s="370"/>
      <c r="AB1361" s="370"/>
      <c r="AC1361" s="370"/>
      <c r="AD1361" s="370"/>
      <c r="AE1361" s="370"/>
      <c r="AF1361" s="370"/>
      <c r="AG1361" s="370"/>
      <c r="AH1361" s="370"/>
      <c r="AI1361" s="370"/>
      <c r="AJ1361" s="370"/>
      <c r="AL1361" s="219"/>
      <c r="AM1361" s="219"/>
      <c r="AN1361" s="219"/>
      <c r="AO1361" s="116"/>
      <c r="AP1361" s="116"/>
      <c r="AU1361" s="332"/>
      <c r="AV1361" s="332"/>
      <c r="AW1361" s="332"/>
      <c r="AX1361" s="332"/>
      <c r="AY1361" s="332"/>
      <c r="AZ1361" s="332"/>
      <c r="BA1361" s="332"/>
      <c r="BB1361" s="31"/>
      <c r="BC1361" s="31"/>
      <c r="BD1361" s="31"/>
      <c r="BE1361" s="31"/>
    </row>
    <row r="1362" spans="1:57" ht="13">
      <c r="A1362" s="153"/>
      <c r="F1362" s="153"/>
      <c r="G1362" s="116"/>
      <c r="H1362" s="116"/>
      <c r="I1362" s="116"/>
      <c r="J1362" s="116"/>
      <c r="K1362" s="219"/>
      <c r="L1362" s="116"/>
      <c r="M1362" s="31"/>
      <c r="N1362" s="336"/>
      <c r="O1362" s="336"/>
      <c r="P1362" s="219"/>
      <c r="Q1362" s="332"/>
      <c r="R1362" s="219"/>
      <c r="S1362" s="332"/>
      <c r="T1362" s="219"/>
      <c r="U1362" s="332"/>
      <c r="V1362" s="332"/>
      <c r="W1362" s="370"/>
      <c r="X1362" s="370"/>
      <c r="Y1362" s="370"/>
      <c r="Z1362" s="370"/>
      <c r="AA1362" s="370"/>
      <c r="AB1362" s="370"/>
      <c r="AC1362" s="370"/>
      <c r="AD1362" s="370"/>
      <c r="AE1362" s="370"/>
      <c r="AF1362" s="370"/>
      <c r="AG1362" s="370"/>
      <c r="AH1362" s="370"/>
      <c r="AI1362" s="370"/>
      <c r="AJ1362" s="370"/>
      <c r="AL1362" s="219"/>
      <c r="AM1362" s="219"/>
      <c r="AN1362" s="219"/>
      <c r="AO1362" s="116"/>
      <c r="AP1362" s="116"/>
      <c r="AU1362" s="332"/>
      <c r="AV1362" s="332"/>
      <c r="AW1362" s="332"/>
      <c r="AX1362" s="332"/>
      <c r="AY1362" s="332"/>
      <c r="AZ1362" s="332"/>
      <c r="BA1362" s="332"/>
      <c r="BB1362" s="31"/>
      <c r="BC1362" s="31"/>
      <c r="BD1362" s="31"/>
      <c r="BE1362" s="31"/>
    </row>
    <row r="1363" spans="1:57" ht="13">
      <c r="A1363" s="153"/>
      <c r="F1363" s="153"/>
      <c r="G1363" s="116"/>
      <c r="H1363" s="116"/>
      <c r="I1363" s="116"/>
      <c r="J1363" s="116"/>
      <c r="K1363" s="219"/>
      <c r="L1363" s="116"/>
      <c r="M1363" s="31"/>
      <c r="N1363" s="336"/>
      <c r="O1363" s="336"/>
      <c r="P1363" s="219"/>
      <c r="Q1363" s="332"/>
      <c r="R1363" s="219"/>
      <c r="S1363" s="332"/>
      <c r="T1363" s="219"/>
      <c r="U1363" s="332"/>
      <c r="V1363" s="332"/>
      <c r="W1363" s="370"/>
      <c r="X1363" s="370"/>
      <c r="Y1363" s="370"/>
      <c r="Z1363" s="370"/>
      <c r="AA1363" s="370"/>
      <c r="AB1363" s="370"/>
      <c r="AC1363" s="370"/>
      <c r="AD1363" s="370"/>
      <c r="AE1363" s="370"/>
      <c r="AF1363" s="370"/>
      <c r="AG1363" s="370"/>
      <c r="AH1363" s="370"/>
      <c r="AI1363" s="370"/>
      <c r="AJ1363" s="370"/>
      <c r="AL1363" s="219"/>
      <c r="AM1363" s="219"/>
      <c r="AN1363" s="219"/>
      <c r="AO1363" s="116"/>
      <c r="AP1363" s="116"/>
      <c r="AU1363" s="332"/>
      <c r="AV1363" s="332"/>
      <c r="AW1363" s="332"/>
      <c r="AX1363" s="332"/>
      <c r="AY1363" s="332"/>
      <c r="AZ1363" s="332"/>
      <c r="BA1363" s="332"/>
      <c r="BB1363" s="31"/>
      <c r="BC1363" s="31"/>
      <c r="BD1363" s="31"/>
      <c r="BE1363" s="31"/>
    </row>
    <row r="1364" spans="1:57" ht="13">
      <c r="A1364" s="153"/>
      <c r="F1364" s="153"/>
      <c r="G1364" s="116"/>
      <c r="H1364" s="116"/>
      <c r="I1364" s="116"/>
      <c r="J1364" s="116"/>
      <c r="K1364" s="219"/>
      <c r="L1364" s="116"/>
      <c r="M1364" s="31"/>
      <c r="N1364" s="336"/>
      <c r="O1364" s="336"/>
      <c r="P1364" s="219"/>
      <c r="Q1364" s="332"/>
      <c r="R1364" s="219"/>
      <c r="S1364" s="332"/>
      <c r="T1364" s="219"/>
      <c r="U1364" s="332"/>
      <c r="V1364" s="332"/>
      <c r="W1364" s="370"/>
      <c r="X1364" s="370"/>
      <c r="Y1364" s="370"/>
      <c r="Z1364" s="370"/>
      <c r="AA1364" s="370"/>
      <c r="AB1364" s="370"/>
      <c r="AC1364" s="370"/>
      <c r="AD1364" s="370"/>
      <c r="AE1364" s="370"/>
      <c r="AF1364" s="370"/>
      <c r="AG1364" s="370"/>
      <c r="AH1364" s="370"/>
      <c r="AI1364" s="370"/>
      <c r="AJ1364" s="370"/>
      <c r="AL1364" s="219"/>
      <c r="AM1364" s="219"/>
      <c r="AN1364" s="219"/>
      <c r="AO1364" s="116"/>
      <c r="AP1364" s="116"/>
      <c r="AU1364" s="332"/>
      <c r="AV1364" s="332"/>
      <c r="AW1364" s="332"/>
      <c r="AX1364" s="332"/>
      <c r="AY1364" s="332"/>
      <c r="AZ1364" s="332"/>
      <c r="BA1364" s="332"/>
      <c r="BB1364" s="31"/>
      <c r="BC1364" s="31"/>
      <c r="BD1364" s="31"/>
      <c r="BE1364" s="31"/>
    </row>
    <row r="1365" spans="1:57" ht="13">
      <c r="A1365" s="153"/>
      <c r="F1365" s="153"/>
      <c r="G1365" s="116"/>
      <c r="H1365" s="116"/>
      <c r="I1365" s="116"/>
      <c r="J1365" s="116"/>
      <c r="K1365" s="219"/>
      <c r="L1365" s="116"/>
      <c r="M1365" s="31"/>
      <c r="N1365" s="336"/>
      <c r="O1365" s="336"/>
      <c r="P1365" s="219"/>
      <c r="Q1365" s="332"/>
      <c r="R1365" s="219"/>
      <c r="S1365" s="332"/>
      <c r="T1365" s="219"/>
      <c r="U1365" s="332"/>
      <c r="V1365" s="332"/>
      <c r="W1365" s="370"/>
      <c r="X1365" s="370"/>
      <c r="Y1365" s="370"/>
      <c r="Z1365" s="370"/>
      <c r="AA1365" s="370"/>
      <c r="AB1365" s="370"/>
      <c r="AC1365" s="370"/>
      <c r="AD1365" s="370"/>
      <c r="AE1365" s="370"/>
      <c r="AF1365" s="370"/>
      <c r="AG1365" s="370"/>
      <c r="AH1365" s="370"/>
      <c r="AI1365" s="370"/>
      <c r="AJ1365" s="370"/>
      <c r="AL1365" s="219"/>
      <c r="AM1365" s="219"/>
      <c r="AN1365" s="219"/>
      <c r="AO1365" s="116"/>
      <c r="AP1365" s="116"/>
      <c r="AU1365" s="332"/>
      <c r="AV1365" s="332"/>
      <c r="AW1365" s="332"/>
      <c r="AX1365" s="332"/>
      <c r="AY1365" s="332"/>
      <c r="AZ1365" s="332"/>
      <c r="BA1365" s="332"/>
      <c r="BB1365" s="31"/>
      <c r="BC1365" s="31"/>
      <c r="BD1365" s="31"/>
      <c r="BE1365" s="31"/>
    </row>
    <row r="1366" spans="1:57" ht="13">
      <c r="A1366" s="153"/>
      <c r="F1366" s="153"/>
      <c r="G1366" s="116"/>
      <c r="H1366" s="116"/>
      <c r="I1366" s="116"/>
      <c r="J1366" s="116"/>
      <c r="K1366" s="219"/>
      <c r="L1366" s="116"/>
      <c r="M1366" s="31"/>
      <c r="N1366" s="336"/>
      <c r="O1366" s="336"/>
      <c r="P1366" s="219"/>
      <c r="Q1366" s="332"/>
      <c r="R1366" s="219"/>
      <c r="S1366" s="332"/>
      <c r="T1366" s="219"/>
      <c r="U1366" s="332"/>
      <c r="V1366" s="332"/>
      <c r="W1366" s="370"/>
      <c r="X1366" s="370"/>
      <c r="Y1366" s="370"/>
      <c r="Z1366" s="370"/>
      <c r="AA1366" s="370"/>
      <c r="AB1366" s="370"/>
      <c r="AC1366" s="370"/>
      <c r="AD1366" s="370"/>
      <c r="AE1366" s="370"/>
      <c r="AF1366" s="370"/>
      <c r="AG1366" s="370"/>
      <c r="AH1366" s="370"/>
      <c r="AI1366" s="370"/>
      <c r="AJ1366" s="370"/>
      <c r="AL1366" s="219"/>
      <c r="AM1366" s="219"/>
      <c r="AN1366" s="219"/>
      <c r="AO1366" s="116"/>
      <c r="AP1366" s="116"/>
      <c r="AU1366" s="332"/>
      <c r="AV1366" s="332"/>
      <c r="AW1366" s="332"/>
      <c r="AX1366" s="332"/>
      <c r="AY1366" s="332"/>
      <c r="AZ1366" s="332"/>
      <c r="BA1366" s="332"/>
      <c r="BB1366" s="31"/>
      <c r="BC1366" s="31"/>
      <c r="BD1366" s="31"/>
      <c r="BE1366" s="31"/>
    </row>
    <row r="1367" spans="1:57" ht="13">
      <c r="A1367" s="153"/>
      <c r="F1367" s="153"/>
      <c r="G1367" s="116"/>
      <c r="H1367" s="116"/>
      <c r="I1367" s="116"/>
      <c r="J1367" s="116"/>
      <c r="K1367" s="219"/>
      <c r="L1367" s="116"/>
      <c r="M1367" s="31"/>
      <c r="N1367" s="336"/>
      <c r="O1367" s="336"/>
      <c r="P1367" s="219"/>
      <c r="Q1367" s="332"/>
      <c r="R1367" s="219"/>
      <c r="S1367" s="332"/>
      <c r="T1367" s="219"/>
      <c r="U1367" s="332"/>
      <c r="V1367" s="332"/>
      <c r="W1367" s="370"/>
      <c r="X1367" s="370"/>
      <c r="Y1367" s="370"/>
      <c r="Z1367" s="370"/>
      <c r="AA1367" s="370"/>
      <c r="AB1367" s="370"/>
      <c r="AC1367" s="370"/>
      <c r="AD1367" s="370"/>
      <c r="AE1367" s="370"/>
      <c r="AF1367" s="370"/>
      <c r="AG1367" s="370"/>
      <c r="AH1367" s="370"/>
      <c r="AI1367" s="370"/>
      <c r="AJ1367" s="370"/>
      <c r="AL1367" s="219"/>
      <c r="AM1367" s="219"/>
      <c r="AN1367" s="219"/>
      <c r="AO1367" s="116"/>
      <c r="AP1367" s="116"/>
      <c r="AU1367" s="332"/>
      <c r="AV1367" s="332"/>
      <c r="AW1367" s="332"/>
      <c r="AX1367" s="332"/>
      <c r="AY1367" s="332"/>
      <c r="AZ1367" s="332"/>
      <c r="BA1367" s="332"/>
      <c r="BB1367" s="31"/>
      <c r="BC1367" s="31"/>
      <c r="BD1367" s="31"/>
      <c r="BE1367" s="31"/>
    </row>
    <row r="1368" spans="1:57" ht="13">
      <c r="A1368" s="153"/>
      <c r="F1368" s="153"/>
      <c r="G1368" s="116"/>
      <c r="H1368" s="116"/>
      <c r="I1368" s="116"/>
      <c r="J1368" s="116"/>
      <c r="K1368" s="219"/>
      <c r="L1368" s="116"/>
      <c r="M1368" s="31"/>
      <c r="N1368" s="336"/>
      <c r="O1368" s="336"/>
      <c r="P1368" s="219"/>
      <c r="Q1368" s="332"/>
      <c r="R1368" s="219"/>
      <c r="S1368" s="332"/>
      <c r="T1368" s="219"/>
      <c r="U1368" s="332"/>
      <c r="V1368" s="332"/>
      <c r="W1368" s="370"/>
      <c r="X1368" s="370"/>
      <c r="Y1368" s="370"/>
      <c r="Z1368" s="370"/>
      <c r="AA1368" s="370"/>
      <c r="AB1368" s="370"/>
      <c r="AC1368" s="370"/>
      <c r="AD1368" s="370"/>
      <c r="AE1368" s="370"/>
      <c r="AF1368" s="370"/>
      <c r="AG1368" s="370"/>
      <c r="AH1368" s="370"/>
      <c r="AI1368" s="370"/>
      <c r="AJ1368" s="370"/>
      <c r="AL1368" s="219"/>
      <c r="AM1368" s="219"/>
      <c r="AN1368" s="219"/>
      <c r="AO1368" s="116"/>
      <c r="AP1368" s="116"/>
      <c r="AU1368" s="332"/>
      <c r="AV1368" s="332"/>
      <c r="AW1368" s="332"/>
      <c r="AX1368" s="332"/>
      <c r="AY1368" s="332"/>
      <c r="AZ1368" s="332"/>
      <c r="BA1368" s="332"/>
      <c r="BB1368" s="31"/>
      <c r="BC1368" s="31"/>
      <c r="BD1368" s="31"/>
      <c r="BE1368" s="31"/>
    </row>
    <row r="1369" spans="1:57" ht="13">
      <c r="A1369" s="153"/>
      <c r="F1369" s="153"/>
      <c r="G1369" s="116"/>
      <c r="H1369" s="116"/>
      <c r="I1369" s="116"/>
      <c r="J1369" s="116"/>
      <c r="K1369" s="219"/>
      <c r="L1369" s="116"/>
      <c r="M1369" s="31"/>
      <c r="N1369" s="336"/>
      <c r="O1369" s="336"/>
      <c r="P1369" s="219"/>
      <c r="Q1369" s="332"/>
      <c r="R1369" s="219"/>
      <c r="S1369" s="332"/>
      <c r="T1369" s="219"/>
      <c r="U1369" s="332"/>
      <c r="V1369" s="332"/>
      <c r="W1369" s="370"/>
      <c r="X1369" s="370"/>
      <c r="Y1369" s="370"/>
      <c r="Z1369" s="370"/>
      <c r="AA1369" s="370"/>
      <c r="AB1369" s="370"/>
      <c r="AC1369" s="370"/>
      <c r="AD1369" s="370"/>
      <c r="AE1369" s="370"/>
      <c r="AF1369" s="370"/>
      <c r="AG1369" s="370"/>
      <c r="AH1369" s="370"/>
      <c r="AI1369" s="370"/>
      <c r="AJ1369" s="370"/>
      <c r="AL1369" s="219"/>
      <c r="AM1369" s="219"/>
      <c r="AN1369" s="219"/>
      <c r="AO1369" s="116"/>
      <c r="AP1369" s="116"/>
      <c r="AU1369" s="332"/>
      <c r="AV1369" s="332"/>
      <c r="AW1369" s="332"/>
      <c r="AX1369" s="332"/>
      <c r="AY1369" s="332"/>
      <c r="AZ1369" s="332"/>
      <c r="BA1369" s="332"/>
      <c r="BB1369" s="31"/>
      <c r="BC1369" s="31"/>
      <c r="BD1369" s="31"/>
      <c r="BE1369" s="31"/>
    </row>
    <row r="1370" spans="1:57" ht="13">
      <c r="A1370" s="153"/>
      <c r="F1370" s="153"/>
      <c r="G1370" s="116"/>
      <c r="H1370" s="116"/>
      <c r="I1370" s="116"/>
      <c r="J1370" s="116"/>
      <c r="K1370" s="219"/>
      <c r="L1370" s="116"/>
      <c r="M1370" s="31"/>
      <c r="N1370" s="336"/>
      <c r="O1370" s="336"/>
      <c r="P1370" s="219"/>
      <c r="Q1370" s="332"/>
      <c r="R1370" s="219"/>
      <c r="S1370" s="332"/>
      <c r="T1370" s="219"/>
      <c r="U1370" s="332"/>
      <c r="V1370" s="332"/>
      <c r="W1370" s="370"/>
      <c r="X1370" s="370"/>
      <c r="Y1370" s="370"/>
      <c r="Z1370" s="370"/>
      <c r="AA1370" s="370"/>
      <c r="AB1370" s="370"/>
      <c r="AC1370" s="370"/>
      <c r="AD1370" s="370"/>
      <c r="AE1370" s="370"/>
      <c r="AF1370" s="370"/>
      <c r="AG1370" s="370"/>
      <c r="AH1370" s="370"/>
      <c r="AI1370" s="370"/>
      <c r="AJ1370" s="370"/>
      <c r="AL1370" s="219"/>
      <c r="AM1370" s="219"/>
      <c r="AN1370" s="219"/>
      <c r="AO1370" s="116"/>
      <c r="AP1370" s="116"/>
      <c r="AU1370" s="332"/>
      <c r="AV1370" s="332"/>
      <c r="AW1370" s="332"/>
      <c r="AX1370" s="332"/>
      <c r="AY1370" s="332"/>
      <c r="AZ1370" s="332"/>
      <c r="BA1370" s="332"/>
      <c r="BB1370" s="31"/>
      <c r="BC1370" s="31"/>
      <c r="BD1370" s="31"/>
      <c r="BE1370" s="31"/>
    </row>
    <row r="1371" spans="1:57" ht="13">
      <c r="A1371" s="153"/>
      <c r="F1371" s="153"/>
      <c r="G1371" s="116"/>
      <c r="H1371" s="116"/>
      <c r="I1371" s="116"/>
      <c r="J1371" s="116"/>
      <c r="K1371" s="219"/>
      <c r="L1371" s="116"/>
      <c r="M1371" s="31"/>
      <c r="N1371" s="336"/>
      <c r="O1371" s="336"/>
      <c r="P1371" s="219"/>
      <c r="Q1371" s="332"/>
      <c r="R1371" s="219"/>
      <c r="S1371" s="332"/>
      <c r="T1371" s="219"/>
      <c r="U1371" s="332"/>
      <c r="V1371" s="332"/>
      <c r="W1371" s="370"/>
      <c r="X1371" s="370"/>
      <c r="Y1371" s="370"/>
      <c r="Z1371" s="370"/>
      <c r="AA1371" s="370"/>
      <c r="AB1371" s="370"/>
      <c r="AC1371" s="370"/>
      <c r="AD1371" s="370"/>
      <c r="AE1371" s="370"/>
      <c r="AF1371" s="370"/>
      <c r="AG1371" s="370"/>
      <c r="AH1371" s="370"/>
      <c r="AI1371" s="370"/>
      <c r="AJ1371" s="370"/>
      <c r="AL1371" s="219"/>
      <c r="AM1371" s="219"/>
      <c r="AN1371" s="219"/>
      <c r="AO1371" s="116"/>
      <c r="AP1371" s="116"/>
      <c r="AU1371" s="332"/>
      <c r="AV1371" s="332"/>
      <c r="AW1371" s="332"/>
      <c r="AX1371" s="332"/>
      <c r="AY1371" s="332"/>
      <c r="AZ1371" s="332"/>
      <c r="BA1371" s="332"/>
      <c r="BB1371" s="31"/>
      <c r="BC1371" s="31"/>
      <c r="BD1371" s="31"/>
      <c r="BE1371" s="31"/>
    </row>
    <row r="1372" spans="1:57" ht="13">
      <c r="A1372" s="153"/>
      <c r="F1372" s="153"/>
      <c r="G1372" s="116"/>
      <c r="H1372" s="116"/>
      <c r="I1372" s="116"/>
      <c r="J1372" s="116"/>
      <c r="K1372" s="219"/>
      <c r="L1372" s="116"/>
      <c r="M1372" s="31"/>
      <c r="N1372" s="336"/>
      <c r="O1372" s="336"/>
      <c r="P1372" s="219"/>
      <c r="Q1372" s="332"/>
      <c r="R1372" s="219"/>
      <c r="S1372" s="332"/>
      <c r="T1372" s="219"/>
      <c r="U1372" s="332"/>
      <c r="V1372" s="332"/>
      <c r="W1372" s="370"/>
      <c r="X1372" s="370"/>
      <c r="Y1372" s="370"/>
      <c r="Z1372" s="370"/>
      <c r="AA1372" s="370"/>
      <c r="AB1372" s="370"/>
      <c r="AC1372" s="370"/>
      <c r="AD1372" s="370"/>
      <c r="AE1372" s="370"/>
      <c r="AF1372" s="370"/>
      <c r="AG1372" s="370"/>
      <c r="AH1372" s="370"/>
      <c r="AI1372" s="370"/>
      <c r="AJ1372" s="370"/>
      <c r="AL1372" s="219"/>
      <c r="AM1372" s="219"/>
      <c r="AN1372" s="219"/>
      <c r="AO1372" s="116"/>
      <c r="AP1372" s="116"/>
      <c r="AU1372" s="332"/>
      <c r="AV1372" s="332"/>
      <c r="AW1372" s="332"/>
      <c r="AX1372" s="332"/>
      <c r="AY1372" s="332"/>
      <c r="AZ1372" s="332"/>
      <c r="BA1372" s="332"/>
      <c r="BB1372" s="31"/>
      <c r="BC1372" s="31"/>
      <c r="BD1372" s="31"/>
      <c r="BE1372" s="31"/>
    </row>
    <row r="1373" spans="1:57" ht="13">
      <c r="A1373" s="153"/>
      <c r="F1373" s="153"/>
      <c r="G1373" s="116"/>
      <c r="H1373" s="116"/>
      <c r="I1373" s="116"/>
      <c r="J1373" s="116"/>
      <c r="K1373" s="219"/>
      <c r="L1373" s="116"/>
      <c r="M1373" s="31"/>
      <c r="N1373" s="336"/>
      <c r="O1373" s="336"/>
      <c r="P1373" s="219"/>
      <c r="Q1373" s="332"/>
      <c r="R1373" s="219"/>
      <c r="S1373" s="332"/>
      <c r="T1373" s="219"/>
      <c r="U1373" s="332"/>
      <c r="V1373" s="332"/>
      <c r="W1373" s="370"/>
      <c r="X1373" s="370"/>
      <c r="Y1373" s="370"/>
      <c r="Z1373" s="370"/>
      <c r="AA1373" s="370"/>
      <c r="AB1373" s="370"/>
      <c r="AC1373" s="370"/>
      <c r="AD1373" s="370"/>
      <c r="AE1373" s="370"/>
      <c r="AF1373" s="370"/>
      <c r="AG1373" s="370"/>
      <c r="AH1373" s="370"/>
      <c r="AI1373" s="370"/>
      <c r="AJ1373" s="370"/>
      <c r="AL1373" s="219"/>
      <c r="AM1373" s="219"/>
      <c r="AN1373" s="219"/>
      <c r="AO1373" s="116"/>
      <c r="AP1373" s="116"/>
      <c r="AU1373" s="332"/>
      <c r="AV1373" s="332"/>
      <c r="AW1373" s="332"/>
      <c r="AX1373" s="332"/>
      <c r="AY1373" s="332"/>
      <c r="AZ1373" s="332"/>
      <c r="BA1373" s="332"/>
      <c r="BB1373" s="31"/>
      <c r="BC1373" s="31"/>
      <c r="BD1373" s="31"/>
      <c r="BE1373" s="31"/>
    </row>
    <row r="1374" spans="1:57" ht="13">
      <c r="A1374" s="153"/>
      <c r="F1374" s="153"/>
      <c r="G1374" s="116"/>
      <c r="H1374" s="116"/>
      <c r="I1374" s="116"/>
      <c r="J1374" s="116"/>
      <c r="K1374" s="219"/>
      <c r="L1374" s="116"/>
      <c r="M1374" s="31"/>
      <c r="N1374" s="336"/>
      <c r="O1374" s="336"/>
      <c r="P1374" s="219"/>
      <c r="Q1374" s="332"/>
      <c r="R1374" s="219"/>
      <c r="S1374" s="332"/>
      <c r="T1374" s="219"/>
      <c r="U1374" s="332"/>
      <c r="V1374" s="332"/>
      <c r="W1374" s="370"/>
      <c r="X1374" s="370"/>
      <c r="Y1374" s="370"/>
      <c r="Z1374" s="370"/>
      <c r="AA1374" s="370"/>
      <c r="AB1374" s="370"/>
      <c r="AC1374" s="370"/>
      <c r="AD1374" s="370"/>
      <c r="AE1374" s="370"/>
      <c r="AF1374" s="370"/>
      <c r="AG1374" s="370"/>
      <c r="AH1374" s="370"/>
      <c r="AI1374" s="370"/>
      <c r="AJ1374" s="370"/>
      <c r="AL1374" s="219"/>
      <c r="AM1374" s="219"/>
      <c r="AN1374" s="219"/>
      <c r="AO1374" s="116"/>
      <c r="AP1374" s="116"/>
      <c r="AU1374" s="332"/>
      <c r="AV1374" s="332"/>
      <c r="AW1374" s="332"/>
      <c r="AX1374" s="332"/>
      <c r="AY1374" s="332"/>
      <c r="AZ1374" s="332"/>
      <c r="BA1374" s="332"/>
      <c r="BB1374" s="31"/>
      <c r="BC1374" s="31"/>
      <c r="BD1374" s="31"/>
      <c r="BE1374" s="31"/>
    </row>
    <row r="1375" spans="1:57" ht="13">
      <c r="A1375" s="153"/>
      <c r="F1375" s="153"/>
      <c r="G1375" s="116"/>
      <c r="H1375" s="116"/>
      <c r="I1375" s="116"/>
      <c r="J1375" s="116"/>
      <c r="K1375" s="219"/>
      <c r="L1375" s="116"/>
      <c r="M1375" s="31"/>
      <c r="N1375" s="336"/>
      <c r="O1375" s="336"/>
      <c r="P1375" s="219"/>
      <c r="Q1375" s="332"/>
      <c r="R1375" s="219"/>
      <c r="S1375" s="332"/>
      <c r="T1375" s="219"/>
      <c r="U1375" s="332"/>
      <c r="V1375" s="332"/>
      <c r="W1375" s="370"/>
      <c r="X1375" s="370"/>
      <c r="Y1375" s="370"/>
      <c r="Z1375" s="370"/>
      <c r="AA1375" s="370"/>
      <c r="AB1375" s="370"/>
      <c r="AC1375" s="370"/>
      <c r="AD1375" s="370"/>
      <c r="AE1375" s="370"/>
      <c r="AF1375" s="370"/>
      <c r="AG1375" s="370"/>
      <c r="AH1375" s="370"/>
      <c r="AI1375" s="370"/>
      <c r="AJ1375" s="370"/>
      <c r="AL1375" s="219"/>
      <c r="AM1375" s="219"/>
      <c r="AN1375" s="219"/>
      <c r="AO1375" s="116"/>
      <c r="AP1375" s="116"/>
      <c r="AU1375" s="332"/>
      <c r="AV1375" s="332"/>
      <c r="AW1375" s="332"/>
      <c r="AX1375" s="332"/>
      <c r="AY1375" s="332"/>
      <c r="AZ1375" s="332"/>
      <c r="BA1375" s="332"/>
      <c r="BB1375" s="31"/>
      <c r="BC1375" s="31"/>
      <c r="BD1375" s="31"/>
      <c r="BE1375" s="31"/>
    </row>
    <row r="1376" spans="1:57" ht="13">
      <c r="A1376" s="153"/>
      <c r="F1376" s="153"/>
      <c r="G1376" s="116"/>
      <c r="H1376" s="116"/>
      <c r="I1376" s="116"/>
      <c r="J1376" s="116"/>
      <c r="K1376" s="219"/>
      <c r="L1376" s="116"/>
      <c r="M1376" s="31"/>
      <c r="N1376" s="336"/>
      <c r="O1376" s="336"/>
      <c r="P1376" s="219"/>
      <c r="Q1376" s="332"/>
      <c r="R1376" s="219"/>
      <c r="S1376" s="332"/>
      <c r="T1376" s="219"/>
      <c r="U1376" s="332"/>
      <c r="V1376" s="332"/>
      <c r="W1376" s="370"/>
      <c r="X1376" s="370"/>
      <c r="Y1376" s="370"/>
      <c r="Z1376" s="370"/>
      <c r="AA1376" s="370"/>
      <c r="AB1376" s="370"/>
      <c r="AC1376" s="370"/>
      <c r="AD1376" s="370"/>
      <c r="AE1376" s="370"/>
      <c r="AF1376" s="370"/>
      <c r="AG1376" s="370"/>
      <c r="AH1376" s="370"/>
      <c r="AI1376" s="370"/>
      <c r="AJ1376" s="370"/>
      <c r="AL1376" s="219"/>
      <c r="AM1376" s="219"/>
      <c r="AN1376" s="219"/>
      <c r="AO1376" s="116"/>
      <c r="AP1376" s="116"/>
      <c r="AU1376" s="332"/>
      <c r="AV1376" s="332"/>
      <c r="AW1376" s="332"/>
      <c r="AX1376" s="332"/>
      <c r="AY1376" s="332"/>
      <c r="AZ1376" s="332"/>
      <c r="BA1376" s="332"/>
      <c r="BB1376" s="31"/>
      <c r="BC1376" s="31"/>
      <c r="BD1376" s="31"/>
      <c r="BE1376" s="31"/>
    </row>
    <row r="1377" spans="1:57" ht="13">
      <c r="A1377" s="153"/>
      <c r="F1377" s="153"/>
      <c r="G1377" s="116"/>
      <c r="H1377" s="116"/>
      <c r="I1377" s="116"/>
      <c r="J1377" s="116"/>
      <c r="K1377" s="219"/>
      <c r="L1377" s="116"/>
      <c r="M1377" s="31"/>
      <c r="N1377" s="336"/>
      <c r="O1377" s="336"/>
      <c r="P1377" s="219"/>
      <c r="Q1377" s="332"/>
      <c r="R1377" s="219"/>
      <c r="S1377" s="332"/>
      <c r="T1377" s="219"/>
      <c r="U1377" s="332"/>
      <c r="V1377" s="332"/>
      <c r="W1377" s="370"/>
      <c r="X1377" s="370"/>
      <c r="Y1377" s="370"/>
      <c r="Z1377" s="370"/>
      <c r="AA1377" s="370"/>
      <c r="AB1377" s="370"/>
      <c r="AC1377" s="370"/>
      <c r="AD1377" s="370"/>
      <c r="AE1377" s="370"/>
      <c r="AF1377" s="370"/>
      <c r="AG1377" s="370"/>
      <c r="AH1377" s="370"/>
      <c r="AI1377" s="370"/>
      <c r="AJ1377" s="370"/>
      <c r="AL1377" s="219"/>
      <c r="AM1377" s="219"/>
      <c r="AN1377" s="219"/>
      <c r="AO1377" s="116"/>
      <c r="AP1377" s="116"/>
      <c r="AU1377" s="332"/>
      <c r="AV1377" s="332"/>
      <c r="AW1377" s="332"/>
      <c r="AX1377" s="332"/>
      <c r="AY1377" s="332"/>
      <c r="AZ1377" s="332"/>
      <c r="BA1377" s="332"/>
      <c r="BB1377" s="31"/>
      <c r="BC1377" s="31"/>
      <c r="BD1377" s="31"/>
      <c r="BE1377" s="31"/>
    </row>
    <row r="1378" spans="1:57" ht="13">
      <c r="A1378" s="153"/>
      <c r="F1378" s="153"/>
      <c r="G1378" s="116"/>
      <c r="H1378" s="116"/>
      <c r="I1378" s="116"/>
      <c r="J1378" s="116"/>
      <c r="K1378" s="219"/>
      <c r="L1378" s="116"/>
      <c r="M1378" s="31"/>
      <c r="N1378" s="336"/>
      <c r="O1378" s="336"/>
      <c r="P1378" s="219"/>
      <c r="Q1378" s="332"/>
      <c r="R1378" s="219"/>
      <c r="S1378" s="332"/>
      <c r="T1378" s="219"/>
      <c r="U1378" s="332"/>
      <c r="V1378" s="332"/>
      <c r="W1378" s="370"/>
      <c r="X1378" s="370"/>
      <c r="Y1378" s="370"/>
      <c r="Z1378" s="370"/>
      <c r="AA1378" s="370"/>
      <c r="AB1378" s="370"/>
      <c r="AC1378" s="370"/>
      <c r="AD1378" s="370"/>
      <c r="AE1378" s="370"/>
      <c r="AF1378" s="370"/>
      <c r="AG1378" s="370"/>
      <c r="AH1378" s="370"/>
      <c r="AI1378" s="370"/>
      <c r="AJ1378" s="370"/>
      <c r="AL1378" s="219"/>
      <c r="AM1378" s="219"/>
      <c r="AN1378" s="219"/>
      <c r="AO1378" s="116"/>
      <c r="AP1378" s="116"/>
      <c r="AU1378" s="332"/>
      <c r="AV1378" s="332"/>
      <c r="AW1378" s="332"/>
      <c r="AX1378" s="332"/>
      <c r="AY1378" s="332"/>
      <c r="AZ1378" s="332"/>
      <c r="BA1378" s="332"/>
      <c r="BB1378" s="31"/>
      <c r="BC1378" s="31"/>
      <c r="BD1378" s="31"/>
      <c r="BE1378" s="31"/>
    </row>
    <row r="1379" spans="1:57" ht="13">
      <c r="A1379" s="153"/>
      <c r="F1379" s="153"/>
      <c r="G1379" s="116"/>
      <c r="H1379" s="116"/>
      <c r="I1379" s="116"/>
      <c r="J1379" s="116"/>
      <c r="K1379" s="219"/>
      <c r="L1379" s="116"/>
      <c r="M1379" s="31"/>
      <c r="N1379" s="336"/>
      <c r="O1379" s="336"/>
      <c r="P1379" s="219"/>
      <c r="Q1379" s="332"/>
      <c r="R1379" s="219"/>
      <c r="S1379" s="332"/>
      <c r="T1379" s="219"/>
      <c r="U1379" s="332"/>
      <c r="V1379" s="332"/>
      <c r="W1379" s="370"/>
      <c r="X1379" s="370"/>
      <c r="Y1379" s="370"/>
      <c r="Z1379" s="370"/>
      <c r="AA1379" s="370"/>
      <c r="AB1379" s="370"/>
      <c r="AC1379" s="370"/>
      <c r="AD1379" s="370"/>
      <c r="AE1379" s="370"/>
      <c r="AF1379" s="370"/>
      <c r="AG1379" s="370"/>
      <c r="AH1379" s="370"/>
      <c r="AI1379" s="370"/>
      <c r="AJ1379" s="370"/>
      <c r="AL1379" s="219"/>
      <c r="AM1379" s="219"/>
      <c r="AN1379" s="219"/>
      <c r="AO1379" s="116"/>
      <c r="AP1379" s="116"/>
      <c r="AU1379" s="332"/>
      <c r="AV1379" s="332"/>
      <c r="AW1379" s="332"/>
      <c r="AX1379" s="332"/>
      <c r="AY1379" s="332"/>
      <c r="AZ1379" s="332"/>
      <c r="BA1379" s="332"/>
      <c r="BB1379" s="31"/>
      <c r="BC1379" s="31"/>
      <c r="BD1379" s="31"/>
      <c r="BE1379" s="31"/>
    </row>
    <row r="1380" spans="1:57" ht="13">
      <c r="A1380" s="153"/>
      <c r="F1380" s="153"/>
      <c r="G1380" s="116"/>
      <c r="H1380" s="116"/>
      <c r="I1380" s="116"/>
      <c r="J1380" s="116"/>
      <c r="K1380" s="219"/>
      <c r="L1380" s="116"/>
      <c r="M1380" s="31"/>
      <c r="N1380" s="336"/>
      <c r="O1380" s="336"/>
      <c r="P1380" s="219"/>
      <c r="Q1380" s="332"/>
      <c r="R1380" s="219"/>
      <c r="S1380" s="332"/>
      <c r="T1380" s="219"/>
      <c r="U1380" s="332"/>
      <c r="V1380" s="332"/>
      <c r="W1380" s="370"/>
      <c r="X1380" s="370"/>
      <c r="Y1380" s="370"/>
      <c r="Z1380" s="370"/>
      <c r="AA1380" s="370"/>
      <c r="AB1380" s="370"/>
      <c r="AC1380" s="370"/>
      <c r="AD1380" s="370"/>
      <c r="AE1380" s="370"/>
      <c r="AF1380" s="370"/>
      <c r="AG1380" s="370"/>
      <c r="AH1380" s="370"/>
      <c r="AI1380" s="370"/>
      <c r="AJ1380" s="370"/>
      <c r="AL1380" s="219"/>
      <c r="AM1380" s="219"/>
      <c r="AN1380" s="219"/>
      <c r="AO1380" s="116"/>
      <c r="AP1380" s="116"/>
      <c r="AU1380" s="332"/>
      <c r="AV1380" s="332"/>
      <c r="AW1380" s="332"/>
      <c r="AX1380" s="332"/>
      <c r="AY1380" s="332"/>
      <c r="AZ1380" s="332"/>
      <c r="BA1380" s="332"/>
      <c r="BB1380" s="31"/>
      <c r="BC1380" s="31"/>
      <c r="BD1380" s="31"/>
      <c r="BE1380" s="31"/>
    </row>
    <row r="1381" spans="1:57" ht="13">
      <c r="A1381" s="153"/>
      <c r="F1381" s="153"/>
      <c r="G1381" s="116"/>
      <c r="H1381" s="116"/>
      <c r="I1381" s="116"/>
      <c r="J1381" s="116"/>
      <c r="K1381" s="219"/>
      <c r="L1381" s="116"/>
      <c r="M1381" s="31"/>
      <c r="N1381" s="336"/>
      <c r="O1381" s="336"/>
      <c r="P1381" s="219"/>
      <c r="Q1381" s="332"/>
      <c r="R1381" s="219"/>
      <c r="S1381" s="332"/>
      <c r="T1381" s="219"/>
      <c r="U1381" s="332"/>
      <c r="V1381" s="332"/>
      <c r="W1381" s="370"/>
      <c r="X1381" s="370"/>
      <c r="Y1381" s="370"/>
      <c r="Z1381" s="370"/>
      <c r="AA1381" s="370"/>
      <c r="AB1381" s="370"/>
      <c r="AC1381" s="370"/>
      <c r="AD1381" s="370"/>
      <c r="AE1381" s="370"/>
      <c r="AF1381" s="370"/>
      <c r="AG1381" s="370"/>
      <c r="AH1381" s="370"/>
      <c r="AI1381" s="370"/>
      <c r="AJ1381" s="370"/>
      <c r="AL1381" s="219"/>
      <c r="AM1381" s="219"/>
      <c r="AN1381" s="219"/>
      <c r="AO1381" s="116"/>
      <c r="AP1381" s="116"/>
      <c r="AU1381" s="332"/>
      <c r="AV1381" s="332"/>
      <c r="AW1381" s="332"/>
      <c r="AX1381" s="332"/>
      <c r="AY1381" s="332"/>
      <c r="AZ1381" s="332"/>
      <c r="BA1381" s="332"/>
      <c r="BB1381" s="31"/>
      <c r="BC1381" s="31"/>
      <c r="BD1381" s="31"/>
      <c r="BE1381" s="31"/>
    </row>
    <row r="1382" spans="1:57" ht="13">
      <c r="A1382" s="153"/>
      <c r="F1382" s="153"/>
      <c r="G1382" s="116"/>
      <c r="H1382" s="116"/>
      <c r="I1382" s="116"/>
      <c r="J1382" s="116"/>
      <c r="K1382" s="219"/>
      <c r="L1382" s="116"/>
      <c r="M1382" s="31"/>
      <c r="N1382" s="336"/>
      <c r="O1382" s="336"/>
      <c r="P1382" s="219"/>
      <c r="Q1382" s="332"/>
      <c r="R1382" s="219"/>
      <c r="S1382" s="332"/>
      <c r="T1382" s="219"/>
      <c r="U1382" s="332"/>
      <c r="V1382" s="332"/>
      <c r="W1382" s="370"/>
      <c r="X1382" s="370"/>
      <c r="Y1382" s="370"/>
      <c r="Z1382" s="370"/>
      <c r="AA1382" s="370"/>
      <c r="AB1382" s="370"/>
      <c r="AC1382" s="370"/>
      <c r="AD1382" s="370"/>
      <c r="AE1382" s="370"/>
      <c r="AF1382" s="370"/>
      <c r="AG1382" s="370"/>
      <c r="AH1382" s="370"/>
      <c r="AI1382" s="370"/>
      <c r="AJ1382" s="370"/>
      <c r="AL1382" s="219"/>
      <c r="AM1382" s="219"/>
      <c r="AN1382" s="219"/>
      <c r="AO1382" s="116"/>
      <c r="AP1382" s="116"/>
      <c r="AU1382" s="332"/>
      <c r="AV1382" s="332"/>
      <c r="AW1382" s="332"/>
      <c r="AX1382" s="332"/>
      <c r="AY1382" s="332"/>
      <c r="AZ1382" s="332"/>
      <c r="BA1382" s="332"/>
      <c r="BB1382" s="31"/>
      <c r="BC1382" s="31"/>
      <c r="BD1382" s="31"/>
      <c r="BE1382" s="31"/>
    </row>
    <row r="1383" spans="1:57" ht="13">
      <c r="A1383" s="153"/>
      <c r="F1383" s="153"/>
      <c r="G1383" s="116"/>
      <c r="H1383" s="116"/>
      <c r="I1383" s="116"/>
      <c r="J1383" s="116"/>
      <c r="K1383" s="219"/>
      <c r="L1383" s="116"/>
      <c r="M1383" s="31"/>
      <c r="N1383" s="336"/>
      <c r="O1383" s="336"/>
      <c r="P1383" s="219"/>
      <c r="Q1383" s="332"/>
      <c r="R1383" s="219"/>
      <c r="S1383" s="332"/>
      <c r="T1383" s="219"/>
      <c r="U1383" s="332"/>
      <c r="V1383" s="332"/>
      <c r="W1383" s="370"/>
      <c r="X1383" s="370"/>
      <c r="Y1383" s="370"/>
      <c r="Z1383" s="370"/>
      <c r="AA1383" s="370"/>
      <c r="AB1383" s="370"/>
      <c r="AC1383" s="370"/>
      <c r="AD1383" s="370"/>
      <c r="AE1383" s="370"/>
      <c r="AF1383" s="370"/>
      <c r="AG1383" s="370"/>
      <c r="AH1383" s="370"/>
      <c r="AI1383" s="370"/>
      <c r="AJ1383" s="370"/>
      <c r="AL1383" s="219"/>
      <c r="AM1383" s="219"/>
      <c r="AN1383" s="219"/>
      <c r="AO1383" s="116"/>
      <c r="AP1383" s="116"/>
      <c r="AU1383" s="332"/>
      <c r="AV1383" s="332"/>
      <c r="AW1383" s="332"/>
      <c r="AX1383" s="332"/>
      <c r="AY1383" s="332"/>
      <c r="AZ1383" s="332"/>
      <c r="BA1383" s="332"/>
      <c r="BB1383" s="31"/>
      <c r="BC1383" s="31"/>
      <c r="BD1383" s="31"/>
      <c r="BE1383" s="31"/>
    </row>
    <row r="1384" spans="1:57" ht="13">
      <c r="A1384" s="153"/>
      <c r="F1384" s="153"/>
      <c r="G1384" s="116"/>
      <c r="H1384" s="116"/>
      <c r="I1384" s="116"/>
      <c r="J1384" s="116"/>
      <c r="K1384" s="219"/>
      <c r="L1384" s="116"/>
      <c r="M1384" s="31"/>
      <c r="N1384" s="336"/>
      <c r="O1384" s="336"/>
      <c r="P1384" s="219"/>
      <c r="Q1384" s="332"/>
      <c r="R1384" s="219"/>
      <c r="S1384" s="332"/>
      <c r="T1384" s="219"/>
      <c r="U1384" s="332"/>
      <c r="V1384" s="332"/>
      <c r="W1384" s="370"/>
      <c r="X1384" s="370"/>
      <c r="Y1384" s="370"/>
      <c r="Z1384" s="370"/>
      <c r="AA1384" s="370"/>
      <c r="AB1384" s="370"/>
      <c r="AC1384" s="370"/>
      <c r="AD1384" s="370"/>
      <c r="AE1384" s="370"/>
      <c r="AF1384" s="370"/>
      <c r="AG1384" s="370"/>
      <c r="AH1384" s="370"/>
      <c r="AI1384" s="370"/>
      <c r="AJ1384" s="370"/>
      <c r="AL1384" s="219"/>
      <c r="AM1384" s="219"/>
      <c r="AN1384" s="219"/>
      <c r="AO1384" s="116"/>
      <c r="AP1384" s="116"/>
      <c r="AU1384" s="332"/>
      <c r="AV1384" s="332"/>
      <c r="AW1384" s="332"/>
      <c r="AX1384" s="332"/>
      <c r="AY1384" s="332"/>
      <c r="AZ1384" s="332"/>
      <c r="BA1384" s="332"/>
      <c r="BB1384" s="31"/>
      <c r="BC1384" s="31"/>
      <c r="BD1384" s="31"/>
      <c r="BE1384" s="31"/>
    </row>
    <row r="1385" spans="1:57" ht="13">
      <c r="A1385" s="153"/>
      <c r="F1385" s="153"/>
      <c r="G1385" s="116"/>
      <c r="H1385" s="116"/>
      <c r="I1385" s="116"/>
      <c r="J1385" s="116"/>
      <c r="K1385" s="219"/>
      <c r="L1385" s="116"/>
      <c r="M1385" s="31"/>
      <c r="N1385" s="336"/>
      <c r="O1385" s="336"/>
      <c r="P1385" s="219"/>
      <c r="Q1385" s="332"/>
      <c r="R1385" s="219"/>
      <c r="S1385" s="332"/>
      <c r="T1385" s="219"/>
      <c r="U1385" s="332"/>
      <c r="V1385" s="332"/>
      <c r="W1385" s="370"/>
      <c r="X1385" s="370"/>
      <c r="Y1385" s="370"/>
      <c r="Z1385" s="370"/>
      <c r="AA1385" s="370"/>
      <c r="AB1385" s="370"/>
      <c r="AC1385" s="370"/>
      <c r="AD1385" s="370"/>
      <c r="AE1385" s="370"/>
      <c r="AF1385" s="370"/>
      <c r="AG1385" s="370"/>
      <c r="AH1385" s="370"/>
      <c r="AI1385" s="370"/>
      <c r="AJ1385" s="370"/>
      <c r="AL1385" s="219"/>
      <c r="AM1385" s="219"/>
      <c r="AN1385" s="219"/>
      <c r="AO1385" s="116"/>
      <c r="AP1385" s="116"/>
      <c r="AU1385" s="332"/>
      <c r="AV1385" s="332"/>
      <c r="AW1385" s="332"/>
      <c r="AX1385" s="332"/>
      <c r="AY1385" s="332"/>
      <c r="AZ1385" s="332"/>
      <c r="BA1385" s="332"/>
      <c r="BB1385" s="31"/>
      <c r="BC1385" s="31"/>
      <c r="BD1385" s="31"/>
      <c r="BE1385" s="31"/>
    </row>
    <row r="1386" spans="1:57" ht="13">
      <c r="A1386" s="153"/>
      <c r="F1386" s="153"/>
      <c r="G1386" s="116"/>
      <c r="H1386" s="116"/>
      <c r="I1386" s="116"/>
      <c r="J1386" s="116"/>
      <c r="K1386" s="219"/>
      <c r="L1386" s="116"/>
      <c r="M1386" s="31"/>
      <c r="N1386" s="336"/>
      <c r="O1386" s="336"/>
      <c r="P1386" s="219"/>
      <c r="Q1386" s="332"/>
      <c r="R1386" s="219"/>
      <c r="S1386" s="332"/>
      <c r="T1386" s="219"/>
      <c r="U1386" s="332"/>
      <c r="V1386" s="332"/>
      <c r="W1386" s="370"/>
      <c r="X1386" s="370"/>
      <c r="Y1386" s="370"/>
      <c r="Z1386" s="370"/>
      <c r="AA1386" s="370"/>
      <c r="AB1386" s="370"/>
      <c r="AC1386" s="370"/>
      <c r="AD1386" s="370"/>
      <c r="AE1386" s="370"/>
      <c r="AF1386" s="370"/>
      <c r="AG1386" s="370"/>
      <c r="AH1386" s="370"/>
      <c r="AI1386" s="370"/>
      <c r="AJ1386" s="370"/>
      <c r="AL1386" s="219"/>
      <c r="AM1386" s="219"/>
      <c r="AN1386" s="219"/>
      <c r="AO1386" s="116"/>
      <c r="AP1386" s="116"/>
      <c r="AU1386" s="332"/>
      <c r="AV1386" s="332"/>
      <c r="AW1386" s="332"/>
      <c r="AX1386" s="332"/>
      <c r="AY1386" s="332"/>
      <c r="AZ1386" s="332"/>
      <c r="BA1386" s="332"/>
      <c r="BB1386" s="31"/>
      <c r="BC1386" s="31"/>
      <c r="BD1386" s="31"/>
      <c r="BE1386" s="31"/>
    </row>
    <row r="1387" spans="1:57" ht="13">
      <c r="A1387" s="153"/>
      <c r="F1387" s="153"/>
      <c r="G1387" s="116"/>
      <c r="H1387" s="116"/>
      <c r="I1387" s="116"/>
      <c r="J1387" s="116"/>
      <c r="K1387" s="219"/>
      <c r="L1387" s="116"/>
      <c r="M1387" s="31"/>
      <c r="N1387" s="336"/>
      <c r="O1387" s="336"/>
      <c r="P1387" s="219"/>
      <c r="Q1387" s="332"/>
      <c r="R1387" s="219"/>
      <c r="S1387" s="332"/>
      <c r="T1387" s="219"/>
      <c r="U1387" s="332"/>
      <c r="V1387" s="332"/>
      <c r="W1387" s="370"/>
      <c r="X1387" s="370"/>
      <c r="Y1387" s="370"/>
      <c r="Z1387" s="370"/>
      <c r="AA1387" s="370"/>
      <c r="AB1387" s="370"/>
      <c r="AC1387" s="370"/>
      <c r="AD1387" s="370"/>
      <c r="AE1387" s="370"/>
      <c r="AF1387" s="370"/>
      <c r="AG1387" s="370"/>
      <c r="AH1387" s="370"/>
      <c r="AI1387" s="370"/>
      <c r="AJ1387" s="370"/>
      <c r="AL1387" s="219"/>
      <c r="AM1387" s="219"/>
      <c r="AN1387" s="219"/>
      <c r="AO1387" s="116"/>
      <c r="AP1387" s="116"/>
      <c r="AU1387" s="332"/>
      <c r="AV1387" s="332"/>
      <c r="AW1387" s="332"/>
      <c r="AX1387" s="332"/>
      <c r="AY1387" s="332"/>
      <c r="AZ1387" s="332"/>
      <c r="BA1387" s="332"/>
      <c r="BB1387" s="31"/>
      <c r="BC1387" s="31"/>
      <c r="BD1387" s="31"/>
      <c r="BE1387" s="31"/>
    </row>
    <row r="1388" spans="1:57" ht="13">
      <c r="A1388" s="153"/>
      <c r="F1388" s="153"/>
      <c r="G1388" s="116"/>
      <c r="H1388" s="116"/>
      <c r="I1388" s="116"/>
      <c r="J1388" s="116"/>
      <c r="K1388" s="219"/>
      <c r="L1388" s="116"/>
      <c r="M1388" s="31"/>
      <c r="N1388" s="336"/>
      <c r="O1388" s="336"/>
      <c r="P1388" s="219"/>
      <c r="Q1388" s="332"/>
      <c r="R1388" s="219"/>
      <c r="S1388" s="332"/>
      <c r="T1388" s="219"/>
      <c r="U1388" s="332"/>
      <c r="V1388" s="332"/>
      <c r="W1388" s="370"/>
      <c r="X1388" s="370"/>
      <c r="Y1388" s="370"/>
      <c r="Z1388" s="370"/>
      <c r="AA1388" s="370"/>
      <c r="AB1388" s="370"/>
      <c r="AC1388" s="370"/>
      <c r="AD1388" s="370"/>
      <c r="AE1388" s="370"/>
      <c r="AF1388" s="370"/>
      <c r="AG1388" s="370"/>
      <c r="AH1388" s="370"/>
      <c r="AI1388" s="370"/>
      <c r="AJ1388" s="370"/>
      <c r="AL1388" s="219"/>
      <c r="AM1388" s="219"/>
      <c r="AN1388" s="219"/>
      <c r="AO1388" s="116"/>
      <c r="AP1388" s="116"/>
      <c r="AU1388" s="332"/>
      <c r="AV1388" s="332"/>
      <c r="AW1388" s="332"/>
      <c r="AX1388" s="332"/>
      <c r="AY1388" s="332"/>
      <c r="AZ1388" s="332"/>
      <c r="BA1388" s="332"/>
      <c r="BB1388" s="31"/>
      <c r="BC1388" s="31"/>
      <c r="BD1388" s="31"/>
      <c r="BE1388" s="31"/>
    </row>
    <row r="1389" spans="1:57" ht="13">
      <c r="A1389" s="153"/>
      <c r="F1389" s="153"/>
      <c r="G1389" s="116"/>
      <c r="H1389" s="116"/>
      <c r="I1389" s="116"/>
      <c r="J1389" s="116"/>
      <c r="K1389" s="219"/>
      <c r="L1389" s="116"/>
      <c r="M1389" s="31"/>
      <c r="N1389" s="336"/>
      <c r="O1389" s="336"/>
      <c r="P1389" s="219"/>
      <c r="Q1389" s="332"/>
      <c r="R1389" s="219"/>
      <c r="S1389" s="332"/>
      <c r="T1389" s="219"/>
      <c r="U1389" s="332"/>
      <c r="V1389" s="332"/>
      <c r="W1389" s="370"/>
      <c r="X1389" s="370"/>
      <c r="Y1389" s="370"/>
      <c r="Z1389" s="370"/>
      <c r="AA1389" s="370"/>
      <c r="AB1389" s="370"/>
      <c r="AC1389" s="370"/>
      <c r="AD1389" s="370"/>
      <c r="AE1389" s="370"/>
      <c r="AF1389" s="370"/>
      <c r="AG1389" s="370"/>
      <c r="AH1389" s="370"/>
      <c r="AI1389" s="370"/>
      <c r="AJ1389" s="370"/>
      <c r="AL1389" s="219"/>
      <c r="AM1389" s="219"/>
      <c r="AN1389" s="219"/>
      <c r="AO1389" s="116"/>
      <c r="AP1389" s="116"/>
      <c r="AU1389" s="332"/>
      <c r="AV1389" s="332"/>
      <c r="AW1389" s="332"/>
      <c r="AX1389" s="332"/>
      <c r="AY1389" s="332"/>
      <c r="AZ1389" s="332"/>
      <c r="BA1389" s="332"/>
      <c r="BB1389" s="31"/>
      <c r="BC1389" s="31"/>
      <c r="BD1389" s="31"/>
      <c r="BE1389" s="31"/>
    </row>
    <row r="1390" spans="1:57" ht="13">
      <c r="A1390" s="153"/>
      <c r="F1390" s="153"/>
      <c r="G1390" s="116"/>
      <c r="H1390" s="116"/>
      <c r="I1390" s="116"/>
      <c r="J1390" s="116"/>
      <c r="K1390" s="219"/>
      <c r="L1390" s="116"/>
      <c r="M1390" s="31"/>
      <c r="N1390" s="336"/>
      <c r="O1390" s="336"/>
      <c r="P1390" s="219"/>
      <c r="Q1390" s="332"/>
      <c r="R1390" s="219"/>
      <c r="S1390" s="332"/>
      <c r="T1390" s="219"/>
      <c r="U1390" s="332"/>
      <c r="V1390" s="332"/>
      <c r="W1390" s="370"/>
      <c r="X1390" s="370"/>
      <c r="Y1390" s="370"/>
      <c r="Z1390" s="370"/>
      <c r="AA1390" s="370"/>
      <c r="AB1390" s="370"/>
      <c r="AC1390" s="370"/>
      <c r="AD1390" s="370"/>
      <c r="AE1390" s="370"/>
      <c r="AF1390" s="370"/>
      <c r="AG1390" s="370"/>
      <c r="AH1390" s="370"/>
      <c r="AI1390" s="370"/>
      <c r="AJ1390" s="370"/>
      <c r="AL1390" s="219"/>
      <c r="AM1390" s="219"/>
      <c r="AN1390" s="219"/>
      <c r="AO1390" s="116"/>
      <c r="AP1390" s="116"/>
      <c r="AU1390" s="332"/>
      <c r="AV1390" s="332"/>
      <c r="AW1390" s="332"/>
      <c r="AX1390" s="332"/>
      <c r="AY1390" s="332"/>
      <c r="AZ1390" s="332"/>
      <c r="BA1390" s="332"/>
      <c r="BB1390" s="31"/>
      <c r="BC1390" s="31"/>
      <c r="BD1390" s="31"/>
      <c r="BE1390" s="31"/>
    </row>
    <row r="1391" spans="1:57" ht="13">
      <c r="A1391" s="153"/>
      <c r="F1391" s="153"/>
      <c r="G1391" s="116"/>
      <c r="H1391" s="116"/>
      <c r="I1391" s="116"/>
      <c r="J1391" s="116"/>
      <c r="K1391" s="219"/>
      <c r="L1391" s="116"/>
      <c r="M1391" s="31"/>
      <c r="N1391" s="336"/>
      <c r="O1391" s="336"/>
      <c r="P1391" s="219"/>
      <c r="Q1391" s="332"/>
      <c r="R1391" s="219"/>
      <c r="S1391" s="332"/>
      <c r="T1391" s="219"/>
      <c r="U1391" s="332"/>
      <c r="V1391" s="332"/>
      <c r="W1391" s="370"/>
      <c r="X1391" s="370"/>
      <c r="Y1391" s="370"/>
      <c r="Z1391" s="370"/>
      <c r="AA1391" s="370"/>
      <c r="AB1391" s="370"/>
      <c r="AC1391" s="370"/>
      <c r="AD1391" s="370"/>
      <c r="AE1391" s="370"/>
      <c r="AF1391" s="370"/>
      <c r="AG1391" s="370"/>
      <c r="AH1391" s="370"/>
      <c r="AI1391" s="370"/>
      <c r="AJ1391" s="370"/>
      <c r="AL1391" s="219"/>
      <c r="AM1391" s="219"/>
      <c r="AN1391" s="219"/>
      <c r="AO1391" s="116"/>
      <c r="AP1391" s="116"/>
      <c r="AU1391" s="332"/>
      <c r="AV1391" s="332"/>
      <c r="AW1391" s="332"/>
      <c r="AX1391" s="332"/>
      <c r="AY1391" s="332"/>
      <c r="AZ1391" s="332"/>
      <c r="BA1391" s="332"/>
      <c r="BB1391" s="31"/>
      <c r="BC1391" s="31"/>
      <c r="BD1391" s="31"/>
      <c r="BE1391" s="31"/>
    </row>
    <row r="1392" spans="1:57" ht="13">
      <c r="A1392" s="153"/>
      <c r="F1392" s="153"/>
      <c r="G1392" s="116"/>
      <c r="H1392" s="116"/>
      <c r="I1392" s="116"/>
      <c r="J1392" s="116"/>
      <c r="K1392" s="219"/>
      <c r="L1392" s="116"/>
      <c r="M1392" s="31"/>
      <c r="N1392" s="336"/>
      <c r="O1392" s="336"/>
      <c r="P1392" s="219"/>
      <c r="Q1392" s="332"/>
      <c r="R1392" s="219"/>
      <c r="S1392" s="332"/>
      <c r="T1392" s="219"/>
      <c r="U1392" s="332"/>
      <c r="V1392" s="332"/>
      <c r="W1392" s="370"/>
      <c r="X1392" s="370"/>
      <c r="Y1392" s="370"/>
      <c r="Z1392" s="370"/>
      <c r="AA1392" s="370"/>
      <c r="AB1392" s="370"/>
      <c r="AC1392" s="370"/>
      <c r="AD1392" s="370"/>
      <c r="AE1392" s="370"/>
      <c r="AF1392" s="370"/>
      <c r="AG1392" s="370"/>
      <c r="AH1392" s="370"/>
      <c r="AI1392" s="370"/>
      <c r="AJ1392" s="370"/>
      <c r="AL1392" s="219"/>
      <c r="AM1392" s="219"/>
      <c r="AN1392" s="219"/>
      <c r="AO1392" s="116"/>
      <c r="AP1392" s="116"/>
      <c r="AU1392" s="332"/>
      <c r="AV1392" s="332"/>
      <c r="AW1392" s="332"/>
      <c r="AX1392" s="332"/>
      <c r="AY1392" s="332"/>
      <c r="AZ1392" s="332"/>
      <c r="BA1392" s="332"/>
      <c r="BB1392" s="31"/>
      <c r="BC1392" s="31"/>
      <c r="BD1392" s="31"/>
      <c r="BE1392" s="31"/>
    </row>
    <row r="1393" spans="1:57" ht="13">
      <c r="A1393" s="153"/>
      <c r="F1393" s="153"/>
      <c r="G1393" s="116"/>
      <c r="H1393" s="116"/>
      <c r="I1393" s="116"/>
      <c r="J1393" s="116"/>
      <c r="K1393" s="219"/>
      <c r="L1393" s="116"/>
      <c r="M1393" s="31"/>
      <c r="N1393" s="336"/>
      <c r="O1393" s="336"/>
      <c r="P1393" s="219"/>
      <c r="Q1393" s="332"/>
      <c r="R1393" s="219"/>
      <c r="S1393" s="332"/>
      <c r="T1393" s="219"/>
      <c r="U1393" s="332"/>
      <c r="V1393" s="332"/>
      <c r="W1393" s="370"/>
      <c r="X1393" s="370"/>
      <c r="Y1393" s="370"/>
      <c r="Z1393" s="370"/>
      <c r="AA1393" s="370"/>
      <c r="AB1393" s="370"/>
      <c r="AC1393" s="370"/>
      <c r="AD1393" s="370"/>
      <c r="AE1393" s="370"/>
      <c r="AF1393" s="370"/>
      <c r="AG1393" s="370"/>
      <c r="AH1393" s="370"/>
      <c r="AI1393" s="370"/>
      <c r="AJ1393" s="370"/>
      <c r="AL1393" s="219"/>
      <c r="AM1393" s="219"/>
      <c r="AN1393" s="219"/>
      <c r="AO1393" s="116"/>
      <c r="AP1393" s="116"/>
      <c r="AU1393" s="332"/>
      <c r="AV1393" s="332"/>
      <c r="AW1393" s="332"/>
      <c r="AX1393" s="332"/>
      <c r="AY1393" s="332"/>
      <c r="AZ1393" s="332"/>
      <c r="BA1393" s="332"/>
      <c r="BB1393" s="31"/>
      <c r="BC1393" s="31"/>
      <c r="BD1393" s="31"/>
      <c r="BE1393" s="31"/>
    </row>
    <row r="1394" spans="1:57" ht="13">
      <c r="A1394" s="153"/>
      <c r="F1394" s="153"/>
      <c r="G1394" s="116"/>
      <c r="H1394" s="116"/>
      <c r="I1394" s="116"/>
      <c r="J1394" s="116"/>
      <c r="K1394" s="219"/>
      <c r="L1394" s="116"/>
      <c r="M1394" s="31"/>
      <c r="N1394" s="336"/>
      <c r="O1394" s="336"/>
      <c r="P1394" s="219"/>
      <c r="Q1394" s="332"/>
      <c r="R1394" s="219"/>
      <c r="S1394" s="332"/>
      <c r="T1394" s="219"/>
      <c r="U1394" s="332"/>
      <c r="V1394" s="332"/>
      <c r="W1394" s="370"/>
      <c r="X1394" s="370"/>
      <c r="Y1394" s="370"/>
      <c r="Z1394" s="370"/>
      <c r="AA1394" s="370"/>
      <c r="AB1394" s="370"/>
      <c r="AC1394" s="370"/>
      <c r="AD1394" s="370"/>
      <c r="AE1394" s="370"/>
      <c r="AF1394" s="370"/>
      <c r="AG1394" s="370"/>
      <c r="AH1394" s="370"/>
      <c r="AI1394" s="370"/>
      <c r="AJ1394" s="370"/>
      <c r="AL1394" s="219"/>
      <c r="AM1394" s="219"/>
      <c r="AN1394" s="219"/>
      <c r="AO1394" s="116"/>
      <c r="AP1394" s="116"/>
      <c r="AU1394" s="332"/>
      <c r="AV1394" s="332"/>
      <c r="AW1394" s="332"/>
      <c r="AX1394" s="332"/>
      <c r="AY1394" s="332"/>
      <c r="AZ1394" s="332"/>
      <c r="BA1394" s="332"/>
      <c r="BB1394" s="31"/>
      <c r="BC1394" s="31"/>
      <c r="BD1394" s="31"/>
      <c r="BE1394" s="31"/>
    </row>
    <row r="1395" spans="1:57" ht="13">
      <c r="A1395" s="153"/>
      <c r="F1395" s="153"/>
      <c r="G1395" s="116"/>
      <c r="H1395" s="116"/>
      <c r="I1395" s="116"/>
      <c r="J1395" s="116"/>
      <c r="K1395" s="219"/>
      <c r="L1395" s="116"/>
      <c r="M1395" s="31"/>
      <c r="N1395" s="336"/>
      <c r="O1395" s="336"/>
      <c r="P1395" s="219"/>
      <c r="Q1395" s="332"/>
      <c r="R1395" s="219"/>
      <c r="S1395" s="332"/>
      <c r="T1395" s="219"/>
      <c r="U1395" s="332"/>
      <c r="V1395" s="332"/>
      <c r="W1395" s="370"/>
      <c r="X1395" s="370"/>
      <c r="Y1395" s="370"/>
      <c r="Z1395" s="370"/>
      <c r="AA1395" s="370"/>
      <c r="AB1395" s="370"/>
      <c r="AC1395" s="370"/>
      <c r="AD1395" s="370"/>
      <c r="AE1395" s="370"/>
      <c r="AF1395" s="370"/>
      <c r="AG1395" s="370"/>
      <c r="AH1395" s="370"/>
      <c r="AI1395" s="370"/>
      <c r="AJ1395" s="370"/>
      <c r="AL1395" s="219"/>
      <c r="AM1395" s="219"/>
      <c r="AN1395" s="219"/>
      <c r="AO1395" s="116"/>
      <c r="AP1395" s="116"/>
      <c r="AU1395" s="332"/>
      <c r="AV1395" s="332"/>
      <c r="AW1395" s="332"/>
      <c r="AX1395" s="332"/>
      <c r="AY1395" s="332"/>
      <c r="AZ1395" s="332"/>
      <c r="BA1395" s="332"/>
      <c r="BB1395" s="31"/>
      <c r="BC1395" s="31"/>
      <c r="BD1395" s="31"/>
      <c r="BE1395" s="31"/>
    </row>
    <row r="1396" spans="1:57" ht="13">
      <c r="A1396" s="153"/>
      <c r="F1396" s="153"/>
      <c r="G1396" s="116"/>
      <c r="H1396" s="116"/>
      <c r="I1396" s="116"/>
      <c r="J1396" s="116"/>
      <c r="K1396" s="219"/>
      <c r="L1396" s="116"/>
      <c r="M1396" s="31"/>
      <c r="N1396" s="336"/>
      <c r="O1396" s="336"/>
      <c r="P1396" s="219"/>
      <c r="Q1396" s="332"/>
      <c r="R1396" s="219"/>
      <c r="S1396" s="332"/>
      <c r="T1396" s="219"/>
      <c r="U1396" s="332"/>
      <c r="V1396" s="332"/>
      <c r="W1396" s="370"/>
      <c r="X1396" s="370"/>
      <c r="Y1396" s="370"/>
      <c r="Z1396" s="370"/>
      <c r="AA1396" s="370"/>
      <c r="AB1396" s="370"/>
      <c r="AC1396" s="370"/>
      <c r="AD1396" s="370"/>
      <c r="AE1396" s="370"/>
      <c r="AF1396" s="370"/>
      <c r="AG1396" s="370"/>
      <c r="AH1396" s="370"/>
      <c r="AI1396" s="370"/>
      <c r="AJ1396" s="370"/>
      <c r="AL1396" s="219"/>
      <c r="AM1396" s="219"/>
      <c r="AN1396" s="219"/>
      <c r="AO1396" s="116"/>
      <c r="AP1396" s="116"/>
      <c r="AU1396" s="332"/>
      <c r="AV1396" s="332"/>
      <c r="AW1396" s="332"/>
      <c r="AX1396" s="332"/>
      <c r="AY1396" s="332"/>
      <c r="AZ1396" s="332"/>
      <c r="BA1396" s="332"/>
      <c r="BB1396" s="31"/>
      <c r="BC1396" s="31"/>
      <c r="BD1396" s="31"/>
      <c r="BE1396" s="31"/>
    </row>
    <row r="1397" spans="1:57" ht="13">
      <c r="A1397" s="153"/>
      <c r="F1397" s="153"/>
      <c r="G1397" s="116"/>
      <c r="H1397" s="116"/>
      <c r="I1397" s="116"/>
      <c r="J1397" s="116"/>
      <c r="K1397" s="219"/>
      <c r="L1397" s="116"/>
      <c r="M1397" s="31"/>
      <c r="N1397" s="336"/>
      <c r="O1397" s="336"/>
      <c r="P1397" s="219"/>
      <c r="Q1397" s="332"/>
      <c r="R1397" s="219"/>
      <c r="S1397" s="332"/>
      <c r="T1397" s="219"/>
      <c r="U1397" s="332"/>
      <c r="V1397" s="332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  <c r="AH1397" s="370"/>
      <c r="AI1397" s="370"/>
      <c r="AJ1397" s="370"/>
      <c r="AL1397" s="219"/>
      <c r="AM1397" s="219"/>
      <c r="AN1397" s="219"/>
      <c r="AO1397" s="116"/>
      <c r="AP1397" s="116"/>
      <c r="AU1397" s="332"/>
      <c r="AV1397" s="332"/>
      <c r="AW1397" s="332"/>
      <c r="AX1397" s="332"/>
      <c r="AY1397" s="332"/>
      <c r="AZ1397" s="332"/>
      <c r="BA1397" s="332"/>
      <c r="BB1397" s="31"/>
      <c r="BC1397" s="31"/>
      <c r="BD1397" s="31"/>
      <c r="BE1397" s="31"/>
    </row>
    <row r="1398" spans="1:57" ht="13">
      <c r="A1398" s="153"/>
      <c r="F1398" s="153"/>
      <c r="G1398" s="116"/>
      <c r="H1398" s="116"/>
      <c r="I1398" s="116"/>
      <c r="J1398" s="116"/>
      <c r="K1398" s="219"/>
      <c r="L1398" s="116"/>
      <c r="M1398" s="31"/>
      <c r="N1398" s="336"/>
      <c r="O1398" s="336"/>
      <c r="P1398" s="219"/>
      <c r="Q1398" s="332"/>
      <c r="R1398" s="219"/>
      <c r="S1398" s="332"/>
      <c r="T1398" s="219"/>
      <c r="U1398" s="332"/>
      <c r="V1398" s="332"/>
      <c r="W1398" s="370"/>
      <c r="X1398" s="370"/>
      <c r="Y1398" s="370"/>
      <c r="Z1398" s="370"/>
      <c r="AA1398" s="370"/>
      <c r="AB1398" s="370"/>
      <c r="AC1398" s="370"/>
      <c r="AD1398" s="370"/>
      <c r="AE1398" s="370"/>
      <c r="AF1398" s="370"/>
      <c r="AG1398" s="370"/>
      <c r="AH1398" s="370"/>
      <c r="AI1398" s="370"/>
      <c r="AJ1398" s="370"/>
      <c r="AL1398" s="219"/>
      <c r="AM1398" s="219"/>
      <c r="AN1398" s="219"/>
      <c r="AO1398" s="116"/>
      <c r="AP1398" s="116"/>
      <c r="AU1398" s="332"/>
      <c r="AV1398" s="332"/>
      <c r="AW1398" s="332"/>
      <c r="AX1398" s="332"/>
      <c r="AY1398" s="332"/>
      <c r="AZ1398" s="332"/>
      <c r="BA1398" s="332"/>
      <c r="BB1398" s="31"/>
      <c r="BC1398" s="31"/>
      <c r="BD1398" s="31"/>
      <c r="BE1398" s="31"/>
    </row>
    <row r="1399" spans="1:57" ht="13">
      <c r="A1399" s="153"/>
      <c r="F1399" s="153"/>
      <c r="G1399" s="116"/>
      <c r="H1399" s="116"/>
      <c r="I1399" s="116"/>
      <c r="J1399" s="116"/>
      <c r="K1399" s="219"/>
      <c r="L1399" s="116"/>
      <c r="M1399" s="31"/>
      <c r="N1399" s="336"/>
      <c r="O1399" s="336"/>
      <c r="P1399" s="219"/>
      <c r="Q1399" s="332"/>
      <c r="R1399" s="219"/>
      <c r="S1399" s="332"/>
      <c r="T1399" s="219"/>
      <c r="U1399" s="332"/>
      <c r="V1399" s="332"/>
      <c r="W1399" s="370"/>
      <c r="X1399" s="370"/>
      <c r="Y1399" s="370"/>
      <c r="Z1399" s="370"/>
      <c r="AA1399" s="370"/>
      <c r="AB1399" s="370"/>
      <c r="AC1399" s="370"/>
      <c r="AD1399" s="370"/>
      <c r="AE1399" s="370"/>
      <c r="AF1399" s="370"/>
      <c r="AG1399" s="370"/>
      <c r="AH1399" s="370"/>
      <c r="AI1399" s="370"/>
      <c r="AJ1399" s="370"/>
      <c r="AL1399" s="219"/>
      <c r="AM1399" s="219"/>
      <c r="AN1399" s="219"/>
      <c r="AO1399" s="116"/>
      <c r="AP1399" s="116"/>
      <c r="AU1399" s="332"/>
      <c r="AV1399" s="332"/>
      <c r="AW1399" s="332"/>
      <c r="AX1399" s="332"/>
      <c r="AY1399" s="332"/>
      <c r="AZ1399" s="332"/>
      <c r="BA1399" s="332"/>
      <c r="BB1399" s="31"/>
      <c r="BC1399" s="31"/>
      <c r="BD1399" s="31"/>
      <c r="BE1399" s="31"/>
    </row>
    <row r="1400" spans="1:57" ht="13">
      <c r="A1400" s="153"/>
      <c r="F1400" s="153"/>
      <c r="G1400" s="116"/>
      <c r="H1400" s="116"/>
      <c r="I1400" s="116"/>
      <c r="J1400" s="116"/>
      <c r="K1400" s="219"/>
      <c r="L1400" s="116"/>
      <c r="M1400" s="31"/>
      <c r="N1400" s="336"/>
      <c r="O1400" s="336"/>
      <c r="P1400" s="219"/>
      <c r="Q1400" s="332"/>
      <c r="R1400" s="219"/>
      <c r="S1400" s="332"/>
      <c r="T1400" s="219"/>
      <c r="U1400" s="332"/>
      <c r="V1400" s="332"/>
      <c r="W1400" s="370"/>
      <c r="X1400" s="370"/>
      <c r="Y1400" s="370"/>
      <c r="Z1400" s="370"/>
      <c r="AA1400" s="370"/>
      <c r="AB1400" s="370"/>
      <c r="AC1400" s="370"/>
      <c r="AD1400" s="370"/>
      <c r="AE1400" s="370"/>
      <c r="AF1400" s="370"/>
      <c r="AG1400" s="370"/>
      <c r="AH1400" s="370"/>
      <c r="AI1400" s="370"/>
      <c r="AJ1400" s="370"/>
      <c r="AL1400" s="219"/>
      <c r="AM1400" s="219"/>
      <c r="AN1400" s="219"/>
      <c r="AO1400" s="116"/>
      <c r="AP1400" s="116"/>
      <c r="AU1400" s="332"/>
      <c r="AV1400" s="332"/>
      <c r="AW1400" s="332"/>
      <c r="AX1400" s="332"/>
      <c r="AY1400" s="332"/>
      <c r="AZ1400" s="332"/>
      <c r="BA1400" s="332"/>
      <c r="BB1400" s="31"/>
      <c r="BC1400" s="31"/>
      <c r="BD1400" s="31"/>
      <c r="BE1400" s="31"/>
    </row>
    <row r="1401" spans="1:57" ht="13">
      <c r="A1401" s="153"/>
      <c r="F1401" s="153"/>
      <c r="G1401" s="116"/>
      <c r="H1401" s="116"/>
      <c r="I1401" s="116"/>
      <c r="J1401" s="116"/>
      <c r="K1401" s="219"/>
      <c r="L1401" s="116"/>
      <c r="M1401" s="31"/>
      <c r="N1401" s="336"/>
      <c r="O1401" s="336"/>
      <c r="P1401" s="219"/>
      <c r="Q1401" s="332"/>
      <c r="R1401" s="219"/>
      <c r="S1401" s="332"/>
      <c r="T1401" s="219"/>
      <c r="U1401" s="332"/>
      <c r="V1401" s="332"/>
      <c r="W1401" s="370"/>
      <c r="X1401" s="370"/>
      <c r="Y1401" s="370"/>
      <c r="Z1401" s="370"/>
      <c r="AA1401" s="370"/>
      <c r="AB1401" s="370"/>
      <c r="AC1401" s="370"/>
      <c r="AD1401" s="370"/>
      <c r="AE1401" s="370"/>
      <c r="AF1401" s="370"/>
      <c r="AG1401" s="370"/>
      <c r="AH1401" s="370"/>
      <c r="AI1401" s="370"/>
      <c r="AJ1401" s="370"/>
      <c r="AL1401" s="219"/>
      <c r="AM1401" s="219"/>
      <c r="AN1401" s="219"/>
      <c r="AO1401" s="116"/>
      <c r="AP1401" s="116"/>
      <c r="AU1401" s="332"/>
      <c r="AV1401" s="332"/>
      <c r="AW1401" s="332"/>
      <c r="AX1401" s="332"/>
      <c r="AY1401" s="332"/>
      <c r="AZ1401" s="332"/>
      <c r="BA1401" s="332"/>
      <c r="BB1401" s="31"/>
      <c r="BC1401" s="31"/>
      <c r="BD1401" s="31"/>
      <c r="BE1401" s="31"/>
    </row>
    <row r="1402" spans="1:57" ht="13">
      <c r="A1402" s="153"/>
      <c r="F1402" s="153"/>
      <c r="G1402" s="116"/>
      <c r="H1402" s="116"/>
      <c r="I1402" s="116"/>
      <c r="J1402" s="116"/>
      <c r="K1402" s="219"/>
      <c r="L1402" s="116"/>
      <c r="M1402" s="31"/>
      <c r="N1402" s="336"/>
      <c r="O1402" s="336"/>
      <c r="P1402" s="219"/>
      <c r="Q1402" s="332"/>
      <c r="R1402" s="219"/>
      <c r="S1402" s="332"/>
      <c r="T1402" s="219"/>
      <c r="U1402" s="332"/>
      <c r="V1402" s="332"/>
      <c r="W1402" s="370"/>
      <c r="X1402" s="370"/>
      <c r="Y1402" s="370"/>
      <c r="Z1402" s="370"/>
      <c r="AA1402" s="370"/>
      <c r="AB1402" s="370"/>
      <c r="AC1402" s="370"/>
      <c r="AD1402" s="370"/>
      <c r="AE1402" s="370"/>
      <c r="AF1402" s="370"/>
      <c r="AG1402" s="370"/>
      <c r="AH1402" s="370"/>
      <c r="AI1402" s="370"/>
      <c r="AJ1402" s="370"/>
      <c r="AL1402" s="219"/>
      <c r="AM1402" s="219"/>
      <c r="AN1402" s="219"/>
      <c r="AO1402" s="116"/>
      <c r="AP1402" s="116"/>
      <c r="AU1402" s="332"/>
      <c r="AV1402" s="332"/>
      <c r="AW1402" s="332"/>
      <c r="AX1402" s="332"/>
      <c r="AY1402" s="332"/>
      <c r="AZ1402" s="332"/>
      <c r="BA1402" s="332"/>
      <c r="BB1402" s="31"/>
      <c r="BC1402" s="31"/>
      <c r="BD1402" s="31"/>
      <c r="BE1402" s="31"/>
    </row>
    <row r="1403" spans="1:57" ht="13">
      <c r="A1403" s="153"/>
      <c r="F1403" s="153"/>
      <c r="G1403" s="116"/>
      <c r="H1403" s="116"/>
      <c r="I1403" s="116"/>
      <c r="J1403" s="116"/>
      <c r="K1403" s="219"/>
      <c r="L1403" s="116"/>
      <c r="M1403" s="31"/>
      <c r="N1403" s="336"/>
      <c r="O1403" s="336"/>
      <c r="P1403" s="219"/>
      <c r="Q1403" s="332"/>
      <c r="R1403" s="219"/>
      <c r="S1403" s="332"/>
      <c r="T1403" s="219"/>
      <c r="U1403" s="332"/>
      <c r="V1403" s="332"/>
      <c r="W1403" s="370"/>
      <c r="X1403" s="370"/>
      <c r="Y1403" s="370"/>
      <c r="Z1403" s="370"/>
      <c r="AA1403" s="370"/>
      <c r="AB1403" s="370"/>
      <c r="AC1403" s="370"/>
      <c r="AD1403" s="370"/>
      <c r="AE1403" s="370"/>
      <c r="AF1403" s="370"/>
      <c r="AG1403" s="370"/>
      <c r="AH1403" s="370"/>
      <c r="AI1403" s="370"/>
      <c r="AJ1403" s="370"/>
      <c r="AL1403" s="219"/>
      <c r="AM1403" s="219"/>
      <c r="AN1403" s="219"/>
      <c r="AO1403" s="116"/>
      <c r="AP1403" s="116"/>
      <c r="AU1403" s="332"/>
      <c r="AV1403" s="332"/>
      <c r="AW1403" s="332"/>
      <c r="AX1403" s="332"/>
      <c r="AY1403" s="332"/>
      <c r="AZ1403" s="332"/>
      <c r="BA1403" s="332"/>
      <c r="BB1403" s="31"/>
      <c r="BC1403" s="31"/>
      <c r="BD1403" s="31"/>
      <c r="BE1403" s="31"/>
    </row>
    <row r="1404" spans="1:57" ht="13">
      <c r="A1404" s="153"/>
      <c r="F1404" s="153"/>
      <c r="G1404" s="116"/>
      <c r="H1404" s="116"/>
      <c r="I1404" s="116"/>
      <c r="J1404" s="116"/>
      <c r="K1404" s="219"/>
      <c r="L1404" s="116"/>
      <c r="M1404" s="31"/>
      <c r="N1404" s="336"/>
      <c r="O1404" s="336"/>
      <c r="P1404" s="219"/>
      <c r="Q1404" s="332"/>
      <c r="R1404" s="219"/>
      <c r="S1404" s="332"/>
      <c r="T1404" s="219"/>
      <c r="U1404" s="332"/>
      <c r="V1404" s="332"/>
      <c r="W1404" s="370"/>
      <c r="X1404" s="370"/>
      <c r="Y1404" s="370"/>
      <c r="Z1404" s="370"/>
      <c r="AA1404" s="370"/>
      <c r="AB1404" s="370"/>
      <c r="AC1404" s="370"/>
      <c r="AD1404" s="370"/>
      <c r="AE1404" s="370"/>
      <c r="AF1404" s="370"/>
      <c r="AG1404" s="370"/>
      <c r="AH1404" s="370"/>
      <c r="AI1404" s="370"/>
      <c r="AJ1404" s="370"/>
      <c r="AL1404" s="219"/>
      <c r="AM1404" s="219"/>
      <c r="AN1404" s="219"/>
      <c r="AO1404" s="116"/>
      <c r="AP1404" s="116"/>
      <c r="AU1404" s="332"/>
      <c r="AV1404" s="332"/>
      <c r="AW1404" s="332"/>
      <c r="AX1404" s="332"/>
      <c r="AY1404" s="332"/>
      <c r="AZ1404" s="332"/>
      <c r="BA1404" s="332"/>
      <c r="BB1404" s="31"/>
      <c r="BC1404" s="31"/>
      <c r="BD1404" s="31"/>
      <c r="BE1404" s="31"/>
    </row>
    <row r="1405" spans="1:57" ht="13">
      <c r="A1405" s="153"/>
      <c r="F1405" s="153"/>
      <c r="G1405" s="116"/>
      <c r="H1405" s="116"/>
      <c r="I1405" s="116"/>
      <c r="J1405" s="116"/>
      <c r="K1405" s="219"/>
      <c r="L1405" s="116"/>
      <c r="M1405" s="31"/>
      <c r="N1405" s="336"/>
      <c r="O1405" s="336"/>
      <c r="P1405" s="219"/>
      <c r="Q1405" s="332"/>
      <c r="R1405" s="219"/>
      <c r="S1405" s="332"/>
      <c r="T1405" s="219"/>
      <c r="U1405" s="332"/>
      <c r="V1405" s="332"/>
      <c r="W1405" s="370"/>
      <c r="X1405" s="370"/>
      <c r="Y1405" s="370"/>
      <c r="Z1405" s="370"/>
      <c r="AA1405" s="370"/>
      <c r="AB1405" s="370"/>
      <c r="AC1405" s="370"/>
      <c r="AD1405" s="370"/>
      <c r="AE1405" s="370"/>
      <c r="AF1405" s="370"/>
      <c r="AG1405" s="370"/>
      <c r="AH1405" s="370"/>
      <c r="AI1405" s="370"/>
      <c r="AJ1405" s="370"/>
      <c r="AL1405" s="219"/>
      <c r="AM1405" s="219"/>
      <c r="AN1405" s="219"/>
      <c r="AO1405" s="116"/>
      <c r="AP1405" s="116"/>
      <c r="AU1405" s="332"/>
      <c r="AV1405" s="332"/>
      <c r="AW1405" s="332"/>
      <c r="AX1405" s="332"/>
      <c r="AY1405" s="332"/>
      <c r="AZ1405" s="332"/>
      <c r="BA1405" s="332"/>
      <c r="BB1405" s="31"/>
      <c r="BC1405" s="31"/>
      <c r="BD1405" s="31"/>
      <c r="BE1405" s="31"/>
    </row>
    <row r="1406" spans="1:57" ht="13">
      <c r="A1406" s="153"/>
      <c r="F1406" s="153"/>
      <c r="G1406" s="116"/>
      <c r="H1406" s="116"/>
      <c r="I1406" s="116"/>
      <c r="J1406" s="116"/>
      <c r="K1406" s="219"/>
      <c r="L1406" s="116"/>
      <c r="M1406" s="31"/>
      <c r="N1406" s="336"/>
      <c r="O1406" s="336"/>
      <c r="P1406" s="219"/>
      <c r="Q1406" s="332"/>
      <c r="R1406" s="219"/>
      <c r="S1406" s="332"/>
      <c r="T1406" s="219"/>
      <c r="U1406" s="332"/>
      <c r="V1406" s="332"/>
      <c r="W1406" s="370"/>
      <c r="X1406" s="370"/>
      <c r="Y1406" s="370"/>
      <c r="Z1406" s="370"/>
      <c r="AA1406" s="370"/>
      <c r="AB1406" s="370"/>
      <c r="AC1406" s="370"/>
      <c r="AD1406" s="370"/>
      <c r="AE1406" s="370"/>
      <c r="AF1406" s="370"/>
      <c r="AG1406" s="370"/>
      <c r="AH1406" s="370"/>
      <c r="AI1406" s="370"/>
      <c r="AJ1406" s="370"/>
      <c r="AL1406" s="219"/>
      <c r="AM1406" s="219"/>
      <c r="AN1406" s="219"/>
      <c r="AO1406" s="116"/>
      <c r="AP1406" s="116"/>
      <c r="AU1406" s="332"/>
      <c r="AV1406" s="332"/>
      <c r="AW1406" s="332"/>
      <c r="AX1406" s="332"/>
      <c r="AY1406" s="332"/>
      <c r="AZ1406" s="332"/>
      <c r="BA1406" s="332"/>
      <c r="BB1406" s="31"/>
      <c r="BC1406" s="31"/>
      <c r="BD1406" s="31"/>
      <c r="BE1406" s="31"/>
    </row>
    <row r="1407" spans="1:57" ht="13">
      <c r="A1407" s="153"/>
      <c r="F1407" s="153"/>
      <c r="G1407" s="116"/>
      <c r="H1407" s="116"/>
      <c r="I1407" s="116"/>
      <c r="J1407" s="116"/>
      <c r="K1407" s="219"/>
      <c r="L1407" s="116"/>
      <c r="M1407" s="31"/>
      <c r="N1407" s="336"/>
      <c r="O1407" s="336"/>
      <c r="P1407" s="219"/>
      <c r="Q1407" s="332"/>
      <c r="R1407" s="219"/>
      <c r="S1407" s="332"/>
      <c r="T1407" s="219"/>
      <c r="U1407" s="332"/>
      <c r="V1407" s="332"/>
      <c r="W1407" s="370"/>
      <c r="X1407" s="370"/>
      <c r="Y1407" s="370"/>
      <c r="Z1407" s="370"/>
      <c r="AA1407" s="370"/>
      <c r="AB1407" s="370"/>
      <c r="AC1407" s="370"/>
      <c r="AD1407" s="370"/>
      <c r="AE1407" s="370"/>
      <c r="AF1407" s="370"/>
      <c r="AG1407" s="370"/>
      <c r="AH1407" s="370"/>
      <c r="AI1407" s="370"/>
      <c r="AJ1407" s="370"/>
      <c r="AL1407" s="219"/>
      <c r="AM1407" s="219"/>
      <c r="AN1407" s="219"/>
      <c r="AO1407" s="116"/>
      <c r="AP1407" s="116"/>
      <c r="AU1407" s="332"/>
      <c r="AV1407" s="332"/>
      <c r="AW1407" s="332"/>
      <c r="AX1407" s="332"/>
      <c r="AY1407" s="332"/>
      <c r="AZ1407" s="332"/>
      <c r="BA1407" s="332"/>
      <c r="BB1407" s="31"/>
      <c r="BC1407" s="31"/>
      <c r="BD1407" s="31"/>
      <c r="BE1407" s="31"/>
    </row>
    <row r="1408" spans="1:57" ht="13">
      <c r="A1408" s="153"/>
      <c r="F1408" s="153"/>
      <c r="G1408" s="116"/>
      <c r="H1408" s="116"/>
      <c r="I1408" s="116"/>
      <c r="J1408" s="116"/>
      <c r="K1408" s="219"/>
      <c r="L1408" s="116"/>
      <c r="M1408" s="31"/>
      <c r="N1408" s="336"/>
      <c r="O1408" s="336"/>
      <c r="P1408" s="219"/>
      <c r="Q1408" s="332"/>
      <c r="R1408" s="219"/>
      <c r="S1408" s="332"/>
      <c r="T1408" s="219"/>
      <c r="U1408" s="332"/>
      <c r="V1408" s="332"/>
      <c r="W1408" s="370"/>
      <c r="X1408" s="370"/>
      <c r="Y1408" s="370"/>
      <c r="Z1408" s="370"/>
      <c r="AA1408" s="370"/>
      <c r="AB1408" s="370"/>
      <c r="AC1408" s="370"/>
      <c r="AD1408" s="370"/>
      <c r="AE1408" s="370"/>
      <c r="AF1408" s="370"/>
      <c r="AG1408" s="370"/>
      <c r="AH1408" s="370"/>
      <c r="AI1408" s="370"/>
      <c r="AJ1408" s="370"/>
      <c r="AL1408" s="219"/>
      <c r="AM1408" s="219"/>
      <c r="AN1408" s="219"/>
      <c r="AO1408" s="116"/>
      <c r="AP1408" s="116"/>
      <c r="AU1408" s="332"/>
      <c r="AV1408" s="332"/>
      <c r="AW1408" s="332"/>
      <c r="AX1408" s="332"/>
      <c r="AY1408" s="332"/>
      <c r="AZ1408" s="332"/>
      <c r="BA1408" s="332"/>
      <c r="BB1408" s="31"/>
      <c r="BC1408" s="31"/>
      <c r="BD1408" s="31"/>
      <c r="BE1408" s="31"/>
    </row>
    <row r="1409" spans="1:57" ht="13">
      <c r="A1409" s="153"/>
      <c r="F1409" s="153"/>
      <c r="G1409" s="116"/>
      <c r="H1409" s="116"/>
      <c r="I1409" s="116"/>
      <c r="J1409" s="116"/>
      <c r="K1409" s="219"/>
      <c r="L1409" s="116"/>
      <c r="M1409" s="31"/>
      <c r="N1409" s="336"/>
      <c r="O1409" s="336"/>
      <c r="P1409" s="219"/>
      <c r="Q1409" s="332"/>
      <c r="R1409" s="219"/>
      <c r="S1409" s="332"/>
      <c r="T1409" s="219"/>
      <c r="U1409" s="332"/>
      <c r="V1409" s="332"/>
      <c r="W1409" s="370"/>
      <c r="X1409" s="370"/>
      <c r="Y1409" s="370"/>
      <c r="Z1409" s="370"/>
      <c r="AA1409" s="370"/>
      <c r="AB1409" s="370"/>
      <c r="AC1409" s="370"/>
      <c r="AD1409" s="370"/>
      <c r="AE1409" s="370"/>
      <c r="AF1409" s="370"/>
      <c r="AG1409" s="370"/>
      <c r="AH1409" s="370"/>
      <c r="AI1409" s="370"/>
      <c r="AJ1409" s="370"/>
      <c r="AL1409" s="219"/>
      <c r="AM1409" s="219"/>
      <c r="AN1409" s="219"/>
      <c r="AO1409" s="116"/>
      <c r="AP1409" s="116"/>
      <c r="AU1409" s="332"/>
      <c r="AV1409" s="332"/>
      <c r="AW1409" s="332"/>
      <c r="AX1409" s="332"/>
      <c r="AY1409" s="332"/>
      <c r="AZ1409" s="332"/>
      <c r="BA1409" s="332"/>
      <c r="BB1409" s="31"/>
      <c r="BC1409" s="31"/>
      <c r="BD1409" s="31"/>
      <c r="BE1409" s="31"/>
    </row>
    <row r="1410" spans="1:57" ht="13">
      <c r="A1410" s="153"/>
      <c r="F1410" s="153"/>
      <c r="G1410" s="116"/>
      <c r="H1410" s="116"/>
      <c r="I1410" s="116"/>
      <c r="J1410" s="116"/>
      <c r="K1410" s="219"/>
      <c r="L1410" s="116"/>
      <c r="M1410" s="31"/>
      <c r="N1410" s="336"/>
      <c r="O1410" s="336"/>
      <c r="P1410" s="219"/>
      <c r="Q1410" s="332"/>
      <c r="R1410" s="219"/>
      <c r="S1410" s="332"/>
      <c r="T1410" s="219"/>
      <c r="U1410" s="332"/>
      <c r="V1410" s="332"/>
      <c r="W1410" s="370"/>
      <c r="X1410" s="370"/>
      <c r="Y1410" s="370"/>
      <c r="Z1410" s="370"/>
      <c r="AA1410" s="370"/>
      <c r="AB1410" s="370"/>
      <c r="AC1410" s="370"/>
      <c r="AD1410" s="370"/>
      <c r="AE1410" s="370"/>
      <c r="AF1410" s="370"/>
      <c r="AG1410" s="370"/>
      <c r="AH1410" s="370"/>
      <c r="AI1410" s="370"/>
      <c r="AJ1410" s="370"/>
      <c r="AL1410" s="219"/>
      <c r="AM1410" s="219"/>
      <c r="AN1410" s="219"/>
      <c r="AO1410" s="116"/>
      <c r="AP1410" s="116"/>
      <c r="AU1410" s="332"/>
      <c r="AV1410" s="332"/>
      <c r="AW1410" s="332"/>
      <c r="AX1410" s="332"/>
      <c r="AY1410" s="332"/>
      <c r="AZ1410" s="332"/>
      <c r="BA1410" s="332"/>
      <c r="BB1410" s="31"/>
      <c r="BC1410" s="31"/>
      <c r="BD1410" s="31"/>
      <c r="BE1410" s="31"/>
    </row>
    <row r="1411" spans="1:57" ht="13">
      <c r="A1411" s="153"/>
      <c r="F1411" s="153"/>
      <c r="G1411" s="116"/>
      <c r="H1411" s="116"/>
      <c r="I1411" s="116"/>
      <c r="J1411" s="116"/>
      <c r="K1411" s="219"/>
      <c r="L1411" s="116"/>
      <c r="M1411" s="31"/>
      <c r="N1411" s="336"/>
      <c r="O1411" s="336"/>
      <c r="P1411" s="219"/>
      <c r="Q1411" s="332"/>
      <c r="R1411" s="219"/>
      <c r="S1411" s="332"/>
      <c r="T1411" s="219"/>
      <c r="U1411" s="332"/>
      <c r="V1411" s="332"/>
      <c r="W1411" s="370"/>
      <c r="X1411" s="370"/>
      <c r="Y1411" s="370"/>
      <c r="Z1411" s="370"/>
      <c r="AA1411" s="370"/>
      <c r="AB1411" s="370"/>
      <c r="AC1411" s="370"/>
      <c r="AD1411" s="370"/>
      <c r="AE1411" s="370"/>
      <c r="AF1411" s="370"/>
      <c r="AG1411" s="370"/>
      <c r="AH1411" s="370"/>
      <c r="AI1411" s="370"/>
      <c r="AJ1411" s="370"/>
      <c r="AL1411" s="219"/>
      <c r="AM1411" s="219"/>
      <c r="AN1411" s="219"/>
      <c r="AO1411" s="116"/>
      <c r="AP1411" s="116"/>
      <c r="AU1411" s="332"/>
      <c r="AV1411" s="332"/>
      <c r="AW1411" s="332"/>
      <c r="AX1411" s="332"/>
      <c r="AY1411" s="332"/>
      <c r="AZ1411" s="332"/>
      <c r="BA1411" s="332"/>
      <c r="BB1411" s="31"/>
      <c r="BC1411" s="31"/>
      <c r="BD1411" s="31"/>
      <c r="BE1411" s="31"/>
    </row>
    <row r="1412" spans="1:57" ht="13">
      <c r="A1412" s="153"/>
      <c r="F1412" s="153"/>
      <c r="G1412" s="116"/>
      <c r="H1412" s="116"/>
      <c r="I1412" s="116"/>
      <c r="J1412" s="116"/>
      <c r="K1412" s="219"/>
      <c r="L1412" s="116"/>
      <c r="M1412" s="31"/>
      <c r="N1412" s="336"/>
      <c r="O1412" s="336"/>
      <c r="P1412" s="219"/>
      <c r="Q1412" s="332"/>
      <c r="R1412" s="219"/>
      <c r="S1412" s="332"/>
      <c r="T1412" s="219"/>
      <c r="U1412" s="332"/>
      <c r="V1412" s="332"/>
      <c r="W1412" s="370"/>
      <c r="X1412" s="370"/>
      <c r="Y1412" s="370"/>
      <c r="Z1412" s="370"/>
      <c r="AA1412" s="370"/>
      <c r="AB1412" s="370"/>
      <c r="AC1412" s="370"/>
      <c r="AD1412" s="370"/>
      <c r="AE1412" s="370"/>
      <c r="AF1412" s="370"/>
      <c r="AG1412" s="370"/>
      <c r="AH1412" s="370"/>
      <c r="AI1412" s="370"/>
      <c r="AJ1412" s="370"/>
      <c r="AL1412" s="219"/>
      <c r="AM1412" s="219"/>
      <c r="AN1412" s="219"/>
      <c r="AO1412" s="116"/>
      <c r="AP1412" s="116"/>
      <c r="AU1412" s="332"/>
      <c r="AV1412" s="332"/>
      <c r="AW1412" s="332"/>
      <c r="AX1412" s="332"/>
      <c r="AY1412" s="332"/>
      <c r="AZ1412" s="332"/>
      <c r="BA1412" s="332"/>
      <c r="BB1412" s="31"/>
      <c r="BC1412" s="31"/>
      <c r="BD1412" s="31"/>
      <c r="BE1412" s="31"/>
    </row>
    <row r="1413" spans="1:57" ht="13">
      <c r="A1413" s="153"/>
      <c r="F1413" s="153"/>
      <c r="G1413" s="116"/>
      <c r="H1413" s="116"/>
      <c r="I1413" s="116"/>
      <c r="J1413" s="116"/>
      <c r="K1413" s="219"/>
      <c r="L1413" s="116"/>
      <c r="M1413" s="31"/>
      <c r="N1413" s="336"/>
      <c r="O1413" s="336"/>
      <c r="P1413" s="219"/>
      <c r="Q1413" s="332"/>
      <c r="R1413" s="219"/>
      <c r="S1413" s="332"/>
      <c r="T1413" s="219"/>
      <c r="U1413" s="332"/>
      <c r="V1413" s="332"/>
      <c r="W1413" s="370"/>
      <c r="X1413" s="370"/>
      <c r="Y1413" s="370"/>
      <c r="Z1413" s="370"/>
      <c r="AA1413" s="370"/>
      <c r="AB1413" s="370"/>
      <c r="AC1413" s="370"/>
      <c r="AD1413" s="370"/>
      <c r="AE1413" s="370"/>
      <c r="AF1413" s="370"/>
      <c r="AG1413" s="370"/>
      <c r="AH1413" s="370"/>
      <c r="AI1413" s="370"/>
      <c r="AJ1413" s="370"/>
      <c r="AL1413" s="219"/>
      <c r="AM1413" s="219"/>
      <c r="AN1413" s="219"/>
      <c r="AO1413" s="116"/>
      <c r="AP1413" s="116"/>
      <c r="AU1413" s="332"/>
      <c r="AV1413" s="332"/>
      <c r="AW1413" s="332"/>
      <c r="AX1413" s="332"/>
      <c r="AY1413" s="332"/>
      <c r="AZ1413" s="332"/>
      <c r="BA1413" s="332"/>
      <c r="BB1413" s="31"/>
      <c r="BC1413" s="31"/>
      <c r="BD1413" s="31"/>
      <c r="BE1413" s="31"/>
    </row>
    <row r="1414" spans="1:57" ht="13">
      <c r="A1414" s="153"/>
      <c r="F1414" s="153"/>
      <c r="G1414" s="116"/>
      <c r="H1414" s="116"/>
      <c r="I1414" s="116"/>
      <c r="J1414" s="116"/>
      <c r="K1414" s="219"/>
      <c r="L1414" s="116"/>
      <c r="M1414" s="31"/>
      <c r="N1414" s="336"/>
      <c r="O1414" s="336"/>
      <c r="P1414" s="219"/>
      <c r="Q1414" s="332"/>
      <c r="R1414" s="219"/>
      <c r="S1414" s="332"/>
      <c r="T1414" s="219"/>
      <c r="U1414" s="332"/>
      <c r="V1414" s="332"/>
      <c r="W1414" s="370"/>
      <c r="X1414" s="370"/>
      <c r="Y1414" s="370"/>
      <c r="Z1414" s="370"/>
      <c r="AA1414" s="370"/>
      <c r="AB1414" s="370"/>
      <c r="AC1414" s="370"/>
      <c r="AD1414" s="370"/>
      <c r="AE1414" s="370"/>
      <c r="AF1414" s="370"/>
      <c r="AG1414" s="370"/>
      <c r="AH1414" s="370"/>
      <c r="AI1414" s="370"/>
      <c r="AJ1414" s="370"/>
      <c r="AL1414" s="219"/>
      <c r="AM1414" s="219"/>
      <c r="AN1414" s="219"/>
      <c r="AO1414" s="116"/>
      <c r="AP1414" s="116"/>
      <c r="AU1414" s="332"/>
      <c r="AV1414" s="332"/>
      <c r="AW1414" s="332"/>
      <c r="AX1414" s="332"/>
      <c r="AY1414" s="332"/>
      <c r="AZ1414" s="332"/>
      <c r="BA1414" s="332"/>
      <c r="BB1414" s="31"/>
      <c r="BC1414" s="31"/>
      <c r="BD1414" s="31"/>
      <c r="BE1414" s="31"/>
    </row>
    <row r="1415" spans="1:57" ht="13">
      <c r="A1415" s="153"/>
      <c r="F1415" s="153"/>
      <c r="G1415" s="116"/>
      <c r="H1415" s="116"/>
      <c r="I1415" s="116"/>
      <c r="J1415" s="116"/>
      <c r="K1415" s="219"/>
      <c r="L1415" s="116"/>
      <c r="M1415" s="31"/>
      <c r="N1415" s="336"/>
      <c r="O1415" s="336"/>
      <c r="P1415" s="219"/>
      <c r="Q1415" s="332"/>
      <c r="R1415" s="219"/>
      <c r="S1415" s="332"/>
      <c r="T1415" s="219"/>
      <c r="U1415" s="332"/>
      <c r="V1415" s="332"/>
      <c r="W1415" s="370"/>
      <c r="X1415" s="370"/>
      <c r="Y1415" s="370"/>
      <c r="Z1415" s="370"/>
      <c r="AA1415" s="370"/>
      <c r="AB1415" s="370"/>
      <c r="AC1415" s="370"/>
      <c r="AD1415" s="370"/>
      <c r="AE1415" s="370"/>
      <c r="AF1415" s="370"/>
      <c r="AG1415" s="370"/>
      <c r="AH1415" s="370"/>
      <c r="AI1415" s="370"/>
      <c r="AJ1415" s="370"/>
      <c r="AL1415" s="219"/>
      <c r="AM1415" s="219"/>
      <c r="AN1415" s="219"/>
      <c r="AO1415" s="116"/>
      <c r="AP1415" s="116"/>
      <c r="AU1415" s="332"/>
      <c r="AV1415" s="332"/>
      <c r="AW1415" s="332"/>
      <c r="AX1415" s="332"/>
      <c r="AY1415" s="332"/>
      <c r="AZ1415" s="332"/>
      <c r="BA1415" s="332"/>
      <c r="BB1415" s="31"/>
      <c r="BC1415" s="31"/>
      <c r="BD1415" s="31"/>
      <c r="BE1415" s="31"/>
    </row>
    <row r="1416" spans="1:57" ht="13">
      <c r="A1416" s="153"/>
      <c r="F1416" s="153"/>
      <c r="G1416" s="116"/>
      <c r="H1416" s="116"/>
      <c r="I1416" s="116"/>
      <c r="J1416" s="116"/>
      <c r="K1416" s="219"/>
      <c r="L1416" s="116"/>
      <c r="M1416" s="31"/>
      <c r="N1416" s="336"/>
      <c r="O1416" s="336"/>
      <c r="P1416" s="219"/>
      <c r="Q1416" s="332"/>
      <c r="R1416" s="219"/>
      <c r="S1416" s="332"/>
      <c r="T1416" s="219"/>
      <c r="U1416" s="332"/>
      <c r="V1416" s="332"/>
      <c r="W1416" s="370"/>
      <c r="X1416" s="370"/>
      <c r="Y1416" s="370"/>
      <c r="Z1416" s="370"/>
      <c r="AA1416" s="370"/>
      <c r="AB1416" s="370"/>
      <c r="AC1416" s="370"/>
      <c r="AD1416" s="370"/>
      <c r="AE1416" s="370"/>
      <c r="AF1416" s="370"/>
      <c r="AG1416" s="370"/>
      <c r="AH1416" s="370"/>
      <c r="AI1416" s="370"/>
      <c r="AJ1416" s="370"/>
      <c r="AL1416" s="219"/>
      <c r="AM1416" s="219"/>
      <c r="AN1416" s="219"/>
      <c r="AO1416" s="116"/>
      <c r="AP1416" s="116"/>
      <c r="AU1416" s="332"/>
      <c r="AV1416" s="332"/>
      <c r="AW1416" s="332"/>
      <c r="AX1416" s="332"/>
      <c r="AY1416" s="332"/>
      <c r="AZ1416" s="332"/>
      <c r="BA1416" s="332"/>
      <c r="BB1416" s="31"/>
      <c r="BC1416" s="31"/>
      <c r="BD1416" s="31"/>
      <c r="BE1416" s="31"/>
    </row>
    <row r="1417" spans="1:57" ht="13">
      <c r="A1417" s="153"/>
      <c r="F1417" s="153"/>
      <c r="G1417" s="116"/>
      <c r="H1417" s="116"/>
      <c r="I1417" s="116"/>
      <c r="J1417" s="116"/>
      <c r="K1417" s="219"/>
      <c r="L1417" s="116"/>
      <c r="M1417" s="31"/>
      <c r="N1417" s="336"/>
      <c r="O1417" s="336"/>
      <c r="P1417" s="219"/>
      <c r="Q1417" s="332"/>
      <c r="R1417" s="219"/>
      <c r="S1417" s="332"/>
      <c r="T1417" s="219"/>
      <c r="U1417" s="332"/>
      <c r="V1417" s="332"/>
      <c r="W1417" s="370"/>
      <c r="X1417" s="370"/>
      <c r="Y1417" s="370"/>
      <c r="Z1417" s="370"/>
      <c r="AA1417" s="370"/>
      <c r="AB1417" s="370"/>
      <c r="AC1417" s="370"/>
      <c r="AD1417" s="370"/>
      <c r="AE1417" s="370"/>
      <c r="AF1417" s="370"/>
      <c r="AG1417" s="370"/>
      <c r="AH1417" s="370"/>
      <c r="AI1417" s="370"/>
      <c r="AJ1417" s="370"/>
      <c r="AL1417" s="219"/>
      <c r="AM1417" s="219"/>
      <c r="AN1417" s="219"/>
      <c r="AO1417" s="116"/>
      <c r="AP1417" s="116"/>
      <c r="AU1417" s="332"/>
      <c r="AV1417" s="332"/>
      <c r="AW1417" s="332"/>
      <c r="AX1417" s="332"/>
      <c r="AY1417" s="332"/>
      <c r="AZ1417" s="332"/>
      <c r="BA1417" s="332"/>
      <c r="BB1417" s="31"/>
      <c r="BC1417" s="31"/>
      <c r="BD1417" s="31"/>
      <c r="BE1417" s="31"/>
    </row>
    <row r="1418" spans="1:57" ht="13">
      <c r="A1418" s="153"/>
      <c r="F1418" s="153"/>
      <c r="G1418" s="116"/>
      <c r="H1418" s="116"/>
      <c r="I1418" s="116"/>
      <c r="J1418" s="116"/>
      <c r="K1418" s="219"/>
      <c r="L1418" s="116"/>
      <c r="M1418" s="31"/>
      <c r="N1418" s="336"/>
      <c r="O1418" s="336"/>
      <c r="P1418" s="219"/>
      <c r="Q1418" s="332"/>
      <c r="R1418" s="219"/>
      <c r="S1418" s="332"/>
      <c r="T1418" s="219"/>
      <c r="U1418" s="332"/>
      <c r="V1418" s="332"/>
      <c r="W1418" s="370"/>
      <c r="X1418" s="370"/>
      <c r="Y1418" s="370"/>
      <c r="Z1418" s="370"/>
      <c r="AA1418" s="370"/>
      <c r="AB1418" s="370"/>
      <c r="AC1418" s="370"/>
      <c r="AD1418" s="370"/>
      <c r="AE1418" s="370"/>
      <c r="AF1418" s="370"/>
      <c r="AG1418" s="370"/>
      <c r="AH1418" s="370"/>
      <c r="AI1418" s="370"/>
      <c r="AJ1418" s="370"/>
      <c r="AL1418" s="219"/>
      <c r="AM1418" s="219"/>
      <c r="AN1418" s="219"/>
      <c r="AO1418" s="116"/>
      <c r="AP1418" s="116"/>
      <c r="AU1418" s="332"/>
      <c r="AV1418" s="332"/>
      <c r="AW1418" s="332"/>
      <c r="AX1418" s="332"/>
      <c r="AY1418" s="332"/>
      <c r="AZ1418" s="332"/>
      <c r="BA1418" s="332"/>
      <c r="BB1418" s="31"/>
      <c r="BC1418" s="31"/>
      <c r="BD1418" s="31"/>
      <c r="BE1418" s="31"/>
    </row>
    <row r="1419" spans="1:57" ht="13">
      <c r="A1419" s="153"/>
      <c r="F1419" s="153"/>
      <c r="G1419" s="116"/>
      <c r="H1419" s="116"/>
      <c r="I1419" s="116"/>
      <c r="J1419" s="116"/>
      <c r="K1419" s="219"/>
      <c r="L1419" s="116"/>
      <c r="M1419" s="31"/>
      <c r="N1419" s="336"/>
      <c r="O1419" s="336"/>
      <c r="P1419" s="219"/>
      <c r="Q1419" s="332"/>
      <c r="R1419" s="219"/>
      <c r="S1419" s="332"/>
      <c r="T1419" s="219"/>
      <c r="U1419" s="332"/>
      <c r="V1419" s="332"/>
      <c r="W1419" s="370"/>
      <c r="X1419" s="370"/>
      <c r="Y1419" s="370"/>
      <c r="Z1419" s="370"/>
      <c r="AA1419" s="370"/>
      <c r="AB1419" s="370"/>
      <c r="AC1419" s="370"/>
      <c r="AD1419" s="370"/>
      <c r="AE1419" s="370"/>
      <c r="AF1419" s="370"/>
      <c r="AG1419" s="370"/>
      <c r="AH1419" s="370"/>
      <c r="AI1419" s="370"/>
      <c r="AJ1419" s="370"/>
      <c r="AL1419" s="219"/>
      <c r="AM1419" s="219"/>
      <c r="AN1419" s="219"/>
      <c r="AO1419" s="116"/>
      <c r="AP1419" s="116"/>
      <c r="AU1419" s="332"/>
      <c r="AV1419" s="332"/>
      <c r="AW1419" s="332"/>
      <c r="AX1419" s="332"/>
      <c r="AY1419" s="332"/>
      <c r="AZ1419" s="332"/>
      <c r="BA1419" s="332"/>
      <c r="BB1419" s="31"/>
      <c r="BC1419" s="31"/>
      <c r="BD1419" s="31"/>
      <c r="BE1419" s="31"/>
    </row>
    <row r="1420" spans="1:57" ht="13">
      <c r="A1420" s="153"/>
      <c r="F1420" s="153"/>
      <c r="G1420" s="116"/>
      <c r="H1420" s="116"/>
      <c r="I1420" s="116"/>
      <c r="J1420" s="116"/>
      <c r="K1420" s="219"/>
      <c r="L1420" s="116"/>
      <c r="M1420" s="31"/>
      <c r="N1420" s="336"/>
      <c r="O1420" s="336"/>
      <c r="P1420" s="219"/>
      <c r="Q1420" s="332"/>
      <c r="R1420" s="219"/>
      <c r="S1420" s="332"/>
      <c r="T1420" s="219"/>
      <c r="U1420" s="332"/>
      <c r="V1420" s="332"/>
      <c r="W1420" s="370"/>
      <c r="X1420" s="370"/>
      <c r="Y1420" s="370"/>
      <c r="Z1420" s="370"/>
      <c r="AA1420" s="370"/>
      <c r="AB1420" s="370"/>
      <c r="AC1420" s="370"/>
      <c r="AD1420" s="370"/>
      <c r="AE1420" s="370"/>
      <c r="AF1420" s="370"/>
      <c r="AG1420" s="370"/>
      <c r="AH1420" s="370"/>
      <c r="AI1420" s="370"/>
      <c r="AJ1420" s="370"/>
      <c r="AL1420" s="219"/>
      <c r="AM1420" s="219"/>
      <c r="AN1420" s="219"/>
      <c r="AO1420" s="116"/>
      <c r="AP1420" s="116"/>
      <c r="AU1420" s="332"/>
      <c r="AV1420" s="332"/>
      <c r="AW1420" s="332"/>
      <c r="AX1420" s="332"/>
      <c r="AY1420" s="332"/>
      <c r="AZ1420" s="332"/>
      <c r="BA1420" s="332"/>
      <c r="BB1420" s="31"/>
      <c r="BC1420" s="31"/>
      <c r="BD1420" s="31"/>
      <c r="BE1420" s="31"/>
    </row>
    <row r="1421" spans="1:57" ht="13">
      <c r="A1421" s="153"/>
      <c r="F1421" s="153"/>
      <c r="G1421" s="116"/>
      <c r="H1421" s="116"/>
      <c r="I1421" s="116"/>
      <c r="J1421" s="116"/>
      <c r="K1421" s="219"/>
      <c r="L1421" s="116"/>
      <c r="M1421" s="31"/>
      <c r="N1421" s="336"/>
      <c r="O1421" s="336"/>
      <c r="P1421" s="219"/>
      <c r="Q1421" s="332"/>
      <c r="R1421" s="219"/>
      <c r="S1421" s="332"/>
      <c r="T1421" s="219"/>
      <c r="U1421" s="332"/>
      <c r="V1421" s="332"/>
      <c r="W1421" s="370"/>
      <c r="X1421" s="370"/>
      <c r="Y1421" s="370"/>
      <c r="Z1421" s="370"/>
      <c r="AA1421" s="370"/>
      <c r="AB1421" s="370"/>
      <c r="AC1421" s="370"/>
      <c r="AD1421" s="370"/>
      <c r="AE1421" s="370"/>
      <c r="AF1421" s="370"/>
      <c r="AG1421" s="370"/>
      <c r="AH1421" s="370"/>
      <c r="AI1421" s="370"/>
      <c r="AJ1421" s="370"/>
      <c r="AL1421" s="219"/>
      <c r="AM1421" s="219"/>
      <c r="AN1421" s="219"/>
      <c r="AO1421" s="116"/>
      <c r="AP1421" s="116"/>
      <c r="AU1421" s="332"/>
      <c r="AV1421" s="332"/>
      <c r="AW1421" s="332"/>
      <c r="AX1421" s="332"/>
      <c r="AY1421" s="332"/>
      <c r="AZ1421" s="332"/>
      <c r="BA1421" s="332"/>
      <c r="BB1421" s="31"/>
      <c r="BC1421" s="31"/>
      <c r="BD1421" s="31"/>
      <c r="BE1421" s="31"/>
    </row>
    <row r="1422" spans="1:57" ht="13">
      <c r="A1422" s="153"/>
      <c r="F1422" s="153"/>
      <c r="G1422" s="116"/>
      <c r="H1422" s="116"/>
      <c r="I1422" s="116"/>
      <c r="J1422" s="116"/>
      <c r="K1422" s="219"/>
      <c r="L1422" s="116"/>
      <c r="M1422" s="31"/>
      <c r="N1422" s="336"/>
      <c r="O1422" s="336"/>
      <c r="P1422" s="219"/>
      <c r="Q1422" s="332"/>
      <c r="R1422" s="219"/>
      <c r="S1422" s="332"/>
      <c r="T1422" s="219"/>
      <c r="U1422" s="332"/>
      <c r="V1422" s="332"/>
      <c r="W1422" s="370"/>
      <c r="X1422" s="370"/>
      <c r="Y1422" s="370"/>
      <c r="Z1422" s="370"/>
      <c r="AA1422" s="370"/>
      <c r="AB1422" s="370"/>
      <c r="AC1422" s="370"/>
      <c r="AD1422" s="370"/>
      <c r="AE1422" s="370"/>
      <c r="AF1422" s="370"/>
      <c r="AG1422" s="370"/>
      <c r="AH1422" s="370"/>
      <c r="AI1422" s="370"/>
      <c r="AJ1422" s="370"/>
      <c r="AL1422" s="219"/>
      <c r="AM1422" s="219"/>
      <c r="AN1422" s="219"/>
      <c r="AO1422" s="116"/>
      <c r="AP1422" s="116"/>
      <c r="AU1422" s="332"/>
      <c r="AV1422" s="332"/>
      <c r="AW1422" s="332"/>
      <c r="AX1422" s="332"/>
      <c r="AY1422" s="332"/>
      <c r="AZ1422" s="332"/>
      <c r="BA1422" s="332"/>
      <c r="BB1422" s="31"/>
      <c r="BC1422" s="31"/>
      <c r="BD1422" s="31"/>
      <c r="BE1422" s="31"/>
    </row>
    <row r="1423" spans="1:57" ht="13">
      <c r="A1423" s="153"/>
      <c r="F1423" s="153"/>
      <c r="G1423" s="116"/>
      <c r="H1423" s="116"/>
      <c r="I1423" s="116"/>
      <c r="J1423" s="116"/>
      <c r="K1423" s="219"/>
      <c r="L1423" s="116"/>
      <c r="M1423" s="31"/>
      <c r="N1423" s="336"/>
      <c r="O1423" s="336"/>
      <c r="P1423" s="219"/>
      <c r="Q1423" s="332"/>
      <c r="R1423" s="219"/>
      <c r="S1423" s="332"/>
      <c r="T1423" s="219"/>
      <c r="U1423" s="332"/>
      <c r="V1423" s="332"/>
      <c r="W1423" s="370"/>
      <c r="X1423" s="370"/>
      <c r="Y1423" s="370"/>
      <c r="Z1423" s="370"/>
      <c r="AA1423" s="370"/>
      <c r="AB1423" s="370"/>
      <c r="AC1423" s="370"/>
      <c r="AD1423" s="370"/>
      <c r="AE1423" s="370"/>
      <c r="AF1423" s="370"/>
      <c r="AG1423" s="370"/>
      <c r="AH1423" s="370"/>
      <c r="AI1423" s="370"/>
      <c r="AJ1423" s="370"/>
      <c r="AL1423" s="219"/>
      <c r="AM1423" s="219"/>
      <c r="AN1423" s="219"/>
      <c r="AO1423" s="116"/>
      <c r="AP1423" s="116"/>
      <c r="AU1423" s="332"/>
      <c r="AV1423" s="332"/>
      <c r="AW1423" s="332"/>
      <c r="AX1423" s="332"/>
      <c r="AY1423" s="332"/>
      <c r="AZ1423" s="332"/>
      <c r="BA1423" s="332"/>
      <c r="BB1423" s="31"/>
      <c r="BC1423" s="31"/>
      <c r="BD1423" s="31"/>
      <c r="BE1423" s="31"/>
    </row>
    <row r="1424" spans="1:57" ht="13">
      <c r="A1424" s="153"/>
      <c r="F1424" s="153"/>
      <c r="G1424" s="116"/>
      <c r="H1424" s="116"/>
      <c r="I1424" s="116"/>
      <c r="J1424" s="116"/>
      <c r="K1424" s="219"/>
      <c r="L1424" s="116"/>
      <c r="M1424" s="31"/>
      <c r="N1424" s="336"/>
      <c r="O1424" s="336"/>
      <c r="P1424" s="219"/>
      <c r="Q1424" s="332"/>
      <c r="R1424" s="219"/>
      <c r="S1424" s="332"/>
      <c r="T1424" s="219"/>
      <c r="U1424" s="332"/>
      <c r="V1424" s="332"/>
      <c r="W1424" s="370"/>
      <c r="X1424" s="370"/>
      <c r="Y1424" s="370"/>
      <c r="Z1424" s="370"/>
      <c r="AA1424" s="370"/>
      <c r="AB1424" s="370"/>
      <c r="AC1424" s="370"/>
      <c r="AD1424" s="370"/>
      <c r="AE1424" s="370"/>
      <c r="AF1424" s="370"/>
      <c r="AG1424" s="370"/>
      <c r="AH1424" s="370"/>
      <c r="AI1424" s="370"/>
      <c r="AJ1424" s="370"/>
      <c r="AL1424" s="219"/>
      <c r="AM1424" s="219"/>
      <c r="AN1424" s="219"/>
      <c r="AO1424" s="116"/>
      <c r="AP1424" s="116"/>
      <c r="AU1424" s="332"/>
      <c r="AV1424" s="332"/>
      <c r="AW1424" s="332"/>
      <c r="AX1424" s="332"/>
      <c r="AY1424" s="332"/>
      <c r="AZ1424" s="332"/>
      <c r="BA1424" s="332"/>
      <c r="BB1424" s="31"/>
      <c r="BC1424" s="31"/>
      <c r="BD1424" s="31"/>
      <c r="BE1424" s="31"/>
    </row>
    <row r="1425" spans="1:57" ht="13">
      <c r="A1425" s="153"/>
      <c r="F1425" s="153"/>
      <c r="G1425" s="116"/>
      <c r="H1425" s="116"/>
      <c r="I1425" s="116"/>
      <c r="J1425" s="116"/>
      <c r="K1425" s="219"/>
      <c r="L1425" s="116"/>
      <c r="M1425" s="31"/>
      <c r="N1425" s="336"/>
      <c r="O1425" s="336"/>
      <c r="P1425" s="219"/>
      <c r="Q1425" s="332"/>
      <c r="R1425" s="219"/>
      <c r="S1425" s="332"/>
      <c r="T1425" s="219"/>
      <c r="U1425" s="332"/>
      <c r="V1425" s="332"/>
      <c r="W1425" s="370"/>
      <c r="X1425" s="370"/>
      <c r="Y1425" s="370"/>
      <c r="Z1425" s="370"/>
      <c r="AA1425" s="370"/>
      <c r="AB1425" s="370"/>
      <c r="AC1425" s="370"/>
      <c r="AD1425" s="370"/>
      <c r="AE1425" s="370"/>
      <c r="AF1425" s="370"/>
      <c r="AG1425" s="370"/>
      <c r="AH1425" s="370"/>
      <c r="AI1425" s="370"/>
      <c r="AJ1425" s="370"/>
      <c r="AL1425" s="219"/>
      <c r="AM1425" s="219"/>
      <c r="AN1425" s="219"/>
      <c r="AO1425" s="116"/>
      <c r="AP1425" s="116"/>
      <c r="AU1425" s="332"/>
      <c r="AV1425" s="332"/>
      <c r="AW1425" s="332"/>
      <c r="AX1425" s="332"/>
      <c r="AY1425" s="332"/>
      <c r="AZ1425" s="332"/>
      <c r="BA1425" s="332"/>
      <c r="BB1425" s="31"/>
      <c r="BC1425" s="31"/>
      <c r="BD1425" s="31"/>
      <c r="BE1425" s="31"/>
    </row>
    <row r="1426" spans="1:57" ht="13">
      <c r="A1426" s="153"/>
      <c r="F1426" s="153"/>
      <c r="G1426" s="116"/>
      <c r="H1426" s="116"/>
      <c r="I1426" s="116"/>
      <c r="J1426" s="116"/>
      <c r="K1426" s="219"/>
      <c r="L1426" s="116"/>
      <c r="M1426" s="31"/>
      <c r="N1426" s="336"/>
      <c r="O1426" s="336"/>
      <c r="P1426" s="219"/>
      <c r="Q1426" s="332"/>
      <c r="R1426" s="219"/>
      <c r="S1426" s="332"/>
      <c r="T1426" s="219"/>
      <c r="U1426" s="332"/>
      <c r="V1426" s="332"/>
      <c r="W1426" s="370"/>
      <c r="X1426" s="370"/>
      <c r="Y1426" s="370"/>
      <c r="Z1426" s="370"/>
      <c r="AA1426" s="370"/>
      <c r="AB1426" s="370"/>
      <c r="AC1426" s="370"/>
      <c r="AD1426" s="370"/>
      <c r="AE1426" s="370"/>
      <c r="AF1426" s="370"/>
      <c r="AG1426" s="370"/>
      <c r="AH1426" s="370"/>
      <c r="AI1426" s="370"/>
      <c r="AJ1426" s="370"/>
      <c r="AL1426" s="219"/>
      <c r="AM1426" s="219"/>
      <c r="AN1426" s="219"/>
      <c r="AO1426" s="116"/>
      <c r="AP1426" s="116"/>
      <c r="AU1426" s="332"/>
      <c r="AV1426" s="332"/>
      <c r="AW1426" s="332"/>
      <c r="AX1426" s="332"/>
      <c r="AY1426" s="332"/>
      <c r="AZ1426" s="332"/>
      <c r="BA1426" s="332"/>
      <c r="BB1426" s="31"/>
      <c r="BC1426" s="31"/>
      <c r="BD1426" s="31"/>
      <c r="BE1426" s="31"/>
    </row>
    <row r="1427" spans="1:57" ht="13">
      <c r="A1427" s="153"/>
      <c r="F1427" s="153"/>
      <c r="G1427" s="116"/>
      <c r="H1427" s="116"/>
      <c r="I1427" s="116"/>
      <c r="J1427" s="116"/>
      <c r="K1427" s="219"/>
      <c r="L1427" s="116"/>
      <c r="M1427" s="31"/>
      <c r="N1427" s="336"/>
      <c r="O1427" s="336"/>
      <c r="P1427" s="219"/>
      <c r="Q1427" s="332"/>
      <c r="R1427" s="219"/>
      <c r="S1427" s="332"/>
      <c r="T1427" s="219"/>
      <c r="U1427" s="332"/>
      <c r="V1427" s="332"/>
      <c r="W1427" s="370"/>
      <c r="X1427" s="370"/>
      <c r="Y1427" s="370"/>
      <c r="Z1427" s="370"/>
      <c r="AA1427" s="370"/>
      <c r="AB1427" s="370"/>
      <c r="AC1427" s="370"/>
      <c r="AD1427" s="370"/>
      <c r="AE1427" s="370"/>
      <c r="AF1427" s="370"/>
      <c r="AG1427" s="370"/>
      <c r="AH1427" s="370"/>
      <c r="AI1427" s="370"/>
      <c r="AJ1427" s="370"/>
      <c r="AL1427" s="219"/>
      <c r="AM1427" s="219"/>
      <c r="AN1427" s="219"/>
      <c r="AO1427" s="116"/>
      <c r="AP1427" s="116"/>
      <c r="AU1427" s="332"/>
      <c r="AV1427" s="332"/>
      <c r="AW1427" s="332"/>
      <c r="AX1427" s="332"/>
      <c r="AY1427" s="332"/>
      <c r="AZ1427" s="332"/>
      <c r="BA1427" s="332"/>
      <c r="BB1427" s="31"/>
      <c r="BC1427" s="31"/>
      <c r="BD1427" s="31"/>
      <c r="BE1427" s="31"/>
    </row>
    <row r="1428" spans="1:57" ht="13">
      <c r="A1428" s="153"/>
      <c r="F1428" s="153"/>
      <c r="G1428" s="116"/>
      <c r="H1428" s="116"/>
      <c r="I1428" s="116"/>
      <c r="J1428" s="116"/>
      <c r="K1428" s="219"/>
      <c r="L1428" s="116"/>
      <c r="M1428" s="31"/>
      <c r="N1428" s="336"/>
      <c r="O1428" s="336"/>
      <c r="P1428" s="219"/>
      <c r="Q1428" s="332"/>
      <c r="R1428" s="219"/>
      <c r="S1428" s="332"/>
      <c r="T1428" s="219"/>
      <c r="U1428" s="332"/>
      <c r="V1428" s="332"/>
      <c r="W1428" s="370"/>
      <c r="X1428" s="370"/>
      <c r="Y1428" s="370"/>
      <c r="Z1428" s="370"/>
      <c r="AA1428" s="370"/>
      <c r="AB1428" s="370"/>
      <c r="AC1428" s="370"/>
      <c r="AD1428" s="370"/>
      <c r="AE1428" s="370"/>
      <c r="AF1428" s="370"/>
      <c r="AG1428" s="370"/>
      <c r="AH1428" s="370"/>
      <c r="AI1428" s="370"/>
      <c r="AJ1428" s="370"/>
      <c r="AL1428" s="219"/>
      <c r="AM1428" s="219"/>
      <c r="AN1428" s="219"/>
      <c r="AO1428" s="116"/>
      <c r="AP1428" s="116"/>
      <c r="AU1428" s="332"/>
      <c r="AV1428" s="332"/>
      <c r="AW1428" s="332"/>
      <c r="AX1428" s="332"/>
      <c r="AY1428" s="332"/>
      <c r="AZ1428" s="332"/>
      <c r="BA1428" s="332"/>
      <c r="BB1428" s="31"/>
      <c r="BC1428" s="31"/>
      <c r="BD1428" s="31"/>
      <c r="BE1428" s="31"/>
    </row>
    <row r="1429" spans="1:57" ht="13">
      <c r="A1429" s="153"/>
      <c r="F1429" s="153"/>
      <c r="G1429" s="116"/>
      <c r="H1429" s="116"/>
      <c r="I1429" s="116"/>
      <c r="J1429" s="116"/>
      <c r="K1429" s="219"/>
      <c r="L1429" s="116"/>
      <c r="M1429" s="31"/>
      <c r="N1429" s="336"/>
      <c r="O1429" s="336"/>
      <c r="P1429" s="219"/>
      <c r="Q1429" s="332"/>
      <c r="R1429" s="219"/>
      <c r="S1429" s="332"/>
      <c r="T1429" s="219"/>
      <c r="U1429" s="332"/>
      <c r="V1429" s="332"/>
      <c r="W1429" s="370"/>
      <c r="X1429" s="370"/>
      <c r="Y1429" s="370"/>
      <c r="Z1429" s="370"/>
      <c r="AA1429" s="370"/>
      <c r="AB1429" s="370"/>
      <c r="AC1429" s="370"/>
      <c r="AD1429" s="370"/>
      <c r="AE1429" s="370"/>
      <c r="AF1429" s="370"/>
      <c r="AG1429" s="370"/>
      <c r="AH1429" s="370"/>
      <c r="AI1429" s="370"/>
      <c r="AJ1429" s="370"/>
      <c r="AL1429" s="219"/>
      <c r="AM1429" s="219"/>
      <c r="AN1429" s="219"/>
      <c r="AO1429" s="116"/>
      <c r="AP1429" s="116"/>
      <c r="AU1429" s="332"/>
      <c r="AV1429" s="332"/>
      <c r="AW1429" s="332"/>
      <c r="AX1429" s="332"/>
      <c r="AY1429" s="332"/>
      <c r="AZ1429" s="332"/>
      <c r="BA1429" s="332"/>
      <c r="BB1429" s="31"/>
      <c r="BC1429" s="31"/>
      <c r="BD1429" s="31"/>
      <c r="BE1429" s="31"/>
    </row>
    <row r="1430" spans="1:57" ht="13">
      <c r="A1430" s="153"/>
      <c r="F1430" s="153"/>
      <c r="G1430" s="116"/>
      <c r="H1430" s="116"/>
      <c r="I1430" s="116"/>
      <c r="J1430" s="116"/>
      <c r="K1430" s="219"/>
      <c r="L1430" s="116"/>
      <c r="M1430" s="31"/>
      <c r="N1430" s="336"/>
      <c r="O1430" s="336"/>
      <c r="P1430" s="219"/>
      <c r="Q1430" s="332"/>
      <c r="R1430" s="219"/>
      <c r="S1430" s="332"/>
      <c r="T1430" s="219"/>
      <c r="U1430" s="332"/>
      <c r="V1430" s="332"/>
      <c r="W1430" s="370"/>
      <c r="X1430" s="370"/>
      <c r="Y1430" s="370"/>
      <c r="Z1430" s="370"/>
      <c r="AA1430" s="370"/>
      <c r="AB1430" s="370"/>
      <c r="AC1430" s="370"/>
      <c r="AD1430" s="370"/>
      <c r="AE1430" s="370"/>
      <c r="AF1430" s="370"/>
      <c r="AG1430" s="370"/>
      <c r="AH1430" s="370"/>
      <c r="AI1430" s="370"/>
      <c r="AJ1430" s="370"/>
      <c r="AL1430" s="219"/>
      <c r="AM1430" s="219"/>
      <c r="AN1430" s="219"/>
      <c r="AO1430" s="116"/>
      <c r="AP1430" s="116"/>
      <c r="AU1430" s="332"/>
      <c r="AV1430" s="332"/>
      <c r="AW1430" s="332"/>
      <c r="AX1430" s="332"/>
      <c r="AY1430" s="332"/>
      <c r="AZ1430" s="332"/>
      <c r="BA1430" s="332"/>
      <c r="BB1430" s="31"/>
      <c r="BC1430" s="31"/>
      <c r="BD1430" s="31"/>
      <c r="BE1430" s="31"/>
    </row>
    <row r="1431" spans="1:57" ht="13">
      <c r="A1431" s="153"/>
      <c r="F1431" s="153"/>
      <c r="G1431" s="116"/>
      <c r="H1431" s="116"/>
      <c r="I1431" s="116"/>
      <c r="J1431" s="116"/>
      <c r="K1431" s="219"/>
      <c r="L1431" s="116"/>
      <c r="M1431" s="31"/>
      <c r="N1431" s="336"/>
      <c r="O1431" s="336"/>
      <c r="P1431" s="219"/>
      <c r="Q1431" s="332"/>
      <c r="R1431" s="219"/>
      <c r="S1431" s="332"/>
      <c r="T1431" s="219"/>
      <c r="U1431" s="332"/>
      <c r="V1431" s="332"/>
      <c r="W1431" s="370"/>
      <c r="X1431" s="370"/>
      <c r="Y1431" s="370"/>
      <c r="Z1431" s="370"/>
      <c r="AA1431" s="370"/>
      <c r="AB1431" s="370"/>
      <c r="AC1431" s="370"/>
      <c r="AD1431" s="370"/>
      <c r="AE1431" s="370"/>
      <c r="AF1431" s="370"/>
      <c r="AG1431" s="370"/>
      <c r="AH1431" s="370"/>
      <c r="AI1431" s="370"/>
      <c r="AJ1431" s="370"/>
      <c r="AL1431" s="219"/>
      <c r="AM1431" s="219"/>
      <c r="AN1431" s="219"/>
      <c r="AO1431" s="116"/>
      <c r="AP1431" s="116"/>
      <c r="AU1431" s="332"/>
      <c r="AV1431" s="332"/>
      <c r="AW1431" s="332"/>
      <c r="AX1431" s="332"/>
      <c r="AY1431" s="332"/>
      <c r="AZ1431" s="332"/>
      <c r="BA1431" s="332"/>
      <c r="BB1431" s="31"/>
      <c r="BC1431" s="31"/>
      <c r="BD1431" s="31"/>
      <c r="BE1431" s="31"/>
    </row>
    <row r="1432" spans="1:57" ht="13">
      <c r="A1432" s="153"/>
      <c r="F1432" s="153"/>
      <c r="G1432" s="116"/>
      <c r="H1432" s="116"/>
      <c r="I1432" s="116"/>
      <c r="J1432" s="116"/>
      <c r="K1432" s="219"/>
      <c r="L1432" s="116"/>
      <c r="M1432" s="31"/>
      <c r="N1432" s="336"/>
      <c r="O1432" s="336"/>
      <c r="P1432" s="219"/>
      <c r="Q1432" s="332"/>
      <c r="R1432" s="219"/>
      <c r="S1432" s="332"/>
      <c r="T1432" s="219"/>
      <c r="U1432" s="332"/>
      <c r="V1432" s="332"/>
      <c r="W1432" s="370"/>
      <c r="X1432" s="370"/>
      <c r="Y1432" s="370"/>
      <c r="Z1432" s="370"/>
      <c r="AA1432" s="370"/>
      <c r="AB1432" s="370"/>
      <c r="AC1432" s="370"/>
      <c r="AD1432" s="370"/>
      <c r="AE1432" s="370"/>
      <c r="AF1432" s="370"/>
      <c r="AG1432" s="370"/>
      <c r="AH1432" s="370"/>
      <c r="AI1432" s="370"/>
      <c r="AJ1432" s="370"/>
      <c r="AL1432" s="219"/>
      <c r="AM1432" s="219"/>
      <c r="AN1432" s="219"/>
      <c r="AO1432" s="116"/>
      <c r="AP1432" s="116"/>
      <c r="AU1432" s="332"/>
      <c r="AV1432" s="332"/>
      <c r="AW1432" s="332"/>
      <c r="AX1432" s="332"/>
      <c r="AY1432" s="332"/>
      <c r="AZ1432" s="332"/>
      <c r="BA1432" s="332"/>
      <c r="BB1432" s="31"/>
      <c r="BC1432" s="31"/>
      <c r="BD1432" s="31"/>
      <c r="BE1432" s="31"/>
    </row>
    <row r="1433" spans="1:57" ht="13">
      <c r="A1433" s="153"/>
      <c r="F1433" s="153"/>
      <c r="G1433" s="116"/>
      <c r="H1433" s="116"/>
      <c r="I1433" s="116"/>
      <c r="J1433" s="116"/>
      <c r="K1433" s="219"/>
      <c r="L1433" s="116"/>
      <c r="M1433" s="31"/>
      <c r="N1433" s="336"/>
      <c r="O1433" s="336"/>
      <c r="P1433" s="219"/>
      <c r="Q1433" s="332"/>
      <c r="R1433" s="219"/>
      <c r="S1433" s="332"/>
      <c r="T1433" s="219"/>
      <c r="U1433" s="332"/>
      <c r="V1433" s="332"/>
      <c r="W1433" s="370"/>
      <c r="X1433" s="370"/>
      <c r="Y1433" s="370"/>
      <c r="Z1433" s="370"/>
      <c r="AA1433" s="370"/>
      <c r="AB1433" s="370"/>
      <c r="AC1433" s="370"/>
      <c r="AD1433" s="370"/>
      <c r="AE1433" s="370"/>
      <c r="AF1433" s="370"/>
      <c r="AG1433" s="370"/>
      <c r="AH1433" s="370"/>
      <c r="AI1433" s="370"/>
      <c r="AJ1433" s="370"/>
      <c r="AL1433" s="219"/>
      <c r="AM1433" s="219"/>
      <c r="AN1433" s="219"/>
      <c r="AO1433" s="116"/>
      <c r="AP1433" s="116"/>
      <c r="AU1433" s="332"/>
      <c r="AV1433" s="332"/>
      <c r="AW1433" s="332"/>
      <c r="AX1433" s="332"/>
      <c r="AY1433" s="332"/>
      <c r="AZ1433" s="332"/>
      <c r="BA1433" s="332"/>
      <c r="BB1433" s="31"/>
      <c r="BC1433" s="31"/>
      <c r="BD1433" s="31"/>
      <c r="BE1433" s="31"/>
    </row>
    <row r="1434" spans="1:57" ht="13">
      <c r="A1434" s="153"/>
      <c r="F1434" s="153"/>
      <c r="G1434" s="116"/>
      <c r="H1434" s="116"/>
      <c r="I1434" s="116"/>
      <c r="J1434" s="116"/>
      <c r="K1434" s="219"/>
      <c r="L1434" s="116"/>
      <c r="M1434" s="31"/>
      <c r="N1434" s="336"/>
      <c r="O1434" s="336"/>
      <c r="P1434" s="219"/>
      <c r="Q1434" s="332"/>
      <c r="R1434" s="219"/>
      <c r="S1434" s="332"/>
      <c r="T1434" s="219"/>
      <c r="U1434" s="332"/>
      <c r="V1434" s="332"/>
      <c r="W1434" s="370"/>
      <c r="X1434" s="370"/>
      <c r="Y1434" s="370"/>
      <c r="Z1434" s="370"/>
      <c r="AA1434" s="370"/>
      <c r="AB1434" s="370"/>
      <c r="AC1434" s="370"/>
      <c r="AD1434" s="370"/>
      <c r="AE1434" s="370"/>
      <c r="AF1434" s="370"/>
      <c r="AG1434" s="370"/>
      <c r="AH1434" s="370"/>
      <c r="AI1434" s="370"/>
      <c r="AJ1434" s="370"/>
      <c r="AL1434" s="219"/>
      <c r="AM1434" s="219"/>
      <c r="AN1434" s="219"/>
      <c r="AO1434" s="116"/>
      <c r="AP1434" s="116"/>
      <c r="AU1434" s="332"/>
      <c r="AV1434" s="332"/>
      <c r="AW1434" s="332"/>
      <c r="AX1434" s="332"/>
      <c r="AY1434" s="332"/>
      <c r="AZ1434" s="332"/>
      <c r="BA1434" s="332"/>
      <c r="BB1434" s="31"/>
      <c r="BC1434" s="31"/>
      <c r="BD1434" s="31"/>
      <c r="BE1434" s="31"/>
    </row>
    <row r="1435" spans="1:57" ht="13">
      <c r="A1435" s="153"/>
      <c r="F1435" s="153"/>
      <c r="G1435" s="116"/>
      <c r="H1435" s="116"/>
      <c r="I1435" s="116"/>
      <c r="J1435" s="116"/>
      <c r="K1435" s="219"/>
      <c r="L1435" s="116"/>
      <c r="M1435" s="31"/>
      <c r="N1435" s="336"/>
      <c r="O1435" s="336"/>
      <c r="P1435" s="219"/>
      <c r="Q1435" s="332"/>
      <c r="R1435" s="219"/>
      <c r="S1435" s="332"/>
      <c r="T1435" s="219"/>
      <c r="U1435" s="332"/>
      <c r="V1435" s="332"/>
      <c r="W1435" s="370"/>
      <c r="X1435" s="370"/>
      <c r="Y1435" s="370"/>
      <c r="Z1435" s="370"/>
      <c r="AA1435" s="370"/>
      <c r="AB1435" s="370"/>
      <c r="AC1435" s="370"/>
      <c r="AD1435" s="370"/>
      <c r="AE1435" s="370"/>
      <c r="AF1435" s="370"/>
      <c r="AG1435" s="370"/>
      <c r="AH1435" s="370"/>
      <c r="AI1435" s="370"/>
      <c r="AJ1435" s="370"/>
      <c r="AL1435" s="219"/>
      <c r="AM1435" s="219"/>
      <c r="AN1435" s="219"/>
      <c r="AO1435" s="116"/>
      <c r="AP1435" s="116"/>
      <c r="AU1435" s="332"/>
      <c r="AV1435" s="332"/>
      <c r="AW1435" s="332"/>
      <c r="AX1435" s="332"/>
      <c r="AY1435" s="332"/>
      <c r="AZ1435" s="332"/>
      <c r="BA1435" s="332"/>
      <c r="BB1435" s="31"/>
      <c r="BC1435" s="31"/>
      <c r="BD1435" s="31"/>
      <c r="BE1435" s="31"/>
    </row>
    <row r="1436" spans="1:57" ht="13">
      <c r="A1436" s="153"/>
      <c r="F1436" s="153"/>
      <c r="G1436" s="116"/>
      <c r="H1436" s="116"/>
      <c r="I1436" s="116"/>
      <c r="J1436" s="116"/>
      <c r="K1436" s="219"/>
      <c r="L1436" s="116"/>
      <c r="M1436" s="31"/>
      <c r="N1436" s="336"/>
      <c r="O1436" s="336"/>
      <c r="P1436" s="219"/>
      <c r="Q1436" s="332"/>
      <c r="R1436" s="219"/>
      <c r="S1436" s="332"/>
      <c r="T1436" s="219"/>
      <c r="U1436" s="332"/>
      <c r="V1436" s="332"/>
      <c r="W1436" s="370"/>
      <c r="X1436" s="370"/>
      <c r="Y1436" s="370"/>
      <c r="Z1436" s="370"/>
      <c r="AA1436" s="370"/>
      <c r="AB1436" s="370"/>
      <c r="AC1436" s="370"/>
      <c r="AD1436" s="370"/>
      <c r="AE1436" s="370"/>
      <c r="AF1436" s="370"/>
      <c r="AG1436" s="370"/>
      <c r="AH1436" s="370"/>
      <c r="AI1436" s="370"/>
      <c r="AJ1436" s="370"/>
      <c r="AL1436" s="219"/>
      <c r="AM1436" s="219"/>
      <c r="AN1436" s="219"/>
      <c r="AO1436" s="116"/>
      <c r="AP1436" s="116"/>
      <c r="AU1436" s="332"/>
      <c r="AV1436" s="332"/>
      <c r="AW1436" s="332"/>
      <c r="AX1436" s="332"/>
      <c r="AY1436" s="332"/>
      <c r="AZ1436" s="332"/>
      <c r="BA1436" s="332"/>
      <c r="BB1436" s="31"/>
      <c r="BC1436" s="31"/>
      <c r="BD1436" s="31"/>
      <c r="BE1436" s="31"/>
    </row>
    <row r="1437" spans="1:57" ht="13">
      <c r="A1437" s="153"/>
      <c r="F1437" s="153"/>
      <c r="G1437" s="116"/>
      <c r="H1437" s="116"/>
      <c r="I1437" s="116"/>
      <c r="J1437" s="116"/>
      <c r="K1437" s="219"/>
      <c r="L1437" s="116"/>
      <c r="M1437" s="31"/>
      <c r="N1437" s="336"/>
      <c r="O1437" s="336"/>
      <c r="P1437" s="219"/>
      <c r="Q1437" s="332"/>
      <c r="R1437" s="219"/>
      <c r="S1437" s="332"/>
      <c r="T1437" s="219"/>
      <c r="U1437" s="332"/>
      <c r="V1437" s="332"/>
      <c r="W1437" s="370"/>
      <c r="X1437" s="370"/>
      <c r="Y1437" s="370"/>
      <c r="Z1437" s="370"/>
      <c r="AA1437" s="370"/>
      <c r="AB1437" s="370"/>
      <c r="AC1437" s="370"/>
      <c r="AD1437" s="370"/>
      <c r="AE1437" s="370"/>
      <c r="AF1437" s="370"/>
      <c r="AG1437" s="370"/>
      <c r="AH1437" s="370"/>
      <c r="AI1437" s="370"/>
      <c r="AJ1437" s="370"/>
      <c r="AL1437" s="219"/>
      <c r="AM1437" s="219"/>
      <c r="AN1437" s="219"/>
      <c r="AO1437" s="116"/>
      <c r="AP1437" s="116"/>
      <c r="AU1437" s="332"/>
      <c r="AV1437" s="332"/>
      <c r="AW1437" s="332"/>
      <c r="AX1437" s="332"/>
      <c r="AY1437" s="332"/>
      <c r="AZ1437" s="332"/>
      <c r="BA1437" s="332"/>
      <c r="BB1437" s="31"/>
      <c r="BC1437" s="31"/>
      <c r="BD1437" s="31"/>
      <c r="BE1437" s="31"/>
    </row>
    <row r="1438" spans="1:57" ht="13">
      <c r="A1438" s="153"/>
      <c r="F1438" s="153"/>
      <c r="G1438" s="116"/>
      <c r="H1438" s="116"/>
      <c r="I1438" s="116"/>
      <c r="J1438" s="116"/>
      <c r="K1438" s="219"/>
      <c r="L1438" s="116"/>
      <c r="M1438" s="31"/>
      <c r="N1438" s="336"/>
      <c r="O1438" s="336"/>
      <c r="P1438" s="219"/>
      <c r="Q1438" s="332"/>
      <c r="R1438" s="219"/>
      <c r="S1438" s="332"/>
      <c r="T1438" s="219"/>
      <c r="U1438" s="332"/>
      <c r="V1438" s="332"/>
      <c r="W1438" s="370"/>
      <c r="X1438" s="370"/>
      <c r="Y1438" s="370"/>
      <c r="Z1438" s="370"/>
      <c r="AA1438" s="370"/>
      <c r="AB1438" s="370"/>
      <c r="AC1438" s="370"/>
      <c r="AD1438" s="370"/>
      <c r="AE1438" s="370"/>
      <c r="AF1438" s="370"/>
      <c r="AG1438" s="370"/>
      <c r="AH1438" s="370"/>
      <c r="AI1438" s="370"/>
      <c r="AJ1438" s="370"/>
      <c r="AL1438" s="219"/>
      <c r="AM1438" s="219"/>
      <c r="AN1438" s="219"/>
      <c r="AO1438" s="116"/>
      <c r="AP1438" s="116"/>
      <c r="AU1438" s="332"/>
      <c r="AV1438" s="332"/>
      <c r="AW1438" s="332"/>
      <c r="AX1438" s="332"/>
      <c r="AY1438" s="332"/>
      <c r="AZ1438" s="332"/>
      <c r="BA1438" s="332"/>
      <c r="BB1438" s="31"/>
      <c r="BC1438" s="31"/>
      <c r="BD1438" s="31"/>
      <c r="BE1438" s="31"/>
    </row>
    <row r="1439" spans="1:57" ht="13">
      <c r="A1439" s="153"/>
      <c r="F1439" s="153"/>
      <c r="G1439" s="116"/>
      <c r="H1439" s="116"/>
      <c r="I1439" s="116"/>
      <c r="J1439" s="116"/>
      <c r="K1439" s="219"/>
      <c r="L1439" s="116"/>
      <c r="M1439" s="31"/>
      <c r="N1439" s="336"/>
      <c r="O1439" s="336"/>
      <c r="P1439" s="219"/>
      <c r="Q1439" s="332"/>
      <c r="R1439" s="219"/>
      <c r="S1439" s="332"/>
      <c r="T1439" s="219"/>
      <c r="U1439" s="332"/>
      <c r="V1439" s="332"/>
      <c r="W1439" s="370"/>
      <c r="X1439" s="370"/>
      <c r="Y1439" s="370"/>
      <c r="Z1439" s="370"/>
      <c r="AA1439" s="370"/>
      <c r="AB1439" s="370"/>
      <c r="AC1439" s="370"/>
      <c r="AD1439" s="370"/>
      <c r="AE1439" s="370"/>
      <c r="AF1439" s="370"/>
      <c r="AG1439" s="370"/>
      <c r="AH1439" s="370"/>
      <c r="AI1439" s="370"/>
      <c r="AJ1439" s="370"/>
      <c r="AL1439" s="219"/>
      <c r="AM1439" s="219"/>
      <c r="AN1439" s="219"/>
      <c r="AO1439" s="116"/>
      <c r="AP1439" s="116"/>
      <c r="AU1439" s="332"/>
      <c r="AV1439" s="332"/>
      <c r="AW1439" s="332"/>
      <c r="AX1439" s="332"/>
      <c r="AY1439" s="332"/>
      <c r="AZ1439" s="332"/>
      <c r="BA1439" s="332"/>
      <c r="BB1439" s="31"/>
      <c r="BC1439" s="31"/>
      <c r="BD1439" s="31"/>
      <c r="BE1439" s="31"/>
    </row>
    <row r="1440" spans="1:57" ht="13">
      <c r="A1440" s="153"/>
      <c r="F1440" s="153"/>
      <c r="G1440" s="116"/>
      <c r="H1440" s="116"/>
      <c r="I1440" s="116"/>
      <c r="J1440" s="116"/>
      <c r="K1440" s="219"/>
      <c r="L1440" s="116"/>
      <c r="M1440" s="31"/>
      <c r="N1440" s="336"/>
      <c r="O1440" s="336"/>
      <c r="P1440" s="219"/>
      <c r="Q1440" s="332"/>
      <c r="R1440" s="219"/>
      <c r="S1440" s="332"/>
      <c r="T1440" s="219"/>
      <c r="U1440" s="332"/>
      <c r="V1440" s="332"/>
      <c r="W1440" s="370"/>
      <c r="X1440" s="370"/>
      <c r="Y1440" s="370"/>
      <c r="Z1440" s="370"/>
      <c r="AA1440" s="370"/>
      <c r="AB1440" s="370"/>
      <c r="AC1440" s="370"/>
      <c r="AD1440" s="370"/>
      <c r="AE1440" s="370"/>
      <c r="AF1440" s="370"/>
      <c r="AG1440" s="370"/>
      <c r="AH1440" s="370"/>
      <c r="AI1440" s="370"/>
      <c r="AJ1440" s="370"/>
      <c r="AL1440" s="219"/>
      <c r="AM1440" s="219"/>
      <c r="AN1440" s="219"/>
      <c r="AO1440" s="116"/>
      <c r="AP1440" s="116"/>
      <c r="AU1440" s="332"/>
      <c r="AV1440" s="332"/>
      <c r="AW1440" s="332"/>
      <c r="AX1440" s="332"/>
      <c r="AY1440" s="332"/>
      <c r="AZ1440" s="332"/>
      <c r="BA1440" s="332"/>
      <c r="BB1440" s="31"/>
      <c r="BC1440" s="31"/>
      <c r="BD1440" s="31"/>
      <c r="BE1440" s="31"/>
    </row>
    <row r="1441" spans="1:57" ht="13">
      <c r="A1441" s="153"/>
      <c r="F1441" s="153"/>
      <c r="G1441" s="116"/>
      <c r="H1441" s="116"/>
      <c r="I1441" s="116"/>
      <c r="J1441" s="116"/>
      <c r="K1441" s="219"/>
      <c r="L1441" s="116"/>
      <c r="M1441" s="31"/>
      <c r="N1441" s="336"/>
      <c r="O1441" s="336"/>
      <c r="P1441" s="219"/>
      <c r="Q1441" s="332"/>
      <c r="R1441" s="219"/>
      <c r="S1441" s="332"/>
      <c r="T1441" s="219"/>
      <c r="U1441" s="332"/>
      <c r="V1441" s="332"/>
      <c r="W1441" s="370"/>
      <c r="X1441" s="370"/>
      <c r="Y1441" s="370"/>
      <c r="Z1441" s="370"/>
      <c r="AA1441" s="370"/>
      <c r="AB1441" s="370"/>
      <c r="AC1441" s="370"/>
      <c r="AD1441" s="370"/>
      <c r="AE1441" s="370"/>
      <c r="AF1441" s="370"/>
      <c r="AG1441" s="370"/>
      <c r="AH1441" s="370"/>
      <c r="AI1441" s="370"/>
      <c r="AJ1441" s="370"/>
      <c r="AL1441" s="219"/>
      <c r="AM1441" s="219"/>
      <c r="AN1441" s="219"/>
      <c r="AO1441" s="116"/>
      <c r="AP1441" s="116"/>
      <c r="AU1441" s="332"/>
      <c r="AV1441" s="332"/>
      <c r="AW1441" s="332"/>
      <c r="AX1441" s="332"/>
      <c r="AY1441" s="332"/>
      <c r="AZ1441" s="332"/>
      <c r="BA1441" s="332"/>
      <c r="BB1441" s="31"/>
      <c r="BC1441" s="31"/>
      <c r="BD1441" s="31"/>
      <c r="BE1441" s="31"/>
    </row>
    <row r="1442" spans="1:57" ht="13">
      <c r="A1442" s="153"/>
      <c r="F1442" s="153"/>
      <c r="G1442" s="116"/>
      <c r="H1442" s="116"/>
      <c r="I1442" s="116"/>
      <c r="J1442" s="116"/>
      <c r="K1442" s="219"/>
      <c r="L1442" s="116"/>
      <c r="M1442" s="31"/>
      <c r="N1442" s="336"/>
      <c r="O1442" s="336"/>
      <c r="P1442" s="219"/>
      <c r="Q1442" s="332"/>
      <c r="R1442" s="219"/>
      <c r="S1442" s="332"/>
      <c r="T1442" s="219"/>
      <c r="U1442" s="332"/>
      <c r="V1442" s="332"/>
      <c r="W1442" s="370"/>
      <c r="X1442" s="370"/>
      <c r="Y1442" s="370"/>
      <c r="Z1442" s="370"/>
      <c r="AA1442" s="370"/>
      <c r="AB1442" s="370"/>
      <c r="AC1442" s="370"/>
      <c r="AD1442" s="370"/>
      <c r="AE1442" s="370"/>
      <c r="AF1442" s="370"/>
      <c r="AG1442" s="370"/>
      <c r="AH1442" s="370"/>
      <c r="AI1442" s="370"/>
      <c r="AJ1442" s="370"/>
      <c r="AL1442" s="219"/>
      <c r="AM1442" s="219"/>
      <c r="AN1442" s="219"/>
      <c r="AO1442" s="116"/>
      <c r="AP1442" s="116"/>
      <c r="AU1442" s="332"/>
      <c r="AV1442" s="332"/>
      <c r="AW1442" s="332"/>
      <c r="AX1442" s="332"/>
      <c r="AY1442" s="332"/>
      <c r="AZ1442" s="332"/>
      <c r="BA1442" s="332"/>
      <c r="BB1442" s="31"/>
      <c r="BC1442" s="31"/>
      <c r="BD1442" s="31"/>
      <c r="BE1442" s="31"/>
    </row>
    <row r="1443" spans="1:57" ht="13">
      <c r="A1443" s="153"/>
      <c r="F1443" s="153"/>
      <c r="G1443" s="116"/>
      <c r="H1443" s="116"/>
      <c r="I1443" s="116"/>
      <c r="J1443" s="116"/>
      <c r="K1443" s="219"/>
      <c r="L1443" s="116"/>
      <c r="M1443" s="31"/>
      <c r="N1443" s="336"/>
      <c r="O1443" s="336"/>
      <c r="P1443" s="219"/>
      <c r="Q1443" s="332"/>
      <c r="R1443" s="219"/>
      <c r="S1443" s="332"/>
      <c r="T1443" s="219"/>
      <c r="U1443" s="332"/>
      <c r="V1443" s="332"/>
      <c r="W1443" s="370"/>
      <c r="X1443" s="370"/>
      <c r="Y1443" s="370"/>
      <c r="Z1443" s="370"/>
      <c r="AA1443" s="370"/>
      <c r="AB1443" s="370"/>
      <c r="AC1443" s="370"/>
      <c r="AD1443" s="370"/>
      <c r="AE1443" s="370"/>
      <c r="AF1443" s="370"/>
      <c r="AG1443" s="370"/>
      <c r="AH1443" s="370"/>
      <c r="AI1443" s="370"/>
      <c r="AJ1443" s="370"/>
      <c r="AL1443" s="219"/>
      <c r="AM1443" s="219"/>
      <c r="AN1443" s="219"/>
      <c r="AO1443" s="116"/>
      <c r="AP1443" s="116"/>
      <c r="AU1443" s="332"/>
      <c r="AV1443" s="332"/>
      <c r="AW1443" s="332"/>
      <c r="AX1443" s="332"/>
      <c r="AY1443" s="332"/>
      <c r="AZ1443" s="332"/>
      <c r="BA1443" s="332"/>
      <c r="BB1443" s="31"/>
      <c r="BC1443" s="31"/>
      <c r="BD1443" s="31"/>
      <c r="BE1443" s="31"/>
    </row>
    <row r="1444" spans="1:57" ht="13">
      <c r="A1444" s="153"/>
      <c r="F1444" s="153"/>
      <c r="G1444" s="116"/>
      <c r="H1444" s="116"/>
      <c r="I1444" s="116"/>
      <c r="J1444" s="116"/>
      <c r="K1444" s="219"/>
      <c r="L1444" s="116"/>
      <c r="M1444" s="31"/>
      <c r="N1444" s="336"/>
      <c r="O1444" s="336"/>
      <c r="P1444" s="219"/>
      <c r="Q1444" s="332"/>
      <c r="R1444" s="219"/>
      <c r="S1444" s="332"/>
      <c r="T1444" s="219"/>
      <c r="U1444" s="332"/>
      <c r="V1444" s="332"/>
      <c r="W1444" s="370"/>
      <c r="X1444" s="370"/>
      <c r="Y1444" s="370"/>
      <c r="Z1444" s="370"/>
      <c r="AA1444" s="370"/>
      <c r="AB1444" s="370"/>
      <c r="AC1444" s="370"/>
      <c r="AD1444" s="370"/>
      <c r="AE1444" s="370"/>
      <c r="AF1444" s="370"/>
      <c r="AG1444" s="370"/>
      <c r="AH1444" s="370"/>
      <c r="AI1444" s="370"/>
      <c r="AJ1444" s="370"/>
      <c r="AL1444" s="219"/>
      <c r="AM1444" s="219"/>
      <c r="AN1444" s="219"/>
      <c r="AO1444" s="116"/>
      <c r="AP1444" s="116"/>
      <c r="AU1444" s="332"/>
      <c r="AV1444" s="332"/>
      <c r="AW1444" s="332"/>
      <c r="AX1444" s="332"/>
      <c r="AY1444" s="332"/>
      <c r="AZ1444" s="332"/>
      <c r="BA1444" s="332"/>
      <c r="BB1444" s="31"/>
      <c r="BC1444" s="31"/>
      <c r="BD1444" s="31"/>
      <c r="BE1444" s="31"/>
    </row>
    <row r="1445" spans="1:57" ht="13">
      <c r="A1445" s="153"/>
      <c r="F1445" s="153"/>
      <c r="G1445" s="116"/>
      <c r="H1445" s="116"/>
      <c r="I1445" s="116"/>
      <c r="J1445" s="116"/>
      <c r="K1445" s="219"/>
      <c r="L1445" s="116"/>
      <c r="M1445" s="31"/>
      <c r="N1445" s="336"/>
      <c r="O1445" s="336"/>
      <c r="P1445" s="219"/>
      <c r="Q1445" s="332"/>
      <c r="R1445" s="219"/>
      <c r="S1445" s="332"/>
      <c r="T1445" s="219"/>
      <c r="U1445" s="332"/>
      <c r="V1445" s="332"/>
      <c r="W1445" s="370"/>
      <c r="X1445" s="370"/>
      <c r="Y1445" s="370"/>
      <c r="Z1445" s="370"/>
      <c r="AA1445" s="370"/>
      <c r="AB1445" s="370"/>
      <c r="AC1445" s="370"/>
      <c r="AD1445" s="370"/>
      <c r="AE1445" s="370"/>
      <c r="AF1445" s="370"/>
      <c r="AG1445" s="370"/>
      <c r="AH1445" s="370"/>
      <c r="AI1445" s="370"/>
      <c r="AJ1445" s="370"/>
      <c r="AL1445" s="219"/>
      <c r="AM1445" s="219"/>
      <c r="AN1445" s="219"/>
      <c r="AO1445" s="116"/>
      <c r="AP1445" s="116"/>
      <c r="AU1445" s="332"/>
      <c r="AV1445" s="332"/>
      <c r="AW1445" s="332"/>
      <c r="AX1445" s="332"/>
      <c r="AY1445" s="332"/>
      <c r="AZ1445" s="332"/>
      <c r="BA1445" s="332"/>
      <c r="BB1445" s="31"/>
      <c r="BC1445" s="31"/>
      <c r="BD1445" s="31"/>
      <c r="BE1445" s="31"/>
    </row>
    <row r="1446" spans="1:57" ht="13">
      <c r="A1446" s="153"/>
      <c r="F1446" s="153"/>
      <c r="G1446" s="116"/>
      <c r="H1446" s="116"/>
      <c r="I1446" s="116"/>
      <c r="J1446" s="116"/>
      <c r="K1446" s="219"/>
      <c r="L1446" s="116"/>
      <c r="M1446" s="31"/>
      <c r="N1446" s="336"/>
      <c r="O1446" s="336"/>
      <c r="P1446" s="219"/>
      <c r="Q1446" s="332"/>
      <c r="R1446" s="219"/>
      <c r="S1446" s="332"/>
      <c r="T1446" s="219"/>
      <c r="U1446" s="332"/>
      <c r="V1446" s="332"/>
      <c r="W1446" s="370"/>
      <c r="X1446" s="370"/>
      <c r="Y1446" s="370"/>
      <c r="Z1446" s="370"/>
      <c r="AA1446" s="370"/>
      <c r="AB1446" s="370"/>
      <c r="AC1446" s="370"/>
      <c r="AD1446" s="370"/>
      <c r="AE1446" s="370"/>
      <c r="AF1446" s="370"/>
      <c r="AG1446" s="370"/>
      <c r="AH1446" s="370"/>
      <c r="AI1446" s="370"/>
      <c r="AJ1446" s="370"/>
      <c r="AL1446" s="219"/>
      <c r="AM1446" s="219"/>
      <c r="AN1446" s="219"/>
      <c r="AO1446" s="116"/>
      <c r="AP1446" s="116"/>
      <c r="AU1446" s="332"/>
      <c r="AV1446" s="332"/>
      <c r="AW1446" s="332"/>
      <c r="AX1446" s="332"/>
      <c r="AY1446" s="332"/>
      <c r="AZ1446" s="332"/>
      <c r="BA1446" s="332"/>
      <c r="BB1446" s="31"/>
      <c r="BC1446" s="31"/>
      <c r="BD1446" s="31"/>
      <c r="BE1446" s="31"/>
    </row>
    <row r="1447" spans="1:57" ht="13">
      <c r="A1447" s="153"/>
      <c r="F1447" s="153"/>
      <c r="G1447" s="116"/>
      <c r="H1447" s="116"/>
      <c r="I1447" s="116"/>
      <c r="J1447" s="116"/>
      <c r="K1447" s="219"/>
      <c r="L1447" s="116"/>
      <c r="M1447" s="31"/>
      <c r="N1447" s="336"/>
      <c r="O1447" s="336"/>
      <c r="P1447" s="219"/>
      <c r="Q1447" s="332"/>
      <c r="R1447" s="219"/>
      <c r="S1447" s="332"/>
      <c r="T1447" s="219"/>
      <c r="U1447" s="332"/>
      <c r="V1447" s="332"/>
      <c r="W1447" s="370"/>
      <c r="X1447" s="370"/>
      <c r="Y1447" s="370"/>
      <c r="Z1447" s="370"/>
      <c r="AA1447" s="370"/>
      <c r="AB1447" s="370"/>
      <c r="AC1447" s="370"/>
      <c r="AD1447" s="370"/>
      <c r="AE1447" s="370"/>
      <c r="AF1447" s="370"/>
      <c r="AG1447" s="370"/>
      <c r="AH1447" s="370"/>
      <c r="AI1447" s="370"/>
      <c r="AJ1447" s="370"/>
      <c r="AL1447" s="219"/>
      <c r="AM1447" s="219"/>
      <c r="AN1447" s="219"/>
      <c r="AO1447" s="116"/>
      <c r="AP1447" s="116"/>
      <c r="AU1447" s="332"/>
      <c r="AV1447" s="332"/>
      <c r="AW1447" s="332"/>
      <c r="AX1447" s="332"/>
      <c r="AY1447" s="332"/>
      <c r="AZ1447" s="332"/>
      <c r="BA1447" s="332"/>
      <c r="BB1447" s="31"/>
      <c r="BC1447" s="31"/>
      <c r="BD1447" s="31"/>
      <c r="BE1447" s="31"/>
    </row>
    <row r="1448" spans="1:57" ht="13">
      <c r="A1448" s="153"/>
      <c r="F1448" s="153"/>
      <c r="G1448" s="116"/>
      <c r="H1448" s="116"/>
      <c r="I1448" s="116"/>
      <c r="J1448" s="116"/>
      <c r="K1448" s="219"/>
      <c r="L1448" s="116"/>
      <c r="M1448" s="31"/>
      <c r="N1448" s="336"/>
      <c r="O1448" s="336"/>
      <c r="P1448" s="219"/>
      <c r="Q1448" s="332"/>
      <c r="R1448" s="219"/>
      <c r="S1448" s="332"/>
      <c r="T1448" s="219"/>
      <c r="U1448" s="332"/>
      <c r="V1448" s="332"/>
      <c r="W1448" s="370"/>
      <c r="X1448" s="370"/>
      <c r="Y1448" s="370"/>
      <c r="Z1448" s="370"/>
      <c r="AA1448" s="370"/>
      <c r="AB1448" s="370"/>
      <c r="AC1448" s="370"/>
      <c r="AD1448" s="370"/>
      <c r="AE1448" s="370"/>
      <c r="AF1448" s="370"/>
      <c r="AG1448" s="370"/>
      <c r="AH1448" s="370"/>
      <c r="AI1448" s="370"/>
      <c r="AJ1448" s="370"/>
      <c r="AL1448" s="219"/>
      <c r="AM1448" s="219"/>
      <c r="AN1448" s="219"/>
      <c r="AO1448" s="116"/>
      <c r="AP1448" s="116"/>
      <c r="AU1448" s="332"/>
      <c r="AV1448" s="332"/>
      <c r="AW1448" s="332"/>
      <c r="AX1448" s="332"/>
      <c r="AY1448" s="332"/>
      <c r="AZ1448" s="332"/>
      <c r="BA1448" s="332"/>
      <c r="BB1448" s="31"/>
      <c r="BC1448" s="31"/>
      <c r="BD1448" s="31"/>
      <c r="BE1448" s="31"/>
    </row>
    <row r="1449" spans="1:57" ht="13">
      <c r="A1449" s="153"/>
      <c r="F1449" s="153"/>
      <c r="G1449" s="116"/>
      <c r="H1449" s="116"/>
      <c r="I1449" s="116"/>
      <c r="J1449" s="116"/>
      <c r="K1449" s="219"/>
      <c r="L1449" s="116"/>
      <c r="M1449" s="31"/>
      <c r="N1449" s="336"/>
      <c r="O1449" s="336"/>
      <c r="P1449" s="219"/>
      <c r="Q1449" s="332"/>
      <c r="R1449" s="219"/>
      <c r="S1449" s="332"/>
      <c r="T1449" s="219"/>
      <c r="U1449" s="332"/>
      <c r="V1449" s="332"/>
      <c r="W1449" s="370"/>
      <c r="X1449" s="370"/>
      <c r="Y1449" s="370"/>
      <c r="Z1449" s="370"/>
      <c r="AA1449" s="370"/>
      <c r="AB1449" s="370"/>
      <c r="AC1449" s="370"/>
      <c r="AD1449" s="370"/>
      <c r="AE1449" s="370"/>
      <c r="AF1449" s="370"/>
      <c r="AG1449" s="370"/>
      <c r="AH1449" s="370"/>
      <c r="AI1449" s="370"/>
      <c r="AJ1449" s="370"/>
      <c r="AL1449" s="219"/>
      <c r="AM1449" s="219"/>
      <c r="AN1449" s="219"/>
      <c r="AO1449" s="116"/>
      <c r="AP1449" s="116"/>
      <c r="AU1449" s="332"/>
      <c r="AV1449" s="332"/>
      <c r="AW1449" s="332"/>
      <c r="AX1449" s="332"/>
      <c r="AY1449" s="332"/>
      <c r="AZ1449" s="332"/>
      <c r="BA1449" s="332"/>
      <c r="BB1449" s="31"/>
      <c r="BC1449" s="31"/>
      <c r="BD1449" s="31"/>
      <c r="BE1449" s="31"/>
    </row>
    <row r="1450" spans="1:57" ht="13">
      <c r="A1450" s="153"/>
      <c r="F1450" s="153"/>
      <c r="G1450" s="116"/>
      <c r="H1450" s="116"/>
      <c r="I1450" s="116"/>
      <c r="J1450" s="116"/>
      <c r="K1450" s="219"/>
      <c r="L1450" s="116"/>
      <c r="M1450" s="31"/>
      <c r="N1450" s="336"/>
      <c r="O1450" s="336"/>
      <c r="P1450" s="219"/>
      <c r="Q1450" s="332"/>
      <c r="R1450" s="219"/>
      <c r="S1450" s="332"/>
      <c r="T1450" s="219"/>
      <c r="U1450" s="332"/>
      <c r="V1450" s="332"/>
      <c r="W1450" s="370"/>
      <c r="X1450" s="370"/>
      <c r="Y1450" s="370"/>
      <c r="Z1450" s="370"/>
      <c r="AA1450" s="370"/>
      <c r="AB1450" s="370"/>
      <c r="AC1450" s="370"/>
      <c r="AD1450" s="370"/>
      <c r="AE1450" s="370"/>
      <c r="AF1450" s="370"/>
      <c r="AG1450" s="370"/>
      <c r="AH1450" s="370"/>
      <c r="AI1450" s="370"/>
      <c r="AJ1450" s="370"/>
      <c r="AL1450" s="219"/>
      <c r="AM1450" s="219"/>
      <c r="AN1450" s="219"/>
      <c r="AO1450" s="116"/>
      <c r="AP1450" s="116"/>
      <c r="AU1450" s="332"/>
      <c r="AV1450" s="332"/>
      <c r="AW1450" s="332"/>
      <c r="AX1450" s="332"/>
      <c r="AY1450" s="332"/>
      <c r="AZ1450" s="332"/>
      <c r="BA1450" s="332"/>
      <c r="BB1450" s="31"/>
      <c r="BC1450" s="31"/>
      <c r="BD1450" s="31"/>
      <c r="BE1450" s="31"/>
    </row>
    <row r="1451" spans="1:57" ht="13">
      <c r="A1451" s="153"/>
      <c r="F1451" s="153"/>
      <c r="G1451" s="116"/>
      <c r="H1451" s="116"/>
      <c r="I1451" s="116"/>
      <c r="J1451" s="116"/>
      <c r="K1451" s="219"/>
      <c r="L1451" s="116"/>
      <c r="M1451" s="31"/>
      <c r="N1451" s="336"/>
      <c r="O1451" s="336"/>
      <c r="P1451" s="219"/>
      <c r="Q1451" s="332"/>
      <c r="R1451" s="219"/>
      <c r="S1451" s="332"/>
      <c r="T1451" s="219"/>
      <c r="U1451" s="332"/>
      <c r="V1451" s="332"/>
      <c r="W1451" s="370"/>
      <c r="X1451" s="370"/>
      <c r="Y1451" s="370"/>
      <c r="Z1451" s="370"/>
      <c r="AA1451" s="370"/>
      <c r="AB1451" s="370"/>
      <c r="AC1451" s="370"/>
      <c r="AD1451" s="370"/>
      <c r="AE1451" s="370"/>
      <c r="AF1451" s="370"/>
      <c r="AG1451" s="370"/>
      <c r="AH1451" s="370"/>
      <c r="AI1451" s="370"/>
      <c r="AJ1451" s="370"/>
      <c r="AL1451" s="219"/>
      <c r="AM1451" s="219"/>
      <c r="AN1451" s="219"/>
      <c r="AO1451" s="116"/>
      <c r="AP1451" s="116"/>
      <c r="AU1451" s="332"/>
      <c r="AV1451" s="332"/>
      <c r="AW1451" s="332"/>
      <c r="AX1451" s="332"/>
      <c r="AY1451" s="332"/>
      <c r="AZ1451" s="332"/>
      <c r="BA1451" s="332"/>
      <c r="BB1451" s="31"/>
      <c r="BC1451" s="31"/>
      <c r="BD1451" s="31"/>
      <c r="BE1451" s="31"/>
    </row>
    <row r="1452" spans="1:57" ht="13">
      <c r="A1452" s="153"/>
      <c r="F1452" s="153"/>
      <c r="G1452" s="116"/>
      <c r="H1452" s="116"/>
      <c r="I1452" s="116"/>
      <c r="J1452" s="116"/>
      <c r="K1452" s="219"/>
      <c r="L1452" s="116"/>
      <c r="M1452" s="31"/>
      <c r="N1452" s="336"/>
      <c r="O1452" s="336"/>
      <c r="P1452" s="219"/>
      <c r="Q1452" s="332"/>
      <c r="R1452" s="219"/>
      <c r="S1452" s="332"/>
      <c r="T1452" s="219"/>
      <c r="U1452" s="332"/>
      <c r="V1452" s="332"/>
      <c r="W1452" s="370"/>
      <c r="X1452" s="370"/>
      <c r="Y1452" s="370"/>
      <c r="Z1452" s="370"/>
      <c r="AA1452" s="370"/>
      <c r="AB1452" s="370"/>
      <c r="AC1452" s="370"/>
      <c r="AD1452" s="370"/>
      <c r="AE1452" s="370"/>
      <c r="AF1452" s="370"/>
      <c r="AG1452" s="370"/>
      <c r="AH1452" s="370"/>
      <c r="AI1452" s="370"/>
      <c r="AJ1452" s="370"/>
      <c r="AL1452" s="219"/>
      <c r="AM1452" s="219"/>
      <c r="AN1452" s="219"/>
      <c r="AO1452" s="116"/>
      <c r="AP1452" s="116"/>
      <c r="AU1452" s="332"/>
      <c r="AV1452" s="332"/>
      <c r="AW1452" s="332"/>
      <c r="AX1452" s="332"/>
      <c r="AY1452" s="332"/>
      <c r="AZ1452" s="332"/>
      <c r="BA1452" s="332"/>
      <c r="BB1452" s="31"/>
      <c r="BC1452" s="31"/>
      <c r="BD1452" s="31"/>
      <c r="BE1452" s="31"/>
    </row>
    <row r="1453" spans="1:57" ht="13">
      <c r="A1453" s="153"/>
      <c r="F1453" s="153"/>
      <c r="G1453" s="116"/>
      <c r="H1453" s="116"/>
      <c r="I1453" s="116"/>
      <c r="J1453" s="116"/>
      <c r="K1453" s="219"/>
      <c r="L1453" s="116"/>
      <c r="M1453" s="31"/>
      <c r="N1453" s="336"/>
      <c r="O1453" s="336"/>
      <c r="P1453" s="219"/>
      <c r="Q1453" s="332"/>
      <c r="R1453" s="219"/>
      <c r="S1453" s="332"/>
      <c r="T1453" s="219"/>
      <c r="U1453" s="332"/>
      <c r="V1453" s="332"/>
      <c r="W1453" s="370"/>
      <c r="X1453" s="370"/>
      <c r="Y1453" s="370"/>
      <c r="Z1453" s="370"/>
      <c r="AA1453" s="370"/>
      <c r="AB1453" s="370"/>
      <c r="AC1453" s="370"/>
      <c r="AD1453" s="370"/>
      <c r="AE1453" s="370"/>
      <c r="AF1453" s="370"/>
      <c r="AG1453" s="370"/>
      <c r="AH1453" s="370"/>
      <c r="AI1453" s="370"/>
      <c r="AJ1453" s="370"/>
      <c r="AL1453" s="219"/>
      <c r="AM1453" s="219"/>
      <c r="AN1453" s="219"/>
      <c r="AO1453" s="116"/>
      <c r="AP1453" s="116"/>
      <c r="AU1453" s="332"/>
      <c r="AV1453" s="332"/>
      <c r="AW1453" s="332"/>
      <c r="AX1453" s="332"/>
      <c r="AY1453" s="332"/>
      <c r="AZ1453" s="332"/>
      <c r="BA1453" s="332"/>
      <c r="BB1453" s="31"/>
      <c r="BC1453" s="31"/>
      <c r="BD1453" s="31"/>
      <c r="BE1453" s="31"/>
    </row>
    <row r="1454" spans="1:57" ht="13">
      <c r="A1454" s="153"/>
      <c r="F1454" s="153"/>
      <c r="G1454" s="116"/>
      <c r="H1454" s="116"/>
      <c r="I1454" s="116"/>
      <c r="J1454" s="116"/>
      <c r="K1454" s="219"/>
      <c r="L1454" s="116"/>
      <c r="M1454" s="31"/>
      <c r="N1454" s="336"/>
      <c r="O1454" s="336"/>
      <c r="P1454" s="219"/>
      <c r="Q1454" s="332"/>
      <c r="R1454" s="219"/>
      <c r="S1454" s="332"/>
      <c r="T1454" s="219"/>
      <c r="U1454" s="332"/>
      <c r="V1454" s="332"/>
      <c r="W1454" s="370"/>
      <c r="X1454" s="370"/>
      <c r="Y1454" s="370"/>
      <c r="Z1454" s="370"/>
      <c r="AA1454" s="370"/>
      <c r="AB1454" s="370"/>
      <c r="AC1454" s="370"/>
      <c r="AD1454" s="370"/>
      <c r="AE1454" s="370"/>
      <c r="AF1454" s="370"/>
      <c r="AG1454" s="370"/>
      <c r="AH1454" s="370"/>
      <c r="AI1454" s="370"/>
      <c r="AJ1454" s="370"/>
      <c r="AL1454" s="219"/>
      <c r="AM1454" s="219"/>
      <c r="AN1454" s="219"/>
      <c r="AO1454" s="116"/>
      <c r="AP1454" s="116"/>
      <c r="AU1454" s="332"/>
      <c r="AV1454" s="332"/>
      <c r="AW1454" s="332"/>
      <c r="AX1454" s="332"/>
      <c r="AY1454" s="332"/>
      <c r="AZ1454" s="332"/>
      <c r="BA1454" s="332"/>
      <c r="BB1454" s="31"/>
      <c r="BC1454" s="31"/>
      <c r="BD1454" s="31"/>
      <c r="BE1454" s="31"/>
    </row>
    <row r="1455" spans="1:57" ht="13">
      <c r="A1455" s="153"/>
      <c r="F1455" s="153"/>
      <c r="G1455" s="116"/>
      <c r="H1455" s="116"/>
      <c r="I1455" s="116"/>
      <c r="J1455" s="116"/>
      <c r="K1455" s="219"/>
      <c r="L1455" s="116"/>
      <c r="M1455" s="31"/>
      <c r="N1455" s="336"/>
      <c r="O1455" s="336"/>
      <c r="P1455" s="219"/>
      <c r="Q1455" s="332"/>
      <c r="R1455" s="219"/>
      <c r="S1455" s="332"/>
      <c r="T1455" s="219"/>
      <c r="U1455" s="332"/>
      <c r="V1455" s="332"/>
      <c r="W1455" s="370"/>
      <c r="X1455" s="370"/>
      <c r="Y1455" s="370"/>
      <c r="Z1455" s="370"/>
      <c r="AA1455" s="370"/>
      <c r="AB1455" s="370"/>
      <c r="AC1455" s="370"/>
      <c r="AD1455" s="370"/>
      <c r="AE1455" s="370"/>
      <c r="AF1455" s="370"/>
      <c r="AG1455" s="370"/>
      <c r="AH1455" s="370"/>
      <c r="AI1455" s="370"/>
      <c r="AJ1455" s="370"/>
      <c r="AL1455" s="219"/>
      <c r="AM1455" s="219"/>
      <c r="AN1455" s="219"/>
      <c r="AO1455" s="116"/>
      <c r="AP1455" s="116"/>
      <c r="AU1455" s="332"/>
      <c r="AV1455" s="332"/>
      <c r="AW1455" s="332"/>
      <c r="AX1455" s="332"/>
      <c r="AY1455" s="332"/>
      <c r="AZ1455" s="332"/>
      <c r="BA1455" s="332"/>
      <c r="BB1455" s="31"/>
      <c r="BC1455" s="31"/>
      <c r="BD1455" s="31"/>
      <c r="BE1455" s="31"/>
    </row>
    <row r="1456" spans="1:57" ht="13">
      <c r="A1456" s="153"/>
      <c r="F1456" s="153"/>
      <c r="G1456" s="116"/>
      <c r="H1456" s="116"/>
      <c r="I1456" s="116"/>
      <c r="J1456" s="116"/>
      <c r="K1456" s="219"/>
      <c r="L1456" s="116"/>
      <c r="M1456" s="31"/>
      <c r="N1456" s="336"/>
      <c r="O1456" s="336"/>
      <c r="P1456" s="219"/>
      <c r="Q1456" s="332"/>
      <c r="R1456" s="219"/>
      <c r="S1456" s="332"/>
      <c r="T1456" s="219"/>
      <c r="U1456" s="332"/>
      <c r="V1456" s="332"/>
      <c r="W1456" s="370"/>
      <c r="X1456" s="370"/>
      <c r="Y1456" s="370"/>
      <c r="Z1456" s="370"/>
      <c r="AA1456" s="370"/>
      <c r="AB1456" s="370"/>
      <c r="AC1456" s="370"/>
      <c r="AD1456" s="370"/>
      <c r="AE1456" s="370"/>
      <c r="AF1456" s="370"/>
      <c r="AG1456" s="370"/>
      <c r="AH1456" s="370"/>
      <c r="AI1456" s="370"/>
      <c r="AJ1456" s="370"/>
      <c r="AL1456" s="219"/>
      <c r="AM1456" s="219"/>
      <c r="AN1456" s="219"/>
      <c r="AO1456" s="116"/>
      <c r="AP1456" s="116"/>
      <c r="AU1456" s="332"/>
      <c r="AV1456" s="332"/>
      <c r="AW1456" s="332"/>
      <c r="AX1456" s="332"/>
      <c r="AY1456" s="332"/>
      <c r="AZ1456" s="332"/>
      <c r="BA1456" s="332"/>
      <c r="BB1456" s="31"/>
      <c r="BC1456" s="31"/>
      <c r="BD1456" s="31"/>
      <c r="BE1456" s="31"/>
    </row>
    <row r="1457" spans="1:57" ht="13">
      <c r="A1457" s="153"/>
      <c r="F1457" s="153"/>
      <c r="G1457" s="116"/>
      <c r="H1457" s="116"/>
      <c r="I1457" s="116"/>
      <c r="J1457" s="116"/>
      <c r="K1457" s="219"/>
      <c r="L1457" s="116"/>
      <c r="M1457" s="31"/>
      <c r="N1457" s="336"/>
      <c r="O1457" s="336"/>
      <c r="P1457" s="219"/>
      <c r="Q1457" s="332"/>
      <c r="R1457" s="219"/>
      <c r="S1457" s="332"/>
      <c r="T1457" s="219"/>
      <c r="U1457" s="332"/>
      <c r="V1457" s="332"/>
      <c r="W1457" s="370"/>
      <c r="X1457" s="370"/>
      <c r="Y1457" s="370"/>
      <c r="Z1457" s="370"/>
      <c r="AA1457" s="370"/>
      <c r="AB1457" s="370"/>
      <c r="AC1457" s="370"/>
      <c r="AD1457" s="370"/>
      <c r="AE1457" s="370"/>
      <c r="AF1457" s="370"/>
      <c r="AG1457" s="370"/>
      <c r="AH1457" s="370"/>
      <c r="AI1457" s="370"/>
      <c r="AJ1457" s="370"/>
      <c r="AL1457" s="219"/>
      <c r="AM1457" s="219"/>
      <c r="AN1457" s="219"/>
      <c r="AO1457" s="116"/>
      <c r="AP1457" s="116"/>
      <c r="AU1457" s="332"/>
      <c r="AV1457" s="332"/>
      <c r="AW1457" s="332"/>
      <c r="AX1457" s="332"/>
      <c r="AY1457" s="332"/>
      <c r="AZ1457" s="332"/>
      <c r="BA1457" s="332"/>
      <c r="BB1457" s="31"/>
      <c r="BC1457" s="31"/>
      <c r="BD1457" s="31"/>
      <c r="BE1457" s="31"/>
    </row>
    <row r="1458" spans="1:57" ht="13">
      <c r="A1458" s="153"/>
      <c r="F1458" s="153"/>
      <c r="G1458" s="116"/>
      <c r="H1458" s="116"/>
      <c r="I1458" s="116"/>
      <c r="J1458" s="116"/>
      <c r="K1458" s="219"/>
      <c r="L1458" s="116"/>
      <c r="M1458" s="31"/>
      <c r="N1458" s="336"/>
      <c r="O1458" s="336"/>
      <c r="P1458" s="219"/>
      <c r="Q1458" s="332"/>
      <c r="R1458" s="219"/>
      <c r="S1458" s="332"/>
      <c r="T1458" s="219"/>
      <c r="U1458" s="332"/>
      <c r="V1458" s="332"/>
      <c r="W1458" s="370"/>
      <c r="X1458" s="370"/>
      <c r="Y1458" s="370"/>
      <c r="Z1458" s="370"/>
      <c r="AA1458" s="370"/>
      <c r="AB1458" s="370"/>
      <c r="AC1458" s="370"/>
      <c r="AD1458" s="370"/>
      <c r="AE1458" s="370"/>
      <c r="AF1458" s="370"/>
      <c r="AG1458" s="370"/>
      <c r="AH1458" s="370"/>
      <c r="AI1458" s="370"/>
      <c r="AJ1458" s="370"/>
      <c r="AL1458" s="219"/>
      <c r="AM1458" s="219"/>
      <c r="AN1458" s="219"/>
      <c r="AO1458" s="116"/>
      <c r="AP1458" s="116"/>
      <c r="AU1458" s="332"/>
      <c r="AV1458" s="332"/>
      <c r="AW1458" s="332"/>
      <c r="AX1458" s="332"/>
      <c r="AY1458" s="332"/>
      <c r="AZ1458" s="332"/>
      <c r="BA1458" s="332"/>
      <c r="BB1458" s="31"/>
      <c r="BC1458" s="31"/>
      <c r="BD1458" s="31"/>
      <c r="BE1458" s="31"/>
    </row>
    <row r="1459" spans="1:57" ht="13">
      <c r="A1459" s="153"/>
      <c r="F1459" s="153"/>
      <c r="G1459" s="116"/>
      <c r="H1459" s="116"/>
      <c r="I1459" s="116"/>
      <c r="J1459" s="116"/>
      <c r="K1459" s="219"/>
      <c r="L1459" s="116"/>
      <c r="M1459" s="31"/>
      <c r="N1459" s="336"/>
      <c r="O1459" s="336"/>
      <c r="P1459" s="219"/>
      <c r="Q1459" s="332"/>
      <c r="R1459" s="219"/>
      <c r="S1459" s="332"/>
      <c r="T1459" s="219"/>
      <c r="U1459" s="332"/>
      <c r="V1459" s="332"/>
      <c r="W1459" s="370"/>
      <c r="X1459" s="370"/>
      <c r="Y1459" s="370"/>
      <c r="Z1459" s="370"/>
      <c r="AA1459" s="370"/>
      <c r="AB1459" s="370"/>
      <c r="AC1459" s="370"/>
      <c r="AD1459" s="370"/>
      <c r="AE1459" s="370"/>
      <c r="AF1459" s="370"/>
      <c r="AG1459" s="370"/>
      <c r="AH1459" s="370"/>
      <c r="AI1459" s="370"/>
      <c r="AJ1459" s="370"/>
      <c r="AL1459" s="219"/>
      <c r="AM1459" s="219"/>
      <c r="AN1459" s="219"/>
      <c r="AO1459" s="116"/>
      <c r="AP1459" s="116"/>
      <c r="AU1459" s="332"/>
      <c r="AV1459" s="332"/>
      <c r="AW1459" s="332"/>
      <c r="AX1459" s="332"/>
      <c r="AY1459" s="332"/>
      <c r="AZ1459" s="332"/>
      <c r="BA1459" s="332"/>
      <c r="BB1459" s="31"/>
      <c r="BC1459" s="31"/>
      <c r="BD1459" s="31"/>
      <c r="BE1459" s="31"/>
    </row>
    <row r="1460" spans="1:57" ht="13">
      <c r="A1460" s="153"/>
      <c r="F1460" s="153"/>
      <c r="G1460" s="116"/>
      <c r="H1460" s="116"/>
      <c r="I1460" s="116"/>
      <c r="J1460" s="116"/>
      <c r="K1460" s="219"/>
      <c r="L1460" s="116"/>
      <c r="M1460" s="31"/>
      <c r="N1460" s="336"/>
      <c r="O1460" s="336"/>
      <c r="P1460" s="219"/>
      <c r="Q1460" s="332"/>
      <c r="R1460" s="219"/>
      <c r="S1460" s="332"/>
      <c r="T1460" s="219"/>
      <c r="U1460" s="332"/>
      <c r="V1460" s="332"/>
      <c r="W1460" s="370"/>
      <c r="X1460" s="370"/>
      <c r="Y1460" s="370"/>
      <c r="Z1460" s="370"/>
      <c r="AA1460" s="370"/>
      <c r="AB1460" s="370"/>
      <c r="AC1460" s="370"/>
      <c r="AD1460" s="370"/>
      <c r="AE1460" s="370"/>
      <c r="AF1460" s="370"/>
      <c r="AG1460" s="370"/>
      <c r="AH1460" s="370"/>
      <c r="AI1460" s="370"/>
      <c r="AJ1460" s="370"/>
      <c r="AL1460" s="219"/>
      <c r="AM1460" s="219"/>
      <c r="AN1460" s="219"/>
      <c r="AO1460" s="116"/>
      <c r="AP1460" s="116"/>
      <c r="AU1460" s="332"/>
      <c r="AV1460" s="332"/>
      <c r="AW1460" s="332"/>
      <c r="AX1460" s="332"/>
      <c r="AY1460" s="332"/>
      <c r="AZ1460" s="332"/>
      <c r="BA1460" s="332"/>
      <c r="BB1460" s="31"/>
      <c r="BC1460" s="31"/>
      <c r="BD1460" s="31"/>
      <c r="BE1460" s="31"/>
    </row>
    <row r="1461" spans="1:57" ht="13">
      <c r="A1461" s="153"/>
      <c r="F1461" s="153"/>
      <c r="G1461" s="116"/>
      <c r="H1461" s="116"/>
      <c r="I1461" s="116"/>
      <c r="J1461" s="116"/>
      <c r="K1461" s="219"/>
      <c r="L1461" s="116"/>
      <c r="M1461" s="31"/>
      <c r="N1461" s="336"/>
      <c r="O1461" s="336"/>
      <c r="P1461" s="219"/>
      <c r="Q1461" s="332"/>
      <c r="R1461" s="219"/>
      <c r="S1461" s="332"/>
      <c r="T1461" s="219"/>
      <c r="U1461" s="332"/>
      <c r="V1461" s="332"/>
      <c r="W1461" s="370"/>
      <c r="X1461" s="370"/>
      <c r="Y1461" s="370"/>
      <c r="Z1461" s="370"/>
      <c r="AA1461" s="370"/>
      <c r="AB1461" s="370"/>
      <c r="AC1461" s="370"/>
      <c r="AD1461" s="370"/>
      <c r="AE1461" s="370"/>
      <c r="AF1461" s="370"/>
      <c r="AG1461" s="370"/>
      <c r="AH1461" s="370"/>
      <c r="AI1461" s="370"/>
      <c r="AJ1461" s="370"/>
      <c r="AL1461" s="219"/>
      <c r="AM1461" s="219"/>
      <c r="AN1461" s="219"/>
      <c r="AO1461" s="116"/>
      <c r="AP1461" s="116"/>
      <c r="AU1461" s="332"/>
      <c r="AV1461" s="332"/>
      <c r="AW1461" s="332"/>
      <c r="AX1461" s="332"/>
      <c r="AY1461" s="332"/>
      <c r="AZ1461" s="332"/>
      <c r="BA1461" s="332"/>
      <c r="BB1461" s="31"/>
      <c r="BC1461" s="31"/>
      <c r="BD1461" s="31"/>
      <c r="BE1461" s="31"/>
    </row>
    <row r="1462" spans="1:57" ht="13">
      <c r="A1462" s="153"/>
      <c r="F1462" s="153"/>
      <c r="G1462" s="116"/>
      <c r="H1462" s="116"/>
      <c r="I1462" s="116"/>
      <c r="J1462" s="116"/>
      <c r="K1462" s="219"/>
      <c r="L1462" s="116"/>
      <c r="M1462" s="31"/>
      <c r="N1462" s="336"/>
      <c r="O1462" s="336"/>
      <c r="P1462" s="219"/>
      <c r="Q1462" s="332"/>
      <c r="R1462" s="219"/>
      <c r="S1462" s="332"/>
      <c r="T1462" s="219"/>
      <c r="U1462" s="332"/>
      <c r="V1462" s="332"/>
      <c r="W1462" s="370"/>
      <c r="X1462" s="370"/>
      <c r="Y1462" s="370"/>
      <c r="Z1462" s="370"/>
      <c r="AA1462" s="370"/>
      <c r="AB1462" s="370"/>
      <c r="AC1462" s="370"/>
      <c r="AD1462" s="370"/>
      <c r="AE1462" s="370"/>
      <c r="AF1462" s="370"/>
      <c r="AG1462" s="370"/>
      <c r="AH1462" s="370"/>
      <c r="AI1462" s="370"/>
      <c r="AJ1462" s="370"/>
      <c r="AL1462" s="219"/>
      <c r="AM1462" s="219"/>
      <c r="AN1462" s="219"/>
      <c r="AO1462" s="116"/>
      <c r="AP1462" s="116"/>
      <c r="AU1462" s="332"/>
      <c r="AV1462" s="332"/>
      <c r="AW1462" s="332"/>
      <c r="AX1462" s="332"/>
      <c r="AY1462" s="332"/>
      <c r="AZ1462" s="332"/>
      <c r="BA1462" s="332"/>
      <c r="BB1462" s="31"/>
      <c r="BC1462" s="31"/>
      <c r="BD1462" s="31"/>
      <c r="BE1462" s="31"/>
    </row>
    <row r="1463" spans="1:57" ht="13">
      <c r="A1463" s="153"/>
      <c r="F1463" s="153"/>
      <c r="G1463" s="116"/>
      <c r="H1463" s="116"/>
      <c r="I1463" s="116"/>
      <c r="J1463" s="116"/>
      <c r="K1463" s="219"/>
      <c r="L1463" s="116"/>
      <c r="M1463" s="31"/>
      <c r="N1463" s="336"/>
      <c r="O1463" s="336"/>
      <c r="P1463" s="219"/>
      <c r="Q1463" s="332"/>
      <c r="R1463" s="219"/>
      <c r="S1463" s="332"/>
      <c r="T1463" s="219"/>
      <c r="U1463" s="332"/>
      <c r="V1463" s="332"/>
      <c r="W1463" s="370"/>
      <c r="X1463" s="370"/>
      <c r="Y1463" s="370"/>
      <c r="Z1463" s="370"/>
      <c r="AA1463" s="370"/>
      <c r="AB1463" s="370"/>
      <c r="AC1463" s="370"/>
      <c r="AD1463" s="370"/>
      <c r="AE1463" s="370"/>
      <c r="AF1463" s="370"/>
      <c r="AG1463" s="370"/>
      <c r="AH1463" s="370"/>
      <c r="AI1463" s="370"/>
      <c r="AJ1463" s="370"/>
      <c r="AL1463" s="219"/>
      <c r="AM1463" s="219"/>
      <c r="AN1463" s="219"/>
      <c r="AO1463" s="116"/>
      <c r="AP1463" s="116"/>
      <c r="AU1463" s="332"/>
      <c r="AV1463" s="332"/>
      <c r="AW1463" s="332"/>
      <c r="AX1463" s="332"/>
      <c r="AY1463" s="332"/>
      <c r="AZ1463" s="332"/>
      <c r="BA1463" s="332"/>
      <c r="BB1463" s="31"/>
      <c r="BC1463" s="31"/>
      <c r="BD1463" s="31"/>
      <c r="BE1463" s="31"/>
    </row>
    <row r="1464" spans="1:57" ht="13">
      <c r="A1464" s="153"/>
      <c r="F1464" s="153"/>
      <c r="G1464" s="116"/>
      <c r="H1464" s="116"/>
      <c r="I1464" s="116"/>
      <c r="J1464" s="116"/>
      <c r="K1464" s="219"/>
      <c r="L1464" s="116"/>
      <c r="M1464" s="31"/>
      <c r="N1464" s="336"/>
      <c r="O1464" s="336"/>
      <c r="P1464" s="219"/>
      <c r="Q1464" s="332"/>
      <c r="R1464" s="219"/>
      <c r="S1464" s="332"/>
      <c r="T1464" s="219"/>
      <c r="U1464" s="332"/>
      <c r="V1464" s="332"/>
      <c r="W1464" s="370"/>
      <c r="X1464" s="370"/>
      <c r="Y1464" s="370"/>
      <c r="Z1464" s="370"/>
      <c r="AA1464" s="370"/>
      <c r="AB1464" s="370"/>
      <c r="AC1464" s="370"/>
      <c r="AD1464" s="370"/>
      <c r="AE1464" s="370"/>
      <c r="AF1464" s="370"/>
      <c r="AG1464" s="370"/>
      <c r="AH1464" s="370"/>
      <c r="AI1464" s="370"/>
      <c r="AJ1464" s="370"/>
      <c r="AL1464" s="219"/>
      <c r="AM1464" s="219"/>
      <c r="AN1464" s="219"/>
      <c r="AO1464" s="116"/>
      <c r="AP1464" s="116"/>
      <c r="AU1464" s="332"/>
      <c r="AV1464" s="332"/>
      <c r="AW1464" s="332"/>
      <c r="AX1464" s="332"/>
      <c r="AY1464" s="332"/>
      <c r="AZ1464" s="332"/>
      <c r="BA1464" s="332"/>
      <c r="BB1464" s="31"/>
      <c r="BC1464" s="31"/>
      <c r="BD1464" s="31"/>
      <c r="BE1464" s="31"/>
    </row>
    <row r="1465" spans="1:57" ht="13">
      <c r="A1465" s="153"/>
      <c r="F1465" s="153"/>
      <c r="G1465" s="116"/>
      <c r="H1465" s="116"/>
      <c r="I1465" s="116"/>
      <c r="J1465" s="116"/>
      <c r="K1465" s="219"/>
      <c r="L1465" s="116"/>
      <c r="M1465" s="31"/>
      <c r="N1465" s="336"/>
      <c r="O1465" s="336"/>
      <c r="P1465" s="219"/>
      <c r="Q1465" s="332"/>
      <c r="R1465" s="219"/>
      <c r="S1465" s="332"/>
      <c r="T1465" s="219"/>
      <c r="U1465" s="332"/>
      <c r="V1465" s="332"/>
      <c r="W1465" s="370"/>
      <c r="X1465" s="370"/>
      <c r="Y1465" s="370"/>
      <c r="Z1465" s="370"/>
      <c r="AA1465" s="370"/>
      <c r="AB1465" s="370"/>
      <c r="AC1465" s="370"/>
      <c r="AD1465" s="370"/>
      <c r="AE1465" s="370"/>
      <c r="AF1465" s="370"/>
      <c r="AG1465" s="370"/>
      <c r="AH1465" s="370"/>
      <c r="AI1465" s="370"/>
      <c r="AJ1465" s="370"/>
      <c r="AL1465" s="219"/>
      <c r="AM1465" s="219"/>
      <c r="AN1465" s="219"/>
      <c r="AO1465" s="116"/>
      <c r="AP1465" s="116"/>
      <c r="AU1465" s="332"/>
      <c r="AV1465" s="332"/>
      <c r="AW1465" s="332"/>
      <c r="AX1465" s="332"/>
      <c r="AY1465" s="332"/>
      <c r="AZ1465" s="332"/>
      <c r="BA1465" s="332"/>
      <c r="BB1465" s="31"/>
      <c r="BC1465" s="31"/>
      <c r="BD1465" s="31"/>
      <c r="BE1465" s="31"/>
    </row>
    <row r="1466" spans="1:57" ht="13">
      <c r="A1466" s="153"/>
      <c r="F1466" s="153"/>
      <c r="G1466" s="116"/>
      <c r="H1466" s="116"/>
      <c r="I1466" s="116"/>
      <c r="J1466" s="116"/>
      <c r="K1466" s="219"/>
      <c r="L1466" s="116"/>
      <c r="M1466" s="31"/>
      <c r="N1466" s="336"/>
      <c r="O1466" s="336"/>
      <c r="P1466" s="219"/>
      <c r="Q1466" s="332"/>
      <c r="R1466" s="219"/>
      <c r="S1466" s="332"/>
      <c r="T1466" s="219"/>
      <c r="U1466" s="332"/>
      <c r="V1466" s="332"/>
      <c r="W1466" s="370"/>
      <c r="X1466" s="370"/>
      <c r="Y1466" s="370"/>
      <c r="Z1466" s="370"/>
      <c r="AA1466" s="370"/>
      <c r="AB1466" s="370"/>
      <c r="AC1466" s="370"/>
      <c r="AD1466" s="370"/>
      <c r="AE1466" s="370"/>
      <c r="AF1466" s="370"/>
      <c r="AG1466" s="370"/>
      <c r="AH1466" s="370"/>
      <c r="AI1466" s="370"/>
      <c r="AJ1466" s="370"/>
      <c r="AL1466" s="219"/>
      <c r="AM1466" s="219"/>
      <c r="AN1466" s="219"/>
      <c r="AO1466" s="116"/>
      <c r="AP1466" s="116"/>
      <c r="AU1466" s="332"/>
      <c r="AV1466" s="332"/>
      <c r="AW1466" s="332"/>
      <c r="AX1466" s="332"/>
      <c r="AY1466" s="332"/>
      <c r="AZ1466" s="332"/>
      <c r="BA1466" s="332"/>
      <c r="BB1466" s="31"/>
      <c r="BC1466" s="31"/>
      <c r="BD1466" s="31"/>
      <c r="BE1466" s="31"/>
    </row>
    <row r="1467" spans="1:57" ht="13">
      <c r="A1467" s="153"/>
      <c r="F1467" s="153"/>
      <c r="G1467" s="116"/>
      <c r="H1467" s="116"/>
      <c r="I1467" s="116"/>
      <c r="J1467" s="116"/>
      <c r="K1467" s="219"/>
      <c r="L1467" s="116"/>
      <c r="M1467" s="31"/>
      <c r="N1467" s="336"/>
      <c r="O1467" s="336"/>
      <c r="P1467" s="219"/>
      <c r="Q1467" s="332"/>
      <c r="R1467" s="219"/>
      <c r="S1467" s="332"/>
      <c r="T1467" s="219"/>
      <c r="U1467" s="332"/>
      <c r="V1467" s="332"/>
      <c r="W1467" s="370"/>
      <c r="X1467" s="370"/>
      <c r="Y1467" s="370"/>
      <c r="Z1467" s="370"/>
      <c r="AA1467" s="370"/>
      <c r="AB1467" s="370"/>
      <c r="AC1467" s="370"/>
      <c r="AD1467" s="370"/>
      <c r="AE1467" s="370"/>
      <c r="AF1467" s="370"/>
      <c r="AG1467" s="370"/>
      <c r="AH1467" s="370"/>
      <c r="AI1467" s="370"/>
      <c r="AJ1467" s="370"/>
      <c r="AL1467" s="219"/>
      <c r="AM1467" s="219"/>
      <c r="AN1467" s="219"/>
      <c r="AO1467" s="116"/>
      <c r="AP1467" s="116"/>
      <c r="AU1467" s="332"/>
      <c r="AV1467" s="332"/>
      <c r="AW1467" s="332"/>
      <c r="AX1467" s="332"/>
      <c r="AY1467" s="332"/>
      <c r="AZ1467" s="332"/>
      <c r="BA1467" s="332"/>
      <c r="BB1467" s="31"/>
      <c r="BC1467" s="31"/>
      <c r="BD1467" s="31"/>
      <c r="BE1467" s="31"/>
    </row>
    <row r="1468" spans="1:57" ht="13">
      <c r="A1468" s="153"/>
      <c r="F1468" s="153"/>
      <c r="G1468" s="116"/>
      <c r="H1468" s="116"/>
      <c r="I1468" s="116"/>
      <c r="J1468" s="116"/>
      <c r="K1468" s="219"/>
      <c r="L1468" s="116"/>
      <c r="M1468" s="31"/>
      <c r="N1468" s="336"/>
      <c r="O1468" s="336"/>
      <c r="P1468" s="219"/>
      <c r="Q1468" s="332"/>
      <c r="R1468" s="219"/>
      <c r="S1468" s="332"/>
      <c r="T1468" s="219"/>
      <c r="U1468" s="332"/>
      <c r="V1468" s="332"/>
      <c r="W1468" s="370"/>
      <c r="X1468" s="370"/>
      <c r="Y1468" s="370"/>
      <c r="Z1468" s="370"/>
      <c r="AA1468" s="370"/>
      <c r="AB1468" s="370"/>
      <c r="AC1468" s="370"/>
      <c r="AD1468" s="370"/>
      <c r="AE1468" s="370"/>
      <c r="AF1468" s="370"/>
      <c r="AG1468" s="370"/>
      <c r="AH1468" s="370"/>
      <c r="AI1468" s="370"/>
      <c r="AJ1468" s="370"/>
      <c r="AL1468" s="219"/>
      <c r="AM1468" s="219"/>
      <c r="AN1468" s="219"/>
      <c r="AO1468" s="116"/>
      <c r="AP1468" s="116"/>
      <c r="AU1468" s="332"/>
      <c r="AV1468" s="332"/>
      <c r="AW1468" s="332"/>
      <c r="AX1468" s="332"/>
      <c r="AY1468" s="332"/>
      <c r="AZ1468" s="332"/>
      <c r="BA1468" s="332"/>
      <c r="BB1468" s="31"/>
      <c r="BC1468" s="31"/>
      <c r="BD1468" s="31"/>
      <c r="BE1468" s="31"/>
    </row>
    <row r="1469" spans="1:57" ht="13">
      <c r="A1469" s="153"/>
      <c r="F1469" s="153"/>
      <c r="G1469" s="116"/>
      <c r="H1469" s="116"/>
      <c r="I1469" s="116"/>
      <c r="J1469" s="116"/>
      <c r="K1469" s="219"/>
      <c r="L1469" s="116"/>
      <c r="M1469" s="31"/>
      <c r="N1469" s="336"/>
      <c r="O1469" s="336"/>
      <c r="P1469" s="219"/>
      <c r="Q1469" s="332"/>
      <c r="R1469" s="219"/>
      <c r="S1469" s="332"/>
      <c r="T1469" s="219"/>
      <c r="U1469" s="332"/>
      <c r="V1469" s="332"/>
      <c r="W1469" s="370"/>
      <c r="X1469" s="370"/>
      <c r="Y1469" s="370"/>
      <c r="Z1469" s="370"/>
      <c r="AA1469" s="370"/>
      <c r="AB1469" s="370"/>
      <c r="AC1469" s="370"/>
      <c r="AD1469" s="370"/>
      <c r="AE1469" s="370"/>
      <c r="AF1469" s="370"/>
      <c r="AG1469" s="370"/>
      <c r="AH1469" s="370"/>
      <c r="AI1469" s="370"/>
      <c r="AJ1469" s="370"/>
      <c r="AL1469" s="219"/>
      <c r="AM1469" s="219"/>
      <c r="AN1469" s="219"/>
      <c r="AO1469" s="116"/>
      <c r="AP1469" s="116"/>
      <c r="AU1469" s="332"/>
      <c r="AV1469" s="332"/>
      <c r="AW1469" s="332"/>
      <c r="AX1469" s="332"/>
      <c r="AY1469" s="332"/>
      <c r="AZ1469" s="332"/>
      <c r="BA1469" s="332"/>
      <c r="BB1469" s="31"/>
      <c r="BC1469" s="31"/>
      <c r="BD1469" s="31"/>
      <c r="BE1469" s="31"/>
    </row>
    <row r="1470" spans="1:57" ht="13">
      <c r="A1470" s="153"/>
      <c r="F1470" s="153"/>
      <c r="G1470" s="116"/>
      <c r="H1470" s="116"/>
      <c r="I1470" s="116"/>
      <c r="J1470" s="116"/>
      <c r="K1470" s="219"/>
      <c r="L1470" s="116"/>
      <c r="M1470" s="31"/>
      <c r="N1470" s="336"/>
      <c r="O1470" s="336"/>
      <c r="P1470" s="219"/>
      <c r="Q1470" s="332"/>
      <c r="R1470" s="219"/>
      <c r="S1470" s="332"/>
      <c r="T1470" s="219"/>
      <c r="U1470" s="332"/>
      <c r="V1470" s="332"/>
      <c r="W1470" s="370"/>
      <c r="X1470" s="370"/>
      <c r="Y1470" s="370"/>
      <c r="Z1470" s="370"/>
      <c r="AA1470" s="370"/>
      <c r="AB1470" s="370"/>
      <c r="AC1470" s="370"/>
      <c r="AD1470" s="370"/>
      <c r="AE1470" s="370"/>
      <c r="AF1470" s="370"/>
      <c r="AG1470" s="370"/>
      <c r="AH1470" s="370"/>
      <c r="AI1470" s="370"/>
      <c r="AJ1470" s="370"/>
      <c r="AL1470" s="219"/>
      <c r="AM1470" s="219"/>
      <c r="AN1470" s="219"/>
      <c r="AO1470" s="116"/>
      <c r="AP1470" s="116"/>
      <c r="AU1470" s="332"/>
      <c r="AV1470" s="332"/>
      <c r="AW1470" s="332"/>
      <c r="AX1470" s="332"/>
      <c r="AY1470" s="332"/>
      <c r="AZ1470" s="332"/>
      <c r="BA1470" s="332"/>
      <c r="BB1470" s="31"/>
      <c r="BC1470" s="31"/>
      <c r="BD1470" s="31"/>
      <c r="BE1470" s="31"/>
    </row>
    <row r="1471" spans="1:57" ht="13">
      <c r="A1471" s="153"/>
      <c r="F1471" s="153"/>
      <c r="G1471" s="116"/>
      <c r="H1471" s="116"/>
      <c r="I1471" s="116"/>
      <c r="J1471" s="116"/>
      <c r="K1471" s="219"/>
      <c r="L1471" s="116"/>
      <c r="M1471" s="31"/>
      <c r="N1471" s="336"/>
      <c r="O1471" s="336"/>
      <c r="P1471" s="219"/>
      <c r="Q1471" s="332"/>
      <c r="R1471" s="219"/>
      <c r="S1471" s="332"/>
      <c r="T1471" s="219"/>
      <c r="U1471" s="332"/>
      <c r="V1471" s="332"/>
      <c r="W1471" s="370"/>
      <c r="X1471" s="370"/>
      <c r="Y1471" s="370"/>
      <c r="Z1471" s="370"/>
      <c r="AA1471" s="370"/>
      <c r="AB1471" s="370"/>
      <c r="AC1471" s="370"/>
      <c r="AD1471" s="370"/>
      <c r="AE1471" s="370"/>
      <c r="AF1471" s="370"/>
      <c r="AG1471" s="370"/>
      <c r="AH1471" s="370"/>
      <c r="AI1471" s="370"/>
      <c r="AJ1471" s="370"/>
      <c r="AL1471" s="219"/>
      <c r="AM1471" s="219"/>
      <c r="AN1471" s="219"/>
      <c r="AO1471" s="116"/>
      <c r="AP1471" s="116"/>
      <c r="AU1471" s="332"/>
      <c r="AV1471" s="332"/>
      <c r="AW1471" s="332"/>
      <c r="AX1471" s="332"/>
      <c r="AY1471" s="332"/>
      <c r="AZ1471" s="332"/>
      <c r="BA1471" s="332"/>
      <c r="BB1471" s="31"/>
      <c r="BC1471" s="31"/>
      <c r="BD1471" s="31"/>
      <c r="BE1471" s="31"/>
    </row>
    <row r="1472" spans="1:57" ht="13">
      <c r="A1472" s="153"/>
      <c r="F1472" s="153"/>
      <c r="G1472" s="116"/>
      <c r="H1472" s="116"/>
      <c r="I1472" s="116"/>
      <c r="J1472" s="116"/>
      <c r="K1472" s="219"/>
      <c r="L1472" s="116"/>
      <c r="M1472" s="31"/>
      <c r="N1472" s="336"/>
      <c r="O1472" s="336"/>
      <c r="P1472" s="219"/>
      <c r="Q1472" s="332"/>
      <c r="R1472" s="219"/>
      <c r="S1472" s="332"/>
      <c r="T1472" s="219"/>
      <c r="U1472" s="332"/>
      <c r="V1472" s="332"/>
      <c r="W1472" s="370"/>
      <c r="X1472" s="370"/>
      <c r="Y1472" s="370"/>
      <c r="Z1472" s="370"/>
      <c r="AA1472" s="370"/>
      <c r="AB1472" s="370"/>
      <c r="AC1472" s="370"/>
      <c r="AD1472" s="370"/>
      <c r="AE1472" s="370"/>
      <c r="AF1472" s="370"/>
      <c r="AG1472" s="370"/>
      <c r="AH1472" s="370"/>
      <c r="AI1472" s="370"/>
      <c r="AJ1472" s="370"/>
      <c r="AL1472" s="219"/>
      <c r="AM1472" s="219"/>
      <c r="AN1472" s="219"/>
      <c r="AO1472" s="116"/>
      <c r="AP1472" s="116"/>
      <c r="AU1472" s="332"/>
      <c r="AV1472" s="332"/>
      <c r="AW1472" s="332"/>
      <c r="AX1472" s="332"/>
      <c r="AY1472" s="332"/>
      <c r="AZ1472" s="332"/>
      <c r="BA1472" s="332"/>
      <c r="BB1472" s="31"/>
      <c r="BC1472" s="31"/>
      <c r="BD1472" s="31"/>
      <c r="BE1472" s="31"/>
    </row>
    <row r="1473" spans="1:57" ht="13">
      <c r="A1473" s="153"/>
      <c r="F1473" s="153"/>
      <c r="G1473" s="116"/>
      <c r="H1473" s="116"/>
      <c r="I1473" s="116"/>
      <c r="J1473" s="116"/>
      <c r="K1473" s="219"/>
      <c r="L1473" s="116"/>
      <c r="M1473" s="31"/>
      <c r="N1473" s="336"/>
      <c r="O1473" s="336"/>
      <c r="P1473" s="219"/>
      <c r="Q1473" s="332"/>
      <c r="R1473" s="219"/>
      <c r="S1473" s="332"/>
      <c r="T1473" s="219"/>
      <c r="U1473" s="332"/>
      <c r="V1473" s="332"/>
      <c r="W1473" s="370"/>
      <c r="X1473" s="370"/>
      <c r="Y1473" s="370"/>
      <c r="Z1473" s="370"/>
      <c r="AA1473" s="370"/>
      <c r="AB1473" s="370"/>
      <c r="AC1473" s="370"/>
      <c r="AD1473" s="370"/>
      <c r="AE1473" s="370"/>
      <c r="AF1473" s="370"/>
      <c r="AG1473" s="370"/>
      <c r="AH1473" s="370"/>
      <c r="AI1473" s="370"/>
      <c r="AJ1473" s="370"/>
      <c r="AL1473" s="219"/>
      <c r="AM1473" s="219"/>
      <c r="AN1473" s="219"/>
      <c r="AO1473" s="116"/>
      <c r="AP1473" s="116"/>
      <c r="AU1473" s="332"/>
      <c r="AV1473" s="332"/>
      <c r="AW1473" s="332"/>
      <c r="AX1473" s="332"/>
      <c r="AY1473" s="332"/>
      <c r="AZ1473" s="332"/>
      <c r="BA1473" s="332"/>
      <c r="BB1473" s="31"/>
      <c r="BC1473" s="31"/>
      <c r="BD1473" s="31"/>
      <c r="BE1473" s="31"/>
    </row>
    <row r="1474" spans="1:57" ht="13">
      <c r="A1474" s="153"/>
      <c r="F1474" s="153"/>
      <c r="G1474" s="116"/>
      <c r="H1474" s="116"/>
      <c r="I1474" s="116"/>
      <c r="J1474" s="116"/>
      <c r="K1474" s="219"/>
      <c r="L1474" s="116"/>
      <c r="M1474" s="31"/>
      <c r="N1474" s="336"/>
      <c r="O1474" s="336"/>
      <c r="P1474" s="219"/>
      <c r="Q1474" s="332"/>
      <c r="R1474" s="219"/>
      <c r="S1474" s="332"/>
      <c r="T1474" s="219"/>
      <c r="U1474" s="332"/>
      <c r="V1474" s="332"/>
      <c r="W1474" s="370"/>
      <c r="X1474" s="370"/>
      <c r="Y1474" s="370"/>
      <c r="Z1474" s="370"/>
      <c r="AA1474" s="370"/>
      <c r="AB1474" s="370"/>
      <c r="AC1474" s="370"/>
      <c r="AD1474" s="370"/>
      <c r="AE1474" s="370"/>
      <c r="AF1474" s="370"/>
      <c r="AG1474" s="370"/>
      <c r="AH1474" s="370"/>
      <c r="AI1474" s="370"/>
      <c r="AJ1474" s="370"/>
      <c r="AL1474" s="219"/>
      <c r="AM1474" s="219"/>
      <c r="AN1474" s="219"/>
      <c r="AO1474" s="116"/>
      <c r="AP1474" s="116"/>
      <c r="AU1474" s="332"/>
      <c r="AV1474" s="332"/>
      <c r="AW1474" s="332"/>
      <c r="AX1474" s="332"/>
      <c r="AY1474" s="332"/>
      <c r="AZ1474" s="332"/>
      <c r="BA1474" s="332"/>
      <c r="BB1474" s="31"/>
      <c r="BC1474" s="31"/>
      <c r="BD1474" s="31"/>
      <c r="BE1474" s="31"/>
    </row>
    <row r="1475" spans="1:57" ht="13">
      <c r="A1475" s="153"/>
      <c r="F1475" s="153"/>
      <c r="G1475" s="116"/>
      <c r="H1475" s="116"/>
      <c r="I1475" s="116"/>
      <c r="J1475" s="116"/>
      <c r="K1475" s="219"/>
      <c r="L1475" s="116"/>
      <c r="M1475" s="31"/>
      <c r="N1475" s="336"/>
      <c r="O1475" s="336"/>
      <c r="P1475" s="219"/>
      <c r="Q1475" s="332"/>
      <c r="R1475" s="219"/>
      <c r="S1475" s="332"/>
      <c r="T1475" s="219"/>
      <c r="U1475" s="332"/>
      <c r="V1475" s="332"/>
      <c r="W1475" s="370"/>
      <c r="X1475" s="370"/>
      <c r="Y1475" s="370"/>
      <c r="Z1475" s="370"/>
      <c r="AA1475" s="370"/>
      <c r="AB1475" s="370"/>
      <c r="AC1475" s="370"/>
      <c r="AD1475" s="370"/>
      <c r="AE1475" s="370"/>
      <c r="AF1475" s="370"/>
      <c r="AG1475" s="370"/>
      <c r="AH1475" s="370"/>
      <c r="AI1475" s="370"/>
      <c r="AJ1475" s="370"/>
      <c r="AL1475" s="219"/>
      <c r="AM1475" s="219"/>
      <c r="AN1475" s="219"/>
      <c r="AO1475" s="116"/>
      <c r="AP1475" s="116"/>
      <c r="AU1475" s="332"/>
      <c r="AV1475" s="332"/>
      <c r="AW1475" s="332"/>
      <c r="AX1475" s="332"/>
      <c r="AY1475" s="332"/>
      <c r="AZ1475" s="332"/>
      <c r="BA1475" s="332"/>
      <c r="BB1475" s="31"/>
      <c r="BC1475" s="31"/>
      <c r="BD1475" s="31"/>
      <c r="BE1475" s="31"/>
    </row>
    <row r="1476" spans="1:57" ht="13">
      <c r="A1476" s="153"/>
      <c r="F1476" s="153"/>
      <c r="G1476" s="116"/>
      <c r="H1476" s="116"/>
      <c r="I1476" s="116"/>
      <c r="J1476" s="116"/>
      <c r="K1476" s="219"/>
      <c r="L1476" s="116"/>
      <c r="M1476" s="31"/>
      <c r="N1476" s="336"/>
      <c r="O1476" s="336"/>
      <c r="P1476" s="219"/>
      <c r="Q1476" s="332"/>
      <c r="R1476" s="219"/>
      <c r="S1476" s="332"/>
      <c r="T1476" s="219"/>
      <c r="U1476" s="332"/>
      <c r="V1476" s="332"/>
      <c r="W1476" s="370"/>
      <c r="X1476" s="370"/>
      <c r="Y1476" s="370"/>
      <c r="Z1476" s="370"/>
      <c r="AA1476" s="370"/>
      <c r="AB1476" s="370"/>
      <c r="AC1476" s="370"/>
      <c r="AD1476" s="370"/>
      <c r="AE1476" s="370"/>
      <c r="AF1476" s="370"/>
      <c r="AG1476" s="370"/>
      <c r="AH1476" s="370"/>
      <c r="AI1476" s="370"/>
      <c r="AJ1476" s="370"/>
      <c r="AL1476" s="219"/>
      <c r="AM1476" s="219"/>
      <c r="AN1476" s="219"/>
      <c r="AO1476" s="116"/>
      <c r="AP1476" s="116"/>
      <c r="AU1476" s="332"/>
      <c r="AV1476" s="332"/>
      <c r="AW1476" s="332"/>
      <c r="AX1476" s="332"/>
      <c r="AY1476" s="332"/>
      <c r="AZ1476" s="332"/>
      <c r="BA1476" s="332"/>
      <c r="BB1476" s="31"/>
      <c r="BC1476" s="31"/>
      <c r="BD1476" s="31"/>
      <c r="BE1476" s="31"/>
    </row>
    <row r="1477" spans="1:57" ht="13">
      <c r="A1477" s="153"/>
      <c r="F1477" s="153"/>
      <c r="G1477" s="116"/>
      <c r="H1477" s="116"/>
      <c r="I1477" s="116"/>
      <c r="J1477" s="116"/>
      <c r="K1477" s="219"/>
      <c r="L1477" s="116"/>
      <c r="M1477" s="31"/>
      <c r="N1477" s="336"/>
      <c r="O1477" s="336"/>
      <c r="P1477" s="219"/>
      <c r="Q1477" s="332"/>
      <c r="R1477" s="219"/>
      <c r="S1477" s="332"/>
      <c r="T1477" s="219"/>
      <c r="U1477" s="332"/>
      <c r="V1477" s="332"/>
      <c r="W1477" s="370"/>
      <c r="X1477" s="370"/>
      <c r="Y1477" s="370"/>
      <c r="Z1477" s="370"/>
      <c r="AA1477" s="370"/>
      <c r="AB1477" s="370"/>
      <c r="AC1477" s="370"/>
      <c r="AD1477" s="370"/>
      <c r="AE1477" s="370"/>
      <c r="AF1477" s="370"/>
      <c r="AG1477" s="370"/>
      <c r="AH1477" s="370"/>
      <c r="AI1477" s="370"/>
      <c r="AJ1477" s="370"/>
      <c r="AL1477" s="219"/>
      <c r="AM1477" s="219"/>
      <c r="AN1477" s="219"/>
      <c r="AO1477" s="116"/>
      <c r="AP1477" s="116"/>
      <c r="AU1477" s="332"/>
      <c r="AV1477" s="332"/>
      <c r="AW1477" s="332"/>
      <c r="AX1477" s="332"/>
      <c r="AY1477" s="332"/>
      <c r="AZ1477" s="332"/>
      <c r="BA1477" s="332"/>
      <c r="BB1477" s="31"/>
      <c r="BC1477" s="31"/>
      <c r="BD1477" s="31"/>
      <c r="BE1477" s="31"/>
    </row>
    <row r="1478" spans="1:57" ht="13">
      <c r="A1478" s="153"/>
      <c r="F1478" s="153"/>
      <c r="G1478" s="116"/>
      <c r="H1478" s="116"/>
      <c r="I1478" s="116"/>
      <c r="J1478" s="116"/>
      <c r="K1478" s="219"/>
      <c r="L1478" s="116"/>
      <c r="M1478" s="31"/>
      <c r="N1478" s="336"/>
      <c r="O1478" s="336"/>
      <c r="P1478" s="219"/>
      <c r="Q1478" s="332"/>
      <c r="R1478" s="219"/>
      <c r="S1478" s="332"/>
      <c r="T1478" s="219"/>
      <c r="U1478" s="332"/>
      <c r="V1478" s="332"/>
      <c r="W1478" s="370"/>
      <c r="X1478" s="370"/>
      <c r="Y1478" s="370"/>
      <c r="Z1478" s="370"/>
      <c r="AA1478" s="370"/>
      <c r="AB1478" s="370"/>
      <c r="AC1478" s="370"/>
      <c r="AD1478" s="370"/>
      <c r="AE1478" s="370"/>
      <c r="AF1478" s="370"/>
      <c r="AG1478" s="370"/>
      <c r="AH1478" s="370"/>
      <c r="AI1478" s="370"/>
      <c r="AJ1478" s="370"/>
      <c r="AL1478" s="219"/>
      <c r="AM1478" s="219"/>
      <c r="AN1478" s="219"/>
      <c r="AO1478" s="116"/>
      <c r="AP1478" s="116"/>
      <c r="AU1478" s="332"/>
      <c r="AV1478" s="332"/>
      <c r="AW1478" s="332"/>
      <c r="AX1478" s="332"/>
      <c r="AY1478" s="332"/>
      <c r="AZ1478" s="332"/>
      <c r="BA1478" s="332"/>
      <c r="BB1478" s="31"/>
      <c r="BC1478" s="31"/>
      <c r="BD1478" s="31"/>
      <c r="BE1478" s="31"/>
    </row>
    <row r="1479" spans="1:57" ht="13">
      <c r="A1479" s="153"/>
      <c r="F1479" s="153"/>
      <c r="G1479" s="116"/>
      <c r="H1479" s="116"/>
      <c r="I1479" s="116"/>
      <c r="J1479" s="116"/>
      <c r="K1479" s="219"/>
      <c r="L1479" s="116"/>
      <c r="M1479" s="31"/>
      <c r="N1479" s="336"/>
      <c r="O1479" s="336"/>
      <c r="P1479" s="219"/>
      <c r="Q1479" s="332"/>
      <c r="R1479" s="219"/>
      <c r="S1479" s="332"/>
      <c r="T1479" s="219"/>
      <c r="U1479" s="332"/>
      <c r="V1479" s="332"/>
      <c r="W1479" s="370"/>
      <c r="X1479" s="370"/>
      <c r="Y1479" s="370"/>
      <c r="Z1479" s="370"/>
      <c r="AA1479" s="370"/>
      <c r="AB1479" s="370"/>
      <c r="AC1479" s="370"/>
      <c r="AD1479" s="370"/>
      <c r="AE1479" s="370"/>
      <c r="AF1479" s="370"/>
      <c r="AG1479" s="370"/>
      <c r="AH1479" s="370"/>
      <c r="AI1479" s="370"/>
      <c r="AJ1479" s="370"/>
      <c r="AL1479" s="219"/>
      <c r="AM1479" s="219"/>
      <c r="AN1479" s="219"/>
      <c r="AO1479" s="116"/>
      <c r="AP1479" s="116"/>
      <c r="AU1479" s="332"/>
      <c r="AV1479" s="332"/>
      <c r="AW1479" s="332"/>
      <c r="AX1479" s="332"/>
      <c r="AY1479" s="332"/>
      <c r="AZ1479" s="332"/>
      <c r="BA1479" s="332"/>
      <c r="BB1479" s="31"/>
      <c r="BC1479" s="31"/>
      <c r="BD1479" s="31"/>
      <c r="BE1479" s="31"/>
    </row>
    <row r="1480" spans="1:57" ht="13">
      <c r="A1480" s="153"/>
      <c r="F1480" s="153"/>
      <c r="G1480" s="116"/>
      <c r="H1480" s="116"/>
      <c r="I1480" s="116"/>
      <c r="J1480" s="116"/>
      <c r="K1480" s="219"/>
      <c r="L1480" s="116"/>
      <c r="M1480" s="31"/>
      <c r="N1480" s="336"/>
      <c r="O1480" s="336"/>
      <c r="P1480" s="219"/>
      <c r="Q1480" s="332"/>
      <c r="R1480" s="219"/>
      <c r="S1480" s="332"/>
      <c r="T1480" s="219"/>
      <c r="U1480" s="332"/>
      <c r="V1480" s="332"/>
      <c r="W1480" s="370"/>
      <c r="X1480" s="370"/>
      <c r="Y1480" s="370"/>
      <c r="Z1480" s="370"/>
      <c r="AA1480" s="370"/>
      <c r="AB1480" s="370"/>
      <c r="AC1480" s="370"/>
      <c r="AD1480" s="370"/>
      <c r="AE1480" s="370"/>
      <c r="AF1480" s="370"/>
      <c r="AG1480" s="370"/>
      <c r="AH1480" s="370"/>
      <c r="AI1480" s="370"/>
      <c r="AJ1480" s="370"/>
      <c r="AL1480" s="219"/>
      <c r="AM1480" s="219"/>
      <c r="AN1480" s="219"/>
      <c r="AO1480" s="116"/>
      <c r="AP1480" s="116"/>
      <c r="AU1480" s="332"/>
      <c r="AV1480" s="332"/>
      <c r="AW1480" s="332"/>
      <c r="AX1480" s="332"/>
      <c r="AY1480" s="332"/>
      <c r="AZ1480" s="332"/>
      <c r="BA1480" s="332"/>
      <c r="BB1480" s="31"/>
      <c r="BC1480" s="31"/>
      <c r="BD1480" s="31"/>
      <c r="BE1480" s="31"/>
    </row>
    <row r="1481" spans="1:57" ht="13">
      <c r="A1481" s="153"/>
      <c r="F1481" s="153"/>
      <c r="G1481" s="116"/>
      <c r="H1481" s="116"/>
      <c r="I1481" s="116"/>
      <c r="J1481" s="116"/>
      <c r="K1481" s="219"/>
      <c r="L1481" s="116"/>
      <c r="M1481" s="31"/>
      <c r="N1481" s="336"/>
      <c r="O1481" s="336"/>
      <c r="P1481" s="219"/>
      <c r="Q1481" s="332"/>
      <c r="R1481" s="219"/>
      <c r="S1481" s="332"/>
      <c r="T1481" s="219"/>
      <c r="U1481" s="332"/>
      <c r="V1481" s="332"/>
      <c r="W1481" s="370"/>
      <c r="X1481" s="370"/>
      <c r="Y1481" s="370"/>
      <c r="Z1481" s="370"/>
      <c r="AA1481" s="370"/>
      <c r="AB1481" s="370"/>
      <c r="AC1481" s="370"/>
      <c r="AD1481" s="370"/>
      <c r="AE1481" s="370"/>
      <c r="AF1481" s="370"/>
      <c r="AG1481" s="370"/>
      <c r="AH1481" s="370"/>
      <c r="AI1481" s="370"/>
      <c r="AJ1481" s="370"/>
      <c r="AL1481" s="219"/>
      <c r="AM1481" s="219"/>
      <c r="AN1481" s="219"/>
      <c r="AO1481" s="116"/>
      <c r="AP1481" s="116"/>
      <c r="AU1481" s="332"/>
      <c r="AV1481" s="332"/>
      <c r="AW1481" s="332"/>
      <c r="AX1481" s="332"/>
      <c r="AY1481" s="332"/>
      <c r="AZ1481" s="332"/>
      <c r="BA1481" s="332"/>
      <c r="BB1481" s="31"/>
      <c r="BC1481" s="31"/>
      <c r="BD1481" s="31"/>
      <c r="BE1481" s="31"/>
    </row>
    <row r="1482" spans="1:57" ht="13">
      <c r="A1482" s="153"/>
      <c r="F1482" s="153"/>
      <c r="G1482" s="116"/>
      <c r="H1482" s="116"/>
      <c r="I1482" s="116"/>
      <c r="J1482" s="116"/>
      <c r="K1482" s="219"/>
      <c r="L1482" s="116"/>
      <c r="M1482" s="31"/>
      <c r="N1482" s="336"/>
      <c r="O1482" s="336"/>
      <c r="P1482" s="219"/>
      <c r="Q1482" s="332"/>
      <c r="R1482" s="219"/>
      <c r="S1482" s="332"/>
      <c r="T1482" s="219"/>
      <c r="U1482" s="332"/>
      <c r="V1482" s="332"/>
      <c r="W1482" s="370"/>
      <c r="X1482" s="370"/>
      <c r="Y1482" s="370"/>
      <c r="Z1482" s="370"/>
      <c r="AA1482" s="370"/>
      <c r="AB1482" s="370"/>
      <c r="AC1482" s="370"/>
      <c r="AD1482" s="370"/>
      <c r="AE1482" s="370"/>
      <c r="AF1482" s="370"/>
      <c r="AG1482" s="370"/>
      <c r="AH1482" s="370"/>
      <c r="AI1482" s="370"/>
      <c r="AJ1482" s="370"/>
      <c r="AL1482" s="219"/>
      <c r="AM1482" s="219"/>
      <c r="AN1482" s="219"/>
      <c r="AO1482" s="116"/>
      <c r="AP1482" s="116"/>
      <c r="AU1482" s="332"/>
      <c r="AV1482" s="332"/>
      <c r="AW1482" s="332"/>
      <c r="AX1482" s="332"/>
      <c r="AY1482" s="332"/>
      <c r="AZ1482" s="332"/>
      <c r="BA1482" s="332"/>
      <c r="BB1482" s="31"/>
      <c r="BC1482" s="31"/>
      <c r="BD1482" s="31"/>
      <c r="BE1482" s="31"/>
    </row>
    <row r="1483" spans="1:57" ht="13">
      <c r="A1483" s="153"/>
      <c r="F1483" s="153"/>
      <c r="G1483" s="116"/>
      <c r="H1483" s="116"/>
      <c r="I1483" s="116"/>
      <c r="J1483" s="116"/>
      <c r="K1483" s="219"/>
      <c r="L1483" s="116"/>
      <c r="M1483" s="31"/>
      <c r="N1483" s="336"/>
      <c r="O1483" s="336"/>
      <c r="P1483" s="219"/>
      <c r="Q1483" s="332"/>
      <c r="R1483" s="219"/>
      <c r="S1483" s="332"/>
      <c r="T1483" s="219"/>
      <c r="U1483" s="332"/>
      <c r="V1483" s="332"/>
      <c r="W1483" s="370"/>
      <c r="X1483" s="370"/>
      <c r="Y1483" s="370"/>
      <c r="Z1483" s="370"/>
      <c r="AA1483" s="370"/>
      <c r="AB1483" s="370"/>
      <c r="AC1483" s="370"/>
      <c r="AD1483" s="370"/>
      <c r="AE1483" s="370"/>
      <c r="AF1483" s="370"/>
      <c r="AG1483" s="370"/>
      <c r="AH1483" s="370"/>
      <c r="AI1483" s="370"/>
      <c r="AJ1483" s="370"/>
      <c r="AL1483" s="219"/>
      <c r="AM1483" s="219"/>
      <c r="AN1483" s="219"/>
      <c r="AO1483" s="116"/>
      <c r="AP1483" s="116"/>
      <c r="AU1483" s="332"/>
      <c r="AV1483" s="332"/>
      <c r="AW1483" s="332"/>
      <c r="AX1483" s="332"/>
      <c r="AY1483" s="332"/>
      <c r="AZ1483" s="332"/>
      <c r="BA1483" s="332"/>
      <c r="BB1483" s="31"/>
      <c r="BC1483" s="31"/>
      <c r="BD1483" s="31"/>
      <c r="BE1483" s="31"/>
    </row>
    <row r="1484" spans="1:57" ht="13">
      <c r="A1484" s="153"/>
      <c r="F1484" s="153"/>
      <c r="G1484" s="116"/>
      <c r="H1484" s="116"/>
      <c r="I1484" s="116"/>
      <c r="J1484" s="116"/>
      <c r="K1484" s="219"/>
      <c r="L1484" s="116"/>
      <c r="M1484" s="31"/>
      <c r="N1484" s="336"/>
      <c r="O1484" s="336"/>
      <c r="P1484" s="219"/>
      <c r="Q1484" s="332"/>
      <c r="R1484" s="219"/>
      <c r="S1484" s="332"/>
      <c r="T1484" s="219"/>
      <c r="U1484" s="332"/>
      <c r="V1484" s="332"/>
      <c r="W1484" s="370"/>
      <c r="X1484" s="370"/>
      <c r="Y1484" s="370"/>
      <c r="Z1484" s="370"/>
      <c r="AA1484" s="370"/>
      <c r="AB1484" s="370"/>
      <c r="AC1484" s="370"/>
      <c r="AD1484" s="370"/>
      <c r="AE1484" s="370"/>
      <c r="AF1484" s="370"/>
      <c r="AG1484" s="370"/>
      <c r="AH1484" s="370"/>
      <c r="AI1484" s="370"/>
      <c r="AJ1484" s="370"/>
      <c r="AL1484" s="219"/>
      <c r="AM1484" s="219"/>
      <c r="AN1484" s="219"/>
      <c r="AO1484" s="116"/>
      <c r="AP1484" s="116"/>
      <c r="AU1484" s="332"/>
      <c r="AV1484" s="332"/>
      <c r="AW1484" s="332"/>
      <c r="AX1484" s="332"/>
      <c r="AY1484" s="332"/>
      <c r="AZ1484" s="332"/>
      <c r="BA1484" s="332"/>
      <c r="BB1484" s="31"/>
      <c r="BC1484" s="31"/>
      <c r="BD1484" s="31"/>
      <c r="BE1484" s="31"/>
    </row>
    <row r="1485" spans="1:57" ht="13">
      <c r="A1485" s="153"/>
      <c r="F1485" s="153"/>
      <c r="G1485" s="116"/>
      <c r="H1485" s="116"/>
      <c r="I1485" s="116"/>
      <c r="J1485" s="116"/>
      <c r="K1485" s="219"/>
      <c r="L1485" s="116"/>
      <c r="M1485" s="31"/>
      <c r="N1485" s="336"/>
      <c r="O1485" s="336"/>
      <c r="P1485" s="219"/>
      <c r="Q1485" s="332"/>
      <c r="R1485" s="219"/>
      <c r="S1485" s="332"/>
      <c r="T1485" s="219"/>
      <c r="U1485" s="332"/>
      <c r="V1485" s="332"/>
      <c r="W1485" s="370"/>
      <c r="X1485" s="370"/>
      <c r="Y1485" s="370"/>
      <c r="Z1485" s="370"/>
      <c r="AA1485" s="370"/>
      <c r="AB1485" s="370"/>
      <c r="AC1485" s="370"/>
      <c r="AD1485" s="370"/>
      <c r="AE1485" s="370"/>
      <c r="AF1485" s="370"/>
      <c r="AG1485" s="370"/>
      <c r="AH1485" s="370"/>
      <c r="AI1485" s="370"/>
      <c r="AJ1485" s="370"/>
      <c r="AL1485" s="219"/>
      <c r="AM1485" s="219"/>
      <c r="AN1485" s="219"/>
      <c r="AO1485" s="116"/>
      <c r="AP1485" s="116"/>
      <c r="AU1485" s="332"/>
      <c r="AV1485" s="332"/>
      <c r="AW1485" s="332"/>
      <c r="AX1485" s="332"/>
      <c r="AY1485" s="332"/>
      <c r="AZ1485" s="332"/>
      <c r="BA1485" s="332"/>
      <c r="BB1485" s="31"/>
      <c r="BC1485" s="31"/>
      <c r="BD1485" s="31"/>
      <c r="BE1485" s="31"/>
    </row>
    <row r="1486" spans="1:57" ht="13">
      <c r="A1486" s="153"/>
      <c r="F1486" s="153"/>
      <c r="G1486" s="116"/>
      <c r="H1486" s="116"/>
      <c r="I1486" s="116"/>
      <c r="J1486" s="116"/>
      <c r="K1486" s="219"/>
      <c r="L1486" s="116"/>
      <c r="M1486" s="31"/>
      <c r="N1486" s="336"/>
      <c r="O1486" s="336"/>
      <c r="P1486" s="219"/>
      <c r="Q1486" s="332"/>
      <c r="R1486" s="219"/>
      <c r="S1486" s="332"/>
      <c r="T1486" s="219"/>
      <c r="U1486" s="332"/>
      <c r="V1486" s="332"/>
      <c r="W1486" s="370"/>
      <c r="X1486" s="370"/>
      <c r="Y1486" s="370"/>
      <c r="Z1486" s="370"/>
      <c r="AA1486" s="370"/>
      <c r="AB1486" s="370"/>
      <c r="AC1486" s="370"/>
      <c r="AD1486" s="370"/>
      <c r="AE1486" s="370"/>
      <c r="AF1486" s="370"/>
      <c r="AG1486" s="370"/>
      <c r="AH1486" s="370"/>
      <c r="AI1486" s="370"/>
      <c r="AJ1486" s="370"/>
      <c r="AL1486" s="219"/>
      <c r="AM1486" s="219"/>
      <c r="AN1486" s="219"/>
      <c r="AO1486" s="116"/>
      <c r="AP1486" s="116"/>
      <c r="AU1486" s="332"/>
      <c r="AV1486" s="332"/>
      <c r="AW1486" s="332"/>
      <c r="AX1486" s="332"/>
      <c r="AY1486" s="332"/>
      <c r="AZ1486" s="332"/>
      <c r="BA1486" s="332"/>
      <c r="BB1486" s="31"/>
      <c r="BC1486" s="31"/>
      <c r="BD1486" s="31"/>
      <c r="BE1486" s="31"/>
    </row>
    <row r="1487" spans="1:57" ht="13">
      <c r="A1487" s="153"/>
      <c r="F1487" s="153"/>
      <c r="G1487" s="116"/>
      <c r="H1487" s="116"/>
      <c r="I1487" s="116"/>
      <c r="J1487" s="116"/>
      <c r="K1487" s="219"/>
      <c r="L1487" s="116"/>
      <c r="M1487" s="31"/>
      <c r="N1487" s="336"/>
      <c r="O1487" s="336"/>
      <c r="P1487" s="219"/>
      <c r="Q1487" s="332"/>
      <c r="R1487" s="219"/>
      <c r="S1487" s="332"/>
      <c r="T1487" s="219"/>
      <c r="U1487" s="332"/>
      <c r="V1487" s="332"/>
      <c r="W1487" s="370"/>
      <c r="X1487" s="370"/>
      <c r="Y1487" s="370"/>
      <c r="Z1487" s="370"/>
      <c r="AA1487" s="370"/>
      <c r="AB1487" s="370"/>
      <c r="AC1487" s="370"/>
      <c r="AD1487" s="370"/>
      <c r="AE1487" s="370"/>
      <c r="AF1487" s="370"/>
      <c r="AG1487" s="370"/>
      <c r="AH1487" s="370"/>
      <c r="AI1487" s="370"/>
      <c r="AJ1487" s="370"/>
      <c r="AL1487" s="219"/>
      <c r="AM1487" s="219"/>
      <c r="AN1487" s="219"/>
      <c r="AO1487" s="116"/>
      <c r="AP1487" s="116"/>
      <c r="AU1487" s="332"/>
      <c r="AV1487" s="332"/>
      <c r="AW1487" s="332"/>
      <c r="AX1487" s="332"/>
      <c r="AY1487" s="332"/>
      <c r="AZ1487" s="332"/>
      <c r="BA1487" s="332"/>
      <c r="BB1487" s="31"/>
      <c r="BC1487" s="31"/>
      <c r="BD1487" s="31"/>
      <c r="BE1487" s="31"/>
    </row>
    <row r="1488" spans="1:57" ht="13">
      <c r="A1488" s="153"/>
      <c r="F1488" s="153"/>
      <c r="G1488" s="116"/>
      <c r="H1488" s="116"/>
      <c r="I1488" s="116"/>
      <c r="J1488" s="116"/>
      <c r="K1488" s="219"/>
      <c r="L1488" s="116"/>
      <c r="M1488" s="31"/>
      <c r="N1488" s="336"/>
      <c r="O1488" s="336"/>
      <c r="P1488" s="219"/>
      <c r="Q1488" s="332"/>
      <c r="R1488" s="219"/>
      <c r="S1488" s="332"/>
      <c r="T1488" s="219"/>
      <c r="U1488" s="332"/>
      <c r="V1488" s="332"/>
      <c r="W1488" s="370"/>
      <c r="X1488" s="370"/>
      <c r="Y1488" s="370"/>
      <c r="Z1488" s="370"/>
      <c r="AA1488" s="370"/>
      <c r="AB1488" s="370"/>
      <c r="AC1488" s="370"/>
      <c r="AD1488" s="370"/>
      <c r="AE1488" s="370"/>
      <c r="AF1488" s="370"/>
      <c r="AG1488" s="370"/>
      <c r="AH1488" s="370"/>
      <c r="AI1488" s="370"/>
      <c r="AJ1488" s="370"/>
      <c r="AL1488" s="219"/>
      <c r="AM1488" s="219"/>
      <c r="AN1488" s="219"/>
      <c r="AO1488" s="116"/>
      <c r="AP1488" s="116"/>
      <c r="AU1488" s="332"/>
      <c r="AV1488" s="332"/>
      <c r="AW1488" s="332"/>
      <c r="AX1488" s="332"/>
      <c r="AY1488" s="332"/>
      <c r="AZ1488" s="332"/>
      <c r="BA1488" s="332"/>
      <c r="BB1488" s="31"/>
      <c r="BC1488" s="31"/>
      <c r="BD1488" s="31"/>
      <c r="BE1488" s="31"/>
    </row>
    <row r="1489" spans="1:57" ht="13">
      <c r="A1489" s="153"/>
      <c r="F1489" s="153"/>
      <c r="G1489" s="116"/>
      <c r="H1489" s="116"/>
      <c r="I1489" s="116"/>
      <c r="J1489" s="116"/>
      <c r="K1489" s="219"/>
      <c r="L1489" s="116"/>
      <c r="M1489" s="31"/>
      <c r="N1489" s="336"/>
      <c r="O1489" s="336"/>
      <c r="P1489" s="219"/>
      <c r="Q1489" s="332"/>
      <c r="R1489" s="219"/>
      <c r="S1489" s="332"/>
      <c r="T1489" s="219"/>
      <c r="U1489" s="332"/>
      <c r="V1489" s="332"/>
      <c r="W1489" s="370"/>
      <c r="X1489" s="370"/>
      <c r="Y1489" s="370"/>
      <c r="Z1489" s="370"/>
      <c r="AA1489" s="370"/>
      <c r="AB1489" s="370"/>
      <c r="AC1489" s="370"/>
      <c r="AD1489" s="370"/>
      <c r="AE1489" s="370"/>
      <c r="AF1489" s="370"/>
      <c r="AG1489" s="370"/>
      <c r="AH1489" s="370"/>
      <c r="AI1489" s="370"/>
      <c r="AJ1489" s="370"/>
      <c r="AL1489" s="219"/>
      <c r="AM1489" s="219"/>
      <c r="AN1489" s="219"/>
      <c r="AO1489" s="116"/>
      <c r="AP1489" s="116"/>
      <c r="AU1489" s="332"/>
      <c r="AV1489" s="332"/>
      <c r="AW1489" s="332"/>
      <c r="AX1489" s="332"/>
      <c r="AY1489" s="332"/>
      <c r="AZ1489" s="332"/>
      <c r="BA1489" s="332"/>
      <c r="BB1489" s="31"/>
      <c r="BC1489" s="31"/>
      <c r="BD1489" s="31"/>
      <c r="BE1489" s="31"/>
    </row>
    <row r="1490" spans="1:57" ht="13">
      <c r="A1490" s="153"/>
      <c r="F1490" s="153"/>
      <c r="G1490" s="116"/>
      <c r="H1490" s="116"/>
      <c r="I1490" s="116"/>
      <c r="J1490" s="116"/>
      <c r="K1490" s="219"/>
      <c r="L1490" s="116"/>
      <c r="M1490" s="31"/>
      <c r="N1490" s="336"/>
      <c r="O1490" s="336"/>
      <c r="P1490" s="219"/>
      <c r="Q1490" s="332"/>
      <c r="R1490" s="219"/>
      <c r="S1490" s="332"/>
      <c r="T1490" s="219"/>
      <c r="U1490" s="332"/>
      <c r="V1490" s="332"/>
      <c r="W1490" s="370"/>
      <c r="X1490" s="370"/>
      <c r="Y1490" s="370"/>
      <c r="Z1490" s="370"/>
      <c r="AA1490" s="370"/>
      <c r="AB1490" s="370"/>
      <c r="AC1490" s="370"/>
      <c r="AD1490" s="370"/>
      <c r="AE1490" s="370"/>
      <c r="AF1490" s="370"/>
      <c r="AG1490" s="370"/>
      <c r="AH1490" s="370"/>
      <c r="AI1490" s="370"/>
      <c r="AJ1490" s="370"/>
      <c r="AL1490" s="219"/>
      <c r="AM1490" s="219"/>
      <c r="AN1490" s="219"/>
      <c r="AO1490" s="116"/>
      <c r="AP1490" s="116"/>
      <c r="AU1490" s="332"/>
      <c r="AV1490" s="332"/>
      <c r="AW1490" s="332"/>
      <c r="AX1490" s="332"/>
      <c r="AY1490" s="332"/>
      <c r="AZ1490" s="332"/>
      <c r="BA1490" s="332"/>
      <c r="BB1490" s="31"/>
      <c r="BC1490" s="31"/>
      <c r="BD1490" s="31"/>
      <c r="BE1490" s="31"/>
    </row>
    <row r="1491" spans="1:57" ht="13">
      <c r="A1491" s="153"/>
      <c r="F1491" s="153"/>
      <c r="G1491" s="116"/>
      <c r="H1491" s="116"/>
      <c r="I1491" s="116"/>
      <c r="J1491" s="116"/>
      <c r="K1491" s="219"/>
      <c r="L1491" s="116"/>
      <c r="M1491" s="31"/>
      <c r="N1491" s="336"/>
      <c r="O1491" s="336"/>
      <c r="P1491" s="219"/>
      <c r="Q1491" s="332"/>
      <c r="R1491" s="219"/>
      <c r="S1491" s="332"/>
      <c r="T1491" s="219"/>
      <c r="U1491" s="332"/>
      <c r="V1491" s="332"/>
      <c r="W1491" s="370"/>
      <c r="X1491" s="370"/>
      <c r="Y1491" s="370"/>
      <c r="Z1491" s="370"/>
      <c r="AA1491" s="370"/>
      <c r="AB1491" s="370"/>
      <c r="AC1491" s="370"/>
      <c r="AD1491" s="370"/>
      <c r="AE1491" s="370"/>
      <c r="AF1491" s="370"/>
      <c r="AG1491" s="370"/>
      <c r="AH1491" s="370"/>
      <c r="AI1491" s="370"/>
      <c r="AJ1491" s="370"/>
      <c r="AL1491" s="219"/>
      <c r="AM1491" s="219"/>
      <c r="AN1491" s="219"/>
      <c r="AO1491" s="116"/>
      <c r="AP1491" s="116"/>
      <c r="AU1491" s="332"/>
      <c r="AV1491" s="332"/>
      <c r="AW1491" s="332"/>
      <c r="AX1491" s="332"/>
      <c r="AY1491" s="332"/>
      <c r="AZ1491" s="332"/>
      <c r="BA1491" s="332"/>
      <c r="BB1491" s="31"/>
      <c r="BC1491" s="31"/>
      <c r="BD1491" s="31"/>
      <c r="BE1491" s="31"/>
    </row>
    <row r="1492" spans="1:57" ht="13">
      <c r="A1492" s="153"/>
      <c r="F1492" s="153"/>
      <c r="G1492" s="116"/>
      <c r="H1492" s="116"/>
      <c r="I1492" s="116"/>
      <c r="J1492" s="116"/>
      <c r="K1492" s="219"/>
      <c r="L1492" s="116"/>
      <c r="M1492" s="31"/>
      <c r="N1492" s="336"/>
      <c r="O1492" s="336"/>
      <c r="P1492" s="219"/>
      <c r="Q1492" s="332"/>
      <c r="R1492" s="219"/>
      <c r="S1492" s="332"/>
      <c r="T1492" s="219"/>
      <c r="U1492" s="332"/>
      <c r="V1492" s="332"/>
      <c r="W1492" s="370"/>
      <c r="X1492" s="370"/>
      <c r="Y1492" s="370"/>
      <c r="Z1492" s="370"/>
      <c r="AA1492" s="370"/>
      <c r="AB1492" s="370"/>
      <c r="AC1492" s="370"/>
      <c r="AD1492" s="370"/>
      <c r="AE1492" s="370"/>
      <c r="AF1492" s="370"/>
      <c r="AG1492" s="370"/>
      <c r="AH1492" s="370"/>
      <c r="AI1492" s="370"/>
      <c r="AJ1492" s="370"/>
      <c r="AL1492" s="219"/>
      <c r="AM1492" s="219"/>
      <c r="AN1492" s="219"/>
      <c r="AO1492" s="116"/>
      <c r="AP1492" s="116"/>
      <c r="AU1492" s="332"/>
      <c r="AV1492" s="332"/>
      <c r="AW1492" s="332"/>
      <c r="AX1492" s="332"/>
      <c r="AY1492" s="332"/>
      <c r="AZ1492" s="332"/>
      <c r="BA1492" s="332"/>
      <c r="BB1492" s="31"/>
      <c r="BC1492" s="31"/>
      <c r="BD1492" s="31"/>
      <c r="BE1492" s="31"/>
    </row>
    <row r="1493" spans="1:57" ht="13">
      <c r="A1493" s="153"/>
      <c r="F1493" s="153"/>
      <c r="G1493" s="116"/>
      <c r="H1493" s="116"/>
      <c r="I1493" s="116"/>
      <c r="J1493" s="116"/>
      <c r="K1493" s="219"/>
      <c r="L1493" s="116"/>
      <c r="M1493" s="31"/>
      <c r="N1493" s="336"/>
      <c r="O1493" s="336"/>
      <c r="P1493" s="219"/>
      <c r="Q1493" s="332"/>
      <c r="R1493" s="219"/>
      <c r="S1493" s="332"/>
      <c r="T1493" s="219"/>
      <c r="U1493" s="332"/>
      <c r="V1493" s="332"/>
      <c r="W1493" s="370"/>
      <c r="X1493" s="370"/>
      <c r="Y1493" s="370"/>
      <c r="Z1493" s="370"/>
      <c r="AA1493" s="370"/>
      <c r="AB1493" s="370"/>
      <c r="AC1493" s="370"/>
      <c r="AD1493" s="370"/>
      <c r="AE1493" s="370"/>
      <c r="AF1493" s="370"/>
      <c r="AG1493" s="370"/>
      <c r="AH1493" s="370"/>
      <c r="AI1493" s="370"/>
      <c r="AJ1493" s="370"/>
      <c r="AL1493" s="219"/>
      <c r="AM1493" s="219"/>
      <c r="AN1493" s="219"/>
      <c r="AO1493" s="116"/>
      <c r="AP1493" s="116"/>
      <c r="AU1493" s="332"/>
      <c r="AV1493" s="332"/>
      <c r="AW1493" s="332"/>
      <c r="AX1493" s="332"/>
      <c r="AY1493" s="332"/>
      <c r="AZ1493" s="332"/>
      <c r="BA1493" s="332"/>
      <c r="BB1493" s="31"/>
      <c r="BC1493" s="31"/>
      <c r="BD1493" s="31"/>
      <c r="BE1493" s="31"/>
    </row>
    <row r="1494" spans="1:57" ht="13">
      <c r="A1494" s="153"/>
      <c r="F1494" s="153"/>
      <c r="G1494" s="116"/>
      <c r="H1494" s="116"/>
      <c r="I1494" s="116"/>
      <c r="J1494" s="116"/>
      <c r="K1494" s="219"/>
      <c r="L1494" s="116"/>
      <c r="M1494" s="31"/>
      <c r="N1494" s="336"/>
      <c r="O1494" s="336"/>
      <c r="P1494" s="219"/>
      <c r="Q1494" s="332"/>
      <c r="R1494" s="219"/>
      <c r="S1494" s="332"/>
      <c r="T1494" s="219"/>
      <c r="U1494" s="332"/>
      <c r="V1494" s="332"/>
      <c r="W1494" s="370"/>
      <c r="X1494" s="370"/>
      <c r="Y1494" s="370"/>
      <c r="Z1494" s="370"/>
      <c r="AA1494" s="370"/>
      <c r="AB1494" s="370"/>
      <c r="AC1494" s="370"/>
      <c r="AD1494" s="370"/>
      <c r="AE1494" s="370"/>
      <c r="AF1494" s="370"/>
      <c r="AG1494" s="370"/>
      <c r="AH1494" s="370"/>
      <c r="AI1494" s="370"/>
      <c r="AJ1494" s="370"/>
      <c r="AL1494" s="219"/>
      <c r="AM1494" s="219"/>
      <c r="AN1494" s="219"/>
      <c r="AO1494" s="116"/>
      <c r="AP1494" s="116"/>
      <c r="AU1494" s="332"/>
      <c r="AV1494" s="332"/>
      <c r="AW1494" s="332"/>
      <c r="AX1494" s="332"/>
      <c r="AY1494" s="332"/>
      <c r="AZ1494" s="332"/>
      <c r="BA1494" s="332"/>
      <c r="BB1494" s="31"/>
      <c r="BC1494" s="31"/>
      <c r="BD1494" s="31"/>
      <c r="BE1494" s="31"/>
    </row>
    <row r="1495" spans="1:57" ht="13">
      <c r="A1495" s="153"/>
      <c r="F1495" s="153"/>
      <c r="G1495" s="116"/>
      <c r="H1495" s="116"/>
      <c r="I1495" s="116"/>
      <c r="J1495" s="116"/>
      <c r="K1495" s="219"/>
      <c r="L1495" s="116"/>
      <c r="M1495" s="31"/>
      <c r="N1495" s="336"/>
      <c r="O1495" s="336"/>
      <c r="P1495" s="219"/>
      <c r="Q1495" s="332"/>
      <c r="R1495" s="219"/>
      <c r="S1495" s="332"/>
      <c r="T1495" s="219"/>
      <c r="U1495" s="332"/>
      <c r="V1495" s="332"/>
      <c r="W1495" s="370"/>
      <c r="X1495" s="370"/>
      <c r="Y1495" s="370"/>
      <c r="Z1495" s="370"/>
      <c r="AA1495" s="370"/>
      <c r="AB1495" s="370"/>
      <c r="AC1495" s="370"/>
      <c r="AD1495" s="370"/>
      <c r="AE1495" s="370"/>
      <c r="AF1495" s="370"/>
      <c r="AG1495" s="370"/>
      <c r="AH1495" s="370"/>
      <c r="AI1495" s="370"/>
      <c r="AJ1495" s="370"/>
      <c r="AL1495" s="219"/>
      <c r="AM1495" s="219"/>
      <c r="AN1495" s="219"/>
      <c r="AO1495" s="116"/>
      <c r="AP1495" s="116"/>
      <c r="AU1495" s="332"/>
      <c r="AV1495" s="332"/>
      <c r="AW1495" s="332"/>
      <c r="AX1495" s="332"/>
      <c r="AY1495" s="332"/>
      <c r="AZ1495" s="332"/>
      <c r="BA1495" s="332"/>
      <c r="BB1495" s="31"/>
      <c r="BC1495" s="31"/>
      <c r="BD1495" s="31"/>
      <c r="BE1495" s="31"/>
    </row>
    <row r="1496" spans="1:57" ht="13">
      <c r="A1496" s="153"/>
      <c r="F1496" s="153"/>
      <c r="G1496" s="116"/>
      <c r="H1496" s="116"/>
      <c r="I1496" s="116"/>
      <c r="J1496" s="116"/>
      <c r="K1496" s="219"/>
      <c r="L1496" s="116"/>
      <c r="M1496" s="31"/>
      <c r="N1496" s="336"/>
      <c r="O1496" s="336"/>
      <c r="P1496" s="219"/>
      <c r="Q1496" s="332"/>
      <c r="R1496" s="219"/>
      <c r="S1496" s="332"/>
      <c r="T1496" s="219"/>
      <c r="U1496" s="332"/>
      <c r="V1496" s="332"/>
      <c r="W1496" s="370"/>
      <c r="X1496" s="370"/>
      <c r="Y1496" s="370"/>
      <c r="Z1496" s="370"/>
      <c r="AA1496" s="370"/>
      <c r="AB1496" s="370"/>
      <c r="AC1496" s="370"/>
      <c r="AD1496" s="370"/>
      <c r="AE1496" s="370"/>
      <c r="AF1496" s="370"/>
      <c r="AG1496" s="370"/>
      <c r="AH1496" s="370"/>
      <c r="AI1496" s="370"/>
      <c r="AJ1496" s="370"/>
      <c r="AL1496" s="219"/>
      <c r="AM1496" s="219"/>
      <c r="AN1496" s="219"/>
      <c r="AO1496" s="116"/>
      <c r="AP1496" s="116"/>
      <c r="AU1496" s="332"/>
      <c r="AV1496" s="332"/>
      <c r="AW1496" s="332"/>
      <c r="AX1496" s="332"/>
      <c r="AY1496" s="332"/>
      <c r="AZ1496" s="332"/>
      <c r="BA1496" s="332"/>
      <c r="BB1496" s="31"/>
      <c r="BC1496" s="31"/>
      <c r="BD1496" s="31"/>
      <c r="BE1496" s="31"/>
    </row>
    <row r="1497" spans="1:57" ht="13">
      <c r="A1497" s="153"/>
      <c r="F1497" s="153"/>
      <c r="G1497" s="116"/>
      <c r="H1497" s="116"/>
      <c r="I1497" s="116"/>
      <c r="J1497" s="116"/>
      <c r="K1497" s="219"/>
      <c r="L1497" s="116"/>
      <c r="M1497" s="31"/>
      <c r="N1497" s="336"/>
      <c r="O1497" s="336"/>
      <c r="P1497" s="219"/>
      <c r="Q1497" s="332"/>
      <c r="R1497" s="219"/>
      <c r="S1497" s="332"/>
      <c r="T1497" s="219"/>
      <c r="U1497" s="332"/>
      <c r="V1497" s="332"/>
      <c r="W1497" s="370"/>
      <c r="X1497" s="370"/>
      <c r="Y1497" s="370"/>
      <c r="Z1497" s="370"/>
      <c r="AA1497" s="370"/>
      <c r="AB1497" s="370"/>
      <c r="AC1497" s="370"/>
      <c r="AD1497" s="370"/>
      <c r="AE1497" s="370"/>
      <c r="AF1497" s="370"/>
      <c r="AG1497" s="370"/>
      <c r="AH1497" s="370"/>
      <c r="AI1497" s="370"/>
      <c r="AJ1497" s="370"/>
      <c r="AL1497" s="219"/>
      <c r="AM1497" s="219"/>
      <c r="AN1497" s="219"/>
      <c r="AO1497" s="116"/>
      <c r="AP1497" s="116"/>
      <c r="AU1497" s="332"/>
      <c r="AV1497" s="332"/>
      <c r="AW1497" s="332"/>
      <c r="AX1497" s="332"/>
      <c r="AY1497" s="332"/>
      <c r="AZ1497" s="332"/>
      <c r="BA1497" s="332"/>
      <c r="BB1497" s="31"/>
      <c r="BC1497" s="31"/>
      <c r="BD1497" s="31"/>
      <c r="BE1497" s="31"/>
    </row>
    <row r="1498" spans="1:57" ht="13">
      <c r="A1498" s="153"/>
      <c r="F1498" s="153"/>
      <c r="G1498" s="116"/>
      <c r="H1498" s="116"/>
      <c r="I1498" s="116"/>
      <c r="J1498" s="116"/>
      <c r="K1498" s="219"/>
      <c r="L1498" s="116"/>
      <c r="M1498" s="31"/>
      <c r="N1498" s="336"/>
      <c r="O1498" s="336"/>
      <c r="P1498" s="219"/>
      <c r="Q1498" s="332"/>
      <c r="R1498" s="219"/>
      <c r="S1498" s="332"/>
      <c r="T1498" s="219"/>
      <c r="U1498" s="332"/>
      <c r="V1498" s="332"/>
      <c r="W1498" s="370"/>
      <c r="X1498" s="370"/>
      <c r="Y1498" s="370"/>
      <c r="Z1498" s="370"/>
      <c r="AA1498" s="370"/>
      <c r="AB1498" s="370"/>
      <c r="AC1498" s="370"/>
      <c r="AD1498" s="370"/>
      <c r="AE1498" s="370"/>
      <c r="AF1498" s="370"/>
      <c r="AG1498" s="370"/>
      <c r="AH1498" s="370"/>
      <c r="AI1498" s="370"/>
      <c r="AJ1498" s="370"/>
      <c r="AL1498" s="219"/>
      <c r="AM1498" s="219"/>
      <c r="AN1498" s="219"/>
      <c r="AO1498" s="116"/>
      <c r="AP1498" s="116"/>
      <c r="AU1498" s="332"/>
      <c r="AV1498" s="332"/>
      <c r="AW1498" s="332"/>
      <c r="AX1498" s="332"/>
      <c r="AY1498" s="332"/>
      <c r="AZ1498" s="332"/>
      <c r="BA1498" s="332"/>
      <c r="BB1498" s="31"/>
      <c r="BC1498" s="31"/>
      <c r="BD1498" s="31"/>
      <c r="BE1498" s="31"/>
    </row>
    <row r="1499" spans="1:57" ht="13">
      <c r="A1499" s="153"/>
      <c r="F1499" s="153"/>
      <c r="G1499" s="116"/>
      <c r="H1499" s="116"/>
      <c r="I1499" s="116"/>
      <c r="J1499" s="116"/>
      <c r="K1499" s="219"/>
      <c r="L1499" s="116"/>
      <c r="M1499" s="31"/>
      <c r="N1499" s="336"/>
      <c r="O1499" s="336"/>
      <c r="P1499" s="219"/>
      <c r="Q1499" s="332"/>
      <c r="R1499" s="219"/>
      <c r="S1499" s="332"/>
      <c r="T1499" s="219"/>
      <c r="U1499" s="332"/>
      <c r="V1499" s="332"/>
      <c r="W1499" s="370"/>
      <c r="X1499" s="370"/>
      <c r="Y1499" s="370"/>
      <c r="Z1499" s="370"/>
      <c r="AA1499" s="370"/>
      <c r="AB1499" s="370"/>
      <c r="AC1499" s="370"/>
      <c r="AD1499" s="370"/>
      <c r="AE1499" s="370"/>
      <c r="AF1499" s="370"/>
      <c r="AG1499" s="370"/>
      <c r="AH1499" s="370"/>
      <c r="AI1499" s="370"/>
      <c r="AJ1499" s="370"/>
      <c r="AL1499" s="219"/>
      <c r="AM1499" s="219"/>
      <c r="AN1499" s="219"/>
      <c r="AO1499" s="116"/>
      <c r="AP1499" s="116"/>
      <c r="AU1499" s="332"/>
      <c r="AV1499" s="332"/>
      <c r="AW1499" s="332"/>
      <c r="AX1499" s="332"/>
      <c r="AY1499" s="332"/>
      <c r="AZ1499" s="332"/>
      <c r="BA1499" s="332"/>
      <c r="BB1499" s="31"/>
      <c r="BC1499" s="31"/>
      <c r="BD1499" s="31"/>
      <c r="BE1499" s="31"/>
    </row>
    <row r="1500" spans="1:57" ht="13">
      <c r="A1500" s="153"/>
      <c r="F1500" s="153"/>
      <c r="G1500" s="116"/>
      <c r="H1500" s="116"/>
      <c r="I1500" s="116"/>
      <c r="J1500" s="116"/>
      <c r="K1500" s="219"/>
      <c r="L1500" s="116"/>
      <c r="M1500" s="31"/>
      <c r="N1500" s="336"/>
      <c r="O1500" s="336"/>
      <c r="P1500" s="219"/>
      <c r="Q1500" s="332"/>
      <c r="R1500" s="219"/>
      <c r="S1500" s="332"/>
      <c r="T1500" s="219"/>
      <c r="U1500" s="332"/>
      <c r="V1500" s="332"/>
      <c r="W1500" s="370"/>
      <c r="X1500" s="370"/>
      <c r="Y1500" s="370"/>
      <c r="Z1500" s="370"/>
      <c r="AA1500" s="370"/>
      <c r="AB1500" s="370"/>
      <c r="AC1500" s="370"/>
      <c r="AD1500" s="370"/>
      <c r="AE1500" s="370"/>
      <c r="AF1500" s="370"/>
      <c r="AG1500" s="370"/>
      <c r="AH1500" s="370"/>
      <c r="AI1500" s="370"/>
      <c r="AJ1500" s="370"/>
      <c r="AL1500" s="219"/>
      <c r="AM1500" s="219"/>
      <c r="AN1500" s="219"/>
      <c r="AO1500" s="116"/>
      <c r="AP1500" s="116"/>
      <c r="AU1500" s="332"/>
      <c r="AV1500" s="332"/>
      <c r="AW1500" s="332"/>
      <c r="AX1500" s="332"/>
      <c r="AY1500" s="332"/>
      <c r="AZ1500" s="332"/>
      <c r="BA1500" s="332"/>
      <c r="BB1500" s="31"/>
      <c r="BC1500" s="31"/>
      <c r="BD1500" s="31"/>
      <c r="BE1500" s="31"/>
    </row>
    <row r="1501" spans="1:57" ht="13">
      <c r="A1501" s="153"/>
      <c r="F1501" s="153"/>
      <c r="G1501" s="116"/>
      <c r="H1501" s="116"/>
      <c r="I1501" s="116"/>
      <c r="J1501" s="116"/>
      <c r="K1501" s="219"/>
      <c r="L1501" s="116"/>
      <c r="M1501" s="31"/>
      <c r="N1501" s="336"/>
      <c r="O1501" s="336"/>
      <c r="P1501" s="219"/>
      <c r="Q1501" s="332"/>
      <c r="R1501" s="219"/>
      <c r="S1501" s="332"/>
      <c r="T1501" s="219"/>
      <c r="U1501" s="332"/>
      <c r="V1501" s="332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  <c r="AH1501" s="370"/>
      <c r="AI1501" s="370"/>
      <c r="AJ1501" s="370"/>
      <c r="AL1501" s="219"/>
      <c r="AM1501" s="219"/>
      <c r="AN1501" s="219"/>
      <c r="AO1501" s="116"/>
      <c r="AP1501" s="116"/>
      <c r="AU1501" s="332"/>
      <c r="AV1501" s="332"/>
      <c r="AW1501" s="332"/>
      <c r="AX1501" s="332"/>
      <c r="AY1501" s="332"/>
      <c r="AZ1501" s="332"/>
      <c r="BA1501" s="332"/>
      <c r="BB1501" s="31"/>
      <c r="BC1501" s="31"/>
      <c r="BD1501" s="31"/>
      <c r="BE1501" s="31"/>
    </row>
    <row r="1502" spans="1:57" ht="13">
      <c r="A1502" s="153"/>
      <c r="F1502" s="153"/>
      <c r="G1502" s="116"/>
      <c r="H1502" s="116"/>
      <c r="I1502" s="116"/>
      <c r="J1502" s="116"/>
      <c r="K1502" s="219"/>
      <c r="L1502" s="116"/>
      <c r="M1502" s="31"/>
      <c r="N1502" s="336"/>
      <c r="O1502" s="336"/>
      <c r="P1502" s="219"/>
      <c r="Q1502" s="332"/>
      <c r="R1502" s="219"/>
      <c r="S1502" s="332"/>
      <c r="T1502" s="219"/>
      <c r="U1502" s="332"/>
      <c r="V1502" s="332"/>
      <c r="W1502" s="370"/>
      <c r="X1502" s="370"/>
      <c r="Y1502" s="370"/>
      <c r="Z1502" s="370"/>
      <c r="AA1502" s="370"/>
      <c r="AB1502" s="370"/>
      <c r="AC1502" s="370"/>
      <c r="AD1502" s="370"/>
      <c r="AE1502" s="370"/>
      <c r="AF1502" s="370"/>
      <c r="AG1502" s="370"/>
      <c r="AH1502" s="370"/>
      <c r="AI1502" s="370"/>
      <c r="AJ1502" s="370"/>
      <c r="AL1502" s="219"/>
      <c r="AM1502" s="219"/>
      <c r="AN1502" s="219"/>
      <c r="AO1502" s="116"/>
      <c r="AP1502" s="116"/>
      <c r="AU1502" s="332"/>
      <c r="AV1502" s="332"/>
      <c r="AW1502" s="332"/>
      <c r="AX1502" s="332"/>
      <c r="AY1502" s="332"/>
      <c r="AZ1502" s="332"/>
      <c r="BA1502" s="332"/>
      <c r="BB1502" s="31"/>
      <c r="BC1502" s="31"/>
      <c r="BD1502" s="31"/>
      <c r="BE1502" s="31"/>
    </row>
    <row r="1503" spans="1:57" ht="13">
      <c r="A1503" s="153"/>
      <c r="F1503" s="153"/>
      <c r="G1503" s="116"/>
      <c r="H1503" s="116"/>
      <c r="I1503" s="116"/>
      <c r="J1503" s="116"/>
      <c r="K1503" s="219"/>
      <c r="L1503" s="116"/>
      <c r="M1503" s="31"/>
      <c r="N1503" s="336"/>
      <c r="O1503" s="336"/>
      <c r="P1503" s="219"/>
      <c r="Q1503" s="332"/>
      <c r="R1503" s="219"/>
      <c r="S1503" s="332"/>
      <c r="T1503" s="219"/>
      <c r="U1503" s="332"/>
      <c r="V1503" s="332"/>
      <c r="W1503" s="370"/>
      <c r="X1503" s="370"/>
      <c r="Y1503" s="370"/>
      <c r="Z1503" s="370"/>
      <c r="AA1503" s="370"/>
      <c r="AB1503" s="370"/>
      <c r="AC1503" s="370"/>
      <c r="AD1503" s="370"/>
      <c r="AE1503" s="370"/>
      <c r="AF1503" s="370"/>
      <c r="AG1503" s="370"/>
      <c r="AH1503" s="370"/>
      <c r="AI1503" s="370"/>
      <c r="AJ1503" s="370"/>
      <c r="AL1503" s="219"/>
      <c r="AM1503" s="219"/>
      <c r="AN1503" s="219"/>
      <c r="AO1503" s="116"/>
      <c r="AP1503" s="116"/>
      <c r="AU1503" s="332"/>
      <c r="AV1503" s="332"/>
      <c r="AW1503" s="332"/>
      <c r="AX1503" s="332"/>
      <c r="AY1503" s="332"/>
      <c r="AZ1503" s="332"/>
      <c r="BA1503" s="332"/>
      <c r="BB1503" s="31"/>
      <c r="BC1503" s="31"/>
      <c r="BD1503" s="31"/>
      <c r="BE1503" s="31"/>
    </row>
    <row r="1504" spans="1:57" ht="13">
      <c r="A1504" s="153"/>
      <c r="F1504" s="153"/>
      <c r="G1504" s="116"/>
      <c r="H1504" s="116"/>
      <c r="I1504" s="116"/>
      <c r="J1504" s="116"/>
      <c r="K1504" s="219"/>
      <c r="L1504" s="116"/>
      <c r="M1504" s="31"/>
      <c r="N1504" s="336"/>
      <c r="O1504" s="336"/>
      <c r="P1504" s="219"/>
      <c r="Q1504" s="332"/>
      <c r="R1504" s="219"/>
      <c r="S1504" s="332"/>
      <c r="T1504" s="219"/>
      <c r="U1504" s="332"/>
      <c r="V1504" s="332"/>
      <c r="W1504" s="370"/>
      <c r="X1504" s="370"/>
      <c r="Y1504" s="370"/>
      <c r="Z1504" s="370"/>
      <c r="AA1504" s="370"/>
      <c r="AB1504" s="370"/>
      <c r="AC1504" s="370"/>
      <c r="AD1504" s="370"/>
      <c r="AE1504" s="370"/>
      <c r="AF1504" s="370"/>
      <c r="AG1504" s="370"/>
      <c r="AH1504" s="370"/>
      <c r="AI1504" s="370"/>
      <c r="AJ1504" s="370"/>
      <c r="AL1504" s="219"/>
      <c r="AM1504" s="219"/>
      <c r="AN1504" s="219"/>
      <c r="AO1504" s="116"/>
      <c r="AP1504" s="116"/>
      <c r="AU1504" s="332"/>
      <c r="AV1504" s="332"/>
      <c r="AW1504" s="332"/>
      <c r="AX1504" s="332"/>
      <c r="AY1504" s="332"/>
      <c r="AZ1504" s="332"/>
      <c r="BA1504" s="332"/>
      <c r="BB1504" s="31"/>
      <c r="BC1504" s="31"/>
      <c r="BD1504" s="31"/>
      <c r="BE1504" s="31"/>
    </row>
    <row r="1505" spans="1:57" ht="13">
      <c r="A1505" s="153"/>
      <c r="F1505" s="153"/>
      <c r="G1505" s="116"/>
      <c r="H1505" s="116"/>
      <c r="I1505" s="116"/>
      <c r="J1505" s="116"/>
      <c r="K1505" s="219"/>
      <c r="L1505" s="116"/>
      <c r="M1505" s="31"/>
      <c r="N1505" s="336"/>
      <c r="O1505" s="336"/>
      <c r="P1505" s="219"/>
      <c r="Q1505" s="332"/>
      <c r="R1505" s="219"/>
      <c r="S1505" s="332"/>
      <c r="T1505" s="219"/>
      <c r="U1505" s="332"/>
      <c r="V1505" s="332"/>
      <c r="W1505" s="370"/>
      <c r="X1505" s="370"/>
      <c r="Y1505" s="370"/>
      <c r="Z1505" s="370"/>
      <c r="AA1505" s="370"/>
      <c r="AB1505" s="370"/>
      <c r="AC1505" s="370"/>
      <c r="AD1505" s="370"/>
      <c r="AE1505" s="370"/>
      <c r="AF1505" s="370"/>
      <c r="AG1505" s="370"/>
      <c r="AH1505" s="370"/>
      <c r="AI1505" s="370"/>
      <c r="AJ1505" s="370"/>
      <c r="AL1505" s="219"/>
      <c r="AM1505" s="219"/>
      <c r="AN1505" s="219"/>
      <c r="AO1505" s="116"/>
      <c r="AP1505" s="116"/>
      <c r="AU1505" s="332"/>
      <c r="AV1505" s="332"/>
      <c r="AW1505" s="332"/>
      <c r="AX1505" s="332"/>
      <c r="AY1505" s="332"/>
      <c r="AZ1505" s="332"/>
      <c r="BA1505" s="332"/>
      <c r="BB1505" s="31"/>
      <c r="BC1505" s="31"/>
      <c r="BD1505" s="31"/>
      <c r="BE1505" s="31"/>
    </row>
    <row r="1506" spans="1:57" ht="13">
      <c r="A1506" s="153"/>
      <c r="F1506" s="153"/>
      <c r="G1506" s="116"/>
      <c r="H1506" s="116"/>
      <c r="I1506" s="116"/>
      <c r="J1506" s="116"/>
      <c r="K1506" s="219"/>
      <c r="L1506" s="116"/>
      <c r="M1506" s="31"/>
      <c r="N1506" s="336"/>
      <c r="O1506" s="336"/>
      <c r="P1506" s="219"/>
      <c r="Q1506" s="332"/>
      <c r="R1506" s="219"/>
      <c r="S1506" s="332"/>
      <c r="T1506" s="219"/>
      <c r="U1506" s="332"/>
      <c r="V1506" s="332"/>
      <c r="W1506" s="370"/>
      <c r="X1506" s="370"/>
      <c r="Y1506" s="370"/>
      <c r="Z1506" s="370"/>
      <c r="AA1506" s="370"/>
      <c r="AB1506" s="370"/>
      <c r="AC1506" s="370"/>
      <c r="AD1506" s="370"/>
      <c r="AE1506" s="370"/>
      <c r="AF1506" s="370"/>
      <c r="AG1506" s="370"/>
      <c r="AH1506" s="370"/>
      <c r="AI1506" s="370"/>
      <c r="AJ1506" s="370"/>
      <c r="AL1506" s="219"/>
      <c r="AM1506" s="219"/>
      <c r="AN1506" s="219"/>
      <c r="AO1506" s="116"/>
      <c r="AP1506" s="116"/>
      <c r="AU1506" s="332"/>
      <c r="AV1506" s="332"/>
      <c r="AW1506" s="332"/>
      <c r="AX1506" s="332"/>
      <c r="AY1506" s="332"/>
      <c r="AZ1506" s="332"/>
      <c r="BA1506" s="332"/>
      <c r="BB1506" s="31"/>
      <c r="BC1506" s="31"/>
      <c r="BD1506" s="31"/>
      <c r="BE1506" s="31"/>
    </row>
    <row r="1507" spans="1:57" ht="13">
      <c r="A1507" s="153"/>
      <c r="F1507" s="153"/>
      <c r="G1507" s="116"/>
      <c r="H1507" s="116"/>
      <c r="I1507" s="116"/>
      <c r="J1507" s="116"/>
      <c r="K1507" s="219"/>
      <c r="L1507" s="116"/>
      <c r="M1507" s="31"/>
      <c r="N1507" s="336"/>
      <c r="O1507" s="336"/>
      <c r="P1507" s="219"/>
      <c r="Q1507" s="332"/>
      <c r="R1507" s="219"/>
      <c r="S1507" s="332"/>
      <c r="T1507" s="219"/>
      <c r="U1507" s="332"/>
      <c r="V1507" s="332"/>
      <c r="W1507" s="370"/>
      <c r="X1507" s="370"/>
      <c r="Y1507" s="370"/>
      <c r="Z1507" s="370"/>
      <c r="AA1507" s="370"/>
      <c r="AB1507" s="370"/>
      <c r="AC1507" s="370"/>
      <c r="AD1507" s="370"/>
      <c r="AE1507" s="370"/>
      <c r="AF1507" s="370"/>
      <c r="AG1507" s="370"/>
      <c r="AH1507" s="370"/>
      <c r="AI1507" s="370"/>
      <c r="AJ1507" s="370"/>
      <c r="AL1507" s="219"/>
      <c r="AM1507" s="219"/>
      <c r="AN1507" s="219"/>
      <c r="AO1507" s="116"/>
      <c r="AP1507" s="116"/>
      <c r="AU1507" s="332"/>
      <c r="AV1507" s="332"/>
      <c r="AW1507" s="332"/>
      <c r="AX1507" s="332"/>
      <c r="AY1507" s="332"/>
      <c r="AZ1507" s="332"/>
      <c r="BA1507" s="332"/>
      <c r="BB1507" s="31"/>
      <c r="BC1507" s="31"/>
      <c r="BD1507" s="31"/>
      <c r="BE1507" s="31"/>
    </row>
    <row r="1508" spans="1:57" ht="13">
      <c r="A1508" s="153"/>
      <c r="F1508" s="153"/>
      <c r="G1508" s="116"/>
      <c r="H1508" s="116"/>
      <c r="I1508" s="116"/>
      <c r="J1508" s="116"/>
      <c r="K1508" s="219"/>
      <c r="L1508" s="116"/>
      <c r="M1508" s="31"/>
      <c r="N1508" s="336"/>
      <c r="O1508" s="336"/>
      <c r="P1508" s="219"/>
      <c r="Q1508" s="332"/>
      <c r="R1508" s="219"/>
      <c r="S1508" s="332"/>
      <c r="T1508" s="219"/>
      <c r="U1508" s="332"/>
      <c r="V1508" s="332"/>
      <c r="W1508" s="370"/>
      <c r="X1508" s="370"/>
      <c r="Y1508" s="370"/>
      <c r="Z1508" s="370"/>
      <c r="AA1508" s="370"/>
      <c r="AB1508" s="370"/>
      <c r="AC1508" s="370"/>
      <c r="AD1508" s="370"/>
      <c r="AE1508" s="370"/>
      <c r="AF1508" s="370"/>
      <c r="AG1508" s="370"/>
      <c r="AH1508" s="370"/>
      <c r="AI1508" s="370"/>
      <c r="AJ1508" s="370"/>
      <c r="AL1508" s="219"/>
      <c r="AM1508" s="219"/>
      <c r="AN1508" s="219"/>
      <c r="AO1508" s="116"/>
      <c r="AP1508" s="116"/>
      <c r="AU1508" s="332"/>
      <c r="AV1508" s="332"/>
      <c r="AW1508" s="332"/>
      <c r="AX1508" s="332"/>
      <c r="AY1508" s="332"/>
      <c r="AZ1508" s="332"/>
      <c r="BA1508" s="332"/>
      <c r="BB1508" s="31"/>
      <c r="BC1508" s="31"/>
      <c r="BD1508" s="31"/>
      <c r="BE1508" s="31"/>
    </row>
    <row r="1509" spans="1:57" ht="13">
      <c r="A1509" s="153"/>
      <c r="F1509" s="153"/>
      <c r="G1509" s="116"/>
      <c r="H1509" s="116"/>
      <c r="I1509" s="116"/>
      <c r="J1509" s="116"/>
      <c r="K1509" s="219"/>
      <c r="L1509" s="116"/>
      <c r="M1509" s="31"/>
      <c r="N1509" s="336"/>
      <c r="O1509" s="336"/>
      <c r="P1509" s="219"/>
      <c r="Q1509" s="332"/>
      <c r="R1509" s="219"/>
      <c r="S1509" s="332"/>
      <c r="T1509" s="219"/>
      <c r="U1509" s="332"/>
      <c r="V1509" s="332"/>
      <c r="W1509" s="370"/>
      <c r="X1509" s="370"/>
      <c r="Y1509" s="370"/>
      <c r="Z1509" s="370"/>
      <c r="AA1509" s="370"/>
      <c r="AB1509" s="370"/>
      <c r="AC1509" s="370"/>
      <c r="AD1509" s="370"/>
      <c r="AE1509" s="370"/>
      <c r="AF1509" s="370"/>
      <c r="AG1509" s="370"/>
      <c r="AH1509" s="370"/>
      <c r="AI1509" s="370"/>
      <c r="AJ1509" s="370"/>
      <c r="AL1509" s="219"/>
      <c r="AM1509" s="219"/>
      <c r="AN1509" s="219"/>
      <c r="AO1509" s="116"/>
      <c r="AP1509" s="116"/>
      <c r="AU1509" s="332"/>
      <c r="AV1509" s="332"/>
      <c r="AW1509" s="332"/>
      <c r="AX1509" s="332"/>
      <c r="AY1509" s="332"/>
      <c r="AZ1509" s="332"/>
      <c r="BA1509" s="332"/>
      <c r="BB1509" s="31"/>
      <c r="BC1509" s="31"/>
      <c r="BD1509" s="31"/>
      <c r="BE1509" s="31"/>
    </row>
    <row r="1510" spans="1:57" ht="13">
      <c r="A1510" s="153"/>
      <c r="F1510" s="153"/>
      <c r="G1510" s="116"/>
      <c r="H1510" s="116"/>
      <c r="I1510" s="116"/>
      <c r="J1510" s="116"/>
      <c r="K1510" s="219"/>
      <c r="L1510" s="116"/>
      <c r="M1510" s="31"/>
      <c r="N1510" s="336"/>
      <c r="O1510" s="336"/>
      <c r="P1510" s="219"/>
      <c r="Q1510" s="332"/>
      <c r="R1510" s="219"/>
      <c r="S1510" s="332"/>
      <c r="T1510" s="219"/>
      <c r="U1510" s="332"/>
      <c r="V1510" s="332"/>
      <c r="W1510" s="370"/>
      <c r="X1510" s="370"/>
      <c r="Y1510" s="370"/>
      <c r="Z1510" s="370"/>
      <c r="AA1510" s="370"/>
      <c r="AB1510" s="370"/>
      <c r="AC1510" s="370"/>
      <c r="AD1510" s="370"/>
      <c r="AE1510" s="370"/>
      <c r="AF1510" s="370"/>
      <c r="AG1510" s="370"/>
      <c r="AH1510" s="370"/>
      <c r="AI1510" s="370"/>
      <c r="AJ1510" s="370"/>
      <c r="AL1510" s="219"/>
      <c r="AM1510" s="219"/>
      <c r="AN1510" s="219"/>
      <c r="AO1510" s="116"/>
      <c r="AP1510" s="116"/>
      <c r="AU1510" s="332"/>
      <c r="AV1510" s="332"/>
      <c r="AW1510" s="332"/>
      <c r="AX1510" s="332"/>
      <c r="AY1510" s="332"/>
      <c r="AZ1510" s="332"/>
      <c r="BA1510" s="332"/>
      <c r="BB1510" s="31"/>
      <c r="BC1510" s="31"/>
      <c r="BD1510" s="31"/>
      <c r="BE1510" s="31"/>
    </row>
    <row r="1511" spans="1:57" ht="13">
      <c r="A1511" s="153" t="s">
        <v>174</v>
      </c>
      <c r="F1511" s="153"/>
      <c r="G1511" s="116"/>
      <c r="H1511" s="116"/>
      <c r="I1511" s="116"/>
      <c r="J1511" s="116"/>
      <c r="K1511" s="219"/>
      <c r="L1511" s="116"/>
      <c r="M1511" s="31"/>
      <c r="N1511" s="336"/>
      <c r="O1511" s="336"/>
      <c r="P1511" s="219"/>
      <c r="Q1511" s="332"/>
      <c r="R1511" s="219"/>
      <c r="S1511" s="332"/>
      <c r="T1511" s="219"/>
      <c r="U1511" s="332"/>
      <c r="V1511" s="332"/>
      <c r="W1511" s="370"/>
      <c r="X1511" s="370"/>
      <c r="Y1511" s="370"/>
      <c r="Z1511" s="370"/>
      <c r="AA1511" s="370"/>
      <c r="AB1511" s="370"/>
      <c r="AC1511" s="370"/>
      <c r="AD1511" s="370"/>
      <c r="AE1511" s="370"/>
      <c r="AF1511" s="370"/>
      <c r="AG1511" s="370"/>
      <c r="AH1511" s="370"/>
      <c r="AI1511" s="370"/>
      <c r="AJ1511" s="370"/>
      <c r="AL1511" s="219"/>
      <c r="AM1511" s="219"/>
      <c r="AN1511" s="219"/>
      <c r="AO1511" s="116" t="s">
        <v>174</v>
      </c>
      <c r="AP1511" s="116"/>
      <c r="AU1511" s="332"/>
      <c r="AV1511" s="332"/>
      <c r="AW1511" s="332"/>
      <c r="AX1511" s="332"/>
      <c r="AY1511" s="332"/>
      <c r="AZ1511" s="332"/>
      <c r="BA1511" s="332"/>
      <c r="BB1511" s="31"/>
      <c r="BC1511" s="31"/>
      <c r="BD1511" s="31"/>
      <c r="BE1511" s="31"/>
    </row>
    <row r="1512" spans="1:57" ht="13">
      <c r="A1512" s="153" t="s">
        <v>174</v>
      </c>
      <c r="F1512" s="153"/>
      <c r="G1512" s="116"/>
      <c r="H1512" s="116"/>
      <c r="I1512" s="116"/>
      <c r="J1512" s="116"/>
      <c r="K1512" s="219"/>
      <c r="L1512" s="116"/>
      <c r="M1512" s="31"/>
      <c r="N1512" s="336"/>
      <c r="O1512" s="336"/>
      <c r="P1512" s="219"/>
      <c r="Q1512" s="332"/>
      <c r="R1512" s="219"/>
      <c r="S1512" s="332"/>
      <c r="T1512" s="219"/>
      <c r="U1512" s="332"/>
      <c r="V1512" s="332"/>
      <c r="W1512" s="370"/>
      <c r="X1512" s="370"/>
      <c r="Y1512" s="370"/>
      <c r="Z1512" s="370"/>
      <c r="AA1512" s="370"/>
      <c r="AB1512" s="370"/>
      <c r="AC1512" s="370"/>
      <c r="AD1512" s="370"/>
      <c r="AE1512" s="370"/>
      <c r="AF1512" s="370"/>
      <c r="AG1512" s="370"/>
      <c r="AH1512" s="370"/>
      <c r="AI1512" s="370"/>
      <c r="AJ1512" s="370"/>
      <c r="AL1512" s="219"/>
      <c r="AM1512" s="219"/>
      <c r="AN1512" s="219"/>
      <c r="AO1512" s="116" t="s">
        <v>174</v>
      </c>
      <c r="AP1512" s="116"/>
      <c r="AU1512" s="332"/>
      <c r="AV1512" s="332"/>
      <c r="AW1512" s="332"/>
      <c r="AX1512" s="332"/>
      <c r="AY1512" s="332"/>
      <c r="AZ1512" s="332"/>
      <c r="BA1512" s="332"/>
      <c r="BB1512" s="31"/>
      <c r="BC1512" s="31"/>
      <c r="BD1512" s="31"/>
      <c r="BE1512" s="31"/>
    </row>
    <row r="1513" spans="1:57" ht="13">
      <c r="A1513" s="153" t="s">
        <v>174</v>
      </c>
      <c r="F1513" s="153"/>
      <c r="G1513" s="116"/>
      <c r="H1513" s="116"/>
      <c r="I1513" s="116"/>
      <c r="J1513" s="116"/>
      <c r="K1513" s="219"/>
      <c r="L1513" s="116"/>
      <c r="M1513" s="31"/>
      <c r="N1513" s="336"/>
      <c r="O1513" s="336"/>
      <c r="P1513" s="219"/>
      <c r="Q1513" s="332"/>
      <c r="R1513" s="219"/>
      <c r="S1513" s="332"/>
      <c r="T1513" s="219"/>
      <c r="U1513" s="332"/>
      <c r="V1513" s="332"/>
      <c r="W1513" s="370"/>
      <c r="X1513" s="370"/>
      <c r="Y1513" s="370"/>
      <c r="Z1513" s="370"/>
      <c r="AA1513" s="370"/>
      <c r="AB1513" s="370"/>
      <c r="AC1513" s="370"/>
      <c r="AD1513" s="370"/>
      <c r="AE1513" s="370"/>
      <c r="AF1513" s="370"/>
      <c r="AG1513" s="370"/>
      <c r="AH1513" s="370"/>
      <c r="AI1513" s="370"/>
      <c r="AJ1513" s="370"/>
      <c r="AL1513" s="219"/>
      <c r="AM1513" s="219"/>
      <c r="AN1513" s="219"/>
      <c r="AO1513" s="116" t="s">
        <v>174</v>
      </c>
      <c r="AP1513" s="116"/>
      <c r="AU1513" s="332"/>
      <c r="AV1513" s="332"/>
      <c r="AW1513" s="332"/>
      <c r="AX1513" s="332"/>
      <c r="AY1513" s="332"/>
      <c r="AZ1513" s="332"/>
      <c r="BA1513" s="332"/>
      <c r="BB1513" s="31"/>
      <c r="BC1513" s="31"/>
      <c r="BD1513" s="31"/>
      <c r="BE1513" s="31"/>
    </row>
    <row r="1514" spans="1:57" ht="13">
      <c r="A1514" s="153" t="s">
        <v>174</v>
      </c>
      <c r="F1514" s="153"/>
      <c r="G1514" s="116"/>
      <c r="H1514" s="116"/>
      <c r="I1514" s="116"/>
      <c r="J1514" s="116"/>
      <c r="K1514" s="219"/>
      <c r="L1514" s="116"/>
      <c r="M1514" s="31"/>
      <c r="N1514" s="336"/>
      <c r="O1514" s="336"/>
      <c r="P1514" s="219"/>
      <c r="Q1514" s="332"/>
      <c r="R1514" s="219"/>
      <c r="S1514" s="332"/>
      <c r="T1514" s="219"/>
      <c r="U1514" s="332"/>
      <c r="V1514" s="332"/>
      <c r="W1514" s="370"/>
      <c r="X1514" s="370"/>
      <c r="Y1514" s="370"/>
      <c r="Z1514" s="370"/>
      <c r="AA1514" s="370"/>
      <c r="AB1514" s="370"/>
      <c r="AC1514" s="370"/>
      <c r="AD1514" s="370"/>
      <c r="AE1514" s="370"/>
      <c r="AF1514" s="370"/>
      <c r="AG1514" s="370"/>
      <c r="AH1514" s="370"/>
      <c r="AI1514" s="370"/>
      <c r="AJ1514" s="370"/>
      <c r="AL1514" s="219"/>
      <c r="AM1514" s="219"/>
      <c r="AN1514" s="219"/>
      <c r="AO1514" s="116" t="s">
        <v>174</v>
      </c>
      <c r="AP1514" s="116"/>
      <c r="AU1514" s="332"/>
      <c r="AV1514" s="332"/>
      <c r="AW1514" s="332"/>
      <c r="AX1514" s="332"/>
      <c r="AY1514" s="332"/>
      <c r="AZ1514" s="332"/>
      <c r="BA1514" s="332"/>
      <c r="BB1514" s="31"/>
      <c r="BC1514" s="31"/>
      <c r="BD1514" s="31"/>
      <c r="BE1514" s="31"/>
    </row>
    <row r="1515" spans="1:57" ht="13">
      <c r="A1515" s="153" t="s">
        <v>174</v>
      </c>
      <c r="F1515" s="153"/>
      <c r="G1515" s="116"/>
      <c r="H1515" s="116"/>
      <c r="I1515" s="116"/>
      <c r="J1515" s="116"/>
      <c r="K1515" s="219"/>
      <c r="L1515" s="116"/>
      <c r="M1515" s="31"/>
      <c r="N1515" s="336"/>
      <c r="O1515" s="336"/>
      <c r="P1515" s="219"/>
      <c r="Q1515" s="332"/>
      <c r="R1515" s="219"/>
      <c r="S1515" s="332"/>
      <c r="T1515" s="219"/>
      <c r="U1515" s="332"/>
      <c r="V1515" s="332"/>
      <c r="W1515" s="370"/>
      <c r="X1515" s="370"/>
      <c r="Y1515" s="370"/>
      <c r="Z1515" s="370"/>
      <c r="AA1515" s="370"/>
      <c r="AB1515" s="370"/>
      <c r="AC1515" s="370"/>
      <c r="AD1515" s="370"/>
      <c r="AE1515" s="370"/>
      <c r="AF1515" s="370"/>
      <c r="AG1515" s="370"/>
      <c r="AH1515" s="370"/>
      <c r="AI1515" s="370"/>
      <c r="AJ1515" s="370"/>
      <c r="AL1515" s="219"/>
      <c r="AM1515" s="219"/>
      <c r="AN1515" s="219"/>
      <c r="AO1515" s="116" t="s">
        <v>174</v>
      </c>
      <c r="AP1515" s="116"/>
      <c r="AU1515" s="332"/>
      <c r="AV1515" s="332"/>
      <c r="AW1515" s="332"/>
      <c r="AX1515" s="332"/>
      <c r="AY1515" s="332"/>
      <c r="AZ1515" s="332"/>
      <c r="BA1515" s="332"/>
      <c r="BB1515" s="31"/>
      <c r="BC1515" s="31"/>
      <c r="BD1515" s="31"/>
      <c r="BE1515" s="3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outlinePr summaryBelow="0" summaryRight="0"/>
    <pageSetUpPr fitToPage="1"/>
  </sheetPr>
  <dimension ref="A1:AC1002"/>
  <sheetViews>
    <sheetView showGridLines="0" tabSelected="1" workbookViewId="0">
      <pane ySplit="2" topLeftCell="A3" activePane="bottomLeft" state="frozen"/>
      <selection pane="bottomLeft" activeCell="B4" sqref="B4"/>
    </sheetView>
  </sheetViews>
  <sheetFormatPr baseColWidth="10" defaultColWidth="14.5" defaultRowHeight="15.75" customHeight="1" outlineLevelRow="1"/>
  <cols>
    <col min="1" max="1" width="10.83203125" customWidth="1"/>
    <col min="2" max="2" width="13.83203125" customWidth="1"/>
    <col min="3" max="3" width="11" customWidth="1"/>
    <col min="4" max="4" width="25" customWidth="1"/>
    <col min="5" max="5" width="9.33203125" customWidth="1"/>
    <col min="6" max="6" width="7.5" customWidth="1"/>
    <col min="7" max="7" width="9.83203125" customWidth="1"/>
    <col min="8" max="8" width="10.5" customWidth="1"/>
    <col min="9" max="9" width="10.83203125" customWidth="1"/>
    <col min="10" max="10" width="12.33203125" customWidth="1"/>
    <col min="11" max="11" width="10.5" customWidth="1"/>
    <col min="12" max="15" width="10.33203125" customWidth="1"/>
    <col min="16" max="16" width="11.5" customWidth="1"/>
    <col min="17" max="17" width="10.33203125" customWidth="1"/>
    <col min="18" max="18" width="10.5" customWidth="1"/>
    <col min="19" max="19" width="7.6640625" customWidth="1"/>
    <col min="20" max="20" width="10.6640625" customWidth="1"/>
    <col min="21" max="21" width="10.83203125" customWidth="1"/>
    <col min="22" max="23" width="9.83203125" customWidth="1"/>
  </cols>
  <sheetData>
    <row r="1" spans="1:29">
      <c r="A1" s="386" t="s">
        <v>372</v>
      </c>
      <c r="B1" s="387"/>
      <c r="C1" s="388"/>
      <c r="D1" s="387"/>
      <c r="E1" s="387"/>
      <c r="F1" s="332"/>
      <c r="G1" s="219"/>
      <c r="H1" s="116"/>
      <c r="I1" s="116"/>
      <c r="J1" s="116"/>
      <c r="K1" s="116"/>
      <c r="L1" s="116"/>
      <c r="M1" s="116"/>
      <c r="N1" s="116"/>
      <c r="O1" s="389"/>
      <c r="P1" s="219"/>
      <c r="Q1" s="332"/>
      <c r="R1" s="332"/>
      <c r="S1" s="219"/>
      <c r="T1" s="332"/>
      <c r="U1" s="219"/>
      <c r="V1" s="332"/>
      <c r="W1" s="242"/>
      <c r="X1" s="332"/>
    </row>
    <row r="2" spans="1:29" ht="15.75" customHeight="1">
      <c r="A2" s="390">
        <f t="shared" ref="A2:F2" si="0">A3</f>
        <v>0</v>
      </c>
      <c r="B2" s="390">
        <f t="shared" si="0"/>
        <v>0</v>
      </c>
      <c r="C2" s="391">
        <f t="shared" si="0"/>
        <v>0</v>
      </c>
      <c r="D2" s="392">
        <f t="shared" si="0"/>
        <v>0</v>
      </c>
      <c r="E2" s="392">
        <f t="shared" si="0"/>
        <v>0</v>
      </c>
      <c r="F2" s="393">
        <f t="shared" si="0"/>
        <v>0</v>
      </c>
      <c r="G2" s="394" t="e">
        <f t="shared" ref="G2:I2" si="1">RIGHT(G3,LEN(G3)-7)</f>
        <v>#VALUE!</v>
      </c>
      <c r="H2" s="393" t="e">
        <f t="shared" si="1"/>
        <v>#VALUE!</v>
      </c>
      <c r="I2" s="394" t="e">
        <f t="shared" si="1"/>
        <v>#VALUE!</v>
      </c>
      <c r="M2" s="116"/>
      <c r="N2" s="116"/>
      <c r="O2" s="116"/>
      <c r="P2" s="219"/>
      <c r="Q2" s="332"/>
      <c r="R2" s="395"/>
      <c r="S2" s="219"/>
      <c r="T2" s="332"/>
      <c r="U2" s="219"/>
      <c r="V2" s="332"/>
      <c r="W2" s="242"/>
      <c r="X2" s="116"/>
      <c r="Z2" s="116"/>
      <c r="AA2" s="116"/>
      <c r="AB2" s="116"/>
      <c r="AC2" s="116"/>
    </row>
    <row r="3" spans="1:29" ht="15.75" customHeight="1" outlineLevel="1">
      <c r="A3" s="493"/>
      <c r="B3" s="498"/>
      <c r="C3" s="498"/>
      <c r="D3" s="498"/>
      <c r="E3" s="498"/>
      <c r="F3" s="498"/>
      <c r="G3" s="491" t="s">
        <v>174</v>
      </c>
      <c r="H3" s="498"/>
      <c r="I3" s="499"/>
      <c r="J3" s="116"/>
      <c r="K3" s="116"/>
      <c r="L3" s="116"/>
      <c r="M3" s="116"/>
      <c r="N3" s="116"/>
      <c r="O3" s="389"/>
      <c r="P3" s="219"/>
      <c r="Q3" s="332"/>
      <c r="R3" s="332"/>
      <c r="S3" s="219"/>
      <c r="T3" s="332"/>
      <c r="U3" s="219"/>
      <c r="V3" s="332"/>
      <c r="W3" s="242"/>
      <c r="X3" s="332"/>
    </row>
    <row r="4" spans="1:29" ht="15.75" customHeight="1">
      <c r="A4" s="491" t="s">
        <v>103</v>
      </c>
      <c r="B4" s="491" t="s">
        <v>106</v>
      </c>
      <c r="C4" s="491" t="s">
        <v>110</v>
      </c>
      <c r="D4" s="491" t="s">
        <v>109</v>
      </c>
      <c r="E4" s="491" t="s">
        <v>119</v>
      </c>
      <c r="F4" s="491" t="s">
        <v>323</v>
      </c>
      <c r="G4" s="493" t="s">
        <v>373</v>
      </c>
      <c r="H4" s="500" t="s">
        <v>374</v>
      </c>
      <c r="I4" s="501" t="s">
        <v>375</v>
      </c>
      <c r="J4" s="116"/>
      <c r="K4" s="116"/>
      <c r="L4" s="116"/>
      <c r="M4" s="116"/>
      <c r="N4" s="116"/>
      <c r="O4" s="389"/>
      <c r="P4" s="219"/>
      <c r="Q4" s="332"/>
      <c r="R4" s="332"/>
      <c r="S4" s="219"/>
      <c r="T4" s="332"/>
      <c r="U4" s="219"/>
      <c r="V4" s="332"/>
      <c r="W4" s="242"/>
      <c r="X4" s="332"/>
    </row>
    <row r="5" spans="1:29" ht="15.75" customHeight="1">
      <c r="A5" s="493" t="s">
        <v>183</v>
      </c>
      <c r="B5" s="502">
        <v>44561</v>
      </c>
      <c r="C5" s="493" t="s">
        <v>64</v>
      </c>
      <c r="D5" s="493" t="s">
        <v>64</v>
      </c>
      <c r="E5" s="493" t="s">
        <v>39</v>
      </c>
      <c r="F5" s="493">
        <v>0</v>
      </c>
      <c r="G5" s="503">
        <v>1</v>
      </c>
      <c r="H5" s="504">
        <v>1</v>
      </c>
      <c r="I5" s="505">
        <v>0</v>
      </c>
      <c r="J5" s="116"/>
      <c r="K5" s="116"/>
      <c r="L5" s="116"/>
      <c r="M5" s="116"/>
      <c r="N5" s="116"/>
      <c r="O5" s="389"/>
      <c r="P5" s="219"/>
      <c r="Q5" s="332"/>
      <c r="R5" s="332"/>
      <c r="S5" s="219"/>
      <c r="T5" s="332"/>
      <c r="U5" s="219"/>
      <c r="V5" s="332"/>
      <c r="W5" s="242"/>
      <c r="X5" s="332"/>
    </row>
    <row r="6" spans="1:29" ht="15.75" customHeight="1">
      <c r="A6" s="506"/>
      <c r="B6" s="502">
        <v>44562</v>
      </c>
      <c r="C6" s="493" t="s">
        <v>16</v>
      </c>
      <c r="D6" s="493" t="s">
        <v>42</v>
      </c>
      <c r="E6" s="493" t="s">
        <v>41</v>
      </c>
      <c r="F6" s="493">
        <v>2</v>
      </c>
      <c r="G6" s="503">
        <v>7.7950628571428568</v>
      </c>
      <c r="H6" s="504">
        <v>3350.44</v>
      </c>
      <c r="I6" s="505">
        <v>716633.36994631996</v>
      </c>
      <c r="J6" s="116"/>
      <c r="K6" s="116"/>
      <c r="L6" s="116"/>
      <c r="M6" s="116"/>
      <c r="N6" s="116"/>
      <c r="O6" s="389"/>
      <c r="P6" s="219"/>
      <c r="Q6" s="332"/>
      <c r="R6" s="332"/>
      <c r="S6" s="219"/>
      <c r="T6" s="332"/>
      <c r="U6" s="219"/>
      <c r="V6" s="332"/>
      <c r="W6" s="242"/>
      <c r="X6" s="332"/>
    </row>
    <row r="7" spans="1:29" ht="15.75" customHeight="1">
      <c r="A7" s="506"/>
      <c r="B7" s="502">
        <v>44563</v>
      </c>
      <c r="C7" s="493" t="s">
        <v>16</v>
      </c>
      <c r="D7" s="493" t="s">
        <v>38</v>
      </c>
      <c r="E7" s="493" t="s">
        <v>39</v>
      </c>
      <c r="F7" s="493">
        <v>10</v>
      </c>
      <c r="G7" s="503">
        <v>1</v>
      </c>
      <c r="H7" s="504">
        <v>480.8</v>
      </c>
      <c r="I7" s="505">
        <v>58998</v>
      </c>
      <c r="J7" s="116"/>
      <c r="K7" s="116"/>
      <c r="L7" s="116"/>
      <c r="M7" s="116"/>
      <c r="N7" s="116"/>
      <c r="O7" s="389"/>
      <c r="P7" s="219"/>
      <c r="Q7" s="332"/>
      <c r="R7" s="332"/>
      <c r="S7" s="219"/>
      <c r="T7" s="332"/>
      <c r="U7" s="219"/>
      <c r="V7" s="332"/>
      <c r="W7" s="242"/>
      <c r="X7" s="332"/>
    </row>
    <row r="8" spans="1:29" ht="15.75" customHeight="1">
      <c r="A8" s="506"/>
      <c r="B8" s="506"/>
      <c r="C8" s="506"/>
      <c r="D8" s="493" t="s">
        <v>40</v>
      </c>
      <c r="E8" s="493" t="s">
        <v>29</v>
      </c>
      <c r="F8" s="493">
        <v>-15</v>
      </c>
      <c r="G8" s="503">
        <v>1.2239862307692309</v>
      </c>
      <c r="H8" s="504">
        <v>2051.23</v>
      </c>
      <c r="I8" s="505">
        <v>-470041.74185699999</v>
      </c>
      <c r="J8" s="116"/>
      <c r="K8" s="116"/>
      <c r="L8" s="116"/>
      <c r="M8" s="116"/>
      <c r="N8" s="116"/>
      <c r="O8" s="389"/>
      <c r="P8" s="219"/>
      <c r="Q8" s="332"/>
      <c r="R8" s="332"/>
      <c r="S8" s="219"/>
      <c r="T8" s="332"/>
      <c r="U8" s="219"/>
      <c r="V8" s="332"/>
      <c r="W8" s="242"/>
      <c r="X8" s="332"/>
    </row>
    <row r="9" spans="1:29" ht="15.75" customHeight="1">
      <c r="A9" s="506"/>
      <c r="B9" s="506"/>
      <c r="C9" s="506"/>
      <c r="D9" s="493" t="s">
        <v>36</v>
      </c>
      <c r="E9" s="493" t="s">
        <v>37</v>
      </c>
      <c r="F9" s="493">
        <v>10</v>
      </c>
      <c r="G9" s="503">
        <v>8.8533538461538459</v>
      </c>
      <c r="H9" s="504">
        <v>758</v>
      </c>
      <c r="I9" s="505">
        <v>824820.83612500003</v>
      </c>
      <c r="J9" s="116"/>
      <c r="K9" s="116"/>
      <c r="L9" s="116"/>
      <c r="M9" s="116"/>
      <c r="N9" s="116"/>
      <c r="O9" s="389"/>
      <c r="P9" s="219"/>
      <c r="Q9" s="332"/>
      <c r="R9" s="332"/>
      <c r="S9" s="219"/>
      <c r="T9" s="332"/>
      <c r="U9" s="219"/>
      <c r="V9" s="332"/>
      <c r="W9" s="242"/>
      <c r="X9" s="332"/>
    </row>
    <row r="10" spans="1:29" ht="15.75" customHeight="1">
      <c r="A10" s="506"/>
      <c r="B10" s="502">
        <v>44565</v>
      </c>
      <c r="C10" s="493" t="s">
        <v>16</v>
      </c>
      <c r="D10" s="493" t="s">
        <v>36</v>
      </c>
      <c r="E10" s="493" t="s">
        <v>37</v>
      </c>
      <c r="F10" s="493">
        <v>-5</v>
      </c>
      <c r="G10" s="503">
        <v>8.856015454545453</v>
      </c>
      <c r="H10" s="504">
        <v>758</v>
      </c>
      <c r="I10" s="505">
        <v>-348152.9600125</v>
      </c>
      <c r="J10" s="116"/>
      <c r="K10" s="116"/>
      <c r="L10" s="116"/>
      <c r="M10" s="116"/>
      <c r="N10" s="116"/>
      <c r="O10" s="389"/>
      <c r="P10" s="219"/>
      <c r="Q10" s="332"/>
      <c r="R10" s="332"/>
      <c r="S10" s="219"/>
      <c r="T10" s="332"/>
      <c r="U10" s="219"/>
      <c r="V10" s="332"/>
      <c r="W10" s="242"/>
      <c r="X10" s="332"/>
    </row>
    <row r="11" spans="1:29" ht="15.75" customHeight="1">
      <c r="A11" s="506"/>
      <c r="B11" s="502">
        <v>44566</v>
      </c>
      <c r="C11" s="493" t="s">
        <v>16</v>
      </c>
      <c r="D11" s="493" t="s">
        <v>36</v>
      </c>
      <c r="E11" s="493" t="s">
        <v>37</v>
      </c>
      <c r="F11" s="493">
        <v>4</v>
      </c>
      <c r="G11" s="503">
        <v>8.8621169999999996</v>
      </c>
      <c r="H11" s="504">
        <v>758</v>
      </c>
      <c r="I11" s="505">
        <v>252348.44800999999</v>
      </c>
      <c r="J11" s="116"/>
      <c r="K11" s="116"/>
      <c r="L11" s="116"/>
      <c r="M11" s="116"/>
      <c r="N11" s="116"/>
      <c r="O11" s="389"/>
      <c r="P11" s="219"/>
      <c r="Q11" s="332"/>
      <c r="R11" s="332"/>
      <c r="S11" s="219"/>
      <c r="T11" s="332"/>
      <c r="U11" s="219"/>
      <c r="V11" s="332"/>
      <c r="W11" s="242"/>
      <c r="X11" s="332"/>
    </row>
    <row r="12" spans="1:29" ht="15.75" customHeight="1">
      <c r="A12" s="506"/>
      <c r="B12" s="502">
        <v>44567</v>
      </c>
      <c r="C12" s="493" t="s">
        <v>16</v>
      </c>
      <c r="D12" s="493" t="s">
        <v>36</v>
      </c>
      <c r="E12" s="493" t="s">
        <v>37</v>
      </c>
      <c r="F12" s="493">
        <v>3</v>
      </c>
      <c r="G12" s="503">
        <v>8.8670172222222217</v>
      </c>
      <c r="H12" s="504">
        <v>727.1</v>
      </c>
      <c r="I12" s="505">
        <v>169209.16989749996</v>
      </c>
      <c r="J12" s="116"/>
      <c r="K12" s="116"/>
      <c r="L12" s="116"/>
      <c r="M12" s="116"/>
      <c r="N12" s="116"/>
      <c r="O12" s="389"/>
      <c r="P12" s="219"/>
      <c r="Q12" s="332"/>
      <c r="R12" s="332"/>
      <c r="S12" s="219"/>
      <c r="T12" s="332"/>
      <c r="U12" s="219"/>
      <c r="V12" s="332"/>
      <c r="W12" s="242"/>
      <c r="X12" s="332"/>
    </row>
    <row r="13" spans="1:29" ht="15.75" customHeight="1">
      <c r="A13" s="506"/>
      <c r="B13" s="506"/>
      <c r="C13" s="506"/>
      <c r="D13" s="506"/>
      <c r="E13" s="506"/>
      <c r="F13" s="507">
        <v>12</v>
      </c>
      <c r="G13" s="508">
        <v>8.8670172222222217</v>
      </c>
      <c r="H13" s="509">
        <v>727.1</v>
      </c>
      <c r="I13" s="510">
        <v>676836.67958999984</v>
      </c>
      <c r="J13" s="116"/>
      <c r="K13" s="116"/>
      <c r="L13" s="116"/>
      <c r="M13" s="116"/>
      <c r="N13" s="116"/>
      <c r="O13" s="389"/>
      <c r="P13" s="219"/>
      <c r="Q13" s="332"/>
      <c r="R13" s="332"/>
      <c r="S13" s="219"/>
      <c r="T13" s="332"/>
      <c r="U13" s="219"/>
      <c r="V13" s="332"/>
      <c r="W13" s="242"/>
      <c r="X13" s="332"/>
    </row>
    <row r="14" spans="1:29" ht="15.75" customHeight="1">
      <c r="A14" s="506"/>
      <c r="B14" s="502">
        <v>44568</v>
      </c>
      <c r="C14" s="493" t="s">
        <v>16</v>
      </c>
      <c r="D14" s="493" t="s">
        <v>36</v>
      </c>
      <c r="E14" s="493" t="s">
        <v>37</v>
      </c>
      <c r="F14" s="493">
        <v>-13</v>
      </c>
      <c r="G14" s="503">
        <v>8.873994999999999</v>
      </c>
      <c r="H14" s="504">
        <v>715.8</v>
      </c>
      <c r="I14" s="505">
        <v>-649953.67772399995</v>
      </c>
      <c r="J14" s="116"/>
      <c r="K14" s="116"/>
      <c r="L14" s="116"/>
      <c r="M14" s="116"/>
      <c r="N14" s="116"/>
      <c r="O14" s="389"/>
      <c r="P14" s="219"/>
      <c r="Q14" s="332"/>
      <c r="R14" s="332"/>
      <c r="S14" s="219"/>
      <c r="T14" s="332"/>
      <c r="U14" s="219"/>
      <c r="V14" s="332"/>
      <c r="W14" s="242"/>
      <c r="X14" s="332"/>
    </row>
    <row r="15" spans="1:29" ht="15.75" customHeight="1">
      <c r="A15" s="506"/>
      <c r="B15" s="502">
        <v>44569</v>
      </c>
      <c r="C15" s="493" t="s">
        <v>16</v>
      </c>
      <c r="D15" s="493" t="s">
        <v>36</v>
      </c>
      <c r="E15" s="493" t="s">
        <v>37</v>
      </c>
      <c r="F15" s="493">
        <v>-51</v>
      </c>
      <c r="G15" s="503">
        <v>8.875965714285714</v>
      </c>
      <c r="H15" s="504">
        <v>715.8</v>
      </c>
      <c r="I15" s="505">
        <v>-2226369.5849879999</v>
      </c>
      <c r="J15" s="116"/>
      <c r="K15" s="116"/>
      <c r="L15" s="116"/>
      <c r="M15" s="116"/>
      <c r="N15" s="116"/>
      <c r="O15" s="389"/>
      <c r="P15" s="219"/>
      <c r="Q15" s="332"/>
      <c r="R15" s="332"/>
      <c r="S15" s="219"/>
      <c r="T15" s="332"/>
      <c r="U15" s="219"/>
      <c r="V15" s="332"/>
      <c r="W15" s="242"/>
      <c r="X15" s="332"/>
    </row>
    <row r="16" spans="1:29" ht="15.75" customHeight="1">
      <c r="A16" s="506"/>
      <c r="B16" s="502">
        <v>44570</v>
      </c>
      <c r="C16" s="493" t="s">
        <v>16</v>
      </c>
      <c r="D16" s="493" t="s">
        <v>38</v>
      </c>
      <c r="E16" s="493" t="s">
        <v>39</v>
      </c>
      <c r="F16" s="493">
        <v>-15</v>
      </c>
      <c r="G16" s="503">
        <v>1</v>
      </c>
      <c r="H16" s="504">
        <v>480.8</v>
      </c>
      <c r="I16" s="505">
        <v>-41784</v>
      </c>
      <c r="J16" s="116"/>
      <c r="K16" s="116"/>
      <c r="L16" s="116"/>
      <c r="M16" s="116"/>
      <c r="N16" s="116"/>
      <c r="O16" s="389"/>
      <c r="P16" s="219"/>
      <c r="Q16" s="332"/>
      <c r="R16" s="332"/>
      <c r="S16" s="219"/>
      <c r="T16" s="332"/>
      <c r="U16" s="219"/>
      <c r="V16" s="332"/>
      <c r="W16" s="242"/>
      <c r="X16" s="332"/>
    </row>
    <row r="17" spans="1:24" ht="15.75" customHeight="1">
      <c r="A17" s="493" t="s">
        <v>377</v>
      </c>
      <c r="B17" s="498"/>
      <c r="C17" s="498"/>
      <c r="D17" s="498"/>
      <c r="E17" s="498"/>
      <c r="F17" s="498"/>
      <c r="G17" s="503">
        <v>5.8820599296874967</v>
      </c>
      <c r="H17" s="504">
        <v>3350.44</v>
      </c>
      <c r="I17" s="505">
        <v>-1037455.4610126801</v>
      </c>
      <c r="J17" s="116"/>
      <c r="K17" s="116"/>
      <c r="L17" s="116"/>
      <c r="M17" s="116"/>
      <c r="N17" s="116"/>
      <c r="O17" s="389"/>
      <c r="P17" s="219"/>
      <c r="Q17" s="332"/>
      <c r="R17" s="332"/>
      <c r="S17" s="219"/>
      <c r="T17" s="332"/>
      <c r="U17" s="219"/>
      <c r="V17" s="332"/>
      <c r="W17" s="242"/>
      <c r="X17" s="332"/>
    </row>
    <row r="18" spans="1:24" ht="15.75" customHeight="1">
      <c r="A18" s="493" t="s">
        <v>184</v>
      </c>
      <c r="B18" s="502">
        <v>44561</v>
      </c>
      <c r="C18" s="493" t="s">
        <v>64</v>
      </c>
      <c r="D18" s="493" t="s">
        <v>64</v>
      </c>
      <c r="E18" s="493" t="s">
        <v>39</v>
      </c>
      <c r="F18" s="493">
        <v>0</v>
      </c>
      <c r="G18" s="503">
        <v>1</v>
      </c>
      <c r="H18" s="504">
        <v>1</v>
      </c>
      <c r="I18" s="505">
        <v>0</v>
      </c>
      <c r="J18" s="116"/>
      <c r="K18" s="116"/>
      <c r="L18" s="116"/>
      <c r="M18" s="116"/>
      <c r="N18" s="116"/>
      <c r="O18" s="389"/>
      <c r="P18" s="219"/>
      <c r="Q18" s="332"/>
      <c r="R18" s="332"/>
      <c r="S18" s="219"/>
      <c r="T18" s="332"/>
      <c r="U18" s="219"/>
      <c r="V18" s="332"/>
      <c r="W18" s="242"/>
      <c r="X18" s="332"/>
    </row>
    <row r="19" spans="1:24" ht="15.75" customHeight="1">
      <c r="A19" s="506"/>
      <c r="B19" s="502">
        <v>44563</v>
      </c>
      <c r="C19" s="493" t="s">
        <v>16</v>
      </c>
      <c r="D19" s="493" t="s">
        <v>38</v>
      </c>
      <c r="E19" s="493" t="s">
        <v>39</v>
      </c>
      <c r="F19" s="493">
        <v>-5</v>
      </c>
      <c r="G19" s="503">
        <v>1</v>
      </c>
      <c r="H19" s="504">
        <v>480.8</v>
      </c>
      <c r="I19" s="505">
        <v>-29499</v>
      </c>
      <c r="J19" s="116"/>
      <c r="K19" s="116"/>
      <c r="L19" s="116"/>
      <c r="M19" s="116"/>
      <c r="N19" s="116"/>
      <c r="O19" s="389"/>
      <c r="P19" s="219"/>
      <c r="Q19" s="332"/>
      <c r="R19" s="332"/>
      <c r="S19" s="219"/>
      <c r="T19" s="332"/>
      <c r="U19" s="219"/>
      <c r="V19" s="332"/>
      <c r="W19" s="242"/>
      <c r="X19" s="332"/>
    </row>
    <row r="20" spans="1:24" ht="15.75" customHeight="1">
      <c r="A20" s="506"/>
      <c r="B20" s="506"/>
      <c r="C20" s="506"/>
      <c r="D20" s="493" t="s">
        <v>40</v>
      </c>
      <c r="E20" s="493" t="s">
        <v>29</v>
      </c>
      <c r="F20" s="493">
        <v>20</v>
      </c>
      <c r="G20" s="503">
        <v>1.2239862307692309</v>
      </c>
      <c r="H20" s="504">
        <v>2051.23</v>
      </c>
      <c r="I20" s="505">
        <v>626722.32247599994</v>
      </c>
      <c r="J20" s="116"/>
      <c r="K20" s="116"/>
      <c r="L20" s="116"/>
      <c r="M20" s="116"/>
      <c r="N20" s="116"/>
      <c r="O20" s="389"/>
      <c r="P20" s="219"/>
      <c r="Q20" s="332"/>
      <c r="R20" s="332"/>
      <c r="S20" s="219"/>
      <c r="T20" s="332"/>
      <c r="U20" s="219"/>
      <c r="V20" s="332"/>
      <c r="W20" s="242"/>
      <c r="X20" s="332"/>
    </row>
    <row r="21" spans="1:24" ht="15.75" customHeight="1">
      <c r="A21" s="506"/>
      <c r="B21" s="502">
        <v>44564</v>
      </c>
      <c r="C21" s="493" t="s">
        <v>16</v>
      </c>
      <c r="D21" s="493" t="s">
        <v>38</v>
      </c>
      <c r="E21" s="493" t="s">
        <v>39</v>
      </c>
      <c r="F21" s="493">
        <v>15</v>
      </c>
      <c r="G21" s="503">
        <v>1</v>
      </c>
      <c r="H21" s="504">
        <v>480.8</v>
      </c>
      <c r="I21" s="505">
        <v>81645</v>
      </c>
      <c r="J21" s="116"/>
      <c r="K21" s="116"/>
      <c r="L21" s="116"/>
      <c r="M21" s="116"/>
      <c r="N21" s="116"/>
      <c r="O21" s="389"/>
      <c r="P21" s="219"/>
      <c r="Q21" s="332"/>
      <c r="R21" s="332"/>
      <c r="S21" s="219"/>
      <c r="T21" s="332"/>
      <c r="U21" s="219"/>
      <c r="V21" s="332"/>
      <c r="W21" s="242"/>
      <c r="X21" s="332"/>
    </row>
    <row r="22" spans="1:24" ht="15.75" customHeight="1">
      <c r="A22" s="506"/>
      <c r="B22" s="506"/>
      <c r="C22" s="506"/>
      <c r="D22" s="493" t="s">
        <v>40</v>
      </c>
      <c r="E22" s="493" t="s">
        <v>29</v>
      </c>
      <c r="F22" s="493">
        <v>-10</v>
      </c>
      <c r="G22" s="503">
        <v>1.2237475</v>
      </c>
      <c r="H22" s="504">
        <v>2051.23</v>
      </c>
      <c r="I22" s="505">
        <v>-288210.71573800006</v>
      </c>
      <c r="J22" s="116"/>
      <c r="K22" s="116"/>
      <c r="L22" s="116"/>
      <c r="M22" s="116"/>
      <c r="N22" s="116"/>
      <c r="O22" s="389"/>
      <c r="P22" s="219"/>
      <c r="Q22" s="332"/>
      <c r="R22" s="332"/>
      <c r="S22" s="219"/>
      <c r="T22" s="332"/>
      <c r="U22" s="219"/>
      <c r="V22" s="332"/>
      <c r="W22" s="242"/>
      <c r="X22" s="332"/>
    </row>
    <row r="23" spans="1:24" ht="15.75" customHeight="1">
      <c r="A23" s="506"/>
      <c r="B23" s="502">
        <v>44571</v>
      </c>
      <c r="C23" s="493" t="s">
        <v>16</v>
      </c>
      <c r="D23" s="493" t="s">
        <v>38</v>
      </c>
      <c r="E23" s="493" t="s">
        <v>39</v>
      </c>
      <c r="F23" s="493">
        <v>-1500</v>
      </c>
      <c r="G23" s="503">
        <v>1</v>
      </c>
      <c r="H23" s="504">
        <v>480.8</v>
      </c>
      <c r="I23" s="505">
        <v>-3513900</v>
      </c>
      <c r="J23" s="116"/>
      <c r="K23" s="116"/>
      <c r="L23" s="116"/>
      <c r="M23" s="116"/>
      <c r="N23" s="116"/>
      <c r="O23" s="389"/>
      <c r="P23" s="219"/>
      <c r="Q23" s="332"/>
      <c r="R23" s="332"/>
      <c r="S23" s="219"/>
      <c r="T23" s="332"/>
      <c r="U23" s="219"/>
      <c r="V23" s="332"/>
      <c r="W23" s="242"/>
      <c r="X23" s="332"/>
    </row>
    <row r="24" spans="1:24" ht="15.75" customHeight="1">
      <c r="A24" s="493" t="s">
        <v>378</v>
      </c>
      <c r="B24" s="498"/>
      <c r="C24" s="498"/>
      <c r="D24" s="498"/>
      <c r="E24" s="498"/>
      <c r="F24" s="498"/>
      <c r="G24" s="503">
        <v>1.079954157142857</v>
      </c>
      <c r="H24" s="504">
        <v>2051.23</v>
      </c>
      <c r="I24" s="505">
        <v>-3123242.3932619998</v>
      </c>
      <c r="J24" s="116"/>
      <c r="K24" s="116"/>
      <c r="L24" s="116"/>
      <c r="M24" s="116"/>
      <c r="N24" s="116"/>
      <c r="O24" s="389"/>
      <c r="P24" s="219"/>
      <c r="Q24" s="332"/>
      <c r="R24" s="332"/>
      <c r="S24" s="219"/>
      <c r="T24" s="332"/>
      <c r="U24" s="219"/>
      <c r="V24" s="332"/>
      <c r="W24" s="242"/>
      <c r="X24" s="332"/>
    </row>
    <row r="25" spans="1:24" ht="15.75" customHeight="1">
      <c r="A25" s="493" t="s">
        <v>185</v>
      </c>
      <c r="B25" s="502">
        <v>44561</v>
      </c>
      <c r="C25" s="493" t="s">
        <v>64</v>
      </c>
      <c r="D25" s="493" t="s">
        <v>64</v>
      </c>
      <c r="E25" s="493" t="s">
        <v>39</v>
      </c>
      <c r="F25" s="493">
        <v>0</v>
      </c>
      <c r="G25" s="503">
        <v>1</v>
      </c>
      <c r="H25" s="504">
        <v>1</v>
      </c>
      <c r="I25" s="505">
        <v>0</v>
      </c>
      <c r="J25" s="116"/>
      <c r="K25" s="116"/>
      <c r="L25" s="116"/>
      <c r="M25" s="116"/>
      <c r="N25" s="116"/>
      <c r="O25" s="389"/>
      <c r="P25" s="219"/>
      <c r="Q25" s="332"/>
      <c r="R25" s="332"/>
      <c r="S25" s="219"/>
      <c r="T25" s="332"/>
      <c r="U25" s="219"/>
      <c r="V25" s="332"/>
      <c r="W25" s="242"/>
      <c r="X25" s="332"/>
    </row>
    <row r="26" spans="1:24" ht="15.75" customHeight="1">
      <c r="A26" s="506"/>
      <c r="B26" s="502">
        <v>44562</v>
      </c>
      <c r="C26" s="493" t="s">
        <v>18</v>
      </c>
      <c r="D26" s="493" t="s">
        <v>7</v>
      </c>
      <c r="E26" s="493" t="s">
        <v>41</v>
      </c>
      <c r="F26" s="493">
        <v>40</v>
      </c>
      <c r="G26" s="503">
        <v>7.7950628571428568</v>
      </c>
      <c r="H26" s="504">
        <v>24.29</v>
      </c>
      <c r="I26" s="505">
        <v>776630.31007999997</v>
      </c>
      <c r="J26" s="116"/>
      <c r="K26" s="116"/>
      <c r="L26" s="116"/>
      <c r="M26" s="116"/>
      <c r="N26" s="116"/>
      <c r="O26" s="389"/>
      <c r="P26" s="219"/>
      <c r="Q26" s="332"/>
      <c r="R26" s="332"/>
      <c r="S26" s="219"/>
      <c r="T26" s="332"/>
      <c r="U26" s="219"/>
      <c r="V26" s="332"/>
      <c r="W26" s="242"/>
      <c r="X26" s="332"/>
    </row>
    <row r="27" spans="1:24" ht="15.75" customHeight="1">
      <c r="A27" s="506"/>
      <c r="B27" s="506"/>
      <c r="C27" s="493" t="s">
        <v>16</v>
      </c>
      <c r="D27" s="493" t="s">
        <v>38</v>
      </c>
      <c r="E27" s="493" t="s">
        <v>39</v>
      </c>
      <c r="F27" s="493">
        <v>10</v>
      </c>
      <c r="G27" s="503">
        <v>1</v>
      </c>
      <c r="H27" s="504">
        <v>480.8</v>
      </c>
      <c r="I27" s="505">
        <v>63566</v>
      </c>
      <c r="J27" s="116"/>
      <c r="K27" s="116"/>
      <c r="L27" s="116"/>
      <c r="M27" s="116"/>
      <c r="N27" s="116"/>
      <c r="O27" s="389"/>
      <c r="P27" s="219"/>
      <c r="Q27" s="332"/>
      <c r="R27" s="332"/>
      <c r="S27" s="219"/>
      <c r="T27" s="332"/>
      <c r="U27" s="219"/>
      <c r="V27" s="332"/>
      <c r="W27" s="242"/>
      <c r="X27" s="332"/>
    </row>
    <row r="28" spans="1:24" ht="15.75" customHeight="1">
      <c r="A28" s="506"/>
      <c r="B28" s="506"/>
      <c r="C28" s="493" t="s">
        <v>61</v>
      </c>
      <c r="D28" s="493" t="s">
        <v>63</v>
      </c>
      <c r="E28" s="493" t="s">
        <v>39</v>
      </c>
      <c r="F28" s="493">
        <v>10000</v>
      </c>
      <c r="G28" s="503">
        <v>1</v>
      </c>
      <c r="H28" s="504">
        <v>1</v>
      </c>
      <c r="I28" s="505">
        <v>140000</v>
      </c>
      <c r="J28" s="116"/>
      <c r="K28" s="116"/>
      <c r="L28" s="116"/>
      <c r="M28" s="116"/>
      <c r="N28" s="116"/>
      <c r="O28" s="389"/>
      <c r="P28" s="219"/>
      <c r="Q28" s="332"/>
      <c r="R28" s="332"/>
      <c r="S28" s="219"/>
      <c r="T28" s="332"/>
      <c r="U28" s="219"/>
      <c r="V28" s="332"/>
      <c r="W28" s="242"/>
      <c r="X28" s="332"/>
    </row>
    <row r="29" spans="1:24" ht="15.75" customHeight="1">
      <c r="A29" s="506"/>
      <c r="B29" s="506"/>
      <c r="C29" s="506"/>
      <c r="D29" s="506"/>
      <c r="E29" s="506"/>
      <c r="F29" s="507">
        <v>20000</v>
      </c>
      <c r="G29" s="508">
        <v>1</v>
      </c>
      <c r="H29" s="509">
        <v>1</v>
      </c>
      <c r="I29" s="510">
        <v>280000</v>
      </c>
      <c r="J29" s="116"/>
      <c r="K29" s="116"/>
      <c r="L29" s="116"/>
      <c r="M29" s="116"/>
      <c r="N29" s="116"/>
      <c r="O29" s="389"/>
      <c r="P29" s="219"/>
      <c r="Q29" s="332"/>
      <c r="R29" s="332"/>
      <c r="S29" s="219"/>
      <c r="T29" s="332"/>
      <c r="U29" s="219"/>
      <c r="V29" s="332"/>
      <c r="W29" s="242"/>
      <c r="X29" s="332"/>
    </row>
    <row r="30" spans="1:24" ht="15.75" customHeight="1">
      <c r="A30" s="506"/>
      <c r="B30" s="502">
        <v>44563</v>
      </c>
      <c r="C30" s="493" t="s">
        <v>61</v>
      </c>
      <c r="D30" s="493" t="s">
        <v>63</v>
      </c>
      <c r="E30" s="493" t="s">
        <v>39</v>
      </c>
      <c r="F30" s="493">
        <v>-35000</v>
      </c>
      <c r="G30" s="503">
        <v>1</v>
      </c>
      <c r="H30" s="504">
        <v>1</v>
      </c>
      <c r="I30" s="505">
        <v>-455000</v>
      </c>
      <c r="J30" s="116"/>
      <c r="K30" s="116"/>
      <c r="L30" s="116"/>
      <c r="M30" s="116"/>
      <c r="N30" s="116"/>
      <c r="O30" s="389"/>
      <c r="P30" s="219"/>
      <c r="Q30" s="332"/>
      <c r="R30" s="332"/>
      <c r="S30" s="219"/>
      <c r="T30" s="332"/>
      <c r="U30" s="219"/>
      <c r="V30" s="332"/>
      <c r="W30" s="242"/>
      <c r="X30" s="332"/>
    </row>
    <row r="31" spans="1:24" ht="15.75" customHeight="1">
      <c r="A31" s="506"/>
      <c r="B31" s="502">
        <v>44565</v>
      </c>
      <c r="C31" s="493" t="s">
        <v>16</v>
      </c>
      <c r="D31" s="493" t="s">
        <v>38</v>
      </c>
      <c r="E31" s="493" t="s">
        <v>39</v>
      </c>
      <c r="F31" s="493">
        <v>380</v>
      </c>
      <c r="G31" s="503">
        <v>1</v>
      </c>
      <c r="H31" s="504">
        <v>480.8</v>
      </c>
      <c r="I31" s="505">
        <v>1895896</v>
      </c>
      <c r="J31" s="116"/>
      <c r="K31" s="116"/>
      <c r="L31" s="116"/>
      <c r="M31" s="116"/>
      <c r="N31" s="116"/>
      <c r="O31" s="389"/>
      <c r="P31" s="219"/>
      <c r="Q31" s="332"/>
      <c r="R31" s="332"/>
      <c r="S31" s="219"/>
      <c r="T31" s="332"/>
      <c r="U31" s="219"/>
      <c r="V31" s="332"/>
      <c r="W31" s="242"/>
      <c r="X31" s="332"/>
    </row>
    <row r="32" spans="1:24" ht="15.75" customHeight="1">
      <c r="A32" s="493" t="s">
        <v>379</v>
      </c>
      <c r="B32" s="498"/>
      <c r="C32" s="498"/>
      <c r="D32" s="498"/>
      <c r="E32" s="498"/>
      <c r="F32" s="498"/>
      <c r="G32" s="503">
        <v>2.0013776842105266</v>
      </c>
      <c r="H32" s="504">
        <v>480.8</v>
      </c>
      <c r="I32" s="505">
        <v>2701092.3100800002</v>
      </c>
      <c r="J32" s="116"/>
      <c r="K32" s="116"/>
      <c r="L32" s="116"/>
      <c r="M32" s="116"/>
      <c r="N32" s="116"/>
      <c r="O32" s="389"/>
      <c r="P32" s="219"/>
      <c r="Q32" s="332"/>
      <c r="R32" s="332"/>
      <c r="S32" s="219"/>
      <c r="T32" s="332"/>
      <c r="U32" s="219"/>
      <c r="V32" s="332"/>
      <c r="W32" s="242"/>
      <c r="X32" s="332"/>
    </row>
    <row r="33" spans="1:24" ht="15.75" customHeight="1">
      <c r="A33" s="493" t="s">
        <v>186</v>
      </c>
      <c r="B33" s="502">
        <v>44561</v>
      </c>
      <c r="C33" s="493" t="s">
        <v>64</v>
      </c>
      <c r="D33" s="493" t="s">
        <v>64</v>
      </c>
      <c r="E33" s="493" t="s">
        <v>39</v>
      </c>
      <c r="F33" s="493">
        <v>0</v>
      </c>
      <c r="G33" s="503">
        <v>1</v>
      </c>
      <c r="H33" s="504">
        <v>1</v>
      </c>
      <c r="I33" s="505">
        <v>0</v>
      </c>
      <c r="J33" s="116"/>
      <c r="K33" s="116"/>
      <c r="L33" s="116"/>
      <c r="M33" s="116"/>
      <c r="N33" s="116"/>
      <c r="O33" s="389"/>
      <c r="P33" s="219"/>
      <c r="Q33" s="332"/>
      <c r="R33" s="332"/>
      <c r="S33" s="219"/>
      <c r="T33" s="332"/>
      <c r="U33" s="219"/>
      <c r="V33" s="332"/>
      <c r="W33" s="242"/>
      <c r="X33" s="332"/>
    </row>
    <row r="34" spans="1:24" ht="15.75" customHeight="1">
      <c r="A34" s="506"/>
      <c r="B34" s="502">
        <v>44563</v>
      </c>
      <c r="C34" s="493" t="s">
        <v>16</v>
      </c>
      <c r="D34" s="493" t="s">
        <v>38</v>
      </c>
      <c r="E34" s="493" t="s">
        <v>39</v>
      </c>
      <c r="F34" s="493">
        <v>30</v>
      </c>
      <c r="G34" s="503">
        <v>1</v>
      </c>
      <c r="H34" s="504">
        <v>480.8</v>
      </c>
      <c r="I34" s="505">
        <v>176994</v>
      </c>
      <c r="J34" s="116"/>
      <c r="K34" s="116"/>
      <c r="L34" s="116"/>
      <c r="M34" s="116"/>
      <c r="N34" s="116"/>
      <c r="O34" s="389"/>
      <c r="P34" s="219"/>
      <c r="Q34" s="332"/>
      <c r="R34" s="332"/>
      <c r="S34" s="219"/>
      <c r="T34" s="332"/>
      <c r="U34" s="219"/>
      <c r="V34" s="332"/>
      <c r="W34" s="242"/>
      <c r="X34" s="332"/>
    </row>
    <row r="35" spans="1:24" ht="15.75" customHeight="1">
      <c r="A35" s="506"/>
      <c r="B35" s="506"/>
      <c r="C35" s="506"/>
      <c r="D35" s="493" t="s">
        <v>0</v>
      </c>
      <c r="E35" s="493" t="s">
        <v>41</v>
      </c>
      <c r="F35" s="493">
        <v>30</v>
      </c>
      <c r="G35" s="503">
        <v>7.7949830769230761</v>
      </c>
      <c r="H35" s="504">
        <v>407.48</v>
      </c>
      <c r="I35" s="505">
        <v>1198469.614419</v>
      </c>
      <c r="J35" s="116"/>
      <c r="K35" s="116"/>
      <c r="L35" s="116"/>
      <c r="M35" s="116"/>
      <c r="N35" s="116"/>
      <c r="O35" s="389"/>
      <c r="P35" s="219"/>
      <c r="Q35" s="332"/>
      <c r="R35" s="332"/>
      <c r="S35" s="219"/>
      <c r="T35" s="332"/>
      <c r="U35" s="219"/>
      <c r="V35" s="332"/>
      <c r="W35" s="242"/>
      <c r="X35" s="332"/>
    </row>
    <row r="36" spans="1:24" ht="15.75" customHeight="1">
      <c r="A36" s="506"/>
      <c r="B36" s="502">
        <v>44564</v>
      </c>
      <c r="C36" s="493" t="s">
        <v>18</v>
      </c>
      <c r="D36" s="493" t="s">
        <v>7</v>
      </c>
      <c r="E36" s="493" t="s">
        <v>41</v>
      </c>
      <c r="F36" s="493">
        <v>30</v>
      </c>
      <c r="G36" s="503">
        <v>7.7948858333333346</v>
      </c>
      <c r="H36" s="504">
        <v>22.29</v>
      </c>
      <c r="I36" s="505">
        <v>471190.85180999996</v>
      </c>
      <c r="J36" s="116"/>
      <c r="K36" s="116"/>
      <c r="L36" s="116"/>
      <c r="M36" s="116"/>
      <c r="N36" s="116"/>
      <c r="O36" s="389"/>
      <c r="P36" s="219"/>
      <c r="Q36" s="332"/>
      <c r="R36" s="332"/>
      <c r="S36" s="219"/>
      <c r="T36" s="332"/>
      <c r="U36" s="219"/>
      <c r="V36" s="332"/>
      <c r="W36" s="242"/>
      <c r="X36" s="332"/>
    </row>
    <row r="37" spans="1:24" ht="15.75" customHeight="1">
      <c r="A37" s="506"/>
      <c r="B37" s="502">
        <v>44565</v>
      </c>
      <c r="C37" s="493" t="s">
        <v>18</v>
      </c>
      <c r="D37" s="493" t="s">
        <v>7</v>
      </c>
      <c r="E37" s="493" t="s">
        <v>41</v>
      </c>
      <c r="F37" s="493">
        <v>-20</v>
      </c>
      <c r="G37" s="503">
        <v>7.7946163636363641</v>
      </c>
      <c r="H37" s="504"/>
      <c r="I37" s="505">
        <v>0</v>
      </c>
      <c r="J37" s="116"/>
      <c r="K37" s="116"/>
      <c r="L37" s="116"/>
      <c r="M37" s="116"/>
      <c r="N37" s="116"/>
      <c r="O37" s="389"/>
      <c r="P37" s="219"/>
      <c r="Q37" s="332"/>
      <c r="R37" s="332"/>
      <c r="S37" s="219"/>
      <c r="T37" s="332"/>
      <c r="U37" s="219"/>
      <c r="V37" s="332"/>
      <c r="W37" s="242"/>
      <c r="X37" s="332"/>
    </row>
    <row r="38" spans="1:24" ht="15.75" customHeight="1">
      <c r="A38" s="493" t="s">
        <v>380</v>
      </c>
      <c r="B38" s="498"/>
      <c r="C38" s="498"/>
      <c r="D38" s="498"/>
      <c r="E38" s="498"/>
      <c r="F38" s="498"/>
      <c r="G38" s="503">
        <v>4.8220967187499992</v>
      </c>
      <c r="H38" s="504">
        <v>480.8</v>
      </c>
      <c r="I38" s="505">
        <v>1846654.4662290001</v>
      </c>
      <c r="J38" s="116"/>
      <c r="K38" s="116"/>
      <c r="L38" s="116"/>
      <c r="M38" s="116"/>
      <c r="N38" s="116"/>
      <c r="O38" s="389"/>
      <c r="P38" s="219"/>
      <c r="Q38" s="332"/>
      <c r="R38" s="332"/>
      <c r="S38" s="219"/>
      <c r="T38" s="332"/>
      <c r="U38" s="219"/>
      <c r="V38" s="332"/>
      <c r="W38" s="242"/>
      <c r="X38" s="332"/>
    </row>
    <row r="39" spans="1:24" ht="15.75" customHeight="1">
      <c r="A39" s="493" t="s">
        <v>187</v>
      </c>
      <c r="B39" s="502">
        <v>44561</v>
      </c>
      <c r="C39" s="493" t="s">
        <v>64</v>
      </c>
      <c r="D39" s="493" t="s">
        <v>64</v>
      </c>
      <c r="E39" s="493" t="s">
        <v>39</v>
      </c>
      <c r="F39" s="493">
        <v>0</v>
      </c>
      <c r="G39" s="503">
        <v>1</v>
      </c>
      <c r="H39" s="504">
        <v>1</v>
      </c>
      <c r="I39" s="505">
        <v>0</v>
      </c>
      <c r="J39" s="116"/>
      <c r="K39" s="116"/>
      <c r="L39" s="116"/>
      <c r="M39" s="116"/>
      <c r="N39" s="116"/>
      <c r="O39" s="389"/>
      <c r="P39" s="219"/>
      <c r="Q39" s="332"/>
      <c r="R39" s="332"/>
      <c r="S39" s="219"/>
      <c r="T39" s="332"/>
      <c r="U39" s="219"/>
      <c r="V39" s="332"/>
      <c r="W39" s="242"/>
      <c r="X39" s="332"/>
    </row>
    <row r="40" spans="1:24" ht="15.75" customHeight="1">
      <c r="A40" s="506"/>
      <c r="B40" s="502">
        <v>44566</v>
      </c>
      <c r="C40" s="493" t="s">
        <v>21</v>
      </c>
      <c r="D40" s="493" t="s">
        <v>5</v>
      </c>
      <c r="E40" s="493" t="s">
        <v>41</v>
      </c>
      <c r="F40" s="493">
        <v>10</v>
      </c>
      <c r="G40" s="503">
        <v>7.7947029999999984</v>
      </c>
      <c r="H40" s="504">
        <v>3.4000000000000008</v>
      </c>
      <c r="I40" s="505">
        <v>229954.69400000002</v>
      </c>
      <c r="J40" s="116"/>
      <c r="K40" s="116"/>
      <c r="L40" s="116"/>
      <c r="M40" s="116"/>
      <c r="N40" s="116"/>
      <c r="O40" s="389"/>
      <c r="P40" s="219"/>
      <c r="Q40" s="332"/>
      <c r="R40" s="332"/>
      <c r="S40" s="219"/>
      <c r="T40" s="332"/>
      <c r="U40" s="219"/>
      <c r="V40" s="332"/>
      <c r="W40" s="242"/>
      <c r="X40" s="332"/>
    </row>
    <row r="41" spans="1:24" ht="15.75" customHeight="1">
      <c r="A41" s="506"/>
      <c r="B41" s="506"/>
      <c r="C41" s="506"/>
      <c r="D41" s="493" t="s">
        <v>4</v>
      </c>
      <c r="E41" s="493" t="s">
        <v>41</v>
      </c>
      <c r="F41" s="493">
        <v>-10</v>
      </c>
      <c r="G41" s="503">
        <v>7.7947029999999984</v>
      </c>
      <c r="H41" s="504">
        <v>4.3999999999999986</v>
      </c>
      <c r="I41" s="505">
        <v>-307901.72399999993</v>
      </c>
      <c r="J41" s="116"/>
      <c r="K41" s="116"/>
      <c r="L41" s="116"/>
      <c r="M41" s="116"/>
      <c r="N41" s="116"/>
      <c r="O41" s="389"/>
      <c r="P41" s="219"/>
      <c r="Q41" s="332"/>
      <c r="R41" s="332"/>
      <c r="S41" s="219"/>
      <c r="T41" s="332"/>
      <c r="U41" s="219"/>
      <c r="V41" s="332"/>
      <c r="W41" s="242"/>
      <c r="X41" s="332"/>
    </row>
    <row r="42" spans="1:24" ht="15.75" customHeight="1">
      <c r="A42" s="506"/>
      <c r="B42" s="502">
        <v>44567</v>
      </c>
      <c r="C42" s="493" t="s">
        <v>16</v>
      </c>
      <c r="D42" s="493" t="s">
        <v>38</v>
      </c>
      <c r="E42" s="493" t="s">
        <v>39</v>
      </c>
      <c r="F42" s="493">
        <v>40</v>
      </c>
      <c r="G42" s="503">
        <v>1</v>
      </c>
      <c r="H42" s="504">
        <v>480.8</v>
      </c>
      <c r="I42" s="505">
        <v>164344</v>
      </c>
      <c r="J42" s="116"/>
      <c r="K42" s="116"/>
      <c r="L42" s="116"/>
      <c r="M42" s="116"/>
      <c r="N42" s="116"/>
      <c r="O42" s="389"/>
      <c r="P42" s="219"/>
      <c r="Q42" s="332"/>
      <c r="R42" s="332"/>
      <c r="S42" s="219"/>
      <c r="T42" s="332"/>
      <c r="U42" s="219"/>
      <c r="V42" s="332"/>
      <c r="W42" s="242"/>
      <c r="X42" s="332"/>
    </row>
    <row r="43" spans="1:24" ht="15.75" customHeight="1">
      <c r="A43" s="506"/>
      <c r="B43" s="502">
        <v>44568</v>
      </c>
      <c r="C43" s="493" t="s">
        <v>18</v>
      </c>
      <c r="D43" s="493" t="s">
        <v>7</v>
      </c>
      <c r="E43" s="493" t="s">
        <v>41</v>
      </c>
      <c r="F43" s="493">
        <v>-20</v>
      </c>
      <c r="G43" s="503">
        <v>7.7938712499999996</v>
      </c>
      <c r="H43" s="504"/>
      <c r="I43" s="505">
        <v>0</v>
      </c>
      <c r="J43" s="116"/>
      <c r="K43" s="116"/>
      <c r="L43" s="116"/>
      <c r="M43" s="116"/>
      <c r="N43" s="116"/>
      <c r="O43" s="389"/>
      <c r="P43" s="219"/>
      <c r="Q43" s="332"/>
      <c r="R43" s="332"/>
      <c r="S43" s="219"/>
      <c r="T43" s="332"/>
      <c r="U43" s="219"/>
      <c r="V43" s="332"/>
      <c r="W43" s="242"/>
      <c r="X43" s="332"/>
    </row>
    <row r="44" spans="1:24" ht="15.75" customHeight="1">
      <c r="A44" s="506"/>
      <c r="B44" s="506"/>
      <c r="C44" s="493" t="s">
        <v>16</v>
      </c>
      <c r="D44" s="493" t="s">
        <v>38</v>
      </c>
      <c r="E44" s="493" t="s">
        <v>39</v>
      </c>
      <c r="F44" s="493">
        <v>-50</v>
      </c>
      <c r="G44" s="503">
        <v>1</v>
      </c>
      <c r="H44" s="504">
        <v>480.8</v>
      </c>
      <c r="I44" s="505">
        <v>-183580</v>
      </c>
      <c r="J44" s="116"/>
      <c r="K44" s="116"/>
      <c r="L44" s="116"/>
      <c r="M44" s="116"/>
      <c r="N44" s="116"/>
      <c r="O44" s="389"/>
      <c r="P44" s="219"/>
      <c r="Q44" s="332"/>
      <c r="R44" s="332"/>
      <c r="S44" s="219"/>
      <c r="T44" s="332"/>
      <c r="U44" s="219"/>
      <c r="V44" s="332"/>
      <c r="W44" s="242"/>
      <c r="X44" s="332"/>
    </row>
    <row r="45" spans="1:24" ht="15.75" customHeight="1">
      <c r="A45" s="493" t="s">
        <v>381</v>
      </c>
      <c r="B45" s="498"/>
      <c r="C45" s="498"/>
      <c r="D45" s="498"/>
      <c r="E45" s="498"/>
      <c r="F45" s="498"/>
      <c r="G45" s="503">
        <v>4.1707504999999996</v>
      </c>
      <c r="H45" s="504">
        <v>480.8</v>
      </c>
      <c r="I45" s="505">
        <v>-97183.029999999955</v>
      </c>
      <c r="J45" s="116"/>
      <c r="K45" s="116"/>
      <c r="L45" s="116"/>
      <c r="M45" s="116"/>
      <c r="N45" s="116"/>
      <c r="O45" s="389"/>
      <c r="P45" s="219"/>
      <c r="Q45" s="332"/>
      <c r="R45" s="332"/>
      <c r="S45" s="219"/>
      <c r="T45" s="332"/>
      <c r="U45" s="219"/>
      <c r="V45" s="332"/>
      <c r="W45" s="242"/>
      <c r="X45" s="332"/>
    </row>
    <row r="46" spans="1:24" ht="15.75" customHeight="1">
      <c r="A46" s="493" t="s">
        <v>188</v>
      </c>
      <c r="B46" s="502">
        <v>44561</v>
      </c>
      <c r="C46" s="493" t="s">
        <v>64</v>
      </c>
      <c r="D46" s="493" t="s">
        <v>64</v>
      </c>
      <c r="E46" s="493" t="s">
        <v>39</v>
      </c>
      <c r="F46" s="493">
        <v>0</v>
      </c>
      <c r="G46" s="503">
        <v>1</v>
      </c>
      <c r="H46" s="504">
        <v>1</v>
      </c>
      <c r="I46" s="505">
        <v>0</v>
      </c>
      <c r="J46" s="116"/>
      <c r="K46" s="116"/>
      <c r="L46" s="116"/>
      <c r="M46" s="116"/>
      <c r="N46" s="116"/>
      <c r="O46" s="389"/>
      <c r="P46" s="219"/>
      <c r="Q46" s="332"/>
      <c r="R46" s="332"/>
      <c r="S46" s="219"/>
      <c r="T46" s="332"/>
      <c r="U46" s="219"/>
      <c r="V46" s="332"/>
      <c r="W46" s="242"/>
      <c r="X46" s="332"/>
    </row>
    <row r="47" spans="1:24" ht="15.75" customHeight="1">
      <c r="A47" s="493" t="s">
        <v>382</v>
      </c>
      <c r="B47" s="498"/>
      <c r="C47" s="498"/>
      <c r="D47" s="498"/>
      <c r="E47" s="498"/>
      <c r="F47" s="498"/>
      <c r="G47" s="503">
        <v>1</v>
      </c>
      <c r="H47" s="504">
        <v>1</v>
      </c>
      <c r="I47" s="505">
        <v>0</v>
      </c>
      <c r="J47" s="116"/>
      <c r="K47" s="116"/>
      <c r="L47" s="116"/>
      <c r="M47" s="116"/>
      <c r="N47" s="116"/>
      <c r="O47" s="389"/>
      <c r="P47" s="219"/>
      <c r="Q47" s="332"/>
      <c r="R47" s="332"/>
      <c r="S47" s="219"/>
      <c r="T47" s="332"/>
      <c r="U47" s="219"/>
      <c r="V47" s="332"/>
      <c r="W47" s="242"/>
      <c r="X47" s="332"/>
    </row>
    <row r="48" spans="1:24" ht="15.75" customHeight="1">
      <c r="A48" s="493" t="s">
        <v>867</v>
      </c>
      <c r="B48" s="493" t="s">
        <v>867</v>
      </c>
      <c r="C48" s="493" t="s">
        <v>867</v>
      </c>
      <c r="D48" s="493" t="s">
        <v>867</v>
      </c>
      <c r="E48" s="493" t="s">
        <v>867</v>
      </c>
      <c r="F48" s="493" t="s">
        <v>867</v>
      </c>
      <c r="G48" s="503"/>
      <c r="H48" s="504"/>
      <c r="I48" s="505"/>
      <c r="J48" s="116"/>
      <c r="K48" s="116"/>
      <c r="L48" s="116"/>
      <c r="M48" s="116"/>
      <c r="N48" s="116"/>
      <c r="O48" s="389"/>
      <c r="P48" s="219"/>
      <c r="Q48" s="332"/>
      <c r="R48" s="332"/>
      <c r="S48" s="219"/>
      <c r="T48" s="332"/>
      <c r="U48" s="219"/>
      <c r="V48" s="332"/>
      <c r="W48" s="242"/>
      <c r="X48" s="332"/>
    </row>
    <row r="49" spans="1:24" ht="15.75" customHeight="1">
      <c r="A49" s="495" t="s">
        <v>868</v>
      </c>
      <c r="B49" s="511"/>
      <c r="C49" s="511"/>
      <c r="D49" s="511"/>
      <c r="E49" s="511"/>
      <c r="F49" s="511"/>
      <c r="G49" s="512"/>
      <c r="H49" s="513"/>
      <c r="I49" s="514"/>
      <c r="J49" s="116"/>
      <c r="K49" s="116"/>
      <c r="L49" s="116"/>
      <c r="M49" s="116"/>
      <c r="N49" s="116"/>
      <c r="O49" s="389"/>
      <c r="P49" s="219"/>
      <c r="Q49" s="332"/>
      <c r="R49" s="332"/>
      <c r="S49" s="219"/>
      <c r="T49" s="332"/>
      <c r="U49" s="219"/>
      <c r="V49" s="332"/>
      <c r="W49" s="242"/>
      <c r="X49" s="332"/>
    </row>
    <row r="50" spans="1:24" ht="15.75" customHeight="1">
      <c r="A50" s="7"/>
      <c r="C50" s="153"/>
      <c r="F50" s="332"/>
      <c r="G50" s="219"/>
      <c r="H50" s="116"/>
      <c r="I50" s="116"/>
      <c r="J50" s="116"/>
      <c r="K50" s="116"/>
      <c r="L50" s="116"/>
      <c r="M50" s="116"/>
      <c r="N50" s="116"/>
      <c r="O50" s="389"/>
      <c r="P50" s="219"/>
      <c r="Q50" s="332"/>
      <c r="R50" s="332"/>
      <c r="S50" s="219"/>
      <c r="T50" s="332"/>
      <c r="U50" s="219"/>
      <c r="V50" s="332"/>
      <c r="W50" s="242"/>
      <c r="X50" s="332"/>
    </row>
    <row r="51" spans="1:24" ht="15.75" customHeight="1">
      <c r="A51" s="7"/>
      <c r="C51" s="153"/>
      <c r="F51" s="332"/>
      <c r="G51" s="219"/>
      <c r="H51" s="116"/>
      <c r="I51" s="116"/>
      <c r="J51" s="116"/>
      <c r="K51" s="116"/>
      <c r="L51" s="116"/>
      <c r="M51" s="116"/>
      <c r="N51" s="116"/>
      <c r="O51" s="389"/>
      <c r="P51" s="219"/>
      <c r="Q51" s="332"/>
      <c r="R51" s="332"/>
      <c r="S51" s="219"/>
      <c r="T51" s="332"/>
      <c r="U51" s="219"/>
      <c r="V51" s="332"/>
      <c r="W51" s="242"/>
      <c r="X51" s="332"/>
    </row>
    <row r="52" spans="1:24" ht="15.75" customHeight="1">
      <c r="A52" s="7"/>
      <c r="C52" s="153"/>
      <c r="F52" s="332"/>
      <c r="G52" s="219"/>
      <c r="H52" s="116"/>
      <c r="I52" s="116"/>
      <c r="J52" s="116"/>
      <c r="K52" s="116"/>
      <c r="L52" s="116"/>
      <c r="M52" s="116"/>
      <c r="N52" s="116"/>
      <c r="O52" s="389"/>
      <c r="P52" s="219"/>
      <c r="Q52" s="332"/>
      <c r="R52" s="332"/>
      <c r="S52" s="219"/>
      <c r="T52" s="332"/>
      <c r="U52" s="219"/>
      <c r="V52" s="332"/>
      <c r="W52" s="242"/>
      <c r="X52" s="332"/>
    </row>
    <row r="53" spans="1:24" ht="15.75" customHeight="1">
      <c r="A53" s="7"/>
      <c r="C53" s="153"/>
      <c r="F53" s="332"/>
      <c r="G53" s="219"/>
      <c r="H53" s="116"/>
      <c r="I53" s="116"/>
      <c r="J53" s="116"/>
      <c r="K53" s="116"/>
      <c r="L53" s="116"/>
      <c r="M53" s="116"/>
      <c r="N53" s="116"/>
      <c r="O53" s="389"/>
      <c r="P53" s="219"/>
      <c r="Q53" s="332"/>
      <c r="R53" s="332"/>
      <c r="S53" s="219"/>
      <c r="T53" s="332"/>
      <c r="U53" s="219"/>
      <c r="V53" s="332"/>
      <c r="W53" s="242"/>
      <c r="X53" s="332"/>
    </row>
    <row r="54" spans="1:24" ht="15.75" customHeight="1">
      <c r="A54" s="7"/>
      <c r="C54" s="153"/>
      <c r="F54" s="332"/>
      <c r="G54" s="219"/>
      <c r="H54" s="116"/>
      <c r="I54" s="116"/>
      <c r="J54" s="116"/>
      <c r="K54" s="116"/>
      <c r="L54" s="116"/>
      <c r="M54" s="116"/>
      <c r="N54" s="116"/>
      <c r="O54" s="389"/>
      <c r="P54" s="219"/>
      <c r="Q54" s="332"/>
      <c r="R54" s="332"/>
      <c r="S54" s="219"/>
      <c r="T54" s="332"/>
      <c r="U54" s="219"/>
      <c r="V54" s="332"/>
      <c r="W54" s="242"/>
      <c r="X54" s="332"/>
    </row>
    <row r="55" spans="1:24" ht="15.75" customHeight="1">
      <c r="A55" s="7"/>
      <c r="C55" s="153"/>
      <c r="F55" s="332"/>
      <c r="G55" s="219"/>
      <c r="H55" s="116"/>
      <c r="I55" s="116"/>
      <c r="J55" s="116"/>
      <c r="K55" s="116"/>
      <c r="L55" s="116"/>
      <c r="M55" s="116"/>
      <c r="N55" s="116"/>
      <c r="O55" s="389"/>
      <c r="P55" s="219"/>
      <c r="Q55" s="332"/>
      <c r="R55" s="332"/>
      <c r="S55" s="219"/>
      <c r="T55" s="332"/>
      <c r="U55" s="219"/>
      <c r="V55" s="332"/>
      <c r="W55" s="242"/>
      <c r="X55" s="332"/>
    </row>
    <row r="56" spans="1:24" ht="15.75" customHeight="1">
      <c r="A56" s="7"/>
      <c r="C56" s="153"/>
      <c r="F56" s="332"/>
      <c r="G56" s="219"/>
      <c r="H56" s="116"/>
      <c r="I56" s="116"/>
      <c r="J56" s="116"/>
      <c r="K56" s="116"/>
      <c r="L56" s="116"/>
      <c r="M56" s="116"/>
      <c r="N56" s="116"/>
      <c r="O56" s="389"/>
      <c r="P56" s="219"/>
      <c r="Q56" s="332"/>
      <c r="R56" s="332"/>
      <c r="S56" s="219"/>
      <c r="T56" s="332"/>
      <c r="U56" s="219"/>
      <c r="V56" s="332"/>
      <c r="W56" s="242"/>
      <c r="X56" s="332"/>
    </row>
    <row r="57" spans="1:24" ht="15.75" customHeight="1">
      <c r="A57" s="7"/>
      <c r="C57" s="153"/>
      <c r="F57" s="332"/>
      <c r="G57" s="219"/>
      <c r="H57" s="116"/>
      <c r="I57" s="116"/>
      <c r="J57" s="116"/>
      <c r="K57" s="116"/>
      <c r="L57" s="116"/>
      <c r="M57" s="116"/>
      <c r="N57" s="116"/>
      <c r="O57" s="389"/>
      <c r="P57" s="219"/>
      <c r="Q57" s="332"/>
      <c r="R57" s="332"/>
      <c r="S57" s="219"/>
      <c r="T57" s="332"/>
      <c r="U57" s="219"/>
      <c r="V57" s="332"/>
      <c r="W57" s="242"/>
      <c r="X57" s="332"/>
    </row>
    <row r="58" spans="1:24" ht="15.75" customHeight="1">
      <c r="A58" s="7"/>
      <c r="C58" s="153"/>
      <c r="F58" s="332"/>
      <c r="G58" s="219"/>
      <c r="H58" s="116"/>
      <c r="I58" s="116"/>
      <c r="J58" s="116"/>
      <c r="K58" s="116"/>
      <c r="L58" s="116"/>
      <c r="M58" s="116"/>
      <c r="N58" s="116"/>
      <c r="O58" s="389"/>
      <c r="P58" s="219"/>
      <c r="Q58" s="332"/>
      <c r="R58" s="332"/>
      <c r="S58" s="219"/>
      <c r="T58" s="332"/>
      <c r="U58" s="219"/>
      <c r="V58" s="332"/>
      <c r="W58" s="242"/>
      <c r="X58" s="332"/>
    </row>
    <row r="59" spans="1:24" ht="15.75" customHeight="1">
      <c r="A59" s="7"/>
      <c r="C59" s="153"/>
      <c r="F59" s="332"/>
      <c r="G59" s="219"/>
      <c r="H59" s="116"/>
      <c r="I59" s="116"/>
      <c r="J59" s="116"/>
      <c r="K59" s="116"/>
      <c r="L59" s="116"/>
      <c r="M59" s="116"/>
      <c r="N59" s="116"/>
      <c r="O59" s="389"/>
      <c r="P59" s="219"/>
      <c r="Q59" s="332"/>
      <c r="R59" s="332"/>
      <c r="S59" s="219"/>
      <c r="T59" s="332"/>
      <c r="U59" s="219"/>
      <c r="V59" s="332"/>
      <c r="W59" s="242"/>
      <c r="X59" s="332"/>
    </row>
    <row r="60" spans="1:24" ht="15.75" customHeight="1">
      <c r="A60" s="7"/>
      <c r="C60" s="153"/>
      <c r="F60" s="332"/>
      <c r="G60" s="219"/>
      <c r="H60" s="116"/>
      <c r="I60" s="116"/>
      <c r="J60" s="116"/>
      <c r="K60" s="116"/>
      <c r="L60" s="116"/>
      <c r="M60" s="116"/>
      <c r="N60" s="116"/>
      <c r="O60" s="389"/>
      <c r="P60" s="219"/>
      <c r="Q60" s="332"/>
      <c r="R60" s="332"/>
      <c r="S60" s="219"/>
      <c r="T60" s="332"/>
      <c r="U60" s="219"/>
      <c r="V60" s="332"/>
      <c r="W60" s="242"/>
      <c r="X60" s="332"/>
    </row>
    <row r="61" spans="1:24" ht="15.75" customHeight="1">
      <c r="A61" s="7"/>
      <c r="C61" s="153"/>
      <c r="F61" s="332"/>
      <c r="G61" s="219"/>
      <c r="H61" s="116"/>
      <c r="I61" s="116"/>
      <c r="J61" s="116"/>
      <c r="K61" s="116"/>
      <c r="L61" s="116"/>
      <c r="M61" s="116"/>
      <c r="N61" s="116"/>
      <c r="O61" s="389"/>
      <c r="P61" s="219"/>
      <c r="Q61" s="332"/>
      <c r="R61" s="332"/>
      <c r="S61" s="219"/>
      <c r="T61" s="332"/>
      <c r="U61" s="219"/>
      <c r="V61" s="332"/>
      <c r="W61" s="242"/>
      <c r="X61" s="332"/>
    </row>
    <row r="62" spans="1:24" ht="15.75" customHeight="1">
      <c r="A62" s="7"/>
      <c r="C62" s="153"/>
      <c r="F62" s="332"/>
      <c r="G62" s="219"/>
      <c r="H62" s="116"/>
      <c r="I62" s="116"/>
      <c r="J62" s="116"/>
      <c r="K62" s="116"/>
      <c r="L62" s="116"/>
      <c r="M62" s="116"/>
      <c r="N62" s="116"/>
      <c r="O62" s="389"/>
      <c r="P62" s="219"/>
      <c r="Q62" s="332"/>
      <c r="R62" s="332"/>
      <c r="S62" s="219"/>
      <c r="T62" s="332"/>
      <c r="U62" s="219"/>
      <c r="V62" s="332"/>
      <c r="W62" s="242"/>
      <c r="X62" s="332"/>
    </row>
    <row r="63" spans="1:24" ht="15.75" customHeight="1">
      <c r="A63" s="7"/>
      <c r="C63" s="153"/>
      <c r="F63" s="332"/>
      <c r="G63" s="219"/>
      <c r="H63" s="116"/>
      <c r="I63" s="116"/>
      <c r="J63" s="116"/>
      <c r="K63" s="116"/>
      <c r="L63" s="116"/>
      <c r="M63" s="116"/>
      <c r="N63" s="116"/>
      <c r="O63" s="389"/>
      <c r="P63" s="219"/>
      <c r="Q63" s="332"/>
      <c r="R63" s="332"/>
      <c r="S63" s="219"/>
      <c r="T63" s="332"/>
      <c r="U63" s="219"/>
      <c r="V63" s="332"/>
      <c r="W63" s="242"/>
      <c r="X63" s="332"/>
    </row>
    <row r="64" spans="1:24" ht="15.75" customHeight="1">
      <c r="A64" s="7"/>
      <c r="C64" s="153"/>
      <c r="F64" s="332"/>
      <c r="G64" s="219"/>
      <c r="H64" s="116"/>
      <c r="I64" s="116"/>
      <c r="J64" s="116"/>
      <c r="K64" s="116"/>
      <c r="L64" s="116"/>
      <c r="M64" s="116"/>
      <c r="N64" s="116"/>
      <c r="O64" s="389"/>
      <c r="P64" s="219"/>
      <c r="Q64" s="332"/>
      <c r="R64" s="332"/>
      <c r="S64" s="219"/>
      <c r="T64" s="332"/>
      <c r="U64" s="219"/>
      <c r="V64" s="332"/>
      <c r="W64" s="242"/>
      <c r="X64" s="332"/>
    </row>
    <row r="65" spans="1:24" ht="15.75" customHeight="1">
      <c r="A65" s="7"/>
      <c r="C65" s="153"/>
      <c r="F65" s="332"/>
      <c r="G65" s="219"/>
      <c r="H65" s="116"/>
      <c r="I65" s="116"/>
      <c r="J65" s="116"/>
      <c r="K65" s="116"/>
      <c r="L65" s="116"/>
      <c r="M65" s="116"/>
      <c r="N65" s="116"/>
      <c r="O65" s="389"/>
      <c r="P65" s="219"/>
      <c r="Q65" s="332"/>
      <c r="R65" s="332"/>
      <c r="S65" s="219"/>
      <c r="T65" s="332"/>
      <c r="U65" s="219"/>
      <c r="V65" s="332"/>
      <c r="W65" s="242"/>
      <c r="X65" s="332"/>
    </row>
    <row r="66" spans="1:24" ht="15.75" customHeight="1">
      <c r="A66" s="7"/>
      <c r="C66" s="153"/>
      <c r="F66" s="332"/>
      <c r="G66" s="219"/>
      <c r="H66" s="116"/>
      <c r="I66" s="116"/>
      <c r="J66" s="116"/>
      <c r="K66" s="116"/>
      <c r="L66" s="116"/>
      <c r="M66" s="116"/>
      <c r="N66" s="116"/>
      <c r="O66" s="389"/>
      <c r="P66" s="219"/>
      <c r="Q66" s="332"/>
      <c r="R66" s="332"/>
      <c r="S66" s="219"/>
      <c r="T66" s="332"/>
      <c r="U66" s="219"/>
      <c r="V66" s="332"/>
      <c r="W66" s="242"/>
      <c r="X66" s="332"/>
    </row>
    <row r="67" spans="1:24" ht="15.75" customHeight="1">
      <c r="A67" s="7"/>
      <c r="C67" s="153"/>
      <c r="F67" s="332"/>
      <c r="G67" s="219"/>
      <c r="H67" s="116"/>
      <c r="I67" s="116"/>
      <c r="J67" s="116"/>
      <c r="K67" s="116"/>
      <c r="L67" s="116"/>
      <c r="M67" s="116"/>
      <c r="N67" s="116"/>
      <c r="O67" s="389"/>
      <c r="P67" s="219"/>
      <c r="Q67" s="332"/>
      <c r="R67" s="332"/>
      <c r="S67" s="219"/>
      <c r="T67" s="332"/>
      <c r="U67" s="219"/>
      <c r="V67" s="332"/>
      <c r="W67" s="242"/>
      <c r="X67" s="332"/>
    </row>
    <row r="68" spans="1:24" ht="15.75" customHeight="1">
      <c r="A68" s="7"/>
      <c r="C68" s="153"/>
      <c r="F68" s="332"/>
      <c r="G68" s="219"/>
      <c r="H68" s="116"/>
      <c r="I68" s="116"/>
      <c r="J68" s="116"/>
      <c r="K68" s="116"/>
      <c r="L68" s="116"/>
      <c r="M68" s="116"/>
      <c r="N68" s="116"/>
      <c r="O68" s="389"/>
      <c r="P68" s="219"/>
      <c r="Q68" s="332"/>
      <c r="R68" s="332"/>
      <c r="S68" s="219"/>
      <c r="T68" s="332"/>
      <c r="U68" s="219"/>
      <c r="V68" s="332"/>
      <c r="W68" s="242"/>
      <c r="X68" s="332"/>
    </row>
    <row r="69" spans="1:24" ht="15.75" customHeight="1">
      <c r="A69" s="7"/>
      <c r="C69" s="153"/>
      <c r="F69" s="332"/>
      <c r="G69" s="219"/>
      <c r="H69" s="116"/>
      <c r="I69" s="116"/>
      <c r="J69" s="116"/>
      <c r="K69" s="116"/>
      <c r="L69" s="116"/>
      <c r="M69" s="116"/>
      <c r="N69" s="116"/>
      <c r="O69" s="389"/>
      <c r="P69" s="219"/>
      <c r="Q69" s="332"/>
      <c r="R69" s="332"/>
      <c r="S69" s="219"/>
      <c r="T69" s="332"/>
      <c r="U69" s="219"/>
      <c r="V69" s="332"/>
      <c r="W69" s="242"/>
      <c r="X69" s="332"/>
    </row>
    <row r="70" spans="1:24" ht="15.75" customHeight="1">
      <c r="A70" s="7"/>
      <c r="C70" s="153"/>
      <c r="F70" s="332"/>
      <c r="G70" s="219"/>
      <c r="H70" s="116"/>
      <c r="I70" s="116"/>
      <c r="J70" s="116"/>
      <c r="K70" s="116"/>
      <c r="L70" s="116"/>
      <c r="M70" s="116"/>
      <c r="N70" s="116"/>
      <c r="O70" s="389"/>
      <c r="P70" s="219"/>
      <c r="Q70" s="332"/>
      <c r="R70" s="332"/>
      <c r="S70" s="219"/>
      <c r="T70" s="332"/>
      <c r="U70" s="219"/>
      <c r="V70" s="332"/>
      <c r="W70" s="242"/>
      <c r="X70" s="332"/>
    </row>
    <row r="71" spans="1:24" ht="15.75" customHeight="1">
      <c r="A71" s="7"/>
      <c r="C71" s="153"/>
      <c r="F71" s="332"/>
      <c r="G71" s="219"/>
      <c r="H71" s="116"/>
      <c r="I71" s="116"/>
      <c r="J71" s="116"/>
      <c r="K71" s="116"/>
      <c r="L71" s="116"/>
      <c r="M71" s="116"/>
      <c r="N71" s="116"/>
      <c r="O71" s="389"/>
      <c r="P71" s="219"/>
      <c r="Q71" s="332"/>
      <c r="R71" s="332"/>
      <c r="S71" s="219"/>
      <c r="T71" s="332"/>
      <c r="U71" s="219"/>
      <c r="V71" s="332"/>
      <c r="W71" s="242"/>
      <c r="X71" s="332"/>
    </row>
    <row r="72" spans="1:24" ht="15.75" customHeight="1">
      <c r="A72" s="7"/>
      <c r="C72" s="153"/>
      <c r="F72" s="332"/>
      <c r="G72" s="219"/>
      <c r="H72" s="116"/>
      <c r="I72" s="116"/>
      <c r="J72" s="116"/>
      <c r="K72" s="116"/>
      <c r="L72" s="116"/>
      <c r="M72" s="116"/>
      <c r="N72" s="116"/>
      <c r="O72" s="389"/>
      <c r="P72" s="219"/>
      <c r="Q72" s="332"/>
      <c r="R72" s="332"/>
      <c r="S72" s="219"/>
      <c r="T72" s="332"/>
      <c r="U72" s="219"/>
      <c r="V72" s="332"/>
      <c r="W72" s="242"/>
      <c r="X72" s="332"/>
    </row>
    <row r="73" spans="1:24" ht="15.75" customHeight="1">
      <c r="A73" s="7"/>
      <c r="C73" s="153"/>
      <c r="F73" s="332"/>
      <c r="G73" s="219"/>
      <c r="H73" s="116"/>
      <c r="I73" s="116"/>
      <c r="J73" s="116"/>
      <c r="K73" s="116"/>
      <c r="L73" s="116"/>
      <c r="M73" s="116"/>
      <c r="N73" s="116"/>
      <c r="O73" s="389"/>
      <c r="P73" s="219"/>
      <c r="Q73" s="332"/>
      <c r="R73" s="332"/>
      <c r="S73" s="219"/>
      <c r="T73" s="332"/>
      <c r="U73" s="219"/>
      <c r="V73" s="332"/>
      <c r="W73" s="242"/>
      <c r="X73" s="332"/>
    </row>
    <row r="74" spans="1:24" ht="15.75" customHeight="1">
      <c r="A74" s="7"/>
      <c r="C74" s="153"/>
      <c r="F74" s="332"/>
      <c r="G74" s="219"/>
      <c r="H74" s="116"/>
      <c r="I74" s="116"/>
      <c r="J74" s="116"/>
      <c r="K74" s="116"/>
      <c r="L74" s="116"/>
      <c r="M74" s="116"/>
      <c r="N74" s="116"/>
      <c r="O74" s="389"/>
      <c r="P74" s="219"/>
      <c r="Q74" s="332"/>
      <c r="R74" s="332"/>
      <c r="S74" s="219"/>
      <c r="T74" s="332"/>
      <c r="U74" s="219"/>
      <c r="V74" s="332"/>
      <c r="W74" s="242"/>
      <c r="X74" s="332"/>
    </row>
    <row r="75" spans="1:24" ht="15.75" customHeight="1">
      <c r="A75" s="7"/>
      <c r="C75" s="153"/>
      <c r="F75" s="332"/>
      <c r="G75" s="219"/>
      <c r="H75" s="116"/>
      <c r="I75" s="116"/>
      <c r="J75" s="116"/>
      <c r="K75" s="116"/>
      <c r="L75" s="116"/>
      <c r="M75" s="116"/>
      <c r="N75" s="116"/>
      <c r="O75" s="389"/>
      <c r="P75" s="219"/>
      <c r="Q75" s="332"/>
      <c r="R75" s="332"/>
      <c r="S75" s="219"/>
      <c r="T75" s="332"/>
      <c r="U75" s="219"/>
      <c r="V75" s="332"/>
      <c r="W75" s="242"/>
      <c r="X75" s="332"/>
    </row>
    <row r="76" spans="1:24" ht="15.75" customHeight="1">
      <c r="A76" s="7"/>
      <c r="C76" s="153"/>
      <c r="F76" s="332"/>
      <c r="G76" s="219"/>
      <c r="H76" s="116"/>
      <c r="I76" s="116"/>
      <c r="J76" s="116"/>
      <c r="K76" s="116"/>
      <c r="L76" s="116"/>
      <c r="M76" s="116"/>
      <c r="N76" s="116"/>
      <c r="O76" s="389"/>
      <c r="P76" s="219"/>
      <c r="Q76" s="332"/>
      <c r="R76" s="332"/>
      <c r="S76" s="219"/>
      <c r="T76" s="332"/>
      <c r="U76" s="219"/>
      <c r="V76" s="332"/>
      <c r="W76" s="242"/>
      <c r="X76" s="332"/>
    </row>
    <row r="77" spans="1:24" ht="15.75" customHeight="1">
      <c r="A77" s="7"/>
      <c r="C77" s="153"/>
      <c r="F77" s="332"/>
      <c r="G77" s="219"/>
      <c r="H77" s="116"/>
      <c r="I77" s="116"/>
      <c r="J77" s="116"/>
      <c r="K77" s="116"/>
      <c r="L77" s="116"/>
      <c r="M77" s="116"/>
      <c r="N77" s="116"/>
      <c r="O77" s="389"/>
      <c r="P77" s="219"/>
      <c r="Q77" s="332"/>
      <c r="R77" s="332"/>
      <c r="S77" s="219"/>
      <c r="T77" s="332"/>
      <c r="U77" s="219"/>
      <c r="V77" s="332"/>
      <c r="W77" s="242"/>
      <c r="X77" s="332"/>
    </row>
    <row r="78" spans="1:24" ht="15.75" customHeight="1">
      <c r="A78" s="7"/>
      <c r="C78" s="153"/>
      <c r="F78" s="332"/>
      <c r="G78" s="219"/>
      <c r="H78" s="116"/>
      <c r="I78" s="116"/>
      <c r="J78" s="116"/>
      <c r="K78" s="116"/>
      <c r="L78" s="116"/>
      <c r="M78" s="116"/>
      <c r="N78" s="116"/>
      <c r="O78" s="389"/>
      <c r="P78" s="219"/>
      <c r="Q78" s="332"/>
      <c r="R78" s="332"/>
      <c r="S78" s="219"/>
      <c r="T78" s="332"/>
      <c r="U78" s="219"/>
      <c r="V78" s="332"/>
      <c r="W78" s="242"/>
      <c r="X78" s="332"/>
    </row>
    <row r="79" spans="1:24" ht="15.75" customHeight="1">
      <c r="A79" s="7"/>
      <c r="C79" s="153"/>
      <c r="F79" s="332"/>
      <c r="G79" s="219"/>
      <c r="H79" s="116"/>
      <c r="I79" s="116"/>
      <c r="J79" s="116"/>
      <c r="K79" s="116"/>
      <c r="L79" s="116"/>
      <c r="M79" s="116"/>
      <c r="N79" s="116"/>
      <c r="O79" s="389"/>
      <c r="P79" s="219"/>
      <c r="Q79" s="332"/>
      <c r="R79" s="332"/>
      <c r="S79" s="219"/>
      <c r="T79" s="332"/>
      <c r="U79" s="219"/>
      <c r="V79" s="332"/>
      <c r="W79" s="242"/>
      <c r="X79" s="332"/>
    </row>
    <row r="80" spans="1:24" ht="15.75" customHeight="1">
      <c r="A80" s="7"/>
      <c r="C80" s="153"/>
      <c r="F80" s="332"/>
      <c r="G80" s="219"/>
      <c r="H80" s="116"/>
      <c r="I80" s="116"/>
      <c r="J80" s="116"/>
      <c r="K80" s="116"/>
      <c r="L80" s="116"/>
      <c r="M80" s="116"/>
      <c r="N80" s="116"/>
      <c r="O80" s="389"/>
      <c r="P80" s="219"/>
      <c r="Q80" s="332"/>
      <c r="R80" s="332"/>
      <c r="S80" s="219"/>
      <c r="T80" s="332"/>
      <c r="U80" s="219"/>
      <c r="V80" s="332"/>
      <c r="W80" s="242"/>
      <c r="X80" s="332"/>
    </row>
    <row r="81" spans="1:24" ht="15.75" customHeight="1">
      <c r="A81" s="7"/>
      <c r="C81" s="153"/>
      <c r="F81" s="332"/>
      <c r="G81" s="219"/>
      <c r="H81" s="116"/>
      <c r="I81" s="116"/>
      <c r="J81" s="116"/>
      <c r="K81" s="116"/>
      <c r="L81" s="116"/>
      <c r="M81" s="116"/>
      <c r="N81" s="116"/>
      <c r="O81" s="389"/>
      <c r="P81" s="219"/>
      <c r="Q81" s="332"/>
      <c r="R81" s="332"/>
      <c r="S81" s="219"/>
      <c r="T81" s="332"/>
      <c r="U81" s="219"/>
      <c r="V81" s="332"/>
      <c r="W81" s="242"/>
      <c r="X81" s="332"/>
    </row>
    <row r="82" spans="1:24" ht="15.75" customHeight="1">
      <c r="A82" s="7"/>
      <c r="C82" s="153"/>
      <c r="F82" s="332"/>
      <c r="G82" s="219"/>
      <c r="H82" s="116"/>
      <c r="I82" s="116"/>
      <c r="J82" s="116"/>
      <c r="K82" s="116"/>
      <c r="L82" s="116"/>
      <c r="M82" s="116"/>
      <c r="N82" s="116"/>
      <c r="O82" s="389"/>
      <c r="P82" s="219"/>
      <c r="Q82" s="332"/>
      <c r="R82" s="332"/>
      <c r="S82" s="219"/>
      <c r="T82" s="332"/>
      <c r="U82" s="219"/>
      <c r="V82" s="332"/>
      <c r="W82" s="242"/>
      <c r="X82" s="332"/>
    </row>
    <row r="83" spans="1:24" ht="15.75" customHeight="1">
      <c r="A83" s="7"/>
      <c r="C83" s="153"/>
      <c r="F83" s="332"/>
      <c r="G83" s="219"/>
      <c r="H83" s="116"/>
      <c r="I83" s="116"/>
      <c r="J83" s="116"/>
      <c r="K83" s="116"/>
      <c r="L83" s="116"/>
      <c r="M83" s="116"/>
      <c r="N83" s="116"/>
      <c r="O83" s="389"/>
      <c r="P83" s="219"/>
      <c r="Q83" s="332"/>
      <c r="R83" s="332"/>
      <c r="S83" s="219"/>
      <c r="T83" s="332"/>
      <c r="U83" s="219"/>
      <c r="V83" s="332"/>
      <c r="W83" s="242"/>
      <c r="X83" s="332"/>
    </row>
    <row r="84" spans="1:24" ht="15.75" customHeight="1">
      <c r="A84" s="7"/>
      <c r="C84" s="153"/>
      <c r="F84" s="332"/>
      <c r="G84" s="219"/>
      <c r="H84" s="116"/>
      <c r="I84" s="116"/>
      <c r="J84" s="116"/>
      <c r="K84" s="116"/>
      <c r="L84" s="116"/>
      <c r="M84" s="116"/>
      <c r="N84" s="116"/>
      <c r="O84" s="389"/>
      <c r="P84" s="219"/>
      <c r="Q84" s="332"/>
      <c r="R84" s="332"/>
      <c r="S84" s="219"/>
      <c r="T84" s="332"/>
      <c r="U84" s="219"/>
      <c r="V84" s="332"/>
      <c r="W84" s="242"/>
      <c r="X84" s="332"/>
    </row>
    <row r="85" spans="1:24" ht="15.75" customHeight="1">
      <c r="A85" s="7"/>
      <c r="C85" s="153"/>
      <c r="F85" s="332"/>
      <c r="G85" s="219"/>
      <c r="H85" s="116"/>
      <c r="I85" s="116"/>
      <c r="J85" s="116"/>
      <c r="K85" s="116"/>
      <c r="L85" s="116"/>
      <c r="M85" s="116"/>
      <c r="N85" s="116"/>
      <c r="O85" s="389"/>
      <c r="P85" s="219"/>
      <c r="Q85" s="332"/>
      <c r="R85" s="332"/>
      <c r="S85" s="219"/>
      <c r="T85" s="332"/>
      <c r="U85" s="219"/>
      <c r="V85" s="332"/>
      <c r="W85" s="242"/>
      <c r="X85" s="332"/>
    </row>
    <row r="86" spans="1:24" ht="15.75" customHeight="1">
      <c r="A86" s="7"/>
      <c r="C86" s="153"/>
      <c r="F86" s="332"/>
      <c r="G86" s="219"/>
      <c r="H86" s="116"/>
      <c r="I86" s="116"/>
      <c r="J86" s="116"/>
      <c r="K86" s="116"/>
      <c r="L86" s="116"/>
      <c r="M86" s="116"/>
      <c r="N86" s="116"/>
      <c r="O86" s="389"/>
      <c r="P86" s="219"/>
      <c r="Q86" s="332"/>
      <c r="R86" s="332"/>
      <c r="S86" s="219"/>
      <c r="T86" s="332"/>
      <c r="U86" s="219"/>
      <c r="V86" s="332"/>
      <c r="W86" s="242"/>
      <c r="X86" s="332"/>
    </row>
    <row r="87" spans="1:24" ht="15.75" customHeight="1">
      <c r="A87" s="7"/>
      <c r="C87" s="153"/>
      <c r="F87" s="332"/>
      <c r="G87" s="219"/>
      <c r="H87" s="116"/>
      <c r="I87" s="116"/>
      <c r="J87" s="116"/>
      <c r="K87" s="116"/>
      <c r="L87" s="116"/>
      <c r="M87" s="116"/>
      <c r="N87" s="116"/>
      <c r="O87" s="389"/>
      <c r="P87" s="219"/>
      <c r="Q87" s="332"/>
      <c r="R87" s="332"/>
      <c r="S87" s="219"/>
      <c r="T87" s="332"/>
      <c r="U87" s="219"/>
      <c r="V87" s="332"/>
      <c r="W87" s="242"/>
      <c r="X87" s="332"/>
    </row>
    <row r="88" spans="1:24" ht="15.75" customHeight="1">
      <c r="A88" s="7"/>
      <c r="C88" s="153"/>
      <c r="F88" s="332"/>
      <c r="G88" s="219"/>
      <c r="H88" s="116"/>
      <c r="I88" s="116"/>
      <c r="J88" s="116"/>
      <c r="K88" s="116"/>
      <c r="L88" s="116"/>
      <c r="M88" s="116"/>
      <c r="N88" s="116"/>
      <c r="O88" s="389"/>
      <c r="P88" s="219"/>
      <c r="Q88" s="332"/>
      <c r="R88" s="332"/>
      <c r="S88" s="219"/>
      <c r="T88" s="332"/>
      <c r="U88" s="219"/>
      <c r="V88" s="332"/>
      <c r="W88" s="242"/>
      <c r="X88" s="332"/>
    </row>
    <row r="89" spans="1:24" ht="15.75" customHeight="1">
      <c r="A89" s="7"/>
      <c r="C89" s="153"/>
      <c r="F89" s="332"/>
      <c r="G89" s="219"/>
      <c r="H89" s="116"/>
      <c r="I89" s="116"/>
      <c r="J89" s="116"/>
      <c r="K89" s="116"/>
      <c r="L89" s="116"/>
      <c r="M89" s="116"/>
      <c r="N89" s="116"/>
      <c r="O89" s="389"/>
      <c r="P89" s="219"/>
      <c r="Q89" s="332"/>
      <c r="R89" s="332"/>
      <c r="S89" s="219"/>
      <c r="T89" s="332"/>
      <c r="U89" s="219"/>
      <c r="V89" s="332"/>
      <c r="W89" s="242"/>
      <c r="X89" s="332"/>
    </row>
    <row r="90" spans="1:24" ht="15.75" customHeight="1">
      <c r="A90" s="7"/>
      <c r="C90" s="153"/>
      <c r="F90" s="332"/>
      <c r="G90" s="219"/>
      <c r="H90" s="116"/>
      <c r="I90" s="116"/>
      <c r="J90" s="116"/>
      <c r="K90" s="116"/>
      <c r="L90" s="116"/>
      <c r="M90" s="116"/>
      <c r="N90" s="116"/>
      <c r="O90" s="389"/>
      <c r="P90" s="219"/>
      <c r="Q90" s="332"/>
      <c r="R90" s="332"/>
      <c r="S90" s="219"/>
      <c r="T90" s="332"/>
      <c r="U90" s="219"/>
      <c r="V90" s="332"/>
      <c r="W90" s="242"/>
      <c r="X90" s="332"/>
    </row>
    <row r="91" spans="1:24" ht="15.75" customHeight="1">
      <c r="A91" s="7"/>
      <c r="C91" s="153"/>
      <c r="F91" s="332"/>
      <c r="G91" s="219"/>
      <c r="H91" s="116"/>
      <c r="I91" s="116"/>
      <c r="J91" s="116"/>
      <c r="K91" s="116"/>
      <c r="L91" s="116"/>
      <c r="M91" s="116"/>
      <c r="N91" s="116"/>
      <c r="O91" s="389"/>
      <c r="P91" s="219"/>
      <c r="Q91" s="332"/>
      <c r="R91" s="332"/>
      <c r="S91" s="219"/>
      <c r="T91" s="332"/>
      <c r="U91" s="219"/>
      <c r="V91" s="332"/>
      <c r="W91" s="242"/>
      <c r="X91" s="332"/>
    </row>
    <row r="92" spans="1:24" ht="13">
      <c r="A92" s="7"/>
      <c r="C92" s="153"/>
      <c r="F92" s="332"/>
      <c r="G92" s="219"/>
      <c r="H92" s="116"/>
      <c r="I92" s="116"/>
      <c r="J92" s="116"/>
      <c r="K92" s="116"/>
      <c r="L92" s="116"/>
      <c r="M92" s="116"/>
      <c r="N92" s="116"/>
      <c r="O92" s="389"/>
      <c r="P92" s="219"/>
      <c r="Q92" s="332"/>
      <c r="R92" s="332"/>
      <c r="S92" s="219"/>
      <c r="T92" s="332"/>
      <c r="U92" s="219"/>
      <c r="V92" s="332"/>
      <c r="W92" s="242"/>
      <c r="X92" s="332"/>
    </row>
    <row r="93" spans="1:24" ht="13">
      <c r="A93" s="7"/>
      <c r="C93" s="153"/>
      <c r="F93" s="332"/>
      <c r="G93" s="219"/>
      <c r="H93" s="116"/>
      <c r="I93" s="116"/>
      <c r="J93" s="116"/>
      <c r="K93" s="116"/>
      <c r="L93" s="116"/>
      <c r="M93" s="116"/>
      <c r="N93" s="116"/>
      <c r="O93" s="389"/>
      <c r="P93" s="219"/>
      <c r="Q93" s="332"/>
      <c r="R93" s="332"/>
      <c r="S93" s="219"/>
      <c r="T93" s="332"/>
      <c r="U93" s="219"/>
      <c r="V93" s="332"/>
      <c r="W93" s="242"/>
      <c r="X93" s="332"/>
    </row>
    <row r="94" spans="1:24" ht="13">
      <c r="A94" s="7"/>
      <c r="C94" s="153"/>
      <c r="F94" s="332"/>
      <c r="G94" s="219"/>
      <c r="H94" s="116"/>
      <c r="I94" s="116"/>
      <c r="J94" s="116"/>
      <c r="K94" s="116"/>
      <c r="L94" s="116"/>
      <c r="M94" s="116"/>
      <c r="N94" s="116"/>
      <c r="O94" s="389"/>
      <c r="P94" s="219"/>
      <c r="Q94" s="332"/>
      <c r="R94" s="332"/>
      <c r="S94" s="219"/>
      <c r="T94" s="332"/>
      <c r="U94" s="219"/>
      <c r="V94" s="332"/>
      <c r="W94" s="242"/>
      <c r="X94" s="332"/>
    </row>
    <row r="95" spans="1:24" ht="13">
      <c r="A95" s="7"/>
      <c r="C95" s="153"/>
      <c r="F95" s="332"/>
      <c r="G95" s="219"/>
      <c r="H95" s="116"/>
      <c r="I95" s="116"/>
      <c r="J95" s="116"/>
      <c r="K95" s="116"/>
      <c r="L95" s="116"/>
      <c r="M95" s="116"/>
      <c r="N95" s="116"/>
      <c r="O95" s="389"/>
      <c r="P95" s="219"/>
      <c r="Q95" s="332"/>
      <c r="R95" s="332"/>
      <c r="S95" s="219"/>
      <c r="T95" s="332"/>
      <c r="U95" s="219"/>
      <c r="V95" s="332"/>
      <c r="W95" s="242"/>
      <c r="X95" s="332"/>
    </row>
    <row r="96" spans="1:24" ht="13">
      <c r="A96" s="7"/>
      <c r="C96" s="153"/>
      <c r="F96" s="332"/>
      <c r="G96" s="219"/>
      <c r="H96" s="116"/>
      <c r="I96" s="116"/>
      <c r="J96" s="116"/>
      <c r="K96" s="116"/>
      <c r="L96" s="116"/>
      <c r="M96" s="116"/>
      <c r="N96" s="116"/>
      <c r="O96" s="389"/>
      <c r="P96" s="219"/>
      <c r="Q96" s="332"/>
      <c r="R96" s="332"/>
      <c r="S96" s="219"/>
      <c r="T96" s="332"/>
      <c r="U96" s="219"/>
      <c r="V96" s="332"/>
      <c r="W96" s="242"/>
      <c r="X96" s="332"/>
    </row>
    <row r="97" spans="1:24" ht="13">
      <c r="A97" s="7"/>
      <c r="C97" s="153"/>
      <c r="F97" s="332"/>
      <c r="G97" s="219"/>
      <c r="H97" s="116"/>
      <c r="I97" s="116"/>
      <c r="J97" s="116"/>
      <c r="K97" s="116"/>
      <c r="L97" s="116"/>
      <c r="M97" s="116"/>
      <c r="N97" s="116"/>
      <c r="O97" s="389"/>
      <c r="P97" s="219"/>
      <c r="Q97" s="332"/>
      <c r="R97" s="332"/>
      <c r="S97" s="219"/>
      <c r="T97" s="332"/>
      <c r="U97" s="219"/>
      <c r="V97" s="332"/>
      <c r="W97" s="242"/>
      <c r="X97" s="332"/>
    </row>
    <row r="98" spans="1:24" ht="13">
      <c r="A98" s="7"/>
      <c r="C98" s="153"/>
      <c r="F98" s="332"/>
      <c r="G98" s="219"/>
      <c r="H98" s="116"/>
      <c r="I98" s="116"/>
      <c r="J98" s="116"/>
      <c r="K98" s="116"/>
      <c r="L98" s="116"/>
      <c r="M98" s="116"/>
      <c r="N98" s="116"/>
      <c r="O98" s="389"/>
      <c r="P98" s="219"/>
      <c r="Q98" s="332"/>
      <c r="R98" s="332"/>
      <c r="S98" s="219"/>
      <c r="T98" s="332"/>
      <c r="U98" s="219"/>
      <c r="V98" s="332"/>
      <c r="W98" s="242"/>
      <c r="X98" s="332"/>
    </row>
    <row r="99" spans="1:24" ht="13">
      <c r="A99" s="7"/>
      <c r="C99" s="153"/>
      <c r="F99" s="332"/>
      <c r="G99" s="219"/>
      <c r="H99" s="116"/>
      <c r="I99" s="116"/>
      <c r="J99" s="116"/>
      <c r="K99" s="116"/>
      <c r="L99" s="116"/>
      <c r="M99" s="116"/>
      <c r="N99" s="116"/>
      <c r="O99" s="389"/>
      <c r="P99" s="219"/>
      <c r="Q99" s="332"/>
      <c r="R99" s="332"/>
      <c r="S99" s="219"/>
      <c r="T99" s="332"/>
      <c r="U99" s="219"/>
      <c r="V99" s="332"/>
      <c r="W99" s="242"/>
      <c r="X99" s="332"/>
    </row>
    <row r="100" spans="1:24" ht="13">
      <c r="A100" s="7"/>
      <c r="C100" s="153"/>
      <c r="F100" s="332"/>
      <c r="G100" s="219"/>
      <c r="H100" s="116"/>
      <c r="I100" s="116"/>
      <c r="J100" s="116"/>
      <c r="K100" s="116"/>
      <c r="L100" s="116"/>
      <c r="M100" s="116"/>
      <c r="N100" s="116"/>
      <c r="O100" s="389"/>
      <c r="P100" s="219"/>
      <c r="Q100" s="332"/>
      <c r="R100" s="332"/>
      <c r="S100" s="219"/>
      <c r="T100" s="332"/>
      <c r="U100" s="219"/>
      <c r="V100" s="332"/>
      <c r="W100" s="242"/>
      <c r="X100" s="332"/>
    </row>
    <row r="101" spans="1:24" ht="13">
      <c r="A101" s="7"/>
      <c r="C101" s="153"/>
      <c r="F101" s="332"/>
      <c r="G101" s="219"/>
      <c r="H101" s="116"/>
      <c r="I101" s="116"/>
      <c r="J101" s="116"/>
      <c r="K101" s="116"/>
      <c r="L101" s="116"/>
      <c r="M101" s="116"/>
      <c r="N101" s="116"/>
      <c r="O101" s="389"/>
      <c r="P101" s="219"/>
      <c r="Q101" s="332"/>
      <c r="R101" s="332"/>
      <c r="S101" s="219"/>
      <c r="T101" s="332"/>
      <c r="U101" s="219"/>
      <c r="V101" s="332"/>
      <c r="W101" s="242"/>
      <c r="X101" s="332"/>
    </row>
    <row r="102" spans="1:24" ht="13">
      <c r="A102" s="7"/>
      <c r="C102" s="153"/>
      <c r="F102" s="332"/>
      <c r="G102" s="219"/>
      <c r="H102" s="116"/>
      <c r="I102" s="116"/>
      <c r="J102" s="116"/>
      <c r="K102" s="116"/>
      <c r="L102" s="116"/>
      <c r="M102" s="116"/>
      <c r="N102" s="116"/>
      <c r="O102" s="389"/>
      <c r="P102" s="219"/>
      <c r="Q102" s="332"/>
      <c r="R102" s="332"/>
      <c r="S102" s="219"/>
      <c r="T102" s="332"/>
      <c r="U102" s="219"/>
      <c r="V102" s="332"/>
      <c r="W102" s="242"/>
      <c r="X102" s="332"/>
    </row>
    <row r="103" spans="1:24" ht="13">
      <c r="A103" s="7"/>
      <c r="C103" s="153"/>
      <c r="F103" s="332"/>
      <c r="G103" s="219"/>
      <c r="H103" s="116"/>
      <c r="I103" s="116"/>
      <c r="J103" s="116"/>
      <c r="K103" s="116"/>
      <c r="L103" s="116"/>
      <c r="M103" s="116"/>
      <c r="N103" s="116"/>
      <c r="O103" s="389"/>
      <c r="P103" s="219"/>
      <c r="Q103" s="332"/>
      <c r="R103" s="332"/>
      <c r="S103" s="219"/>
      <c r="T103" s="332"/>
      <c r="U103" s="219"/>
      <c r="V103" s="332"/>
      <c r="W103" s="242"/>
      <c r="X103" s="332"/>
    </row>
    <row r="104" spans="1:24" ht="13">
      <c r="A104" s="7"/>
      <c r="C104" s="153"/>
      <c r="F104" s="332"/>
      <c r="G104" s="219"/>
      <c r="H104" s="116"/>
      <c r="I104" s="116"/>
      <c r="J104" s="116"/>
      <c r="K104" s="116"/>
      <c r="L104" s="116"/>
      <c r="M104" s="116"/>
      <c r="N104" s="116"/>
      <c r="O104" s="389"/>
      <c r="P104" s="219"/>
      <c r="Q104" s="332"/>
      <c r="R104" s="332"/>
      <c r="S104" s="219"/>
      <c r="T104" s="332"/>
      <c r="U104" s="219"/>
      <c r="V104" s="332"/>
      <c r="W104" s="242"/>
      <c r="X104" s="332"/>
    </row>
    <row r="105" spans="1:24" ht="13">
      <c r="A105" s="7"/>
      <c r="C105" s="153"/>
      <c r="F105" s="332"/>
      <c r="G105" s="219"/>
      <c r="H105" s="116"/>
      <c r="I105" s="116"/>
      <c r="J105" s="116"/>
      <c r="K105" s="116"/>
      <c r="L105" s="116"/>
      <c r="M105" s="116"/>
      <c r="N105" s="116"/>
      <c r="O105" s="389"/>
      <c r="P105" s="219"/>
      <c r="Q105" s="332"/>
      <c r="R105" s="332"/>
      <c r="S105" s="219"/>
      <c r="T105" s="332"/>
      <c r="U105" s="219"/>
      <c r="V105" s="332"/>
      <c r="W105" s="242"/>
      <c r="X105" s="332"/>
    </row>
    <row r="106" spans="1:24" ht="13">
      <c r="A106" s="7"/>
      <c r="C106" s="153"/>
      <c r="F106" s="332"/>
      <c r="G106" s="219"/>
      <c r="H106" s="116"/>
      <c r="I106" s="116"/>
      <c r="J106" s="116"/>
      <c r="K106" s="116"/>
      <c r="L106" s="116"/>
      <c r="M106" s="116"/>
      <c r="N106" s="116"/>
      <c r="O106" s="389"/>
      <c r="P106" s="219"/>
      <c r="Q106" s="332"/>
      <c r="R106" s="332"/>
      <c r="S106" s="219"/>
      <c r="T106" s="332"/>
      <c r="U106" s="219"/>
      <c r="V106" s="332"/>
      <c r="W106" s="242"/>
      <c r="X106" s="332"/>
    </row>
    <row r="107" spans="1:24" ht="13">
      <c r="A107" s="7"/>
      <c r="C107" s="153"/>
      <c r="F107" s="332"/>
      <c r="G107" s="219"/>
      <c r="H107" s="116"/>
      <c r="I107" s="116"/>
      <c r="J107" s="116"/>
      <c r="K107" s="116"/>
      <c r="L107" s="116"/>
      <c r="M107" s="116"/>
      <c r="N107" s="116"/>
      <c r="O107" s="389"/>
      <c r="P107" s="219"/>
      <c r="Q107" s="332"/>
      <c r="R107" s="332"/>
      <c r="S107" s="219"/>
      <c r="T107" s="332"/>
      <c r="U107" s="219"/>
      <c r="V107" s="332"/>
      <c r="W107" s="242"/>
      <c r="X107" s="332"/>
    </row>
    <row r="108" spans="1:24" ht="13">
      <c r="A108" s="7"/>
      <c r="C108" s="153"/>
      <c r="F108" s="332"/>
      <c r="G108" s="219"/>
      <c r="H108" s="116"/>
      <c r="I108" s="116"/>
      <c r="J108" s="116"/>
      <c r="K108" s="116"/>
      <c r="L108" s="116"/>
      <c r="M108" s="116"/>
      <c r="N108" s="116"/>
      <c r="O108" s="389"/>
      <c r="P108" s="219"/>
      <c r="Q108" s="332"/>
      <c r="R108" s="332"/>
      <c r="S108" s="219"/>
      <c r="T108" s="332"/>
      <c r="U108" s="219"/>
      <c r="V108" s="332"/>
      <c r="W108" s="242"/>
      <c r="X108" s="332"/>
    </row>
    <row r="109" spans="1:24" ht="13">
      <c r="A109" s="7"/>
      <c r="C109" s="153"/>
      <c r="F109" s="332"/>
      <c r="G109" s="219"/>
      <c r="H109" s="116"/>
      <c r="I109" s="116"/>
      <c r="J109" s="116"/>
      <c r="K109" s="116"/>
      <c r="L109" s="116"/>
      <c r="M109" s="116"/>
      <c r="N109" s="116"/>
      <c r="O109" s="389"/>
      <c r="P109" s="219"/>
      <c r="Q109" s="332"/>
      <c r="R109" s="332"/>
      <c r="S109" s="219"/>
      <c r="T109" s="332"/>
      <c r="U109" s="219"/>
      <c r="V109" s="332"/>
      <c r="W109" s="242"/>
      <c r="X109" s="332"/>
    </row>
    <row r="110" spans="1:24" ht="13">
      <c r="A110" s="7"/>
      <c r="C110" s="153"/>
      <c r="F110" s="332"/>
      <c r="G110" s="219"/>
      <c r="H110" s="116"/>
      <c r="I110" s="116"/>
      <c r="J110" s="116"/>
      <c r="K110" s="116"/>
      <c r="L110" s="116"/>
      <c r="M110" s="116"/>
      <c r="N110" s="116"/>
      <c r="O110" s="389"/>
      <c r="P110" s="219"/>
      <c r="Q110" s="332"/>
      <c r="R110" s="332"/>
      <c r="S110" s="219"/>
      <c r="T110" s="332"/>
      <c r="U110" s="219"/>
      <c r="V110" s="332"/>
      <c r="W110" s="242"/>
      <c r="X110" s="332"/>
    </row>
    <row r="111" spans="1:24" ht="13">
      <c r="A111" s="7"/>
      <c r="C111" s="153"/>
      <c r="F111" s="332"/>
      <c r="G111" s="219"/>
      <c r="H111" s="116"/>
      <c r="I111" s="116"/>
      <c r="J111" s="116"/>
      <c r="K111" s="116"/>
      <c r="L111" s="116"/>
      <c r="M111" s="116"/>
      <c r="N111" s="116"/>
      <c r="O111" s="389"/>
      <c r="P111" s="219"/>
      <c r="Q111" s="332"/>
      <c r="R111" s="332"/>
      <c r="S111" s="219"/>
      <c r="T111" s="332"/>
      <c r="U111" s="219"/>
      <c r="V111" s="332"/>
      <c r="W111" s="242"/>
      <c r="X111" s="332"/>
    </row>
    <row r="112" spans="1:24" ht="13">
      <c r="A112" s="7"/>
      <c r="C112" s="153"/>
      <c r="F112" s="332"/>
      <c r="G112" s="219"/>
      <c r="H112" s="116"/>
      <c r="I112" s="116"/>
      <c r="J112" s="116"/>
      <c r="K112" s="116"/>
      <c r="L112" s="116"/>
      <c r="M112" s="116"/>
      <c r="N112" s="116"/>
      <c r="O112" s="389"/>
      <c r="P112" s="219"/>
      <c r="Q112" s="332"/>
      <c r="R112" s="332"/>
      <c r="S112" s="219"/>
      <c r="T112" s="332"/>
      <c r="U112" s="219"/>
      <c r="V112" s="332"/>
      <c r="W112" s="242"/>
      <c r="X112" s="332"/>
    </row>
    <row r="113" spans="1:24" ht="13">
      <c r="A113" s="7"/>
      <c r="C113" s="153"/>
      <c r="F113" s="332"/>
      <c r="G113" s="219"/>
      <c r="H113" s="116"/>
      <c r="I113" s="116"/>
      <c r="J113" s="116"/>
      <c r="K113" s="116"/>
      <c r="L113" s="116"/>
      <c r="M113" s="116"/>
      <c r="N113" s="116"/>
      <c r="O113" s="389"/>
      <c r="P113" s="219"/>
      <c r="Q113" s="332"/>
      <c r="R113" s="332"/>
      <c r="S113" s="219"/>
      <c r="T113" s="332"/>
      <c r="U113" s="219"/>
      <c r="V113" s="332"/>
      <c r="W113" s="242"/>
      <c r="X113" s="332"/>
    </row>
    <row r="114" spans="1:24" ht="13">
      <c r="A114" s="7"/>
      <c r="C114" s="153"/>
      <c r="F114" s="332"/>
      <c r="G114" s="219"/>
      <c r="H114" s="116"/>
      <c r="I114" s="116"/>
      <c r="J114" s="116"/>
      <c r="K114" s="116"/>
      <c r="L114" s="116"/>
      <c r="M114" s="116"/>
      <c r="N114" s="116"/>
      <c r="O114" s="389"/>
      <c r="P114" s="219"/>
      <c r="Q114" s="332"/>
      <c r="R114" s="332"/>
      <c r="S114" s="219"/>
      <c r="T114" s="332"/>
      <c r="U114" s="219"/>
      <c r="V114" s="332"/>
      <c r="W114" s="242"/>
      <c r="X114" s="332"/>
    </row>
    <row r="115" spans="1:24" ht="13">
      <c r="A115" s="7"/>
      <c r="C115" s="153"/>
      <c r="F115" s="332"/>
      <c r="G115" s="219"/>
      <c r="H115" s="116"/>
      <c r="I115" s="116"/>
      <c r="J115" s="116"/>
      <c r="K115" s="116"/>
      <c r="L115" s="116"/>
      <c r="M115" s="116"/>
      <c r="N115" s="116"/>
      <c r="O115" s="389"/>
      <c r="P115" s="219"/>
      <c r="Q115" s="332"/>
      <c r="R115" s="332"/>
      <c r="S115" s="219"/>
      <c r="T115" s="332"/>
      <c r="U115" s="219"/>
      <c r="V115" s="332"/>
      <c r="W115" s="242"/>
      <c r="X115" s="332"/>
    </row>
    <row r="116" spans="1:24" ht="13">
      <c r="A116" s="7"/>
      <c r="C116" s="153"/>
      <c r="F116" s="332"/>
      <c r="G116" s="219"/>
      <c r="H116" s="116"/>
      <c r="I116" s="116"/>
      <c r="J116" s="116"/>
      <c r="K116" s="116"/>
      <c r="L116" s="116"/>
      <c r="M116" s="116"/>
      <c r="N116" s="116"/>
      <c r="O116" s="389"/>
      <c r="P116" s="219"/>
      <c r="Q116" s="332"/>
      <c r="R116" s="332"/>
      <c r="S116" s="219"/>
      <c r="T116" s="332"/>
      <c r="U116" s="219"/>
      <c r="V116" s="332"/>
      <c r="W116" s="242"/>
      <c r="X116" s="332"/>
    </row>
    <row r="117" spans="1:24" ht="13">
      <c r="A117" s="7"/>
      <c r="C117" s="153"/>
      <c r="F117" s="332"/>
      <c r="G117" s="219"/>
      <c r="H117" s="116"/>
      <c r="I117" s="116"/>
      <c r="J117" s="116"/>
      <c r="K117" s="116"/>
      <c r="L117" s="116"/>
      <c r="M117" s="116"/>
      <c r="N117" s="116"/>
      <c r="O117" s="389"/>
      <c r="P117" s="219"/>
      <c r="Q117" s="332"/>
      <c r="R117" s="332"/>
      <c r="S117" s="219"/>
      <c r="T117" s="332"/>
      <c r="U117" s="219"/>
      <c r="V117" s="332"/>
      <c r="W117" s="242"/>
      <c r="X117" s="332"/>
    </row>
    <row r="118" spans="1:24" ht="13">
      <c r="A118" s="7"/>
      <c r="C118" s="153"/>
      <c r="F118" s="332"/>
      <c r="G118" s="219"/>
      <c r="H118" s="116"/>
      <c r="I118" s="116"/>
      <c r="J118" s="116"/>
      <c r="K118" s="116"/>
      <c r="L118" s="116"/>
      <c r="M118" s="116"/>
      <c r="N118" s="116"/>
      <c r="O118" s="389"/>
      <c r="P118" s="219"/>
      <c r="Q118" s="332"/>
      <c r="R118" s="332"/>
      <c r="S118" s="219"/>
      <c r="T118" s="332"/>
      <c r="U118" s="219"/>
      <c r="V118" s="332"/>
      <c r="W118" s="242"/>
      <c r="X118" s="332"/>
    </row>
    <row r="119" spans="1:24" ht="13">
      <c r="A119" s="7"/>
      <c r="C119" s="153"/>
      <c r="F119" s="332"/>
      <c r="G119" s="219"/>
      <c r="H119" s="116"/>
      <c r="I119" s="116"/>
      <c r="J119" s="116"/>
      <c r="K119" s="116"/>
      <c r="L119" s="116"/>
      <c r="M119" s="116"/>
      <c r="N119" s="116"/>
      <c r="O119" s="389"/>
      <c r="P119" s="219"/>
      <c r="Q119" s="332"/>
      <c r="R119" s="332"/>
      <c r="S119" s="219"/>
      <c r="T119" s="332"/>
      <c r="U119" s="219"/>
      <c r="V119" s="332"/>
      <c r="W119" s="242"/>
      <c r="X119" s="332"/>
    </row>
    <row r="120" spans="1:24" ht="13">
      <c r="A120" s="7"/>
      <c r="C120" s="153"/>
      <c r="F120" s="332"/>
      <c r="G120" s="219"/>
      <c r="H120" s="116"/>
      <c r="I120" s="116"/>
      <c r="J120" s="116"/>
      <c r="K120" s="116"/>
      <c r="L120" s="116"/>
      <c r="M120" s="116"/>
      <c r="N120" s="116"/>
      <c r="O120" s="389"/>
      <c r="P120" s="219"/>
      <c r="Q120" s="332"/>
      <c r="R120" s="332"/>
      <c r="S120" s="219"/>
      <c r="T120" s="332"/>
      <c r="U120" s="219"/>
      <c r="V120" s="332"/>
      <c r="W120" s="242"/>
      <c r="X120" s="332"/>
    </row>
    <row r="121" spans="1:24" ht="13">
      <c r="A121" s="7"/>
      <c r="C121" s="153"/>
      <c r="F121" s="332"/>
      <c r="G121" s="219"/>
      <c r="H121" s="116"/>
      <c r="I121" s="116"/>
      <c r="J121" s="116"/>
      <c r="K121" s="116"/>
      <c r="L121" s="116"/>
      <c r="M121" s="116"/>
      <c r="N121" s="116"/>
      <c r="O121" s="389"/>
      <c r="P121" s="219"/>
      <c r="Q121" s="332"/>
      <c r="R121" s="332"/>
      <c r="S121" s="219"/>
      <c r="T121" s="332"/>
      <c r="U121" s="219"/>
      <c r="V121" s="332"/>
      <c r="W121" s="242"/>
      <c r="X121" s="332"/>
    </row>
    <row r="122" spans="1:24" ht="13">
      <c r="A122" s="7"/>
      <c r="C122" s="153"/>
      <c r="F122" s="332"/>
      <c r="G122" s="219"/>
      <c r="H122" s="116"/>
      <c r="I122" s="116"/>
      <c r="J122" s="116"/>
      <c r="K122" s="116"/>
      <c r="L122" s="116"/>
      <c r="M122" s="116"/>
      <c r="N122" s="116"/>
      <c r="O122" s="389"/>
      <c r="P122" s="219"/>
      <c r="Q122" s="332"/>
      <c r="R122" s="332"/>
      <c r="S122" s="219"/>
      <c r="T122" s="332"/>
      <c r="U122" s="219"/>
      <c r="V122" s="332"/>
      <c r="W122" s="242"/>
      <c r="X122" s="332"/>
    </row>
    <row r="123" spans="1:24" ht="13">
      <c r="A123" s="7"/>
      <c r="C123" s="153"/>
      <c r="F123" s="332"/>
      <c r="G123" s="219"/>
      <c r="H123" s="116"/>
      <c r="I123" s="116"/>
      <c r="J123" s="116"/>
      <c r="K123" s="116"/>
      <c r="L123" s="116"/>
      <c r="M123" s="116"/>
      <c r="N123" s="116"/>
      <c r="O123" s="389"/>
      <c r="P123" s="219"/>
      <c r="Q123" s="332"/>
      <c r="R123" s="332"/>
      <c r="S123" s="219"/>
      <c r="T123" s="332"/>
      <c r="U123" s="219"/>
      <c r="V123" s="332"/>
      <c r="W123" s="242"/>
      <c r="X123" s="332"/>
    </row>
    <row r="124" spans="1:24" ht="13">
      <c r="A124" s="7"/>
      <c r="C124" s="153"/>
      <c r="F124" s="332"/>
      <c r="G124" s="219"/>
      <c r="H124" s="116"/>
      <c r="I124" s="116"/>
      <c r="J124" s="116"/>
      <c r="K124" s="116"/>
      <c r="L124" s="116"/>
      <c r="M124" s="116"/>
      <c r="N124" s="116"/>
      <c r="O124" s="389"/>
      <c r="P124" s="219"/>
      <c r="Q124" s="332"/>
      <c r="R124" s="332"/>
      <c r="S124" s="219"/>
      <c r="T124" s="332"/>
      <c r="U124" s="219"/>
      <c r="V124" s="332"/>
      <c r="W124" s="242"/>
      <c r="X124" s="332"/>
    </row>
    <row r="125" spans="1:24" ht="13">
      <c r="A125" s="7"/>
      <c r="C125" s="153"/>
      <c r="F125" s="332"/>
      <c r="G125" s="219"/>
      <c r="H125" s="116"/>
      <c r="I125" s="116"/>
      <c r="J125" s="116"/>
      <c r="K125" s="116"/>
      <c r="L125" s="116"/>
      <c r="M125" s="116"/>
      <c r="N125" s="116"/>
      <c r="O125" s="389"/>
      <c r="P125" s="219"/>
      <c r="Q125" s="332"/>
      <c r="R125" s="332"/>
      <c r="S125" s="219"/>
      <c r="T125" s="332"/>
      <c r="U125" s="219"/>
      <c r="V125" s="332"/>
      <c r="W125" s="242"/>
      <c r="X125" s="332"/>
    </row>
    <row r="126" spans="1:24" ht="13">
      <c r="A126" s="7"/>
      <c r="C126" s="153"/>
      <c r="F126" s="332"/>
      <c r="G126" s="219"/>
      <c r="H126" s="116"/>
      <c r="I126" s="116"/>
      <c r="J126" s="116"/>
      <c r="K126" s="116"/>
      <c r="L126" s="116"/>
      <c r="M126" s="116"/>
      <c r="N126" s="116"/>
      <c r="O126" s="389"/>
      <c r="P126" s="219"/>
      <c r="Q126" s="332"/>
      <c r="R126" s="332"/>
      <c r="S126" s="219"/>
      <c r="T126" s="332"/>
      <c r="U126" s="219"/>
      <c r="V126" s="332"/>
      <c r="W126" s="242"/>
      <c r="X126" s="332"/>
    </row>
    <row r="127" spans="1:24" ht="13">
      <c r="A127" s="7"/>
      <c r="C127" s="153"/>
      <c r="F127" s="332"/>
      <c r="G127" s="219"/>
      <c r="H127" s="116"/>
      <c r="I127" s="116"/>
      <c r="J127" s="116"/>
      <c r="K127" s="116"/>
      <c r="L127" s="116"/>
      <c r="M127" s="116"/>
      <c r="N127" s="116"/>
      <c r="O127" s="389"/>
      <c r="P127" s="219"/>
      <c r="Q127" s="332"/>
      <c r="R127" s="332"/>
      <c r="S127" s="219"/>
      <c r="T127" s="332"/>
      <c r="U127" s="219"/>
      <c r="V127" s="332"/>
      <c r="W127" s="242"/>
      <c r="X127" s="332"/>
    </row>
    <row r="128" spans="1:24" ht="13">
      <c r="A128" s="7"/>
      <c r="C128" s="153"/>
      <c r="F128" s="332"/>
      <c r="G128" s="219"/>
      <c r="H128" s="116"/>
      <c r="I128" s="116"/>
      <c r="J128" s="116"/>
      <c r="K128" s="116"/>
      <c r="L128" s="116"/>
      <c r="M128" s="116"/>
      <c r="N128" s="116"/>
      <c r="O128" s="389"/>
      <c r="P128" s="219"/>
      <c r="Q128" s="332"/>
      <c r="R128" s="332"/>
      <c r="S128" s="219"/>
      <c r="T128" s="332"/>
      <c r="U128" s="219"/>
      <c r="V128" s="332"/>
      <c r="W128" s="242"/>
      <c r="X128" s="332"/>
    </row>
    <row r="129" spans="1:24" ht="13">
      <c r="A129" s="7"/>
      <c r="C129" s="153"/>
      <c r="F129" s="332"/>
      <c r="G129" s="219"/>
      <c r="H129" s="116"/>
      <c r="I129" s="116"/>
      <c r="J129" s="116"/>
      <c r="K129" s="116"/>
      <c r="L129" s="116"/>
      <c r="M129" s="116"/>
      <c r="N129" s="116"/>
      <c r="O129" s="389"/>
      <c r="P129" s="219"/>
      <c r="Q129" s="332"/>
      <c r="R129" s="332"/>
      <c r="S129" s="219"/>
      <c r="T129" s="332"/>
      <c r="U129" s="219"/>
      <c r="V129" s="332"/>
      <c r="W129" s="242"/>
      <c r="X129" s="332"/>
    </row>
    <row r="130" spans="1:24" ht="13">
      <c r="A130" s="7"/>
      <c r="C130" s="153"/>
      <c r="F130" s="332"/>
      <c r="G130" s="219"/>
      <c r="H130" s="116"/>
      <c r="I130" s="116"/>
      <c r="J130" s="116"/>
      <c r="K130" s="116"/>
      <c r="L130" s="116"/>
      <c r="M130" s="116"/>
      <c r="N130" s="116"/>
      <c r="O130" s="389"/>
      <c r="P130" s="219"/>
      <c r="Q130" s="332"/>
      <c r="R130" s="332"/>
      <c r="S130" s="219"/>
      <c r="T130" s="332"/>
      <c r="U130" s="219"/>
      <c r="V130" s="332"/>
      <c r="W130" s="242"/>
      <c r="X130" s="332"/>
    </row>
    <row r="131" spans="1:24" ht="13">
      <c r="A131" s="7"/>
      <c r="C131" s="153"/>
      <c r="F131" s="332"/>
      <c r="G131" s="219"/>
      <c r="H131" s="116"/>
      <c r="I131" s="116"/>
      <c r="J131" s="116"/>
      <c r="K131" s="116"/>
      <c r="L131" s="116"/>
      <c r="M131" s="116"/>
      <c r="N131" s="116"/>
      <c r="O131" s="389"/>
      <c r="P131" s="219"/>
      <c r="Q131" s="332"/>
      <c r="R131" s="332"/>
      <c r="S131" s="219"/>
      <c r="T131" s="332"/>
      <c r="U131" s="219"/>
      <c r="V131" s="332"/>
      <c r="W131" s="242"/>
      <c r="X131" s="332"/>
    </row>
    <row r="132" spans="1:24" ht="13">
      <c r="A132" s="7"/>
      <c r="C132" s="153"/>
      <c r="F132" s="332"/>
      <c r="G132" s="219"/>
      <c r="H132" s="116"/>
      <c r="I132" s="116"/>
      <c r="J132" s="116"/>
      <c r="K132" s="116"/>
      <c r="L132" s="116"/>
      <c r="M132" s="116"/>
      <c r="N132" s="116"/>
      <c r="O132" s="389"/>
      <c r="P132" s="219"/>
      <c r="Q132" s="332"/>
      <c r="R132" s="332"/>
      <c r="S132" s="219"/>
      <c r="T132" s="332"/>
      <c r="U132" s="219"/>
      <c r="V132" s="332"/>
      <c r="W132" s="242"/>
      <c r="X132" s="332"/>
    </row>
    <row r="133" spans="1:24" ht="13">
      <c r="A133" s="7"/>
      <c r="C133" s="153"/>
      <c r="F133" s="332"/>
      <c r="G133" s="219"/>
      <c r="H133" s="116"/>
      <c r="I133" s="116"/>
      <c r="J133" s="116"/>
      <c r="K133" s="116"/>
      <c r="L133" s="116"/>
      <c r="M133" s="116"/>
      <c r="N133" s="116"/>
      <c r="O133" s="389"/>
      <c r="P133" s="219"/>
      <c r="Q133" s="332"/>
      <c r="R133" s="332"/>
      <c r="S133" s="219"/>
      <c r="T133" s="332"/>
      <c r="U133" s="219"/>
      <c r="V133" s="332"/>
      <c r="W133" s="242"/>
      <c r="X133" s="332"/>
    </row>
    <row r="134" spans="1:24" ht="13">
      <c r="A134" s="7"/>
      <c r="C134" s="153"/>
      <c r="F134" s="332"/>
      <c r="G134" s="219"/>
      <c r="H134" s="116"/>
      <c r="I134" s="116"/>
      <c r="J134" s="116"/>
      <c r="K134" s="116"/>
      <c r="L134" s="116"/>
      <c r="M134" s="116"/>
      <c r="N134" s="116"/>
      <c r="O134" s="389"/>
      <c r="P134" s="219"/>
      <c r="Q134" s="332"/>
      <c r="R134" s="332"/>
      <c r="S134" s="219"/>
      <c r="T134" s="332"/>
      <c r="U134" s="219"/>
      <c r="V134" s="332"/>
      <c r="W134" s="242"/>
      <c r="X134" s="332"/>
    </row>
    <row r="135" spans="1:24" ht="13">
      <c r="A135" s="7"/>
      <c r="C135" s="153"/>
      <c r="F135" s="332"/>
      <c r="G135" s="219"/>
      <c r="H135" s="116"/>
      <c r="I135" s="116"/>
      <c r="J135" s="116"/>
      <c r="K135" s="116"/>
      <c r="L135" s="116"/>
      <c r="M135" s="116"/>
      <c r="N135" s="116"/>
      <c r="O135" s="389"/>
      <c r="P135" s="219"/>
      <c r="Q135" s="332"/>
      <c r="R135" s="332"/>
      <c r="S135" s="219"/>
      <c r="T135" s="332"/>
      <c r="U135" s="219"/>
      <c r="V135" s="332"/>
      <c r="W135" s="242"/>
      <c r="X135" s="332"/>
    </row>
    <row r="136" spans="1:24" ht="13">
      <c r="A136" s="7"/>
      <c r="C136" s="153"/>
      <c r="F136" s="332"/>
      <c r="G136" s="219"/>
      <c r="H136" s="116"/>
      <c r="I136" s="116"/>
      <c r="J136" s="116"/>
      <c r="K136" s="116"/>
      <c r="L136" s="116"/>
      <c r="M136" s="116"/>
      <c r="N136" s="116"/>
      <c r="O136" s="389"/>
      <c r="P136" s="219"/>
      <c r="Q136" s="332"/>
      <c r="R136" s="332"/>
      <c r="S136" s="219"/>
      <c r="T136" s="332"/>
      <c r="U136" s="219"/>
      <c r="V136" s="332"/>
      <c r="W136" s="242"/>
      <c r="X136" s="332"/>
    </row>
    <row r="137" spans="1:24" ht="13">
      <c r="A137" s="7"/>
      <c r="C137" s="153"/>
      <c r="F137" s="332"/>
      <c r="G137" s="219"/>
      <c r="H137" s="116"/>
      <c r="I137" s="116"/>
      <c r="J137" s="116"/>
      <c r="K137" s="116"/>
      <c r="L137" s="116"/>
      <c r="M137" s="116"/>
      <c r="N137" s="116"/>
      <c r="O137" s="389"/>
      <c r="P137" s="219"/>
      <c r="Q137" s="332"/>
      <c r="R137" s="332"/>
      <c r="S137" s="219"/>
      <c r="T137" s="332"/>
      <c r="U137" s="219"/>
      <c r="V137" s="332"/>
      <c r="W137" s="242"/>
      <c r="X137" s="332"/>
    </row>
    <row r="138" spans="1:24" ht="13">
      <c r="A138" s="7"/>
      <c r="C138" s="153"/>
      <c r="F138" s="332"/>
      <c r="G138" s="219"/>
      <c r="H138" s="116"/>
      <c r="I138" s="116"/>
      <c r="J138" s="116"/>
      <c r="K138" s="116"/>
      <c r="L138" s="116"/>
      <c r="M138" s="116"/>
      <c r="N138" s="116"/>
      <c r="O138" s="389"/>
      <c r="P138" s="219"/>
      <c r="Q138" s="332"/>
      <c r="R138" s="332"/>
      <c r="S138" s="219"/>
      <c r="T138" s="332"/>
      <c r="U138" s="219"/>
      <c r="V138" s="332"/>
      <c r="W138" s="242"/>
      <c r="X138" s="332"/>
    </row>
    <row r="139" spans="1:24" ht="13">
      <c r="A139" s="7"/>
      <c r="C139" s="153"/>
      <c r="F139" s="332"/>
      <c r="G139" s="219"/>
      <c r="H139" s="116"/>
      <c r="I139" s="116"/>
      <c r="J139" s="116"/>
      <c r="K139" s="116"/>
      <c r="L139" s="116"/>
      <c r="M139" s="116"/>
      <c r="N139" s="116"/>
      <c r="O139" s="389"/>
      <c r="P139" s="219"/>
      <c r="Q139" s="332"/>
      <c r="R139" s="332"/>
      <c r="S139" s="219"/>
      <c r="T139" s="332"/>
      <c r="U139" s="219"/>
      <c r="V139" s="332"/>
      <c r="W139" s="242"/>
      <c r="X139" s="332"/>
    </row>
    <row r="140" spans="1:24" ht="13">
      <c r="A140" s="7"/>
      <c r="C140" s="153"/>
      <c r="F140" s="332"/>
      <c r="G140" s="219"/>
      <c r="H140" s="116"/>
      <c r="I140" s="116"/>
      <c r="J140" s="116"/>
      <c r="K140" s="116"/>
      <c r="L140" s="116"/>
      <c r="M140" s="116"/>
      <c r="N140" s="116"/>
      <c r="O140" s="389"/>
      <c r="P140" s="219"/>
      <c r="Q140" s="332"/>
      <c r="R140" s="332"/>
      <c r="S140" s="219"/>
      <c r="T140" s="332"/>
      <c r="U140" s="219"/>
      <c r="V140" s="332"/>
      <c r="W140" s="242"/>
      <c r="X140" s="332"/>
    </row>
    <row r="141" spans="1:24" ht="13">
      <c r="A141" s="7"/>
      <c r="C141" s="153"/>
      <c r="F141" s="332"/>
      <c r="G141" s="219"/>
      <c r="H141" s="116"/>
      <c r="I141" s="116"/>
      <c r="J141" s="116"/>
      <c r="K141" s="116"/>
      <c r="L141" s="116"/>
      <c r="M141" s="116"/>
      <c r="N141" s="116"/>
      <c r="O141" s="389"/>
      <c r="P141" s="219"/>
      <c r="Q141" s="332"/>
      <c r="R141" s="332"/>
      <c r="S141" s="219"/>
      <c r="T141" s="332"/>
      <c r="U141" s="219"/>
      <c r="V141" s="332"/>
      <c r="W141" s="242"/>
      <c r="X141" s="332"/>
    </row>
    <row r="142" spans="1:24" ht="13">
      <c r="A142" s="7"/>
      <c r="C142" s="153"/>
      <c r="F142" s="332"/>
      <c r="G142" s="219"/>
      <c r="H142" s="116"/>
      <c r="I142" s="116"/>
      <c r="J142" s="116"/>
      <c r="K142" s="116"/>
      <c r="L142" s="116"/>
      <c r="M142" s="116"/>
      <c r="N142" s="116"/>
      <c r="O142" s="389"/>
      <c r="P142" s="219"/>
      <c r="Q142" s="332"/>
      <c r="R142" s="332"/>
      <c r="S142" s="219"/>
      <c r="T142" s="332"/>
      <c r="U142" s="219"/>
      <c r="V142" s="332"/>
      <c r="W142" s="242"/>
      <c r="X142" s="332"/>
    </row>
    <row r="143" spans="1:24" ht="13">
      <c r="A143" s="7"/>
      <c r="C143" s="153"/>
      <c r="F143" s="332"/>
      <c r="G143" s="219"/>
      <c r="H143" s="116"/>
      <c r="I143" s="116"/>
      <c r="J143" s="116"/>
      <c r="K143" s="116"/>
      <c r="L143" s="116"/>
      <c r="M143" s="116"/>
      <c r="N143" s="116"/>
      <c r="O143" s="389"/>
      <c r="P143" s="219"/>
      <c r="Q143" s="332"/>
      <c r="R143" s="332"/>
      <c r="S143" s="219"/>
      <c r="T143" s="332"/>
      <c r="U143" s="219"/>
      <c r="V143" s="332"/>
      <c r="W143" s="242"/>
      <c r="X143" s="332"/>
    </row>
    <row r="144" spans="1:24" ht="13">
      <c r="A144" s="7"/>
      <c r="C144" s="153"/>
      <c r="F144" s="332"/>
      <c r="G144" s="219"/>
      <c r="H144" s="116"/>
      <c r="I144" s="116"/>
      <c r="J144" s="116"/>
      <c r="K144" s="116"/>
      <c r="L144" s="116"/>
      <c r="M144" s="116"/>
      <c r="N144" s="116"/>
      <c r="O144" s="389"/>
      <c r="P144" s="219"/>
      <c r="Q144" s="332"/>
      <c r="R144" s="332"/>
      <c r="S144" s="219"/>
      <c r="T144" s="332"/>
      <c r="U144" s="219"/>
      <c r="V144" s="332"/>
      <c r="W144" s="242"/>
      <c r="X144" s="332"/>
    </row>
    <row r="145" spans="1:24" ht="13">
      <c r="A145" s="7"/>
      <c r="C145" s="153"/>
      <c r="F145" s="332"/>
      <c r="G145" s="219"/>
      <c r="H145" s="116"/>
      <c r="I145" s="116"/>
      <c r="J145" s="116"/>
      <c r="K145" s="116"/>
      <c r="L145" s="116"/>
      <c r="M145" s="116"/>
      <c r="N145" s="116"/>
      <c r="O145" s="389"/>
      <c r="P145" s="219"/>
      <c r="Q145" s="332"/>
      <c r="R145" s="332"/>
      <c r="S145" s="219"/>
      <c r="T145" s="332"/>
      <c r="U145" s="219"/>
      <c r="V145" s="332"/>
      <c r="W145" s="242"/>
      <c r="X145" s="332"/>
    </row>
    <row r="146" spans="1:24" ht="13">
      <c r="A146" s="7"/>
      <c r="C146" s="153"/>
      <c r="F146" s="332"/>
      <c r="G146" s="219"/>
      <c r="H146" s="116"/>
      <c r="I146" s="116"/>
      <c r="J146" s="116"/>
      <c r="K146" s="116"/>
      <c r="L146" s="116"/>
      <c r="M146" s="116"/>
      <c r="N146" s="116"/>
      <c r="O146" s="389"/>
      <c r="P146" s="219"/>
      <c r="Q146" s="332"/>
      <c r="R146" s="332"/>
      <c r="S146" s="219"/>
      <c r="T146" s="332"/>
      <c r="U146" s="219"/>
      <c r="V146" s="332"/>
      <c r="W146" s="242"/>
      <c r="X146" s="332"/>
    </row>
    <row r="147" spans="1:24" ht="13">
      <c r="A147" s="7"/>
      <c r="C147" s="153"/>
      <c r="F147" s="332"/>
      <c r="G147" s="219"/>
      <c r="H147" s="116"/>
      <c r="I147" s="116"/>
      <c r="J147" s="116"/>
      <c r="K147" s="116"/>
      <c r="L147" s="116"/>
      <c r="M147" s="116"/>
      <c r="N147" s="116"/>
      <c r="O147" s="389"/>
      <c r="P147" s="219"/>
      <c r="Q147" s="332"/>
      <c r="R147" s="332"/>
      <c r="S147" s="219"/>
      <c r="T147" s="332"/>
      <c r="U147" s="219"/>
      <c r="V147" s="332"/>
      <c r="W147" s="242"/>
      <c r="X147" s="332"/>
    </row>
    <row r="148" spans="1:24" ht="13">
      <c r="A148" s="7"/>
      <c r="C148" s="153"/>
      <c r="F148" s="332"/>
      <c r="G148" s="219"/>
      <c r="H148" s="116"/>
      <c r="I148" s="116"/>
      <c r="J148" s="116"/>
      <c r="K148" s="116"/>
      <c r="L148" s="116"/>
      <c r="M148" s="116"/>
      <c r="N148" s="116"/>
      <c r="O148" s="389"/>
      <c r="P148" s="219"/>
      <c r="Q148" s="332"/>
      <c r="R148" s="332"/>
      <c r="S148" s="219"/>
      <c r="T148" s="332"/>
      <c r="U148" s="219"/>
      <c r="V148" s="332"/>
      <c r="W148" s="242"/>
      <c r="X148" s="332"/>
    </row>
    <row r="149" spans="1:24" ht="13">
      <c r="A149" s="7"/>
      <c r="C149" s="153"/>
      <c r="F149" s="332"/>
      <c r="G149" s="219"/>
      <c r="H149" s="116"/>
      <c r="I149" s="116"/>
      <c r="J149" s="116"/>
      <c r="K149" s="116"/>
      <c r="L149" s="116"/>
      <c r="M149" s="116"/>
      <c r="N149" s="116"/>
      <c r="O149" s="389"/>
      <c r="P149" s="219"/>
      <c r="Q149" s="332"/>
      <c r="R149" s="332"/>
      <c r="S149" s="219"/>
      <c r="T149" s="332"/>
      <c r="U149" s="219"/>
      <c r="V149" s="332"/>
      <c r="W149" s="242"/>
      <c r="X149" s="332"/>
    </row>
    <row r="150" spans="1:24" ht="13">
      <c r="A150" s="7"/>
      <c r="C150" s="153"/>
      <c r="F150" s="332"/>
      <c r="G150" s="219"/>
      <c r="H150" s="116"/>
      <c r="I150" s="116"/>
      <c r="J150" s="116"/>
      <c r="K150" s="116"/>
      <c r="L150" s="116"/>
      <c r="M150" s="116"/>
      <c r="N150" s="116"/>
      <c r="O150" s="389"/>
      <c r="P150" s="219"/>
      <c r="Q150" s="332"/>
      <c r="R150" s="332"/>
      <c r="S150" s="219"/>
      <c r="T150" s="332"/>
      <c r="U150" s="219"/>
      <c r="V150" s="332"/>
      <c r="W150" s="242"/>
      <c r="X150" s="332"/>
    </row>
    <row r="151" spans="1:24" ht="13">
      <c r="A151" s="7"/>
      <c r="C151" s="153"/>
      <c r="F151" s="332"/>
      <c r="G151" s="219"/>
      <c r="H151" s="116"/>
      <c r="I151" s="116"/>
      <c r="J151" s="116"/>
      <c r="K151" s="116"/>
      <c r="L151" s="116"/>
      <c r="M151" s="116"/>
      <c r="N151" s="116"/>
      <c r="O151" s="389"/>
      <c r="P151" s="219"/>
      <c r="Q151" s="332"/>
      <c r="R151" s="332"/>
      <c r="S151" s="219"/>
      <c r="T151" s="332"/>
      <c r="U151" s="219"/>
      <c r="V151" s="332"/>
      <c r="W151" s="242"/>
      <c r="X151" s="332"/>
    </row>
    <row r="152" spans="1:24" ht="13">
      <c r="A152" s="7"/>
      <c r="C152" s="153"/>
      <c r="F152" s="332"/>
      <c r="G152" s="219"/>
      <c r="H152" s="116"/>
      <c r="I152" s="116"/>
      <c r="J152" s="116"/>
      <c r="K152" s="116"/>
      <c r="L152" s="116"/>
      <c r="M152" s="116"/>
      <c r="N152" s="116"/>
      <c r="O152" s="389"/>
      <c r="P152" s="219"/>
      <c r="Q152" s="332"/>
      <c r="R152" s="332"/>
      <c r="S152" s="219"/>
      <c r="T152" s="332"/>
      <c r="U152" s="219"/>
      <c r="V152" s="332"/>
      <c r="W152" s="242"/>
      <c r="X152" s="332"/>
    </row>
    <row r="153" spans="1:24" ht="13">
      <c r="A153" s="7"/>
      <c r="C153" s="153"/>
      <c r="F153" s="332"/>
      <c r="G153" s="219"/>
      <c r="H153" s="116"/>
      <c r="I153" s="116"/>
      <c r="J153" s="116"/>
      <c r="K153" s="116"/>
      <c r="L153" s="116"/>
      <c r="M153" s="116"/>
      <c r="N153" s="116"/>
      <c r="O153" s="389"/>
      <c r="P153" s="219"/>
      <c r="Q153" s="332"/>
      <c r="R153" s="332"/>
      <c r="S153" s="219"/>
      <c r="T153" s="332"/>
      <c r="U153" s="219"/>
      <c r="V153" s="332"/>
      <c r="W153" s="242"/>
      <c r="X153" s="332"/>
    </row>
    <row r="154" spans="1:24" ht="13">
      <c r="A154" s="7"/>
      <c r="C154" s="153"/>
      <c r="F154" s="332"/>
      <c r="G154" s="219"/>
      <c r="H154" s="116"/>
      <c r="I154" s="116"/>
      <c r="J154" s="116"/>
      <c r="K154" s="116"/>
      <c r="L154" s="116"/>
      <c r="M154" s="116"/>
      <c r="N154" s="116"/>
      <c r="O154" s="389"/>
      <c r="P154" s="219"/>
      <c r="Q154" s="332"/>
      <c r="R154" s="332"/>
      <c r="S154" s="219"/>
      <c r="T154" s="332"/>
      <c r="U154" s="219"/>
      <c r="V154" s="332"/>
      <c r="W154" s="242"/>
      <c r="X154" s="332"/>
    </row>
    <row r="155" spans="1:24" ht="13">
      <c r="A155" s="7"/>
      <c r="C155" s="153"/>
      <c r="F155" s="332"/>
      <c r="G155" s="219"/>
      <c r="H155" s="116"/>
      <c r="I155" s="116"/>
      <c r="J155" s="116"/>
      <c r="K155" s="116"/>
      <c r="L155" s="116"/>
      <c r="M155" s="116"/>
      <c r="N155" s="116"/>
      <c r="O155" s="389"/>
      <c r="P155" s="219"/>
      <c r="Q155" s="332"/>
      <c r="R155" s="332"/>
      <c r="S155" s="219"/>
      <c r="T155" s="332"/>
      <c r="U155" s="219"/>
      <c r="V155" s="332"/>
      <c r="W155" s="242"/>
      <c r="X155" s="332"/>
    </row>
    <row r="156" spans="1:24" ht="13">
      <c r="A156" s="7"/>
      <c r="C156" s="153"/>
      <c r="F156" s="332"/>
      <c r="G156" s="219"/>
      <c r="H156" s="116"/>
      <c r="I156" s="116"/>
      <c r="J156" s="116"/>
      <c r="K156" s="116"/>
      <c r="L156" s="116"/>
      <c r="M156" s="116"/>
      <c r="N156" s="116"/>
      <c r="O156" s="389"/>
      <c r="P156" s="219"/>
      <c r="Q156" s="332"/>
      <c r="R156" s="332"/>
      <c r="S156" s="219"/>
      <c r="T156" s="332"/>
      <c r="U156" s="219"/>
      <c r="V156" s="332"/>
      <c r="W156" s="242"/>
      <c r="X156" s="332"/>
    </row>
    <row r="157" spans="1:24" ht="13">
      <c r="A157" s="7"/>
      <c r="C157" s="153"/>
      <c r="F157" s="332"/>
      <c r="G157" s="219"/>
      <c r="H157" s="116"/>
      <c r="I157" s="116"/>
      <c r="J157" s="116"/>
      <c r="K157" s="116"/>
      <c r="L157" s="116"/>
      <c r="M157" s="116"/>
      <c r="N157" s="116"/>
      <c r="O157" s="389"/>
      <c r="P157" s="219"/>
      <c r="Q157" s="332"/>
      <c r="R157" s="332"/>
      <c r="S157" s="219"/>
      <c r="T157" s="332"/>
      <c r="U157" s="219"/>
      <c r="V157" s="332"/>
      <c r="W157" s="242"/>
      <c r="X157" s="332"/>
    </row>
    <row r="158" spans="1:24" ht="13">
      <c r="A158" s="7"/>
      <c r="C158" s="153"/>
      <c r="F158" s="332"/>
      <c r="G158" s="219"/>
      <c r="H158" s="116"/>
      <c r="I158" s="116"/>
      <c r="J158" s="116"/>
      <c r="K158" s="116"/>
      <c r="L158" s="116"/>
      <c r="M158" s="116"/>
      <c r="N158" s="116"/>
      <c r="O158" s="389"/>
      <c r="P158" s="219"/>
      <c r="Q158" s="332"/>
      <c r="R158" s="332"/>
      <c r="S158" s="219"/>
      <c r="T158" s="332"/>
      <c r="U158" s="219"/>
      <c r="V158" s="332"/>
      <c r="W158" s="242"/>
      <c r="X158" s="332"/>
    </row>
    <row r="159" spans="1:24" ht="13">
      <c r="A159" s="7"/>
      <c r="C159" s="153"/>
      <c r="F159" s="332"/>
      <c r="G159" s="219"/>
      <c r="H159" s="116"/>
      <c r="I159" s="116"/>
      <c r="J159" s="116"/>
      <c r="K159" s="116"/>
      <c r="L159" s="116"/>
      <c r="M159" s="116"/>
      <c r="N159" s="116"/>
      <c r="O159" s="389"/>
      <c r="P159" s="219"/>
      <c r="Q159" s="332"/>
      <c r="R159" s="332"/>
      <c r="S159" s="219"/>
      <c r="T159" s="332"/>
      <c r="U159" s="219"/>
      <c r="V159" s="332"/>
      <c r="W159" s="242"/>
      <c r="X159" s="332"/>
    </row>
    <row r="160" spans="1:24" ht="13">
      <c r="A160" s="7"/>
      <c r="C160" s="153"/>
      <c r="F160" s="332"/>
      <c r="G160" s="219"/>
      <c r="H160" s="116"/>
      <c r="I160" s="116"/>
      <c r="J160" s="116"/>
      <c r="K160" s="116"/>
      <c r="L160" s="116"/>
      <c r="M160" s="116"/>
      <c r="N160" s="116"/>
      <c r="O160" s="389"/>
      <c r="P160" s="219"/>
      <c r="Q160" s="332"/>
      <c r="R160" s="332"/>
      <c r="S160" s="219"/>
      <c r="T160" s="332"/>
      <c r="U160" s="219"/>
      <c r="V160" s="332"/>
      <c r="W160" s="242"/>
      <c r="X160" s="332"/>
    </row>
    <row r="161" spans="1:24" ht="13">
      <c r="A161" s="7"/>
      <c r="C161" s="153"/>
      <c r="F161" s="332"/>
      <c r="G161" s="219"/>
      <c r="H161" s="116"/>
      <c r="I161" s="116"/>
      <c r="J161" s="116"/>
      <c r="K161" s="116"/>
      <c r="L161" s="116"/>
      <c r="M161" s="116"/>
      <c r="N161" s="116"/>
      <c r="O161" s="389"/>
      <c r="P161" s="219"/>
      <c r="Q161" s="332"/>
      <c r="R161" s="332"/>
      <c r="S161" s="219"/>
      <c r="T161" s="332"/>
      <c r="U161" s="219"/>
      <c r="V161" s="332"/>
      <c r="W161" s="242"/>
      <c r="X161" s="332"/>
    </row>
    <row r="162" spans="1:24" ht="13">
      <c r="A162" s="7"/>
      <c r="C162" s="153"/>
      <c r="F162" s="332"/>
      <c r="G162" s="219"/>
      <c r="H162" s="116"/>
      <c r="I162" s="116"/>
      <c r="J162" s="116"/>
      <c r="K162" s="116"/>
      <c r="L162" s="116"/>
      <c r="M162" s="116"/>
      <c r="N162" s="116"/>
      <c r="O162" s="389"/>
      <c r="P162" s="219"/>
      <c r="Q162" s="332"/>
      <c r="R162" s="332"/>
      <c r="S162" s="219"/>
      <c r="T162" s="332"/>
      <c r="U162" s="219"/>
      <c r="V162" s="332"/>
      <c r="W162" s="242"/>
      <c r="X162" s="332"/>
    </row>
    <row r="163" spans="1:24" ht="13">
      <c r="A163" s="7"/>
      <c r="C163" s="153"/>
      <c r="F163" s="332"/>
      <c r="G163" s="219"/>
      <c r="H163" s="116"/>
      <c r="I163" s="116"/>
      <c r="J163" s="116"/>
      <c r="K163" s="116"/>
      <c r="L163" s="116"/>
      <c r="M163" s="116"/>
      <c r="N163" s="116"/>
      <c r="O163" s="389"/>
      <c r="P163" s="219"/>
      <c r="Q163" s="332"/>
      <c r="R163" s="332"/>
      <c r="S163" s="219"/>
      <c r="T163" s="332"/>
      <c r="U163" s="219"/>
      <c r="V163" s="332"/>
      <c r="W163" s="242"/>
      <c r="X163" s="332"/>
    </row>
    <row r="164" spans="1:24" ht="13">
      <c r="A164" s="7"/>
      <c r="C164" s="153"/>
      <c r="F164" s="332"/>
      <c r="G164" s="219"/>
      <c r="H164" s="116"/>
      <c r="I164" s="116"/>
      <c r="J164" s="116"/>
      <c r="K164" s="116"/>
      <c r="L164" s="116"/>
      <c r="M164" s="116"/>
      <c r="N164" s="116"/>
      <c r="O164" s="389"/>
      <c r="P164" s="219"/>
      <c r="Q164" s="332"/>
      <c r="R164" s="332"/>
      <c r="S164" s="219"/>
      <c r="T164" s="332"/>
      <c r="U164" s="219"/>
      <c r="V164" s="332"/>
      <c r="W164" s="242"/>
      <c r="X164" s="332"/>
    </row>
    <row r="165" spans="1:24" ht="13">
      <c r="A165" s="7"/>
      <c r="C165" s="153"/>
      <c r="F165" s="332"/>
      <c r="G165" s="219"/>
      <c r="H165" s="116"/>
      <c r="I165" s="116"/>
      <c r="J165" s="116"/>
      <c r="K165" s="116"/>
      <c r="L165" s="116"/>
      <c r="M165" s="116"/>
      <c r="N165" s="116"/>
      <c r="O165" s="389"/>
      <c r="P165" s="219"/>
      <c r="Q165" s="332"/>
      <c r="R165" s="332"/>
      <c r="S165" s="219"/>
      <c r="T165" s="332"/>
      <c r="U165" s="219"/>
      <c r="V165" s="332"/>
      <c r="W165" s="242"/>
      <c r="X165" s="332"/>
    </row>
    <row r="166" spans="1:24" ht="13">
      <c r="A166" s="7"/>
      <c r="C166" s="153"/>
      <c r="F166" s="332"/>
      <c r="G166" s="219"/>
      <c r="H166" s="116"/>
      <c r="I166" s="116"/>
      <c r="J166" s="116"/>
      <c r="K166" s="116"/>
      <c r="L166" s="116"/>
      <c r="M166" s="116"/>
      <c r="N166" s="116"/>
      <c r="O166" s="389"/>
      <c r="P166" s="219"/>
      <c r="Q166" s="332"/>
      <c r="R166" s="332"/>
      <c r="S166" s="219"/>
      <c r="T166" s="332"/>
      <c r="U166" s="219"/>
      <c r="V166" s="332"/>
      <c r="W166" s="242"/>
      <c r="X166" s="332"/>
    </row>
    <row r="167" spans="1:24" ht="13">
      <c r="A167" s="7"/>
      <c r="C167" s="153"/>
      <c r="F167" s="332"/>
      <c r="G167" s="219"/>
      <c r="H167" s="116"/>
      <c r="I167" s="116"/>
      <c r="J167" s="116"/>
      <c r="K167" s="116"/>
      <c r="L167" s="116"/>
      <c r="M167" s="116"/>
      <c r="N167" s="116"/>
      <c r="O167" s="389"/>
      <c r="P167" s="219"/>
      <c r="Q167" s="332"/>
      <c r="R167" s="332"/>
      <c r="S167" s="219"/>
      <c r="T167" s="332"/>
      <c r="U167" s="219"/>
      <c r="V167" s="332"/>
      <c r="W167" s="242"/>
      <c r="X167" s="332"/>
    </row>
    <row r="168" spans="1:24" ht="13">
      <c r="A168" s="7"/>
      <c r="C168" s="153"/>
      <c r="F168" s="332"/>
      <c r="G168" s="219"/>
      <c r="H168" s="116"/>
      <c r="I168" s="116"/>
      <c r="J168" s="116"/>
      <c r="K168" s="116"/>
      <c r="L168" s="116"/>
      <c r="M168" s="116"/>
      <c r="N168" s="116"/>
      <c r="O168" s="389"/>
      <c r="P168" s="219"/>
      <c r="Q168" s="332"/>
      <c r="R168" s="332"/>
      <c r="S168" s="219"/>
      <c r="T168" s="332"/>
      <c r="U168" s="219"/>
      <c r="V168" s="332"/>
      <c r="W168" s="242"/>
      <c r="X168" s="332"/>
    </row>
    <row r="169" spans="1:24" ht="13">
      <c r="A169" s="7"/>
      <c r="C169" s="153"/>
      <c r="F169" s="332"/>
      <c r="G169" s="219"/>
      <c r="H169" s="116"/>
      <c r="I169" s="116"/>
      <c r="J169" s="116"/>
      <c r="K169" s="116"/>
      <c r="L169" s="116"/>
      <c r="M169" s="116"/>
      <c r="N169" s="116"/>
      <c r="O169" s="389"/>
      <c r="P169" s="219"/>
      <c r="Q169" s="332"/>
      <c r="R169" s="332"/>
      <c r="S169" s="219"/>
      <c r="T169" s="332"/>
      <c r="U169" s="219"/>
      <c r="V169" s="332"/>
      <c r="W169" s="242"/>
      <c r="X169" s="332"/>
    </row>
    <row r="170" spans="1:24" ht="13">
      <c r="A170" s="7"/>
      <c r="C170" s="153"/>
      <c r="F170" s="332"/>
      <c r="G170" s="219"/>
      <c r="H170" s="116"/>
      <c r="I170" s="116"/>
      <c r="J170" s="116"/>
      <c r="K170" s="116"/>
      <c r="L170" s="116"/>
      <c r="M170" s="116"/>
      <c r="N170" s="116"/>
      <c r="O170" s="389"/>
      <c r="P170" s="219"/>
      <c r="Q170" s="332"/>
      <c r="R170" s="332"/>
      <c r="S170" s="219"/>
      <c r="T170" s="332"/>
      <c r="U170" s="219"/>
      <c r="V170" s="332"/>
      <c r="W170" s="242"/>
      <c r="X170" s="332"/>
    </row>
    <row r="171" spans="1:24" ht="13">
      <c r="A171" s="7"/>
      <c r="C171" s="153"/>
      <c r="F171" s="332"/>
      <c r="G171" s="219"/>
      <c r="H171" s="116"/>
      <c r="I171" s="116"/>
      <c r="J171" s="116"/>
      <c r="K171" s="116"/>
      <c r="L171" s="116"/>
      <c r="M171" s="116"/>
      <c r="N171" s="116"/>
      <c r="O171" s="389"/>
      <c r="P171" s="219"/>
      <c r="Q171" s="332"/>
      <c r="R171" s="332"/>
      <c r="S171" s="219"/>
      <c r="T171" s="332"/>
      <c r="U171" s="219"/>
      <c r="V171" s="332"/>
      <c r="W171" s="242"/>
      <c r="X171" s="332"/>
    </row>
    <row r="172" spans="1:24" ht="13">
      <c r="A172" s="7"/>
      <c r="C172" s="153"/>
      <c r="F172" s="332"/>
      <c r="G172" s="219"/>
      <c r="H172" s="116"/>
      <c r="I172" s="116"/>
      <c r="J172" s="116"/>
      <c r="K172" s="116"/>
      <c r="L172" s="116"/>
      <c r="M172" s="116"/>
      <c r="N172" s="116"/>
      <c r="O172" s="389"/>
      <c r="P172" s="219"/>
      <c r="Q172" s="332"/>
      <c r="R172" s="332"/>
      <c r="S172" s="219"/>
      <c r="T172" s="332"/>
      <c r="U172" s="219"/>
      <c r="V172" s="332"/>
      <c r="W172" s="242"/>
      <c r="X172" s="332"/>
    </row>
    <row r="173" spans="1:24" ht="13">
      <c r="A173" s="7"/>
      <c r="C173" s="153"/>
      <c r="F173" s="332"/>
      <c r="G173" s="219"/>
      <c r="H173" s="116"/>
      <c r="I173" s="116"/>
      <c r="J173" s="116"/>
      <c r="K173" s="116"/>
      <c r="L173" s="116"/>
      <c r="M173" s="116"/>
      <c r="N173" s="116"/>
      <c r="O173" s="389"/>
      <c r="P173" s="219"/>
      <c r="Q173" s="332"/>
      <c r="R173" s="332"/>
      <c r="S173" s="219"/>
      <c r="T173" s="332"/>
      <c r="U173" s="219"/>
      <c r="V173" s="332"/>
      <c r="W173" s="242"/>
      <c r="X173" s="332"/>
    </row>
    <row r="174" spans="1:24" ht="13">
      <c r="A174" s="7"/>
      <c r="C174" s="153"/>
      <c r="F174" s="332"/>
      <c r="G174" s="219"/>
      <c r="H174" s="116"/>
      <c r="I174" s="116"/>
      <c r="J174" s="116"/>
      <c r="K174" s="116"/>
      <c r="L174" s="116"/>
      <c r="M174" s="116"/>
      <c r="N174" s="116"/>
      <c r="O174" s="389"/>
      <c r="P174" s="219"/>
      <c r="Q174" s="332"/>
      <c r="R174" s="332"/>
      <c r="S174" s="219"/>
      <c r="T174" s="332"/>
      <c r="U174" s="219"/>
      <c r="V174" s="332"/>
      <c r="W174" s="242"/>
      <c r="X174" s="332"/>
    </row>
    <row r="175" spans="1:24" ht="13">
      <c r="A175" s="7"/>
      <c r="C175" s="153"/>
      <c r="F175" s="332"/>
      <c r="G175" s="219"/>
      <c r="H175" s="116"/>
      <c r="I175" s="116"/>
      <c r="J175" s="116"/>
      <c r="K175" s="116"/>
      <c r="L175" s="116"/>
      <c r="M175" s="116"/>
      <c r="N175" s="116"/>
      <c r="O175" s="389"/>
      <c r="P175" s="219"/>
      <c r="Q175" s="332"/>
      <c r="R175" s="332"/>
      <c r="S175" s="219"/>
      <c r="T175" s="332"/>
      <c r="U175" s="219"/>
      <c r="V175" s="332"/>
      <c r="W175" s="242"/>
      <c r="X175" s="332"/>
    </row>
    <row r="176" spans="1:24" ht="13">
      <c r="A176" s="7"/>
      <c r="C176" s="153"/>
      <c r="F176" s="332"/>
      <c r="G176" s="219"/>
      <c r="H176" s="116"/>
      <c r="I176" s="116"/>
      <c r="J176" s="116"/>
      <c r="K176" s="116"/>
      <c r="L176" s="116"/>
      <c r="M176" s="116"/>
      <c r="N176" s="116"/>
      <c r="O176" s="389"/>
      <c r="P176" s="219"/>
      <c r="Q176" s="332"/>
      <c r="R176" s="332"/>
      <c r="S176" s="219"/>
      <c r="T176" s="332"/>
      <c r="U176" s="219"/>
      <c r="V176" s="332"/>
      <c r="W176" s="242"/>
      <c r="X176" s="332"/>
    </row>
    <row r="177" spans="1:24" ht="13">
      <c r="A177" s="7"/>
      <c r="C177" s="153"/>
      <c r="F177" s="332"/>
      <c r="G177" s="219"/>
      <c r="H177" s="116"/>
      <c r="I177" s="116"/>
      <c r="J177" s="116"/>
      <c r="K177" s="116"/>
      <c r="L177" s="116"/>
      <c r="M177" s="116"/>
      <c r="N177" s="116"/>
      <c r="O177" s="389"/>
      <c r="P177" s="219"/>
      <c r="Q177" s="332"/>
      <c r="R177" s="332"/>
      <c r="S177" s="219"/>
      <c r="T177" s="332"/>
      <c r="U177" s="219"/>
      <c r="V177" s="332"/>
      <c r="W177" s="242"/>
      <c r="X177" s="332"/>
    </row>
    <row r="178" spans="1:24" ht="13">
      <c r="A178" s="7"/>
      <c r="C178" s="153"/>
      <c r="F178" s="332"/>
      <c r="G178" s="219"/>
      <c r="H178" s="116"/>
      <c r="I178" s="116"/>
      <c r="J178" s="116"/>
      <c r="K178" s="116"/>
      <c r="L178" s="116"/>
      <c r="M178" s="116"/>
      <c r="N178" s="116"/>
      <c r="O178" s="389"/>
      <c r="P178" s="219"/>
      <c r="Q178" s="332"/>
      <c r="R178" s="332"/>
      <c r="S178" s="219"/>
      <c r="T178" s="332"/>
      <c r="U178" s="219"/>
      <c r="V178" s="332"/>
      <c r="W178" s="242"/>
      <c r="X178" s="332"/>
    </row>
    <row r="179" spans="1:24" ht="13">
      <c r="A179" s="7"/>
      <c r="C179" s="153"/>
      <c r="F179" s="332"/>
      <c r="G179" s="219"/>
      <c r="H179" s="116"/>
      <c r="I179" s="116"/>
      <c r="J179" s="116"/>
      <c r="K179" s="116"/>
      <c r="L179" s="116"/>
      <c r="M179" s="116"/>
      <c r="N179" s="116"/>
      <c r="O179" s="389"/>
      <c r="P179" s="219"/>
      <c r="Q179" s="332"/>
      <c r="R179" s="332"/>
      <c r="S179" s="219"/>
      <c r="T179" s="332"/>
      <c r="U179" s="219"/>
      <c r="V179" s="332"/>
      <c r="W179" s="242"/>
      <c r="X179" s="332"/>
    </row>
    <row r="180" spans="1:24" ht="13">
      <c r="A180" s="7"/>
      <c r="C180" s="153"/>
      <c r="F180" s="332"/>
      <c r="G180" s="219"/>
      <c r="H180" s="116"/>
      <c r="I180" s="116"/>
      <c r="J180" s="116"/>
      <c r="K180" s="116"/>
      <c r="L180" s="116"/>
      <c r="M180" s="116"/>
      <c r="N180" s="116"/>
      <c r="O180" s="389"/>
      <c r="P180" s="219"/>
      <c r="Q180" s="332"/>
      <c r="R180" s="332"/>
      <c r="S180" s="219"/>
      <c r="T180" s="332"/>
      <c r="U180" s="219"/>
      <c r="V180" s="332"/>
      <c r="W180" s="242"/>
      <c r="X180" s="332"/>
    </row>
    <row r="181" spans="1:24" ht="13">
      <c r="A181" s="7"/>
      <c r="C181" s="153"/>
      <c r="F181" s="332"/>
      <c r="G181" s="219"/>
      <c r="H181" s="116"/>
      <c r="I181" s="116"/>
      <c r="J181" s="116"/>
      <c r="K181" s="116"/>
      <c r="L181" s="116"/>
      <c r="M181" s="116"/>
      <c r="N181" s="116"/>
      <c r="O181" s="389"/>
      <c r="P181" s="219"/>
      <c r="Q181" s="332"/>
      <c r="R181" s="332"/>
      <c r="S181" s="219"/>
      <c r="T181" s="332"/>
      <c r="U181" s="219"/>
      <c r="V181" s="332"/>
      <c r="W181" s="242"/>
      <c r="X181" s="332"/>
    </row>
    <row r="182" spans="1:24" ht="13">
      <c r="A182" s="7"/>
      <c r="C182" s="153"/>
      <c r="F182" s="332"/>
      <c r="G182" s="219"/>
      <c r="H182" s="116"/>
      <c r="I182" s="116"/>
      <c r="J182" s="116"/>
      <c r="K182" s="116"/>
      <c r="L182" s="116"/>
      <c r="M182" s="116"/>
      <c r="N182" s="116"/>
      <c r="O182" s="389"/>
      <c r="P182" s="219"/>
      <c r="Q182" s="332"/>
      <c r="R182" s="332"/>
      <c r="S182" s="219"/>
      <c r="T182" s="332"/>
      <c r="U182" s="219"/>
      <c r="V182" s="332"/>
      <c r="W182" s="242"/>
      <c r="X182" s="332"/>
    </row>
    <row r="183" spans="1:24" ht="13">
      <c r="A183" s="7"/>
      <c r="C183" s="153"/>
      <c r="F183" s="332"/>
      <c r="G183" s="219"/>
      <c r="H183" s="116"/>
      <c r="I183" s="116"/>
      <c r="J183" s="116"/>
      <c r="K183" s="116"/>
      <c r="L183" s="116"/>
      <c r="M183" s="116"/>
      <c r="N183" s="116"/>
      <c r="O183" s="389"/>
      <c r="P183" s="219"/>
      <c r="Q183" s="332"/>
      <c r="R183" s="332"/>
      <c r="S183" s="219"/>
      <c r="T183" s="332"/>
      <c r="U183" s="219"/>
      <c r="V183" s="332"/>
      <c r="W183" s="242"/>
      <c r="X183" s="332"/>
    </row>
    <row r="184" spans="1:24" ht="13">
      <c r="A184" s="7"/>
      <c r="C184" s="153"/>
      <c r="F184" s="332"/>
      <c r="G184" s="219"/>
      <c r="H184" s="116"/>
      <c r="I184" s="116"/>
      <c r="J184" s="116"/>
      <c r="K184" s="116"/>
      <c r="L184" s="116"/>
      <c r="M184" s="116"/>
      <c r="N184" s="116"/>
      <c r="O184" s="389"/>
      <c r="P184" s="219"/>
      <c r="Q184" s="332"/>
      <c r="R184" s="332"/>
      <c r="S184" s="219"/>
      <c r="T184" s="332"/>
      <c r="U184" s="219"/>
      <c r="V184" s="332"/>
      <c r="W184" s="242"/>
      <c r="X184" s="332"/>
    </row>
    <row r="185" spans="1:24" ht="13">
      <c r="A185" s="7"/>
      <c r="C185" s="153"/>
      <c r="F185" s="332"/>
      <c r="G185" s="219"/>
      <c r="H185" s="116"/>
      <c r="I185" s="116"/>
      <c r="J185" s="116"/>
      <c r="K185" s="116"/>
      <c r="L185" s="116"/>
      <c r="M185" s="116"/>
      <c r="N185" s="116"/>
      <c r="O185" s="389"/>
      <c r="P185" s="219"/>
      <c r="Q185" s="332"/>
      <c r="R185" s="332"/>
      <c r="S185" s="219"/>
      <c r="T185" s="332"/>
      <c r="U185" s="219"/>
      <c r="V185" s="332"/>
      <c r="W185" s="242"/>
      <c r="X185" s="332"/>
    </row>
    <row r="186" spans="1:24" ht="13">
      <c r="A186" s="7"/>
      <c r="C186" s="153"/>
      <c r="F186" s="332"/>
      <c r="G186" s="219"/>
      <c r="H186" s="116"/>
      <c r="I186" s="116"/>
      <c r="J186" s="116"/>
      <c r="K186" s="116"/>
      <c r="L186" s="116"/>
      <c r="M186" s="116"/>
      <c r="N186" s="116"/>
      <c r="O186" s="389"/>
      <c r="P186" s="219"/>
      <c r="Q186" s="332"/>
      <c r="R186" s="332"/>
      <c r="S186" s="219"/>
      <c r="T186" s="332"/>
      <c r="U186" s="219"/>
      <c r="V186" s="332"/>
      <c r="W186" s="242"/>
      <c r="X186" s="332"/>
    </row>
    <row r="187" spans="1:24" ht="13">
      <c r="A187" s="7"/>
      <c r="C187" s="153"/>
      <c r="F187" s="332"/>
      <c r="G187" s="219"/>
      <c r="H187" s="116"/>
      <c r="I187" s="116"/>
      <c r="J187" s="116"/>
      <c r="K187" s="116"/>
      <c r="L187" s="116"/>
      <c r="M187" s="116"/>
      <c r="N187" s="116"/>
      <c r="O187" s="389"/>
      <c r="P187" s="219"/>
      <c r="Q187" s="332"/>
      <c r="R187" s="332"/>
      <c r="S187" s="219"/>
      <c r="T187" s="332"/>
      <c r="U187" s="219"/>
      <c r="V187" s="332"/>
      <c r="W187" s="242"/>
      <c r="X187" s="332"/>
    </row>
    <row r="188" spans="1:24" ht="13">
      <c r="A188" s="7"/>
      <c r="C188" s="153"/>
      <c r="F188" s="332"/>
      <c r="G188" s="219"/>
      <c r="H188" s="116"/>
      <c r="I188" s="116"/>
      <c r="J188" s="116"/>
      <c r="K188" s="116"/>
      <c r="L188" s="116"/>
      <c r="M188" s="116"/>
      <c r="N188" s="116"/>
      <c r="O188" s="389"/>
      <c r="P188" s="219"/>
      <c r="Q188" s="332"/>
      <c r="R188" s="332"/>
      <c r="S188" s="219"/>
      <c r="T188" s="332"/>
      <c r="U188" s="219"/>
      <c r="V188" s="332"/>
      <c r="W188" s="242"/>
      <c r="X188" s="332"/>
    </row>
    <row r="189" spans="1:24" ht="13">
      <c r="A189" s="7"/>
      <c r="C189" s="153"/>
      <c r="F189" s="332"/>
      <c r="G189" s="219"/>
      <c r="H189" s="116"/>
      <c r="I189" s="116"/>
      <c r="J189" s="116"/>
      <c r="K189" s="116"/>
      <c r="L189" s="116"/>
      <c r="M189" s="116"/>
      <c r="N189" s="116"/>
      <c r="O189" s="389"/>
      <c r="P189" s="219"/>
      <c r="Q189" s="332"/>
      <c r="R189" s="332"/>
      <c r="S189" s="219"/>
      <c r="T189" s="332"/>
      <c r="U189" s="219"/>
      <c r="V189" s="332"/>
      <c r="W189" s="242"/>
      <c r="X189" s="332"/>
    </row>
    <row r="190" spans="1:24" ht="13">
      <c r="A190" s="7"/>
      <c r="C190" s="153"/>
      <c r="F190" s="332"/>
      <c r="G190" s="219"/>
      <c r="H190" s="116"/>
      <c r="I190" s="116"/>
      <c r="J190" s="116"/>
      <c r="K190" s="116"/>
      <c r="L190" s="116"/>
      <c r="M190" s="116"/>
      <c r="N190" s="116"/>
      <c r="O190" s="389"/>
      <c r="P190" s="219"/>
      <c r="Q190" s="332"/>
      <c r="R190" s="332"/>
      <c r="S190" s="219"/>
      <c r="T190" s="332"/>
      <c r="U190" s="219"/>
      <c r="V190" s="332"/>
      <c r="W190" s="242"/>
      <c r="X190" s="332"/>
    </row>
    <row r="191" spans="1:24" ht="13">
      <c r="A191" s="7"/>
      <c r="C191" s="153"/>
      <c r="F191" s="332"/>
      <c r="G191" s="219"/>
      <c r="H191" s="116"/>
      <c r="I191" s="116"/>
      <c r="J191" s="116"/>
      <c r="K191" s="116"/>
      <c r="L191" s="116"/>
      <c r="M191" s="116"/>
      <c r="N191" s="116"/>
      <c r="O191" s="389"/>
      <c r="P191" s="219"/>
      <c r="Q191" s="332"/>
      <c r="R191" s="332"/>
      <c r="S191" s="219"/>
      <c r="T191" s="332"/>
      <c r="U191" s="219"/>
      <c r="V191" s="332"/>
      <c r="W191" s="242"/>
      <c r="X191" s="332"/>
    </row>
    <row r="192" spans="1:24" ht="13">
      <c r="A192" s="7"/>
      <c r="C192" s="153"/>
      <c r="F192" s="332"/>
      <c r="G192" s="219"/>
      <c r="H192" s="116"/>
      <c r="I192" s="116"/>
      <c r="J192" s="116"/>
      <c r="K192" s="116"/>
      <c r="L192" s="116"/>
      <c r="M192" s="116"/>
      <c r="N192" s="116"/>
      <c r="O192" s="389"/>
      <c r="P192" s="219"/>
      <c r="Q192" s="332"/>
      <c r="R192" s="332"/>
      <c r="S192" s="219"/>
      <c r="T192" s="332"/>
      <c r="U192" s="219"/>
      <c r="V192" s="332"/>
      <c r="W192" s="242"/>
      <c r="X192" s="332"/>
    </row>
    <row r="193" spans="1:24" ht="13">
      <c r="A193" s="7"/>
      <c r="C193" s="153"/>
      <c r="F193" s="332"/>
      <c r="G193" s="219"/>
      <c r="H193" s="116"/>
      <c r="I193" s="116"/>
      <c r="J193" s="116"/>
      <c r="K193" s="116"/>
      <c r="L193" s="116"/>
      <c r="M193" s="116"/>
      <c r="N193" s="116"/>
      <c r="O193" s="389"/>
      <c r="P193" s="219"/>
      <c r="Q193" s="332"/>
      <c r="R193" s="332"/>
      <c r="S193" s="219"/>
      <c r="T193" s="332"/>
      <c r="U193" s="219"/>
      <c r="V193" s="332"/>
      <c r="W193" s="242"/>
      <c r="X193" s="332"/>
    </row>
    <row r="194" spans="1:24" ht="13">
      <c r="A194" s="7"/>
      <c r="C194" s="153"/>
      <c r="F194" s="332"/>
      <c r="G194" s="219"/>
      <c r="H194" s="116"/>
      <c r="I194" s="116"/>
      <c r="J194" s="116"/>
      <c r="K194" s="116"/>
      <c r="L194" s="116"/>
      <c r="M194" s="116"/>
      <c r="N194" s="116"/>
      <c r="O194" s="389"/>
      <c r="P194" s="219"/>
      <c r="Q194" s="332"/>
      <c r="R194" s="332"/>
      <c r="S194" s="219"/>
      <c r="T194" s="332"/>
      <c r="U194" s="219"/>
      <c r="V194" s="332"/>
      <c r="W194" s="242"/>
      <c r="X194" s="332"/>
    </row>
    <row r="195" spans="1:24" ht="13">
      <c r="A195" s="7"/>
      <c r="C195" s="153"/>
      <c r="F195" s="332"/>
      <c r="G195" s="219"/>
      <c r="H195" s="116"/>
      <c r="I195" s="116"/>
      <c r="J195" s="116"/>
      <c r="K195" s="116"/>
      <c r="L195" s="116"/>
      <c r="M195" s="116"/>
      <c r="N195" s="116"/>
      <c r="O195" s="389"/>
      <c r="P195" s="219"/>
      <c r="Q195" s="332"/>
      <c r="R195" s="332"/>
      <c r="S195" s="219"/>
      <c r="T195" s="332"/>
      <c r="U195" s="219"/>
      <c r="V195" s="332"/>
      <c r="W195" s="242"/>
      <c r="X195" s="332"/>
    </row>
    <row r="196" spans="1:24" ht="13">
      <c r="A196" s="7"/>
      <c r="C196" s="153"/>
      <c r="F196" s="332"/>
      <c r="G196" s="219"/>
      <c r="H196" s="116"/>
      <c r="I196" s="116"/>
      <c r="J196" s="116"/>
      <c r="K196" s="116"/>
      <c r="L196" s="116"/>
      <c r="M196" s="116"/>
      <c r="N196" s="116"/>
      <c r="O196" s="389"/>
      <c r="P196" s="219"/>
      <c r="Q196" s="332"/>
      <c r="R196" s="332"/>
      <c r="S196" s="219"/>
      <c r="T196" s="332"/>
      <c r="U196" s="219"/>
      <c r="V196" s="332"/>
      <c r="W196" s="242"/>
      <c r="X196" s="332"/>
    </row>
    <row r="197" spans="1:24" ht="13">
      <c r="A197" s="7"/>
      <c r="C197" s="153"/>
      <c r="F197" s="332"/>
      <c r="G197" s="219"/>
      <c r="H197" s="116"/>
      <c r="I197" s="116"/>
      <c r="J197" s="116"/>
      <c r="K197" s="116"/>
      <c r="L197" s="116"/>
      <c r="M197" s="116"/>
      <c r="N197" s="116"/>
      <c r="O197" s="389"/>
      <c r="P197" s="219"/>
      <c r="Q197" s="332"/>
      <c r="R197" s="332"/>
      <c r="S197" s="219"/>
      <c r="T197" s="332"/>
      <c r="U197" s="219"/>
      <c r="V197" s="332"/>
      <c r="W197" s="242"/>
      <c r="X197" s="332"/>
    </row>
    <row r="198" spans="1:24" ht="13">
      <c r="A198" s="7"/>
      <c r="C198" s="153"/>
      <c r="F198" s="332"/>
      <c r="G198" s="219"/>
      <c r="H198" s="116"/>
      <c r="I198" s="116"/>
      <c r="J198" s="116"/>
      <c r="K198" s="116"/>
      <c r="L198" s="116"/>
      <c r="M198" s="116"/>
      <c r="N198" s="116"/>
      <c r="O198" s="389"/>
      <c r="P198" s="219"/>
      <c r="Q198" s="332"/>
      <c r="R198" s="332"/>
      <c r="S198" s="219"/>
      <c r="T198" s="332"/>
      <c r="U198" s="219"/>
      <c r="V198" s="332"/>
      <c r="W198" s="242"/>
      <c r="X198" s="332"/>
    </row>
    <row r="199" spans="1:24" ht="13">
      <c r="A199" s="7"/>
      <c r="C199" s="153"/>
      <c r="F199" s="332"/>
      <c r="G199" s="219"/>
      <c r="H199" s="116"/>
      <c r="I199" s="116"/>
      <c r="J199" s="116"/>
      <c r="K199" s="116"/>
      <c r="L199" s="116"/>
      <c r="M199" s="116"/>
      <c r="N199" s="116"/>
      <c r="O199" s="389"/>
      <c r="P199" s="219"/>
      <c r="Q199" s="332"/>
      <c r="R199" s="332"/>
      <c r="S199" s="219"/>
      <c r="T199" s="332"/>
      <c r="U199" s="219"/>
      <c r="V199" s="332"/>
      <c r="W199" s="242"/>
      <c r="X199" s="332"/>
    </row>
    <row r="200" spans="1:24" ht="13">
      <c r="A200" s="7"/>
      <c r="C200" s="153"/>
      <c r="F200" s="332"/>
      <c r="G200" s="219"/>
      <c r="H200" s="116"/>
      <c r="I200" s="116"/>
      <c r="J200" s="116"/>
      <c r="K200" s="116"/>
      <c r="L200" s="116"/>
      <c r="M200" s="116"/>
      <c r="N200" s="116"/>
      <c r="O200" s="389"/>
      <c r="P200" s="219"/>
      <c r="Q200" s="332"/>
      <c r="R200" s="332"/>
      <c r="S200" s="219"/>
      <c r="T200" s="332"/>
      <c r="U200" s="219"/>
      <c r="V200" s="332"/>
      <c r="W200" s="242"/>
      <c r="X200" s="332"/>
    </row>
    <row r="201" spans="1:24" ht="13">
      <c r="A201" s="7"/>
      <c r="C201" s="153"/>
      <c r="F201" s="332"/>
      <c r="G201" s="219"/>
      <c r="H201" s="116"/>
      <c r="I201" s="116"/>
      <c r="J201" s="116"/>
      <c r="K201" s="116"/>
      <c r="L201" s="116"/>
      <c r="M201" s="116"/>
      <c r="N201" s="116"/>
      <c r="O201" s="389"/>
      <c r="P201" s="219"/>
      <c r="Q201" s="332"/>
      <c r="R201" s="332"/>
      <c r="S201" s="219"/>
      <c r="T201" s="332"/>
      <c r="U201" s="219"/>
      <c r="V201" s="332"/>
      <c r="W201" s="242"/>
      <c r="X201" s="332"/>
    </row>
    <row r="202" spans="1:24" ht="13">
      <c r="A202" s="7"/>
      <c r="C202" s="153"/>
      <c r="F202" s="332"/>
      <c r="G202" s="219"/>
      <c r="H202" s="116"/>
      <c r="I202" s="116"/>
      <c r="J202" s="116"/>
      <c r="K202" s="116"/>
      <c r="L202" s="116"/>
      <c r="M202" s="116"/>
      <c r="N202" s="116"/>
      <c r="O202" s="389"/>
      <c r="P202" s="219"/>
      <c r="Q202" s="332"/>
      <c r="R202" s="332"/>
      <c r="S202" s="219"/>
      <c r="T202" s="332"/>
      <c r="U202" s="219"/>
      <c r="V202" s="332"/>
      <c r="W202" s="242"/>
      <c r="X202" s="332"/>
    </row>
    <row r="203" spans="1:24" ht="13">
      <c r="A203" s="7"/>
      <c r="C203" s="153"/>
      <c r="F203" s="332"/>
      <c r="G203" s="219"/>
      <c r="H203" s="116"/>
      <c r="I203" s="116"/>
      <c r="J203" s="116"/>
      <c r="K203" s="116"/>
      <c r="L203" s="116"/>
      <c r="M203" s="116"/>
      <c r="N203" s="116"/>
      <c r="O203" s="389"/>
      <c r="P203" s="219"/>
      <c r="Q203" s="332"/>
      <c r="R203" s="332"/>
      <c r="S203" s="219"/>
      <c r="T203" s="332"/>
      <c r="U203" s="219"/>
      <c r="V203" s="332"/>
      <c r="W203" s="242"/>
      <c r="X203" s="332"/>
    </row>
    <row r="204" spans="1:24" ht="13">
      <c r="A204" s="7"/>
      <c r="C204" s="153"/>
      <c r="F204" s="332"/>
      <c r="G204" s="219"/>
      <c r="H204" s="116"/>
      <c r="I204" s="116"/>
      <c r="J204" s="116"/>
      <c r="K204" s="116"/>
      <c r="L204" s="116"/>
      <c r="M204" s="116"/>
      <c r="N204" s="116"/>
      <c r="O204" s="389"/>
      <c r="P204" s="219"/>
      <c r="Q204" s="332"/>
      <c r="R204" s="332"/>
      <c r="S204" s="219"/>
      <c r="T204" s="332"/>
      <c r="U204" s="219"/>
      <c r="V204" s="332"/>
      <c r="W204" s="242"/>
      <c r="X204" s="332"/>
    </row>
    <row r="205" spans="1:24" ht="13">
      <c r="A205" s="7"/>
      <c r="C205" s="153"/>
      <c r="F205" s="332"/>
      <c r="G205" s="219"/>
      <c r="H205" s="116"/>
      <c r="I205" s="116"/>
      <c r="J205" s="116"/>
      <c r="K205" s="116"/>
      <c r="L205" s="116"/>
      <c r="M205" s="116"/>
      <c r="N205" s="116"/>
      <c r="O205" s="389"/>
      <c r="P205" s="219"/>
      <c r="Q205" s="332"/>
      <c r="R205" s="332"/>
      <c r="S205" s="219"/>
      <c r="T205" s="332"/>
      <c r="U205" s="219"/>
      <c r="V205" s="332"/>
      <c r="W205" s="242"/>
      <c r="X205" s="332"/>
    </row>
    <row r="206" spans="1:24" ht="13">
      <c r="A206" s="7"/>
      <c r="C206" s="153"/>
      <c r="F206" s="332"/>
      <c r="G206" s="219"/>
      <c r="H206" s="116"/>
      <c r="I206" s="116"/>
      <c r="J206" s="116"/>
      <c r="K206" s="116"/>
      <c r="L206" s="116"/>
      <c r="M206" s="116"/>
      <c r="N206" s="116"/>
      <c r="O206" s="389"/>
      <c r="P206" s="219"/>
      <c r="Q206" s="332"/>
      <c r="R206" s="332"/>
      <c r="S206" s="219"/>
      <c r="T206" s="332"/>
      <c r="U206" s="219"/>
      <c r="V206" s="332"/>
      <c r="W206" s="242"/>
      <c r="X206" s="332"/>
    </row>
    <row r="207" spans="1:24" ht="13">
      <c r="A207" s="7"/>
      <c r="C207" s="153"/>
      <c r="F207" s="332"/>
      <c r="G207" s="219"/>
      <c r="H207" s="116"/>
      <c r="I207" s="116"/>
      <c r="J207" s="116"/>
      <c r="K207" s="116"/>
      <c r="L207" s="116"/>
      <c r="M207" s="116"/>
      <c r="N207" s="116"/>
      <c r="O207" s="389"/>
      <c r="P207" s="219"/>
      <c r="Q207" s="332"/>
      <c r="R207" s="332"/>
      <c r="S207" s="219"/>
      <c r="T207" s="332"/>
      <c r="U207" s="219"/>
      <c r="V207" s="332"/>
      <c r="W207" s="242"/>
      <c r="X207" s="332"/>
    </row>
    <row r="208" spans="1:24" ht="13">
      <c r="A208" s="7"/>
      <c r="C208" s="153"/>
      <c r="F208" s="332"/>
      <c r="G208" s="219"/>
      <c r="H208" s="116"/>
      <c r="I208" s="116"/>
      <c r="J208" s="116"/>
      <c r="K208" s="116"/>
      <c r="L208" s="116"/>
      <c r="M208" s="116"/>
      <c r="N208" s="116"/>
      <c r="O208" s="389"/>
      <c r="P208" s="219"/>
      <c r="Q208" s="332"/>
      <c r="R208" s="332"/>
      <c r="S208" s="219"/>
      <c r="T208" s="332"/>
      <c r="U208" s="219"/>
      <c r="V208" s="332"/>
      <c r="W208" s="242"/>
      <c r="X208" s="332"/>
    </row>
    <row r="209" spans="1:24" ht="13">
      <c r="A209" s="7"/>
      <c r="C209" s="153"/>
      <c r="F209" s="332"/>
      <c r="G209" s="219"/>
      <c r="H209" s="116"/>
      <c r="I209" s="116"/>
      <c r="J209" s="116"/>
      <c r="K209" s="116"/>
      <c r="L209" s="116"/>
      <c r="M209" s="116"/>
      <c r="N209" s="116"/>
      <c r="O209" s="389"/>
      <c r="P209" s="219"/>
      <c r="Q209" s="332"/>
      <c r="R209" s="332"/>
      <c r="S209" s="219"/>
      <c r="T209" s="332"/>
      <c r="U209" s="219"/>
      <c r="V209" s="332"/>
      <c r="W209" s="242"/>
      <c r="X209" s="332"/>
    </row>
    <row r="210" spans="1:24" ht="13">
      <c r="A210" s="7"/>
      <c r="C210" s="153"/>
      <c r="F210" s="332"/>
      <c r="G210" s="219"/>
      <c r="H210" s="116"/>
      <c r="I210" s="116"/>
      <c r="J210" s="116"/>
      <c r="K210" s="116"/>
      <c r="L210" s="116"/>
      <c r="M210" s="116"/>
      <c r="N210" s="116"/>
      <c r="O210" s="389"/>
      <c r="P210" s="219"/>
      <c r="Q210" s="332"/>
      <c r="R210" s="332"/>
      <c r="S210" s="219"/>
      <c r="T210" s="332"/>
      <c r="U210" s="219"/>
      <c r="V210" s="332"/>
      <c r="W210" s="242"/>
      <c r="X210" s="332"/>
    </row>
    <row r="211" spans="1:24" ht="13">
      <c r="A211" s="7"/>
      <c r="C211" s="153"/>
      <c r="F211" s="332"/>
      <c r="G211" s="219"/>
      <c r="H211" s="116"/>
      <c r="I211" s="116"/>
      <c r="J211" s="116"/>
      <c r="K211" s="116"/>
      <c r="L211" s="116"/>
      <c r="M211" s="116"/>
      <c r="N211" s="116"/>
      <c r="O211" s="389"/>
      <c r="P211" s="219"/>
      <c r="Q211" s="332"/>
      <c r="R211" s="332"/>
      <c r="S211" s="219"/>
      <c r="T211" s="332"/>
      <c r="U211" s="219"/>
      <c r="V211" s="332"/>
      <c r="W211" s="242"/>
      <c r="X211" s="332"/>
    </row>
    <row r="212" spans="1:24" ht="13">
      <c r="A212" s="7"/>
      <c r="C212" s="153"/>
      <c r="F212" s="332"/>
      <c r="G212" s="219"/>
      <c r="H212" s="116"/>
      <c r="I212" s="116"/>
      <c r="J212" s="116"/>
      <c r="K212" s="116"/>
      <c r="L212" s="116"/>
      <c r="M212" s="116"/>
      <c r="N212" s="116"/>
      <c r="O212" s="389"/>
      <c r="P212" s="219"/>
      <c r="Q212" s="332"/>
      <c r="R212" s="332"/>
      <c r="S212" s="219"/>
      <c r="T212" s="332"/>
      <c r="U212" s="219"/>
      <c r="V212" s="332"/>
      <c r="W212" s="242"/>
      <c r="X212" s="332"/>
    </row>
    <row r="213" spans="1:24" ht="13">
      <c r="A213" s="7"/>
      <c r="C213" s="153"/>
      <c r="F213" s="332"/>
      <c r="G213" s="219"/>
      <c r="H213" s="116"/>
      <c r="I213" s="116"/>
      <c r="J213" s="116"/>
      <c r="K213" s="116"/>
      <c r="L213" s="116"/>
      <c r="M213" s="116"/>
      <c r="N213" s="116"/>
      <c r="O213" s="389"/>
      <c r="P213" s="219"/>
      <c r="Q213" s="332"/>
      <c r="R213" s="332"/>
      <c r="S213" s="219"/>
      <c r="T213" s="332"/>
      <c r="U213" s="219"/>
      <c r="V213" s="332"/>
      <c r="W213" s="242"/>
      <c r="X213" s="332"/>
    </row>
    <row r="214" spans="1:24" ht="13">
      <c r="A214" s="7"/>
      <c r="C214" s="153"/>
      <c r="F214" s="332"/>
      <c r="G214" s="219"/>
      <c r="H214" s="116"/>
      <c r="I214" s="116"/>
      <c r="J214" s="116"/>
      <c r="K214" s="116"/>
      <c r="L214" s="116"/>
      <c r="M214" s="116"/>
      <c r="N214" s="116"/>
      <c r="O214" s="389"/>
      <c r="P214" s="219"/>
      <c r="Q214" s="332"/>
      <c r="R214" s="332"/>
      <c r="S214" s="219"/>
      <c r="T214" s="332"/>
      <c r="U214" s="219"/>
      <c r="V214" s="332"/>
      <c r="W214" s="242"/>
      <c r="X214" s="332"/>
    </row>
    <row r="215" spans="1:24" ht="13">
      <c r="A215" s="7"/>
      <c r="C215" s="153"/>
      <c r="F215" s="332"/>
      <c r="G215" s="219"/>
      <c r="H215" s="116"/>
      <c r="I215" s="116"/>
      <c r="J215" s="116"/>
      <c r="K215" s="116"/>
      <c r="L215" s="116"/>
      <c r="M215" s="116"/>
      <c r="N215" s="116"/>
      <c r="O215" s="389"/>
      <c r="P215" s="219"/>
      <c r="Q215" s="332"/>
      <c r="R215" s="332"/>
      <c r="S215" s="219"/>
      <c r="T215" s="332"/>
      <c r="U215" s="219"/>
      <c r="V215" s="332"/>
      <c r="W215" s="242"/>
      <c r="X215" s="332"/>
    </row>
    <row r="216" spans="1:24" ht="13">
      <c r="A216" s="7"/>
      <c r="C216" s="153"/>
      <c r="F216" s="332"/>
      <c r="G216" s="219"/>
      <c r="H216" s="116"/>
      <c r="I216" s="116"/>
      <c r="J216" s="116"/>
      <c r="K216" s="116"/>
      <c r="L216" s="116"/>
      <c r="M216" s="116"/>
      <c r="N216" s="116"/>
      <c r="O216" s="389"/>
      <c r="P216" s="219"/>
      <c r="Q216" s="332"/>
      <c r="R216" s="332"/>
      <c r="S216" s="219"/>
      <c r="T216" s="332"/>
      <c r="U216" s="219"/>
      <c r="V216" s="332"/>
      <c r="W216" s="242"/>
      <c r="X216" s="332"/>
    </row>
    <row r="217" spans="1:24" ht="13">
      <c r="A217" s="7"/>
      <c r="C217" s="153"/>
      <c r="F217" s="332"/>
      <c r="G217" s="219"/>
      <c r="H217" s="116"/>
      <c r="I217" s="116"/>
      <c r="J217" s="116"/>
      <c r="K217" s="116"/>
      <c r="L217" s="116"/>
      <c r="M217" s="116"/>
      <c r="N217" s="116"/>
      <c r="O217" s="389"/>
      <c r="P217" s="219"/>
      <c r="Q217" s="332"/>
      <c r="R217" s="332"/>
      <c r="S217" s="219"/>
      <c r="T217" s="332"/>
      <c r="U217" s="219"/>
      <c r="V217" s="332"/>
      <c r="W217" s="242"/>
      <c r="X217" s="332"/>
    </row>
    <row r="218" spans="1:24" ht="13">
      <c r="A218" s="7"/>
      <c r="C218" s="153"/>
      <c r="F218" s="332"/>
      <c r="G218" s="219"/>
      <c r="H218" s="116"/>
      <c r="I218" s="116"/>
      <c r="J218" s="116"/>
      <c r="K218" s="116"/>
      <c r="L218" s="116"/>
      <c r="M218" s="116"/>
      <c r="N218" s="116"/>
      <c r="O218" s="389"/>
      <c r="P218" s="219"/>
      <c r="Q218" s="332"/>
      <c r="R218" s="332"/>
      <c r="S218" s="219"/>
      <c r="T218" s="332"/>
      <c r="U218" s="219"/>
      <c r="V218" s="332"/>
      <c r="W218" s="242"/>
      <c r="X218" s="332"/>
    </row>
    <row r="219" spans="1:24" ht="13">
      <c r="A219" s="7"/>
      <c r="C219" s="153"/>
      <c r="F219" s="332"/>
      <c r="G219" s="219"/>
      <c r="H219" s="116"/>
      <c r="I219" s="116"/>
      <c r="J219" s="116"/>
      <c r="K219" s="116"/>
      <c r="L219" s="116"/>
      <c r="M219" s="116"/>
      <c r="N219" s="116"/>
      <c r="O219" s="389"/>
      <c r="P219" s="219"/>
      <c r="Q219" s="332"/>
      <c r="R219" s="332"/>
      <c r="S219" s="219"/>
      <c r="T219" s="332"/>
      <c r="U219" s="219"/>
      <c r="V219" s="332"/>
      <c r="W219" s="242"/>
      <c r="X219" s="332"/>
    </row>
    <row r="220" spans="1:24" ht="13">
      <c r="A220" s="7"/>
      <c r="C220" s="153"/>
      <c r="F220" s="332"/>
      <c r="G220" s="219"/>
      <c r="H220" s="116"/>
      <c r="I220" s="116"/>
      <c r="J220" s="116"/>
      <c r="K220" s="116"/>
      <c r="L220" s="116"/>
      <c r="M220" s="116"/>
      <c r="N220" s="116"/>
      <c r="O220" s="389"/>
      <c r="P220" s="219"/>
      <c r="Q220" s="332"/>
      <c r="R220" s="332"/>
      <c r="S220" s="219"/>
      <c r="T220" s="332"/>
      <c r="U220" s="219"/>
      <c r="V220" s="332"/>
      <c r="W220" s="242"/>
      <c r="X220" s="332"/>
    </row>
    <row r="221" spans="1:24" ht="13">
      <c r="A221" s="7"/>
      <c r="C221" s="153"/>
      <c r="F221" s="332"/>
      <c r="G221" s="219"/>
      <c r="H221" s="116"/>
      <c r="I221" s="116"/>
      <c r="J221" s="116"/>
      <c r="K221" s="116"/>
      <c r="L221" s="116"/>
      <c r="M221" s="116"/>
      <c r="N221" s="116"/>
      <c r="O221" s="389"/>
      <c r="P221" s="219"/>
      <c r="Q221" s="332"/>
      <c r="R221" s="332"/>
      <c r="S221" s="219"/>
      <c r="T221" s="332"/>
      <c r="U221" s="219"/>
      <c r="V221" s="332"/>
      <c r="W221" s="242"/>
      <c r="X221" s="332"/>
    </row>
    <row r="222" spans="1:24" ht="13">
      <c r="A222" s="7"/>
      <c r="C222" s="153"/>
      <c r="F222" s="332"/>
      <c r="G222" s="219"/>
      <c r="H222" s="116"/>
      <c r="I222" s="116"/>
      <c r="J222" s="116"/>
      <c r="K222" s="116"/>
      <c r="L222" s="116"/>
      <c r="M222" s="116"/>
      <c r="N222" s="116"/>
      <c r="O222" s="389"/>
      <c r="P222" s="219"/>
      <c r="Q222" s="332"/>
      <c r="R222" s="332"/>
      <c r="S222" s="219"/>
      <c r="T222" s="332"/>
      <c r="U222" s="219"/>
      <c r="V222" s="332"/>
      <c r="W222" s="242"/>
      <c r="X222" s="332"/>
    </row>
    <row r="223" spans="1:24" ht="13">
      <c r="A223" s="7"/>
      <c r="C223" s="153"/>
      <c r="F223" s="332"/>
      <c r="G223" s="219"/>
      <c r="H223" s="116"/>
      <c r="I223" s="116"/>
      <c r="J223" s="116"/>
      <c r="K223" s="116"/>
      <c r="L223" s="116"/>
      <c r="M223" s="116"/>
      <c r="N223" s="116"/>
      <c r="O223" s="389"/>
      <c r="P223" s="219"/>
      <c r="Q223" s="332"/>
      <c r="R223" s="332"/>
      <c r="S223" s="219"/>
      <c r="T223" s="332"/>
      <c r="U223" s="219"/>
      <c r="V223" s="332"/>
      <c r="W223" s="242"/>
      <c r="X223" s="332"/>
    </row>
    <row r="224" spans="1:24" ht="13">
      <c r="A224" s="7"/>
      <c r="C224" s="153"/>
      <c r="F224" s="332"/>
      <c r="G224" s="219"/>
      <c r="H224" s="116"/>
      <c r="I224" s="116"/>
      <c r="J224" s="116"/>
      <c r="K224" s="116"/>
      <c r="L224" s="116"/>
      <c r="M224" s="116"/>
      <c r="N224" s="116"/>
      <c r="O224" s="389"/>
      <c r="P224" s="219"/>
      <c r="Q224" s="332"/>
      <c r="R224" s="332"/>
      <c r="S224" s="219"/>
      <c r="T224" s="332"/>
      <c r="U224" s="219"/>
      <c r="V224" s="332"/>
      <c r="W224" s="242"/>
      <c r="X224" s="332"/>
    </row>
    <row r="225" spans="1:24" ht="13">
      <c r="A225" s="7"/>
      <c r="C225" s="153"/>
      <c r="F225" s="332"/>
      <c r="G225" s="219"/>
      <c r="H225" s="116"/>
      <c r="I225" s="116"/>
      <c r="J225" s="116"/>
      <c r="K225" s="116"/>
      <c r="L225" s="116"/>
      <c r="M225" s="116"/>
      <c r="N225" s="116"/>
      <c r="O225" s="389"/>
      <c r="P225" s="219"/>
      <c r="Q225" s="332"/>
      <c r="R225" s="332"/>
      <c r="S225" s="219"/>
      <c r="T225" s="332"/>
      <c r="U225" s="219"/>
      <c r="V225" s="332"/>
      <c r="W225" s="242"/>
      <c r="X225" s="332"/>
    </row>
    <row r="226" spans="1:24" ht="13">
      <c r="A226" s="7"/>
      <c r="C226" s="153"/>
      <c r="F226" s="332"/>
      <c r="G226" s="219"/>
      <c r="H226" s="116"/>
      <c r="I226" s="116"/>
      <c r="J226" s="116"/>
      <c r="K226" s="116"/>
      <c r="L226" s="116"/>
      <c r="M226" s="116"/>
      <c r="N226" s="116"/>
      <c r="O226" s="389"/>
      <c r="P226" s="219"/>
      <c r="Q226" s="332"/>
      <c r="R226" s="332"/>
      <c r="S226" s="219"/>
      <c r="T226" s="332"/>
      <c r="U226" s="219"/>
      <c r="V226" s="332"/>
      <c r="W226" s="242"/>
      <c r="X226" s="332"/>
    </row>
    <row r="227" spans="1:24" ht="13">
      <c r="A227" s="7"/>
      <c r="C227" s="153"/>
      <c r="F227" s="332"/>
      <c r="G227" s="219"/>
      <c r="H227" s="116"/>
      <c r="I227" s="116"/>
      <c r="J227" s="116"/>
      <c r="K227" s="116"/>
      <c r="L227" s="116"/>
      <c r="M227" s="116"/>
      <c r="N227" s="116"/>
      <c r="O227" s="389"/>
      <c r="P227" s="219"/>
      <c r="Q227" s="332"/>
      <c r="R227" s="332"/>
      <c r="S227" s="219"/>
      <c r="T227" s="332"/>
      <c r="U227" s="219"/>
      <c r="V227" s="332"/>
      <c r="W227" s="242"/>
      <c r="X227" s="332"/>
    </row>
    <row r="228" spans="1:24" ht="13">
      <c r="A228" s="7"/>
      <c r="C228" s="153"/>
      <c r="F228" s="332"/>
      <c r="G228" s="219"/>
      <c r="H228" s="116"/>
      <c r="I228" s="116"/>
      <c r="J228" s="116"/>
      <c r="K228" s="116"/>
      <c r="L228" s="116"/>
      <c r="M228" s="116"/>
      <c r="N228" s="116"/>
      <c r="O228" s="389"/>
      <c r="P228" s="219"/>
      <c r="Q228" s="332"/>
      <c r="R228" s="332"/>
      <c r="S228" s="219"/>
      <c r="T228" s="332"/>
      <c r="U228" s="219"/>
      <c r="V228" s="332"/>
      <c r="W228" s="242"/>
      <c r="X228" s="332"/>
    </row>
    <row r="229" spans="1:24" ht="13">
      <c r="A229" s="7"/>
      <c r="C229" s="153"/>
      <c r="F229" s="332"/>
      <c r="G229" s="219"/>
      <c r="H229" s="116"/>
      <c r="I229" s="116"/>
      <c r="J229" s="116"/>
      <c r="K229" s="116"/>
      <c r="L229" s="116"/>
      <c r="M229" s="116"/>
      <c r="N229" s="116"/>
      <c r="O229" s="389"/>
      <c r="P229" s="219"/>
      <c r="Q229" s="332"/>
      <c r="R229" s="332"/>
      <c r="S229" s="219"/>
      <c r="T229" s="332"/>
      <c r="U229" s="219"/>
      <c r="V229" s="332"/>
      <c r="W229" s="242"/>
      <c r="X229" s="332"/>
    </row>
    <row r="230" spans="1:24" ht="13">
      <c r="A230" s="7"/>
      <c r="C230" s="153"/>
      <c r="F230" s="332"/>
      <c r="G230" s="219"/>
      <c r="H230" s="116"/>
      <c r="I230" s="116"/>
      <c r="J230" s="116"/>
      <c r="K230" s="116"/>
      <c r="L230" s="116"/>
      <c r="M230" s="116"/>
      <c r="N230" s="116"/>
      <c r="O230" s="389"/>
      <c r="P230" s="219"/>
      <c r="Q230" s="332"/>
      <c r="R230" s="332"/>
      <c r="S230" s="219"/>
      <c r="T230" s="332"/>
      <c r="U230" s="219"/>
      <c r="V230" s="332"/>
      <c r="W230" s="242"/>
      <c r="X230" s="332"/>
    </row>
    <row r="231" spans="1:24" ht="13">
      <c r="A231" s="7"/>
      <c r="C231" s="153"/>
      <c r="F231" s="332"/>
      <c r="G231" s="219"/>
      <c r="H231" s="116"/>
      <c r="I231" s="116"/>
      <c r="J231" s="116"/>
      <c r="K231" s="116"/>
      <c r="L231" s="116"/>
      <c r="M231" s="116"/>
      <c r="N231" s="116"/>
      <c r="O231" s="389"/>
      <c r="P231" s="219"/>
      <c r="Q231" s="332"/>
      <c r="R231" s="332"/>
      <c r="S231" s="219"/>
      <c r="T231" s="332"/>
      <c r="U231" s="219"/>
      <c r="V231" s="332"/>
      <c r="W231" s="242"/>
      <c r="X231" s="332"/>
    </row>
    <row r="232" spans="1:24" ht="13">
      <c r="A232" s="7"/>
      <c r="C232" s="153"/>
      <c r="F232" s="332"/>
      <c r="G232" s="219"/>
      <c r="H232" s="116"/>
      <c r="I232" s="116"/>
      <c r="J232" s="116"/>
      <c r="K232" s="116"/>
      <c r="L232" s="116"/>
      <c r="M232" s="116"/>
      <c r="N232" s="116"/>
      <c r="O232" s="389"/>
      <c r="P232" s="219"/>
      <c r="Q232" s="332"/>
      <c r="R232" s="332"/>
      <c r="S232" s="219"/>
      <c r="T232" s="332"/>
      <c r="U232" s="219"/>
      <c r="V232" s="332"/>
      <c r="W232" s="242"/>
      <c r="X232" s="332"/>
    </row>
    <row r="233" spans="1:24" ht="13">
      <c r="A233" s="7"/>
      <c r="C233" s="153"/>
      <c r="F233" s="332"/>
      <c r="G233" s="219"/>
      <c r="H233" s="116"/>
      <c r="I233" s="116"/>
      <c r="J233" s="116"/>
      <c r="K233" s="116"/>
      <c r="L233" s="116"/>
      <c r="M233" s="116"/>
      <c r="N233" s="116"/>
      <c r="O233" s="389"/>
      <c r="P233" s="219"/>
      <c r="Q233" s="332"/>
      <c r="R233" s="332"/>
      <c r="S233" s="219"/>
      <c r="T233" s="332"/>
      <c r="U233" s="219"/>
      <c r="V233" s="332"/>
      <c r="W233" s="242"/>
      <c r="X233" s="332"/>
    </row>
    <row r="234" spans="1:24" ht="13">
      <c r="A234" s="7"/>
      <c r="C234" s="153"/>
      <c r="F234" s="332"/>
      <c r="G234" s="219"/>
      <c r="H234" s="116"/>
      <c r="I234" s="116"/>
      <c r="J234" s="116"/>
      <c r="K234" s="116"/>
      <c r="L234" s="116"/>
      <c r="M234" s="116"/>
      <c r="N234" s="116"/>
      <c r="O234" s="389"/>
      <c r="P234" s="219"/>
      <c r="Q234" s="332"/>
      <c r="R234" s="332"/>
      <c r="S234" s="219"/>
      <c r="T234" s="332"/>
      <c r="U234" s="219"/>
      <c r="V234" s="332"/>
      <c r="W234" s="242"/>
      <c r="X234" s="332"/>
    </row>
    <row r="235" spans="1:24" ht="13">
      <c r="A235" s="7"/>
      <c r="C235" s="153"/>
      <c r="F235" s="332"/>
      <c r="G235" s="219"/>
      <c r="H235" s="116"/>
      <c r="I235" s="116"/>
      <c r="J235" s="116"/>
      <c r="K235" s="116"/>
      <c r="L235" s="116"/>
      <c r="M235" s="116"/>
      <c r="N235" s="116"/>
      <c r="O235" s="389"/>
      <c r="P235" s="219"/>
      <c r="Q235" s="332"/>
      <c r="R235" s="332"/>
      <c r="S235" s="219"/>
      <c r="T235" s="332"/>
      <c r="U235" s="219"/>
      <c r="V235" s="332"/>
      <c r="W235" s="242"/>
      <c r="X235" s="332"/>
    </row>
    <row r="236" spans="1:24" ht="13">
      <c r="A236" s="7"/>
      <c r="C236" s="153"/>
      <c r="F236" s="332"/>
      <c r="G236" s="219"/>
      <c r="H236" s="116"/>
      <c r="I236" s="116"/>
      <c r="J236" s="116"/>
      <c r="K236" s="116"/>
      <c r="L236" s="116"/>
      <c r="M236" s="116"/>
      <c r="N236" s="116"/>
      <c r="O236" s="389"/>
      <c r="P236" s="219"/>
      <c r="Q236" s="332"/>
      <c r="R236" s="332"/>
      <c r="S236" s="219"/>
      <c r="T236" s="332"/>
      <c r="U236" s="219"/>
      <c r="V236" s="332"/>
      <c r="W236" s="242"/>
      <c r="X236" s="332"/>
    </row>
    <row r="237" spans="1:24" ht="13">
      <c r="A237" s="7"/>
      <c r="C237" s="153"/>
      <c r="F237" s="332"/>
      <c r="G237" s="219"/>
      <c r="H237" s="116"/>
      <c r="I237" s="116"/>
      <c r="J237" s="116"/>
      <c r="K237" s="116"/>
      <c r="L237" s="116"/>
      <c r="M237" s="116"/>
      <c r="N237" s="116"/>
      <c r="O237" s="389"/>
      <c r="P237" s="219"/>
      <c r="Q237" s="332"/>
      <c r="R237" s="332"/>
      <c r="S237" s="219"/>
      <c r="T237" s="332"/>
      <c r="U237" s="219"/>
      <c r="V237" s="332"/>
      <c r="W237" s="242"/>
      <c r="X237" s="332"/>
    </row>
    <row r="238" spans="1:24" ht="13">
      <c r="A238" s="7"/>
      <c r="C238" s="153"/>
      <c r="F238" s="332"/>
      <c r="G238" s="219"/>
      <c r="H238" s="116"/>
      <c r="I238" s="116"/>
      <c r="J238" s="116"/>
      <c r="K238" s="116"/>
      <c r="L238" s="116"/>
      <c r="M238" s="116"/>
      <c r="N238" s="116"/>
      <c r="O238" s="389"/>
      <c r="P238" s="219"/>
      <c r="Q238" s="332"/>
      <c r="R238" s="332"/>
      <c r="S238" s="219"/>
      <c r="T238" s="332"/>
      <c r="U238" s="219"/>
      <c r="V238" s="332"/>
      <c r="W238" s="242"/>
      <c r="X238" s="332"/>
    </row>
    <row r="239" spans="1:24" ht="13">
      <c r="A239" s="7"/>
      <c r="C239" s="153"/>
      <c r="F239" s="332"/>
      <c r="G239" s="219"/>
      <c r="H239" s="116"/>
      <c r="I239" s="116"/>
      <c r="J239" s="116"/>
      <c r="K239" s="116"/>
      <c r="L239" s="116"/>
      <c r="M239" s="116"/>
      <c r="N239" s="116"/>
      <c r="O239" s="389"/>
      <c r="P239" s="219"/>
      <c r="Q239" s="332"/>
      <c r="R239" s="332"/>
      <c r="S239" s="219"/>
      <c r="T239" s="332"/>
      <c r="U239" s="219"/>
      <c r="V239" s="332"/>
      <c r="W239" s="242"/>
      <c r="X239" s="332"/>
    </row>
    <row r="240" spans="1:24" ht="13">
      <c r="A240" s="7"/>
      <c r="C240" s="153"/>
      <c r="F240" s="332"/>
      <c r="G240" s="219"/>
      <c r="H240" s="116"/>
      <c r="I240" s="116"/>
      <c r="J240" s="116"/>
      <c r="K240" s="116"/>
      <c r="L240" s="116"/>
      <c r="M240" s="116"/>
      <c r="N240" s="116"/>
      <c r="O240" s="389"/>
      <c r="P240" s="219"/>
      <c r="Q240" s="332"/>
      <c r="R240" s="332"/>
      <c r="S240" s="219"/>
      <c r="T240" s="332"/>
      <c r="U240" s="219"/>
      <c r="V240" s="332"/>
      <c r="W240" s="242"/>
      <c r="X240" s="332"/>
    </row>
    <row r="241" spans="1:24" ht="13">
      <c r="A241" s="7"/>
      <c r="C241" s="153"/>
      <c r="F241" s="332"/>
      <c r="G241" s="219"/>
      <c r="H241" s="116"/>
      <c r="I241" s="116"/>
      <c r="J241" s="116"/>
      <c r="K241" s="116"/>
      <c r="L241" s="116"/>
      <c r="M241" s="116"/>
      <c r="N241" s="116"/>
      <c r="O241" s="389"/>
      <c r="P241" s="219"/>
      <c r="Q241" s="332"/>
      <c r="R241" s="332"/>
      <c r="S241" s="219"/>
      <c r="T241" s="332"/>
      <c r="U241" s="219"/>
      <c r="V241" s="332"/>
      <c r="W241" s="242"/>
      <c r="X241" s="332"/>
    </row>
    <row r="242" spans="1:24" ht="13">
      <c r="A242" s="7"/>
      <c r="C242" s="153"/>
      <c r="F242" s="332"/>
      <c r="G242" s="219"/>
      <c r="H242" s="116"/>
      <c r="I242" s="116"/>
      <c r="J242" s="116"/>
      <c r="K242" s="116"/>
      <c r="L242" s="116"/>
      <c r="M242" s="116"/>
      <c r="N242" s="116"/>
      <c r="O242" s="389"/>
      <c r="P242" s="219"/>
      <c r="Q242" s="332"/>
      <c r="R242" s="332"/>
      <c r="S242" s="219"/>
      <c r="T242" s="332"/>
      <c r="U242" s="219"/>
      <c r="V242" s="332"/>
      <c r="W242" s="242"/>
      <c r="X242" s="332"/>
    </row>
    <row r="243" spans="1:24" ht="13">
      <c r="A243" s="7"/>
      <c r="C243" s="153"/>
      <c r="F243" s="332"/>
      <c r="G243" s="219"/>
      <c r="H243" s="116"/>
      <c r="I243" s="116"/>
      <c r="J243" s="116"/>
      <c r="K243" s="116"/>
      <c r="L243" s="116"/>
      <c r="M243" s="116"/>
      <c r="N243" s="116"/>
      <c r="O243" s="389"/>
      <c r="P243" s="219"/>
      <c r="Q243" s="332"/>
      <c r="R243" s="332"/>
      <c r="S243" s="219"/>
      <c r="T243" s="332"/>
      <c r="U243" s="219"/>
      <c r="V243" s="332"/>
      <c r="W243" s="242"/>
      <c r="X243" s="332"/>
    </row>
    <row r="244" spans="1:24" ht="13">
      <c r="A244" s="7"/>
      <c r="C244" s="153"/>
      <c r="F244" s="332"/>
      <c r="G244" s="219"/>
      <c r="H244" s="116"/>
      <c r="I244" s="116"/>
      <c r="J244" s="116"/>
      <c r="K244" s="116"/>
      <c r="L244" s="116"/>
      <c r="M244" s="116"/>
      <c r="N244" s="116"/>
      <c r="O244" s="389"/>
      <c r="P244" s="219"/>
      <c r="Q244" s="332"/>
      <c r="R244" s="332"/>
      <c r="S244" s="219"/>
      <c r="T244" s="332"/>
      <c r="U244" s="219"/>
      <c r="V244" s="332"/>
      <c r="W244" s="242"/>
      <c r="X244" s="332"/>
    </row>
    <row r="245" spans="1:24" ht="13">
      <c r="A245" s="7"/>
      <c r="C245" s="153"/>
      <c r="F245" s="332"/>
      <c r="G245" s="219"/>
      <c r="H245" s="116"/>
      <c r="I245" s="116"/>
      <c r="J245" s="116"/>
      <c r="K245" s="116"/>
      <c r="L245" s="116"/>
      <c r="M245" s="116"/>
      <c r="N245" s="116"/>
      <c r="O245" s="389"/>
      <c r="P245" s="219"/>
      <c r="Q245" s="332"/>
      <c r="R245" s="332"/>
      <c r="S245" s="219"/>
      <c r="T245" s="332"/>
      <c r="U245" s="219"/>
      <c r="V245" s="332"/>
      <c r="W245" s="242"/>
      <c r="X245" s="332"/>
    </row>
    <row r="246" spans="1:24" ht="13">
      <c r="A246" s="7"/>
      <c r="C246" s="153"/>
      <c r="F246" s="332"/>
      <c r="G246" s="219"/>
      <c r="H246" s="116"/>
      <c r="I246" s="116"/>
      <c r="J246" s="116"/>
      <c r="K246" s="116"/>
      <c r="L246" s="116"/>
      <c r="M246" s="116"/>
      <c r="N246" s="116"/>
      <c r="O246" s="389"/>
      <c r="P246" s="219"/>
      <c r="Q246" s="332"/>
      <c r="R246" s="332"/>
      <c r="S246" s="219"/>
      <c r="T246" s="332"/>
      <c r="U246" s="219"/>
      <c r="V246" s="332"/>
      <c r="W246" s="242"/>
      <c r="X246" s="332"/>
    </row>
    <row r="247" spans="1:24" ht="13">
      <c r="A247" s="7"/>
      <c r="C247" s="153"/>
      <c r="F247" s="332"/>
      <c r="G247" s="219"/>
      <c r="H247" s="116"/>
      <c r="I247" s="116"/>
      <c r="J247" s="116"/>
      <c r="K247" s="116"/>
      <c r="L247" s="116"/>
      <c r="M247" s="116"/>
      <c r="N247" s="116"/>
      <c r="O247" s="389"/>
      <c r="P247" s="219"/>
      <c r="Q247" s="332"/>
      <c r="R247" s="332"/>
      <c r="S247" s="219"/>
      <c r="T247" s="332"/>
      <c r="U247" s="219"/>
      <c r="V247" s="332"/>
      <c r="W247" s="242"/>
      <c r="X247" s="332"/>
    </row>
    <row r="248" spans="1:24" ht="13">
      <c r="A248" s="7"/>
      <c r="C248" s="153"/>
      <c r="F248" s="332"/>
      <c r="G248" s="219"/>
      <c r="H248" s="116"/>
      <c r="I248" s="116"/>
      <c r="J248" s="116"/>
      <c r="K248" s="116"/>
      <c r="L248" s="116"/>
      <c r="M248" s="116"/>
      <c r="N248" s="116"/>
      <c r="O248" s="389"/>
      <c r="P248" s="219"/>
      <c r="Q248" s="332"/>
      <c r="R248" s="332"/>
      <c r="S248" s="219"/>
      <c r="T248" s="332"/>
      <c r="U248" s="219"/>
      <c r="V248" s="332"/>
      <c r="W248" s="242"/>
      <c r="X248" s="332"/>
    </row>
    <row r="249" spans="1:24" ht="13">
      <c r="A249" s="7"/>
      <c r="C249" s="153"/>
      <c r="F249" s="332"/>
      <c r="G249" s="219"/>
      <c r="H249" s="116"/>
      <c r="I249" s="116"/>
      <c r="J249" s="116"/>
      <c r="K249" s="116"/>
      <c r="L249" s="116"/>
      <c r="M249" s="116"/>
      <c r="N249" s="116"/>
      <c r="O249" s="389"/>
      <c r="P249" s="219"/>
      <c r="Q249" s="332"/>
      <c r="R249" s="332"/>
      <c r="S249" s="219"/>
      <c r="T249" s="332"/>
      <c r="U249" s="219"/>
      <c r="V249" s="332"/>
      <c r="W249" s="242"/>
      <c r="X249" s="332"/>
    </row>
    <row r="250" spans="1:24" ht="13">
      <c r="A250" s="7"/>
      <c r="C250" s="153"/>
      <c r="F250" s="332"/>
      <c r="G250" s="219"/>
      <c r="H250" s="116"/>
      <c r="I250" s="116"/>
      <c r="J250" s="116"/>
      <c r="K250" s="116"/>
      <c r="L250" s="116"/>
      <c r="M250" s="116"/>
      <c r="N250" s="116"/>
      <c r="O250" s="389"/>
      <c r="P250" s="219"/>
      <c r="Q250" s="332"/>
      <c r="R250" s="332"/>
      <c r="S250" s="219"/>
      <c r="T250" s="332"/>
      <c r="U250" s="219"/>
      <c r="V250" s="332"/>
      <c r="W250" s="242"/>
      <c r="X250" s="332"/>
    </row>
    <row r="251" spans="1:24" ht="13">
      <c r="A251" s="7"/>
      <c r="C251" s="153"/>
      <c r="F251" s="332"/>
      <c r="G251" s="219"/>
      <c r="H251" s="116"/>
      <c r="I251" s="116"/>
      <c r="J251" s="116"/>
      <c r="K251" s="116"/>
      <c r="L251" s="116"/>
      <c r="M251" s="116"/>
      <c r="N251" s="116"/>
      <c r="O251" s="389"/>
      <c r="P251" s="219"/>
      <c r="Q251" s="332"/>
      <c r="R251" s="332"/>
      <c r="S251" s="219"/>
      <c r="T251" s="332"/>
      <c r="U251" s="219"/>
      <c r="V251" s="332"/>
      <c r="W251" s="242"/>
      <c r="X251" s="332"/>
    </row>
    <row r="252" spans="1:24" ht="13">
      <c r="A252" s="7"/>
      <c r="C252" s="153"/>
      <c r="F252" s="332"/>
      <c r="G252" s="219"/>
      <c r="H252" s="116"/>
      <c r="I252" s="116"/>
      <c r="J252" s="116"/>
      <c r="K252" s="116"/>
      <c r="L252" s="116"/>
      <c r="M252" s="116"/>
      <c r="N252" s="116"/>
      <c r="O252" s="389"/>
      <c r="P252" s="219"/>
      <c r="Q252" s="332"/>
      <c r="R252" s="332"/>
      <c r="S252" s="219"/>
      <c r="T252" s="332"/>
      <c r="U252" s="219"/>
      <c r="V252" s="332"/>
      <c r="W252" s="242"/>
      <c r="X252" s="332"/>
    </row>
    <row r="253" spans="1:24" ht="13">
      <c r="A253" s="7"/>
      <c r="C253" s="153"/>
      <c r="F253" s="332"/>
      <c r="G253" s="219"/>
      <c r="H253" s="116"/>
      <c r="I253" s="116"/>
      <c r="J253" s="116"/>
      <c r="K253" s="116"/>
      <c r="L253" s="116"/>
      <c r="M253" s="116"/>
      <c r="N253" s="116"/>
      <c r="O253" s="389"/>
      <c r="P253" s="219"/>
      <c r="Q253" s="332"/>
      <c r="R253" s="332"/>
      <c r="S253" s="219"/>
      <c r="T253" s="332"/>
      <c r="U253" s="219"/>
      <c r="V253" s="332"/>
      <c r="W253" s="242"/>
      <c r="X253" s="332"/>
    </row>
    <row r="254" spans="1:24" ht="13">
      <c r="A254" s="7"/>
      <c r="C254" s="153"/>
      <c r="F254" s="332"/>
      <c r="G254" s="219"/>
      <c r="H254" s="116"/>
      <c r="I254" s="116"/>
      <c r="J254" s="116"/>
      <c r="K254" s="116"/>
      <c r="L254" s="116"/>
      <c r="M254" s="116"/>
      <c r="N254" s="116"/>
      <c r="O254" s="389"/>
      <c r="P254" s="219"/>
      <c r="Q254" s="332"/>
      <c r="R254" s="332"/>
      <c r="S254" s="219"/>
      <c r="T254" s="332"/>
      <c r="U254" s="219"/>
      <c r="V254" s="332"/>
      <c r="W254" s="242"/>
      <c r="X254" s="332"/>
    </row>
    <row r="255" spans="1:24" ht="13">
      <c r="A255" s="7"/>
      <c r="C255" s="153"/>
      <c r="F255" s="332"/>
      <c r="G255" s="219"/>
      <c r="H255" s="116"/>
      <c r="I255" s="116"/>
      <c r="J255" s="116"/>
      <c r="K255" s="116"/>
      <c r="L255" s="116"/>
      <c r="M255" s="116"/>
      <c r="N255" s="116"/>
      <c r="O255" s="389"/>
      <c r="P255" s="219"/>
      <c r="Q255" s="332"/>
      <c r="R255" s="332"/>
      <c r="S255" s="219"/>
      <c r="T255" s="332"/>
      <c r="U255" s="219"/>
      <c r="V255" s="332"/>
      <c r="W255" s="242"/>
      <c r="X255" s="332"/>
    </row>
    <row r="256" spans="1:24" ht="13">
      <c r="A256" s="7"/>
      <c r="C256" s="153"/>
      <c r="F256" s="332"/>
      <c r="G256" s="219"/>
      <c r="H256" s="116"/>
      <c r="I256" s="116"/>
      <c r="J256" s="116"/>
      <c r="K256" s="116"/>
      <c r="L256" s="116"/>
      <c r="M256" s="116"/>
      <c r="N256" s="116"/>
      <c r="O256" s="389"/>
      <c r="P256" s="219"/>
      <c r="Q256" s="332"/>
      <c r="R256" s="332"/>
      <c r="S256" s="219"/>
      <c r="T256" s="332"/>
      <c r="U256" s="219"/>
      <c r="V256" s="332"/>
      <c r="W256" s="242"/>
      <c r="X256" s="332"/>
    </row>
    <row r="257" spans="1:24" ht="13">
      <c r="A257" s="7"/>
      <c r="C257" s="153"/>
      <c r="F257" s="332"/>
      <c r="G257" s="219"/>
      <c r="H257" s="116"/>
      <c r="I257" s="116"/>
      <c r="J257" s="116"/>
      <c r="K257" s="116"/>
      <c r="L257" s="116"/>
      <c r="M257" s="116"/>
      <c r="N257" s="116"/>
      <c r="O257" s="389"/>
      <c r="P257" s="219"/>
      <c r="Q257" s="332"/>
      <c r="R257" s="332"/>
      <c r="S257" s="219"/>
      <c r="T257" s="332"/>
      <c r="U257" s="219"/>
      <c r="V257" s="332"/>
      <c r="W257" s="242"/>
      <c r="X257" s="332"/>
    </row>
    <row r="258" spans="1:24" ht="13">
      <c r="A258" s="7"/>
      <c r="C258" s="153"/>
      <c r="F258" s="332"/>
      <c r="G258" s="219"/>
      <c r="H258" s="116"/>
      <c r="I258" s="116"/>
      <c r="J258" s="116"/>
      <c r="K258" s="116"/>
      <c r="L258" s="116"/>
      <c r="M258" s="116"/>
      <c r="N258" s="116"/>
      <c r="O258" s="389"/>
      <c r="P258" s="219"/>
      <c r="Q258" s="332"/>
      <c r="R258" s="332"/>
      <c r="S258" s="219"/>
      <c r="T258" s="332"/>
      <c r="U258" s="219"/>
      <c r="V258" s="332"/>
      <c r="W258" s="242"/>
      <c r="X258" s="332"/>
    </row>
    <row r="259" spans="1:24" ht="13">
      <c r="A259" s="7"/>
      <c r="C259" s="153"/>
      <c r="F259" s="332"/>
      <c r="G259" s="219"/>
      <c r="H259" s="116"/>
      <c r="I259" s="116"/>
      <c r="J259" s="116"/>
      <c r="K259" s="116"/>
      <c r="L259" s="116"/>
      <c r="M259" s="116"/>
      <c r="N259" s="116"/>
      <c r="O259" s="389"/>
      <c r="P259" s="219"/>
      <c r="Q259" s="332"/>
      <c r="R259" s="332"/>
      <c r="S259" s="219"/>
      <c r="T259" s="332"/>
      <c r="U259" s="219"/>
      <c r="V259" s="332"/>
      <c r="W259" s="242"/>
      <c r="X259" s="332"/>
    </row>
    <row r="260" spans="1:24" ht="13">
      <c r="A260" s="7"/>
      <c r="C260" s="153"/>
      <c r="F260" s="332"/>
      <c r="G260" s="219"/>
      <c r="H260" s="116"/>
      <c r="I260" s="116"/>
      <c r="J260" s="116"/>
      <c r="K260" s="116"/>
      <c r="L260" s="116"/>
      <c r="M260" s="116"/>
      <c r="N260" s="116"/>
      <c r="O260" s="389"/>
      <c r="P260" s="219"/>
      <c r="Q260" s="332"/>
      <c r="R260" s="332"/>
      <c r="S260" s="219"/>
      <c r="T260" s="332"/>
      <c r="U260" s="219"/>
      <c r="V260" s="332"/>
      <c r="W260" s="242"/>
      <c r="X260" s="332"/>
    </row>
    <row r="261" spans="1:24" ht="13">
      <c r="A261" s="7"/>
      <c r="C261" s="153"/>
      <c r="F261" s="332"/>
      <c r="G261" s="219"/>
      <c r="H261" s="116"/>
      <c r="I261" s="116"/>
      <c r="J261" s="116"/>
      <c r="K261" s="116"/>
      <c r="L261" s="116"/>
      <c r="M261" s="116"/>
      <c r="N261" s="116"/>
      <c r="O261" s="389"/>
      <c r="P261" s="219"/>
      <c r="Q261" s="332"/>
      <c r="R261" s="332"/>
      <c r="S261" s="219"/>
      <c r="T261" s="332"/>
      <c r="U261" s="219"/>
      <c r="V261" s="332"/>
      <c r="W261" s="242"/>
      <c r="X261" s="332"/>
    </row>
    <row r="262" spans="1:24" ht="13">
      <c r="A262" s="7"/>
      <c r="C262" s="153"/>
      <c r="F262" s="332"/>
      <c r="G262" s="219"/>
      <c r="H262" s="116"/>
      <c r="I262" s="116"/>
      <c r="J262" s="116"/>
      <c r="K262" s="116"/>
      <c r="L262" s="116"/>
      <c r="M262" s="116"/>
      <c r="N262" s="116"/>
      <c r="O262" s="389"/>
      <c r="P262" s="219"/>
      <c r="Q262" s="332"/>
      <c r="R262" s="332"/>
      <c r="S262" s="219"/>
      <c r="T262" s="332"/>
      <c r="U262" s="219"/>
      <c r="V262" s="332"/>
      <c r="W262" s="242"/>
      <c r="X262" s="332"/>
    </row>
    <row r="263" spans="1:24" ht="13">
      <c r="A263" s="7"/>
      <c r="C263" s="153"/>
      <c r="F263" s="332"/>
      <c r="G263" s="219"/>
      <c r="H263" s="116"/>
      <c r="I263" s="116"/>
      <c r="J263" s="116"/>
      <c r="K263" s="116"/>
      <c r="L263" s="116"/>
      <c r="M263" s="116"/>
      <c r="N263" s="116"/>
      <c r="O263" s="389"/>
      <c r="P263" s="219"/>
      <c r="Q263" s="332"/>
      <c r="R263" s="332"/>
      <c r="S263" s="219"/>
      <c r="T263" s="332"/>
      <c r="U263" s="219"/>
      <c r="V263" s="332"/>
      <c r="W263" s="242"/>
      <c r="X263" s="332"/>
    </row>
    <row r="264" spans="1:24" ht="13">
      <c r="A264" s="7"/>
      <c r="C264" s="153"/>
      <c r="F264" s="332"/>
      <c r="G264" s="219"/>
      <c r="H264" s="116"/>
      <c r="I264" s="116"/>
      <c r="J264" s="116"/>
      <c r="K264" s="116"/>
      <c r="L264" s="116"/>
      <c r="M264" s="116"/>
      <c r="N264" s="116"/>
      <c r="O264" s="389"/>
      <c r="P264" s="219"/>
      <c r="Q264" s="332"/>
      <c r="R264" s="332"/>
      <c r="S264" s="219"/>
      <c r="T264" s="332"/>
      <c r="U264" s="219"/>
      <c r="V264" s="332"/>
      <c r="W264" s="242"/>
      <c r="X264" s="332"/>
    </row>
    <row r="265" spans="1:24" ht="13">
      <c r="A265" s="7"/>
      <c r="C265" s="153"/>
      <c r="F265" s="332"/>
      <c r="G265" s="219"/>
      <c r="H265" s="116"/>
      <c r="I265" s="116"/>
      <c r="J265" s="116"/>
      <c r="K265" s="116"/>
      <c r="L265" s="116"/>
      <c r="M265" s="116"/>
      <c r="N265" s="116"/>
      <c r="O265" s="389"/>
      <c r="P265" s="219"/>
      <c r="Q265" s="332"/>
      <c r="R265" s="332"/>
      <c r="S265" s="219"/>
      <c r="T265" s="332"/>
      <c r="U265" s="219"/>
      <c r="V265" s="332"/>
      <c r="W265" s="242"/>
      <c r="X265" s="332"/>
    </row>
    <row r="266" spans="1:24" ht="13">
      <c r="A266" s="7"/>
      <c r="C266" s="153"/>
      <c r="F266" s="332"/>
      <c r="G266" s="219"/>
      <c r="H266" s="116"/>
      <c r="I266" s="116"/>
      <c r="J266" s="116"/>
      <c r="K266" s="116"/>
      <c r="L266" s="116"/>
      <c r="M266" s="116"/>
      <c r="N266" s="116"/>
      <c r="O266" s="389"/>
      <c r="P266" s="219"/>
      <c r="Q266" s="332"/>
      <c r="R266" s="332"/>
      <c r="S266" s="219"/>
      <c r="T266" s="332"/>
      <c r="U266" s="219"/>
      <c r="V266" s="332"/>
      <c r="W266" s="242"/>
      <c r="X266" s="332"/>
    </row>
    <row r="267" spans="1:24" ht="13">
      <c r="A267" s="7"/>
      <c r="C267" s="153"/>
      <c r="F267" s="332"/>
      <c r="G267" s="219"/>
      <c r="H267" s="116"/>
      <c r="I267" s="116"/>
      <c r="J267" s="116"/>
      <c r="K267" s="116"/>
      <c r="L267" s="116"/>
      <c r="M267" s="116"/>
      <c r="N267" s="116"/>
      <c r="O267" s="389"/>
      <c r="P267" s="219"/>
      <c r="Q267" s="332"/>
      <c r="R267" s="332"/>
      <c r="S267" s="219"/>
      <c r="T267" s="332"/>
      <c r="U267" s="219"/>
      <c r="V267" s="332"/>
      <c r="W267" s="242"/>
      <c r="X267" s="332"/>
    </row>
    <row r="268" spans="1:24" ht="13">
      <c r="A268" s="7"/>
      <c r="C268" s="153"/>
      <c r="F268" s="332"/>
      <c r="G268" s="219"/>
      <c r="H268" s="116"/>
      <c r="I268" s="116"/>
      <c r="J268" s="116"/>
      <c r="K268" s="116"/>
      <c r="L268" s="116"/>
      <c r="M268" s="116"/>
      <c r="N268" s="116"/>
      <c r="O268" s="389"/>
      <c r="P268" s="219"/>
      <c r="Q268" s="332"/>
      <c r="R268" s="332"/>
      <c r="S268" s="219"/>
      <c r="T268" s="332"/>
      <c r="U268" s="219"/>
      <c r="V268" s="332"/>
      <c r="W268" s="242"/>
      <c r="X268" s="332"/>
    </row>
    <row r="269" spans="1:24" ht="13">
      <c r="A269" s="7"/>
      <c r="C269" s="153"/>
      <c r="F269" s="332"/>
      <c r="G269" s="219"/>
      <c r="H269" s="116"/>
      <c r="I269" s="116"/>
      <c r="J269" s="116"/>
      <c r="K269" s="116"/>
      <c r="L269" s="116"/>
      <c r="M269" s="116"/>
      <c r="N269" s="116"/>
      <c r="O269" s="389"/>
      <c r="P269" s="219"/>
      <c r="Q269" s="332"/>
      <c r="R269" s="332"/>
      <c r="S269" s="219"/>
      <c r="T269" s="332"/>
      <c r="U269" s="219"/>
      <c r="V269" s="332"/>
      <c r="W269" s="242"/>
      <c r="X269" s="332"/>
    </row>
    <row r="270" spans="1:24" ht="13">
      <c r="A270" s="7"/>
      <c r="C270" s="153"/>
      <c r="F270" s="332"/>
      <c r="G270" s="219"/>
      <c r="H270" s="116"/>
      <c r="I270" s="116"/>
      <c r="J270" s="116"/>
      <c r="K270" s="116"/>
      <c r="L270" s="116"/>
      <c r="M270" s="116"/>
      <c r="N270" s="116"/>
      <c r="O270" s="389"/>
      <c r="P270" s="219"/>
      <c r="Q270" s="332"/>
      <c r="R270" s="332"/>
      <c r="S270" s="219"/>
      <c r="T270" s="332"/>
      <c r="U270" s="219"/>
      <c r="V270" s="332"/>
      <c r="W270" s="242"/>
      <c r="X270" s="332"/>
    </row>
    <row r="271" spans="1:24" ht="13">
      <c r="A271" s="7"/>
      <c r="C271" s="153"/>
      <c r="F271" s="332"/>
      <c r="G271" s="219"/>
      <c r="H271" s="116"/>
      <c r="I271" s="116"/>
      <c r="J271" s="116"/>
      <c r="K271" s="116"/>
      <c r="L271" s="116"/>
      <c r="M271" s="116"/>
      <c r="N271" s="116"/>
      <c r="O271" s="389"/>
      <c r="P271" s="219"/>
      <c r="Q271" s="332"/>
      <c r="R271" s="332"/>
      <c r="S271" s="219"/>
      <c r="T271" s="332"/>
      <c r="U271" s="219"/>
      <c r="V271" s="332"/>
      <c r="W271" s="242"/>
      <c r="X271" s="332"/>
    </row>
    <row r="272" spans="1:24" ht="13">
      <c r="A272" s="7"/>
      <c r="C272" s="153"/>
      <c r="F272" s="332"/>
      <c r="G272" s="219"/>
      <c r="H272" s="116"/>
      <c r="I272" s="116"/>
      <c r="J272" s="116"/>
      <c r="K272" s="116"/>
      <c r="L272" s="116"/>
      <c r="M272" s="116"/>
      <c r="N272" s="116"/>
      <c r="O272" s="389"/>
      <c r="P272" s="219"/>
      <c r="Q272" s="332"/>
      <c r="R272" s="332"/>
      <c r="S272" s="219"/>
      <c r="T272" s="332"/>
      <c r="U272" s="219"/>
      <c r="V272" s="332"/>
      <c r="W272" s="242"/>
      <c r="X272" s="332"/>
    </row>
    <row r="273" spans="1:24" ht="13">
      <c r="A273" s="7"/>
      <c r="C273" s="153"/>
      <c r="F273" s="332"/>
      <c r="G273" s="219"/>
      <c r="H273" s="116"/>
      <c r="I273" s="116"/>
      <c r="J273" s="116"/>
      <c r="K273" s="116"/>
      <c r="L273" s="116"/>
      <c r="M273" s="116"/>
      <c r="N273" s="116"/>
      <c r="O273" s="389"/>
      <c r="P273" s="219"/>
      <c r="Q273" s="332"/>
      <c r="R273" s="332"/>
      <c r="S273" s="219"/>
      <c r="T273" s="332"/>
      <c r="U273" s="219"/>
      <c r="V273" s="332"/>
      <c r="W273" s="242"/>
      <c r="X273" s="332"/>
    </row>
    <row r="274" spans="1:24" ht="13">
      <c r="A274" s="7"/>
      <c r="C274" s="153"/>
      <c r="F274" s="332"/>
      <c r="G274" s="219"/>
      <c r="H274" s="116"/>
      <c r="I274" s="116"/>
      <c r="J274" s="116"/>
      <c r="K274" s="116"/>
      <c r="L274" s="116"/>
      <c r="M274" s="116"/>
      <c r="N274" s="116"/>
      <c r="O274" s="389"/>
      <c r="P274" s="219"/>
      <c r="Q274" s="332"/>
      <c r="R274" s="332"/>
      <c r="S274" s="219"/>
      <c r="T274" s="332"/>
      <c r="U274" s="219"/>
      <c r="V274" s="332"/>
      <c r="W274" s="242"/>
      <c r="X274" s="332"/>
    </row>
    <row r="275" spans="1:24" ht="13">
      <c r="A275" s="7"/>
      <c r="C275" s="153"/>
      <c r="F275" s="332"/>
      <c r="G275" s="219"/>
      <c r="H275" s="116"/>
      <c r="I275" s="116"/>
      <c r="J275" s="116"/>
      <c r="K275" s="116"/>
      <c r="L275" s="116"/>
      <c r="M275" s="116"/>
      <c r="N275" s="116"/>
      <c r="O275" s="389"/>
      <c r="P275" s="219"/>
      <c r="Q275" s="332"/>
      <c r="R275" s="332"/>
      <c r="S275" s="219"/>
      <c r="T275" s="332"/>
      <c r="U275" s="219"/>
      <c r="V275" s="332"/>
      <c r="W275" s="242"/>
      <c r="X275" s="332"/>
    </row>
    <row r="276" spans="1:24" ht="13">
      <c r="A276" s="7"/>
      <c r="C276" s="153"/>
      <c r="F276" s="332"/>
      <c r="G276" s="219"/>
      <c r="H276" s="116"/>
      <c r="I276" s="116"/>
      <c r="J276" s="116"/>
      <c r="K276" s="116"/>
      <c r="L276" s="116"/>
      <c r="M276" s="116"/>
      <c r="N276" s="116"/>
      <c r="O276" s="389"/>
      <c r="P276" s="219"/>
      <c r="Q276" s="332"/>
      <c r="R276" s="332"/>
      <c r="S276" s="219"/>
      <c r="T276" s="332"/>
      <c r="U276" s="219"/>
      <c r="V276" s="332"/>
      <c r="W276" s="242"/>
      <c r="X276" s="332"/>
    </row>
    <row r="277" spans="1:24" ht="13">
      <c r="A277" s="7"/>
      <c r="C277" s="153"/>
      <c r="F277" s="332"/>
      <c r="G277" s="219"/>
      <c r="H277" s="116"/>
      <c r="I277" s="116"/>
      <c r="J277" s="116"/>
      <c r="K277" s="116"/>
      <c r="L277" s="116"/>
      <c r="M277" s="116"/>
      <c r="N277" s="116"/>
      <c r="O277" s="389"/>
      <c r="P277" s="219"/>
      <c r="Q277" s="332"/>
      <c r="R277" s="332"/>
      <c r="S277" s="219"/>
      <c r="T277" s="332"/>
      <c r="U277" s="219"/>
      <c r="V277" s="332"/>
      <c r="W277" s="242"/>
      <c r="X277" s="332"/>
    </row>
    <row r="278" spans="1:24" ht="13">
      <c r="A278" s="7"/>
      <c r="C278" s="153"/>
      <c r="F278" s="332"/>
      <c r="G278" s="219"/>
      <c r="H278" s="116"/>
      <c r="I278" s="116"/>
      <c r="J278" s="116"/>
      <c r="K278" s="116"/>
      <c r="L278" s="116"/>
      <c r="M278" s="116"/>
      <c r="N278" s="116"/>
      <c r="O278" s="389"/>
      <c r="P278" s="219"/>
      <c r="Q278" s="332"/>
      <c r="R278" s="332"/>
      <c r="S278" s="219"/>
      <c r="T278" s="332"/>
      <c r="U278" s="219"/>
      <c r="V278" s="332"/>
      <c r="W278" s="242"/>
      <c r="X278" s="332"/>
    </row>
    <row r="279" spans="1:24" ht="13">
      <c r="A279" s="7"/>
      <c r="C279" s="153"/>
      <c r="F279" s="332"/>
      <c r="G279" s="219"/>
      <c r="H279" s="116"/>
      <c r="I279" s="116"/>
      <c r="J279" s="116"/>
      <c r="K279" s="116"/>
      <c r="L279" s="116"/>
      <c r="M279" s="116"/>
      <c r="N279" s="116"/>
      <c r="O279" s="389"/>
      <c r="P279" s="219"/>
      <c r="Q279" s="332"/>
      <c r="R279" s="332"/>
      <c r="S279" s="219"/>
      <c r="T279" s="332"/>
      <c r="U279" s="219"/>
      <c r="V279" s="332"/>
      <c r="W279" s="242"/>
      <c r="X279" s="332"/>
    </row>
    <row r="280" spans="1:24" ht="13">
      <c r="A280" s="7"/>
      <c r="C280" s="153"/>
      <c r="F280" s="332"/>
      <c r="G280" s="219"/>
      <c r="H280" s="116"/>
      <c r="I280" s="116"/>
      <c r="J280" s="116"/>
      <c r="K280" s="116"/>
      <c r="L280" s="116"/>
      <c r="M280" s="116"/>
      <c r="N280" s="116"/>
      <c r="O280" s="389"/>
      <c r="P280" s="219"/>
      <c r="Q280" s="332"/>
      <c r="R280" s="332"/>
      <c r="S280" s="219"/>
      <c r="T280" s="332"/>
      <c r="U280" s="219"/>
      <c r="V280" s="332"/>
      <c r="W280" s="242"/>
      <c r="X280" s="332"/>
    </row>
    <row r="281" spans="1:24" ht="13">
      <c r="A281" s="7"/>
      <c r="C281" s="153"/>
      <c r="F281" s="332"/>
      <c r="G281" s="219"/>
      <c r="H281" s="116"/>
      <c r="I281" s="116"/>
      <c r="J281" s="116"/>
      <c r="K281" s="116"/>
      <c r="L281" s="116"/>
      <c r="M281" s="116"/>
      <c r="N281" s="116"/>
      <c r="O281" s="389"/>
      <c r="P281" s="219"/>
      <c r="Q281" s="332"/>
      <c r="R281" s="332"/>
      <c r="S281" s="219"/>
      <c r="T281" s="332"/>
      <c r="U281" s="219"/>
      <c r="V281" s="332"/>
      <c r="W281" s="242"/>
      <c r="X281" s="332"/>
    </row>
    <row r="282" spans="1:24" ht="13">
      <c r="A282" s="7"/>
      <c r="C282" s="153"/>
      <c r="F282" s="332"/>
      <c r="G282" s="219"/>
      <c r="H282" s="116"/>
      <c r="I282" s="116"/>
      <c r="J282" s="116"/>
      <c r="K282" s="116"/>
      <c r="L282" s="116"/>
      <c r="M282" s="116"/>
      <c r="N282" s="116"/>
      <c r="O282" s="389"/>
      <c r="P282" s="219"/>
      <c r="Q282" s="332"/>
      <c r="R282" s="332"/>
      <c r="S282" s="219"/>
      <c r="T282" s="332"/>
      <c r="U282" s="219"/>
      <c r="V282" s="332"/>
      <c r="W282" s="242"/>
      <c r="X282" s="332"/>
    </row>
    <row r="283" spans="1:24" ht="13">
      <c r="A283" s="7"/>
      <c r="C283" s="153"/>
      <c r="F283" s="332"/>
      <c r="G283" s="219"/>
      <c r="H283" s="116"/>
      <c r="I283" s="116"/>
      <c r="J283" s="116"/>
      <c r="K283" s="116"/>
      <c r="L283" s="116"/>
      <c r="M283" s="116"/>
      <c r="N283" s="116"/>
      <c r="O283" s="389"/>
      <c r="P283" s="219"/>
      <c r="Q283" s="332"/>
      <c r="R283" s="332"/>
      <c r="S283" s="219"/>
      <c r="T283" s="332"/>
      <c r="U283" s="219"/>
      <c r="V283" s="332"/>
      <c r="W283" s="242"/>
      <c r="X283" s="332"/>
    </row>
    <row r="284" spans="1:24" ht="13">
      <c r="A284" s="7"/>
      <c r="C284" s="153"/>
      <c r="F284" s="332"/>
      <c r="G284" s="219"/>
      <c r="H284" s="116"/>
      <c r="I284" s="116"/>
      <c r="J284" s="116"/>
      <c r="K284" s="116"/>
      <c r="L284" s="116"/>
      <c r="M284" s="116"/>
      <c r="N284" s="116"/>
      <c r="O284" s="389"/>
      <c r="P284" s="219"/>
      <c r="Q284" s="332"/>
      <c r="R284" s="332"/>
      <c r="S284" s="219"/>
      <c r="T284" s="332"/>
      <c r="U284" s="219"/>
      <c r="V284" s="332"/>
      <c r="W284" s="242"/>
      <c r="X284" s="332"/>
    </row>
    <row r="285" spans="1:24" ht="13">
      <c r="A285" s="7"/>
      <c r="C285" s="153"/>
      <c r="F285" s="332"/>
      <c r="G285" s="219"/>
      <c r="H285" s="116"/>
      <c r="I285" s="116"/>
      <c r="J285" s="116"/>
      <c r="K285" s="116"/>
      <c r="L285" s="116"/>
      <c r="M285" s="116"/>
      <c r="N285" s="116"/>
      <c r="O285" s="389"/>
      <c r="P285" s="219"/>
      <c r="Q285" s="332"/>
      <c r="R285" s="332"/>
      <c r="S285" s="219"/>
      <c r="T285" s="332"/>
      <c r="U285" s="219"/>
      <c r="V285" s="332"/>
      <c r="W285" s="242"/>
      <c r="X285" s="332"/>
    </row>
    <row r="286" spans="1:24" ht="13">
      <c r="A286" s="7"/>
      <c r="C286" s="153"/>
      <c r="F286" s="332"/>
      <c r="G286" s="219"/>
      <c r="H286" s="116"/>
      <c r="I286" s="116"/>
      <c r="J286" s="116"/>
      <c r="K286" s="116"/>
      <c r="L286" s="116"/>
      <c r="M286" s="116"/>
      <c r="N286" s="116"/>
      <c r="O286" s="389"/>
      <c r="P286" s="219"/>
      <c r="Q286" s="332"/>
      <c r="R286" s="332"/>
      <c r="S286" s="219"/>
      <c r="T286" s="332"/>
      <c r="U286" s="219"/>
      <c r="V286" s="332"/>
      <c r="W286" s="242"/>
      <c r="X286" s="332"/>
    </row>
    <row r="287" spans="1:24" ht="13">
      <c r="A287" s="7"/>
      <c r="C287" s="153"/>
      <c r="F287" s="332"/>
      <c r="G287" s="219"/>
      <c r="H287" s="116"/>
      <c r="I287" s="116"/>
      <c r="J287" s="116"/>
      <c r="K287" s="116"/>
      <c r="L287" s="116"/>
      <c r="M287" s="116"/>
      <c r="N287" s="116"/>
      <c r="O287" s="389"/>
      <c r="P287" s="219"/>
      <c r="Q287" s="332"/>
      <c r="R287" s="332"/>
      <c r="S287" s="219"/>
      <c r="T287" s="332"/>
      <c r="U287" s="219"/>
      <c r="V287" s="332"/>
      <c r="W287" s="242"/>
      <c r="X287" s="332"/>
    </row>
    <row r="288" spans="1:24" ht="13">
      <c r="A288" s="7"/>
      <c r="C288" s="153"/>
      <c r="F288" s="332"/>
      <c r="G288" s="219"/>
      <c r="H288" s="116"/>
      <c r="I288" s="116"/>
      <c r="J288" s="116"/>
      <c r="K288" s="116"/>
      <c r="L288" s="116"/>
      <c r="M288" s="116"/>
      <c r="N288" s="116"/>
      <c r="O288" s="389"/>
      <c r="P288" s="219"/>
      <c r="Q288" s="332"/>
      <c r="R288" s="332"/>
      <c r="S288" s="219"/>
      <c r="T288" s="332"/>
      <c r="U288" s="219"/>
      <c r="V288" s="332"/>
      <c r="W288" s="242"/>
      <c r="X288" s="332"/>
    </row>
    <row r="289" spans="1:24" ht="13">
      <c r="A289" s="7"/>
      <c r="C289" s="153"/>
      <c r="F289" s="332"/>
      <c r="G289" s="219"/>
      <c r="H289" s="116"/>
      <c r="I289" s="116"/>
      <c r="J289" s="116"/>
      <c r="K289" s="116"/>
      <c r="L289" s="116"/>
      <c r="M289" s="116"/>
      <c r="N289" s="116"/>
      <c r="O289" s="389"/>
      <c r="P289" s="219"/>
      <c r="Q289" s="332"/>
      <c r="R289" s="332"/>
      <c r="S289" s="219"/>
      <c r="T289" s="332"/>
      <c r="U289" s="219"/>
      <c r="V289" s="332"/>
      <c r="W289" s="242"/>
      <c r="X289" s="332"/>
    </row>
    <row r="290" spans="1:24" ht="13">
      <c r="A290" s="7"/>
      <c r="C290" s="153"/>
      <c r="F290" s="332"/>
      <c r="G290" s="219"/>
      <c r="H290" s="116"/>
      <c r="I290" s="116"/>
      <c r="J290" s="116"/>
      <c r="K290" s="116"/>
      <c r="L290" s="116"/>
      <c r="M290" s="116"/>
      <c r="N290" s="116"/>
      <c r="O290" s="389"/>
      <c r="P290" s="219"/>
      <c r="Q290" s="332"/>
      <c r="R290" s="332"/>
      <c r="S290" s="219"/>
      <c r="T290" s="332"/>
      <c r="U290" s="219"/>
      <c r="V290" s="332"/>
      <c r="W290" s="242"/>
      <c r="X290" s="332"/>
    </row>
    <row r="291" spans="1:24" ht="13">
      <c r="A291" s="7"/>
      <c r="C291" s="153"/>
      <c r="F291" s="332"/>
      <c r="G291" s="219"/>
      <c r="H291" s="116"/>
      <c r="I291" s="116"/>
      <c r="J291" s="116"/>
      <c r="K291" s="116"/>
      <c r="L291" s="116"/>
      <c r="M291" s="116"/>
      <c r="N291" s="116"/>
      <c r="O291" s="389"/>
      <c r="P291" s="219"/>
      <c r="Q291" s="332"/>
      <c r="R291" s="332"/>
      <c r="S291" s="219"/>
      <c r="T291" s="332"/>
      <c r="U291" s="219"/>
      <c r="V291" s="332"/>
      <c r="W291" s="242"/>
      <c r="X291" s="332"/>
    </row>
    <row r="292" spans="1:24" ht="13">
      <c r="A292" s="7"/>
      <c r="C292" s="153"/>
      <c r="F292" s="332"/>
      <c r="G292" s="219"/>
      <c r="H292" s="116"/>
      <c r="I292" s="116"/>
      <c r="J292" s="116"/>
      <c r="K292" s="116"/>
      <c r="L292" s="116"/>
      <c r="M292" s="116"/>
      <c r="N292" s="116"/>
      <c r="O292" s="389"/>
      <c r="P292" s="219"/>
      <c r="Q292" s="332"/>
      <c r="R292" s="332"/>
      <c r="S292" s="219"/>
      <c r="T292" s="332"/>
      <c r="U292" s="219"/>
      <c r="V292" s="332"/>
      <c r="W292" s="242"/>
      <c r="X292" s="332"/>
    </row>
    <row r="293" spans="1:24" ht="13">
      <c r="A293" s="7"/>
      <c r="C293" s="153"/>
      <c r="F293" s="332"/>
      <c r="G293" s="219"/>
      <c r="H293" s="116"/>
      <c r="I293" s="116"/>
      <c r="J293" s="116"/>
      <c r="K293" s="116"/>
      <c r="L293" s="116"/>
      <c r="M293" s="116"/>
      <c r="N293" s="116"/>
      <c r="O293" s="389"/>
      <c r="P293" s="219"/>
      <c r="Q293" s="332"/>
      <c r="R293" s="332"/>
      <c r="S293" s="219"/>
      <c r="T293" s="332"/>
      <c r="U293" s="219"/>
      <c r="V293" s="332"/>
      <c r="W293" s="242"/>
      <c r="X293" s="332"/>
    </row>
    <row r="294" spans="1:24" ht="13">
      <c r="A294" s="7"/>
      <c r="C294" s="153"/>
      <c r="F294" s="332"/>
      <c r="G294" s="219"/>
      <c r="H294" s="116"/>
      <c r="I294" s="116"/>
      <c r="J294" s="116"/>
      <c r="K294" s="116"/>
      <c r="L294" s="116"/>
      <c r="M294" s="116"/>
      <c r="N294" s="116"/>
      <c r="O294" s="389"/>
      <c r="P294" s="219"/>
      <c r="Q294" s="332"/>
      <c r="R294" s="332"/>
      <c r="S294" s="219"/>
      <c r="T294" s="332"/>
      <c r="U294" s="219"/>
      <c r="V294" s="332"/>
      <c r="W294" s="242"/>
      <c r="X294" s="332"/>
    </row>
    <row r="295" spans="1:24" ht="13">
      <c r="A295" s="7"/>
      <c r="C295" s="153"/>
      <c r="F295" s="332"/>
      <c r="G295" s="219"/>
      <c r="H295" s="116"/>
      <c r="I295" s="116"/>
      <c r="J295" s="116"/>
      <c r="K295" s="116"/>
      <c r="L295" s="116"/>
      <c r="M295" s="116"/>
      <c r="N295" s="116"/>
      <c r="O295" s="389"/>
      <c r="P295" s="219"/>
      <c r="Q295" s="332"/>
      <c r="R295" s="332"/>
      <c r="S295" s="219"/>
      <c r="T295" s="332"/>
      <c r="U295" s="219"/>
      <c r="V295" s="332"/>
      <c r="W295" s="242"/>
      <c r="X295" s="332"/>
    </row>
    <row r="296" spans="1:24" ht="13">
      <c r="A296" s="7"/>
      <c r="C296" s="153"/>
      <c r="F296" s="332"/>
      <c r="G296" s="219"/>
      <c r="H296" s="116"/>
      <c r="I296" s="116"/>
      <c r="J296" s="116"/>
      <c r="K296" s="116"/>
      <c r="L296" s="116"/>
      <c r="M296" s="116"/>
      <c r="N296" s="116"/>
      <c r="O296" s="389"/>
      <c r="P296" s="219"/>
      <c r="Q296" s="332"/>
      <c r="R296" s="332"/>
      <c r="S296" s="219"/>
      <c r="T296" s="332"/>
      <c r="U296" s="219"/>
      <c r="V296" s="332"/>
      <c r="W296" s="242"/>
      <c r="X296" s="332"/>
    </row>
    <row r="297" spans="1:24" ht="13">
      <c r="A297" s="7"/>
      <c r="C297" s="153"/>
      <c r="F297" s="332"/>
      <c r="G297" s="219"/>
      <c r="H297" s="116"/>
      <c r="I297" s="116"/>
      <c r="J297" s="116"/>
      <c r="K297" s="116"/>
      <c r="L297" s="116"/>
      <c r="M297" s="116"/>
      <c r="N297" s="116"/>
      <c r="O297" s="389"/>
      <c r="P297" s="219"/>
      <c r="Q297" s="332"/>
      <c r="R297" s="332"/>
      <c r="S297" s="219"/>
      <c r="T297" s="332"/>
      <c r="U297" s="219"/>
      <c r="V297" s="332"/>
      <c r="W297" s="242"/>
      <c r="X297" s="332"/>
    </row>
    <row r="298" spans="1:24" ht="13">
      <c r="A298" s="7"/>
      <c r="C298" s="153"/>
      <c r="F298" s="332"/>
      <c r="G298" s="219"/>
      <c r="H298" s="116"/>
      <c r="I298" s="116"/>
      <c r="J298" s="116"/>
      <c r="K298" s="116"/>
      <c r="L298" s="116"/>
      <c r="M298" s="116"/>
      <c r="N298" s="116"/>
      <c r="O298" s="389"/>
      <c r="P298" s="219"/>
      <c r="Q298" s="332"/>
      <c r="R298" s="332"/>
      <c r="S298" s="219"/>
      <c r="T298" s="332"/>
      <c r="U298" s="219"/>
      <c r="V298" s="332"/>
      <c r="W298" s="242"/>
      <c r="X298" s="332"/>
    </row>
    <row r="299" spans="1:24" ht="13">
      <c r="A299" s="7"/>
      <c r="C299" s="153"/>
      <c r="F299" s="332"/>
      <c r="G299" s="219"/>
      <c r="H299" s="116"/>
      <c r="I299" s="116"/>
      <c r="J299" s="116"/>
      <c r="K299" s="116"/>
      <c r="L299" s="116"/>
      <c r="M299" s="116"/>
      <c r="N299" s="116"/>
      <c r="O299" s="389"/>
      <c r="P299" s="219"/>
      <c r="Q299" s="332"/>
      <c r="R299" s="332"/>
      <c r="S299" s="219"/>
      <c r="T299" s="332"/>
      <c r="U299" s="219"/>
      <c r="V299" s="332"/>
      <c r="W299" s="242"/>
      <c r="X299" s="332"/>
    </row>
    <row r="300" spans="1:24" ht="13">
      <c r="A300" s="7"/>
      <c r="C300" s="153"/>
      <c r="F300" s="332"/>
      <c r="G300" s="219"/>
      <c r="H300" s="116"/>
      <c r="I300" s="116"/>
      <c r="J300" s="116"/>
      <c r="K300" s="116"/>
      <c r="L300" s="116"/>
      <c r="M300" s="116"/>
      <c r="N300" s="116"/>
      <c r="O300" s="389"/>
      <c r="P300" s="219"/>
      <c r="Q300" s="332"/>
      <c r="R300" s="332"/>
      <c r="S300" s="219"/>
      <c r="T300" s="332"/>
      <c r="U300" s="219"/>
      <c r="V300" s="332"/>
      <c r="W300" s="242"/>
      <c r="X300" s="332"/>
    </row>
    <row r="301" spans="1:24" ht="13">
      <c r="A301" s="7"/>
      <c r="C301" s="153"/>
      <c r="F301" s="332"/>
      <c r="G301" s="219"/>
      <c r="H301" s="116"/>
      <c r="I301" s="116"/>
      <c r="J301" s="116"/>
      <c r="K301" s="116"/>
      <c r="L301" s="116"/>
      <c r="M301" s="116"/>
      <c r="N301" s="116"/>
      <c r="O301" s="389"/>
      <c r="P301" s="219"/>
      <c r="Q301" s="332"/>
      <c r="R301" s="332"/>
      <c r="S301" s="219"/>
      <c r="T301" s="332"/>
      <c r="U301" s="219"/>
      <c r="V301" s="332"/>
      <c r="W301" s="242"/>
      <c r="X301" s="332"/>
    </row>
    <row r="302" spans="1:24" ht="13">
      <c r="A302" s="7"/>
      <c r="C302" s="153"/>
      <c r="F302" s="332"/>
      <c r="G302" s="219"/>
      <c r="H302" s="116"/>
      <c r="I302" s="116"/>
      <c r="J302" s="116"/>
      <c r="K302" s="116"/>
      <c r="L302" s="116"/>
      <c r="M302" s="116"/>
      <c r="N302" s="116"/>
      <c r="O302" s="389"/>
      <c r="P302" s="219"/>
      <c r="Q302" s="332"/>
      <c r="R302" s="332"/>
      <c r="S302" s="219"/>
      <c r="T302" s="332"/>
      <c r="U302" s="219"/>
      <c r="V302" s="332"/>
      <c r="W302" s="242"/>
      <c r="X302" s="332"/>
    </row>
    <row r="303" spans="1:24" ht="13">
      <c r="A303" s="7"/>
      <c r="C303" s="153"/>
      <c r="F303" s="332"/>
      <c r="G303" s="219"/>
      <c r="H303" s="116"/>
      <c r="I303" s="116"/>
      <c r="J303" s="116"/>
      <c r="K303" s="116"/>
      <c r="L303" s="116"/>
      <c r="M303" s="116"/>
      <c r="N303" s="116"/>
      <c r="O303" s="389"/>
      <c r="P303" s="219"/>
      <c r="Q303" s="332"/>
      <c r="R303" s="332"/>
      <c r="S303" s="219"/>
      <c r="T303" s="332"/>
      <c r="U303" s="219"/>
      <c r="V303" s="332"/>
      <c r="W303" s="242"/>
      <c r="X303" s="332"/>
    </row>
    <row r="304" spans="1:24" ht="13">
      <c r="A304" s="7"/>
      <c r="C304" s="153"/>
      <c r="F304" s="332"/>
      <c r="G304" s="219"/>
      <c r="H304" s="116"/>
      <c r="I304" s="116"/>
      <c r="J304" s="116"/>
      <c r="K304" s="116"/>
      <c r="L304" s="116"/>
      <c r="M304" s="116"/>
      <c r="N304" s="116"/>
      <c r="O304" s="389"/>
      <c r="P304" s="219"/>
      <c r="Q304" s="332"/>
      <c r="R304" s="332"/>
      <c r="S304" s="219"/>
      <c r="T304" s="332"/>
      <c r="U304" s="219"/>
      <c r="V304" s="332"/>
      <c r="W304" s="242"/>
      <c r="X304" s="332"/>
    </row>
    <row r="305" spans="1:24" ht="13">
      <c r="A305" s="7"/>
      <c r="C305" s="153"/>
      <c r="F305" s="332"/>
      <c r="G305" s="219"/>
      <c r="H305" s="116"/>
      <c r="I305" s="116"/>
      <c r="J305" s="116"/>
      <c r="K305" s="116"/>
      <c r="L305" s="116"/>
      <c r="M305" s="116"/>
      <c r="N305" s="116"/>
      <c r="O305" s="389"/>
      <c r="P305" s="219"/>
      <c r="Q305" s="332"/>
      <c r="R305" s="332"/>
      <c r="S305" s="219"/>
      <c r="T305" s="332"/>
      <c r="U305" s="219"/>
      <c r="V305" s="332"/>
      <c r="W305" s="242"/>
      <c r="X305" s="332"/>
    </row>
    <row r="306" spans="1:24" ht="13">
      <c r="A306" s="7"/>
      <c r="C306" s="153"/>
      <c r="F306" s="332"/>
      <c r="G306" s="219"/>
      <c r="H306" s="116"/>
      <c r="I306" s="116"/>
      <c r="J306" s="116"/>
      <c r="K306" s="116"/>
      <c r="L306" s="116"/>
      <c r="M306" s="116"/>
      <c r="N306" s="116"/>
      <c r="O306" s="389"/>
      <c r="P306" s="219"/>
      <c r="Q306" s="332"/>
      <c r="R306" s="332"/>
      <c r="S306" s="219"/>
      <c r="T306" s="332"/>
      <c r="U306" s="219"/>
      <c r="V306" s="332"/>
      <c r="W306" s="242"/>
      <c r="X306" s="332"/>
    </row>
    <row r="307" spans="1:24" ht="13">
      <c r="A307" s="7"/>
      <c r="C307" s="153"/>
      <c r="F307" s="332"/>
      <c r="G307" s="219"/>
      <c r="H307" s="116"/>
      <c r="I307" s="116"/>
      <c r="J307" s="116"/>
      <c r="K307" s="116"/>
      <c r="L307" s="116"/>
      <c r="M307" s="116"/>
      <c r="N307" s="116"/>
      <c r="O307" s="389"/>
      <c r="P307" s="219"/>
      <c r="Q307" s="332"/>
      <c r="R307" s="332"/>
      <c r="S307" s="219"/>
      <c r="T307" s="332"/>
      <c r="U307" s="219"/>
      <c r="V307" s="332"/>
      <c r="W307" s="242"/>
      <c r="X307" s="332"/>
    </row>
    <row r="308" spans="1:24" ht="13">
      <c r="A308" s="7"/>
      <c r="C308" s="153"/>
      <c r="F308" s="332"/>
      <c r="G308" s="219"/>
      <c r="H308" s="116"/>
      <c r="I308" s="116"/>
      <c r="J308" s="116"/>
      <c r="K308" s="116"/>
      <c r="L308" s="116"/>
      <c r="M308" s="116"/>
      <c r="N308" s="116"/>
      <c r="O308" s="389"/>
      <c r="P308" s="219"/>
      <c r="Q308" s="332"/>
      <c r="R308" s="332"/>
      <c r="S308" s="219"/>
      <c r="T308" s="332"/>
      <c r="U308" s="219"/>
      <c r="V308" s="332"/>
      <c r="W308" s="242"/>
      <c r="X308" s="332"/>
    </row>
    <row r="309" spans="1:24" ht="13">
      <c r="A309" s="7"/>
      <c r="C309" s="153"/>
      <c r="F309" s="332"/>
      <c r="G309" s="219"/>
      <c r="H309" s="116"/>
      <c r="I309" s="116"/>
      <c r="J309" s="116"/>
      <c r="K309" s="116"/>
      <c r="L309" s="116"/>
      <c r="M309" s="116"/>
      <c r="N309" s="116"/>
      <c r="O309" s="389"/>
      <c r="P309" s="219"/>
      <c r="Q309" s="332"/>
      <c r="R309" s="332"/>
      <c r="S309" s="219"/>
      <c r="T309" s="332"/>
      <c r="U309" s="219"/>
      <c r="V309" s="332"/>
      <c r="W309" s="242"/>
      <c r="X309" s="332"/>
    </row>
    <row r="310" spans="1:24" ht="13">
      <c r="A310" s="7"/>
      <c r="C310" s="153"/>
      <c r="F310" s="332"/>
      <c r="G310" s="219"/>
      <c r="H310" s="116"/>
      <c r="I310" s="116"/>
      <c r="J310" s="116"/>
      <c r="K310" s="116"/>
      <c r="L310" s="116"/>
      <c r="M310" s="116"/>
      <c r="N310" s="116"/>
      <c r="O310" s="389"/>
      <c r="P310" s="219"/>
      <c r="Q310" s="332"/>
      <c r="R310" s="332"/>
      <c r="S310" s="219"/>
      <c r="T310" s="332"/>
      <c r="U310" s="219"/>
      <c r="V310" s="332"/>
      <c r="W310" s="242"/>
      <c r="X310" s="332"/>
    </row>
    <row r="311" spans="1:24" ht="13">
      <c r="A311" s="7"/>
      <c r="C311" s="153"/>
      <c r="F311" s="332"/>
      <c r="G311" s="219"/>
      <c r="H311" s="116"/>
      <c r="I311" s="116"/>
      <c r="J311" s="116"/>
      <c r="K311" s="116"/>
      <c r="L311" s="116"/>
      <c r="M311" s="116"/>
      <c r="N311" s="116"/>
      <c r="O311" s="389"/>
      <c r="P311" s="219"/>
      <c r="Q311" s="332"/>
      <c r="R311" s="332"/>
      <c r="S311" s="219"/>
      <c r="T311" s="332"/>
      <c r="U311" s="219"/>
      <c r="V311" s="332"/>
      <c r="W311" s="242"/>
      <c r="X311" s="332"/>
    </row>
    <row r="312" spans="1:24" ht="13">
      <c r="A312" s="7"/>
      <c r="C312" s="153"/>
      <c r="F312" s="332"/>
      <c r="G312" s="219"/>
      <c r="H312" s="116"/>
      <c r="I312" s="116"/>
      <c r="J312" s="116"/>
      <c r="K312" s="116"/>
      <c r="L312" s="116"/>
      <c r="M312" s="116"/>
      <c r="N312" s="116"/>
      <c r="O312" s="389"/>
      <c r="P312" s="219"/>
      <c r="Q312" s="332"/>
      <c r="R312" s="332"/>
      <c r="S312" s="219"/>
      <c r="T312" s="332"/>
      <c r="U312" s="219"/>
      <c r="V312" s="332"/>
      <c r="W312" s="242"/>
      <c r="X312" s="332"/>
    </row>
    <row r="313" spans="1:24" ht="13">
      <c r="A313" s="7"/>
      <c r="C313" s="153"/>
      <c r="F313" s="332"/>
      <c r="G313" s="219"/>
      <c r="H313" s="116"/>
      <c r="I313" s="116"/>
      <c r="J313" s="116"/>
      <c r="K313" s="116"/>
      <c r="L313" s="116"/>
      <c r="M313" s="116"/>
      <c r="N313" s="116"/>
      <c r="O313" s="389"/>
      <c r="P313" s="219"/>
      <c r="Q313" s="332"/>
      <c r="R313" s="332"/>
      <c r="S313" s="219"/>
      <c r="T313" s="332"/>
      <c r="U313" s="219"/>
      <c r="V313" s="332"/>
      <c r="W313" s="242"/>
      <c r="X313" s="332"/>
    </row>
    <row r="314" spans="1:24" ht="13">
      <c r="A314" s="7"/>
      <c r="C314" s="153"/>
      <c r="F314" s="332"/>
      <c r="G314" s="219"/>
      <c r="H314" s="116"/>
      <c r="I314" s="116"/>
      <c r="J314" s="116"/>
      <c r="K314" s="116"/>
      <c r="L314" s="116"/>
      <c r="M314" s="116"/>
      <c r="N314" s="116"/>
      <c r="O314" s="389"/>
      <c r="P314" s="219"/>
      <c r="Q314" s="332"/>
      <c r="R314" s="332"/>
      <c r="S314" s="219"/>
      <c r="T314" s="332"/>
      <c r="U314" s="219"/>
      <c r="V314" s="332"/>
      <c r="W314" s="242"/>
      <c r="X314" s="332"/>
    </row>
    <row r="315" spans="1:24" ht="13">
      <c r="A315" s="7"/>
      <c r="C315" s="153"/>
      <c r="F315" s="332"/>
      <c r="G315" s="219"/>
      <c r="H315" s="116"/>
      <c r="I315" s="116"/>
      <c r="J315" s="116"/>
      <c r="K315" s="116"/>
      <c r="L315" s="116"/>
      <c r="M315" s="116"/>
      <c r="N315" s="116"/>
      <c r="O315" s="389"/>
      <c r="P315" s="219"/>
      <c r="Q315" s="332"/>
      <c r="R315" s="332"/>
      <c r="S315" s="219"/>
      <c r="T315" s="332"/>
      <c r="U315" s="219"/>
      <c r="V315" s="332"/>
      <c r="W315" s="242"/>
      <c r="X315" s="332"/>
    </row>
    <row r="316" spans="1:24" ht="13">
      <c r="A316" s="7"/>
      <c r="C316" s="153"/>
      <c r="F316" s="332"/>
      <c r="G316" s="219"/>
      <c r="H316" s="116"/>
      <c r="I316" s="116"/>
      <c r="J316" s="116"/>
      <c r="K316" s="116"/>
      <c r="L316" s="116"/>
      <c r="M316" s="116"/>
      <c r="N316" s="116"/>
      <c r="O316" s="389"/>
      <c r="P316" s="219"/>
      <c r="Q316" s="332"/>
      <c r="R316" s="332"/>
      <c r="S316" s="219"/>
      <c r="T316" s="332"/>
      <c r="U316" s="219"/>
      <c r="V316" s="332"/>
      <c r="W316" s="242"/>
      <c r="X316" s="332"/>
    </row>
    <row r="317" spans="1:24" ht="13">
      <c r="A317" s="7"/>
      <c r="C317" s="153"/>
      <c r="F317" s="332"/>
      <c r="G317" s="219"/>
      <c r="H317" s="116"/>
      <c r="I317" s="116"/>
      <c r="J317" s="116"/>
      <c r="K317" s="116"/>
      <c r="L317" s="116"/>
      <c r="M317" s="116"/>
      <c r="N317" s="116"/>
      <c r="O317" s="389"/>
      <c r="P317" s="219"/>
      <c r="Q317" s="332"/>
      <c r="R317" s="332"/>
      <c r="S317" s="219"/>
      <c r="T317" s="332"/>
      <c r="U317" s="219"/>
      <c r="V317" s="332"/>
      <c r="W317" s="242"/>
      <c r="X317" s="332"/>
    </row>
    <row r="318" spans="1:24" ht="13">
      <c r="A318" s="7"/>
      <c r="C318" s="153"/>
      <c r="F318" s="332"/>
      <c r="G318" s="219"/>
      <c r="H318" s="116"/>
      <c r="I318" s="116"/>
      <c r="J318" s="116"/>
      <c r="K318" s="116"/>
      <c r="L318" s="116"/>
      <c r="M318" s="116"/>
      <c r="N318" s="116"/>
      <c r="O318" s="389"/>
      <c r="P318" s="219"/>
      <c r="Q318" s="332"/>
      <c r="R318" s="332"/>
      <c r="S318" s="219"/>
      <c r="T318" s="332"/>
      <c r="U318" s="219"/>
      <c r="V318" s="332"/>
      <c r="W318" s="242"/>
      <c r="X318" s="332"/>
    </row>
    <row r="319" spans="1:24" ht="13">
      <c r="A319" s="7"/>
      <c r="C319" s="153"/>
      <c r="F319" s="332"/>
      <c r="G319" s="219"/>
      <c r="H319" s="116"/>
      <c r="I319" s="116"/>
      <c r="J319" s="116"/>
      <c r="K319" s="116"/>
      <c r="L319" s="116"/>
      <c r="M319" s="116"/>
      <c r="N319" s="116"/>
      <c r="O319" s="389"/>
      <c r="P319" s="219"/>
      <c r="Q319" s="332"/>
      <c r="R319" s="332"/>
      <c r="S319" s="219"/>
      <c r="T319" s="332"/>
      <c r="U319" s="219"/>
      <c r="V319" s="332"/>
      <c r="W319" s="242"/>
      <c r="X319" s="332"/>
    </row>
    <row r="320" spans="1:24" ht="13">
      <c r="A320" s="7"/>
      <c r="C320" s="153"/>
      <c r="F320" s="332"/>
      <c r="G320" s="219"/>
      <c r="H320" s="116"/>
      <c r="I320" s="116"/>
      <c r="J320" s="116"/>
      <c r="K320" s="116"/>
      <c r="L320" s="116"/>
      <c r="M320" s="116"/>
      <c r="N320" s="116"/>
      <c r="O320" s="389"/>
      <c r="P320" s="219"/>
      <c r="Q320" s="332"/>
      <c r="R320" s="332"/>
      <c r="S320" s="219"/>
      <c r="T320" s="332"/>
      <c r="U320" s="219"/>
      <c r="V320" s="332"/>
      <c r="W320" s="242"/>
      <c r="X320" s="332"/>
    </row>
    <row r="321" spans="1:24" ht="13">
      <c r="A321" s="7"/>
      <c r="C321" s="153"/>
      <c r="F321" s="332"/>
      <c r="G321" s="219"/>
      <c r="H321" s="116"/>
      <c r="I321" s="116"/>
      <c r="J321" s="116"/>
      <c r="K321" s="116"/>
      <c r="L321" s="116"/>
      <c r="M321" s="116"/>
      <c r="N321" s="116"/>
      <c r="O321" s="389"/>
      <c r="P321" s="219"/>
      <c r="Q321" s="332"/>
      <c r="R321" s="332"/>
      <c r="S321" s="219"/>
      <c r="T321" s="332"/>
      <c r="U321" s="219"/>
      <c r="V321" s="332"/>
      <c r="W321" s="242"/>
      <c r="X321" s="332"/>
    </row>
    <row r="322" spans="1:24" ht="13">
      <c r="A322" s="7"/>
      <c r="C322" s="153"/>
      <c r="F322" s="332"/>
      <c r="G322" s="219"/>
      <c r="H322" s="116"/>
      <c r="I322" s="116"/>
      <c r="J322" s="116"/>
      <c r="K322" s="116"/>
      <c r="L322" s="116"/>
      <c r="M322" s="116"/>
      <c r="N322" s="116"/>
      <c r="O322" s="389"/>
      <c r="P322" s="219"/>
      <c r="Q322" s="332"/>
      <c r="R322" s="332"/>
      <c r="S322" s="219"/>
      <c r="T322" s="332"/>
      <c r="U322" s="219"/>
      <c r="V322" s="332"/>
      <c r="W322" s="242"/>
      <c r="X322" s="332"/>
    </row>
    <row r="323" spans="1:24" ht="13">
      <c r="A323" s="7"/>
      <c r="C323" s="153"/>
      <c r="F323" s="332"/>
      <c r="G323" s="219"/>
      <c r="H323" s="116"/>
      <c r="I323" s="116"/>
      <c r="J323" s="116"/>
      <c r="K323" s="116"/>
      <c r="L323" s="116"/>
      <c r="M323" s="116"/>
      <c r="N323" s="116"/>
      <c r="O323" s="389"/>
      <c r="P323" s="219"/>
      <c r="Q323" s="332"/>
      <c r="R323" s="332"/>
      <c r="S323" s="219"/>
      <c r="T323" s="332"/>
      <c r="U323" s="219"/>
      <c r="V323" s="332"/>
      <c r="W323" s="242"/>
      <c r="X323" s="332"/>
    </row>
    <row r="324" spans="1:24" ht="13">
      <c r="A324" s="7"/>
      <c r="C324" s="153"/>
      <c r="F324" s="332"/>
      <c r="G324" s="219"/>
      <c r="H324" s="116"/>
      <c r="I324" s="116"/>
      <c r="J324" s="116"/>
      <c r="K324" s="116"/>
      <c r="L324" s="116"/>
      <c r="M324" s="116"/>
      <c r="N324" s="116"/>
      <c r="O324" s="389"/>
      <c r="P324" s="219"/>
      <c r="Q324" s="332"/>
      <c r="R324" s="332"/>
      <c r="S324" s="219"/>
      <c r="T324" s="332"/>
      <c r="U324" s="219"/>
      <c r="V324" s="332"/>
      <c r="W324" s="242"/>
      <c r="X324" s="332"/>
    </row>
    <row r="325" spans="1:24" ht="13">
      <c r="A325" s="7"/>
      <c r="C325" s="153"/>
      <c r="F325" s="332"/>
      <c r="G325" s="219"/>
      <c r="H325" s="116"/>
      <c r="I325" s="116"/>
      <c r="J325" s="116"/>
      <c r="K325" s="116"/>
      <c r="L325" s="116"/>
      <c r="M325" s="116"/>
      <c r="N325" s="116"/>
      <c r="O325" s="389"/>
      <c r="P325" s="219"/>
      <c r="Q325" s="332"/>
      <c r="R325" s="332"/>
      <c r="S325" s="219"/>
      <c r="T325" s="332"/>
      <c r="U325" s="219"/>
      <c r="V325" s="332"/>
      <c r="W325" s="242"/>
      <c r="X325" s="332"/>
    </row>
    <row r="326" spans="1:24" ht="13">
      <c r="A326" s="7"/>
      <c r="C326" s="153"/>
      <c r="F326" s="332"/>
      <c r="G326" s="219"/>
      <c r="H326" s="116"/>
      <c r="I326" s="116"/>
      <c r="J326" s="116"/>
      <c r="K326" s="116"/>
      <c r="L326" s="116"/>
      <c r="M326" s="116"/>
      <c r="N326" s="116"/>
      <c r="O326" s="389"/>
      <c r="P326" s="219"/>
      <c r="Q326" s="332"/>
      <c r="R326" s="332"/>
      <c r="S326" s="219"/>
      <c r="T326" s="332"/>
      <c r="U326" s="219"/>
      <c r="V326" s="332"/>
      <c r="W326" s="242"/>
      <c r="X326" s="332"/>
    </row>
    <row r="327" spans="1:24" ht="13">
      <c r="A327" s="7"/>
      <c r="C327" s="153"/>
      <c r="F327" s="332"/>
      <c r="G327" s="219"/>
      <c r="H327" s="116"/>
      <c r="I327" s="116"/>
      <c r="J327" s="116"/>
      <c r="K327" s="116"/>
      <c r="L327" s="116"/>
      <c r="M327" s="116"/>
      <c r="N327" s="116"/>
      <c r="O327" s="389"/>
      <c r="P327" s="219"/>
      <c r="Q327" s="332"/>
      <c r="R327" s="332"/>
      <c r="S327" s="219"/>
      <c r="T327" s="332"/>
      <c r="U327" s="219"/>
      <c r="V327" s="332"/>
      <c r="W327" s="242"/>
      <c r="X327" s="332"/>
    </row>
    <row r="328" spans="1:24" ht="13">
      <c r="A328" s="7"/>
      <c r="C328" s="153"/>
      <c r="F328" s="332"/>
      <c r="G328" s="219"/>
      <c r="H328" s="116"/>
      <c r="I328" s="116"/>
      <c r="J328" s="116"/>
      <c r="K328" s="116"/>
      <c r="L328" s="116"/>
      <c r="M328" s="116"/>
      <c r="N328" s="116"/>
      <c r="O328" s="389"/>
      <c r="P328" s="219"/>
      <c r="Q328" s="332"/>
      <c r="R328" s="332"/>
      <c r="S328" s="219"/>
      <c r="T328" s="332"/>
      <c r="U328" s="219"/>
      <c r="V328" s="332"/>
      <c r="W328" s="242"/>
      <c r="X328" s="332"/>
    </row>
    <row r="329" spans="1:24" ht="13">
      <c r="A329" s="7"/>
      <c r="C329" s="153"/>
      <c r="F329" s="332"/>
      <c r="G329" s="219"/>
      <c r="H329" s="116"/>
      <c r="I329" s="116"/>
      <c r="J329" s="116"/>
      <c r="K329" s="116"/>
      <c r="L329" s="116"/>
      <c r="M329" s="116"/>
      <c r="N329" s="116"/>
      <c r="O329" s="389"/>
      <c r="P329" s="219"/>
      <c r="Q329" s="332"/>
      <c r="R329" s="332"/>
      <c r="S329" s="219"/>
      <c r="T329" s="332"/>
      <c r="U329" s="219"/>
      <c r="V329" s="332"/>
      <c r="W329" s="242"/>
      <c r="X329" s="332"/>
    </row>
    <row r="330" spans="1:24" ht="13">
      <c r="A330" s="7"/>
      <c r="C330" s="153"/>
      <c r="F330" s="332"/>
      <c r="G330" s="219"/>
      <c r="H330" s="116"/>
      <c r="I330" s="116"/>
      <c r="J330" s="116"/>
      <c r="K330" s="116"/>
      <c r="L330" s="116"/>
      <c r="M330" s="116"/>
      <c r="N330" s="116"/>
      <c r="O330" s="389"/>
      <c r="P330" s="219"/>
      <c r="Q330" s="332"/>
      <c r="R330" s="332"/>
      <c r="S330" s="219"/>
      <c r="T330" s="332"/>
      <c r="U330" s="219"/>
      <c r="V330" s="332"/>
      <c r="W330" s="242"/>
      <c r="X330" s="332"/>
    </row>
    <row r="331" spans="1:24" ht="13">
      <c r="A331" s="7"/>
      <c r="C331" s="153"/>
      <c r="F331" s="332"/>
      <c r="G331" s="219"/>
      <c r="H331" s="116"/>
      <c r="I331" s="116"/>
      <c r="J331" s="116"/>
      <c r="K331" s="116"/>
      <c r="L331" s="116"/>
      <c r="M331" s="116"/>
      <c r="N331" s="116"/>
      <c r="O331" s="389"/>
      <c r="P331" s="219"/>
      <c r="Q331" s="332"/>
      <c r="R331" s="332"/>
      <c r="S331" s="219"/>
      <c r="T331" s="332"/>
      <c r="U331" s="219"/>
      <c r="V331" s="332"/>
      <c r="W331" s="242"/>
      <c r="X331" s="332"/>
    </row>
    <row r="332" spans="1:24" ht="13">
      <c r="A332" s="7"/>
      <c r="C332" s="153"/>
      <c r="F332" s="332"/>
      <c r="G332" s="219"/>
      <c r="H332" s="116"/>
      <c r="I332" s="116"/>
      <c r="J332" s="116"/>
      <c r="K332" s="116"/>
      <c r="L332" s="116"/>
      <c r="M332" s="116"/>
      <c r="N332" s="116"/>
      <c r="O332" s="389"/>
      <c r="P332" s="219"/>
      <c r="Q332" s="332"/>
      <c r="R332" s="332"/>
      <c r="S332" s="219"/>
      <c r="T332" s="332"/>
      <c r="U332" s="219"/>
      <c r="V332" s="332"/>
      <c r="W332" s="242"/>
      <c r="X332" s="332"/>
    </row>
    <row r="333" spans="1:24" ht="13">
      <c r="A333" s="7"/>
      <c r="C333" s="153"/>
      <c r="F333" s="332"/>
      <c r="G333" s="219"/>
      <c r="H333" s="116"/>
      <c r="I333" s="116"/>
      <c r="J333" s="116"/>
      <c r="K333" s="116"/>
      <c r="L333" s="116"/>
      <c r="M333" s="116"/>
      <c r="N333" s="116"/>
      <c r="O333" s="389"/>
      <c r="P333" s="219"/>
      <c r="Q333" s="332"/>
      <c r="R333" s="332"/>
      <c r="S333" s="219"/>
      <c r="T333" s="332"/>
      <c r="U333" s="219"/>
      <c r="V333" s="332"/>
      <c r="W333" s="242"/>
      <c r="X333" s="332"/>
    </row>
    <row r="334" spans="1:24" ht="13">
      <c r="A334" s="7"/>
      <c r="C334" s="153"/>
      <c r="F334" s="332"/>
      <c r="G334" s="219"/>
      <c r="H334" s="116"/>
      <c r="I334" s="116"/>
      <c r="J334" s="116"/>
      <c r="K334" s="116"/>
      <c r="L334" s="116"/>
      <c r="M334" s="116"/>
      <c r="N334" s="116"/>
      <c r="O334" s="389"/>
      <c r="P334" s="219"/>
      <c r="Q334" s="332"/>
      <c r="R334" s="332"/>
      <c r="S334" s="219"/>
      <c r="T334" s="332"/>
      <c r="U334" s="219"/>
      <c r="V334" s="332"/>
      <c r="W334" s="242"/>
      <c r="X334" s="332"/>
    </row>
    <row r="335" spans="1:24" ht="13">
      <c r="A335" s="7"/>
      <c r="C335" s="153"/>
      <c r="F335" s="332"/>
      <c r="G335" s="219"/>
      <c r="H335" s="116"/>
      <c r="I335" s="116"/>
      <c r="J335" s="116"/>
      <c r="K335" s="116"/>
      <c r="L335" s="116"/>
      <c r="M335" s="116"/>
      <c r="N335" s="116"/>
      <c r="O335" s="389"/>
      <c r="P335" s="219"/>
      <c r="Q335" s="332"/>
      <c r="R335" s="332"/>
      <c r="S335" s="219"/>
      <c r="T335" s="332"/>
      <c r="U335" s="219"/>
      <c r="V335" s="332"/>
      <c r="W335" s="242"/>
      <c r="X335" s="332"/>
    </row>
    <row r="336" spans="1:24" ht="13">
      <c r="A336" s="7"/>
      <c r="C336" s="153"/>
      <c r="F336" s="332"/>
      <c r="G336" s="219"/>
      <c r="H336" s="116"/>
      <c r="I336" s="116"/>
      <c r="J336" s="116"/>
      <c r="K336" s="116"/>
      <c r="L336" s="116"/>
      <c r="M336" s="116"/>
      <c r="N336" s="116"/>
      <c r="O336" s="389"/>
      <c r="P336" s="219"/>
      <c r="Q336" s="332"/>
      <c r="R336" s="332"/>
      <c r="S336" s="219"/>
      <c r="T336" s="332"/>
      <c r="U336" s="219"/>
      <c r="V336" s="332"/>
      <c r="W336" s="242"/>
      <c r="X336" s="332"/>
    </row>
    <row r="337" spans="1:24" ht="13">
      <c r="A337" s="7"/>
      <c r="C337" s="153"/>
      <c r="F337" s="332"/>
      <c r="G337" s="219"/>
      <c r="H337" s="116"/>
      <c r="I337" s="116"/>
      <c r="J337" s="116"/>
      <c r="K337" s="116"/>
      <c r="L337" s="116"/>
      <c r="M337" s="116"/>
      <c r="N337" s="116"/>
      <c r="O337" s="389"/>
      <c r="P337" s="219"/>
      <c r="Q337" s="332"/>
      <c r="R337" s="332"/>
      <c r="S337" s="219"/>
      <c r="T337" s="332"/>
      <c r="U337" s="219"/>
      <c r="V337" s="332"/>
      <c r="W337" s="242"/>
      <c r="X337" s="332"/>
    </row>
    <row r="338" spans="1:24" ht="13">
      <c r="A338" s="7"/>
      <c r="C338" s="153"/>
      <c r="F338" s="332"/>
      <c r="G338" s="219"/>
      <c r="H338" s="116"/>
      <c r="I338" s="116"/>
      <c r="J338" s="116"/>
      <c r="K338" s="116"/>
      <c r="L338" s="116"/>
      <c r="M338" s="116"/>
      <c r="N338" s="116"/>
      <c r="O338" s="389"/>
      <c r="P338" s="219"/>
      <c r="Q338" s="332"/>
      <c r="R338" s="332"/>
      <c r="S338" s="219"/>
      <c r="T338" s="332"/>
      <c r="U338" s="219"/>
      <c r="V338" s="332"/>
      <c r="W338" s="242"/>
      <c r="X338" s="332"/>
    </row>
    <row r="339" spans="1:24" ht="13">
      <c r="A339" s="7"/>
      <c r="C339" s="153"/>
      <c r="F339" s="332"/>
      <c r="G339" s="219"/>
      <c r="H339" s="116"/>
      <c r="I339" s="116"/>
      <c r="J339" s="116"/>
      <c r="K339" s="116"/>
      <c r="L339" s="116"/>
      <c r="M339" s="116"/>
      <c r="N339" s="116"/>
      <c r="O339" s="389"/>
      <c r="P339" s="219"/>
      <c r="Q339" s="332"/>
      <c r="R339" s="332"/>
      <c r="S339" s="219"/>
      <c r="T339" s="332"/>
      <c r="U339" s="219"/>
      <c r="V339" s="332"/>
      <c r="W339" s="242"/>
      <c r="X339" s="332"/>
    </row>
    <row r="340" spans="1:24" ht="13">
      <c r="A340" s="7"/>
      <c r="C340" s="153"/>
      <c r="F340" s="332"/>
      <c r="G340" s="219"/>
      <c r="H340" s="116"/>
      <c r="I340" s="116"/>
      <c r="J340" s="116"/>
      <c r="K340" s="116"/>
      <c r="L340" s="116"/>
      <c r="M340" s="116"/>
      <c r="N340" s="116"/>
      <c r="O340" s="389"/>
      <c r="P340" s="219"/>
      <c r="Q340" s="332"/>
      <c r="R340" s="332"/>
      <c r="S340" s="219"/>
      <c r="T340" s="332"/>
      <c r="U340" s="219"/>
      <c r="V340" s="332"/>
      <c r="W340" s="242"/>
      <c r="X340" s="332"/>
    </row>
    <row r="341" spans="1:24" ht="13">
      <c r="A341" s="7"/>
      <c r="C341" s="153"/>
      <c r="F341" s="332"/>
      <c r="G341" s="219"/>
      <c r="H341" s="116"/>
      <c r="I341" s="116"/>
      <c r="J341" s="116"/>
      <c r="K341" s="116"/>
      <c r="L341" s="116"/>
      <c r="M341" s="116"/>
      <c r="N341" s="116"/>
      <c r="O341" s="389"/>
      <c r="P341" s="219"/>
      <c r="Q341" s="332"/>
      <c r="R341" s="332"/>
      <c r="S341" s="219"/>
      <c r="T341" s="332"/>
      <c r="U341" s="219"/>
      <c r="V341" s="332"/>
      <c r="W341" s="242"/>
      <c r="X341" s="332"/>
    </row>
    <row r="342" spans="1:24" ht="13">
      <c r="A342" s="7"/>
      <c r="C342" s="153"/>
      <c r="F342" s="332"/>
      <c r="G342" s="219"/>
      <c r="H342" s="116"/>
      <c r="I342" s="116"/>
      <c r="J342" s="116"/>
      <c r="K342" s="116"/>
      <c r="L342" s="116"/>
      <c r="M342" s="116"/>
      <c r="N342" s="116"/>
      <c r="O342" s="389"/>
      <c r="P342" s="219"/>
      <c r="Q342" s="332"/>
      <c r="R342" s="332"/>
      <c r="S342" s="219"/>
      <c r="T342" s="332"/>
      <c r="U342" s="219"/>
      <c r="V342" s="332"/>
      <c r="W342" s="242"/>
      <c r="X342" s="332"/>
    </row>
    <row r="343" spans="1:24" ht="13">
      <c r="A343" s="7"/>
      <c r="C343" s="153"/>
      <c r="F343" s="332"/>
      <c r="G343" s="219"/>
      <c r="H343" s="116"/>
      <c r="I343" s="116"/>
      <c r="J343" s="116"/>
      <c r="K343" s="116"/>
      <c r="L343" s="116"/>
      <c r="M343" s="116"/>
      <c r="N343" s="116"/>
      <c r="O343" s="389"/>
      <c r="P343" s="219"/>
      <c r="Q343" s="332"/>
      <c r="R343" s="332"/>
      <c r="S343" s="219"/>
      <c r="T343" s="332"/>
      <c r="U343" s="219"/>
      <c r="V343" s="332"/>
      <c r="W343" s="242"/>
      <c r="X343" s="332"/>
    </row>
    <row r="344" spans="1:24" ht="13">
      <c r="A344" s="7"/>
      <c r="C344" s="153"/>
      <c r="F344" s="332"/>
      <c r="G344" s="219"/>
      <c r="H344" s="116"/>
      <c r="I344" s="116"/>
      <c r="J344" s="116"/>
      <c r="K344" s="116"/>
      <c r="L344" s="116"/>
      <c r="M344" s="116"/>
      <c r="N344" s="116"/>
      <c r="O344" s="389"/>
      <c r="P344" s="219"/>
      <c r="Q344" s="332"/>
      <c r="R344" s="332"/>
      <c r="S344" s="219"/>
      <c r="T344" s="332"/>
      <c r="U344" s="219"/>
      <c r="V344" s="332"/>
      <c r="W344" s="242"/>
      <c r="X344" s="332"/>
    </row>
    <row r="345" spans="1:24" ht="13">
      <c r="A345" s="7"/>
      <c r="C345" s="153"/>
      <c r="F345" s="332"/>
      <c r="G345" s="219"/>
      <c r="H345" s="116"/>
      <c r="I345" s="116"/>
      <c r="J345" s="116"/>
      <c r="K345" s="116"/>
      <c r="L345" s="116"/>
      <c r="M345" s="116"/>
      <c r="N345" s="116"/>
      <c r="O345" s="389"/>
      <c r="P345" s="219"/>
      <c r="Q345" s="332"/>
      <c r="R345" s="332"/>
      <c r="S345" s="219"/>
      <c r="T345" s="332"/>
      <c r="U345" s="219"/>
      <c r="V345" s="332"/>
      <c r="W345" s="242"/>
      <c r="X345" s="332"/>
    </row>
    <row r="346" spans="1:24" ht="13">
      <c r="A346" s="7"/>
      <c r="C346" s="153"/>
      <c r="F346" s="332"/>
      <c r="G346" s="219"/>
      <c r="H346" s="116"/>
      <c r="I346" s="116"/>
      <c r="J346" s="116"/>
      <c r="K346" s="116"/>
      <c r="L346" s="116"/>
      <c r="M346" s="116"/>
      <c r="N346" s="116"/>
      <c r="O346" s="389"/>
      <c r="P346" s="219"/>
      <c r="Q346" s="332"/>
      <c r="R346" s="332"/>
      <c r="S346" s="219"/>
      <c r="T346" s="332"/>
      <c r="U346" s="219"/>
      <c r="V346" s="332"/>
      <c r="W346" s="242"/>
      <c r="X346" s="332"/>
    </row>
    <row r="347" spans="1:24" ht="13">
      <c r="A347" s="7"/>
      <c r="C347" s="153"/>
      <c r="F347" s="332"/>
      <c r="G347" s="219"/>
      <c r="H347" s="116"/>
      <c r="I347" s="116"/>
      <c r="J347" s="116"/>
      <c r="K347" s="116"/>
      <c r="L347" s="116"/>
      <c r="M347" s="116"/>
      <c r="N347" s="116"/>
      <c r="O347" s="389"/>
      <c r="P347" s="219"/>
      <c r="Q347" s="332"/>
      <c r="R347" s="332"/>
      <c r="S347" s="219"/>
      <c r="T347" s="332"/>
      <c r="U347" s="219"/>
      <c r="V347" s="332"/>
      <c r="W347" s="242"/>
      <c r="X347" s="332"/>
    </row>
    <row r="348" spans="1:24" ht="13">
      <c r="A348" s="7"/>
      <c r="C348" s="153"/>
      <c r="F348" s="332"/>
      <c r="G348" s="219"/>
      <c r="H348" s="116"/>
      <c r="I348" s="116"/>
      <c r="J348" s="116"/>
      <c r="K348" s="116"/>
      <c r="L348" s="116"/>
      <c r="M348" s="116"/>
      <c r="N348" s="116"/>
      <c r="O348" s="389"/>
      <c r="P348" s="219"/>
      <c r="Q348" s="332"/>
      <c r="R348" s="332"/>
      <c r="S348" s="219"/>
      <c r="T348" s="332"/>
      <c r="U348" s="219"/>
      <c r="V348" s="332"/>
      <c r="W348" s="242"/>
      <c r="X348" s="332"/>
    </row>
    <row r="349" spans="1:24" ht="13">
      <c r="A349" s="7"/>
      <c r="C349" s="153"/>
      <c r="F349" s="332"/>
      <c r="G349" s="219"/>
      <c r="H349" s="116"/>
      <c r="I349" s="116"/>
      <c r="J349" s="116"/>
      <c r="K349" s="116"/>
      <c r="L349" s="116"/>
      <c r="M349" s="116"/>
      <c r="N349" s="116"/>
      <c r="O349" s="389"/>
      <c r="P349" s="219"/>
      <c r="Q349" s="332"/>
      <c r="R349" s="332"/>
      <c r="S349" s="219"/>
      <c r="T349" s="332"/>
      <c r="U349" s="219"/>
      <c r="V349" s="332"/>
      <c r="W349" s="242"/>
      <c r="X349" s="332"/>
    </row>
    <row r="350" spans="1:24" ht="13">
      <c r="A350" s="7"/>
      <c r="C350" s="153"/>
      <c r="F350" s="332"/>
      <c r="G350" s="219"/>
      <c r="H350" s="116"/>
      <c r="I350" s="116"/>
      <c r="J350" s="116"/>
      <c r="K350" s="116"/>
      <c r="L350" s="116"/>
      <c r="M350" s="116"/>
      <c r="N350" s="116"/>
      <c r="O350" s="389"/>
      <c r="P350" s="219"/>
      <c r="Q350" s="332"/>
      <c r="R350" s="332"/>
      <c r="S350" s="219"/>
      <c r="T350" s="332"/>
      <c r="U350" s="219"/>
      <c r="V350" s="332"/>
      <c r="W350" s="242"/>
      <c r="X350" s="332"/>
    </row>
    <row r="351" spans="1:24" ht="13">
      <c r="A351" s="7"/>
      <c r="C351" s="153"/>
      <c r="F351" s="332"/>
      <c r="G351" s="219"/>
      <c r="H351" s="116"/>
      <c r="I351" s="116"/>
      <c r="J351" s="116"/>
      <c r="K351" s="116"/>
      <c r="L351" s="116"/>
      <c r="M351" s="116"/>
      <c r="N351" s="116"/>
      <c r="O351" s="389"/>
      <c r="P351" s="219"/>
      <c r="Q351" s="332"/>
      <c r="R351" s="332"/>
      <c r="S351" s="219"/>
      <c r="T351" s="332"/>
      <c r="U351" s="219"/>
      <c r="V351" s="332"/>
      <c r="W351" s="242"/>
      <c r="X351" s="332"/>
    </row>
    <row r="352" spans="1:24" ht="13">
      <c r="A352" s="7"/>
      <c r="C352" s="153"/>
      <c r="F352" s="332"/>
      <c r="G352" s="219"/>
      <c r="H352" s="116"/>
      <c r="I352" s="116"/>
      <c r="J352" s="116"/>
      <c r="K352" s="116"/>
      <c r="L352" s="116"/>
      <c r="M352" s="116"/>
      <c r="N352" s="116"/>
      <c r="O352" s="389"/>
      <c r="P352" s="219"/>
      <c r="Q352" s="332"/>
      <c r="R352" s="332"/>
      <c r="S352" s="219"/>
      <c r="T352" s="332"/>
      <c r="U352" s="219"/>
      <c r="V352" s="332"/>
      <c r="W352" s="242"/>
      <c r="X352" s="332"/>
    </row>
    <row r="353" spans="1:24" ht="13">
      <c r="A353" s="7"/>
      <c r="C353" s="153"/>
      <c r="F353" s="332"/>
      <c r="G353" s="219"/>
      <c r="H353" s="116"/>
      <c r="I353" s="116"/>
      <c r="J353" s="116"/>
      <c r="K353" s="116"/>
      <c r="L353" s="116"/>
      <c r="M353" s="116"/>
      <c r="N353" s="116"/>
      <c r="O353" s="389"/>
      <c r="P353" s="219"/>
      <c r="Q353" s="332"/>
      <c r="R353" s="332"/>
      <c r="S353" s="219"/>
      <c r="T353" s="332"/>
      <c r="U353" s="219"/>
      <c r="V353" s="332"/>
      <c r="W353" s="242"/>
      <c r="X353" s="332"/>
    </row>
    <row r="354" spans="1:24" ht="13">
      <c r="A354" s="7"/>
      <c r="C354" s="153"/>
      <c r="F354" s="332"/>
      <c r="G354" s="219"/>
      <c r="H354" s="116"/>
      <c r="I354" s="116"/>
      <c r="J354" s="116"/>
      <c r="K354" s="116"/>
      <c r="L354" s="116"/>
      <c r="M354" s="116"/>
      <c r="N354" s="116"/>
      <c r="O354" s="389"/>
      <c r="P354" s="219"/>
      <c r="Q354" s="332"/>
      <c r="R354" s="332"/>
      <c r="S354" s="219"/>
      <c r="T354" s="332"/>
      <c r="U354" s="219"/>
      <c r="V354" s="332"/>
      <c r="W354" s="242"/>
      <c r="X354" s="332"/>
    </row>
    <row r="355" spans="1:24" ht="13">
      <c r="A355" s="7"/>
      <c r="C355" s="153"/>
      <c r="F355" s="332"/>
      <c r="G355" s="219"/>
      <c r="H355" s="116"/>
      <c r="I355" s="116"/>
      <c r="J355" s="116"/>
      <c r="K355" s="116"/>
      <c r="L355" s="116"/>
      <c r="M355" s="116"/>
      <c r="N355" s="116"/>
      <c r="O355" s="389"/>
      <c r="P355" s="219"/>
      <c r="Q355" s="332"/>
      <c r="R355" s="332"/>
      <c r="S355" s="219"/>
      <c r="T355" s="332"/>
      <c r="U355" s="219"/>
      <c r="V355" s="332"/>
      <c r="W355" s="242"/>
      <c r="X355" s="332"/>
    </row>
    <row r="356" spans="1:24" ht="13">
      <c r="A356" s="7"/>
      <c r="C356" s="153"/>
      <c r="F356" s="332"/>
      <c r="G356" s="219"/>
      <c r="H356" s="116"/>
      <c r="I356" s="116"/>
      <c r="J356" s="116"/>
      <c r="K356" s="116"/>
      <c r="L356" s="116"/>
      <c r="M356" s="116"/>
      <c r="N356" s="116"/>
      <c r="O356" s="389"/>
      <c r="P356" s="219"/>
      <c r="Q356" s="332"/>
      <c r="R356" s="332"/>
      <c r="S356" s="219"/>
      <c r="T356" s="332"/>
      <c r="U356" s="219"/>
      <c r="V356" s="332"/>
      <c r="W356" s="242"/>
      <c r="X356" s="332"/>
    </row>
    <row r="357" spans="1:24" ht="13">
      <c r="A357" s="7"/>
      <c r="C357" s="153"/>
      <c r="F357" s="332"/>
      <c r="G357" s="219"/>
      <c r="H357" s="116"/>
      <c r="I357" s="116"/>
      <c r="J357" s="116"/>
      <c r="K357" s="116"/>
      <c r="L357" s="116"/>
      <c r="M357" s="116"/>
      <c r="N357" s="116"/>
      <c r="O357" s="389"/>
      <c r="P357" s="219"/>
      <c r="Q357" s="332"/>
      <c r="R357" s="332"/>
      <c r="S357" s="219"/>
      <c r="T357" s="332"/>
      <c r="U357" s="219"/>
      <c r="V357" s="332"/>
      <c r="W357" s="242"/>
      <c r="X357" s="332"/>
    </row>
    <row r="358" spans="1:24" ht="13">
      <c r="A358" s="7"/>
      <c r="C358" s="153"/>
      <c r="F358" s="332"/>
      <c r="G358" s="219"/>
      <c r="H358" s="116"/>
      <c r="I358" s="116"/>
      <c r="J358" s="116"/>
      <c r="K358" s="116"/>
      <c r="L358" s="116"/>
      <c r="M358" s="116"/>
      <c r="N358" s="116"/>
      <c r="O358" s="389"/>
      <c r="P358" s="219"/>
      <c r="Q358" s="332"/>
      <c r="R358" s="332"/>
      <c r="S358" s="219"/>
      <c r="T358" s="332"/>
      <c r="U358" s="219"/>
      <c r="V358" s="332"/>
      <c r="W358" s="242"/>
      <c r="X358" s="332"/>
    </row>
    <row r="359" spans="1:24" ht="13">
      <c r="A359" s="7"/>
      <c r="C359" s="153"/>
      <c r="F359" s="332"/>
      <c r="G359" s="219"/>
      <c r="H359" s="116"/>
      <c r="I359" s="116"/>
      <c r="J359" s="116"/>
      <c r="K359" s="116"/>
      <c r="L359" s="116"/>
      <c r="M359" s="116"/>
      <c r="N359" s="116"/>
      <c r="O359" s="389"/>
      <c r="P359" s="219"/>
      <c r="Q359" s="332"/>
      <c r="R359" s="332"/>
      <c r="S359" s="219"/>
      <c r="T359" s="332"/>
      <c r="U359" s="219"/>
      <c r="V359" s="332"/>
      <c r="W359" s="242"/>
      <c r="X359" s="332"/>
    </row>
    <row r="360" spans="1:24" ht="13">
      <c r="A360" s="7"/>
      <c r="C360" s="153"/>
      <c r="F360" s="332"/>
      <c r="G360" s="219"/>
      <c r="H360" s="116"/>
      <c r="I360" s="116"/>
      <c r="J360" s="116"/>
      <c r="K360" s="116"/>
      <c r="L360" s="116"/>
      <c r="M360" s="116"/>
      <c r="N360" s="116"/>
      <c r="O360" s="389"/>
      <c r="P360" s="219"/>
      <c r="Q360" s="332"/>
      <c r="R360" s="332"/>
      <c r="S360" s="219"/>
      <c r="T360" s="332"/>
      <c r="U360" s="219"/>
      <c r="V360" s="332"/>
      <c r="W360" s="242"/>
      <c r="X360" s="332"/>
    </row>
    <row r="361" spans="1:24" ht="13">
      <c r="A361" s="7"/>
      <c r="C361" s="153"/>
      <c r="F361" s="332"/>
      <c r="G361" s="219"/>
      <c r="H361" s="116"/>
      <c r="I361" s="116"/>
      <c r="J361" s="116"/>
      <c r="K361" s="116"/>
      <c r="L361" s="116"/>
      <c r="M361" s="116"/>
      <c r="N361" s="116"/>
      <c r="O361" s="389"/>
      <c r="P361" s="219"/>
      <c r="Q361" s="332"/>
      <c r="R361" s="332"/>
      <c r="S361" s="219"/>
      <c r="T361" s="332"/>
      <c r="U361" s="219"/>
      <c r="V361" s="332"/>
      <c r="W361" s="242"/>
      <c r="X361" s="332"/>
    </row>
    <row r="362" spans="1:24" ht="13">
      <c r="A362" s="7"/>
      <c r="C362" s="153"/>
      <c r="F362" s="332"/>
      <c r="G362" s="219"/>
      <c r="H362" s="116"/>
      <c r="I362" s="116"/>
      <c r="J362" s="116"/>
      <c r="K362" s="116"/>
      <c r="L362" s="116"/>
      <c r="M362" s="116"/>
      <c r="N362" s="116"/>
      <c r="O362" s="389"/>
      <c r="P362" s="219"/>
      <c r="Q362" s="332"/>
      <c r="R362" s="332"/>
      <c r="S362" s="219"/>
      <c r="T362" s="332"/>
      <c r="U362" s="219"/>
      <c r="V362" s="332"/>
      <c r="W362" s="242"/>
      <c r="X362" s="332"/>
    </row>
    <row r="363" spans="1:24" ht="13">
      <c r="A363" s="7"/>
      <c r="C363" s="153"/>
      <c r="F363" s="332"/>
      <c r="G363" s="219"/>
      <c r="H363" s="116"/>
      <c r="I363" s="116"/>
      <c r="J363" s="116"/>
      <c r="K363" s="116"/>
      <c r="L363" s="116"/>
      <c r="M363" s="116"/>
      <c r="N363" s="116"/>
      <c r="O363" s="389"/>
      <c r="P363" s="219"/>
      <c r="Q363" s="332"/>
      <c r="R363" s="332"/>
      <c r="S363" s="219"/>
      <c r="T363" s="332"/>
      <c r="U363" s="219"/>
      <c r="V363" s="332"/>
      <c r="W363" s="242"/>
      <c r="X363" s="332"/>
    </row>
    <row r="364" spans="1:24" ht="13">
      <c r="A364" s="7"/>
      <c r="C364" s="153"/>
      <c r="F364" s="332"/>
      <c r="G364" s="219"/>
      <c r="H364" s="116"/>
      <c r="I364" s="116"/>
      <c r="J364" s="116"/>
      <c r="K364" s="116"/>
      <c r="L364" s="116"/>
      <c r="M364" s="116"/>
      <c r="N364" s="116"/>
      <c r="O364" s="389"/>
      <c r="P364" s="219"/>
      <c r="Q364" s="332"/>
      <c r="R364" s="332"/>
      <c r="S364" s="219"/>
      <c r="T364" s="332"/>
      <c r="U364" s="219"/>
      <c r="V364" s="332"/>
      <c r="W364" s="242"/>
      <c r="X364" s="332"/>
    </row>
    <row r="365" spans="1:24" ht="13">
      <c r="A365" s="7"/>
      <c r="C365" s="153"/>
      <c r="F365" s="332"/>
      <c r="G365" s="219"/>
      <c r="H365" s="116"/>
      <c r="I365" s="116"/>
      <c r="J365" s="116"/>
      <c r="K365" s="116"/>
      <c r="L365" s="116"/>
      <c r="M365" s="116"/>
      <c r="N365" s="116"/>
      <c r="O365" s="389"/>
      <c r="P365" s="219"/>
      <c r="Q365" s="332"/>
      <c r="R365" s="332"/>
      <c r="S365" s="219"/>
      <c r="T365" s="332"/>
      <c r="U365" s="219"/>
      <c r="V365" s="332"/>
      <c r="W365" s="242"/>
      <c r="X365" s="332"/>
    </row>
    <row r="366" spans="1:24" ht="13">
      <c r="A366" s="7"/>
      <c r="C366" s="153"/>
      <c r="F366" s="332"/>
      <c r="G366" s="219"/>
      <c r="H366" s="116"/>
      <c r="I366" s="116"/>
      <c r="J366" s="116"/>
      <c r="K366" s="116"/>
      <c r="L366" s="116"/>
      <c r="M366" s="116"/>
      <c r="N366" s="116"/>
      <c r="O366" s="389"/>
      <c r="P366" s="219"/>
      <c r="Q366" s="332"/>
      <c r="R366" s="332"/>
      <c r="S366" s="219"/>
      <c r="T366" s="332"/>
      <c r="U366" s="219"/>
      <c r="V366" s="332"/>
      <c r="W366" s="242"/>
      <c r="X366" s="332"/>
    </row>
    <row r="367" spans="1:24" ht="13">
      <c r="A367" s="7"/>
      <c r="C367" s="153"/>
      <c r="F367" s="332"/>
      <c r="G367" s="219"/>
      <c r="H367" s="116"/>
      <c r="I367" s="116"/>
      <c r="J367" s="116"/>
      <c r="K367" s="116"/>
      <c r="L367" s="116"/>
      <c r="M367" s="116"/>
      <c r="N367" s="116"/>
      <c r="O367" s="389"/>
      <c r="P367" s="219"/>
      <c r="Q367" s="332"/>
      <c r="R367" s="332"/>
      <c r="S367" s="219"/>
      <c r="T367" s="332"/>
      <c r="U367" s="219"/>
      <c r="V367" s="332"/>
      <c r="W367" s="242"/>
      <c r="X367" s="332"/>
    </row>
    <row r="368" spans="1:24" ht="13">
      <c r="A368" s="7"/>
      <c r="C368" s="153"/>
      <c r="F368" s="332"/>
      <c r="G368" s="219"/>
      <c r="H368" s="116"/>
      <c r="I368" s="116"/>
      <c r="J368" s="116"/>
      <c r="K368" s="116"/>
      <c r="L368" s="116"/>
      <c r="M368" s="116"/>
      <c r="N368" s="116"/>
      <c r="O368" s="389"/>
      <c r="P368" s="219"/>
      <c r="Q368" s="332"/>
      <c r="R368" s="332"/>
      <c r="S368" s="219"/>
      <c r="T368" s="332"/>
      <c r="U368" s="219"/>
      <c r="V368" s="332"/>
      <c r="W368" s="242"/>
      <c r="X368" s="332"/>
    </row>
    <row r="369" spans="1:24" ht="13">
      <c r="A369" s="7"/>
      <c r="C369" s="153"/>
      <c r="F369" s="332"/>
      <c r="G369" s="219"/>
      <c r="H369" s="116"/>
      <c r="I369" s="116"/>
      <c r="J369" s="116"/>
      <c r="K369" s="116"/>
      <c r="L369" s="116"/>
      <c r="M369" s="116"/>
      <c r="N369" s="116"/>
      <c r="O369" s="389"/>
      <c r="P369" s="219"/>
      <c r="Q369" s="332"/>
      <c r="R369" s="332"/>
      <c r="S369" s="219"/>
      <c r="T369" s="332"/>
      <c r="U369" s="219"/>
      <c r="V369" s="332"/>
      <c r="W369" s="242"/>
      <c r="X369" s="332"/>
    </row>
    <row r="370" spans="1:24" ht="13">
      <c r="A370" s="7"/>
      <c r="C370" s="153"/>
      <c r="F370" s="332"/>
      <c r="G370" s="219"/>
      <c r="H370" s="116"/>
      <c r="I370" s="116"/>
      <c r="J370" s="116"/>
      <c r="K370" s="116"/>
      <c r="L370" s="116"/>
      <c r="M370" s="116"/>
      <c r="N370" s="116"/>
      <c r="O370" s="389"/>
      <c r="P370" s="219"/>
      <c r="Q370" s="332"/>
      <c r="R370" s="332"/>
      <c r="S370" s="219"/>
      <c r="T370" s="332"/>
      <c r="U370" s="219"/>
      <c r="V370" s="332"/>
      <c r="W370" s="242"/>
      <c r="X370" s="332"/>
    </row>
    <row r="371" spans="1:24" ht="13">
      <c r="A371" s="7"/>
      <c r="C371" s="153"/>
      <c r="F371" s="332"/>
      <c r="G371" s="219"/>
      <c r="H371" s="116"/>
      <c r="I371" s="116"/>
      <c r="J371" s="116"/>
      <c r="K371" s="116"/>
      <c r="L371" s="116"/>
      <c r="M371" s="116"/>
      <c r="N371" s="116"/>
      <c r="O371" s="389"/>
      <c r="P371" s="219"/>
      <c r="Q371" s="332"/>
      <c r="R371" s="332"/>
      <c r="S371" s="219"/>
      <c r="T371" s="332"/>
      <c r="U371" s="219"/>
      <c r="V371" s="332"/>
      <c r="W371" s="242"/>
      <c r="X371" s="332"/>
    </row>
    <row r="372" spans="1:24" ht="13">
      <c r="A372" s="7"/>
      <c r="C372" s="153"/>
      <c r="F372" s="332"/>
      <c r="G372" s="219"/>
      <c r="H372" s="116"/>
      <c r="I372" s="116"/>
      <c r="J372" s="116"/>
      <c r="K372" s="116"/>
      <c r="L372" s="116"/>
      <c r="M372" s="116"/>
      <c r="N372" s="116"/>
      <c r="O372" s="389"/>
      <c r="P372" s="219"/>
      <c r="Q372" s="332"/>
      <c r="R372" s="332"/>
      <c r="S372" s="219"/>
      <c r="T372" s="332"/>
      <c r="U372" s="219"/>
      <c r="V372" s="332"/>
      <c r="W372" s="242"/>
      <c r="X372" s="332"/>
    </row>
    <row r="373" spans="1:24" ht="13">
      <c r="A373" s="7"/>
      <c r="C373" s="153"/>
      <c r="F373" s="332"/>
      <c r="G373" s="219"/>
      <c r="H373" s="116"/>
      <c r="I373" s="116"/>
      <c r="J373" s="116"/>
      <c r="K373" s="116"/>
      <c r="L373" s="116"/>
      <c r="M373" s="116"/>
      <c r="N373" s="116"/>
      <c r="O373" s="389"/>
      <c r="P373" s="219"/>
      <c r="Q373" s="332"/>
      <c r="R373" s="332"/>
      <c r="S373" s="219"/>
      <c r="T373" s="332"/>
      <c r="U373" s="219"/>
      <c r="V373" s="332"/>
      <c r="W373" s="242"/>
      <c r="X373" s="332"/>
    </row>
    <row r="374" spans="1:24" ht="13">
      <c r="A374" s="7"/>
      <c r="C374" s="153"/>
      <c r="F374" s="332"/>
      <c r="G374" s="219"/>
      <c r="H374" s="116"/>
      <c r="I374" s="116"/>
      <c r="J374" s="116"/>
      <c r="K374" s="116"/>
      <c r="L374" s="116"/>
      <c r="M374" s="116"/>
      <c r="N374" s="116"/>
      <c r="O374" s="389"/>
      <c r="P374" s="219"/>
      <c r="Q374" s="332"/>
      <c r="R374" s="332"/>
      <c r="S374" s="219"/>
      <c r="T374" s="332"/>
      <c r="U374" s="219"/>
      <c r="V374" s="332"/>
      <c r="W374" s="242"/>
      <c r="X374" s="332"/>
    </row>
    <row r="375" spans="1:24" ht="13">
      <c r="A375" s="7"/>
      <c r="C375" s="153"/>
      <c r="F375" s="332"/>
      <c r="G375" s="219"/>
      <c r="H375" s="116"/>
      <c r="I375" s="116"/>
      <c r="J375" s="116"/>
      <c r="K375" s="116"/>
      <c r="L375" s="116"/>
      <c r="M375" s="116"/>
      <c r="N375" s="116"/>
      <c r="O375" s="389"/>
      <c r="P375" s="219"/>
      <c r="Q375" s="332"/>
      <c r="R375" s="332"/>
      <c r="S375" s="219"/>
      <c r="T375" s="332"/>
      <c r="U375" s="219"/>
      <c r="V375" s="332"/>
      <c r="W375" s="242"/>
      <c r="X375" s="332"/>
    </row>
    <row r="376" spans="1:24" ht="13">
      <c r="A376" s="7"/>
      <c r="C376" s="153"/>
      <c r="F376" s="332"/>
      <c r="G376" s="219"/>
      <c r="H376" s="116"/>
      <c r="I376" s="116"/>
      <c r="J376" s="116"/>
      <c r="K376" s="116"/>
      <c r="L376" s="116"/>
      <c r="M376" s="116"/>
      <c r="N376" s="116"/>
      <c r="O376" s="389"/>
      <c r="P376" s="219"/>
      <c r="Q376" s="332"/>
      <c r="R376" s="332"/>
      <c r="S376" s="219"/>
      <c r="T376" s="332"/>
      <c r="U376" s="219"/>
      <c r="V376" s="332"/>
      <c r="W376" s="242"/>
      <c r="X376" s="332"/>
    </row>
    <row r="377" spans="1:24" ht="13">
      <c r="A377" s="7"/>
      <c r="C377" s="153"/>
      <c r="F377" s="332"/>
      <c r="G377" s="219"/>
      <c r="H377" s="116"/>
      <c r="I377" s="116"/>
      <c r="J377" s="116"/>
      <c r="K377" s="116"/>
      <c r="L377" s="116"/>
      <c r="M377" s="116"/>
      <c r="N377" s="116"/>
      <c r="O377" s="389"/>
      <c r="P377" s="219"/>
      <c r="Q377" s="332"/>
      <c r="R377" s="332"/>
      <c r="S377" s="219"/>
      <c r="T377" s="332"/>
      <c r="U377" s="219"/>
      <c r="V377" s="332"/>
      <c r="W377" s="242"/>
      <c r="X377" s="332"/>
    </row>
    <row r="378" spans="1:24" ht="13">
      <c r="A378" s="7"/>
      <c r="C378" s="153"/>
      <c r="F378" s="332"/>
      <c r="G378" s="219"/>
      <c r="H378" s="116"/>
      <c r="I378" s="116"/>
      <c r="J378" s="116"/>
      <c r="K378" s="116"/>
      <c r="L378" s="116"/>
      <c r="M378" s="116"/>
      <c r="N378" s="116"/>
      <c r="O378" s="389"/>
      <c r="P378" s="219"/>
      <c r="Q378" s="332"/>
      <c r="R378" s="332"/>
      <c r="S378" s="219"/>
      <c r="T378" s="332"/>
      <c r="U378" s="219"/>
      <c r="V378" s="332"/>
      <c r="W378" s="242"/>
      <c r="X378" s="332"/>
    </row>
    <row r="379" spans="1:24" ht="13">
      <c r="A379" s="7"/>
      <c r="C379" s="153"/>
      <c r="F379" s="332"/>
      <c r="G379" s="219"/>
      <c r="H379" s="116"/>
      <c r="I379" s="116"/>
      <c r="J379" s="116"/>
      <c r="K379" s="116"/>
      <c r="L379" s="116"/>
      <c r="M379" s="116"/>
      <c r="N379" s="116"/>
      <c r="O379" s="389"/>
      <c r="P379" s="219"/>
      <c r="Q379" s="332"/>
      <c r="R379" s="332"/>
      <c r="S379" s="219"/>
      <c r="T379" s="332"/>
      <c r="U379" s="219"/>
      <c r="V379" s="332"/>
      <c r="W379" s="242"/>
      <c r="X379" s="332"/>
    </row>
    <row r="380" spans="1:24" ht="13">
      <c r="A380" s="7"/>
      <c r="C380" s="153"/>
      <c r="F380" s="332"/>
      <c r="G380" s="219"/>
      <c r="H380" s="116"/>
      <c r="I380" s="116"/>
      <c r="J380" s="116"/>
      <c r="K380" s="116"/>
      <c r="L380" s="116"/>
      <c r="M380" s="116"/>
      <c r="N380" s="116"/>
      <c r="O380" s="389"/>
      <c r="P380" s="219"/>
      <c r="Q380" s="332"/>
      <c r="R380" s="332"/>
      <c r="S380" s="219"/>
      <c r="T380" s="332"/>
      <c r="U380" s="219"/>
      <c r="V380" s="332"/>
      <c r="W380" s="242"/>
      <c r="X380" s="332"/>
    </row>
    <row r="381" spans="1:24" ht="13">
      <c r="A381" s="7"/>
      <c r="C381" s="153"/>
      <c r="F381" s="332"/>
      <c r="G381" s="219"/>
      <c r="H381" s="116"/>
      <c r="I381" s="116"/>
      <c r="J381" s="116"/>
      <c r="K381" s="116"/>
      <c r="L381" s="116"/>
      <c r="M381" s="116"/>
      <c r="N381" s="116"/>
      <c r="O381" s="389"/>
      <c r="P381" s="219"/>
      <c r="Q381" s="332"/>
      <c r="R381" s="332"/>
      <c r="S381" s="219"/>
      <c r="T381" s="332"/>
      <c r="U381" s="219"/>
      <c r="V381" s="332"/>
      <c r="W381" s="242"/>
      <c r="X381" s="332"/>
    </row>
    <row r="382" spans="1:24" ht="13">
      <c r="A382" s="7"/>
      <c r="C382" s="153"/>
      <c r="F382" s="332"/>
      <c r="G382" s="219"/>
      <c r="H382" s="116"/>
      <c r="I382" s="116"/>
      <c r="J382" s="116"/>
      <c r="K382" s="116"/>
      <c r="L382" s="116"/>
      <c r="M382" s="116"/>
      <c r="N382" s="116"/>
      <c r="O382" s="389"/>
      <c r="P382" s="219"/>
      <c r="Q382" s="332"/>
      <c r="R382" s="332"/>
      <c r="S382" s="219"/>
      <c r="T382" s="332"/>
      <c r="U382" s="219"/>
      <c r="V382" s="332"/>
      <c r="W382" s="242"/>
      <c r="X382" s="332"/>
    </row>
    <row r="383" spans="1:24" ht="13">
      <c r="A383" s="7"/>
      <c r="C383" s="153"/>
      <c r="F383" s="332"/>
      <c r="G383" s="219"/>
      <c r="H383" s="116"/>
      <c r="I383" s="116"/>
      <c r="J383" s="116"/>
      <c r="K383" s="116"/>
      <c r="L383" s="116"/>
      <c r="M383" s="116"/>
      <c r="N383" s="116"/>
      <c r="O383" s="389"/>
      <c r="P383" s="219"/>
      <c r="Q383" s="332"/>
      <c r="R383" s="332"/>
      <c r="S383" s="219"/>
      <c r="T383" s="332"/>
      <c r="U383" s="219"/>
      <c r="V383" s="332"/>
      <c r="W383" s="242"/>
      <c r="X383" s="332"/>
    </row>
    <row r="384" spans="1:24" ht="13">
      <c r="A384" s="7"/>
      <c r="C384" s="153"/>
      <c r="F384" s="332"/>
      <c r="G384" s="219"/>
      <c r="H384" s="116"/>
      <c r="I384" s="116"/>
      <c r="J384" s="116"/>
      <c r="K384" s="116"/>
      <c r="L384" s="116"/>
      <c r="M384" s="116"/>
      <c r="N384" s="116"/>
      <c r="O384" s="389"/>
      <c r="P384" s="219"/>
      <c r="Q384" s="332"/>
      <c r="R384" s="332"/>
      <c r="S384" s="219"/>
      <c r="T384" s="332"/>
      <c r="U384" s="219"/>
      <c r="V384" s="332"/>
      <c r="W384" s="242"/>
      <c r="X384" s="332"/>
    </row>
    <row r="385" spans="1:24" ht="13">
      <c r="A385" s="7"/>
      <c r="C385" s="153"/>
      <c r="F385" s="332"/>
      <c r="G385" s="219"/>
      <c r="H385" s="116"/>
      <c r="I385" s="116"/>
      <c r="J385" s="116"/>
      <c r="K385" s="116"/>
      <c r="L385" s="116"/>
      <c r="M385" s="116"/>
      <c r="N385" s="116"/>
      <c r="O385" s="389"/>
      <c r="P385" s="219"/>
      <c r="Q385" s="332"/>
      <c r="R385" s="332"/>
      <c r="S385" s="219"/>
      <c r="T385" s="332"/>
      <c r="U385" s="219"/>
      <c r="V385" s="332"/>
      <c r="W385" s="242"/>
      <c r="X385" s="332"/>
    </row>
    <row r="386" spans="1:24" ht="13">
      <c r="A386" s="7"/>
      <c r="C386" s="153"/>
      <c r="F386" s="332"/>
      <c r="G386" s="219"/>
      <c r="H386" s="116"/>
      <c r="I386" s="116"/>
      <c r="J386" s="116"/>
      <c r="K386" s="116"/>
      <c r="L386" s="116"/>
      <c r="M386" s="116"/>
      <c r="N386" s="116"/>
      <c r="O386" s="389"/>
      <c r="P386" s="219"/>
      <c r="Q386" s="332"/>
      <c r="R386" s="332"/>
      <c r="S386" s="219"/>
      <c r="T386" s="332"/>
      <c r="U386" s="219"/>
      <c r="V386" s="332"/>
      <c r="W386" s="242"/>
      <c r="X386" s="332"/>
    </row>
    <row r="387" spans="1:24" ht="13">
      <c r="A387" s="7"/>
      <c r="C387" s="153"/>
      <c r="F387" s="332"/>
      <c r="G387" s="219"/>
      <c r="H387" s="116"/>
      <c r="I387" s="116"/>
      <c r="J387" s="116"/>
      <c r="K387" s="116"/>
      <c r="L387" s="116"/>
      <c r="M387" s="116"/>
      <c r="N387" s="116"/>
      <c r="O387" s="389"/>
      <c r="P387" s="219"/>
      <c r="Q387" s="332"/>
      <c r="R387" s="332"/>
      <c r="S387" s="219"/>
      <c r="T387" s="332"/>
      <c r="U387" s="219"/>
      <c r="V387" s="332"/>
      <c r="W387" s="242"/>
      <c r="X387" s="332"/>
    </row>
    <row r="388" spans="1:24" ht="13">
      <c r="A388" s="7"/>
      <c r="C388" s="153"/>
      <c r="F388" s="332"/>
      <c r="G388" s="219"/>
      <c r="H388" s="116"/>
      <c r="I388" s="116"/>
      <c r="J388" s="116"/>
      <c r="K388" s="116"/>
      <c r="L388" s="116"/>
      <c r="M388" s="116"/>
      <c r="N388" s="116"/>
      <c r="O388" s="389"/>
      <c r="P388" s="219"/>
      <c r="Q388" s="332"/>
      <c r="R388" s="332"/>
      <c r="S388" s="219"/>
      <c r="T388" s="332"/>
      <c r="U388" s="219"/>
      <c r="V388" s="332"/>
      <c r="W388" s="242"/>
      <c r="X388" s="332"/>
    </row>
    <row r="389" spans="1:24" ht="13">
      <c r="A389" s="7"/>
      <c r="C389" s="153"/>
      <c r="F389" s="332"/>
      <c r="G389" s="219"/>
      <c r="H389" s="116"/>
      <c r="I389" s="116"/>
      <c r="J389" s="116"/>
      <c r="K389" s="116"/>
      <c r="L389" s="116"/>
      <c r="M389" s="116"/>
      <c r="N389" s="116"/>
      <c r="O389" s="389"/>
      <c r="P389" s="219"/>
      <c r="Q389" s="332"/>
      <c r="R389" s="332"/>
      <c r="S389" s="219"/>
      <c r="T389" s="332"/>
      <c r="U389" s="219"/>
      <c r="V389" s="332"/>
      <c r="W389" s="242"/>
      <c r="X389" s="332"/>
    </row>
    <row r="390" spans="1:24" ht="13">
      <c r="A390" s="7"/>
      <c r="C390" s="153"/>
      <c r="F390" s="332"/>
      <c r="G390" s="219"/>
      <c r="H390" s="116"/>
      <c r="I390" s="116"/>
      <c r="J390" s="116"/>
      <c r="K390" s="116"/>
      <c r="L390" s="116"/>
      <c r="M390" s="116"/>
      <c r="N390" s="116"/>
      <c r="O390" s="389"/>
      <c r="P390" s="219"/>
      <c r="Q390" s="332"/>
      <c r="R390" s="332"/>
      <c r="S390" s="219"/>
      <c r="T390" s="332"/>
      <c r="U390" s="219"/>
      <c r="V390" s="332"/>
      <c r="W390" s="242"/>
      <c r="X390" s="332"/>
    </row>
    <row r="391" spans="1:24" ht="13">
      <c r="A391" s="7"/>
      <c r="C391" s="153"/>
      <c r="F391" s="332"/>
      <c r="G391" s="219"/>
      <c r="H391" s="116"/>
      <c r="I391" s="116"/>
      <c r="J391" s="116"/>
      <c r="K391" s="116"/>
      <c r="L391" s="116"/>
      <c r="M391" s="116"/>
      <c r="N391" s="116"/>
      <c r="O391" s="389"/>
      <c r="P391" s="219"/>
      <c r="Q391" s="332"/>
      <c r="R391" s="332"/>
      <c r="S391" s="219"/>
      <c r="T391" s="332"/>
      <c r="U391" s="219"/>
      <c r="V391" s="332"/>
      <c r="W391" s="242"/>
      <c r="X391" s="332"/>
    </row>
    <row r="392" spans="1:24" ht="13">
      <c r="A392" s="7"/>
      <c r="C392" s="153"/>
      <c r="F392" s="332"/>
      <c r="G392" s="219"/>
      <c r="H392" s="116"/>
      <c r="I392" s="116"/>
      <c r="J392" s="116"/>
      <c r="K392" s="116"/>
      <c r="L392" s="116"/>
      <c r="M392" s="116"/>
      <c r="N392" s="116"/>
      <c r="O392" s="389"/>
      <c r="P392" s="219"/>
      <c r="Q392" s="332"/>
      <c r="R392" s="332"/>
      <c r="S392" s="219"/>
      <c r="T392" s="332"/>
      <c r="U392" s="219"/>
      <c r="V392" s="332"/>
      <c r="W392" s="242"/>
      <c r="X392" s="332"/>
    </row>
    <row r="393" spans="1:24" ht="13">
      <c r="A393" s="7"/>
      <c r="C393" s="153"/>
      <c r="F393" s="332"/>
      <c r="G393" s="219"/>
      <c r="H393" s="116"/>
      <c r="I393" s="116"/>
      <c r="J393" s="116"/>
      <c r="K393" s="116"/>
      <c r="L393" s="116"/>
      <c r="M393" s="116"/>
      <c r="N393" s="116"/>
      <c r="O393" s="389"/>
      <c r="P393" s="219"/>
      <c r="Q393" s="332"/>
      <c r="R393" s="332"/>
      <c r="S393" s="219"/>
      <c r="T393" s="332"/>
      <c r="U393" s="219"/>
      <c r="V393" s="332"/>
      <c r="W393" s="242"/>
      <c r="X393" s="332"/>
    </row>
    <row r="394" spans="1:24" ht="13">
      <c r="A394" s="7"/>
      <c r="C394" s="153"/>
      <c r="F394" s="332"/>
      <c r="G394" s="219"/>
      <c r="H394" s="116"/>
      <c r="I394" s="116"/>
      <c r="J394" s="116"/>
      <c r="K394" s="116"/>
      <c r="L394" s="116"/>
      <c r="M394" s="116"/>
      <c r="N394" s="116"/>
      <c r="O394" s="389"/>
      <c r="P394" s="219"/>
      <c r="Q394" s="332"/>
      <c r="R394" s="332"/>
      <c r="S394" s="219"/>
      <c r="T394" s="332"/>
      <c r="U394" s="219"/>
      <c r="V394" s="332"/>
      <c r="W394" s="242"/>
      <c r="X394" s="332"/>
    </row>
    <row r="395" spans="1:24" ht="13">
      <c r="A395" s="7"/>
      <c r="C395" s="153"/>
      <c r="F395" s="332"/>
      <c r="G395" s="219"/>
      <c r="H395" s="116"/>
      <c r="I395" s="116"/>
      <c r="J395" s="116"/>
      <c r="K395" s="116"/>
      <c r="L395" s="116"/>
      <c r="M395" s="116"/>
      <c r="N395" s="116"/>
      <c r="O395" s="389"/>
      <c r="P395" s="219"/>
      <c r="Q395" s="332"/>
      <c r="R395" s="332"/>
      <c r="S395" s="219"/>
      <c r="T395" s="332"/>
      <c r="U395" s="219"/>
      <c r="V395" s="332"/>
      <c r="W395" s="242"/>
      <c r="X395" s="332"/>
    </row>
    <row r="396" spans="1:24" ht="13">
      <c r="A396" s="7"/>
      <c r="C396" s="153"/>
      <c r="F396" s="332"/>
      <c r="G396" s="219"/>
      <c r="H396" s="116"/>
      <c r="I396" s="116"/>
      <c r="J396" s="116"/>
      <c r="K396" s="116"/>
      <c r="L396" s="116"/>
      <c r="M396" s="116"/>
      <c r="N396" s="116"/>
      <c r="O396" s="389"/>
      <c r="P396" s="219"/>
      <c r="Q396" s="332"/>
      <c r="R396" s="332"/>
      <c r="S396" s="219"/>
      <c r="T396" s="332"/>
      <c r="U396" s="219"/>
      <c r="V396" s="332"/>
      <c r="W396" s="242"/>
      <c r="X396" s="332"/>
    </row>
    <row r="397" spans="1:24" ht="13">
      <c r="A397" s="7"/>
      <c r="C397" s="153"/>
      <c r="F397" s="332"/>
      <c r="G397" s="219"/>
      <c r="H397" s="116"/>
      <c r="I397" s="116"/>
      <c r="J397" s="116"/>
      <c r="K397" s="116"/>
      <c r="L397" s="116"/>
      <c r="M397" s="116"/>
      <c r="N397" s="116"/>
      <c r="O397" s="389"/>
      <c r="P397" s="219"/>
      <c r="Q397" s="332"/>
      <c r="R397" s="332"/>
      <c r="S397" s="219"/>
      <c r="T397" s="332"/>
      <c r="U397" s="219"/>
      <c r="V397" s="332"/>
      <c r="W397" s="242"/>
      <c r="X397" s="332"/>
    </row>
    <row r="398" spans="1:24" ht="13">
      <c r="A398" s="7"/>
      <c r="C398" s="153"/>
      <c r="F398" s="332"/>
      <c r="G398" s="219"/>
      <c r="H398" s="116"/>
      <c r="I398" s="116"/>
      <c r="J398" s="116"/>
      <c r="K398" s="116"/>
      <c r="L398" s="116"/>
      <c r="M398" s="116"/>
      <c r="N398" s="116"/>
      <c r="O398" s="389"/>
      <c r="P398" s="219"/>
      <c r="Q398" s="332"/>
      <c r="R398" s="332"/>
      <c r="S398" s="219"/>
      <c r="T398" s="332"/>
      <c r="U398" s="219"/>
      <c r="V398" s="332"/>
      <c r="W398" s="242"/>
      <c r="X398" s="332"/>
    </row>
    <row r="399" spans="1:24" ht="13">
      <c r="A399" s="7"/>
      <c r="C399" s="153"/>
      <c r="F399" s="332"/>
      <c r="G399" s="219"/>
      <c r="H399" s="116"/>
      <c r="I399" s="116"/>
      <c r="J399" s="116"/>
      <c r="K399" s="116"/>
      <c r="L399" s="116"/>
      <c r="M399" s="116"/>
      <c r="N399" s="116"/>
      <c r="O399" s="389"/>
      <c r="P399" s="219"/>
      <c r="Q399" s="332"/>
      <c r="R399" s="332"/>
      <c r="S399" s="219"/>
      <c r="T399" s="332"/>
      <c r="U399" s="219"/>
      <c r="V399" s="332"/>
      <c r="W399" s="242"/>
      <c r="X399" s="332"/>
    </row>
    <row r="400" spans="1:24" ht="13">
      <c r="A400" s="7"/>
      <c r="C400" s="153"/>
      <c r="F400" s="332"/>
      <c r="G400" s="219"/>
      <c r="H400" s="116"/>
      <c r="I400" s="116"/>
      <c r="J400" s="116"/>
      <c r="K400" s="116"/>
      <c r="L400" s="116"/>
      <c r="M400" s="116"/>
      <c r="N400" s="116"/>
      <c r="O400" s="389"/>
      <c r="P400" s="219"/>
      <c r="Q400" s="332"/>
      <c r="R400" s="332"/>
      <c r="S400" s="219"/>
      <c r="T400" s="332"/>
      <c r="U400" s="219"/>
      <c r="V400" s="332"/>
      <c r="W400" s="242"/>
      <c r="X400" s="332"/>
    </row>
    <row r="401" spans="1:24" ht="13">
      <c r="A401" s="7"/>
      <c r="C401" s="153"/>
      <c r="F401" s="332"/>
      <c r="G401" s="219"/>
      <c r="H401" s="116"/>
      <c r="I401" s="116"/>
      <c r="J401" s="116"/>
      <c r="K401" s="116"/>
      <c r="L401" s="116"/>
      <c r="M401" s="116"/>
      <c r="N401" s="116"/>
      <c r="O401" s="389"/>
      <c r="P401" s="219"/>
      <c r="Q401" s="332"/>
      <c r="R401" s="332"/>
      <c r="S401" s="219"/>
      <c r="T401" s="332"/>
      <c r="U401" s="219"/>
      <c r="V401" s="332"/>
      <c r="W401" s="242"/>
      <c r="X401" s="332"/>
    </row>
    <row r="402" spans="1:24" ht="13">
      <c r="A402" s="7"/>
      <c r="C402" s="153"/>
      <c r="F402" s="332"/>
      <c r="G402" s="219"/>
      <c r="H402" s="116"/>
      <c r="I402" s="116"/>
      <c r="J402" s="116"/>
      <c r="K402" s="116"/>
      <c r="L402" s="116"/>
      <c r="M402" s="116"/>
      <c r="N402" s="116"/>
      <c r="O402" s="389"/>
      <c r="P402" s="219"/>
      <c r="Q402" s="332"/>
      <c r="R402" s="332"/>
      <c r="S402" s="219"/>
      <c r="T402" s="332"/>
      <c r="U402" s="219"/>
      <c r="V402" s="332"/>
      <c r="W402" s="242"/>
      <c r="X402" s="332"/>
    </row>
    <row r="403" spans="1:24" ht="13">
      <c r="A403" s="7"/>
      <c r="C403" s="153"/>
      <c r="F403" s="332"/>
      <c r="G403" s="219"/>
      <c r="H403" s="116"/>
      <c r="I403" s="116"/>
      <c r="J403" s="116"/>
      <c r="K403" s="116"/>
      <c r="L403" s="116"/>
      <c r="M403" s="116"/>
      <c r="N403" s="116"/>
      <c r="O403" s="389"/>
      <c r="P403" s="219"/>
      <c r="Q403" s="332"/>
      <c r="R403" s="332"/>
      <c r="S403" s="219"/>
      <c r="T403" s="332"/>
      <c r="U403" s="219"/>
      <c r="V403" s="332"/>
      <c r="W403" s="242"/>
      <c r="X403" s="332"/>
    </row>
    <row r="404" spans="1:24" ht="13">
      <c r="A404" s="7"/>
      <c r="C404" s="153"/>
      <c r="F404" s="332"/>
      <c r="G404" s="219"/>
      <c r="H404" s="116"/>
      <c r="I404" s="116"/>
      <c r="J404" s="116"/>
      <c r="K404" s="116"/>
      <c r="L404" s="116"/>
      <c r="M404" s="116"/>
      <c r="N404" s="116"/>
      <c r="O404" s="389"/>
      <c r="P404" s="219"/>
      <c r="Q404" s="332"/>
      <c r="R404" s="332"/>
      <c r="S404" s="219"/>
      <c r="T404" s="332"/>
      <c r="U404" s="219"/>
      <c r="V404" s="332"/>
      <c r="W404" s="242"/>
      <c r="X404" s="332"/>
    </row>
    <row r="405" spans="1:24" ht="13">
      <c r="A405" s="7"/>
      <c r="C405" s="153"/>
      <c r="F405" s="332"/>
      <c r="G405" s="219"/>
      <c r="H405" s="116"/>
      <c r="I405" s="116"/>
      <c r="J405" s="116"/>
      <c r="K405" s="116"/>
      <c r="L405" s="116"/>
      <c r="M405" s="116"/>
      <c r="N405" s="116"/>
      <c r="O405" s="389"/>
      <c r="P405" s="219"/>
      <c r="Q405" s="332"/>
      <c r="R405" s="332"/>
      <c r="S405" s="219"/>
      <c r="T405" s="332"/>
      <c r="U405" s="219"/>
      <c r="V405" s="332"/>
      <c r="W405" s="242"/>
      <c r="X405" s="332"/>
    </row>
    <row r="406" spans="1:24" ht="13">
      <c r="A406" s="7"/>
      <c r="C406" s="153"/>
      <c r="F406" s="332"/>
      <c r="G406" s="219"/>
      <c r="H406" s="116"/>
      <c r="I406" s="116"/>
      <c r="J406" s="116"/>
      <c r="K406" s="116"/>
      <c r="L406" s="116"/>
      <c r="M406" s="116"/>
      <c r="N406" s="116"/>
      <c r="O406" s="389"/>
      <c r="P406" s="219"/>
      <c r="Q406" s="332"/>
      <c r="R406" s="332"/>
      <c r="S406" s="219"/>
      <c r="T406" s="332"/>
      <c r="U406" s="219"/>
      <c r="V406" s="332"/>
      <c r="W406" s="242"/>
      <c r="X406" s="332"/>
    </row>
    <row r="407" spans="1:24" ht="13">
      <c r="A407" s="7"/>
      <c r="C407" s="153"/>
      <c r="F407" s="332"/>
      <c r="G407" s="219"/>
      <c r="H407" s="116"/>
      <c r="I407" s="116"/>
      <c r="J407" s="116"/>
      <c r="K407" s="116"/>
      <c r="L407" s="116"/>
      <c r="M407" s="116"/>
      <c r="N407" s="116"/>
      <c r="O407" s="389"/>
      <c r="P407" s="219"/>
      <c r="Q407" s="332"/>
      <c r="R407" s="332"/>
      <c r="S407" s="219"/>
      <c r="T407" s="332"/>
      <c r="U407" s="219"/>
      <c r="V407" s="332"/>
      <c r="W407" s="242"/>
      <c r="X407" s="332"/>
    </row>
    <row r="408" spans="1:24" ht="13">
      <c r="A408" s="7"/>
      <c r="C408" s="153"/>
      <c r="F408" s="332"/>
      <c r="G408" s="219"/>
      <c r="H408" s="116"/>
      <c r="I408" s="116"/>
      <c r="J408" s="116"/>
      <c r="K408" s="116"/>
      <c r="L408" s="116"/>
      <c r="M408" s="116"/>
      <c r="N408" s="116"/>
      <c r="O408" s="389"/>
      <c r="P408" s="219"/>
      <c r="Q408" s="332"/>
      <c r="R408" s="332"/>
      <c r="S408" s="219"/>
      <c r="T408" s="332"/>
      <c r="U408" s="219"/>
      <c r="V408" s="332"/>
      <c r="W408" s="242"/>
      <c r="X408" s="332"/>
    </row>
    <row r="409" spans="1:24" ht="13">
      <c r="A409" s="7"/>
      <c r="C409" s="153"/>
      <c r="F409" s="332"/>
      <c r="G409" s="219"/>
      <c r="H409" s="116"/>
      <c r="I409" s="116"/>
      <c r="J409" s="116"/>
      <c r="K409" s="116"/>
      <c r="L409" s="116"/>
      <c r="M409" s="116"/>
      <c r="N409" s="116"/>
      <c r="O409" s="389"/>
      <c r="P409" s="219"/>
      <c r="Q409" s="332"/>
      <c r="R409" s="332"/>
      <c r="S409" s="219"/>
      <c r="T409" s="332"/>
      <c r="U409" s="219"/>
      <c r="V409" s="332"/>
      <c r="W409" s="242"/>
      <c r="X409" s="332"/>
    </row>
    <row r="410" spans="1:24" ht="13">
      <c r="A410" s="7"/>
      <c r="C410" s="153"/>
      <c r="F410" s="332"/>
      <c r="G410" s="219"/>
      <c r="H410" s="116"/>
      <c r="I410" s="116"/>
      <c r="J410" s="116"/>
      <c r="K410" s="116"/>
      <c r="L410" s="116"/>
      <c r="M410" s="116"/>
      <c r="N410" s="116"/>
      <c r="O410" s="389"/>
      <c r="P410" s="219"/>
      <c r="Q410" s="332"/>
      <c r="R410" s="332"/>
      <c r="S410" s="219"/>
      <c r="T410" s="332"/>
      <c r="U410" s="219"/>
      <c r="V410" s="332"/>
      <c r="W410" s="242"/>
      <c r="X410" s="332"/>
    </row>
    <row r="411" spans="1:24" ht="13">
      <c r="A411" s="7"/>
      <c r="C411" s="153"/>
      <c r="F411" s="332"/>
      <c r="G411" s="219"/>
      <c r="H411" s="116"/>
      <c r="I411" s="116"/>
      <c r="J411" s="116"/>
      <c r="K411" s="116"/>
      <c r="L411" s="116"/>
      <c r="M411" s="116"/>
      <c r="N411" s="116"/>
      <c r="O411" s="389"/>
      <c r="P411" s="219"/>
      <c r="Q411" s="332"/>
      <c r="R411" s="332"/>
      <c r="S411" s="219"/>
      <c r="T411" s="332"/>
      <c r="U411" s="219"/>
      <c r="V411" s="332"/>
      <c r="W411" s="242"/>
      <c r="X411" s="332"/>
    </row>
    <row r="412" spans="1:24" ht="13">
      <c r="A412" s="7"/>
      <c r="C412" s="153"/>
      <c r="F412" s="332"/>
      <c r="G412" s="219"/>
      <c r="H412" s="116"/>
      <c r="I412" s="116"/>
      <c r="J412" s="116"/>
      <c r="K412" s="116"/>
      <c r="L412" s="116"/>
      <c r="M412" s="116"/>
      <c r="N412" s="116"/>
      <c r="O412" s="389"/>
      <c r="P412" s="219"/>
      <c r="Q412" s="332"/>
      <c r="R412" s="332"/>
      <c r="S412" s="219"/>
      <c r="T412" s="332"/>
      <c r="U412" s="219"/>
      <c r="V412" s="332"/>
      <c r="W412" s="242"/>
      <c r="X412" s="332"/>
    </row>
    <row r="413" spans="1:24" ht="13">
      <c r="A413" s="7"/>
      <c r="C413" s="153"/>
      <c r="F413" s="332"/>
      <c r="G413" s="219"/>
      <c r="H413" s="116"/>
      <c r="I413" s="116"/>
      <c r="J413" s="116"/>
      <c r="K413" s="116"/>
      <c r="L413" s="116"/>
      <c r="M413" s="116"/>
      <c r="N413" s="116"/>
      <c r="O413" s="389"/>
      <c r="P413" s="219"/>
      <c r="Q413" s="332"/>
      <c r="R413" s="332"/>
      <c r="S413" s="219"/>
      <c r="T413" s="332"/>
      <c r="U413" s="219"/>
      <c r="V413" s="332"/>
      <c r="W413" s="242"/>
      <c r="X413" s="332"/>
    </row>
    <row r="414" spans="1:24" ht="13">
      <c r="A414" s="7"/>
      <c r="C414" s="153"/>
      <c r="F414" s="332"/>
      <c r="G414" s="219"/>
      <c r="H414" s="116"/>
      <c r="I414" s="116"/>
      <c r="J414" s="116"/>
      <c r="K414" s="116"/>
      <c r="L414" s="116"/>
      <c r="M414" s="116"/>
      <c r="N414" s="116"/>
      <c r="O414" s="389"/>
      <c r="P414" s="219"/>
      <c r="Q414" s="332"/>
      <c r="R414" s="332"/>
      <c r="S414" s="219"/>
      <c r="T414" s="332"/>
      <c r="U414" s="219"/>
      <c r="V414" s="332"/>
      <c r="W414" s="242"/>
      <c r="X414" s="332"/>
    </row>
    <row r="415" spans="1:24" ht="13">
      <c r="A415" s="7"/>
      <c r="C415" s="153"/>
      <c r="F415" s="332"/>
      <c r="G415" s="219"/>
      <c r="H415" s="116"/>
      <c r="I415" s="116"/>
      <c r="J415" s="116"/>
      <c r="K415" s="116"/>
      <c r="L415" s="116"/>
      <c r="M415" s="116"/>
      <c r="N415" s="116"/>
      <c r="O415" s="389"/>
      <c r="P415" s="219"/>
      <c r="Q415" s="332"/>
      <c r="R415" s="332"/>
      <c r="S415" s="219"/>
      <c r="T415" s="332"/>
      <c r="U415" s="219"/>
      <c r="V415" s="332"/>
      <c r="W415" s="242"/>
      <c r="X415" s="332"/>
    </row>
    <row r="416" spans="1:24" ht="13">
      <c r="A416" s="7"/>
      <c r="C416" s="153"/>
      <c r="F416" s="332"/>
      <c r="G416" s="219"/>
      <c r="H416" s="116"/>
      <c r="I416" s="116"/>
      <c r="J416" s="116"/>
      <c r="K416" s="116"/>
      <c r="L416" s="116"/>
      <c r="M416" s="116"/>
      <c r="N416" s="116"/>
      <c r="O416" s="389"/>
      <c r="P416" s="219"/>
      <c r="Q416" s="332"/>
      <c r="R416" s="332"/>
      <c r="S416" s="219"/>
      <c r="T416" s="332"/>
      <c r="U416" s="219"/>
      <c r="V416" s="332"/>
      <c r="W416" s="242"/>
      <c r="X416" s="332"/>
    </row>
    <row r="417" spans="1:24" ht="13">
      <c r="A417" s="7"/>
      <c r="C417" s="153"/>
      <c r="F417" s="332"/>
      <c r="G417" s="219"/>
      <c r="H417" s="116"/>
      <c r="I417" s="116"/>
      <c r="J417" s="116"/>
      <c r="K417" s="116"/>
      <c r="L417" s="116"/>
      <c r="M417" s="116"/>
      <c r="N417" s="116"/>
      <c r="O417" s="389"/>
      <c r="P417" s="219"/>
      <c r="Q417" s="332"/>
      <c r="R417" s="332"/>
      <c r="S417" s="219"/>
      <c r="T417" s="332"/>
      <c r="U417" s="219"/>
      <c r="V417" s="332"/>
      <c r="W417" s="242"/>
      <c r="X417" s="332"/>
    </row>
    <row r="418" spans="1:24" ht="13">
      <c r="A418" s="7"/>
      <c r="C418" s="153"/>
      <c r="F418" s="332"/>
      <c r="G418" s="219"/>
      <c r="H418" s="116"/>
      <c r="I418" s="116"/>
      <c r="J418" s="116"/>
      <c r="K418" s="116"/>
      <c r="L418" s="116"/>
      <c r="M418" s="116"/>
      <c r="N418" s="116"/>
      <c r="O418" s="389"/>
      <c r="P418" s="219"/>
      <c r="Q418" s="332"/>
      <c r="R418" s="332"/>
      <c r="S418" s="219"/>
      <c r="T418" s="332"/>
      <c r="U418" s="219"/>
      <c r="V418" s="332"/>
      <c r="W418" s="242"/>
      <c r="X418" s="332"/>
    </row>
    <row r="419" spans="1:24" ht="13">
      <c r="A419" s="7"/>
      <c r="C419" s="153"/>
      <c r="F419" s="332"/>
      <c r="G419" s="219"/>
      <c r="H419" s="116"/>
      <c r="I419" s="116"/>
      <c r="J419" s="116"/>
      <c r="K419" s="116"/>
      <c r="L419" s="116"/>
      <c r="M419" s="116"/>
      <c r="N419" s="116"/>
      <c r="O419" s="389"/>
      <c r="P419" s="219"/>
      <c r="Q419" s="332"/>
      <c r="R419" s="332"/>
      <c r="S419" s="219"/>
      <c r="T419" s="332"/>
      <c r="U419" s="219"/>
      <c r="V419" s="332"/>
      <c r="W419" s="242"/>
      <c r="X419" s="332"/>
    </row>
    <row r="420" spans="1:24" ht="13">
      <c r="A420" s="7"/>
      <c r="C420" s="153"/>
      <c r="F420" s="332"/>
      <c r="G420" s="219"/>
      <c r="H420" s="116"/>
      <c r="I420" s="116"/>
      <c r="J420" s="116"/>
      <c r="K420" s="116"/>
      <c r="L420" s="116"/>
      <c r="M420" s="116"/>
      <c r="N420" s="116"/>
      <c r="O420" s="389"/>
      <c r="P420" s="219"/>
      <c r="Q420" s="332"/>
      <c r="R420" s="332"/>
      <c r="S420" s="219"/>
      <c r="T420" s="332"/>
      <c r="U420" s="219"/>
      <c r="V420" s="332"/>
      <c r="W420" s="242"/>
      <c r="X420" s="332"/>
    </row>
    <row r="421" spans="1:24" ht="13">
      <c r="A421" s="7"/>
      <c r="C421" s="153"/>
      <c r="F421" s="332"/>
      <c r="G421" s="219"/>
      <c r="H421" s="116"/>
      <c r="I421" s="116"/>
      <c r="J421" s="116"/>
      <c r="K421" s="116"/>
      <c r="L421" s="116"/>
      <c r="M421" s="116"/>
      <c r="N421" s="116"/>
      <c r="O421" s="389"/>
      <c r="P421" s="219"/>
      <c r="Q421" s="332"/>
      <c r="R421" s="332"/>
      <c r="S421" s="219"/>
      <c r="T421" s="332"/>
      <c r="U421" s="219"/>
      <c r="V421" s="332"/>
      <c r="W421" s="242"/>
      <c r="X421" s="332"/>
    </row>
    <row r="422" spans="1:24" ht="13">
      <c r="A422" s="7"/>
      <c r="C422" s="153"/>
      <c r="F422" s="332"/>
      <c r="G422" s="219"/>
      <c r="H422" s="116"/>
      <c r="I422" s="116"/>
      <c r="J422" s="116"/>
      <c r="K422" s="116"/>
      <c r="L422" s="116"/>
      <c r="M422" s="116"/>
      <c r="N422" s="116"/>
      <c r="O422" s="389"/>
      <c r="P422" s="219"/>
      <c r="Q422" s="332"/>
      <c r="R422" s="332"/>
      <c r="S422" s="219"/>
      <c r="T422" s="332"/>
      <c r="U422" s="219"/>
      <c r="V422" s="332"/>
      <c r="W422" s="242"/>
      <c r="X422" s="332"/>
    </row>
    <row r="423" spans="1:24" ht="13">
      <c r="A423" s="7"/>
      <c r="C423" s="153"/>
      <c r="F423" s="332"/>
      <c r="G423" s="219"/>
      <c r="H423" s="116"/>
      <c r="I423" s="116"/>
      <c r="J423" s="116"/>
      <c r="K423" s="116"/>
      <c r="L423" s="116"/>
      <c r="M423" s="116"/>
      <c r="N423" s="116"/>
      <c r="O423" s="389"/>
      <c r="P423" s="219"/>
      <c r="Q423" s="332"/>
      <c r="R423" s="332"/>
      <c r="S423" s="219"/>
      <c r="T423" s="332"/>
      <c r="U423" s="219"/>
      <c r="V423" s="332"/>
      <c r="W423" s="242"/>
      <c r="X423" s="332"/>
    </row>
    <row r="424" spans="1:24" ht="13">
      <c r="A424" s="7"/>
      <c r="C424" s="153"/>
      <c r="F424" s="332"/>
      <c r="G424" s="219"/>
      <c r="H424" s="116"/>
      <c r="I424" s="116"/>
      <c r="J424" s="116"/>
      <c r="K424" s="116"/>
      <c r="L424" s="116"/>
      <c r="M424" s="116"/>
      <c r="N424" s="116"/>
      <c r="O424" s="389"/>
      <c r="P424" s="219"/>
      <c r="Q424" s="332"/>
      <c r="R424" s="332"/>
      <c r="S424" s="219"/>
      <c r="T424" s="332"/>
      <c r="U424" s="219"/>
      <c r="V424" s="332"/>
      <c r="W424" s="242"/>
      <c r="X424" s="332"/>
    </row>
    <row r="425" spans="1:24" ht="13">
      <c r="A425" s="7"/>
      <c r="C425" s="153"/>
      <c r="F425" s="332"/>
      <c r="G425" s="219"/>
      <c r="H425" s="116"/>
      <c r="I425" s="116"/>
      <c r="J425" s="116"/>
      <c r="K425" s="116"/>
      <c r="L425" s="116"/>
      <c r="M425" s="116"/>
      <c r="N425" s="116"/>
      <c r="O425" s="389"/>
      <c r="P425" s="219"/>
      <c r="Q425" s="332"/>
      <c r="R425" s="332"/>
      <c r="S425" s="219"/>
      <c r="T425" s="332"/>
      <c r="U425" s="219"/>
      <c r="V425" s="332"/>
      <c r="W425" s="242"/>
      <c r="X425" s="332"/>
    </row>
    <row r="426" spans="1:24" ht="13">
      <c r="A426" s="7"/>
      <c r="C426" s="153"/>
      <c r="F426" s="332"/>
      <c r="G426" s="219"/>
      <c r="H426" s="116"/>
      <c r="I426" s="116"/>
      <c r="J426" s="116"/>
      <c r="K426" s="116"/>
      <c r="L426" s="116"/>
      <c r="M426" s="116"/>
      <c r="N426" s="116"/>
      <c r="O426" s="389"/>
      <c r="P426" s="219"/>
      <c r="Q426" s="332"/>
      <c r="R426" s="332"/>
      <c r="S426" s="219"/>
      <c r="T426" s="332"/>
      <c r="U426" s="219"/>
      <c r="V426" s="332"/>
      <c r="W426" s="242"/>
      <c r="X426" s="332"/>
    </row>
    <row r="427" spans="1:24" ht="13">
      <c r="A427" s="7"/>
      <c r="C427" s="153"/>
      <c r="F427" s="332"/>
      <c r="G427" s="219"/>
      <c r="H427" s="116"/>
      <c r="I427" s="116"/>
      <c r="J427" s="116"/>
      <c r="K427" s="116"/>
      <c r="L427" s="116"/>
      <c r="M427" s="116"/>
      <c r="N427" s="116"/>
      <c r="O427" s="389"/>
      <c r="P427" s="219"/>
      <c r="Q427" s="332"/>
      <c r="R427" s="332"/>
      <c r="S427" s="219"/>
      <c r="T427" s="332"/>
      <c r="U427" s="219"/>
      <c r="V427" s="332"/>
      <c r="W427" s="242"/>
      <c r="X427" s="332"/>
    </row>
    <row r="428" spans="1:24" ht="13">
      <c r="A428" s="7"/>
      <c r="C428" s="153"/>
      <c r="F428" s="332"/>
      <c r="G428" s="219"/>
      <c r="H428" s="116"/>
      <c r="I428" s="116"/>
      <c r="J428" s="116"/>
      <c r="K428" s="116"/>
      <c r="L428" s="116"/>
      <c r="M428" s="116"/>
      <c r="N428" s="116"/>
      <c r="O428" s="389"/>
      <c r="P428" s="219"/>
      <c r="Q428" s="332"/>
      <c r="R428" s="332"/>
      <c r="S428" s="219"/>
      <c r="T428" s="332"/>
      <c r="U428" s="219"/>
      <c r="V428" s="332"/>
      <c r="W428" s="242"/>
      <c r="X428" s="332"/>
    </row>
    <row r="429" spans="1:24" ht="13">
      <c r="A429" s="7"/>
      <c r="C429" s="153"/>
      <c r="F429" s="332"/>
      <c r="G429" s="219"/>
      <c r="H429" s="116"/>
      <c r="I429" s="116"/>
      <c r="J429" s="116"/>
      <c r="K429" s="116"/>
      <c r="L429" s="116"/>
      <c r="M429" s="116"/>
      <c r="N429" s="116"/>
      <c r="O429" s="389"/>
      <c r="P429" s="219"/>
      <c r="Q429" s="332"/>
      <c r="R429" s="332"/>
      <c r="S429" s="219"/>
      <c r="T429" s="332"/>
      <c r="U429" s="219"/>
      <c r="V429" s="332"/>
      <c r="W429" s="242"/>
      <c r="X429" s="332"/>
    </row>
    <row r="430" spans="1:24" ht="13">
      <c r="A430" s="7"/>
      <c r="C430" s="153"/>
      <c r="F430" s="332"/>
      <c r="G430" s="219"/>
      <c r="H430" s="116"/>
      <c r="I430" s="116"/>
      <c r="J430" s="116"/>
      <c r="K430" s="116"/>
      <c r="L430" s="116"/>
      <c r="M430" s="116"/>
      <c r="N430" s="116"/>
      <c r="O430" s="389"/>
      <c r="P430" s="219"/>
      <c r="Q430" s="332"/>
      <c r="R430" s="332"/>
      <c r="S430" s="219"/>
      <c r="T430" s="332"/>
      <c r="U430" s="219"/>
      <c r="V430" s="332"/>
      <c r="W430" s="242"/>
      <c r="X430" s="332"/>
    </row>
    <row r="431" spans="1:24" ht="13">
      <c r="A431" s="7"/>
      <c r="C431" s="153"/>
      <c r="F431" s="332"/>
      <c r="G431" s="219"/>
      <c r="H431" s="116"/>
      <c r="I431" s="116"/>
      <c r="J431" s="116"/>
      <c r="K431" s="116"/>
      <c r="L431" s="116"/>
      <c r="M431" s="116"/>
      <c r="N431" s="116"/>
      <c r="O431" s="389"/>
      <c r="P431" s="219"/>
      <c r="Q431" s="332"/>
      <c r="R431" s="332"/>
      <c r="S431" s="219"/>
      <c r="T431" s="332"/>
      <c r="U431" s="219"/>
      <c r="V431" s="332"/>
      <c r="W431" s="242"/>
      <c r="X431" s="332"/>
    </row>
    <row r="432" spans="1:24" ht="13">
      <c r="A432" s="7"/>
      <c r="C432" s="153"/>
      <c r="F432" s="332"/>
      <c r="G432" s="219"/>
      <c r="H432" s="116"/>
      <c r="I432" s="116"/>
      <c r="J432" s="116"/>
      <c r="K432" s="116"/>
      <c r="L432" s="116"/>
      <c r="M432" s="116"/>
      <c r="N432" s="116"/>
      <c r="O432" s="389"/>
      <c r="P432" s="219"/>
      <c r="Q432" s="332"/>
      <c r="R432" s="332"/>
      <c r="S432" s="219"/>
      <c r="T432" s="332"/>
      <c r="U432" s="219"/>
      <c r="V432" s="332"/>
      <c r="W432" s="242"/>
      <c r="X432" s="332"/>
    </row>
    <row r="433" spans="1:24" ht="13">
      <c r="A433" s="7"/>
      <c r="C433" s="153"/>
      <c r="F433" s="332"/>
      <c r="G433" s="219"/>
      <c r="H433" s="116"/>
      <c r="I433" s="116"/>
      <c r="J433" s="116"/>
      <c r="K433" s="116"/>
      <c r="L433" s="116"/>
      <c r="M433" s="116"/>
      <c r="N433" s="116"/>
      <c r="O433" s="389"/>
      <c r="P433" s="219"/>
      <c r="Q433" s="332"/>
      <c r="R433" s="332"/>
      <c r="S433" s="219"/>
      <c r="T433" s="332"/>
      <c r="U433" s="219"/>
      <c r="V433" s="332"/>
      <c r="W433" s="242"/>
      <c r="X433" s="332"/>
    </row>
    <row r="434" spans="1:24" ht="13">
      <c r="A434" s="7"/>
      <c r="C434" s="153"/>
      <c r="F434" s="332"/>
      <c r="G434" s="219"/>
      <c r="H434" s="116"/>
      <c r="I434" s="116"/>
      <c r="J434" s="116"/>
      <c r="K434" s="116"/>
      <c r="L434" s="116"/>
      <c r="M434" s="116"/>
      <c r="N434" s="116"/>
      <c r="O434" s="389"/>
      <c r="P434" s="219"/>
      <c r="Q434" s="332"/>
      <c r="R434" s="332"/>
      <c r="S434" s="219"/>
      <c r="T434" s="332"/>
      <c r="U434" s="219"/>
      <c r="V434" s="332"/>
      <c r="W434" s="242"/>
      <c r="X434" s="332"/>
    </row>
    <row r="435" spans="1:24" ht="13">
      <c r="A435" s="7"/>
      <c r="C435" s="153"/>
      <c r="F435" s="332"/>
      <c r="G435" s="219"/>
      <c r="H435" s="116"/>
      <c r="I435" s="116"/>
      <c r="J435" s="116"/>
      <c r="K435" s="116"/>
      <c r="L435" s="116"/>
      <c r="M435" s="116"/>
      <c r="N435" s="116"/>
      <c r="O435" s="389"/>
      <c r="P435" s="219"/>
      <c r="Q435" s="332"/>
      <c r="R435" s="332"/>
      <c r="S435" s="219"/>
      <c r="T435" s="332"/>
      <c r="U435" s="219"/>
      <c r="V435" s="332"/>
      <c r="W435" s="242"/>
      <c r="X435" s="332"/>
    </row>
    <row r="436" spans="1:24" ht="13">
      <c r="A436" s="7"/>
      <c r="C436" s="153"/>
      <c r="F436" s="332"/>
      <c r="G436" s="219"/>
      <c r="H436" s="116"/>
      <c r="I436" s="116"/>
      <c r="J436" s="116"/>
      <c r="K436" s="116"/>
      <c r="L436" s="116"/>
      <c r="M436" s="116"/>
      <c r="N436" s="116"/>
      <c r="O436" s="389"/>
      <c r="P436" s="219"/>
      <c r="Q436" s="332"/>
      <c r="R436" s="332"/>
      <c r="S436" s="219"/>
      <c r="T436" s="332"/>
      <c r="U436" s="219"/>
      <c r="V436" s="332"/>
      <c r="W436" s="242"/>
      <c r="X436" s="332"/>
    </row>
    <row r="437" spans="1:24" ht="13">
      <c r="A437" s="7"/>
      <c r="C437" s="153"/>
      <c r="F437" s="332"/>
      <c r="G437" s="219"/>
      <c r="H437" s="116"/>
      <c r="I437" s="116"/>
      <c r="J437" s="116"/>
      <c r="K437" s="116"/>
      <c r="L437" s="116"/>
      <c r="M437" s="116"/>
      <c r="N437" s="116"/>
      <c r="O437" s="389"/>
      <c r="P437" s="219"/>
      <c r="Q437" s="332"/>
      <c r="R437" s="332"/>
      <c r="S437" s="219"/>
      <c r="T437" s="332"/>
      <c r="U437" s="219"/>
      <c r="V437" s="332"/>
      <c r="W437" s="242"/>
      <c r="X437" s="332"/>
    </row>
    <row r="438" spans="1:24" ht="13">
      <c r="A438" s="7"/>
      <c r="C438" s="153"/>
      <c r="F438" s="332"/>
      <c r="G438" s="219"/>
      <c r="H438" s="116"/>
      <c r="I438" s="116"/>
      <c r="J438" s="116"/>
      <c r="K438" s="116"/>
      <c r="L438" s="116"/>
      <c r="M438" s="116"/>
      <c r="N438" s="116"/>
      <c r="O438" s="389"/>
      <c r="P438" s="219"/>
      <c r="Q438" s="332"/>
      <c r="R438" s="332"/>
      <c r="S438" s="219"/>
      <c r="T438" s="332"/>
      <c r="U438" s="219"/>
      <c r="V438" s="332"/>
      <c r="W438" s="242"/>
      <c r="X438" s="332"/>
    </row>
    <row r="439" spans="1:24" ht="13">
      <c r="A439" s="7"/>
      <c r="C439" s="153"/>
      <c r="F439" s="332"/>
      <c r="G439" s="219"/>
      <c r="H439" s="116"/>
      <c r="I439" s="116"/>
      <c r="J439" s="116"/>
      <c r="K439" s="116"/>
      <c r="L439" s="116"/>
      <c r="M439" s="116"/>
      <c r="N439" s="116"/>
      <c r="O439" s="389"/>
      <c r="P439" s="219"/>
      <c r="Q439" s="332"/>
      <c r="R439" s="332"/>
      <c r="S439" s="219"/>
      <c r="T439" s="332"/>
      <c r="U439" s="219"/>
      <c r="V439" s="332"/>
      <c r="W439" s="242"/>
      <c r="X439" s="332"/>
    </row>
    <row r="440" spans="1:24" ht="13">
      <c r="A440" s="7"/>
      <c r="C440" s="153"/>
      <c r="F440" s="332"/>
      <c r="G440" s="219"/>
      <c r="H440" s="116"/>
      <c r="I440" s="116"/>
      <c r="J440" s="116"/>
      <c r="K440" s="116"/>
      <c r="L440" s="116"/>
      <c r="M440" s="116"/>
      <c r="N440" s="116"/>
      <c r="O440" s="389"/>
      <c r="P440" s="219"/>
      <c r="Q440" s="332"/>
      <c r="R440" s="332"/>
      <c r="S440" s="219"/>
      <c r="T440" s="332"/>
      <c r="U440" s="219"/>
      <c r="V440" s="332"/>
      <c r="W440" s="242"/>
      <c r="X440" s="332"/>
    </row>
    <row r="441" spans="1:24" ht="13">
      <c r="A441" s="7"/>
      <c r="C441" s="153"/>
      <c r="F441" s="332"/>
      <c r="G441" s="219"/>
      <c r="H441" s="116"/>
      <c r="I441" s="116"/>
      <c r="J441" s="116"/>
      <c r="K441" s="116"/>
      <c r="L441" s="116"/>
      <c r="M441" s="116"/>
      <c r="N441" s="116"/>
      <c r="O441" s="389"/>
      <c r="P441" s="219"/>
      <c r="Q441" s="332"/>
      <c r="R441" s="332"/>
      <c r="S441" s="219"/>
      <c r="T441" s="332"/>
      <c r="U441" s="219"/>
      <c r="V441" s="332"/>
      <c r="W441" s="242"/>
      <c r="X441" s="332"/>
    </row>
    <row r="442" spans="1:24" ht="13">
      <c r="A442" s="7"/>
      <c r="C442" s="153"/>
      <c r="F442" s="332"/>
      <c r="G442" s="219"/>
      <c r="H442" s="116"/>
      <c r="I442" s="116"/>
      <c r="J442" s="116"/>
      <c r="K442" s="116"/>
      <c r="L442" s="116"/>
      <c r="M442" s="116"/>
      <c r="N442" s="116"/>
      <c r="O442" s="389"/>
      <c r="P442" s="219"/>
      <c r="Q442" s="332"/>
      <c r="R442" s="332"/>
      <c r="S442" s="219"/>
      <c r="T442" s="332"/>
      <c r="U442" s="219"/>
      <c r="V442" s="332"/>
      <c r="W442" s="242"/>
      <c r="X442" s="332"/>
    </row>
    <row r="443" spans="1:24" ht="13">
      <c r="A443" s="7"/>
      <c r="C443" s="153"/>
      <c r="F443" s="332"/>
      <c r="G443" s="219"/>
      <c r="H443" s="116"/>
      <c r="I443" s="116"/>
      <c r="J443" s="116"/>
      <c r="K443" s="116"/>
      <c r="L443" s="116"/>
      <c r="M443" s="116"/>
      <c r="N443" s="116"/>
      <c r="O443" s="389"/>
      <c r="P443" s="219"/>
      <c r="Q443" s="332"/>
      <c r="R443" s="332"/>
      <c r="S443" s="219"/>
      <c r="T443" s="332"/>
      <c r="U443" s="219"/>
      <c r="V443" s="332"/>
      <c r="W443" s="242"/>
      <c r="X443" s="332"/>
    </row>
    <row r="444" spans="1:24" ht="13">
      <c r="A444" s="7"/>
      <c r="C444" s="153"/>
      <c r="F444" s="332"/>
      <c r="G444" s="219"/>
      <c r="H444" s="116"/>
      <c r="I444" s="116"/>
      <c r="J444" s="116"/>
      <c r="K444" s="116"/>
      <c r="L444" s="116"/>
      <c r="M444" s="116"/>
      <c r="N444" s="116"/>
      <c r="O444" s="389"/>
      <c r="P444" s="219"/>
      <c r="Q444" s="332"/>
      <c r="R444" s="332"/>
      <c r="S444" s="219"/>
      <c r="T444" s="332"/>
      <c r="U444" s="219"/>
      <c r="V444" s="332"/>
      <c r="W444" s="242"/>
      <c r="X444" s="332"/>
    </row>
    <row r="445" spans="1:24" ht="13">
      <c r="A445" s="7"/>
      <c r="C445" s="153"/>
      <c r="F445" s="332"/>
      <c r="G445" s="219"/>
      <c r="H445" s="116"/>
      <c r="I445" s="116"/>
      <c r="J445" s="116"/>
      <c r="K445" s="116"/>
      <c r="L445" s="116"/>
      <c r="M445" s="116"/>
      <c r="N445" s="116"/>
      <c r="O445" s="389"/>
      <c r="P445" s="219"/>
      <c r="Q445" s="332"/>
      <c r="R445" s="332"/>
      <c r="S445" s="219"/>
      <c r="T445" s="332"/>
      <c r="U445" s="219"/>
      <c r="V445" s="332"/>
      <c r="W445" s="242"/>
      <c r="X445" s="332"/>
    </row>
    <row r="446" spans="1:24" ht="13">
      <c r="A446" s="7"/>
      <c r="C446" s="153"/>
      <c r="F446" s="332"/>
      <c r="G446" s="219"/>
      <c r="H446" s="116"/>
      <c r="I446" s="116"/>
      <c r="J446" s="116"/>
      <c r="K446" s="116"/>
      <c r="L446" s="116"/>
      <c r="M446" s="116"/>
      <c r="N446" s="116"/>
      <c r="O446" s="389"/>
      <c r="P446" s="219"/>
      <c r="Q446" s="332"/>
      <c r="R446" s="332"/>
      <c r="S446" s="219"/>
      <c r="T446" s="332"/>
      <c r="U446" s="219"/>
      <c r="V446" s="332"/>
      <c r="W446" s="242"/>
      <c r="X446" s="332"/>
    </row>
    <row r="447" spans="1:24" ht="13">
      <c r="A447" s="7"/>
      <c r="C447" s="153"/>
      <c r="F447" s="332"/>
      <c r="G447" s="219"/>
      <c r="H447" s="116"/>
      <c r="I447" s="116"/>
      <c r="J447" s="116"/>
      <c r="K447" s="116"/>
      <c r="L447" s="116"/>
      <c r="M447" s="116"/>
      <c r="N447" s="116"/>
      <c r="O447" s="389"/>
      <c r="P447" s="219"/>
      <c r="Q447" s="332"/>
      <c r="R447" s="332"/>
      <c r="S447" s="219"/>
      <c r="T447" s="332"/>
      <c r="U447" s="219"/>
      <c r="V447" s="332"/>
      <c r="W447" s="242"/>
      <c r="X447" s="332"/>
    </row>
    <row r="448" spans="1:24" ht="13">
      <c r="A448" s="7"/>
      <c r="C448" s="153"/>
      <c r="F448" s="332"/>
      <c r="G448" s="219"/>
      <c r="H448" s="116"/>
      <c r="I448" s="116"/>
      <c r="J448" s="116"/>
      <c r="K448" s="116"/>
      <c r="L448" s="116"/>
      <c r="M448" s="116"/>
      <c r="N448" s="116"/>
      <c r="O448" s="389"/>
      <c r="P448" s="219"/>
      <c r="Q448" s="332"/>
      <c r="R448" s="332"/>
      <c r="S448" s="219"/>
      <c r="T448" s="332"/>
      <c r="U448" s="219"/>
      <c r="V448" s="332"/>
      <c r="W448" s="242"/>
      <c r="X448" s="332"/>
    </row>
    <row r="449" spans="1:24" ht="13">
      <c r="A449" s="7"/>
      <c r="C449" s="153"/>
      <c r="F449" s="332"/>
      <c r="G449" s="219"/>
      <c r="H449" s="116"/>
      <c r="I449" s="116"/>
      <c r="J449" s="116"/>
      <c r="K449" s="116"/>
      <c r="L449" s="116"/>
      <c r="M449" s="116"/>
      <c r="N449" s="116"/>
      <c r="O449" s="389"/>
      <c r="P449" s="219"/>
      <c r="Q449" s="332"/>
      <c r="R449" s="332"/>
      <c r="S449" s="219"/>
      <c r="T449" s="332"/>
      <c r="U449" s="219"/>
      <c r="V449" s="332"/>
      <c r="W449" s="242"/>
      <c r="X449" s="332"/>
    </row>
    <row r="450" spans="1:24" ht="13">
      <c r="A450" s="7"/>
      <c r="C450" s="153"/>
      <c r="F450" s="332"/>
      <c r="G450" s="219"/>
      <c r="H450" s="116"/>
      <c r="I450" s="116"/>
      <c r="J450" s="116"/>
      <c r="K450" s="116"/>
      <c r="L450" s="116"/>
      <c r="M450" s="116"/>
      <c r="N450" s="116"/>
      <c r="O450" s="389"/>
      <c r="P450" s="219"/>
      <c r="Q450" s="332"/>
      <c r="R450" s="332"/>
      <c r="S450" s="219"/>
      <c r="T450" s="332"/>
      <c r="U450" s="219"/>
      <c r="V450" s="332"/>
      <c r="W450" s="242"/>
      <c r="X450" s="332"/>
    </row>
    <row r="451" spans="1:24" ht="13">
      <c r="A451" s="7"/>
      <c r="C451" s="153"/>
      <c r="F451" s="332"/>
      <c r="G451" s="219"/>
      <c r="H451" s="116"/>
      <c r="I451" s="116"/>
      <c r="J451" s="116"/>
      <c r="K451" s="116"/>
      <c r="L451" s="116"/>
      <c r="M451" s="116"/>
      <c r="N451" s="116"/>
      <c r="O451" s="389"/>
      <c r="P451" s="219"/>
      <c r="Q451" s="332"/>
      <c r="R451" s="332"/>
      <c r="S451" s="219"/>
      <c r="T451" s="332"/>
      <c r="U451" s="219"/>
      <c r="V451" s="332"/>
      <c r="W451" s="242"/>
      <c r="X451" s="332"/>
    </row>
    <row r="452" spans="1:24" ht="13">
      <c r="A452" s="7"/>
      <c r="C452" s="153"/>
      <c r="F452" s="332"/>
      <c r="G452" s="219"/>
      <c r="H452" s="116"/>
      <c r="I452" s="116"/>
      <c r="J452" s="116"/>
      <c r="K452" s="116"/>
      <c r="L452" s="116"/>
      <c r="M452" s="116"/>
      <c r="N452" s="116"/>
      <c r="O452" s="389"/>
      <c r="P452" s="219"/>
      <c r="Q452" s="332"/>
      <c r="R452" s="332"/>
      <c r="S452" s="219"/>
      <c r="T452" s="332"/>
      <c r="U452" s="219"/>
      <c r="V452" s="332"/>
      <c r="W452" s="242"/>
      <c r="X452" s="332"/>
    </row>
    <row r="453" spans="1:24" ht="13">
      <c r="A453" s="7"/>
      <c r="C453" s="153"/>
      <c r="F453" s="332"/>
      <c r="G453" s="219"/>
      <c r="H453" s="116"/>
      <c r="I453" s="116"/>
      <c r="J453" s="116"/>
      <c r="K453" s="116"/>
      <c r="L453" s="116"/>
      <c r="M453" s="116"/>
      <c r="N453" s="116"/>
      <c r="O453" s="389"/>
      <c r="P453" s="219"/>
      <c r="Q453" s="332"/>
      <c r="R453" s="332"/>
      <c r="S453" s="219"/>
      <c r="T453" s="332"/>
      <c r="U453" s="219"/>
      <c r="V453" s="332"/>
      <c r="W453" s="242"/>
      <c r="X453" s="332"/>
    </row>
    <row r="454" spans="1:24" ht="13">
      <c r="A454" s="7"/>
      <c r="C454" s="153"/>
      <c r="F454" s="332"/>
      <c r="G454" s="219"/>
      <c r="H454" s="116"/>
      <c r="I454" s="116"/>
      <c r="J454" s="116"/>
      <c r="K454" s="116"/>
      <c r="L454" s="116"/>
      <c r="M454" s="116"/>
      <c r="N454" s="116"/>
      <c r="O454" s="389"/>
      <c r="P454" s="219"/>
      <c r="Q454" s="332"/>
      <c r="R454" s="332"/>
      <c r="S454" s="219"/>
      <c r="T454" s="332"/>
      <c r="U454" s="219"/>
      <c r="V454" s="332"/>
      <c r="W454" s="242"/>
      <c r="X454" s="332"/>
    </row>
    <row r="455" spans="1:24" ht="13">
      <c r="A455" s="7"/>
      <c r="C455" s="153"/>
      <c r="F455" s="332"/>
      <c r="G455" s="219"/>
      <c r="H455" s="116"/>
      <c r="I455" s="116"/>
      <c r="J455" s="116"/>
      <c r="K455" s="116"/>
      <c r="L455" s="116"/>
      <c r="M455" s="116"/>
      <c r="N455" s="116"/>
      <c r="O455" s="389"/>
      <c r="P455" s="219"/>
      <c r="Q455" s="332"/>
      <c r="R455" s="332"/>
      <c r="S455" s="219"/>
      <c r="T455" s="332"/>
      <c r="U455" s="219"/>
      <c r="V455" s="332"/>
      <c r="W455" s="242"/>
      <c r="X455" s="332"/>
    </row>
    <row r="456" spans="1:24" ht="13">
      <c r="A456" s="7"/>
      <c r="C456" s="153"/>
      <c r="F456" s="332"/>
      <c r="G456" s="219"/>
      <c r="H456" s="116"/>
      <c r="I456" s="116"/>
      <c r="J456" s="116"/>
      <c r="K456" s="116"/>
      <c r="L456" s="116"/>
      <c r="M456" s="116"/>
      <c r="N456" s="116"/>
      <c r="O456" s="389"/>
      <c r="P456" s="219"/>
      <c r="Q456" s="332"/>
      <c r="R456" s="332"/>
      <c r="S456" s="219"/>
      <c r="T456" s="332"/>
      <c r="U456" s="219"/>
      <c r="V456" s="332"/>
      <c r="W456" s="242"/>
      <c r="X456" s="332"/>
    </row>
    <row r="457" spans="1:24" ht="13">
      <c r="A457" s="7"/>
      <c r="C457" s="153"/>
      <c r="F457" s="332"/>
      <c r="G457" s="219"/>
      <c r="H457" s="116"/>
      <c r="I457" s="116"/>
      <c r="J457" s="116"/>
      <c r="K457" s="116"/>
      <c r="L457" s="116"/>
      <c r="M457" s="116"/>
      <c r="N457" s="116"/>
      <c r="O457" s="389"/>
      <c r="P457" s="219"/>
      <c r="Q457" s="332"/>
      <c r="R457" s="332"/>
      <c r="S457" s="219"/>
      <c r="T457" s="332"/>
      <c r="U457" s="219"/>
      <c r="V457" s="332"/>
      <c r="W457" s="242"/>
      <c r="X457" s="332"/>
    </row>
    <row r="458" spans="1:24" ht="13">
      <c r="A458" s="7"/>
      <c r="C458" s="153"/>
      <c r="F458" s="332"/>
      <c r="G458" s="219"/>
      <c r="H458" s="116"/>
      <c r="I458" s="116"/>
      <c r="J458" s="116"/>
      <c r="K458" s="116"/>
      <c r="L458" s="116"/>
      <c r="M458" s="116"/>
      <c r="N458" s="116"/>
      <c r="O458" s="389"/>
      <c r="P458" s="219"/>
      <c r="Q458" s="332"/>
      <c r="R458" s="332"/>
      <c r="S458" s="219"/>
      <c r="T458" s="332"/>
      <c r="U458" s="219"/>
      <c r="V458" s="332"/>
      <c r="W458" s="242"/>
      <c r="X458" s="332"/>
    </row>
    <row r="459" spans="1:24" ht="13">
      <c r="A459" s="7"/>
      <c r="C459" s="153"/>
      <c r="F459" s="332"/>
      <c r="G459" s="219"/>
      <c r="H459" s="116"/>
      <c r="I459" s="116"/>
      <c r="J459" s="116"/>
      <c r="K459" s="116"/>
      <c r="L459" s="116"/>
      <c r="M459" s="116"/>
      <c r="N459" s="116"/>
      <c r="O459" s="389"/>
      <c r="P459" s="219"/>
      <c r="Q459" s="332"/>
      <c r="R459" s="332"/>
      <c r="S459" s="219"/>
      <c r="T459" s="332"/>
      <c r="U459" s="219"/>
      <c r="V459" s="332"/>
      <c r="W459" s="242"/>
      <c r="X459" s="332"/>
    </row>
    <row r="460" spans="1:24" ht="13">
      <c r="A460" s="7"/>
      <c r="C460" s="153"/>
      <c r="F460" s="332"/>
      <c r="G460" s="219"/>
      <c r="H460" s="116"/>
      <c r="I460" s="116"/>
      <c r="J460" s="116"/>
      <c r="K460" s="116"/>
      <c r="L460" s="116"/>
      <c r="M460" s="116"/>
      <c r="N460" s="116"/>
      <c r="O460" s="389"/>
      <c r="P460" s="219"/>
      <c r="Q460" s="332"/>
      <c r="R460" s="332"/>
      <c r="S460" s="219"/>
      <c r="T460" s="332"/>
      <c r="U460" s="219"/>
      <c r="V460" s="332"/>
      <c r="W460" s="242"/>
      <c r="X460" s="332"/>
    </row>
    <row r="461" spans="1:24" ht="13">
      <c r="A461" s="7"/>
      <c r="C461" s="153"/>
      <c r="F461" s="332"/>
      <c r="G461" s="219"/>
      <c r="H461" s="116"/>
      <c r="I461" s="116"/>
      <c r="J461" s="116"/>
      <c r="K461" s="116"/>
      <c r="L461" s="116"/>
      <c r="M461" s="116"/>
      <c r="N461" s="116"/>
      <c r="O461" s="389"/>
      <c r="P461" s="219"/>
      <c r="Q461" s="332"/>
      <c r="R461" s="332"/>
      <c r="S461" s="219"/>
      <c r="T461" s="332"/>
      <c r="U461" s="219"/>
      <c r="V461" s="332"/>
      <c r="W461" s="242"/>
      <c r="X461" s="332"/>
    </row>
    <row r="462" spans="1:24" ht="13">
      <c r="A462" s="7"/>
      <c r="C462" s="153"/>
      <c r="F462" s="332"/>
      <c r="G462" s="219"/>
      <c r="H462" s="116"/>
      <c r="I462" s="116"/>
      <c r="J462" s="116"/>
      <c r="K462" s="116"/>
      <c r="L462" s="116"/>
      <c r="M462" s="116"/>
      <c r="N462" s="116"/>
      <c r="O462" s="389"/>
      <c r="P462" s="219"/>
      <c r="Q462" s="332"/>
      <c r="R462" s="332"/>
      <c r="S462" s="219"/>
      <c r="T462" s="332"/>
      <c r="U462" s="219"/>
      <c r="V462" s="332"/>
      <c r="W462" s="242"/>
      <c r="X462" s="332"/>
    </row>
    <row r="463" spans="1:24" ht="13">
      <c r="A463" s="7"/>
      <c r="C463" s="153"/>
      <c r="F463" s="332"/>
      <c r="G463" s="219"/>
      <c r="H463" s="116"/>
      <c r="I463" s="116"/>
      <c r="J463" s="116"/>
      <c r="K463" s="116"/>
      <c r="L463" s="116"/>
      <c r="M463" s="116"/>
      <c r="N463" s="116"/>
      <c r="O463" s="389"/>
      <c r="P463" s="219"/>
      <c r="Q463" s="332"/>
      <c r="R463" s="332"/>
      <c r="S463" s="219"/>
      <c r="T463" s="332"/>
      <c r="U463" s="219"/>
      <c r="V463" s="332"/>
      <c r="W463" s="242"/>
      <c r="X463" s="332"/>
    </row>
    <row r="464" spans="1:24" ht="13">
      <c r="A464" s="7"/>
      <c r="C464" s="153"/>
      <c r="F464" s="332"/>
      <c r="G464" s="219"/>
      <c r="H464" s="116"/>
      <c r="I464" s="116"/>
      <c r="J464" s="116"/>
      <c r="K464" s="116"/>
      <c r="L464" s="116"/>
      <c r="M464" s="116"/>
      <c r="N464" s="116"/>
      <c r="O464" s="389"/>
      <c r="P464" s="219"/>
      <c r="Q464" s="332"/>
      <c r="R464" s="332"/>
      <c r="S464" s="219"/>
      <c r="T464" s="332"/>
      <c r="U464" s="219"/>
      <c r="V464" s="332"/>
      <c r="W464" s="242"/>
      <c r="X464" s="332"/>
    </row>
    <row r="465" spans="1:24" ht="13">
      <c r="A465" s="7"/>
      <c r="C465" s="153"/>
      <c r="F465" s="332"/>
      <c r="G465" s="219"/>
      <c r="H465" s="116"/>
      <c r="I465" s="116"/>
      <c r="J465" s="116"/>
      <c r="K465" s="116"/>
      <c r="L465" s="116"/>
      <c r="M465" s="116"/>
      <c r="N465" s="116"/>
      <c r="O465" s="389"/>
      <c r="P465" s="219"/>
      <c r="Q465" s="332"/>
      <c r="R465" s="332"/>
      <c r="S465" s="219"/>
      <c r="T465" s="332"/>
      <c r="U465" s="219"/>
      <c r="V465" s="332"/>
      <c r="W465" s="242"/>
      <c r="X465" s="332"/>
    </row>
    <row r="466" spans="1:24" ht="13">
      <c r="A466" s="7"/>
      <c r="C466" s="153"/>
      <c r="F466" s="332"/>
      <c r="G466" s="219"/>
      <c r="H466" s="116"/>
      <c r="I466" s="116"/>
      <c r="J466" s="116"/>
      <c r="K466" s="116"/>
      <c r="L466" s="116"/>
      <c r="M466" s="116"/>
      <c r="N466" s="116"/>
      <c r="O466" s="389"/>
      <c r="P466" s="219"/>
      <c r="Q466" s="332"/>
      <c r="R466" s="332"/>
      <c r="S466" s="219"/>
      <c r="T466" s="332"/>
      <c r="U466" s="219"/>
      <c r="V466" s="332"/>
      <c r="W466" s="242"/>
      <c r="X466" s="332"/>
    </row>
    <row r="467" spans="1:24" ht="13">
      <c r="A467" s="7"/>
      <c r="C467" s="153"/>
      <c r="F467" s="332"/>
      <c r="G467" s="219"/>
      <c r="H467" s="116"/>
      <c r="I467" s="116"/>
      <c r="J467" s="116"/>
      <c r="K467" s="116"/>
      <c r="L467" s="116"/>
      <c r="M467" s="116"/>
      <c r="N467" s="116"/>
      <c r="O467" s="389"/>
      <c r="P467" s="219"/>
      <c r="Q467" s="332"/>
      <c r="R467" s="332"/>
      <c r="S467" s="219"/>
      <c r="T467" s="332"/>
      <c r="U467" s="219"/>
      <c r="V467" s="332"/>
      <c r="W467" s="242"/>
      <c r="X467" s="332"/>
    </row>
    <row r="468" spans="1:24" ht="13">
      <c r="A468" s="7"/>
      <c r="C468" s="153"/>
      <c r="F468" s="332"/>
      <c r="G468" s="219"/>
      <c r="H468" s="116"/>
      <c r="I468" s="116"/>
      <c r="J468" s="116"/>
      <c r="K468" s="116"/>
      <c r="L468" s="116"/>
      <c r="M468" s="116"/>
      <c r="N468" s="116"/>
      <c r="O468" s="389"/>
      <c r="P468" s="219"/>
      <c r="Q468" s="332"/>
      <c r="R468" s="332"/>
      <c r="S468" s="219"/>
      <c r="T468" s="332"/>
      <c r="U468" s="219"/>
      <c r="V468" s="332"/>
      <c r="W468" s="242"/>
      <c r="X468" s="332"/>
    </row>
    <row r="469" spans="1:24" ht="13">
      <c r="A469" s="7"/>
      <c r="C469" s="153"/>
      <c r="F469" s="332"/>
      <c r="G469" s="219"/>
      <c r="H469" s="116"/>
      <c r="I469" s="116"/>
      <c r="J469" s="116"/>
      <c r="K469" s="116"/>
      <c r="L469" s="116"/>
      <c r="M469" s="116"/>
      <c r="N469" s="116"/>
      <c r="O469" s="389"/>
      <c r="P469" s="219"/>
      <c r="Q469" s="332"/>
      <c r="R469" s="332"/>
      <c r="S469" s="219"/>
      <c r="T469" s="332"/>
      <c r="U469" s="219"/>
      <c r="V469" s="332"/>
      <c r="W469" s="242"/>
      <c r="X469" s="332"/>
    </row>
    <row r="470" spans="1:24" ht="13">
      <c r="A470" s="7"/>
      <c r="C470" s="153"/>
      <c r="F470" s="332"/>
      <c r="G470" s="219"/>
      <c r="H470" s="116"/>
      <c r="I470" s="116"/>
      <c r="J470" s="116"/>
      <c r="K470" s="116"/>
      <c r="L470" s="116"/>
      <c r="M470" s="116"/>
      <c r="N470" s="116"/>
      <c r="O470" s="389"/>
      <c r="P470" s="219"/>
      <c r="Q470" s="332"/>
      <c r="R470" s="332"/>
      <c r="S470" s="219"/>
      <c r="T470" s="332"/>
      <c r="U470" s="219"/>
      <c r="V470" s="332"/>
      <c r="W470" s="242"/>
      <c r="X470" s="332"/>
    </row>
    <row r="471" spans="1:24" ht="13">
      <c r="A471" s="7"/>
      <c r="C471" s="153"/>
      <c r="F471" s="332"/>
      <c r="G471" s="219"/>
      <c r="H471" s="116"/>
      <c r="I471" s="116"/>
      <c r="J471" s="116"/>
      <c r="K471" s="116"/>
      <c r="L471" s="116"/>
      <c r="M471" s="116"/>
      <c r="N471" s="116"/>
      <c r="O471" s="389"/>
      <c r="P471" s="219"/>
      <c r="Q471" s="332"/>
      <c r="R471" s="332"/>
      <c r="S471" s="219"/>
      <c r="T471" s="332"/>
      <c r="U471" s="219"/>
      <c r="V471" s="332"/>
      <c r="W471" s="242"/>
      <c r="X471" s="332"/>
    </row>
    <row r="472" spans="1:24" ht="13">
      <c r="A472" s="7"/>
      <c r="C472" s="153"/>
      <c r="F472" s="332"/>
      <c r="G472" s="219"/>
      <c r="H472" s="116"/>
      <c r="I472" s="116"/>
      <c r="J472" s="116"/>
      <c r="K472" s="116"/>
      <c r="L472" s="116"/>
      <c r="M472" s="116"/>
      <c r="N472" s="116"/>
      <c r="O472" s="389"/>
      <c r="P472" s="219"/>
      <c r="Q472" s="332"/>
      <c r="R472" s="332"/>
      <c r="S472" s="219"/>
      <c r="T472" s="332"/>
      <c r="U472" s="219"/>
      <c r="V472" s="332"/>
      <c r="W472" s="242"/>
      <c r="X472" s="332"/>
    </row>
    <row r="473" spans="1:24" ht="13">
      <c r="A473" s="7"/>
      <c r="C473" s="153"/>
      <c r="F473" s="332"/>
      <c r="G473" s="219"/>
      <c r="H473" s="116"/>
      <c r="I473" s="116"/>
      <c r="J473" s="116"/>
      <c r="K473" s="116"/>
      <c r="L473" s="116"/>
      <c r="M473" s="116"/>
      <c r="N473" s="116"/>
      <c r="O473" s="389"/>
      <c r="P473" s="219"/>
      <c r="Q473" s="332"/>
      <c r="R473" s="332"/>
      <c r="S473" s="219"/>
      <c r="T473" s="332"/>
      <c r="U473" s="219"/>
      <c r="V473" s="332"/>
      <c r="W473" s="242"/>
      <c r="X473" s="332"/>
    </row>
    <row r="474" spans="1:24" ht="13">
      <c r="A474" s="7"/>
      <c r="C474" s="153"/>
      <c r="F474" s="332"/>
      <c r="G474" s="219"/>
      <c r="H474" s="116"/>
      <c r="I474" s="116"/>
      <c r="J474" s="116"/>
      <c r="K474" s="116"/>
      <c r="L474" s="116"/>
      <c r="M474" s="116"/>
      <c r="N474" s="116"/>
      <c r="O474" s="389"/>
      <c r="P474" s="219"/>
      <c r="Q474" s="332"/>
      <c r="R474" s="332"/>
      <c r="S474" s="219"/>
      <c r="T474" s="332"/>
      <c r="U474" s="219"/>
      <c r="V474" s="332"/>
      <c r="W474" s="242"/>
      <c r="X474" s="332"/>
    </row>
    <row r="475" spans="1:24" ht="13">
      <c r="A475" s="7"/>
      <c r="C475" s="153"/>
      <c r="F475" s="332"/>
      <c r="G475" s="219"/>
      <c r="H475" s="116"/>
      <c r="I475" s="116"/>
      <c r="J475" s="116"/>
      <c r="K475" s="116"/>
      <c r="L475" s="116"/>
      <c r="M475" s="116"/>
      <c r="N475" s="116"/>
      <c r="O475" s="389"/>
      <c r="P475" s="219"/>
      <c r="Q475" s="332"/>
      <c r="R475" s="332"/>
      <c r="S475" s="219"/>
      <c r="T475" s="332"/>
      <c r="U475" s="219"/>
      <c r="V475" s="332"/>
      <c r="W475" s="242"/>
      <c r="X475" s="332"/>
    </row>
    <row r="476" spans="1:24" ht="13">
      <c r="A476" s="7"/>
      <c r="C476" s="153"/>
      <c r="F476" s="332"/>
      <c r="G476" s="219"/>
      <c r="H476" s="116"/>
      <c r="I476" s="116"/>
      <c r="J476" s="116"/>
      <c r="K476" s="116"/>
      <c r="L476" s="116"/>
      <c r="M476" s="116"/>
      <c r="N476" s="116"/>
      <c r="O476" s="389"/>
      <c r="P476" s="219"/>
      <c r="Q476" s="332"/>
      <c r="R476" s="332"/>
      <c r="S476" s="219"/>
      <c r="T476" s="332"/>
      <c r="U476" s="219"/>
      <c r="V476" s="332"/>
      <c r="W476" s="242"/>
      <c r="X476" s="332"/>
    </row>
    <row r="477" spans="1:24" ht="13">
      <c r="A477" s="7"/>
      <c r="C477" s="153"/>
      <c r="F477" s="332"/>
      <c r="G477" s="219"/>
      <c r="H477" s="116"/>
      <c r="I477" s="116"/>
      <c r="J477" s="116"/>
      <c r="K477" s="116"/>
      <c r="L477" s="116"/>
      <c r="M477" s="116"/>
      <c r="N477" s="116"/>
      <c r="O477" s="389"/>
      <c r="P477" s="219"/>
      <c r="Q477" s="332"/>
      <c r="R477" s="332"/>
      <c r="S477" s="219"/>
      <c r="T477" s="332"/>
      <c r="U477" s="219"/>
      <c r="V477" s="332"/>
      <c r="W477" s="242"/>
      <c r="X477" s="332"/>
    </row>
    <row r="478" spans="1:24" ht="13">
      <c r="A478" s="7"/>
      <c r="C478" s="153"/>
      <c r="F478" s="332"/>
      <c r="G478" s="219"/>
      <c r="H478" s="116"/>
      <c r="I478" s="116"/>
      <c r="J478" s="116"/>
      <c r="K478" s="116"/>
      <c r="L478" s="116"/>
      <c r="M478" s="116"/>
      <c r="N478" s="116"/>
      <c r="O478" s="389"/>
      <c r="P478" s="219"/>
      <c r="Q478" s="332"/>
      <c r="R478" s="332"/>
      <c r="S478" s="219"/>
      <c r="T478" s="332"/>
      <c r="U478" s="219"/>
      <c r="V478" s="332"/>
      <c r="W478" s="242"/>
      <c r="X478" s="332"/>
    </row>
    <row r="479" spans="1:24" ht="13">
      <c r="A479" s="7"/>
      <c r="C479" s="153"/>
      <c r="F479" s="332"/>
      <c r="G479" s="219"/>
      <c r="H479" s="116"/>
      <c r="I479" s="116"/>
      <c r="J479" s="116"/>
      <c r="K479" s="116"/>
      <c r="L479" s="116"/>
      <c r="M479" s="116"/>
      <c r="N479" s="116"/>
      <c r="O479" s="389"/>
      <c r="P479" s="219"/>
      <c r="Q479" s="332"/>
      <c r="R479" s="332"/>
      <c r="S479" s="219"/>
      <c r="T479" s="332"/>
      <c r="U479" s="219"/>
      <c r="V479" s="332"/>
      <c r="W479" s="242"/>
      <c r="X479" s="332"/>
    </row>
    <row r="480" spans="1:24" ht="13">
      <c r="A480" s="7"/>
      <c r="C480" s="153"/>
      <c r="F480" s="332"/>
      <c r="G480" s="219"/>
      <c r="H480" s="116"/>
      <c r="I480" s="116"/>
      <c r="J480" s="116"/>
      <c r="K480" s="116"/>
      <c r="L480" s="116"/>
      <c r="M480" s="116"/>
      <c r="N480" s="116"/>
      <c r="O480" s="389"/>
      <c r="P480" s="219"/>
      <c r="Q480" s="332"/>
      <c r="R480" s="332"/>
      <c r="S480" s="219"/>
      <c r="T480" s="332"/>
      <c r="U480" s="219"/>
      <c r="V480" s="332"/>
      <c r="W480" s="242"/>
      <c r="X480" s="332"/>
    </row>
    <row r="481" spans="1:24" ht="13">
      <c r="A481" s="7"/>
      <c r="C481" s="153"/>
      <c r="F481" s="332"/>
      <c r="G481" s="219"/>
      <c r="H481" s="116"/>
      <c r="I481" s="116"/>
      <c r="J481" s="116"/>
      <c r="K481" s="116"/>
      <c r="L481" s="116"/>
      <c r="M481" s="116"/>
      <c r="N481" s="116"/>
      <c r="O481" s="389"/>
      <c r="P481" s="219"/>
      <c r="Q481" s="332"/>
      <c r="R481" s="332"/>
      <c r="S481" s="219"/>
      <c r="T481" s="332"/>
      <c r="U481" s="219"/>
      <c r="V481" s="332"/>
      <c r="W481" s="242"/>
      <c r="X481" s="332"/>
    </row>
    <row r="482" spans="1:24" ht="13">
      <c r="A482" s="7"/>
      <c r="C482" s="153"/>
      <c r="F482" s="332"/>
      <c r="G482" s="219"/>
      <c r="H482" s="116"/>
      <c r="I482" s="116"/>
      <c r="J482" s="116"/>
      <c r="K482" s="116"/>
      <c r="L482" s="116"/>
      <c r="M482" s="116"/>
      <c r="N482" s="116"/>
      <c r="O482" s="389"/>
      <c r="P482" s="219"/>
      <c r="Q482" s="332"/>
      <c r="R482" s="332"/>
      <c r="S482" s="219"/>
      <c r="T482" s="332"/>
      <c r="U482" s="219"/>
      <c r="V482" s="332"/>
      <c r="W482" s="242"/>
      <c r="X482" s="332"/>
    </row>
    <row r="483" spans="1:24" ht="13">
      <c r="A483" s="7"/>
      <c r="C483" s="153"/>
      <c r="F483" s="332"/>
      <c r="G483" s="219"/>
      <c r="H483" s="116"/>
      <c r="I483" s="116"/>
      <c r="J483" s="116"/>
      <c r="K483" s="116"/>
      <c r="L483" s="116"/>
      <c r="M483" s="116"/>
      <c r="N483" s="116"/>
      <c r="O483" s="389"/>
      <c r="P483" s="219"/>
      <c r="Q483" s="332"/>
      <c r="R483" s="332"/>
      <c r="S483" s="219"/>
      <c r="T483" s="332"/>
      <c r="U483" s="219"/>
      <c r="V483" s="332"/>
      <c r="W483" s="242"/>
      <c r="X483" s="332"/>
    </row>
    <row r="484" spans="1:24" ht="13">
      <c r="A484" s="7"/>
      <c r="C484" s="153"/>
      <c r="F484" s="332"/>
      <c r="G484" s="219"/>
      <c r="H484" s="116"/>
      <c r="I484" s="116"/>
      <c r="J484" s="116"/>
      <c r="K484" s="116"/>
      <c r="L484" s="116"/>
      <c r="M484" s="116"/>
      <c r="N484" s="116"/>
      <c r="O484" s="389"/>
      <c r="P484" s="219"/>
      <c r="Q484" s="332"/>
      <c r="R484" s="332"/>
      <c r="S484" s="219"/>
      <c r="T484" s="332"/>
      <c r="U484" s="219"/>
      <c r="V484" s="332"/>
      <c r="W484" s="242"/>
      <c r="X484" s="332"/>
    </row>
    <row r="485" spans="1:24" ht="13">
      <c r="A485" s="7"/>
      <c r="C485" s="153"/>
      <c r="F485" s="332"/>
      <c r="G485" s="219"/>
      <c r="H485" s="116"/>
      <c r="I485" s="116"/>
      <c r="J485" s="116"/>
      <c r="K485" s="116"/>
      <c r="L485" s="116"/>
      <c r="M485" s="116"/>
      <c r="N485" s="116"/>
      <c r="O485" s="389"/>
      <c r="P485" s="219"/>
      <c r="Q485" s="332"/>
      <c r="R485" s="332"/>
      <c r="S485" s="219"/>
      <c r="T485" s="332"/>
      <c r="U485" s="219"/>
      <c r="V485" s="332"/>
      <c r="W485" s="242"/>
      <c r="X485" s="332"/>
    </row>
    <row r="486" spans="1:24" ht="13">
      <c r="A486" s="7"/>
      <c r="C486" s="153"/>
      <c r="F486" s="332"/>
      <c r="G486" s="219"/>
      <c r="H486" s="116"/>
      <c r="I486" s="116"/>
      <c r="J486" s="116"/>
      <c r="K486" s="116"/>
      <c r="L486" s="116"/>
      <c r="M486" s="116"/>
      <c r="N486" s="116"/>
      <c r="O486" s="389"/>
      <c r="P486" s="219"/>
      <c r="Q486" s="332"/>
      <c r="R486" s="332"/>
      <c r="S486" s="219"/>
      <c r="T486" s="332"/>
      <c r="U486" s="219"/>
      <c r="V486" s="332"/>
      <c r="W486" s="242"/>
      <c r="X486" s="332"/>
    </row>
    <row r="487" spans="1:24" ht="13">
      <c r="A487" s="7"/>
      <c r="C487" s="153"/>
      <c r="F487" s="332"/>
      <c r="G487" s="219"/>
      <c r="H487" s="116"/>
      <c r="I487" s="116"/>
      <c r="J487" s="116"/>
      <c r="K487" s="116"/>
      <c r="L487" s="116"/>
      <c r="M487" s="116"/>
      <c r="N487" s="116"/>
      <c r="O487" s="389"/>
      <c r="P487" s="219"/>
      <c r="Q487" s="332"/>
      <c r="R487" s="332"/>
      <c r="S487" s="219"/>
      <c r="T487" s="332"/>
      <c r="U487" s="219"/>
      <c r="V487" s="332"/>
      <c r="W487" s="242"/>
      <c r="X487" s="332"/>
    </row>
    <row r="488" spans="1:24" ht="13">
      <c r="A488" s="7"/>
      <c r="C488" s="153"/>
      <c r="F488" s="332"/>
      <c r="G488" s="219"/>
      <c r="H488" s="116"/>
      <c r="I488" s="116"/>
      <c r="J488" s="116"/>
      <c r="K488" s="116"/>
      <c r="L488" s="116"/>
      <c r="M488" s="116"/>
      <c r="N488" s="116"/>
      <c r="O488" s="389"/>
      <c r="P488" s="219"/>
      <c r="Q488" s="332"/>
      <c r="R488" s="332"/>
      <c r="S488" s="219"/>
      <c r="T488" s="332"/>
      <c r="U488" s="219"/>
      <c r="V488" s="332"/>
      <c r="W488" s="242"/>
      <c r="X488" s="332"/>
    </row>
    <row r="489" spans="1:24" ht="13">
      <c r="A489" s="7"/>
      <c r="C489" s="153"/>
      <c r="F489" s="332"/>
      <c r="G489" s="219"/>
      <c r="H489" s="116"/>
      <c r="I489" s="116"/>
      <c r="J489" s="116"/>
      <c r="K489" s="116"/>
      <c r="L489" s="116"/>
      <c r="M489" s="116"/>
      <c r="N489" s="116"/>
      <c r="O489" s="389"/>
      <c r="P489" s="219"/>
      <c r="Q489" s="332"/>
      <c r="R489" s="332"/>
      <c r="S489" s="219"/>
      <c r="T489" s="332"/>
      <c r="U489" s="219"/>
      <c r="V489" s="332"/>
      <c r="W489" s="242"/>
      <c r="X489" s="332"/>
    </row>
    <row r="490" spans="1:24" ht="13">
      <c r="A490" s="7"/>
      <c r="C490" s="153"/>
      <c r="F490" s="332"/>
      <c r="G490" s="219"/>
      <c r="H490" s="116"/>
      <c r="I490" s="116"/>
      <c r="J490" s="116"/>
      <c r="K490" s="116"/>
      <c r="L490" s="116"/>
      <c r="M490" s="116"/>
      <c r="N490" s="116"/>
      <c r="O490" s="389"/>
      <c r="P490" s="219"/>
      <c r="Q490" s="332"/>
      <c r="R490" s="332"/>
      <c r="S490" s="219"/>
      <c r="T490" s="332"/>
      <c r="U490" s="219"/>
      <c r="V490" s="332"/>
      <c r="W490" s="242"/>
      <c r="X490" s="332"/>
    </row>
    <row r="491" spans="1:24" ht="13">
      <c r="A491" s="7"/>
      <c r="C491" s="153"/>
      <c r="F491" s="332"/>
      <c r="G491" s="219"/>
      <c r="H491" s="116"/>
      <c r="I491" s="116"/>
      <c r="J491" s="116"/>
      <c r="K491" s="116"/>
      <c r="L491" s="116"/>
      <c r="M491" s="116"/>
      <c r="N491" s="116"/>
      <c r="O491" s="389"/>
      <c r="P491" s="219"/>
      <c r="Q491" s="332"/>
      <c r="R491" s="332"/>
      <c r="S491" s="219"/>
      <c r="T491" s="332"/>
      <c r="U491" s="219"/>
      <c r="V491" s="332"/>
      <c r="W491" s="242"/>
      <c r="X491" s="332"/>
    </row>
    <row r="492" spans="1:24" ht="13">
      <c r="A492" s="7"/>
      <c r="C492" s="153"/>
      <c r="F492" s="332"/>
      <c r="G492" s="219"/>
      <c r="H492" s="116"/>
      <c r="I492" s="116"/>
      <c r="J492" s="116"/>
      <c r="K492" s="116"/>
      <c r="L492" s="116"/>
      <c r="M492" s="116"/>
      <c r="N492" s="116"/>
      <c r="O492" s="389"/>
      <c r="P492" s="219"/>
      <c r="Q492" s="332"/>
      <c r="R492" s="332"/>
      <c r="S492" s="219"/>
      <c r="T492" s="332"/>
      <c r="U492" s="219"/>
      <c r="V492" s="332"/>
      <c r="W492" s="242"/>
      <c r="X492" s="332"/>
    </row>
    <row r="493" spans="1:24" ht="13">
      <c r="A493" s="7"/>
      <c r="C493" s="153"/>
      <c r="F493" s="332"/>
      <c r="G493" s="219"/>
      <c r="H493" s="116"/>
      <c r="I493" s="116"/>
      <c r="J493" s="116"/>
      <c r="K493" s="116"/>
      <c r="L493" s="116"/>
      <c r="M493" s="116"/>
      <c r="N493" s="116"/>
      <c r="O493" s="389"/>
      <c r="P493" s="219"/>
      <c r="Q493" s="332"/>
      <c r="R493" s="332"/>
      <c r="S493" s="219"/>
      <c r="T493" s="332"/>
      <c r="U493" s="219"/>
      <c r="V493" s="332"/>
      <c r="W493" s="242"/>
      <c r="X493" s="332"/>
    </row>
    <row r="494" spans="1:24" ht="13">
      <c r="A494" s="7"/>
      <c r="C494" s="153"/>
      <c r="F494" s="332"/>
      <c r="G494" s="219"/>
      <c r="H494" s="116"/>
      <c r="I494" s="116"/>
      <c r="J494" s="116"/>
      <c r="K494" s="116"/>
      <c r="L494" s="116"/>
      <c r="M494" s="116"/>
      <c r="N494" s="116"/>
      <c r="O494" s="389"/>
      <c r="P494" s="219"/>
      <c r="Q494" s="332"/>
      <c r="R494" s="332"/>
      <c r="S494" s="219"/>
      <c r="T494" s="332"/>
      <c r="U494" s="219"/>
      <c r="V494" s="332"/>
      <c r="W494" s="242"/>
      <c r="X494" s="332"/>
    </row>
    <row r="495" spans="1:24" ht="13">
      <c r="A495" s="7"/>
      <c r="C495" s="153"/>
      <c r="F495" s="332"/>
      <c r="G495" s="219"/>
      <c r="H495" s="116"/>
      <c r="I495" s="116"/>
      <c r="J495" s="116"/>
      <c r="K495" s="116"/>
      <c r="L495" s="116"/>
      <c r="M495" s="116"/>
      <c r="N495" s="116"/>
      <c r="O495" s="389"/>
      <c r="P495" s="219"/>
      <c r="Q495" s="332"/>
      <c r="R495" s="332"/>
      <c r="S495" s="219"/>
      <c r="T495" s="332"/>
      <c r="U495" s="219"/>
      <c r="V495" s="332"/>
      <c r="W495" s="242"/>
      <c r="X495" s="332"/>
    </row>
    <row r="496" spans="1:24" ht="13">
      <c r="A496" s="7"/>
      <c r="C496" s="153"/>
      <c r="F496" s="332"/>
      <c r="G496" s="219"/>
      <c r="H496" s="116"/>
      <c r="I496" s="116"/>
      <c r="J496" s="116"/>
      <c r="K496" s="116"/>
      <c r="L496" s="116"/>
      <c r="M496" s="116"/>
      <c r="N496" s="116"/>
      <c r="O496" s="389"/>
      <c r="P496" s="219"/>
      <c r="Q496" s="332"/>
      <c r="R496" s="332"/>
      <c r="S496" s="219"/>
      <c r="T496" s="332"/>
      <c r="U496" s="219"/>
      <c r="V496" s="332"/>
      <c r="W496" s="242"/>
      <c r="X496" s="332"/>
    </row>
    <row r="497" spans="1:24" ht="13">
      <c r="A497" s="7"/>
      <c r="C497" s="153"/>
      <c r="F497" s="332"/>
      <c r="G497" s="219"/>
      <c r="H497" s="116"/>
      <c r="I497" s="116"/>
      <c r="J497" s="116"/>
      <c r="K497" s="116"/>
      <c r="L497" s="116"/>
      <c r="M497" s="116"/>
      <c r="N497" s="116"/>
      <c r="O497" s="389"/>
      <c r="P497" s="219"/>
      <c r="Q497" s="332"/>
      <c r="R497" s="332"/>
      <c r="S497" s="219"/>
      <c r="T497" s="332"/>
      <c r="U497" s="219"/>
      <c r="V497" s="332"/>
      <c r="W497" s="242"/>
      <c r="X497" s="332"/>
    </row>
    <row r="498" spans="1:24" ht="13">
      <c r="A498" s="7"/>
      <c r="C498" s="153"/>
      <c r="F498" s="332"/>
      <c r="G498" s="219"/>
      <c r="H498" s="116"/>
      <c r="I498" s="116"/>
      <c r="J498" s="116"/>
      <c r="K498" s="116"/>
      <c r="L498" s="116"/>
      <c r="M498" s="116"/>
      <c r="N498" s="116"/>
      <c r="O498" s="389"/>
      <c r="P498" s="219"/>
      <c r="Q498" s="332"/>
      <c r="R498" s="332"/>
      <c r="S498" s="219"/>
      <c r="T498" s="332"/>
      <c r="U498" s="219"/>
      <c r="V498" s="332"/>
      <c r="W498" s="242"/>
      <c r="X498" s="332"/>
    </row>
    <row r="499" spans="1:24" ht="13">
      <c r="A499" s="7"/>
      <c r="C499" s="153"/>
      <c r="F499" s="332"/>
      <c r="G499" s="219"/>
      <c r="H499" s="116"/>
      <c r="I499" s="116"/>
      <c r="J499" s="116"/>
      <c r="K499" s="116"/>
      <c r="L499" s="116"/>
      <c r="M499" s="116"/>
      <c r="N499" s="116"/>
      <c r="O499" s="389"/>
      <c r="P499" s="219"/>
      <c r="Q499" s="332"/>
      <c r="R499" s="332"/>
      <c r="S499" s="219"/>
      <c r="T499" s="332"/>
      <c r="U499" s="219"/>
      <c r="V499" s="332"/>
      <c r="W499" s="242"/>
      <c r="X499" s="332"/>
    </row>
    <row r="500" spans="1:24" ht="13">
      <c r="A500" s="7"/>
      <c r="C500" s="153"/>
      <c r="F500" s="332"/>
      <c r="G500" s="219"/>
      <c r="H500" s="116"/>
      <c r="I500" s="116"/>
      <c r="J500" s="116"/>
      <c r="K500" s="116"/>
      <c r="L500" s="116"/>
      <c r="M500" s="116"/>
      <c r="N500" s="116"/>
      <c r="O500" s="389"/>
      <c r="P500" s="219"/>
      <c r="Q500" s="332"/>
      <c r="R500" s="332"/>
      <c r="S500" s="219"/>
      <c r="T500" s="332"/>
      <c r="U500" s="219"/>
      <c r="V500" s="332"/>
      <c r="W500" s="242"/>
      <c r="X500" s="332"/>
    </row>
    <row r="501" spans="1:24" ht="13">
      <c r="A501" s="7"/>
      <c r="C501" s="153"/>
      <c r="F501" s="332"/>
      <c r="G501" s="219"/>
      <c r="H501" s="116"/>
      <c r="I501" s="116"/>
      <c r="J501" s="116"/>
      <c r="K501" s="116"/>
      <c r="L501" s="116"/>
      <c r="M501" s="116"/>
      <c r="N501" s="116"/>
      <c r="O501" s="389"/>
      <c r="P501" s="219"/>
      <c r="Q501" s="332"/>
      <c r="R501" s="332"/>
      <c r="S501" s="219"/>
      <c r="T501" s="332"/>
      <c r="U501" s="219"/>
      <c r="V501" s="332"/>
      <c r="W501" s="242"/>
      <c r="X501" s="332"/>
    </row>
    <row r="502" spans="1:24" ht="13">
      <c r="A502" s="7"/>
      <c r="C502" s="153"/>
      <c r="F502" s="332"/>
      <c r="G502" s="219"/>
      <c r="H502" s="116"/>
      <c r="I502" s="116"/>
      <c r="J502" s="116"/>
      <c r="K502" s="116"/>
      <c r="L502" s="116"/>
      <c r="M502" s="116"/>
      <c r="N502" s="116"/>
      <c r="O502" s="389"/>
      <c r="P502" s="219"/>
      <c r="Q502" s="332"/>
      <c r="R502" s="332"/>
      <c r="S502" s="219"/>
      <c r="T502" s="332"/>
      <c r="U502" s="219"/>
      <c r="V502" s="332"/>
      <c r="W502" s="242"/>
      <c r="X502" s="332"/>
    </row>
    <row r="503" spans="1:24" ht="13">
      <c r="A503" s="7"/>
      <c r="C503" s="153"/>
      <c r="F503" s="332"/>
      <c r="G503" s="219"/>
      <c r="H503" s="116"/>
      <c r="I503" s="116"/>
      <c r="J503" s="116"/>
      <c r="K503" s="116"/>
      <c r="L503" s="116"/>
      <c r="M503" s="116"/>
      <c r="N503" s="116"/>
      <c r="O503" s="389"/>
      <c r="P503" s="219"/>
      <c r="Q503" s="332"/>
      <c r="R503" s="332"/>
      <c r="S503" s="219"/>
      <c r="T503" s="332"/>
      <c r="U503" s="219"/>
      <c r="V503" s="332"/>
      <c r="W503" s="242"/>
      <c r="X503" s="332"/>
    </row>
    <row r="504" spans="1:24" ht="13">
      <c r="A504" s="7"/>
      <c r="C504" s="153"/>
      <c r="F504" s="332"/>
      <c r="G504" s="219"/>
      <c r="H504" s="116"/>
      <c r="I504" s="116"/>
      <c r="J504" s="116"/>
      <c r="K504" s="116"/>
      <c r="L504" s="116"/>
      <c r="M504" s="116"/>
      <c r="N504" s="116"/>
      <c r="O504" s="389"/>
      <c r="P504" s="219"/>
      <c r="Q504" s="332"/>
      <c r="R504" s="332"/>
      <c r="S504" s="219"/>
      <c r="T504" s="332"/>
      <c r="U504" s="219"/>
      <c r="V504" s="332"/>
      <c r="W504" s="242"/>
      <c r="X504" s="332"/>
    </row>
    <row r="505" spans="1:24" ht="13">
      <c r="A505" s="7"/>
      <c r="C505" s="153"/>
      <c r="F505" s="332"/>
      <c r="G505" s="219"/>
      <c r="H505" s="116"/>
      <c r="I505" s="116"/>
      <c r="J505" s="116"/>
      <c r="K505" s="116"/>
      <c r="L505" s="116"/>
      <c r="M505" s="116"/>
      <c r="N505" s="116"/>
      <c r="O505" s="389"/>
      <c r="P505" s="219"/>
      <c r="Q505" s="332"/>
      <c r="R505" s="332"/>
      <c r="S505" s="219"/>
      <c r="T505" s="332"/>
      <c r="U505" s="219"/>
      <c r="V505" s="332"/>
      <c r="W505" s="242"/>
      <c r="X505" s="332"/>
    </row>
    <row r="506" spans="1:24" ht="13">
      <c r="A506" s="7"/>
      <c r="C506" s="153"/>
      <c r="F506" s="332"/>
      <c r="G506" s="219"/>
      <c r="H506" s="116"/>
      <c r="I506" s="116"/>
      <c r="J506" s="116"/>
      <c r="K506" s="116"/>
      <c r="L506" s="116"/>
      <c r="M506" s="116"/>
      <c r="N506" s="116"/>
      <c r="O506" s="389"/>
      <c r="P506" s="219"/>
      <c r="Q506" s="332"/>
      <c r="R506" s="332"/>
      <c r="S506" s="219"/>
      <c r="T506" s="332"/>
      <c r="U506" s="219"/>
      <c r="V506" s="332"/>
      <c r="W506" s="242"/>
      <c r="X506" s="332"/>
    </row>
    <row r="507" spans="1:24" ht="13">
      <c r="A507" s="7"/>
      <c r="C507" s="153"/>
      <c r="F507" s="332"/>
      <c r="G507" s="219"/>
      <c r="H507" s="116"/>
      <c r="I507" s="116"/>
      <c r="J507" s="116"/>
      <c r="K507" s="116"/>
      <c r="L507" s="116"/>
      <c r="M507" s="116"/>
      <c r="N507" s="116"/>
      <c r="O507" s="389"/>
      <c r="P507" s="219"/>
      <c r="Q507" s="332"/>
      <c r="R507" s="332"/>
      <c r="S507" s="219"/>
      <c r="T507" s="332"/>
      <c r="U507" s="219"/>
      <c r="V507" s="332"/>
      <c r="W507" s="242"/>
      <c r="X507" s="332"/>
    </row>
    <row r="508" spans="1:24" ht="13">
      <c r="A508" s="7"/>
      <c r="C508" s="153"/>
      <c r="F508" s="332"/>
      <c r="G508" s="219"/>
      <c r="H508" s="116"/>
      <c r="I508" s="116"/>
      <c r="J508" s="116"/>
      <c r="K508" s="116"/>
      <c r="L508" s="116"/>
      <c r="M508" s="116"/>
      <c r="N508" s="116"/>
      <c r="O508" s="389"/>
      <c r="P508" s="219"/>
      <c r="Q508" s="332"/>
      <c r="R508" s="332"/>
      <c r="S508" s="219"/>
      <c r="T508" s="332"/>
      <c r="U508" s="219"/>
      <c r="V508" s="332"/>
      <c r="W508" s="242"/>
      <c r="X508" s="332"/>
    </row>
    <row r="509" spans="1:24" ht="13">
      <c r="A509" s="7"/>
      <c r="C509" s="153"/>
      <c r="F509" s="332"/>
      <c r="G509" s="219"/>
      <c r="H509" s="116"/>
      <c r="I509" s="116"/>
      <c r="J509" s="116"/>
      <c r="K509" s="116"/>
      <c r="L509" s="116"/>
      <c r="M509" s="116"/>
      <c r="N509" s="116"/>
      <c r="O509" s="389"/>
      <c r="P509" s="219"/>
      <c r="Q509" s="332"/>
      <c r="R509" s="332"/>
      <c r="S509" s="219"/>
      <c r="T509" s="332"/>
      <c r="U509" s="219"/>
      <c r="V509" s="332"/>
      <c r="W509" s="242"/>
      <c r="X509" s="332"/>
    </row>
    <row r="510" spans="1:24" ht="13">
      <c r="A510" s="7"/>
      <c r="C510" s="153"/>
      <c r="F510" s="332"/>
      <c r="G510" s="219"/>
      <c r="H510" s="116"/>
      <c r="I510" s="116"/>
      <c r="J510" s="116"/>
      <c r="K510" s="116"/>
      <c r="L510" s="116"/>
      <c r="M510" s="116"/>
      <c r="N510" s="116"/>
      <c r="O510" s="389"/>
      <c r="P510" s="219"/>
      <c r="Q510" s="332"/>
      <c r="R510" s="332"/>
      <c r="S510" s="219"/>
      <c r="T510" s="332"/>
      <c r="U510" s="219"/>
      <c r="V510" s="332"/>
      <c r="W510" s="242"/>
      <c r="X510" s="332"/>
    </row>
    <row r="511" spans="1:24" ht="13">
      <c r="A511" s="7"/>
      <c r="C511" s="153"/>
      <c r="F511" s="332"/>
      <c r="G511" s="219"/>
      <c r="H511" s="116"/>
      <c r="I511" s="116"/>
      <c r="J511" s="116"/>
      <c r="K511" s="116"/>
      <c r="L511" s="116"/>
      <c r="M511" s="116"/>
      <c r="N511" s="116"/>
      <c r="O511" s="389"/>
      <c r="P511" s="219"/>
      <c r="Q511" s="332"/>
      <c r="R511" s="332"/>
      <c r="S511" s="219"/>
      <c r="T511" s="332"/>
      <c r="U511" s="219"/>
      <c r="V511" s="332"/>
      <c r="W511" s="242"/>
      <c r="X511" s="332"/>
    </row>
    <row r="512" spans="1:24" ht="13">
      <c r="A512" s="7"/>
      <c r="C512" s="153"/>
      <c r="F512" s="332"/>
      <c r="G512" s="219"/>
      <c r="H512" s="116"/>
      <c r="I512" s="116"/>
      <c r="J512" s="116"/>
      <c r="K512" s="116"/>
      <c r="L512" s="116"/>
      <c r="M512" s="116"/>
      <c r="N512" s="116"/>
      <c r="O512" s="389"/>
      <c r="P512" s="219"/>
      <c r="Q512" s="332"/>
      <c r="R512" s="332"/>
      <c r="S512" s="219"/>
      <c r="T512" s="332"/>
      <c r="U512" s="219"/>
      <c r="V512" s="332"/>
      <c r="W512" s="242"/>
      <c r="X512" s="332"/>
    </row>
    <row r="513" spans="1:24" ht="13">
      <c r="A513" s="7"/>
      <c r="C513" s="153"/>
      <c r="F513" s="332"/>
      <c r="G513" s="219"/>
      <c r="H513" s="116"/>
      <c r="I513" s="116"/>
      <c r="J513" s="116"/>
      <c r="K513" s="116"/>
      <c r="L513" s="116"/>
      <c r="M513" s="116"/>
      <c r="N513" s="116"/>
      <c r="O513" s="389"/>
      <c r="P513" s="219"/>
      <c r="Q513" s="332"/>
      <c r="R513" s="332"/>
      <c r="S513" s="219"/>
      <c r="T513" s="332"/>
      <c r="U513" s="219"/>
      <c r="V513" s="332"/>
      <c r="W513" s="242"/>
      <c r="X513" s="332"/>
    </row>
    <row r="514" spans="1:24" ht="13">
      <c r="A514" s="7"/>
      <c r="C514" s="153"/>
      <c r="F514" s="332"/>
      <c r="G514" s="219"/>
      <c r="H514" s="116"/>
      <c r="I514" s="116"/>
      <c r="J514" s="116"/>
      <c r="K514" s="116"/>
      <c r="L514" s="116"/>
      <c r="M514" s="116"/>
      <c r="N514" s="116"/>
      <c r="O514" s="389"/>
      <c r="P514" s="219"/>
      <c r="Q514" s="332"/>
      <c r="R514" s="332"/>
      <c r="S514" s="219"/>
      <c r="T514" s="332"/>
      <c r="U514" s="219"/>
      <c r="V514" s="332"/>
      <c r="W514" s="242"/>
      <c r="X514" s="332"/>
    </row>
    <row r="515" spans="1:24" ht="13">
      <c r="A515" s="7"/>
      <c r="C515" s="153"/>
      <c r="F515" s="332"/>
      <c r="G515" s="219"/>
      <c r="H515" s="116"/>
      <c r="I515" s="116"/>
      <c r="J515" s="116"/>
      <c r="K515" s="116"/>
      <c r="L515" s="116"/>
      <c r="M515" s="116"/>
      <c r="N515" s="116"/>
      <c r="O515" s="389"/>
      <c r="P515" s="219"/>
      <c r="Q515" s="332"/>
      <c r="R515" s="332"/>
      <c r="S515" s="219"/>
      <c r="T515" s="332"/>
      <c r="U515" s="219"/>
      <c r="V515" s="332"/>
      <c r="W515" s="242"/>
      <c r="X515" s="332"/>
    </row>
    <row r="516" spans="1:24" ht="13">
      <c r="A516" s="7"/>
      <c r="C516" s="153"/>
      <c r="F516" s="332"/>
      <c r="G516" s="219"/>
      <c r="H516" s="116"/>
      <c r="I516" s="116"/>
      <c r="J516" s="116"/>
      <c r="K516" s="116"/>
      <c r="L516" s="116"/>
      <c r="M516" s="116"/>
      <c r="N516" s="116"/>
      <c r="O516" s="389"/>
      <c r="P516" s="219"/>
      <c r="Q516" s="332"/>
      <c r="R516" s="332"/>
      <c r="S516" s="219"/>
      <c r="T516" s="332"/>
      <c r="U516" s="219"/>
      <c r="V516" s="332"/>
      <c r="W516" s="242"/>
      <c r="X516" s="332"/>
    </row>
    <row r="517" spans="1:24" ht="13">
      <c r="A517" s="7"/>
      <c r="C517" s="153"/>
      <c r="F517" s="332"/>
      <c r="G517" s="219"/>
      <c r="H517" s="116"/>
      <c r="I517" s="116"/>
      <c r="J517" s="116"/>
      <c r="K517" s="116"/>
      <c r="L517" s="116"/>
      <c r="M517" s="116"/>
      <c r="N517" s="116"/>
      <c r="O517" s="389"/>
      <c r="P517" s="219"/>
      <c r="Q517" s="332"/>
      <c r="R517" s="332"/>
      <c r="S517" s="219"/>
      <c r="T517" s="332"/>
      <c r="U517" s="219"/>
      <c r="V517" s="332"/>
      <c r="W517" s="242"/>
      <c r="X517" s="332"/>
    </row>
    <row r="518" spans="1:24" ht="13">
      <c r="A518" s="7"/>
      <c r="C518" s="153"/>
      <c r="F518" s="332"/>
      <c r="G518" s="219"/>
      <c r="H518" s="116"/>
      <c r="I518" s="116"/>
      <c r="J518" s="116"/>
      <c r="K518" s="116"/>
      <c r="L518" s="116"/>
      <c r="M518" s="116"/>
      <c r="N518" s="116"/>
      <c r="O518" s="389"/>
      <c r="P518" s="219"/>
      <c r="Q518" s="332"/>
      <c r="R518" s="332"/>
      <c r="S518" s="219"/>
      <c r="T518" s="332"/>
      <c r="U518" s="219"/>
      <c r="V518" s="332"/>
      <c r="W518" s="242"/>
      <c r="X518" s="332"/>
    </row>
    <row r="519" spans="1:24" ht="13">
      <c r="A519" s="7"/>
      <c r="C519" s="153"/>
      <c r="F519" s="332"/>
      <c r="G519" s="219"/>
      <c r="H519" s="116"/>
      <c r="I519" s="116"/>
      <c r="J519" s="116"/>
      <c r="K519" s="116"/>
      <c r="L519" s="116"/>
      <c r="M519" s="116"/>
      <c r="N519" s="116"/>
      <c r="O519" s="389"/>
      <c r="P519" s="219"/>
      <c r="Q519" s="332"/>
      <c r="R519" s="332"/>
      <c r="S519" s="219"/>
      <c r="T519" s="332"/>
      <c r="U519" s="219"/>
      <c r="V519" s="332"/>
      <c r="W519" s="242"/>
      <c r="X519" s="332"/>
    </row>
    <row r="520" spans="1:24" ht="13">
      <c r="A520" s="7"/>
      <c r="C520" s="153"/>
      <c r="F520" s="332"/>
      <c r="G520" s="219"/>
      <c r="H520" s="116"/>
      <c r="I520" s="116"/>
      <c r="J520" s="116"/>
      <c r="K520" s="116"/>
      <c r="L520" s="116"/>
      <c r="M520" s="116"/>
      <c r="N520" s="116"/>
      <c r="O520" s="389"/>
      <c r="P520" s="219"/>
      <c r="Q520" s="332"/>
      <c r="R520" s="332"/>
      <c r="S520" s="219"/>
      <c r="T520" s="332"/>
      <c r="U520" s="219"/>
      <c r="V520" s="332"/>
      <c r="W520" s="242"/>
      <c r="X520" s="332"/>
    </row>
    <row r="521" spans="1:24" ht="13">
      <c r="A521" s="7"/>
      <c r="C521" s="153"/>
      <c r="F521" s="332"/>
      <c r="G521" s="219"/>
      <c r="H521" s="116"/>
      <c r="I521" s="116"/>
      <c r="J521" s="116"/>
      <c r="K521" s="116"/>
      <c r="L521" s="116"/>
      <c r="M521" s="116"/>
      <c r="N521" s="116"/>
      <c r="O521" s="389"/>
      <c r="P521" s="219"/>
      <c r="Q521" s="332"/>
      <c r="R521" s="332"/>
      <c r="S521" s="219"/>
      <c r="T521" s="332"/>
      <c r="U521" s="219"/>
      <c r="V521" s="332"/>
      <c r="W521" s="242"/>
      <c r="X521" s="332"/>
    </row>
    <row r="522" spans="1:24" ht="13">
      <c r="A522" s="7"/>
      <c r="C522" s="153"/>
      <c r="F522" s="332"/>
      <c r="G522" s="219"/>
      <c r="H522" s="116"/>
      <c r="I522" s="116"/>
      <c r="J522" s="116"/>
      <c r="K522" s="116"/>
      <c r="L522" s="116"/>
      <c r="M522" s="116"/>
      <c r="N522" s="116"/>
      <c r="O522" s="389"/>
      <c r="P522" s="219"/>
      <c r="Q522" s="332"/>
      <c r="R522" s="332"/>
      <c r="S522" s="219"/>
      <c r="T522" s="332"/>
      <c r="U522" s="219"/>
      <c r="V522" s="332"/>
      <c r="W522" s="242"/>
      <c r="X522" s="332"/>
    </row>
    <row r="523" spans="1:24" ht="13">
      <c r="A523" s="7"/>
      <c r="C523" s="153"/>
      <c r="F523" s="332"/>
      <c r="G523" s="219"/>
      <c r="H523" s="116"/>
      <c r="I523" s="116"/>
      <c r="J523" s="116"/>
      <c r="K523" s="116"/>
      <c r="L523" s="116"/>
      <c r="M523" s="116"/>
      <c r="N523" s="116"/>
      <c r="O523" s="389"/>
      <c r="P523" s="219"/>
      <c r="Q523" s="332"/>
      <c r="R523" s="332"/>
      <c r="S523" s="219"/>
      <c r="T523" s="332"/>
      <c r="U523" s="219"/>
      <c r="V523" s="332"/>
      <c r="W523" s="242"/>
      <c r="X523" s="332"/>
    </row>
    <row r="524" spans="1:24" ht="13">
      <c r="A524" s="7"/>
      <c r="C524" s="153"/>
      <c r="F524" s="332"/>
      <c r="G524" s="219"/>
      <c r="H524" s="116"/>
      <c r="I524" s="116"/>
      <c r="J524" s="116"/>
      <c r="K524" s="116"/>
      <c r="L524" s="116"/>
      <c r="M524" s="116"/>
      <c r="N524" s="116"/>
      <c r="O524" s="389"/>
      <c r="P524" s="219"/>
      <c r="Q524" s="332"/>
      <c r="R524" s="332"/>
      <c r="S524" s="219"/>
      <c r="T524" s="332"/>
      <c r="U524" s="219"/>
      <c r="V524" s="332"/>
      <c r="W524" s="242"/>
      <c r="X524" s="332"/>
    </row>
    <row r="525" spans="1:24" ht="13">
      <c r="A525" s="7"/>
      <c r="C525" s="153"/>
      <c r="F525" s="332"/>
      <c r="G525" s="219"/>
      <c r="H525" s="116"/>
      <c r="I525" s="116"/>
      <c r="J525" s="116"/>
      <c r="K525" s="116"/>
      <c r="L525" s="116"/>
      <c r="M525" s="116"/>
      <c r="N525" s="116"/>
      <c r="O525" s="389"/>
      <c r="P525" s="219"/>
      <c r="Q525" s="332"/>
      <c r="R525" s="332"/>
      <c r="S525" s="219"/>
      <c r="T525" s="332"/>
      <c r="U525" s="219"/>
      <c r="V525" s="332"/>
      <c r="W525" s="242"/>
      <c r="X525" s="332"/>
    </row>
    <row r="526" spans="1:24" ht="13">
      <c r="A526" s="7"/>
      <c r="C526" s="153"/>
      <c r="F526" s="332"/>
      <c r="G526" s="219"/>
      <c r="H526" s="116"/>
      <c r="I526" s="116"/>
      <c r="J526" s="116"/>
      <c r="K526" s="116"/>
      <c r="L526" s="116"/>
      <c r="M526" s="116"/>
      <c r="N526" s="116"/>
      <c r="O526" s="389"/>
      <c r="P526" s="219"/>
      <c r="Q526" s="332"/>
      <c r="R526" s="332"/>
      <c r="S526" s="219"/>
      <c r="T526" s="332"/>
      <c r="U526" s="219"/>
      <c r="V526" s="332"/>
      <c r="W526" s="242"/>
      <c r="X526" s="332"/>
    </row>
    <row r="527" spans="1:24" ht="13">
      <c r="A527" s="7"/>
      <c r="C527" s="153"/>
      <c r="F527" s="332"/>
      <c r="G527" s="219"/>
      <c r="H527" s="116"/>
      <c r="I527" s="116"/>
      <c r="J527" s="116"/>
      <c r="K527" s="116"/>
      <c r="L527" s="116"/>
      <c r="M527" s="116"/>
      <c r="N527" s="116"/>
      <c r="O527" s="389"/>
      <c r="P527" s="219"/>
      <c r="Q527" s="332"/>
      <c r="R527" s="332"/>
      <c r="S527" s="219"/>
      <c r="T527" s="332"/>
      <c r="U527" s="219"/>
      <c r="V527" s="332"/>
      <c r="W527" s="242"/>
      <c r="X527" s="332"/>
    </row>
    <row r="528" spans="1:24" ht="13">
      <c r="A528" s="7"/>
      <c r="C528" s="153"/>
      <c r="F528" s="332"/>
      <c r="G528" s="219"/>
      <c r="H528" s="116"/>
      <c r="I528" s="116"/>
      <c r="J528" s="116"/>
      <c r="K528" s="116"/>
      <c r="L528" s="116"/>
      <c r="M528" s="116"/>
      <c r="N528" s="116"/>
      <c r="O528" s="389"/>
      <c r="P528" s="219"/>
      <c r="Q528" s="332"/>
      <c r="R528" s="332"/>
      <c r="S528" s="219"/>
      <c r="T528" s="332"/>
      <c r="U528" s="219"/>
      <c r="V528" s="332"/>
      <c r="W528" s="242"/>
      <c r="X528" s="332"/>
    </row>
    <row r="529" spans="1:24" ht="13">
      <c r="A529" s="7"/>
      <c r="C529" s="153"/>
      <c r="F529" s="332"/>
      <c r="G529" s="219"/>
      <c r="H529" s="116"/>
      <c r="I529" s="116"/>
      <c r="J529" s="116"/>
      <c r="K529" s="116"/>
      <c r="L529" s="116"/>
      <c r="M529" s="116"/>
      <c r="N529" s="116"/>
      <c r="O529" s="389"/>
      <c r="P529" s="219"/>
      <c r="Q529" s="332"/>
      <c r="R529" s="332"/>
      <c r="S529" s="219"/>
      <c r="T529" s="332"/>
      <c r="U529" s="219"/>
      <c r="V529" s="332"/>
      <c r="W529" s="242"/>
      <c r="X529" s="332"/>
    </row>
    <row r="530" spans="1:24" ht="13">
      <c r="A530" s="7"/>
      <c r="C530" s="153"/>
      <c r="F530" s="332"/>
      <c r="G530" s="219"/>
      <c r="H530" s="116"/>
      <c r="I530" s="116"/>
      <c r="J530" s="116"/>
      <c r="K530" s="116"/>
      <c r="L530" s="116"/>
      <c r="M530" s="116"/>
      <c r="N530" s="116"/>
      <c r="O530" s="389"/>
      <c r="P530" s="219"/>
      <c r="Q530" s="332"/>
      <c r="R530" s="332"/>
      <c r="S530" s="219"/>
      <c r="T530" s="332"/>
      <c r="U530" s="219"/>
      <c r="V530" s="332"/>
      <c r="W530" s="242"/>
      <c r="X530" s="332"/>
    </row>
    <row r="531" spans="1:24" ht="13">
      <c r="A531" s="7"/>
      <c r="C531" s="153"/>
      <c r="F531" s="332"/>
      <c r="G531" s="219"/>
      <c r="H531" s="116"/>
      <c r="I531" s="116"/>
      <c r="J531" s="116"/>
      <c r="K531" s="116"/>
      <c r="L531" s="116"/>
      <c r="M531" s="116"/>
      <c r="N531" s="116"/>
      <c r="O531" s="389"/>
      <c r="P531" s="219"/>
      <c r="Q531" s="332"/>
      <c r="R531" s="332"/>
      <c r="S531" s="219"/>
      <c r="T531" s="332"/>
      <c r="U531" s="219"/>
      <c r="V531" s="332"/>
      <c r="W531" s="242"/>
      <c r="X531" s="332"/>
    </row>
    <row r="532" spans="1:24" ht="13">
      <c r="A532" s="7"/>
      <c r="C532" s="153"/>
      <c r="F532" s="332"/>
      <c r="G532" s="219"/>
      <c r="H532" s="116"/>
      <c r="I532" s="116"/>
      <c r="J532" s="116"/>
      <c r="K532" s="116"/>
      <c r="L532" s="116"/>
      <c r="M532" s="116"/>
      <c r="N532" s="116"/>
      <c r="O532" s="389"/>
      <c r="P532" s="219"/>
      <c r="Q532" s="332"/>
      <c r="R532" s="332"/>
      <c r="S532" s="219"/>
      <c r="T532" s="332"/>
      <c r="U532" s="219"/>
      <c r="V532" s="332"/>
      <c r="W532" s="242"/>
      <c r="X532" s="332"/>
    </row>
    <row r="533" spans="1:24" ht="13">
      <c r="A533" s="7"/>
      <c r="C533" s="153"/>
      <c r="F533" s="332"/>
      <c r="G533" s="219"/>
      <c r="H533" s="116"/>
      <c r="I533" s="116"/>
      <c r="J533" s="116"/>
      <c r="K533" s="116"/>
      <c r="L533" s="116"/>
      <c r="M533" s="116"/>
      <c r="N533" s="116"/>
      <c r="O533" s="389"/>
      <c r="P533" s="219"/>
      <c r="Q533" s="332"/>
      <c r="R533" s="332"/>
      <c r="S533" s="219"/>
      <c r="T533" s="332"/>
      <c r="U533" s="219"/>
      <c r="V533" s="332"/>
      <c r="W533" s="242"/>
      <c r="X533" s="332"/>
    </row>
    <row r="534" spans="1:24" ht="13">
      <c r="A534" s="7"/>
      <c r="C534" s="153"/>
      <c r="F534" s="332"/>
      <c r="G534" s="219"/>
      <c r="H534" s="116"/>
      <c r="I534" s="116"/>
      <c r="J534" s="116"/>
      <c r="K534" s="116"/>
      <c r="L534" s="116"/>
      <c r="M534" s="116"/>
      <c r="N534" s="116"/>
      <c r="O534" s="389"/>
      <c r="P534" s="219"/>
      <c r="Q534" s="332"/>
      <c r="R534" s="332"/>
      <c r="S534" s="219"/>
      <c r="T534" s="332"/>
      <c r="U534" s="219"/>
      <c r="V534" s="332"/>
      <c r="W534" s="242"/>
      <c r="X534" s="332"/>
    </row>
    <row r="535" spans="1:24" ht="13">
      <c r="A535" s="7"/>
      <c r="C535" s="153"/>
      <c r="F535" s="332"/>
      <c r="G535" s="219"/>
      <c r="H535" s="116"/>
      <c r="I535" s="116"/>
      <c r="J535" s="116"/>
      <c r="K535" s="116"/>
      <c r="L535" s="116"/>
      <c r="M535" s="116"/>
      <c r="N535" s="116"/>
      <c r="O535" s="389"/>
      <c r="P535" s="219"/>
      <c r="Q535" s="332"/>
      <c r="R535" s="332"/>
      <c r="S535" s="219"/>
      <c r="T535" s="332"/>
      <c r="U535" s="219"/>
      <c r="V535" s="332"/>
      <c r="W535" s="242"/>
      <c r="X535" s="332"/>
    </row>
    <row r="536" spans="1:24" ht="13">
      <c r="A536" s="7"/>
      <c r="C536" s="153"/>
      <c r="F536" s="332"/>
      <c r="G536" s="219"/>
      <c r="H536" s="116"/>
      <c r="I536" s="116"/>
      <c r="J536" s="116"/>
      <c r="K536" s="116"/>
      <c r="L536" s="116"/>
      <c r="M536" s="116"/>
      <c r="N536" s="116"/>
      <c r="O536" s="389"/>
      <c r="P536" s="219"/>
      <c r="Q536" s="332"/>
      <c r="R536" s="332"/>
      <c r="S536" s="219"/>
      <c r="T536" s="332"/>
      <c r="U536" s="219"/>
      <c r="V536" s="332"/>
      <c r="W536" s="242"/>
      <c r="X536" s="332"/>
    </row>
    <row r="537" spans="1:24" ht="13">
      <c r="A537" s="7"/>
      <c r="C537" s="153"/>
      <c r="F537" s="332"/>
      <c r="G537" s="219"/>
      <c r="H537" s="116"/>
      <c r="I537" s="116"/>
      <c r="J537" s="116"/>
      <c r="K537" s="116"/>
      <c r="L537" s="116"/>
      <c r="M537" s="116"/>
      <c r="N537" s="116"/>
      <c r="O537" s="389"/>
      <c r="P537" s="219"/>
      <c r="Q537" s="332"/>
      <c r="R537" s="332"/>
      <c r="S537" s="219"/>
      <c r="T537" s="332"/>
      <c r="U537" s="219"/>
      <c r="V537" s="332"/>
      <c r="W537" s="242"/>
      <c r="X537" s="332"/>
    </row>
    <row r="538" spans="1:24" ht="13">
      <c r="A538" s="7"/>
      <c r="C538" s="153"/>
      <c r="F538" s="332"/>
      <c r="G538" s="219"/>
      <c r="H538" s="116"/>
      <c r="I538" s="116"/>
      <c r="J538" s="116"/>
      <c r="K538" s="116"/>
      <c r="L538" s="116"/>
      <c r="M538" s="116"/>
      <c r="N538" s="116"/>
      <c r="O538" s="389"/>
      <c r="P538" s="219"/>
      <c r="Q538" s="332"/>
      <c r="R538" s="332"/>
      <c r="S538" s="219"/>
      <c r="T538" s="332"/>
      <c r="U538" s="219"/>
      <c r="V538" s="332"/>
      <c r="W538" s="242"/>
      <c r="X538" s="332"/>
    </row>
    <row r="539" spans="1:24" ht="13">
      <c r="A539" s="7"/>
      <c r="C539" s="153"/>
      <c r="F539" s="332"/>
      <c r="G539" s="219"/>
      <c r="H539" s="116"/>
      <c r="I539" s="116"/>
      <c r="J539" s="116"/>
      <c r="K539" s="116"/>
      <c r="L539" s="116"/>
      <c r="M539" s="116"/>
      <c r="N539" s="116"/>
      <c r="O539" s="389"/>
      <c r="P539" s="219"/>
      <c r="Q539" s="332"/>
      <c r="R539" s="332"/>
      <c r="S539" s="219"/>
      <c r="T539" s="332"/>
      <c r="U539" s="219"/>
      <c r="V539" s="332"/>
      <c r="W539" s="242"/>
      <c r="X539" s="332"/>
    </row>
    <row r="540" spans="1:24" ht="13">
      <c r="A540" s="7"/>
      <c r="C540" s="153"/>
      <c r="F540" s="332"/>
      <c r="G540" s="219"/>
      <c r="H540" s="116"/>
      <c r="I540" s="116"/>
      <c r="J540" s="116"/>
      <c r="K540" s="116"/>
      <c r="L540" s="116"/>
      <c r="M540" s="116"/>
      <c r="N540" s="116"/>
      <c r="O540" s="389"/>
      <c r="P540" s="219"/>
      <c r="Q540" s="332"/>
      <c r="R540" s="332"/>
      <c r="S540" s="219"/>
      <c r="T540" s="332"/>
      <c r="U540" s="219"/>
      <c r="V540" s="332"/>
      <c r="W540" s="242"/>
      <c r="X540" s="332"/>
    </row>
    <row r="541" spans="1:24" ht="13">
      <c r="A541" s="7"/>
      <c r="C541" s="153"/>
      <c r="F541" s="332"/>
      <c r="G541" s="219"/>
      <c r="H541" s="116"/>
      <c r="I541" s="116"/>
      <c r="J541" s="116"/>
      <c r="K541" s="116"/>
      <c r="L541" s="116"/>
      <c r="M541" s="116"/>
      <c r="N541" s="116"/>
      <c r="O541" s="389"/>
      <c r="P541" s="219"/>
      <c r="Q541" s="332"/>
      <c r="R541" s="332"/>
      <c r="S541" s="219"/>
      <c r="T541" s="332"/>
      <c r="U541" s="219"/>
      <c r="V541" s="332"/>
      <c r="W541" s="242"/>
      <c r="X541" s="332"/>
    </row>
    <row r="542" spans="1:24" ht="13">
      <c r="A542" s="7"/>
      <c r="C542" s="153"/>
      <c r="F542" s="332"/>
      <c r="G542" s="219"/>
      <c r="H542" s="116"/>
      <c r="I542" s="116"/>
      <c r="J542" s="116"/>
      <c r="K542" s="116"/>
      <c r="L542" s="116"/>
      <c r="M542" s="116"/>
      <c r="N542" s="116"/>
      <c r="O542" s="389"/>
      <c r="P542" s="219"/>
      <c r="Q542" s="332"/>
      <c r="R542" s="332"/>
      <c r="S542" s="219"/>
      <c r="T542" s="332"/>
      <c r="U542" s="219"/>
      <c r="V542" s="332"/>
      <c r="W542" s="242"/>
      <c r="X542" s="332"/>
    </row>
    <row r="543" spans="1:24" ht="13">
      <c r="A543" s="7"/>
      <c r="C543" s="153"/>
      <c r="F543" s="332"/>
      <c r="G543" s="219"/>
      <c r="H543" s="116"/>
      <c r="I543" s="116"/>
      <c r="J543" s="116"/>
      <c r="K543" s="116"/>
      <c r="L543" s="116"/>
      <c r="M543" s="116"/>
      <c r="N543" s="116"/>
      <c r="O543" s="389"/>
      <c r="P543" s="219"/>
      <c r="Q543" s="332"/>
      <c r="R543" s="332"/>
      <c r="S543" s="219"/>
      <c r="T543" s="332"/>
      <c r="U543" s="219"/>
      <c r="V543" s="332"/>
      <c r="W543" s="242"/>
      <c r="X543" s="332"/>
    </row>
    <row r="544" spans="1:24" ht="13">
      <c r="A544" s="7"/>
      <c r="C544" s="153"/>
      <c r="F544" s="332"/>
      <c r="G544" s="219"/>
      <c r="H544" s="116"/>
      <c r="I544" s="116"/>
      <c r="J544" s="116"/>
      <c r="K544" s="116"/>
      <c r="L544" s="116"/>
      <c r="M544" s="116"/>
      <c r="N544" s="116"/>
      <c r="O544" s="389"/>
      <c r="P544" s="219"/>
      <c r="Q544" s="332"/>
      <c r="R544" s="332"/>
      <c r="S544" s="219"/>
      <c r="T544" s="332"/>
      <c r="U544" s="219"/>
      <c r="V544" s="332"/>
      <c r="W544" s="242"/>
      <c r="X544" s="332"/>
    </row>
    <row r="545" spans="1:24" ht="13">
      <c r="A545" s="7"/>
      <c r="C545" s="153"/>
      <c r="F545" s="332"/>
      <c r="G545" s="219"/>
      <c r="H545" s="116"/>
      <c r="I545" s="116"/>
      <c r="J545" s="116"/>
      <c r="K545" s="116"/>
      <c r="L545" s="116"/>
      <c r="M545" s="116"/>
      <c r="N545" s="116"/>
      <c r="O545" s="389"/>
      <c r="P545" s="219"/>
      <c r="Q545" s="332"/>
      <c r="R545" s="332"/>
      <c r="S545" s="219"/>
      <c r="T545" s="332"/>
      <c r="U545" s="219"/>
      <c r="V545" s="332"/>
      <c r="W545" s="242"/>
      <c r="X545" s="332"/>
    </row>
    <row r="546" spans="1:24" ht="13">
      <c r="A546" s="7"/>
      <c r="C546" s="153"/>
      <c r="F546" s="332"/>
      <c r="G546" s="219"/>
      <c r="H546" s="116"/>
      <c r="I546" s="116"/>
      <c r="J546" s="116"/>
      <c r="K546" s="116"/>
      <c r="L546" s="116"/>
      <c r="M546" s="116"/>
      <c r="N546" s="116"/>
      <c r="O546" s="389"/>
      <c r="P546" s="219"/>
      <c r="Q546" s="332"/>
      <c r="R546" s="332"/>
      <c r="S546" s="219"/>
      <c r="T546" s="332"/>
      <c r="U546" s="219"/>
      <c r="V546" s="332"/>
      <c r="W546" s="242"/>
      <c r="X546" s="332"/>
    </row>
    <row r="547" spans="1:24" ht="13">
      <c r="A547" s="7"/>
      <c r="C547" s="153"/>
      <c r="F547" s="332"/>
      <c r="G547" s="219"/>
      <c r="H547" s="116"/>
      <c r="I547" s="116"/>
      <c r="J547" s="116"/>
      <c r="K547" s="116"/>
      <c r="L547" s="116"/>
      <c r="M547" s="116"/>
      <c r="N547" s="116"/>
      <c r="O547" s="389"/>
      <c r="P547" s="219"/>
      <c r="Q547" s="332"/>
      <c r="R547" s="332"/>
      <c r="S547" s="219"/>
      <c r="T547" s="332"/>
      <c r="U547" s="219"/>
      <c r="V547" s="332"/>
      <c r="W547" s="242"/>
      <c r="X547" s="332"/>
    </row>
    <row r="548" spans="1:24" ht="13">
      <c r="A548" s="7"/>
      <c r="C548" s="153"/>
      <c r="F548" s="332"/>
      <c r="G548" s="219"/>
      <c r="H548" s="116"/>
      <c r="I548" s="116"/>
      <c r="J548" s="116"/>
      <c r="K548" s="116"/>
      <c r="L548" s="116"/>
      <c r="M548" s="116"/>
      <c r="N548" s="116"/>
      <c r="O548" s="389"/>
      <c r="P548" s="219"/>
      <c r="Q548" s="332"/>
      <c r="R548" s="332"/>
      <c r="S548" s="219"/>
      <c r="T548" s="332"/>
      <c r="U548" s="219"/>
      <c r="V548" s="332"/>
      <c r="W548" s="242"/>
      <c r="X548" s="332"/>
    </row>
    <row r="549" spans="1:24" ht="13">
      <c r="A549" s="7"/>
      <c r="C549" s="153"/>
      <c r="F549" s="332"/>
      <c r="G549" s="219"/>
      <c r="H549" s="116"/>
      <c r="I549" s="116"/>
      <c r="J549" s="116"/>
      <c r="K549" s="116"/>
      <c r="L549" s="116"/>
      <c r="M549" s="116"/>
      <c r="N549" s="116"/>
      <c r="O549" s="389"/>
      <c r="P549" s="219"/>
      <c r="Q549" s="332"/>
      <c r="R549" s="332"/>
      <c r="S549" s="219"/>
      <c r="T549" s="332"/>
      <c r="U549" s="219"/>
      <c r="V549" s="332"/>
      <c r="W549" s="242"/>
      <c r="X549" s="332"/>
    </row>
    <row r="550" spans="1:24" ht="13">
      <c r="A550" s="7"/>
      <c r="C550" s="153"/>
      <c r="F550" s="332"/>
      <c r="G550" s="219"/>
      <c r="H550" s="116"/>
      <c r="I550" s="116"/>
      <c r="J550" s="116"/>
      <c r="K550" s="116"/>
      <c r="L550" s="116"/>
      <c r="M550" s="116"/>
      <c r="N550" s="116"/>
      <c r="O550" s="389"/>
      <c r="P550" s="219"/>
      <c r="Q550" s="332"/>
      <c r="R550" s="332"/>
      <c r="S550" s="219"/>
      <c r="T550" s="332"/>
      <c r="U550" s="219"/>
      <c r="V550" s="332"/>
      <c r="W550" s="242"/>
      <c r="X550" s="332"/>
    </row>
    <row r="551" spans="1:24" ht="13">
      <c r="A551" s="7"/>
      <c r="C551" s="153"/>
      <c r="F551" s="332"/>
      <c r="G551" s="219"/>
      <c r="H551" s="116"/>
      <c r="I551" s="116"/>
      <c r="J551" s="116"/>
      <c r="K551" s="116"/>
      <c r="L551" s="116"/>
      <c r="M551" s="116"/>
      <c r="N551" s="116"/>
      <c r="O551" s="389"/>
      <c r="P551" s="219"/>
      <c r="Q551" s="332"/>
      <c r="R551" s="332"/>
      <c r="S551" s="219"/>
      <c r="T551" s="332"/>
      <c r="U551" s="219"/>
      <c r="V551" s="332"/>
      <c r="W551" s="242"/>
      <c r="X551" s="332"/>
    </row>
    <row r="552" spans="1:24" ht="13">
      <c r="A552" s="7"/>
      <c r="C552" s="153"/>
      <c r="F552" s="332"/>
      <c r="G552" s="219"/>
      <c r="H552" s="116"/>
      <c r="I552" s="116"/>
      <c r="J552" s="116"/>
      <c r="K552" s="116"/>
      <c r="L552" s="116"/>
      <c r="M552" s="116"/>
      <c r="N552" s="116"/>
      <c r="O552" s="389"/>
      <c r="P552" s="219"/>
      <c r="Q552" s="332"/>
      <c r="R552" s="332"/>
      <c r="S552" s="219"/>
      <c r="T552" s="332"/>
      <c r="U552" s="219"/>
      <c r="V552" s="332"/>
      <c r="W552" s="242"/>
      <c r="X552" s="332"/>
    </row>
    <row r="553" spans="1:24" ht="13">
      <c r="A553" s="7"/>
      <c r="C553" s="153"/>
      <c r="F553" s="332"/>
      <c r="G553" s="219"/>
      <c r="H553" s="116"/>
      <c r="I553" s="116"/>
      <c r="J553" s="116"/>
      <c r="K553" s="116"/>
      <c r="L553" s="116"/>
      <c r="M553" s="116"/>
      <c r="N553" s="116"/>
      <c r="O553" s="389"/>
      <c r="P553" s="219"/>
      <c r="Q553" s="332"/>
      <c r="R553" s="332"/>
      <c r="S553" s="219"/>
      <c r="T553" s="332"/>
      <c r="U553" s="219"/>
      <c r="V553" s="332"/>
      <c r="W553" s="242"/>
      <c r="X553" s="332"/>
    </row>
    <row r="554" spans="1:24" ht="13">
      <c r="A554" s="7"/>
      <c r="C554" s="153"/>
      <c r="F554" s="332"/>
      <c r="G554" s="219"/>
      <c r="H554" s="116"/>
      <c r="I554" s="116"/>
      <c r="J554" s="116"/>
      <c r="K554" s="116"/>
      <c r="L554" s="116"/>
      <c r="M554" s="116"/>
      <c r="N554" s="116"/>
      <c r="O554" s="389"/>
      <c r="P554" s="219"/>
      <c r="Q554" s="332"/>
      <c r="R554" s="332"/>
      <c r="S554" s="219"/>
      <c r="T554" s="332"/>
      <c r="U554" s="219"/>
      <c r="V554" s="332"/>
      <c r="W554" s="242"/>
      <c r="X554" s="332"/>
    </row>
    <row r="555" spans="1:24" ht="13">
      <c r="A555" s="7"/>
      <c r="C555" s="153"/>
      <c r="F555" s="332"/>
      <c r="G555" s="219"/>
      <c r="H555" s="116"/>
      <c r="I555" s="116"/>
      <c r="J555" s="116"/>
      <c r="K555" s="116"/>
      <c r="L555" s="116"/>
      <c r="M555" s="116"/>
      <c r="N555" s="116"/>
      <c r="O555" s="389"/>
      <c r="P555" s="219"/>
      <c r="Q555" s="332"/>
      <c r="R555" s="332"/>
      <c r="S555" s="219"/>
      <c r="T555" s="332"/>
      <c r="U555" s="219"/>
      <c r="V555" s="332"/>
      <c r="W555" s="242"/>
      <c r="X555" s="332"/>
    </row>
    <row r="556" spans="1:24" ht="13">
      <c r="A556" s="7"/>
      <c r="C556" s="153"/>
      <c r="F556" s="332"/>
      <c r="G556" s="219"/>
      <c r="H556" s="116"/>
      <c r="I556" s="116"/>
      <c r="J556" s="116"/>
      <c r="K556" s="116"/>
      <c r="L556" s="116"/>
      <c r="M556" s="116"/>
      <c r="N556" s="116"/>
      <c r="O556" s="389"/>
      <c r="P556" s="219"/>
      <c r="Q556" s="332"/>
      <c r="R556" s="332"/>
      <c r="S556" s="219"/>
      <c r="T556" s="332"/>
      <c r="U556" s="219"/>
      <c r="V556" s="332"/>
      <c r="W556" s="242"/>
      <c r="X556" s="332"/>
    </row>
    <row r="557" spans="1:24" ht="13">
      <c r="A557" s="7"/>
      <c r="C557" s="153"/>
      <c r="F557" s="332"/>
      <c r="G557" s="219"/>
      <c r="H557" s="116"/>
      <c r="I557" s="116"/>
      <c r="J557" s="116"/>
      <c r="K557" s="116"/>
      <c r="L557" s="116"/>
      <c r="M557" s="116"/>
      <c r="N557" s="116"/>
      <c r="O557" s="389"/>
      <c r="P557" s="219"/>
      <c r="Q557" s="332"/>
      <c r="R557" s="332"/>
      <c r="S557" s="219"/>
      <c r="T557" s="332"/>
      <c r="U557" s="219"/>
      <c r="V557" s="332"/>
      <c r="W557" s="242"/>
      <c r="X557" s="332"/>
    </row>
    <row r="558" spans="1:24" ht="13">
      <c r="A558" s="7"/>
      <c r="C558" s="153"/>
      <c r="F558" s="332"/>
      <c r="G558" s="219"/>
      <c r="H558" s="116"/>
      <c r="I558" s="116"/>
      <c r="J558" s="116"/>
      <c r="K558" s="116"/>
      <c r="L558" s="116"/>
      <c r="M558" s="116"/>
      <c r="N558" s="116"/>
      <c r="O558" s="389"/>
      <c r="P558" s="219"/>
      <c r="Q558" s="332"/>
      <c r="R558" s="332"/>
      <c r="S558" s="219"/>
      <c r="T558" s="332"/>
      <c r="U558" s="219"/>
      <c r="V558" s="332"/>
      <c r="W558" s="242"/>
      <c r="X558" s="332"/>
    </row>
    <row r="559" spans="1:24" ht="13">
      <c r="A559" s="7"/>
      <c r="C559" s="153"/>
      <c r="F559" s="332"/>
      <c r="G559" s="219"/>
      <c r="H559" s="116"/>
      <c r="I559" s="116"/>
      <c r="J559" s="116"/>
      <c r="K559" s="116"/>
      <c r="L559" s="116"/>
      <c r="M559" s="116"/>
      <c r="N559" s="116"/>
      <c r="O559" s="389"/>
      <c r="P559" s="219"/>
      <c r="Q559" s="332"/>
      <c r="R559" s="332"/>
      <c r="S559" s="219"/>
      <c r="T559" s="332"/>
      <c r="U559" s="219"/>
      <c r="V559" s="332"/>
      <c r="W559" s="242"/>
      <c r="X559" s="332"/>
    </row>
    <row r="560" spans="1:24" ht="13">
      <c r="A560" s="7"/>
      <c r="C560" s="153"/>
      <c r="F560" s="332"/>
      <c r="G560" s="219"/>
      <c r="H560" s="116"/>
      <c r="I560" s="116"/>
      <c r="J560" s="116"/>
      <c r="K560" s="116"/>
      <c r="L560" s="116"/>
      <c r="M560" s="116"/>
      <c r="N560" s="116"/>
      <c r="O560" s="389"/>
      <c r="P560" s="219"/>
      <c r="Q560" s="332"/>
      <c r="R560" s="332"/>
      <c r="S560" s="219"/>
      <c r="T560" s="332"/>
      <c r="U560" s="219"/>
      <c r="V560" s="332"/>
      <c r="W560" s="242"/>
      <c r="X560" s="332"/>
    </row>
    <row r="561" spans="1:24" ht="13">
      <c r="A561" s="7"/>
      <c r="C561" s="153"/>
      <c r="F561" s="332"/>
      <c r="G561" s="219"/>
      <c r="H561" s="116"/>
      <c r="I561" s="116"/>
      <c r="J561" s="116"/>
      <c r="K561" s="116"/>
      <c r="L561" s="116"/>
      <c r="M561" s="116"/>
      <c r="N561" s="116"/>
      <c r="O561" s="389"/>
      <c r="P561" s="219"/>
      <c r="Q561" s="332"/>
      <c r="R561" s="332"/>
      <c r="S561" s="219"/>
      <c r="T561" s="332"/>
      <c r="U561" s="219"/>
      <c r="V561" s="332"/>
      <c r="W561" s="242"/>
      <c r="X561" s="332"/>
    </row>
    <row r="562" spans="1:24" ht="13">
      <c r="A562" s="7"/>
      <c r="C562" s="153"/>
      <c r="F562" s="332"/>
      <c r="G562" s="219"/>
      <c r="H562" s="116"/>
      <c r="I562" s="116"/>
      <c r="J562" s="116"/>
      <c r="K562" s="116"/>
      <c r="L562" s="116"/>
      <c r="M562" s="116"/>
      <c r="N562" s="116"/>
      <c r="O562" s="389"/>
      <c r="P562" s="219"/>
      <c r="Q562" s="332"/>
      <c r="R562" s="332"/>
      <c r="S562" s="219"/>
      <c r="T562" s="332"/>
      <c r="U562" s="219"/>
      <c r="V562" s="332"/>
      <c r="W562" s="242"/>
      <c r="X562" s="332"/>
    </row>
    <row r="563" spans="1:24" ht="13">
      <c r="A563" s="7"/>
      <c r="C563" s="153"/>
      <c r="F563" s="332"/>
      <c r="G563" s="219"/>
      <c r="H563" s="116"/>
      <c r="I563" s="116"/>
      <c r="J563" s="116"/>
      <c r="K563" s="116"/>
      <c r="L563" s="116"/>
      <c r="M563" s="116"/>
      <c r="N563" s="116"/>
      <c r="O563" s="389"/>
      <c r="P563" s="219"/>
      <c r="Q563" s="332"/>
      <c r="R563" s="332"/>
      <c r="S563" s="219"/>
      <c r="T563" s="332"/>
      <c r="U563" s="219"/>
      <c r="V563" s="332"/>
      <c r="W563" s="242"/>
      <c r="X563" s="332"/>
    </row>
    <row r="564" spans="1:24" ht="13">
      <c r="A564" s="7"/>
      <c r="C564" s="153"/>
      <c r="F564" s="332"/>
      <c r="G564" s="219"/>
      <c r="H564" s="116"/>
      <c r="I564" s="116"/>
      <c r="J564" s="116"/>
      <c r="K564" s="116"/>
      <c r="L564" s="116"/>
      <c r="M564" s="116"/>
      <c r="N564" s="116"/>
      <c r="O564" s="389"/>
      <c r="P564" s="219"/>
      <c r="Q564" s="332"/>
      <c r="R564" s="332"/>
      <c r="S564" s="219"/>
      <c r="T564" s="332"/>
      <c r="U564" s="219"/>
      <c r="V564" s="332"/>
      <c r="W564" s="242"/>
      <c r="X564" s="332"/>
    </row>
    <row r="565" spans="1:24" ht="13">
      <c r="A565" s="7"/>
      <c r="C565" s="153"/>
      <c r="F565" s="332"/>
      <c r="G565" s="219"/>
      <c r="H565" s="116"/>
      <c r="I565" s="116"/>
      <c r="J565" s="116"/>
      <c r="K565" s="116"/>
      <c r="L565" s="116"/>
      <c r="M565" s="116"/>
      <c r="N565" s="116"/>
      <c r="O565" s="389"/>
      <c r="P565" s="219"/>
      <c r="Q565" s="332"/>
      <c r="R565" s="332"/>
      <c r="S565" s="219"/>
      <c r="T565" s="332"/>
      <c r="U565" s="219"/>
      <c r="V565" s="332"/>
      <c r="W565" s="242"/>
      <c r="X565" s="332"/>
    </row>
    <row r="566" spans="1:24" ht="13">
      <c r="A566" s="7"/>
      <c r="C566" s="153"/>
      <c r="F566" s="332"/>
      <c r="G566" s="219"/>
      <c r="H566" s="116"/>
      <c r="I566" s="116"/>
      <c r="J566" s="116"/>
      <c r="K566" s="116"/>
      <c r="L566" s="116"/>
      <c r="M566" s="116"/>
      <c r="N566" s="116"/>
      <c r="O566" s="389"/>
      <c r="P566" s="219"/>
      <c r="Q566" s="332"/>
      <c r="R566" s="332"/>
      <c r="S566" s="219"/>
      <c r="T566" s="332"/>
      <c r="U566" s="219"/>
      <c r="V566" s="332"/>
      <c r="W566" s="242"/>
      <c r="X566" s="332"/>
    </row>
    <row r="567" spans="1:24" ht="13">
      <c r="A567" s="7"/>
      <c r="C567" s="153"/>
      <c r="F567" s="332"/>
      <c r="G567" s="219"/>
      <c r="H567" s="116"/>
      <c r="I567" s="116"/>
      <c r="J567" s="116"/>
      <c r="K567" s="116"/>
      <c r="L567" s="116"/>
      <c r="M567" s="116"/>
      <c r="N567" s="116"/>
      <c r="O567" s="389"/>
      <c r="P567" s="219"/>
      <c r="Q567" s="332"/>
      <c r="R567" s="332"/>
      <c r="S567" s="219"/>
      <c r="T567" s="332"/>
      <c r="U567" s="219"/>
      <c r="V567" s="332"/>
      <c r="W567" s="242"/>
      <c r="X567" s="332"/>
    </row>
    <row r="568" spans="1:24" ht="13">
      <c r="A568" s="7"/>
      <c r="C568" s="153"/>
      <c r="F568" s="332"/>
      <c r="G568" s="219"/>
      <c r="H568" s="116"/>
      <c r="I568" s="116"/>
      <c r="J568" s="116"/>
      <c r="K568" s="116"/>
      <c r="L568" s="116"/>
      <c r="M568" s="116"/>
      <c r="N568" s="116"/>
      <c r="O568" s="389"/>
      <c r="P568" s="219"/>
      <c r="Q568" s="332"/>
      <c r="R568" s="332"/>
      <c r="S568" s="219"/>
      <c r="T568" s="332"/>
      <c r="U568" s="219"/>
      <c r="V568" s="332"/>
      <c r="W568" s="242"/>
      <c r="X568" s="332"/>
    </row>
    <row r="569" spans="1:24" ht="13">
      <c r="A569" s="7"/>
      <c r="C569" s="153"/>
      <c r="F569" s="332"/>
      <c r="G569" s="219"/>
      <c r="H569" s="116"/>
      <c r="I569" s="116"/>
      <c r="J569" s="116"/>
      <c r="K569" s="116"/>
      <c r="L569" s="116"/>
      <c r="M569" s="116"/>
      <c r="N569" s="116"/>
      <c r="O569" s="389"/>
      <c r="P569" s="219"/>
      <c r="Q569" s="332"/>
      <c r="R569" s="332"/>
      <c r="S569" s="219"/>
      <c r="T569" s="332"/>
      <c r="U569" s="219"/>
      <c r="V569" s="332"/>
      <c r="W569" s="242"/>
      <c r="X569" s="332"/>
    </row>
    <row r="570" spans="1:24" ht="13">
      <c r="A570" s="7"/>
      <c r="C570" s="153"/>
      <c r="F570" s="332"/>
      <c r="G570" s="219"/>
      <c r="H570" s="116"/>
      <c r="I570" s="116"/>
      <c r="J570" s="116"/>
      <c r="K570" s="116"/>
      <c r="L570" s="116"/>
      <c r="M570" s="116"/>
      <c r="N570" s="116"/>
      <c r="O570" s="389"/>
      <c r="P570" s="219"/>
      <c r="Q570" s="332"/>
      <c r="R570" s="332"/>
      <c r="S570" s="219"/>
      <c r="T570" s="332"/>
      <c r="U570" s="219"/>
      <c r="V570" s="332"/>
      <c r="W570" s="242"/>
      <c r="X570" s="332"/>
    </row>
    <row r="571" spans="1:24" ht="13">
      <c r="A571" s="7"/>
      <c r="C571" s="153"/>
      <c r="F571" s="332"/>
      <c r="G571" s="219"/>
      <c r="H571" s="116"/>
      <c r="I571" s="116"/>
      <c r="J571" s="116"/>
      <c r="K571" s="116"/>
      <c r="L571" s="116"/>
      <c r="M571" s="116"/>
      <c r="N571" s="116"/>
      <c r="O571" s="389"/>
      <c r="P571" s="219"/>
      <c r="Q571" s="332"/>
      <c r="R571" s="332"/>
      <c r="S571" s="219"/>
      <c r="T571" s="332"/>
      <c r="U571" s="219"/>
      <c r="V571" s="332"/>
      <c r="W571" s="242"/>
      <c r="X571" s="332"/>
    </row>
    <row r="572" spans="1:24" ht="13">
      <c r="A572" s="7"/>
      <c r="C572" s="153"/>
      <c r="F572" s="332"/>
      <c r="G572" s="219"/>
      <c r="H572" s="116"/>
      <c r="I572" s="116"/>
      <c r="J572" s="116"/>
      <c r="K572" s="116"/>
      <c r="L572" s="116"/>
      <c r="M572" s="116"/>
      <c r="N572" s="116"/>
      <c r="O572" s="389"/>
      <c r="P572" s="219"/>
      <c r="Q572" s="332"/>
      <c r="R572" s="332"/>
      <c r="S572" s="219"/>
      <c r="T572" s="332"/>
      <c r="U572" s="219"/>
      <c r="V572" s="332"/>
      <c r="W572" s="242"/>
      <c r="X572" s="332"/>
    </row>
    <row r="573" spans="1:24" ht="13">
      <c r="A573" s="7"/>
      <c r="C573" s="153"/>
      <c r="F573" s="332"/>
      <c r="G573" s="219"/>
      <c r="H573" s="116"/>
      <c r="I573" s="116"/>
      <c r="J573" s="116"/>
      <c r="K573" s="116"/>
      <c r="L573" s="116"/>
      <c r="M573" s="116"/>
      <c r="N573" s="116"/>
      <c r="O573" s="389"/>
      <c r="P573" s="219"/>
      <c r="Q573" s="332"/>
      <c r="R573" s="332"/>
      <c r="S573" s="219"/>
      <c r="T573" s="332"/>
      <c r="U573" s="219"/>
      <c r="V573" s="332"/>
      <c r="W573" s="242"/>
      <c r="X573" s="332"/>
    </row>
    <row r="574" spans="1:24" ht="13">
      <c r="A574" s="7"/>
      <c r="C574" s="153"/>
      <c r="F574" s="332"/>
      <c r="G574" s="219"/>
      <c r="H574" s="116"/>
      <c r="I574" s="116"/>
      <c r="J574" s="116"/>
      <c r="K574" s="116"/>
      <c r="L574" s="116"/>
      <c r="M574" s="116"/>
      <c r="N574" s="116"/>
      <c r="O574" s="389"/>
      <c r="P574" s="219"/>
      <c r="Q574" s="332"/>
      <c r="R574" s="332"/>
      <c r="S574" s="219"/>
      <c r="T574" s="332"/>
      <c r="U574" s="219"/>
      <c r="V574" s="332"/>
      <c r="W574" s="242"/>
      <c r="X574" s="332"/>
    </row>
    <row r="575" spans="1:24" ht="13">
      <c r="A575" s="7"/>
      <c r="C575" s="153"/>
      <c r="F575" s="332"/>
      <c r="G575" s="219"/>
      <c r="H575" s="116"/>
      <c r="I575" s="116"/>
      <c r="J575" s="116"/>
      <c r="K575" s="116"/>
      <c r="L575" s="116"/>
      <c r="M575" s="116"/>
      <c r="N575" s="116"/>
      <c r="O575" s="389"/>
      <c r="P575" s="219"/>
      <c r="Q575" s="332"/>
      <c r="R575" s="332"/>
      <c r="S575" s="219"/>
      <c r="T575" s="332"/>
      <c r="U575" s="219"/>
      <c r="V575" s="332"/>
      <c r="W575" s="242"/>
      <c r="X575" s="332"/>
    </row>
    <row r="576" spans="1:24" ht="13">
      <c r="A576" s="7"/>
      <c r="C576" s="153"/>
      <c r="F576" s="332"/>
      <c r="G576" s="219"/>
      <c r="H576" s="116"/>
      <c r="I576" s="116"/>
      <c r="J576" s="116"/>
      <c r="K576" s="116"/>
      <c r="L576" s="116"/>
      <c r="M576" s="116"/>
      <c r="N576" s="116"/>
      <c r="O576" s="389"/>
      <c r="P576" s="219"/>
      <c r="Q576" s="332"/>
      <c r="R576" s="332"/>
      <c r="S576" s="219"/>
      <c r="T576" s="332"/>
      <c r="U576" s="219"/>
      <c r="V576" s="332"/>
      <c r="W576" s="242"/>
      <c r="X576" s="332"/>
    </row>
    <row r="577" spans="1:24" ht="13">
      <c r="A577" s="7"/>
      <c r="C577" s="153"/>
      <c r="F577" s="332"/>
      <c r="G577" s="219"/>
      <c r="H577" s="116"/>
      <c r="I577" s="116"/>
      <c r="J577" s="116"/>
      <c r="K577" s="116"/>
      <c r="L577" s="116"/>
      <c r="M577" s="116"/>
      <c r="N577" s="116"/>
      <c r="O577" s="389"/>
      <c r="P577" s="219"/>
      <c r="Q577" s="332"/>
      <c r="R577" s="332"/>
      <c r="S577" s="219"/>
      <c r="T577" s="332"/>
      <c r="U577" s="219"/>
      <c r="V577" s="332"/>
      <c r="W577" s="242"/>
      <c r="X577" s="332"/>
    </row>
    <row r="578" spans="1:24" ht="13">
      <c r="A578" s="7"/>
      <c r="C578" s="153"/>
      <c r="F578" s="332"/>
      <c r="G578" s="219"/>
      <c r="H578" s="116"/>
      <c r="I578" s="116"/>
      <c r="J578" s="116"/>
      <c r="K578" s="116"/>
      <c r="L578" s="116"/>
      <c r="M578" s="116"/>
      <c r="N578" s="116"/>
      <c r="O578" s="389"/>
      <c r="P578" s="219"/>
      <c r="Q578" s="332"/>
      <c r="R578" s="332"/>
      <c r="S578" s="219"/>
      <c r="T578" s="332"/>
      <c r="U578" s="219"/>
      <c r="V578" s="332"/>
      <c r="W578" s="242"/>
      <c r="X578" s="332"/>
    </row>
    <row r="579" spans="1:24" ht="13">
      <c r="A579" s="7"/>
      <c r="C579" s="153"/>
      <c r="F579" s="332"/>
      <c r="G579" s="219"/>
      <c r="H579" s="116"/>
      <c r="I579" s="116"/>
      <c r="J579" s="116"/>
      <c r="K579" s="116"/>
      <c r="L579" s="116"/>
      <c r="M579" s="116"/>
      <c r="N579" s="116"/>
      <c r="O579" s="389"/>
      <c r="P579" s="219"/>
      <c r="Q579" s="332"/>
      <c r="R579" s="332"/>
      <c r="S579" s="219"/>
      <c r="T579" s="332"/>
      <c r="U579" s="219"/>
      <c r="V579" s="332"/>
      <c r="W579" s="242"/>
      <c r="X579" s="332"/>
    </row>
    <row r="580" spans="1:24" ht="13">
      <c r="A580" s="7"/>
      <c r="C580" s="153"/>
      <c r="F580" s="332"/>
      <c r="G580" s="219"/>
      <c r="H580" s="116"/>
      <c r="I580" s="116"/>
      <c r="J580" s="116"/>
      <c r="K580" s="116"/>
      <c r="L580" s="116"/>
      <c r="M580" s="116"/>
      <c r="N580" s="116"/>
      <c r="O580" s="389"/>
      <c r="P580" s="219"/>
      <c r="Q580" s="332"/>
      <c r="R580" s="332"/>
      <c r="S580" s="219"/>
      <c r="T580" s="332"/>
      <c r="U580" s="219"/>
      <c r="V580" s="332"/>
      <c r="W580" s="242"/>
      <c r="X580" s="332"/>
    </row>
    <row r="581" spans="1:24" ht="13">
      <c r="A581" s="7"/>
      <c r="C581" s="153"/>
      <c r="F581" s="332"/>
      <c r="G581" s="219"/>
      <c r="H581" s="116"/>
      <c r="I581" s="116"/>
      <c r="J581" s="116"/>
      <c r="K581" s="116"/>
      <c r="L581" s="116"/>
      <c r="M581" s="116"/>
      <c r="N581" s="116"/>
      <c r="O581" s="389"/>
      <c r="P581" s="219"/>
      <c r="Q581" s="332"/>
      <c r="R581" s="332"/>
      <c r="S581" s="219"/>
      <c r="T581" s="332"/>
      <c r="U581" s="219"/>
      <c r="V581" s="332"/>
      <c r="W581" s="242"/>
      <c r="X581" s="332"/>
    </row>
    <row r="582" spans="1:24" ht="13">
      <c r="A582" s="7"/>
      <c r="C582" s="153"/>
      <c r="F582" s="332"/>
      <c r="G582" s="219"/>
      <c r="H582" s="116"/>
      <c r="I582" s="116"/>
      <c r="J582" s="116"/>
      <c r="K582" s="116"/>
      <c r="L582" s="116"/>
      <c r="M582" s="116"/>
      <c r="N582" s="116"/>
      <c r="O582" s="389"/>
      <c r="P582" s="219"/>
      <c r="Q582" s="332"/>
      <c r="R582" s="332"/>
      <c r="S582" s="219"/>
      <c r="T582" s="332"/>
      <c r="U582" s="219"/>
      <c r="V582" s="332"/>
      <c r="W582" s="242"/>
      <c r="X582" s="332"/>
    </row>
    <row r="583" spans="1:24" ht="13">
      <c r="A583" s="7"/>
      <c r="C583" s="153"/>
      <c r="F583" s="332"/>
      <c r="G583" s="219"/>
      <c r="H583" s="116"/>
      <c r="I583" s="116"/>
      <c r="J583" s="116"/>
      <c r="K583" s="116"/>
      <c r="L583" s="116"/>
      <c r="M583" s="116"/>
      <c r="N583" s="116"/>
      <c r="O583" s="389"/>
      <c r="P583" s="219"/>
      <c r="Q583" s="332"/>
      <c r="R583" s="332"/>
      <c r="S583" s="219"/>
      <c r="T583" s="332"/>
      <c r="U583" s="219"/>
      <c r="V583" s="332"/>
      <c r="W583" s="242"/>
      <c r="X583" s="332"/>
    </row>
    <row r="584" spans="1:24" ht="13">
      <c r="A584" s="7"/>
      <c r="C584" s="153"/>
      <c r="F584" s="332"/>
      <c r="G584" s="219"/>
      <c r="H584" s="116"/>
      <c r="I584" s="116"/>
      <c r="J584" s="116"/>
      <c r="K584" s="116"/>
      <c r="L584" s="116"/>
      <c r="M584" s="116"/>
      <c r="N584" s="116"/>
      <c r="O584" s="389"/>
      <c r="P584" s="219"/>
      <c r="Q584" s="332"/>
      <c r="R584" s="332"/>
      <c r="S584" s="219"/>
      <c r="T584" s="332"/>
      <c r="U584" s="219"/>
      <c r="V584" s="332"/>
      <c r="W584" s="242"/>
      <c r="X584" s="332"/>
    </row>
    <row r="585" spans="1:24" ht="13">
      <c r="A585" s="7"/>
      <c r="C585" s="153"/>
      <c r="F585" s="332"/>
      <c r="G585" s="219"/>
      <c r="H585" s="116"/>
      <c r="I585" s="116"/>
      <c r="J585" s="116"/>
      <c r="K585" s="116"/>
      <c r="L585" s="116"/>
      <c r="M585" s="116"/>
      <c r="N585" s="116"/>
      <c r="O585" s="389"/>
      <c r="P585" s="219"/>
      <c r="Q585" s="332"/>
      <c r="R585" s="332"/>
      <c r="S585" s="219"/>
      <c r="T585" s="332"/>
      <c r="U585" s="219"/>
      <c r="V585" s="332"/>
      <c r="W585" s="242"/>
      <c r="X585" s="332"/>
    </row>
    <row r="586" spans="1:24" ht="13">
      <c r="A586" s="7"/>
      <c r="C586" s="153"/>
      <c r="F586" s="332"/>
      <c r="G586" s="219"/>
      <c r="H586" s="116"/>
      <c r="I586" s="116"/>
      <c r="J586" s="116"/>
      <c r="K586" s="116"/>
      <c r="L586" s="116"/>
      <c r="M586" s="116"/>
      <c r="N586" s="116"/>
      <c r="O586" s="389"/>
      <c r="P586" s="219"/>
      <c r="Q586" s="332"/>
      <c r="R586" s="332"/>
      <c r="S586" s="219"/>
      <c r="T586" s="332"/>
      <c r="U586" s="219"/>
      <c r="V586" s="332"/>
      <c r="W586" s="242"/>
      <c r="X586" s="332"/>
    </row>
    <row r="587" spans="1:24" ht="13">
      <c r="A587" s="7"/>
      <c r="C587" s="153"/>
      <c r="F587" s="332"/>
      <c r="G587" s="219"/>
      <c r="H587" s="116"/>
      <c r="I587" s="116"/>
      <c r="J587" s="116"/>
      <c r="K587" s="116"/>
      <c r="L587" s="116"/>
      <c r="M587" s="116"/>
      <c r="N587" s="116"/>
      <c r="O587" s="389"/>
      <c r="P587" s="219"/>
      <c r="Q587" s="332"/>
      <c r="R587" s="332"/>
      <c r="S587" s="219"/>
      <c r="T587" s="332"/>
      <c r="U587" s="219"/>
      <c r="V587" s="332"/>
      <c r="W587" s="242"/>
      <c r="X587" s="332"/>
    </row>
    <row r="588" spans="1:24" ht="13">
      <c r="A588" s="7"/>
      <c r="C588" s="153"/>
      <c r="F588" s="332"/>
      <c r="G588" s="219"/>
      <c r="H588" s="116"/>
      <c r="I588" s="116"/>
      <c r="J588" s="116"/>
      <c r="K588" s="116"/>
      <c r="L588" s="116"/>
      <c r="M588" s="116"/>
      <c r="N588" s="116"/>
      <c r="O588" s="389"/>
      <c r="P588" s="219"/>
      <c r="Q588" s="332"/>
      <c r="R588" s="332"/>
      <c r="S588" s="219"/>
      <c r="T588" s="332"/>
      <c r="U588" s="219"/>
      <c r="V588" s="332"/>
      <c r="W588" s="242"/>
      <c r="X588" s="332"/>
    </row>
    <row r="589" spans="1:24" ht="13">
      <c r="A589" s="7"/>
      <c r="C589" s="153"/>
      <c r="F589" s="332"/>
      <c r="G589" s="219"/>
      <c r="H589" s="116"/>
      <c r="I589" s="116"/>
      <c r="J589" s="116"/>
      <c r="K589" s="116"/>
      <c r="L589" s="116"/>
      <c r="M589" s="116"/>
      <c r="N589" s="116"/>
      <c r="O589" s="389"/>
      <c r="P589" s="219"/>
      <c r="Q589" s="332"/>
      <c r="R589" s="332"/>
      <c r="S589" s="219"/>
      <c r="T589" s="332"/>
      <c r="U589" s="219"/>
      <c r="V589" s="332"/>
      <c r="W589" s="242"/>
      <c r="X589" s="332"/>
    </row>
    <row r="590" spans="1:24" ht="13">
      <c r="A590" s="7"/>
      <c r="C590" s="153"/>
      <c r="F590" s="332"/>
      <c r="G590" s="219"/>
      <c r="H590" s="116"/>
      <c r="I590" s="116"/>
      <c r="J590" s="116"/>
      <c r="K590" s="116"/>
      <c r="L590" s="116"/>
      <c r="M590" s="116"/>
      <c r="N590" s="116"/>
      <c r="O590" s="389"/>
      <c r="P590" s="219"/>
      <c r="Q590" s="332"/>
      <c r="R590" s="332"/>
      <c r="S590" s="219"/>
      <c r="T590" s="332"/>
      <c r="U590" s="219"/>
      <c r="V590" s="332"/>
      <c r="W590" s="242"/>
      <c r="X590" s="332"/>
    </row>
    <row r="591" spans="1:24" ht="13">
      <c r="A591" s="7"/>
      <c r="C591" s="153"/>
      <c r="F591" s="332"/>
      <c r="G591" s="219"/>
      <c r="H591" s="116"/>
      <c r="I591" s="116"/>
      <c r="J591" s="116"/>
      <c r="K591" s="116"/>
      <c r="L591" s="116"/>
      <c r="M591" s="116"/>
      <c r="N591" s="116"/>
      <c r="O591" s="389"/>
      <c r="P591" s="219"/>
      <c r="Q591" s="332"/>
      <c r="R591" s="332"/>
      <c r="S591" s="219"/>
      <c r="T591" s="332"/>
      <c r="U591" s="219"/>
      <c r="V591" s="332"/>
      <c r="W591" s="242"/>
      <c r="X591" s="332"/>
    </row>
    <row r="592" spans="1:24" ht="13">
      <c r="A592" s="7"/>
      <c r="C592" s="153"/>
      <c r="F592" s="332"/>
      <c r="G592" s="219"/>
      <c r="H592" s="116"/>
      <c r="I592" s="116"/>
      <c r="J592" s="116"/>
      <c r="K592" s="116"/>
      <c r="L592" s="116"/>
      <c r="M592" s="116"/>
      <c r="N592" s="116"/>
      <c r="O592" s="389"/>
      <c r="P592" s="219"/>
      <c r="Q592" s="332"/>
      <c r="R592" s="332"/>
      <c r="S592" s="219"/>
      <c r="T592" s="332"/>
      <c r="U592" s="219"/>
      <c r="V592" s="332"/>
      <c r="W592" s="242"/>
      <c r="X592" s="332"/>
    </row>
    <row r="593" spans="1:24" ht="13">
      <c r="A593" s="7"/>
      <c r="C593" s="153"/>
      <c r="F593" s="332"/>
      <c r="G593" s="219"/>
      <c r="H593" s="116"/>
      <c r="I593" s="116"/>
      <c r="J593" s="116"/>
      <c r="K593" s="116"/>
      <c r="L593" s="116"/>
      <c r="M593" s="116"/>
      <c r="N593" s="116"/>
      <c r="O593" s="389"/>
      <c r="P593" s="219"/>
      <c r="Q593" s="332"/>
      <c r="R593" s="332"/>
      <c r="S593" s="219"/>
      <c r="T593" s="332"/>
      <c r="U593" s="219"/>
      <c r="V593" s="332"/>
      <c r="W593" s="242"/>
      <c r="X593" s="332"/>
    </row>
    <row r="594" spans="1:24" ht="13">
      <c r="A594" s="7"/>
      <c r="C594" s="153"/>
      <c r="F594" s="332"/>
      <c r="G594" s="219"/>
      <c r="H594" s="116"/>
      <c r="I594" s="116"/>
      <c r="J594" s="116"/>
      <c r="K594" s="116"/>
      <c r="L594" s="116"/>
      <c r="M594" s="116"/>
      <c r="N594" s="116"/>
      <c r="O594" s="389"/>
      <c r="P594" s="219"/>
      <c r="Q594" s="332"/>
      <c r="R594" s="332"/>
      <c r="S594" s="219"/>
      <c r="T594" s="332"/>
      <c r="U594" s="219"/>
      <c r="V594" s="332"/>
      <c r="W594" s="242"/>
      <c r="X594" s="332"/>
    </row>
    <row r="595" spans="1:24" ht="13">
      <c r="A595" s="7"/>
      <c r="C595" s="153"/>
      <c r="F595" s="332"/>
      <c r="G595" s="219"/>
      <c r="H595" s="116"/>
      <c r="I595" s="116"/>
      <c r="J595" s="116"/>
      <c r="K595" s="116"/>
      <c r="L595" s="116"/>
      <c r="M595" s="116"/>
      <c r="N595" s="116"/>
      <c r="O595" s="389"/>
      <c r="P595" s="219"/>
      <c r="Q595" s="332"/>
      <c r="R595" s="332"/>
      <c r="S595" s="219"/>
      <c r="T595" s="332"/>
      <c r="U595" s="219"/>
      <c r="V595" s="332"/>
      <c r="W595" s="242"/>
      <c r="X595" s="332"/>
    </row>
    <row r="596" spans="1:24" ht="13">
      <c r="A596" s="7"/>
      <c r="C596" s="153"/>
      <c r="F596" s="332"/>
      <c r="G596" s="219"/>
      <c r="H596" s="116"/>
      <c r="I596" s="116"/>
      <c r="J596" s="116"/>
      <c r="K596" s="116"/>
      <c r="L596" s="116"/>
      <c r="M596" s="116"/>
      <c r="N596" s="116"/>
      <c r="O596" s="389"/>
      <c r="P596" s="219"/>
      <c r="Q596" s="332"/>
      <c r="R596" s="332"/>
      <c r="S596" s="219"/>
      <c r="T596" s="332"/>
      <c r="U596" s="219"/>
      <c r="V596" s="332"/>
      <c r="W596" s="242"/>
      <c r="X596" s="332"/>
    </row>
    <row r="597" spans="1:24" ht="13">
      <c r="A597" s="7"/>
      <c r="C597" s="153"/>
      <c r="F597" s="332"/>
      <c r="G597" s="219"/>
      <c r="H597" s="116"/>
      <c r="I597" s="116"/>
      <c r="J597" s="116"/>
      <c r="K597" s="116"/>
      <c r="L597" s="116"/>
      <c r="M597" s="116"/>
      <c r="N597" s="116"/>
      <c r="O597" s="389"/>
      <c r="P597" s="219"/>
      <c r="Q597" s="332"/>
      <c r="R597" s="332"/>
      <c r="S597" s="219"/>
      <c r="T597" s="332"/>
      <c r="U597" s="219"/>
      <c r="V597" s="332"/>
      <c r="W597" s="242"/>
      <c r="X597" s="332"/>
    </row>
    <row r="598" spans="1:24" ht="13">
      <c r="A598" s="7"/>
      <c r="C598" s="153"/>
      <c r="F598" s="332"/>
      <c r="G598" s="219"/>
      <c r="H598" s="116"/>
      <c r="I598" s="116"/>
      <c r="J598" s="116"/>
      <c r="K598" s="116"/>
      <c r="L598" s="116"/>
      <c r="M598" s="116"/>
      <c r="N598" s="116"/>
      <c r="O598" s="389"/>
      <c r="P598" s="219"/>
      <c r="Q598" s="332"/>
      <c r="R598" s="332"/>
      <c r="S598" s="219"/>
      <c r="T598" s="332"/>
      <c r="U598" s="219"/>
      <c r="V598" s="332"/>
      <c r="W598" s="242"/>
      <c r="X598" s="332"/>
    </row>
    <row r="599" spans="1:24" ht="13">
      <c r="A599" s="7"/>
      <c r="C599" s="153"/>
      <c r="F599" s="332"/>
      <c r="G599" s="219"/>
      <c r="H599" s="116"/>
      <c r="I599" s="116"/>
      <c r="J599" s="116"/>
      <c r="K599" s="116"/>
      <c r="L599" s="116"/>
      <c r="M599" s="116"/>
      <c r="N599" s="116"/>
      <c r="O599" s="389"/>
      <c r="P599" s="219"/>
      <c r="Q599" s="332"/>
      <c r="R599" s="332"/>
      <c r="S599" s="219"/>
      <c r="T599" s="332"/>
      <c r="U599" s="219"/>
      <c r="V599" s="332"/>
      <c r="W599" s="242"/>
      <c r="X599" s="332"/>
    </row>
    <row r="600" spans="1:24" ht="13">
      <c r="A600" s="7"/>
      <c r="C600" s="153"/>
      <c r="F600" s="332"/>
      <c r="G600" s="219"/>
      <c r="H600" s="116"/>
      <c r="I600" s="116"/>
      <c r="J600" s="116"/>
      <c r="K600" s="116"/>
      <c r="L600" s="116"/>
      <c r="M600" s="116"/>
      <c r="N600" s="116"/>
      <c r="O600" s="389"/>
      <c r="P600" s="219"/>
      <c r="Q600" s="332"/>
      <c r="R600" s="332"/>
      <c r="S600" s="219"/>
      <c r="T600" s="332"/>
      <c r="U600" s="219"/>
      <c r="V600" s="332"/>
      <c r="W600" s="242"/>
      <c r="X600" s="332"/>
    </row>
    <row r="601" spans="1:24" ht="13">
      <c r="A601" s="7"/>
      <c r="C601" s="153"/>
      <c r="F601" s="332"/>
      <c r="G601" s="219"/>
      <c r="H601" s="116"/>
      <c r="I601" s="116"/>
      <c r="J601" s="116"/>
      <c r="K601" s="116"/>
      <c r="L601" s="116"/>
      <c r="M601" s="116"/>
      <c r="N601" s="116"/>
      <c r="O601" s="389"/>
      <c r="P601" s="219"/>
      <c r="Q601" s="332"/>
      <c r="R601" s="332"/>
      <c r="S601" s="219"/>
      <c r="T601" s="332"/>
      <c r="U601" s="219"/>
      <c r="V601" s="332"/>
      <c r="W601" s="242"/>
      <c r="X601" s="332"/>
    </row>
    <row r="602" spans="1:24" ht="13">
      <c r="A602" s="7"/>
      <c r="C602" s="153"/>
      <c r="F602" s="332"/>
      <c r="G602" s="219"/>
      <c r="H602" s="116"/>
      <c r="I602" s="116"/>
      <c r="J602" s="116"/>
      <c r="K602" s="116"/>
      <c r="L602" s="116"/>
      <c r="M602" s="116"/>
      <c r="N602" s="116"/>
      <c r="O602" s="389"/>
      <c r="P602" s="219"/>
      <c r="Q602" s="332"/>
      <c r="R602" s="332"/>
      <c r="S602" s="219"/>
      <c r="T602" s="332"/>
      <c r="U602" s="219"/>
      <c r="V602" s="332"/>
      <c r="W602" s="242"/>
      <c r="X602" s="332"/>
    </row>
    <row r="603" spans="1:24" ht="13">
      <c r="A603" s="7"/>
      <c r="C603" s="153"/>
      <c r="F603" s="332"/>
      <c r="G603" s="219"/>
      <c r="H603" s="116"/>
      <c r="I603" s="116"/>
      <c r="J603" s="116"/>
      <c r="K603" s="116"/>
      <c r="L603" s="116"/>
      <c r="M603" s="116"/>
      <c r="N603" s="116"/>
      <c r="O603" s="389"/>
      <c r="P603" s="219"/>
      <c r="Q603" s="332"/>
      <c r="R603" s="332"/>
      <c r="S603" s="219"/>
      <c r="T603" s="332"/>
      <c r="U603" s="219"/>
      <c r="V603" s="332"/>
      <c r="W603" s="242"/>
      <c r="X603" s="332"/>
    </row>
    <row r="604" spans="1:24" ht="13">
      <c r="A604" s="7"/>
      <c r="C604" s="153"/>
      <c r="F604" s="332"/>
      <c r="G604" s="219"/>
      <c r="H604" s="116"/>
      <c r="I604" s="116"/>
      <c r="J604" s="116"/>
      <c r="K604" s="116"/>
      <c r="L604" s="116"/>
      <c r="M604" s="116"/>
      <c r="N604" s="116"/>
      <c r="O604" s="389"/>
      <c r="P604" s="219"/>
      <c r="Q604" s="332"/>
      <c r="R604" s="332"/>
      <c r="S604" s="219"/>
      <c r="T604" s="332"/>
      <c r="U604" s="219"/>
      <c r="V604" s="332"/>
      <c r="W604" s="242"/>
      <c r="X604" s="332"/>
    </row>
    <row r="605" spans="1:24" ht="13">
      <c r="A605" s="7"/>
      <c r="C605" s="153"/>
      <c r="F605" s="332"/>
      <c r="G605" s="219"/>
      <c r="H605" s="116"/>
      <c r="I605" s="116"/>
      <c r="J605" s="116"/>
      <c r="K605" s="116"/>
      <c r="L605" s="116"/>
      <c r="M605" s="116"/>
      <c r="N605" s="116"/>
      <c r="O605" s="389"/>
      <c r="P605" s="219"/>
      <c r="Q605" s="332"/>
      <c r="R605" s="332"/>
      <c r="S605" s="219"/>
      <c r="T605" s="332"/>
      <c r="U605" s="219"/>
      <c r="V605" s="332"/>
      <c r="W605" s="242"/>
      <c r="X605" s="332"/>
    </row>
    <row r="606" spans="1:24" ht="13">
      <c r="A606" s="7"/>
      <c r="C606" s="153"/>
      <c r="F606" s="332"/>
      <c r="G606" s="219"/>
      <c r="H606" s="116"/>
      <c r="I606" s="116"/>
      <c r="J606" s="116"/>
      <c r="K606" s="116"/>
      <c r="L606" s="116"/>
      <c r="M606" s="116"/>
      <c r="N606" s="116"/>
      <c r="O606" s="389"/>
      <c r="P606" s="219"/>
      <c r="Q606" s="332"/>
      <c r="R606" s="332"/>
      <c r="S606" s="219"/>
      <c r="T606" s="332"/>
      <c r="U606" s="219"/>
      <c r="V606" s="332"/>
      <c r="W606" s="242"/>
      <c r="X606" s="332"/>
    </row>
    <row r="607" spans="1:24" ht="13">
      <c r="A607" s="7"/>
      <c r="C607" s="153"/>
      <c r="F607" s="332"/>
      <c r="G607" s="219"/>
      <c r="H607" s="116"/>
      <c r="I607" s="116"/>
      <c r="J607" s="116"/>
      <c r="K607" s="116"/>
      <c r="L607" s="116"/>
      <c r="M607" s="116"/>
      <c r="N607" s="116"/>
      <c r="O607" s="389"/>
      <c r="P607" s="219"/>
      <c r="Q607" s="332"/>
      <c r="R607" s="332"/>
      <c r="S607" s="219"/>
      <c r="T607" s="332"/>
      <c r="U607" s="219"/>
      <c r="V607" s="332"/>
      <c r="W607" s="242"/>
      <c r="X607" s="332"/>
    </row>
    <row r="608" spans="1:24" ht="13">
      <c r="A608" s="7"/>
      <c r="C608" s="153"/>
      <c r="F608" s="332"/>
      <c r="G608" s="219"/>
      <c r="H608" s="116"/>
      <c r="I608" s="116"/>
      <c r="J608" s="116"/>
      <c r="K608" s="116"/>
      <c r="L608" s="116"/>
      <c r="M608" s="116"/>
      <c r="N608" s="116"/>
      <c r="O608" s="389"/>
      <c r="P608" s="219"/>
      <c r="Q608" s="332"/>
      <c r="R608" s="332"/>
      <c r="S608" s="219"/>
      <c r="T608" s="332"/>
      <c r="U608" s="219"/>
      <c r="V608" s="332"/>
      <c r="W608" s="242"/>
      <c r="X608" s="332"/>
    </row>
    <row r="609" spans="1:24" ht="13">
      <c r="A609" s="7"/>
      <c r="C609" s="153"/>
      <c r="F609" s="332"/>
      <c r="G609" s="219"/>
      <c r="H609" s="116"/>
      <c r="I609" s="116"/>
      <c r="J609" s="116"/>
      <c r="K609" s="116"/>
      <c r="L609" s="116"/>
      <c r="M609" s="116"/>
      <c r="N609" s="116"/>
      <c r="O609" s="389"/>
      <c r="P609" s="219"/>
      <c r="Q609" s="332"/>
      <c r="R609" s="332"/>
      <c r="S609" s="219"/>
      <c r="T609" s="332"/>
      <c r="U609" s="219"/>
      <c r="V609" s="332"/>
      <c r="W609" s="242"/>
      <c r="X609" s="332"/>
    </row>
    <row r="610" spans="1:24" ht="13">
      <c r="A610" s="7"/>
      <c r="C610" s="153"/>
      <c r="F610" s="332"/>
      <c r="G610" s="219"/>
      <c r="H610" s="116"/>
      <c r="I610" s="116"/>
      <c r="J610" s="116"/>
      <c r="K610" s="116"/>
      <c r="L610" s="116"/>
      <c r="M610" s="116"/>
      <c r="N610" s="116"/>
      <c r="O610" s="389"/>
      <c r="P610" s="219"/>
      <c r="Q610" s="332"/>
      <c r="R610" s="332"/>
      <c r="S610" s="219"/>
      <c r="T610" s="332"/>
      <c r="U610" s="219"/>
      <c r="V610" s="332"/>
      <c r="W610" s="242"/>
      <c r="X610" s="332"/>
    </row>
    <row r="611" spans="1:24" ht="13">
      <c r="A611" s="7"/>
      <c r="C611" s="153"/>
      <c r="F611" s="332"/>
      <c r="G611" s="219"/>
      <c r="H611" s="116"/>
      <c r="I611" s="116"/>
      <c r="J611" s="116"/>
      <c r="K611" s="116"/>
      <c r="L611" s="116"/>
      <c r="M611" s="116"/>
      <c r="N611" s="116"/>
      <c r="O611" s="389"/>
      <c r="P611" s="219"/>
      <c r="Q611" s="332"/>
      <c r="R611" s="332"/>
      <c r="S611" s="219"/>
      <c r="T611" s="332"/>
      <c r="U611" s="219"/>
      <c r="V611" s="332"/>
      <c r="W611" s="242"/>
      <c r="X611" s="332"/>
    </row>
    <row r="612" spans="1:24" ht="13">
      <c r="A612" s="7"/>
      <c r="C612" s="153"/>
      <c r="F612" s="332"/>
      <c r="G612" s="219"/>
      <c r="H612" s="116"/>
      <c r="I612" s="116"/>
      <c r="J612" s="116"/>
      <c r="K612" s="116"/>
      <c r="L612" s="116"/>
      <c r="M612" s="116"/>
      <c r="N612" s="116"/>
      <c r="O612" s="389"/>
      <c r="P612" s="219"/>
      <c r="Q612" s="332"/>
      <c r="R612" s="332"/>
      <c r="S612" s="219"/>
      <c r="T612" s="332"/>
      <c r="U612" s="219"/>
      <c r="V612" s="332"/>
      <c r="W612" s="242"/>
      <c r="X612" s="332"/>
    </row>
    <row r="613" spans="1:24" ht="13">
      <c r="A613" s="7"/>
      <c r="C613" s="153"/>
      <c r="F613" s="332"/>
      <c r="G613" s="219"/>
      <c r="H613" s="116"/>
      <c r="I613" s="116"/>
      <c r="J613" s="116"/>
      <c r="K613" s="116"/>
      <c r="L613" s="116"/>
      <c r="M613" s="116"/>
      <c r="N613" s="116"/>
      <c r="O613" s="389"/>
      <c r="P613" s="219"/>
      <c r="Q613" s="332"/>
      <c r="R613" s="332"/>
      <c r="S613" s="219"/>
      <c r="T613" s="332"/>
      <c r="U613" s="219"/>
      <c r="V613" s="332"/>
      <c r="W613" s="242"/>
      <c r="X613" s="332"/>
    </row>
    <row r="614" spans="1:24" ht="13">
      <c r="A614" s="7"/>
      <c r="C614" s="153"/>
      <c r="F614" s="332"/>
      <c r="G614" s="219"/>
      <c r="H614" s="116"/>
      <c r="I614" s="116"/>
      <c r="J614" s="116"/>
      <c r="K614" s="116"/>
      <c r="L614" s="116"/>
      <c r="M614" s="116"/>
      <c r="N614" s="116"/>
      <c r="O614" s="389"/>
      <c r="P614" s="219"/>
      <c r="Q614" s="332"/>
      <c r="R614" s="332"/>
      <c r="S614" s="219"/>
      <c r="T614" s="332"/>
      <c r="U614" s="219"/>
      <c r="V614" s="332"/>
      <c r="W614" s="242"/>
      <c r="X614" s="332"/>
    </row>
    <row r="615" spans="1:24" ht="13">
      <c r="A615" s="7"/>
      <c r="C615" s="153"/>
      <c r="F615" s="332"/>
      <c r="G615" s="219"/>
      <c r="H615" s="116"/>
      <c r="I615" s="116"/>
      <c r="J615" s="116"/>
      <c r="K615" s="116"/>
      <c r="L615" s="116"/>
      <c r="M615" s="116"/>
      <c r="N615" s="116"/>
      <c r="O615" s="389"/>
      <c r="P615" s="219"/>
      <c r="Q615" s="332"/>
      <c r="R615" s="332"/>
      <c r="S615" s="219"/>
      <c r="T615" s="332"/>
      <c r="U615" s="219"/>
      <c r="V615" s="332"/>
      <c r="W615" s="242"/>
      <c r="X615" s="332"/>
    </row>
    <row r="616" spans="1:24" ht="13">
      <c r="A616" s="7"/>
      <c r="C616" s="153"/>
      <c r="F616" s="332"/>
      <c r="G616" s="219"/>
      <c r="H616" s="116"/>
      <c r="I616" s="116"/>
      <c r="J616" s="116"/>
      <c r="K616" s="116"/>
      <c r="L616" s="116"/>
      <c r="M616" s="116"/>
      <c r="N616" s="116"/>
      <c r="O616" s="389"/>
      <c r="P616" s="219"/>
      <c r="Q616" s="332"/>
      <c r="R616" s="332"/>
      <c r="S616" s="219"/>
      <c r="T616" s="332"/>
      <c r="U616" s="219"/>
      <c r="V616" s="332"/>
      <c r="W616" s="242"/>
      <c r="X616" s="332"/>
    </row>
    <row r="617" spans="1:24" ht="13">
      <c r="A617" s="7"/>
      <c r="C617" s="153"/>
      <c r="F617" s="332"/>
      <c r="G617" s="219"/>
      <c r="H617" s="116"/>
      <c r="I617" s="116"/>
      <c r="J617" s="116"/>
      <c r="K617" s="116"/>
      <c r="L617" s="116"/>
      <c r="M617" s="116"/>
      <c r="N617" s="116"/>
      <c r="O617" s="389"/>
      <c r="P617" s="219"/>
      <c r="Q617" s="332"/>
      <c r="R617" s="332"/>
      <c r="S617" s="219"/>
      <c r="T617" s="332"/>
      <c r="U617" s="219"/>
      <c r="V617" s="332"/>
      <c r="W617" s="242"/>
      <c r="X617" s="332"/>
    </row>
    <row r="618" spans="1:24" ht="13">
      <c r="A618" s="7"/>
      <c r="C618" s="153"/>
      <c r="F618" s="332"/>
      <c r="G618" s="219"/>
      <c r="H618" s="116"/>
      <c r="I618" s="116"/>
      <c r="J618" s="116"/>
      <c r="K618" s="116"/>
      <c r="L618" s="116"/>
      <c r="M618" s="116"/>
      <c r="N618" s="116"/>
      <c r="O618" s="389"/>
      <c r="P618" s="219"/>
      <c r="Q618" s="332"/>
      <c r="R618" s="332"/>
      <c r="S618" s="219"/>
      <c r="T618" s="332"/>
      <c r="U618" s="219"/>
      <c r="V618" s="332"/>
      <c r="W618" s="242"/>
      <c r="X618" s="332"/>
    </row>
    <row r="619" spans="1:24" ht="13">
      <c r="A619" s="7"/>
      <c r="C619" s="153"/>
      <c r="F619" s="332"/>
      <c r="G619" s="219"/>
      <c r="H619" s="116"/>
      <c r="I619" s="116"/>
      <c r="J619" s="116"/>
      <c r="K619" s="116"/>
      <c r="L619" s="116"/>
      <c r="M619" s="116"/>
      <c r="N619" s="116"/>
      <c r="O619" s="389"/>
      <c r="P619" s="219"/>
      <c r="Q619" s="332"/>
      <c r="R619" s="332"/>
      <c r="S619" s="219"/>
      <c r="T619" s="332"/>
      <c r="U619" s="219"/>
      <c r="V619" s="332"/>
      <c r="W619" s="242"/>
      <c r="X619" s="332"/>
    </row>
    <row r="620" spans="1:24" ht="13">
      <c r="A620" s="7"/>
      <c r="C620" s="153"/>
      <c r="F620" s="332"/>
      <c r="G620" s="219"/>
      <c r="H620" s="116"/>
      <c r="I620" s="116"/>
      <c r="J620" s="116"/>
      <c r="K620" s="116"/>
      <c r="L620" s="116"/>
      <c r="M620" s="116"/>
      <c r="N620" s="116"/>
      <c r="O620" s="389"/>
      <c r="P620" s="219"/>
      <c r="Q620" s="332"/>
      <c r="R620" s="332"/>
      <c r="S620" s="219"/>
      <c r="T620" s="332"/>
      <c r="U620" s="219"/>
      <c r="V620" s="332"/>
      <c r="W620" s="242"/>
      <c r="X620" s="332"/>
    </row>
    <row r="621" spans="1:24" ht="13">
      <c r="A621" s="7"/>
      <c r="C621" s="153"/>
      <c r="F621" s="332"/>
      <c r="G621" s="219"/>
      <c r="H621" s="116"/>
      <c r="I621" s="116"/>
      <c r="J621" s="116"/>
      <c r="K621" s="116"/>
      <c r="L621" s="116"/>
      <c r="M621" s="116"/>
      <c r="N621" s="116"/>
      <c r="O621" s="389"/>
      <c r="P621" s="219"/>
      <c r="Q621" s="332"/>
      <c r="R621" s="332"/>
      <c r="S621" s="219"/>
      <c r="T621" s="332"/>
      <c r="U621" s="219"/>
      <c r="V621" s="332"/>
      <c r="W621" s="242"/>
      <c r="X621" s="332"/>
    </row>
    <row r="622" spans="1:24" ht="13">
      <c r="A622" s="7"/>
      <c r="C622" s="153"/>
      <c r="F622" s="332"/>
      <c r="G622" s="219"/>
      <c r="H622" s="116"/>
      <c r="I622" s="116"/>
      <c r="J622" s="116"/>
      <c r="K622" s="116"/>
      <c r="L622" s="116"/>
      <c r="M622" s="116"/>
      <c r="N622" s="116"/>
      <c r="O622" s="389"/>
      <c r="P622" s="219"/>
      <c r="Q622" s="332"/>
      <c r="R622" s="332"/>
      <c r="S622" s="219"/>
      <c r="T622" s="332"/>
      <c r="U622" s="219"/>
      <c r="V622" s="332"/>
      <c r="W622" s="242"/>
      <c r="X622" s="332"/>
    </row>
    <row r="623" spans="1:24" ht="13">
      <c r="A623" s="7"/>
      <c r="C623" s="153"/>
      <c r="F623" s="332"/>
      <c r="G623" s="219"/>
      <c r="H623" s="116"/>
      <c r="I623" s="116"/>
      <c r="J623" s="116"/>
      <c r="K623" s="116"/>
      <c r="L623" s="116"/>
      <c r="M623" s="116"/>
      <c r="N623" s="116"/>
      <c r="O623" s="389"/>
      <c r="P623" s="219"/>
      <c r="Q623" s="332"/>
      <c r="R623" s="332"/>
      <c r="S623" s="219"/>
      <c r="T623" s="332"/>
      <c r="U623" s="219"/>
      <c r="V623" s="332"/>
      <c r="W623" s="242"/>
      <c r="X623" s="332"/>
    </row>
    <row r="624" spans="1:24" ht="13">
      <c r="A624" s="7"/>
      <c r="C624" s="153"/>
      <c r="F624" s="332"/>
      <c r="G624" s="219"/>
      <c r="H624" s="116"/>
      <c r="I624" s="116"/>
      <c r="J624" s="116"/>
      <c r="K624" s="116"/>
      <c r="L624" s="116"/>
      <c r="M624" s="116"/>
      <c r="N624" s="116"/>
      <c r="O624" s="389"/>
      <c r="P624" s="219"/>
      <c r="Q624" s="332"/>
      <c r="R624" s="332"/>
      <c r="S624" s="219"/>
      <c r="T624" s="332"/>
      <c r="U624" s="219"/>
      <c r="V624" s="332"/>
      <c r="W624" s="242"/>
      <c r="X624" s="332"/>
    </row>
    <row r="625" spans="1:24" ht="13">
      <c r="A625" s="7"/>
      <c r="C625" s="153"/>
      <c r="F625" s="332"/>
      <c r="G625" s="219"/>
      <c r="H625" s="116"/>
      <c r="I625" s="116"/>
      <c r="J625" s="116"/>
      <c r="K625" s="116"/>
      <c r="L625" s="116"/>
      <c r="M625" s="116"/>
      <c r="N625" s="116"/>
      <c r="O625" s="389"/>
      <c r="P625" s="219"/>
      <c r="Q625" s="332"/>
      <c r="R625" s="332"/>
      <c r="S625" s="219"/>
      <c r="T625" s="332"/>
      <c r="U625" s="219"/>
      <c r="V625" s="332"/>
      <c r="W625" s="242"/>
      <c r="X625" s="332"/>
    </row>
    <row r="626" spans="1:24" ht="13">
      <c r="A626" s="7"/>
      <c r="C626" s="153"/>
      <c r="F626" s="332"/>
      <c r="G626" s="219"/>
      <c r="H626" s="116"/>
      <c r="I626" s="116"/>
      <c r="J626" s="116"/>
      <c r="K626" s="116"/>
      <c r="L626" s="116"/>
      <c r="M626" s="116"/>
      <c r="N626" s="116"/>
      <c r="O626" s="389"/>
      <c r="P626" s="219"/>
      <c r="Q626" s="332"/>
      <c r="R626" s="332"/>
      <c r="S626" s="219"/>
      <c r="T626" s="332"/>
      <c r="U626" s="219"/>
      <c r="V626" s="332"/>
      <c r="W626" s="242"/>
      <c r="X626" s="332"/>
    </row>
    <row r="627" spans="1:24" ht="13">
      <c r="A627" s="7"/>
      <c r="C627" s="153"/>
      <c r="F627" s="332"/>
      <c r="G627" s="219"/>
      <c r="H627" s="116"/>
      <c r="I627" s="116"/>
      <c r="J627" s="116"/>
      <c r="K627" s="116"/>
      <c r="L627" s="116"/>
      <c r="M627" s="116"/>
      <c r="N627" s="116"/>
      <c r="O627" s="389"/>
      <c r="P627" s="219"/>
      <c r="Q627" s="332"/>
      <c r="R627" s="332"/>
      <c r="S627" s="219"/>
      <c r="T627" s="332"/>
      <c r="U627" s="219"/>
      <c r="V627" s="332"/>
      <c r="W627" s="242"/>
      <c r="X627" s="332"/>
    </row>
    <row r="628" spans="1:24" ht="13">
      <c r="A628" s="7"/>
      <c r="C628" s="153"/>
      <c r="F628" s="332"/>
      <c r="G628" s="219"/>
      <c r="H628" s="116"/>
      <c r="I628" s="116"/>
      <c r="J628" s="116"/>
      <c r="K628" s="116"/>
      <c r="L628" s="116"/>
      <c r="M628" s="116"/>
      <c r="N628" s="116"/>
      <c r="O628" s="389"/>
      <c r="P628" s="219"/>
      <c r="Q628" s="332"/>
      <c r="R628" s="332"/>
      <c r="S628" s="219"/>
      <c r="T628" s="332"/>
      <c r="U628" s="219"/>
      <c r="V628" s="332"/>
      <c r="W628" s="242"/>
      <c r="X628" s="332"/>
    </row>
    <row r="629" spans="1:24" ht="13">
      <c r="A629" s="7"/>
      <c r="C629" s="153"/>
      <c r="F629" s="332"/>
      <c r="G629" s="219"/>
      <c r="H629" s="116"/>
      <c r="I629" s="116"/>
      <c r="J629" s="116"/>
      <c r="K629" s="116"/>
      <c r="L629" s="116"/>
      <c r="M629" s="116"/>
      <c r="N629" s="116"/>
      <c r="O629" s="389"/>
      <c r="P629" s="219"/>
      <c r="Q629" s="332"/>
      <c r="R629" s="332"/>
      <c r="S629" s="219"/>
      <c r="T629" s="332"/>
      <c r="U629" s="219"/>
      <c r="V629" s="332"/>
      <c r="W629" s="242"/>
      <c r="X629" s="332"/>
    </row>
    <row r="630" spans="1:24" ht="13">
      <c r="A630" s="7"/>
      <c r="C630" s="153"/>
      <c r="F630" s="332"/>
      <c r="G630" s="219"/>
      <c r="H630" s="116"/>
      <c r="I630" s="116"/>
      <c r="J630" s="116"/>
      <c r="K630" s="116"/>
      <c r="L630" s="116"/>
      <c r="M630" s="116"/>
      <c r="N630" s="116"/>
      <c r="O630" s="389"/>
      <c r="P630" s="219"/>
      <c r="Q630" s="332"/>
      <c r="R630" s="332"/>
      <c r="S630" s="219"/>
      <c r="T630" s="332"/>
      <c r="U630" s="219"/>
      <c r="V630" s="332"/>
      <c r="W630" s="242"/>
      <c r="X630" s="332"/>
    </row>
    <row r="631" spans="1:24" ht="13">
      <c r="A631" s="7"/>
      <c r="C631" s="153"/>
      <c r="F631" s="332"/>
      <c r="G631" s="219"/>
      <c r="H631" s="116"/>
      <c r="I631" s="116"/>
      <c r="J631" s="116"/>
      <c r="K631" s="116"/>
      <c r="L631" s="116"/>
      <c r="M631" s="116"/>
      <c r="N631" s="116"/>
      <c r="O631" s="389"/>
      <c r="P631" s="219"/>
      <c r="Q631" s="332"/>
      <c r="R631" s="332"/>
      <c r="S631" s="219"/>
      <c r="T631" s="332"/>
      <c r="U631" s="219"/>
      <c r="V631" s="332"/>
      <c r="W631" s="242"/>
      <c r="X631" s="332"/>
    </row>
    <row r="632" spans="1:24" ht="13">
      <c r="A632" s="7"/>
      <c r="C632" s="153"/>
      <c r="F632" s="332"/>
      <c r="G632" s="219"/>
      <c r="H632" s="116"/>
      <c r="I632" s="116"/>
      <c r="J632" s="116"/>
      <c r="K632" s="116"/>
      <c r="L632" s="116"/>
      <c r="M632" s="116"/>
      <c r="N632" s="116"/>
      <c r="O632" s="389"/>
      <c r="P632" s="219"/>
      <c r="Q632" s="332"/>
      <c r="R632" s="332"/>
      <c r="S632" s="219"/>
      <c r="T632" s="332"/>
      <c r="U632" s="219"/>
      <c r="V632" s="332"/>
      <c r="W632" s="242"/>
      <c r="X632" s="332"/>
    </row>
    <row r="633" spans="1:24" ht="13">
      <c r="A633" s="7"/>
      <c r="C633" s="153"/>
      <c r="F633" s="332"/>
      <c r="G633" s="219"/>
      <c r="H633" s="116"/>
      <c r="I633" s="116"/>
      <c r="J633" s="116"/>
      <c r="K633" s="116"/>
      <c r="L633" s="116"/>
      <c r="M633" s="116"/>
      <c r="N633" s="116"/>
      <c r="O633" s="389"/>
      <c r="P633" s="219"/>
      <c r="Q633" s="332"/>
      <c r="R633" s="332"/>
      <c r="S633" s="219"/>
      <c r="T633" s="332"/>
      <c r="U633" s="219"/>
      <c r="V633" s="332"/>
      <c r="W633" s="242"/>
      <c r="X633" s="332"/>
    </row>
    <row r="634" spans="1:24" ht="13">
      <c r="A634" s="7"/>
      <c r="C634" s="153"/>
      <c r="F634" s="332"/>
      <c r="G634" s="219"/>
      <c r="H634" s="116"/>
      <c r="I634" s="116"/>
      <c r="J634" s="116"/>
      <c r="K634" s="116"/>
      <c r="L634" s="116"/>
      <c r="M634" s="116"/>
      <c r="N634" s="116"/>
      <c r="O634" s="389"/>
      <c r="P634" s="219"/>
      <c r="Q634" s="332"/>
      <c r="R634" s="332"/>
      <c r="S634" s="219"/>
      <c r="T634" s="332"/>
      <c r="U634" s="219"/>
      <c r="V634" s="332"/>
      <c r="W634" s="242"/>
      <c r="X634" s="332"/>
    </row>
    <row r="635" spans="1:24" ht="13">
      <c r="A635" s="7"/>
      <c r="C635" s="153"/>
      <c r="F635" s="332"/>
      <c r="G635" s="219"/>
      <c r="H635" s="116"/>
      <c r="I635" s="116"/>
      <c r="J635" s="116"/>
      <c r="K635" s="116"/>
      <c r="L635" s="116"/>
      <c r="M635" s="116"/>
      <c r="N635" s="116"/>
      <c r="O635" s="389"/>
      <c r="P635" s="219"/>
      <c r="Q635" s="332"/>
      <c r="R635" s="332"/>
      <c r="S635" s="219"/>
      <c r="T635" s="332"/>
      <c r="U635" s="219"/>
      <c r="V635" s="332"/>
      <c r="W635" s="242"/>
      <c r="X635" s="332"/>
    </row>
    <row r="636" spans="1:24" ht="13">
      <c r="A636" s="7"/>
      <c r="C636" s="153"/>
      <c r="F636" s="332"/>
      <c r="G636" s="219"/>
      <c r="H636" s="116"/>
      <c r="I636" s="116"/>
      <c r="J636" s="116"/>
      <c r="K636" s="116"/>
      <c r="L636" s="116"/>
      <c r="M636" s="116"/>
      <c r="N636" s="116"/>
      <c r="O636" s="389"/>
      <c r="P636" s="219"/>
      <c r="Q636" s="332"/>
      <c r="R636" s="332"/>
      <c r="S636" s="219"/>
      <c r="T636" s="332"/>
      <c r="U636" s="219"/>
      <c r="V636" s="332"/>
      <c r="W636" s="242"/>
      <c r="X636" s="332"/>
    </row>
    <row r="637" spans="1:24" ht="13">
      <c r="A637" s="7"/>
      <c r="C637" s="153"/>
      <c r="F637" s="332"/>
      <c r="G637" s="219"/>
      <c r="H637" s="116"/>
      <c r="I637" s="116"/>
      <c r="J637" s="116"/>
      <c r="K637" s="116"/>
      <c r="L637" s="116"/>
      <c r="M637" s="116"/>
      <c r="N637" s="116"/>
      <c r="O637" s="389"/>
      <c r="P637" s="219"/>
      <c r="Q637" s="332"/>
      <c r="R637" s="332"/>
      <c r="S637" s="219"/>
      <c r="T637" s="332"/>
      <c r="U637" s="219"/>
      <c r="V637" s="332"/>
      <c r="W637" s="242"/>
      <c r="X637" s="332"/>
    </row>
    <row r="638" spans="1:24" ht="13">
      <c r="A638" s="7"/>
      <c r="C638" s="153"/>
      <c r="F638" s="332"/>
      <c r="G638" s="219"/>
      <c r="H638" s="116"/>
      <c r="I638" s="116"/>
      <c r="J638" s="116"/>
      <c r="K638" s="116"/>
      <c r="L638" s="116"/>
      <c r="M638" s="116"/>
      <c r="N638" s="116"/>
      <c r="O638" s="389"/>
      <c r="P638" s="219"/>
      <c r="Q638" s="332"/>
      <c r="R638" s="332"/>
      <c r="S638" s="219"/>
      <c r="T638" s="332"/>
      <c r="U638" s="219"/>
      <c r="V638" s="332"/>
      <c r="W638" s="242"/>
      <c r="X638" s="332"/>
    </row>
    <row r="639" spans="1:24" ht="13">
      <c r="A639" s="7"/>
      <c r="C639" s="153"/>
      <c r="F639" s="332"/>
      <c r="G639" s="219"/>
      <c r="H639" s="116"/>
      <c r="I639" s="116"/>
      <c r="J639" s="116"/>
      <c r="K639" s="116"/>
      <c r="L639" s="116"/>
      <c r="M639" s="116"/>
      <c r="N639" s="116"/>
      <c r="O639" s="389"/>
      <c r="P639" s="219"/>
      <c r="Q639" s="332"/>
      <c r="R639" s="332"/>
      <c r="S639" s="219"/>
      <c r="T639" s="332"/>
      <c r="U639" s="219"/>
      <c r="V639" s="332"/>
      <c r="W639" s="242"/>
      <c r="X639" s="332"/>
    </row>
    <row r="640" spans="1:24" ht="13">
      <c r="A640" s="7"/>
      <c r="C640" s="153"/>
      <c r="F640" s="332"/>
      <c r="G640" s="219"/>
      <c r="H640" s="116"/>
      <c r="I640" s="116"/>
      <c r="J640" s="116"/>
      <c r="K640" s="116"/>
      <c r="L640" s="116"/>
      <c r="M640" s="116"/>
      <c r="N640" s="116"/>
      <c r="O640" s="389"/>
      <c r="P640" s="219"/>
      <c r="Q640" s="332"/>
      <c r="R640" s="332"/>
      <c r="S640" s="219"/>
      <c r="T640" s="332"/>
      <c r="U640" s="219"/>
      <c r="V640" s="332"/>
      <c r="W640" s="242"/>
      <c r="X640" s="332"/>
    </row>
    <row r="641" spans="1:24" ht="13">
      <c r="A641" s="7"/>
      <c r="C641" s="153"/>
      <c r="F641" s="332"/>
      <c r="G641" s="219"/>
      <c r="H641" s="116"/>
      <c r="I641" s="116"/>
      <c r="J641" s="116"/>
      <c r="K641" s="116"/>
      <c r="L641" s="116"/>
      <c r="M641" s="116"/>
      <c r="N641" s="116"/>
      <c r="O641" s="389"/>
      <c r="P641" s="219"/>
      <c r="Q641" s="332"/>
      <c r="R641" s="332"/>
      <c r="S641" s="219"/>
      <c r="T641" s="332"/>
      <c r="U641" s="219"/>
      <c r="V641" s="332"/>
      <c r="W641" s="242"/>
      <c r="X641" s="332"/>
    </row>
    <row r="642" spans="1:24" ht="13">
      <c r="A642" s="7"/>
      <c r="C642" s="153"/>
      <c r="F642" s="332"/>
      <c r="G642" s="219"/>
      <c r="H642" s="116"/>
      <c r="I642" s="116"/>
      <c r="J642" s="116"/>
      <c r="K642" s="116"/>
      <c r="L642" s="116"/>
      <c r="M642" s="116"/>
      <c r="N642" s="116"/>
      <c r="O642" s="389"/>
      <c r="P642" s="219"/>
      <c r="Q642" s="332"/>
      <c r="R642" s="332"/>
      <c r="S642" s="219"/>
      <c r="T642" s="332"/>
      <c r="U642" s="219"/>
      <c r="V642" s="332"/>
      <c r="W642" s="242"/>
      <c r="X642" s="332"/>
    </row>
    <row r="643" spans="1:24" ht="13">
      <c r="A643" s="7"/>
      <c r="C643" s="153"/>
      <c r="F643" s="332"/>
      <c r="G643" s="219"/>
      <c r="H643" s="116"/>
      <c r="I643" s="116"/>
      <c r="J643" s="116"/>
      <c r="K643" s="116"/>
      <c r="L643" s="116"/>
      <c r="M643" s="116"/>
      <c r="N643" s="116"/>
      <c r="O643" s="389"/>
      <c r="P643" s="219"/>
      <c r="Q643" s="332"/>
      <c r="R643" s="332"/>
      <c r="S643" s="219"/>
      <c r="T643" s="332"/>
      <c r="U643" s="219"/>
      <c r="V643" s="332"/>
      <c r="W643" s="242"/>
      <c r="X643" s="332"/>
    </row>
    <row r="644" spans="1:24" ht="13">
      <c r="A644" s="7"/>
      <c r="C644" s="153"/>
      <c r="F644" s="332"/>
      <c r="G644" s="219"/>
      <c r="H644" s="116"/>
      <c r="I644" s="116"/>
      <c r="J644" s="116"/>
      <c r="K644" s="116"/>
      <c r="L644" s="116"/>
      <c r="M644" s="116"/>
      <c r="N644" s="116"/>
      <c r="O644" s="389"/>
      <c r="P644" s="219"/>
      <c r="Q644" s="332"/>
      <c r="R644" s="332"/>
      <c r="S644" s="219"/>
      <c r="T644" s="332"/>
      <c r="U644" s="219"/>
      <c r="V644" s="332"/>
      <c r="W644" s="242"/>
      <c r="X644" s="332"/>
    </row>
    <row r="645" spans="1:24" ht="13">
      <c r="A645" s="7"/>
      <c r="C645" s="153"/>
      <c r="F645" s="332"/>
      <c r="G645" s="219"/>
      <c r="H645" s="116"/>
      <c r="I645" s="116"/>
      <c r="J645" s="116"/>
      <c r="K645" s="116"/>
      <c r="L645" s="116"/>
      <c r="M645" s="116"/>
      <c r="N645" s="116"/>
      <c r="O645" s="389"/>
      <c r="P645" s="219"/>
      <c r="Q645" s="332"/>
      <c r="R645" s="332"/>
      <c r="S645" s="219"/>
      <c r="T645" s="332"/>
      <c r="U645" s="219"/>
      <c r="V645" s="332"/>
      <c r="W645" s="242"/>
      <c r="X645" s="332"/>
    </row>
    <row r="646" spans="1:24" ht="13">
      <c r="A646" s="7"/>
      <c r="C646" s="153"/>
      <c r="F646" s="332"/>
      <c r="G646" s="219"/>
      <c r="H646" s="116"/>
      <c r="I646" s="116"/>
      <c r="J646" s="116"/>
      <c r="K646" s="116"/>
      <c r="L646" s="116"/>
      <c r="M646" s="116"/>
      <c r="N646" s="116"/>
      <c r="O646" s="389"/>
      <c r="P646" s="219"/>
      <c r="Q646" s="332"/>
      <c r="R646" s="332"/>
      <c r="S646" s="219"/>
      <c r="T646" s="332"/>
      <c r="U646" s="219"/>
      <c r="V646" s="332"/>
      <c r="W646" s="242"/>
      <c r="X646" s="332"/>
    </row>
    <row r="647" spans="1:24" ht="13">
      <c r="A647" s="7"/>
      <c r="C647" s="153"/>
      <c r="F647" s="332"/>
      <c r="G647" s="219"/>
      <c r="H647" s="116"/>
      <c r="I647" s="116"/>
      <c r="J647" s="116"/>
      <c r="K647" s="116"/>
      <c r="L647" s="116"/>
      <c r="M647" s="116"/>
      <c r="N647" s="116"/>
      <c r="O647" s="389"/>
      <c r="P647" s="219"/>
      <c r="Q647" s="332"/>
      <c r="R647" s="332"/>
      <c r="S647" s="219"/>
      <c r="T647" s="332"/>
      <c r="U647" s="219"/>
      <c r="V647" s="332"/>
      <c r="W647" s="242"/>
      <c r="X647" s="332"/>
    </row>
    <row r="648" spans="1:24" ht="13">
      <c r="A648" s="7"/>
      <c r="C648" s="153"/>
      <c r="F648" s="332"/>
      <c r="G648" s="219"/>
      <c r="H648" s="116"/>
      <c r="I648" s="116"/>
      <c r="J648" s="116"/>
      <c r="K648" s="116"/>
      <c r="L648" s="116"/>
      <c r="M648" s="116"/>
      <c r="N648" s="116"/>
      <c r="O648" s="389"/>
      <c r="P648" s="219"/>
      <c r="Q648" s="332"/>
      <c r="R648" s="332"/>
      <c r="S648" s="219"/>
      <c r="T648" s="332"/>
      <c r="U648" s="219"/>
      <c r="V648" s="332"/>
      <c r="W648" s="242"/>
      <c r="X648" s="332"/>
    </row>
    <row r="649" spans="1:24" ht="13">
      <c r="A649" s="7"/>
      <c r="C649" s="153"/>
      <c r="F649" s="332"/>
      <c r="G649" s="219"/>
      <c r="H649" s="116"/>
      <c r="I649" s="116"/>
      <c r="J649" s="116"/>
      <c r="K649" s="116"/>
      <c r="L649" s="116"/>
      <c r="M649" s="116"/>
      <c r="N649" s="116"/>
      <c r="O649" s="389"/>
      <c r="P649" s="219"/>
      <c r="Q649" s="332"/>
      <c r="R649" s="332"/>
      <c r="S649" s="219"/>
      <c r="T649" s="332"/>
      <c r="U649" s="219"/>
      <c r="V649" s="332"/>
      <c r="W649" s="242"/>
      <c r="X649" s="332"/>
    </row>
    <row r="650" spans="1:24" ht="13">
      <c r="A650" s="7"/>
      <c r="C650" s="153"/>
      <c r="F650" s="332"/>
      <c r="G650" s="219"/>
      <c r="H650" s="116"/>
      <c r="I650" s="116"/>
      <c r="J650" s="116"/>
      <c r="K650" s="116"/>
      <c r="L650" s="116"/>
      <c r="M650" s="116"/>
      <c r="N650" s="116"/>
      <c r="O650" s="389"/>
      <c r="P650" s="219"/>
      <c r="Q650" s="332"/>
      <c r="R650" s="332"/>
      <c r="S650" s="219"/>
      <c r="T650" s="332"/>
      <c r="U650" s="219"/>
      <c r="V650" s="332"/>
      <c r="W650" s="242"/>
      <c r="X650" s="332"/>
    </row>
    <row r="651" spans="1:24" ht="13">
      <c r="A651" s="7"/>
      <c r="C651" s="153"/>
      <c r="F651" s="332"/>
      <c r="G651" s="219"/>
      <c r="H651" s="116"/>
      <c r="I651" s="116"/>
      <c r="J651" s="116"/>
      <c r="K651" s="116"/>
      <c r="L651" s="116"/>
      <c r="M651" s="116"/>
      <c r="N651" s="116"/>
      <c r="O651" s="389"/>
      <c r="P651" s="219"/>
      <c r="Q651" s="332"/>
      <c r="R651" s="332"/>
      <c r="S651" s="219"/>
      <c r="T651" s="332"/>
      <c r="U651" s="219"/>
      <c r="V651" s="332"/>
      <c r="W651" s="242"/>
      <c r="X651" s="332"/>
    </row>
    <row r="652" spans="1:24" ht="13">
      <c r="A652" s="7"/>
      <c r="C652" s="153"/>
      <c r="F652" s="332"/>
      <c r="G652" s="219"/>
      <c r="H652" s="116"/>
      <c r="I652" s="116"/>
      <c r="J652" s="116"/>
      <c r="K652" s="116"/>
      <c r="L652" s="116"/>
      <c r="M652" s="116"/>
      <c r="N652" s="116"/>
      <c r="O652" s="389"/>
      <c r="P652" s="219"/>
      <c r="Q652" s="332"/>
      <c r="R652" s="332"/>
      <c r="S652" s="219"/>
      <c r="T652" s="332"/>
      <c r="U652" s="219"/>
      <c r="V652" s="332"/>
      <c r="W652" s="242"/>
      <c r="X652" s="332"/>
    </row>
    <row r="653" spans="1:24" ht="13">
      <c r="A653" s="7"/>
      <c r="C653" s="153"/>
      <c r="F653" s="332"/>
      <c r="G653" s="219"/>
      <c r="H653" s="116"/>
      <c r="I653" s="116"/>
      <c r="J653" s="116"/>
      <c r="K653" s="116"/>
      <c r="L653" s="116"/>
      <c r="M653" s="116"/>
      <c r="N653" s="116"/>
      <c r="O653" s="389"/>
      <c r="P653" s="219"/>
      <c r="Q653" s="332"/>
      <c r="R653" s="332"/>
      <c r="S653" s="219"/>
      <c r="T653" s="332"/>
      <c r="U653" s="219"/>
      <c r="V653" s="332"/>
      <c r="W653" s="242"/>
      <c r="X653" s="332"/>
    </row>
    <row r="654" spans="1:24" ht="13">
      <c r="A654" s="7"/>
      <c r="C654" s="153"/>
      <c r="F654" s="332"/>
      <c r="G654" s="219"/>
      <c r="H654" s="116"/>
      <c r="I654" s="116"/>
      <c r="J654" s="116"/>
      <c r="K654" s="116"/>
      <c r="L654" s="116"/>
      <c r="M654" s="116"/>
      <c r="N654" s="116"/>
      <c r="O654" s="389"/>
      <c r="P654" s="219"/>
      <c r="Q654" s="332"/>
      <c r="R654" s="332"/>
      <c r="S654" s="219"/>
      <c r="T654" s="332"/>
      <c r="U654" s="219"/>
      <c r="V654" s="332"/>
      <c r="W654" s="242"/>
      <c r="X654" s="332"/>
    </row>
    <row r="655" spans="1:24" ht="13">
      <c r="A655" s="7"/>
      <c r="C655" s="153"/>
      <c r="F655" s="332"/>
      <c r="G655" s="219"/>
      <c r="H655" s="116"/>
      <c r="I655" s="116"/>
      <c r="J655" s="116"/>
      <c r="K655" s="116"/>
      <c r="L655" s="116"/>
      <c r="M655" s="116"/>
      <c r="N655" s="116"/>
      <c r="O655" s="389"/>
      <c r="P655" s="219"/>
      <c r="Q655" s="332"/>
      <c r="R655" s="332"/>
      <c r="S655" s="219"/>
      <c r="T655" s="332"/>
      <c r="U655" s="219"/>
      <c r="V655" s="332"/>
      <c r="W655" s="242"/>
      <c r="X655" s="332"/>
    </row>
    <row r="656" spans="1:24" ht="13">
      <c r="A656" s="7"/>
      <c r="C656" s="153"/>
      <c r="F656" s="332"/>
      <c r="G656" s="219"/>
      <c r="H656" s="116"/>
      <c r="I656" s="116"/>
      <c r="J656" s="116"/>
      <c r="K656" s="116"/>
      <c r="L656" s="116"/>
      <c r="M656" s="116"/>
      <c r="N656" s="116"/>
      <c r="O656" s="389"/>
      <c r="P656" s="219"/>
      <c r="Q656" s="332"/>
      <c r="R656" s="332"/>
      <c r="S656" s="219"/>
      <c r="T656" s="332"/>
      <c r="U656" s="219"/>
      <c r="V656" s="332"/>
      <c r="W656" s="242"/>
      <c r="X656" s="332"/>
    </row>
    <row r="657" spans="1:24" ht="13">
      <c r="A657" s="7"/>
      <c r="C657" s="153"/>
      <c r="F657" s="332"/>
      <c r="G657" s="219"/>
      <c r="H657" s="116"/>
      <c r="I657" s="116"/>
      <c r="J657" s="116"/>
      <c r="K657" s="116"/>
      <c r="L657" s="116"/>
      <c r="M657" s="116"/>
      <c r="N657" s="116"/>
      <c r="O657" s="389"/>
      <c r="P657" s="219"/>
      <c r="Q657" s="332"/>
      <c r="R657" s="332"/>
      <c r="S657" s="219"/>
      <c r="T657" s="332"/>
      <c r="U657" s="219"/>
      <c r="V657" s="332"/>
      <c r="W657" s="242"/>
      <c r="X657" s="332"/>
    </row>
    <row r="658" spans="1:24" ht="13">
      <c r="A658" s="7"/>
      <c r="C658" s="153"/>
      <c r="F658" s="332"/>
      <c r="G658" s="219"/>
      <c r="H658" s="116"/>
      <c r="I658" s="116"/>
      <c r="J658" s="116"/>
      <c r="K658" s="116"/>
      <c r="L658" s="116"/>
      <c r="M658" s="116"/>
      <c r="N658" s="116"/>
      <c r="O658" s="389"/>
      <c r="P658" s="219"/>
      <c r="Q658" s="332"/>
      <c r="R658" s="332"/>
      <c r="S658" s="219"/>
      <c r="T658" s="332"/>
      <c r="U658" s="219"/>
      <c r="V658" s="332"/>
      <c r="W658" s="242"/>
      <c r="X658" s="332"/>
    </row>
    <row r="659" spans="1:24" ht="13">
      <c r="A659" s="7"/>
      <c r="C659" s="153"/>
      <c r="F659" s="332"/>
      <c r="G659" s="219"/>
      <c r="H659" s="116"/>
      <c r="I659" s="116"/>
      <c r="J659" s="116"/>
      <c r="K659" s="116"/>
      <c r="L659" s="116"/>
      <c r="M659" s="116"/>
      <c r="N659" s="116"/>
      <c r="O659" s="389"/>
      <c r="P659" s="219"/>
      <c r="Q659" s="332"/>
      <c r="R659" s="332"/>
      <c r="S659" s="219"/>
      <c r="T659" s="332"/>
      <c r="U659" s="219"/>
      <c r="V659" s="332"/>
      <c r="W659" s="242"/>
      <c r="X659" s="332"/>
    </row>
    <row r="660" spans="1:24" ht="13">
      <c r="A660" s="7"/>
      <c r="C660" s="153"/>
      <c r="F660" s="332"/>
      <c r="G660" s="219"/>
      <c r="H660" s="116"/>
      <c r="I660" s="116"/>
      <c r="J660" s="116"/>
      <c r="K660" s="116"/>
      <c r="L660" s="116"/>
      <c r="M660" s="116"/>
      <c r="N660" s="116"/>
      <c r="O660" s="389"/>
      <c r="P660" s="219"/>
      <c r="Q660" s="332"/>
      <c r="R660" s="332"/>
      <c r="S660" s="219"/>
      <c r="T660" s="332"/>
      <c r="U660" s="219"/>
      <c r="V660" s="332"/>
      <c r="W660" s="242"/>
      <c r="X660" s="332"/>
    </row>
    <row r="661" spans="1:24" ht="13">
      <c r="A661" s="7"/>
      <c r="C661" s="153"/>
      <c r="F661" s="332"/>
      <c r="G661" s="219"/>
      <c r="H661" s="116"/>
      <c r="I661" s="116"/>
      <c r="J661" s="116"/>
      <c r="K661" s="116"/>
      <c r="L661" s="116"/>
      <c r="M661" s="116"/>
      <c r="N661" s="116"/>
      <c r="O661" s="389"/>
      <c r="P661" s="219"/>
      <c r="Q661" s="332"/>
      <c r="R661" s="332"/>
      <c r="S661" s="219"/>
      <c r="T661" s="332"/>
      <c r="U661" s="219"/>
      <c r="V661" s="332"/>
      <c r="W661" s="242"/>
      <c r="X661" s="332"/>
    </row>
    <row r="662" spans="1:24" ht="13">
      <c r="A662" s="7"/>
      <c r="C662" s="153"/>
      <c r="F662" s="332"/>
      <c r="G662" s="219"/>
      <c r="H662" s="116"/>
      <c r="I662" s="116"/>
      <c r="J662" s="116"/>
      <c r="K662" s="116"/>
      <c r="L662" s="116"/>
      <c r="M662" s="116"/>
      <c r="N662" s="116"/>
      <c r="O662" s="389"/>
      <c r="P662" s="219"/>
      <c r="Q662" s="332"/>
      <c r="R662" s="332"/>
      <c r="S662" s="219"/>
      <c r="T662" s="332"/>
      <c r="U662" s="219"/>
      <c r="V662" s="332"/>
      <c r="W662" s="242"/>
      <c r="X662" s="332"/>
    </row>
    <row r="663" spans="1:24" ht="13">
      <c r="A663" s="7"/>
      <c r="C663" s="153"/>
      <c r="F663" s="332"/>
      <c r="G663" s="219"/>
      <c r="H663" s="116"/>
      <c r="I663" s="116"/>
      <c r="J663" s="116"/>
      <c r="K663" s="116"/>
      <c r="L663" s="116"/>
      <c r="M663" s="116"/>
      <c r="N663" s="116"/>
      <c r="O663" s="389"/>
      <c r="P663" s="219"/>
      <c r="Q663" s="332"/>
      <c r="R663" s="332"/>
      <c r="S663" s="219"/>
      <c r="T663" s="332"/>
      <c r="U663" s="219"/>
      <c r="V663" s="332"/>
      <c r="W663" s="242"/>
      <c r="X663" s="332"/>
    </row>
    <row r="664" spans="1:24" ht="13">
      <c r="A664" s="7"/>
      <c r="C664" s="153"/>
      <c r="F664" s="332"/>
      <c r="G664" s="219"/>
      <c r="H664" s="116"/>
      <c r="I664" s="116"/>
      <c r="J664" s="116"/>
      <c r="K664" s="116"/>
      <c r="L664" s="116"/>
      <c r="M664" s="116"/>
      <c r="N664" s="116"/>
      <c r="O664" s="389"/>
      <c r="P664" s="219"/>
      <c r="Q664" s="332"/>
      <c r="R664" s="332"/>
      <c r="S664" s="219"/>
      <c r="T664" s="332"/>
      <c r="U664" s="219"/>
      <c r="V664" s="332"/>
      <c r="W664" s="242"/>
      <c r="X664" s="332"/>
    </row>
    <row r="665" spans="1:24" ht="13">
      <c r="A665" s="7"/>
      <c r="C665" s="153"/>
      <c r="F665" s="332"/>
      <c r="G665" s="219"/>
      <c r="H665" s="116"/>
      <c r="I665" s="116"/>
      <c r="J665" s="116"/>
      <c r="K665" s="116"/>
      <c r="L665" s="116"/>
      <c r="M665" s="116"/>
      <c r="N665" s="116"/>
      <c r="O665" s="389"/>
      <c r="P665" s="219"/>
      <c r="Q665" s="332"/>
      <c r="R665" s="332"/>
      <c r="S665" s="219"/>
      <c r="T665" s="332"/>
      <c r="U665" s="219"/>
      <c r="V665" s="332"/>
      <c r="W665" s="242"/>
      <c r="X665" s="332"/>
    </row>
    <row r="666" spans="1:24" ht="13">
      <c r="A666" s="7"/>
      <c r="C666" s="153"/>
      <c r="F666" s="332"/>
      <c r="G666" s="219"/>
      <c r="H666" s="116"/>
      <c r="I666" s="116"/>
      <c r="J666" s="116"/>
      <c r="K666" s="116"/>
      <c r="L666" s="116"/>
      <c r="M666" s="116"/>
      <c r="N666" s="116"/>
      <c r="O666" s="389"/>
      <c r="P666" s="219"/>
      <c r="Q666" s="332"/>
      <c r="R666" s="332"/>
      <c r="S666" s="219"/>
      <c r="T666" s="332"/>
      <c r="U666" s="219"/>
      <c r="V666" s="332"/>
      <c r="W666" s="242"/>
      <c r="X666" s="332"/>
    </row>
    <row r="667" spans="1:24" ht="13">
      <c r="A667" s="7"/>
      <c r="C667" s="153"/>
      <c r="F667" s="332"/>
      <c r="G667" s="219"/>
      <c r="H667" s="116"/>
      <c r="I667" s="116"/>
      <c r="J667" s="116"/>
      <c r="K667" s="116"/>
      <c r="L667" s="116"/>
      <c r="M667" s="116"/>
      <c r="N667" s="116"/>
      <c r="O667" s="389"/>
      <c r="P667" s="219"/>
      <c r="Q667" s="332"/>
      <c r="R667" s="332"/>
      <c r="S667" s="219"/>
      <c r="T667" s="332"/>
      <c r="U667" s="219"/>
      <c r="V667" s="332"/>
      <c r="W667" s="242"/>
      <c r="X667" s="332"/>
    </row>
    <row r="668" spans="1:24" ht="13">
      <c r="A668" s="7"/>
      <c r="C668" s="153"/>
      <c r="F668" s="332"/>
      <c r="G668" s="219"/>
      <c r="H668" s="116"/>
      <c r="I668" s="116"/>
      <c r="J668" s="116"/>
      <c r="K668" s="116"/>
      <c r="L668" s="116"/>
      <c r="M668" s="116"/>
      <c r="N668" s="116"/>
      <c r="O668" s="389"/>
      <c r="P668" s="219"/>
      <c r="Q668" s="332"/>
      <c r="R668" s="332"/>
      <c r="S668" s="219"/>
      <c r="T668" s="332"/>
      <c r="U668" s="219"/>
      <c r="V668" s="332"/>
      <c r="W668" s="242"/>
      <c r="X668" s="332"/>
    </row>
    <row r="669" spans="1:24" ht="13">
      <c r="A669" s="7"/>
      <c r="C669" s="153"/>
      <c r="F669" s="332"/>
      <c r="G669" s="219"/>
      <c r="H669" s="116"/>
      <c r="I669" s="116"/>
      <c r="J669" s="116"/>
      <c r="K669" s="116"/>
      <c r="L669" s="116"/>
      <c r="M669" s="116"/>
      <c r="N669" s="116"/>
      <c r="O669" s="389"/>
      <c r="P669" s="219"/>
      <c r="Q669" s="332"/>
      <c r="R669" s="332"/>
      <c r="S669" s="219"/>
      <c r="T669" s="332"/>
      <c r="U669" s="219"/>
      <c r="V669" s="332"/>
      <c r="W669" s="242"/>
      <c r="X669" s="332"/>
    </row>
    <row r="670" spans="1:24" ht="13">
      <c r="A670" s="7"/>
      <c r="C670" s="153"/>
      <c r="F670" s="332"/>
      <c r="G670" s="219"/>
      <c r="H670" s="116"/>
      <c r="I670" s="116"/>
      <c r="J670" s="116"/>
      <c r="K670" s="116"/>
      <c r="L670" s="116"/>
      <c r="M670" s="116"/>
      <c r="N670" s="116"/>
      <c r="O670" s="389"/>
      <c r="P670" s="219"/>
      <c r="Q670" s="332"/>
      <c r="R670" s="332"/>
      <c r="S670" s="219"/>
      <c r="T670" s="332"/>
      <c r="U670" s="219"/>
      <c r="V670" s="332"/>
      <c r="W670" s="242"/>
      <c r="X670" s="332"/>
    </row>
    <row r="671" spans="1:24" ht="13">
      <c r="A671" s="7"/>
      <c r="C671" s="153"/>
      <c r="F671" s="332"/>
      <c r="G671" s="219"/>
      <c r="H671" s="116"/>
      <c r="I671" s="116"/>
      <c r="J671" s="116"/>
      <c r="K671" s="116"/>
      <c r="L671" s="116"/>
      <c r="M671" s="116"/>
      <c r="N671" s="116"/>
      <c r="O671" s="389"/>
      <c r="P671" s="219"/>
      <c r="Q671" s="332"/>
      <c r="R671" s="332"/>
      <c r="S671" s="219"/>
      <c r="T671" s="332"/>
      <c r="U671" s="219"/>
      <c r="V671" s="332"/>
      <c r="W671" s="242"/>
      <c r="X671" s="332"/>
    </row>
    <row r="672" spans="1:24" ht="13">
      <c r="A672" s="7"/>
      <c r="C672" s="153"/>
      <c r="F672" s="332"/>
      <c r="G672" s="219"/>
      <c r="H672" s="116"/>
      <c r="I672" s="116"/>
      <c r="J672" s="116"/>
      <c r="K672" s="116"/>
      <c r="L672" s="116"/>
      <c r="M672" s="116"/>
      <c r="N672" s="116"/>
      <c r="O672" s="389"/>
      <c r="P672" s="219"/>
      <c r="Q672" s="332"/>
      <c r="R672" s="332"/>
      <c r="S672" s="219"/>
      <c r="T672" s="332"/>
      <c r="U672" s="219"/>
      <c r="V672" s="332"/>
      <c r="W672" s="242"/>
      <c r="X672" s="332"/>
    </row>
    <row r="673" spans="1:24" ht="13">
      <c r="A673" s="7"/>
      <c r="C673" s="153"/>
      <c r="F673" s="332"/>
      <c r="G673" s="219"/>
      <c r="H673" s="116"/>
      <c r="I673" s="116"/>
      <c r="J673" s="116"/>
      <c r="K673" s="116"/>
      <c r="L673" s="116"/>
      <c r="M673" s="116"/>
      <c r="N673" s="116"/>
      <c r="O673" s="389"/>
      <c r="P673" s="219"/>
      <c r="Q673" s="332"/>
      <c r="R673" s="332"/>
      <c r="S673" s="219"/>
      <c r="T673" s="332"/>
      <c r="U673" s="219"/>
      <c r="V673" s="332"/>
      <c r="W673" s="242"/>
      <c r="X673" s="332"/>
    </row>
    <row r="674" spans="1:24" ht="13">
      <c r="A674" s="7"/>
      <c r="C674" s="153"/>
      <c r="F674" s="332"/>
      <c r="G674" s="219"/>
      <c r="H674" s="116"/>
      <c r="I674" s="116"/>
      <c r="J674" s="116"/>
      <c r="K674" s="116"/>
      <c r="L674" s="116"/>
      <c r="M674" s="116"/>
      <c r="N674" s="116"/>
      <c r="O674" s="389"/>
      <c r="P674" s="219"/>
      <c r="Q674" s="332"/>
      <c r="R674" s="332"/>
      <c r="S674" s="219"/>
      <c r="T674" s="332"/>
      <c r="U674" s="219"/>
      <c r="V674" s="332"/>
      <c r="W674" s="242"/>
      <c r="X674" s="332"/>
    </row>
    <row r="675" spans="1:24" ht="13">
      <c r="A675" s="7"/>
      <c r="C675" s="153"/>
      <c r="F675" s="332"/>
      <c r="G675" s="219"/>
      <c r="H675" s="116"/>
      <c r="I675" s="116"/>
      <c r="J675" s="116"/>
      <c r="K675" s="116"/>
      <c r="L675" s="116"/>
      <c r="M675" s="116"/>
      <c r="N675" s="116"/>
      <c r="O675" s="389"/>
      <c r="P675" s="219"/>
      <c r="Q675" s="332"/>
      <c r="R675" s="332"/>
      <c r="S675" s="219"/>
      <c r="T675" s="332"/>
      <c r="U675" s="219"/>
      <c r="V675" s="332"/>
      <c r="W675" s="242"/>
      <c r="X675" s="332"/>
    </row>
    <row r="676" spans="1:24" ht="13">
      <c r="A676" s="7"/>
      <c r="C676" s="153"/>
      <c r="F676" s="332"/>
      <c r="G676" s="219"/>
      <c r="H676" s="116"/>
      <c r="I676" s="116"/>
      <c r="J676" s="116"/>
      <c r="K676" s="116"/>
      <c r="L676" s="116"/>
      <c r="M676" s="116"/>
      <c r="N676" s="116"/>
      <c r="O676" s="389"/>
      <c r="P676" s="219"/>
      <c r="Q676" s="332"/>
      <c r="R676" s="332"/>
      <c r="S676" s="219"/>
      <c r="T676" s="332"/>
      <c r="U676" s="219"/>
      <c r="V676" s="332"/>
      <c r="W676" s="242"/>
      <c r="X676" s="332"/>
    </row>
    <row r="677" spans="1:24" ht="13">
      <c r="A677" s="7"/>
      <c r="C677" s="153"/>
      <c r="F677" s="332"/>
      <c r="G677" s="219"/>
      <c r="H677" s="116"/>
      <c r="I677" s="116"/>
      <c r="J677" s="116"/>
      <c r="K677" s="116"/>
      <c r="L677" s="116"/>
      <c r="M677" s="116"/>
      <c r="N677" s="116"/>
      <c r="O677" s="389"/>
      <c r="P677" s="219"/>
      <c r="Q677" s="332"/>
      <c r="R677" s="332"/>
      <c r="S677" s="219"/>
      <c r="T677" s="332"/>
      <c r="U677" s="219"/>
      <c r="V677" s="332"/>
      <c r="W677" s="242"/>
      <c r="X677" s="332"/>
    </row>
    <row r="678" spans="1:24" ht="13">
      <c r="A678" s="7"/>
      <c r="C678" s="153"/>
      <c r="F678" s="332"/>
      <c r="G678" s="219"/>
      <c r="H678" s="116"/>
      <c r="I678" s="116"/>
      <c r="J678" s="116"/>
      <c r="K678" s="116"/>
      <c r="L678" s="116"/>
      <c r="M678" s="116"/>
      <c r="N678" s="116"/>
      <c r="O678" s="389"/>
      <c r="P678" s="219"/>
      <c r="Q678" s="332"/>
      <c r="R678" s="332"/>
      <c r="S678" s="219"/>
      <c r="T678" s="332"/>
      <c r="U678" s="219"/>
      <c r="V678" s="332"/>
      <c r="W678" s="242"/>
      <c r="X678" s="332"/>
    </row>
    <row r="679" spans="1:24" ht="13">
      <c r="A679" s="7"/>
      <c r="C679" s="153"/>
      <c r="F679" s="332"/>
      <c r="G679" s="219"/>
      <c r="H679" s="116"/>
      <c r="I679" s="116"/>
      <c r="J679" s="116"/>
      <c r="K679" s="116"/>
      <c r="L679" s="116"/>
      <c r="M679" s="116"/>
      <c r="N679" s="116"/>
      <c r="O679" s="389"/>
      <c r="P679" s="219"/>
      <c r="Q679" s="332"/>
      <c r="R679" s="332"/>
      <c r="S679" s="219"/>
      <c r="T679" s="332"/>
      <c r="U679" s="219"/>
      <c r="V679" s="332"/>
      <c r="W679" s="242"/>
      <c r="X679" s="332"/>
    </row>
    <row r="680" spans="1:24" ht="13">
      <c r="A680" s="7"/>
      <c r="C680" s="153"/>
      <c r="F680" s="332"/>
      <c r="G680" s="219"/>
      <c r="H680" s="116"/>
      <c r="I680" s="116"/>
      <c r="J680" s="116"/>
      <c r="K680" s="116"/>
      <c r="L680" s="116"/>
      <c r="M680" s="116"/>
      <c r="N680" s="116"/>
      <c r="O680" s="389"/>
      <c r="P680" s="219"/>
      <c r="Q680" s="332"/>
      <c r="R680" s="332"/>
      <c r="S680" s="219"/>
      <c r="T680" s="332"/>
      <c r="U680" s="219"/>
      <c r="V680" s="332"/>
      <c r="W680" s="242"/>
      <c r="X680" s="332"/>
    </row>
    <row r="681" spans="1:24" ht="13">
      <c r="A681" s="7"/>
      <c r="C681" s="153"/>
      <c r="F681" s="332"/>
      <c r="G681" s="219"/>
      <c r="H681" s="116"/>
      <c r="I681" s="116"/>
      <c r="J681" s="116"/>
      <c r="K681" s="116"/>
      <c r="L681" s="116"/>
      <c r="M681" s="116"/>
      <c r="N681" s="116"/>
      <c r="O681" s="389"/>
      <c r="P681" s="219"/>
      <c r="Q681" s="332"/>
      <c r="R681" s="332"/>
      <c r="S681" s="219"/>
      <c r="T681" s="332"/>
      <c r="U681" s="219"/>
      <c r="V681" s="332"/>
      <c r="W681" s="242"/>
      <c r="X681" s="332"/>
    </row>
    <row r="682" spans="1:24" ht="13">
      <c r="A682" s="7"/>
      <c r="C682" s="153"/>
      <c r="F682" s="332"/>
      <c r="G682" s="219"/>
      <c r="H682" s="116"/>
      <c r="I682" s="116"/>
      <c r="J682" s="116"/>
      <c r="K682" s="116"/>
      <c r="L682" s="116"/>
      <c r="M682" s="116"/>
      <c r="N682" s="116"/>
      <c r="O682" s="389"/>
      <c r="P682" s="219"/>
      <c r="Q682" s="332"/>
      <c r="R682" s="332"/>
      <c r="S682" s="219"/>
      <c r="T682" s="332"/>
      <c r="U682" s="219"/>
      <c r="V682" s="332"/>
      <c r="W682" s="242"/>
      <c r="X682" s="332"/>
    </row>
    <row r="683" spans="1:24" ht="13">
      <c r="A683" s="7"/>
      <c r="C683" s="153"/>
      <c r="F683" s="332"/>
      <c r="G683" s="219"/>
      <c r="H683" s="116"/>
      <c r="I683" s="116"/>
      <c r="J683" s="116"/>
      <c r="K683" s="116"/>
      <c r="L683" s="116"/>
      <c r="M683" s="116"/>
      <c r="N683" s="116"/>
      <c r="O683" s="389"/>
      <c r="P683" s="219"/>
      <c r="Q683" s="332"/>
      <c r="R683" s="332"/>
      <c r="S683" s="219"/>
      <c r="T683" s="332"/>
      <c r="U683" s="219"/>
      <c r="V683" s="332"/>
      <c r="W683" s="242"/>
      <c r="X683" s="332"/>
    </row>
    <row r="684" spans="1:24" ht="13">
      <c r="A684" s="7"/>
      <c r="C684" s="153"/>
      <c r="F684" s="332"/>
      <c r="G684" s="219"/>
      <c r="H684" s="116"/>
      <c r="I684" s="116"/>
      <c r="J684" s="116"/>
      <c r="K684" s="116"/>
      <c r="L684" s="116"/>
      <c r="M684" s="116"/>
      <c r="N684" s="116"/>
      <c r="O684" s="389"/>
      <c r="P684" s="219"/>
      <c r="Q684" s="332"/>
      <c r="R684" s="332"/>
      <c r="S684" s="219"/>
      <c r="T684" s="332"/>
      <c r="U684" s="219"/>
      <c r="V684" s="332"/>
      <c r="W684" s="242"/>
      <c r="X684" s="332"/>
    </row>
    <row r="685" spans="1:24" ht="13">
      <c r="A685" s="7"/>
      <c r="C685" s="153"/>
      <c r="F685" s="332"/>
      <c r="G685" s="219"/>
      <c r="H685" s="116"/>
      <c r="I685" s="116"/>
      <c r="J685" s="116"/>
      <c r="K685" s="116"/>
      <c r="L685" s="116"/>
      <c r="M685" s="116"/>
      <c r="N685" s="116"/>
      <c r="O685" s="389"/>
      <c r="P685" s="219"/>
      <c r="Q685" s="332"/>
      <c r="R685" s="332"/>
      <c r="S685" s="219"/>
      <c r="T685" s="332"/>
      <c r="U685" s="219"/>
      <c r="V685" s="332"/>
      <c r="W685" s="242"/>
      <c r="X685" s="332"/>
    </row>
    <row r="686" spans="1:24" ht="13">
      <c r="A686" s="7"/>
      <c r="C686" s="153"/>
      <c r="F686" s="332"/>
      <c r="G686" s="219"/>
      <c r="H686" s="116"/>
      <c r="I686" s="116"/>
      <c r="J686" s="116"/>
      <c r="K686" s="116"/>
      <c r="L686" s="116"/>
      <c r="M686" s="116"/>
      <c r="N686" s="116"/>
      <c r="O686" s="389"/>
      <c r="P686" s="219"/>
      <c r="Q686" s="332"/>
      <c r="R686" s="332"/>
      <c r="S686" s="219"/>
      <c r="T686" s="332"/>
      <c r="U686" s="219"/>
      <c r="V686" s="332"/>
      <c r="W686" s="242"/>
      <c r="X686" s="332"/>
    </row>
    <row r="687" spans="1:24" ht="13">
      <c r="A687" s="7"/>
      <c r="C687" s="153"/>
      <c r="F687" s="332"/>
      <c r="G687" s="219"/>
      <c r="H687" s="116"/>
      <c r="I687" s="116"/>
      <c r="J687" s="116"/>
      <c r="K687" s="116"/>
      <c r="L687" s="116"/>
      <c r="M687" s="116"/>
      <c r="N687" s="116"/>
      <c r="O687" s="389"/>
      <c r="P687" s="219"/>
      <c r="Q687" s="332"/>
      <c r="R687" s="332"/>
      <c r="S687" s="219"/>
      <c r="T687" s="332"/>
      <c r="U687" s="219"/>
      <c r="V687" s="332"/>
      <c r="W687" s="242"/>
      <c r="X687" s="332"/>
    </row>
    <row r="688" spans="1:24" ht="13">
      <c r="A688" s="7"/>
      <c r="C688" s="153"/>
      <c r="F688" s="332"/>
      <c r="G688" s="219"/>
      <c r="H688" s="116"/>
      <c r="I688" s="116"/>
      <c r="J688" s="116"/>
      <c r="K688" s="116"/>
      <c r="L688" s="116"/>
      <c r="M688" s="116"/>
      <c r="N688" s="116"/>
      <c r="O688" s="389"/>
      <c r="P688" s="219"/>
      <c r="Q688" s="332"/>
      <c r="R688" s="332"/>
      <c r="S688" s="219"/>
      <c r="T688" s="332"/>
      <c r="U688" s="219"/>
      <c r="V688" s="332"/>
      <c r="W688" s="242"/>
      <c r="X688" s="332"/>
    </row>
    <row r="689" spans="1:24" ht="13">
      <c r="A689" s="7"/>
      <c r="C689" s="153"/>
      <c r="F689" s="332"/>
      <c r="G689" s="219"/>
      <c r="H689" s="116"/>
      <c r="I689" s="116"/>
      <c r="J689" s="116"/>
      <c r="K689" s="116"/>
      <c r="L689" s="116"/>
      <c r="M689" s="116"/>
      <c r="N689" s="116"/>
      <c r="O689" s="389"/>
      <c r="P689" s="219"/>
      <c r="Q689" s="332"/>
      <c r="R689" s="332"/>
      <c r="S689" s="219"/>
      <c r="T689" s="332"/>
      <c r="U689" s="219"/>
      <c r="V689" s="332"/>
      <c r="W689" s="242"/>
      <c r="X689" s="332"/>
    </row>
    <row r="690" spans="1:24" ht="13">
      <c r="A690" s="7"/>
      <c r="C690" s="153"/>
      <c r="F690" s="332"/>
      <c r="G690" s="219"/>
      <c r="H690" s="116"/>
      <c r="I690" s="116"/>
      <c r="J690" s="116"/>
      <c r="K690" s="116"/>
      <c r="L690" s="116"/>
      <c r="M690" s="116"/>
      <c r="N690" s="116"/>
      <c r="O690" s="389"/>
      <c r="P690" s="219"/>
      <c r="Q690" s="332"/>
      <c r="R690" s="332"/>
      <c r="S690" s="219"/>
      <c r="T690" s="332"/>
      <c r="U690" s="219"/>
      <c r="V690" s="332"/>
      <c r="W690" s="242"/>
      <c r="X690" s="332"/>
    </row>
    <row r="691" spans="1:24" ht="13">
      <c r="A691" s="7"/>
      <c r="C691" s="153"/>
      <c r="F691" s="332"/>
      <c r="G691" s="219"/>
      <c r="H691" s="116"/>
      <c r="I691" s="116"/>
      <c r="J691" s="116"/>
      <c r="K691" s="116"/>
      <c r="L691" s="116"/>
      <c r="M691" s="116"/>
      <c r="N691" s="116"/>
      <c r="O691" s="389"/>
      <c r="P691" s="219"/>
      <c r="Q691" s="332"/>
      <c r="R691" s="332"/>
      <c r="S691" s="219"/>
      <c r="T691" s="332"/>
      <c r="U691" s="219"/>
      <c r="V691" s="332"/>
      <c r="W691" s="242"/>
      <c r="X691" s="332"/>
    </row>
    <row r="692" spans="1:24" ht="13">
      <c r="A692" s="7"/>
      <c r="C692" s="153"/>
      <c r="F692" s="332"/>
      <c r="G692" s="219"/>
      <c r="H692" s="116"/>
      <c r="I692" s="116"/>
      <c r="J692" s="116"/>
      <c r="K692" s="116"/>
      <c r="L692" s="116"/>
      <c r="M692" s="116"/>
      <c r="N692" s="116"/>
      <c r="O692" s="389"/>
      <c r="P692" s="219"/>
      <c r="Q692" s="332"/>
      <c r="R692" s="332"/>
      <c r="S692" s="219"/>
      <c r="T692" s="332"/>
      <c r="U692" s="219"/>
      <c r="V692" s="332"/>
      <c r="W692" s="242"/>
      <c r="X692" s="332"/>
    </row>
    <row r="693" spans="1:24" ht="13">
      <c r="A693" s="7"/>
      <c r="C693" s="153"/>
      <c r="F693" s="332"/>
      <c r="G693" s="219"/>
      <c r="H693" s="116"/>
      <c r="I693" s="116"/>
      <c r="J693" s="116"/>
      <c r="K693" s="116"/>
      <c r="L693" s="116"/>
      <c r="M693" s="116"/>
      <c r="N693" s="116"/>
      <c r="O693" s="389"/>
      <c r="P693" s="219"/>
      <c r="Q693" s="332"/>
      <c r="R693" s="332"/>
      <c r="S693" s="219"/>
      <c r="T693" s="332"/>
      <c r="U693" s="219"/>
      <c r="V693" s="332"/>
      <c r="W693" s="242"/>
      <c r="X693" s="332"/>
    </row>
    <row r="694" spans="1:24" ht="13">
      <c r="A694" s="7"/>
      <c r="C694" s="153"/>
      <c r="F694" s="332"/>
      <c r="G694" s="219"/>
      <c r="H694" s="116"/>
      <c r="I694" s="116"/>
      <c r="J694" s="116"/>
      <c r="K694" s="116"/>
      <c r="L694" s="116"/>
      <c r="M694" s="116"/>
      <c r="N694" s="116"/>
      <c r="O694" s="389"/>
      <c r="P694" s="219"/>
      <c r="Q694" s="332"/>
      <c r="R694" s="332"/>
      <c r="S694" s="219"/>
      <c r="T694" s="332"/>
      <c r="U694" s="219"/>
      <c r="V694" s="332"/>
      <c r="W694" s="242"/>
      <c r="X694" s="332"/>
    </row>
    <row r="695" spans="1:24" ht="13">
      <c r="A695" s="7"/>
      <c r="C695" s="153"/>
      <c r="F695" s="332"/>
      <c r="G695" s="219"/>
      <c r="H695" s="116"/>
      <c r="I695" s="116"/>
      <c r="J695" s="116"/>
      <c r="K695" s="116"/>
      <c r="L695" s="116"/>
      <c r="M695" s="116"/>
      <c r="N695" s="116"/>
      <c r="O695" s="389"/>
      <c r="P695" s="219"/>
      <c r="Q695" s="332"/>
      <c r="R695" s="332"/>
      <c r="S695" s="219"/>
      <c r="T695" s="332"/>
      <c r="U695" s="219"/>
      <c r="V695" s="332"/>
      <c r="W695" s="242"/>
      <c r="X695" s="332"/>
    </row>
    <row r="696" spans="1:24" ht="13">
      <c r="A696" s="7"/>
      <c r="C696" s="153"/>
      <c r="F696" s="332"/>
      <c r="G696" s="219"/>
      <c r="H696" s="116"/>
      <c r="I696" s="116"/>
      <c r="J696" s="116"/>
      <c r="K696" s="116"/>
      <c r="L696" s="116"/>
      <c r="M696" s="116"/>
      <c r="N696" s="116"/>
      <c r="O696" s="389"/>
      <c r="P696" s="219"/>
      <c r="Q696" s="332"/>
      <c r="R696" s="332"/>
      <c r="S696" s="219"/>
      <c r="T696" s="332"/>
      <c r="U696" s="219"/>
      <c r="V696" s="332"/>
      <c r="W696" s="242"/>
      <c r="X696" s="332"/>
    </row>
    <row r="697" spans="1:24" ht="13">
      <c r="A697" s="7"/>
      <c r="C697" s="153"/>
      <c r="F697" s="332"/>
      <c r="G697" s="219"/>
      <c r="H697" s="116"/>
      <c r="I697" s="116"/>
      <c r="J697" s="116"/>
      <c r="K697" s="116"/>
      <c r="L697" s="116"/>
      <c r="M697" s="116"/>
      <c r="N697" s="116"/>
      <c r="O697" s="389"/>
      <c r="P697" s="219"/>
      <c r="Q697" s="332"/>
      <c r="R697" s="332"/>
      <c r="S697" s="219"/>
      <c r="T697" s="332"/>
      <c r="U697" s="219"/>
      <c r="V697" s="332"/>
      <c r="W697" s="242"/>
      <c r="X697" s="332"/>
    </row>
    <row r="698" spans="1:24" ht="13">
      <c r="A698" s="7"/>
      <c r="C698" s="153"/>
      <c r="F698" s="332"/>
      <c r="G698" s="219"/>
      <c r="H698" s="116"/>
      <c r="I698" s="116"/>
      <c r="J698" s="116"/>
      <c r="K698" s="116"/>
      <c r="L698" s="116"/>
      <c r="M698" s="116"/>
      <c r="N698" s="116"/>
      <c r="O698" s="389"/>
      <c r="P698" s="219"/>
      <c r="Q698" s="332"/>
      <c r="R698" s="332"/>
      <c r="S698" s="219"/>
      <c r="T698" s="332"/>
      <c r="U698" s="219"/>
      <c r="V698" s="332"/>
      <c r="W698" s="242"/>
      <c r="X698" s="332"/>
    </row>
    <row r="699" spans="1:24" ht="13">
      <c r="A699" s="7"/>
      <c r="C699" s="153"/>
      <c r="F699" s="332"/>
      <c r="G699" s="219"/>
      <c r="H699" s="116"/>
      <c r="I699" s="116"/>
      <c r="J699" s="116"/>
      <c r="K699" s="116"/>
      <c r="L699" s="116"/>
      <c r="M699" s="116"/>
      <c r="N699" s="116"/>
      <c r="O699" s="389"/>
      <c r="P699" s="219"/>
      <c r="Q699" s="332"/>
      <c r="R699" s="332"/>
      <c r="S699" s="219"/>
      <c r="T699" s="332"/>
      <c r="U699" s="219"/>
      <c r="V699" s="332"/>
      <c r="W699" s="242"/>
      <c r="X699" s="332"/>
    </row>
    <row r="700" spans="1:24" ht="13">
      <c r="A700" s="7"/>
      <c r="C700" s="153"/>
      <c r="F700" s="332"/>
      <c r="G700" s="219"/>
      <c r="H700" s="116"/>
      <c r="I700" s="116"/>
      <c r="J700" s="116"/>
      <c r="K700" s="116"/>
      <c r="L700" s="116"/>
      <c r="M700" s="116"/>
      <c r="N700" s="116"/>
      <c r="O700" s="389"/>
      <c r="P700" s="219"/>
      <c r="Q700" s="332"/>
      <c r="R700" s="332"/>
      <c r="S700" s="219"/>
      <c r="T700" s="332"/>
      <c r="U700" s="219"/>
      <c r="V700" s="332"/>
      <c r="W700" s="242"/>
      <c r="X700" s="332"/>
    </row>
    <row r="701" spans="1:24" ht="13">
      <c r="A701" s="7"/>
      <c r="C701" s="153"/>
      <c r="F701" s="332"/>
      <c r="G701" s="219"/>
      <c r="H701" s="116"/>
      <c r="I701" s="116"/>
      <c r="J701" s="116"/>
      <c r="K701" s="116"/>
      <c r="L701" s="116"/>
      <c r="M701" s="116"/>
      <c r="N701" s="116"/>
      <c r="O701" s="389"/>
      <c r="P701" s="219"/>
      <c r="Q701" s="332"/>
      <c r="R701" s="332"/>
      <c r="S701" s="219"/>
      <c r="T701" s="332"/>
      <c r="U701" s="219"/>
      <c r="V701" s="332"/>
      <c r="W701" s="242"/>
      <c r="X701" s="332"/>
    </row>
    <row r="702" spans="1:24" ht="13">
      <c r="A702" s="7"/>
      <c r="C702" s="153"/>
      <c r="F702" s="332"/>
      <c r="G702" s="219"/>
      <c r="H702" s="116"/>
      <c r="I702" s="116"/>
      <c r="J702" s="116"/>
      <c r="K702" s="116"/>
      <c r="L702" s="116"/>
      <c r="M702" s="116"/>
      <c r="N702" s="116"/>
      <c r="O702" s="389"/>
      <c r="P702" s="219"/>
      <c r="Q702" s="332"/>
      <c r="R702" s="332"/>
      <c r="S702" s="219"/>
      <c r="T702" s="332"/>
      <c r="U702" s="219"/>
      <c r="V702" s="332"/>
      <c r="W702" s="242"/>
      <c r="X702" s="332"/>
    </row>
    <row r="703" spans="1:24" ht="13">
      <c r="A703" s="7"/>
      <c r="C703" s="153"/>
      <c r="F703" s="332"/>
      <c r="G703" s="219"/>
      <c r="H703" s="116"/>
      <c r="I703" s="116"/>
      <c r="J703" s="116"/>
      <c r="K703" s="116"/>
      <c r="L703" s="116"/>
      <c r="M703" s="116"/>
      <c r="N703" s="116"/>
      <c r="O703" s="389"/>
      <c r="P703" s="219"/>
      <c r="Q703" s="332"/>
      <c r="R703" s="332"/>
      <c r="S703" s="219"/>
      <c r="T703" s="332"/>
      <c r="U703" s="219"/>
      <c r="V703" s="332"/>
      <c r="W703" s="242"/>
      <c r="X703" s="332"/>
    </row>
    <row r="704" spans="1:24" ht="13">
      <c r="A704" s="7"/>
      <c r="C704" s="153"/>
      <c r="F704" s="332"/>
      <c r="G704" s="219"/>
      <c r="H704" s="116"/>
      <c r="I704" s="116"/>
      <c r="J704" s="116"/>
      <c r="K704" s="116"/>
      <c r="L704" s="116"/>
      <c r="M704" s="116"/>
      <c r="N704" s="116"/>
      <c r="O704" s="389"/>
      <c r="P704" s="219"/>
      <c r="Q704" s="332"/>
      <c r="R704" s="332"/>
      <c r="S704" s="219"/>
      <c r="T704" s="332"/>
      <c r="U704" s="219"/>
      <c r="V704" s="332"/>
      <c r="W704" s="242"/>
      <c r="X704" s="332"/>
    </row>
    <row r="705" spans="1:24" ht="13">
      <c r="A705" s="7"/>
      <c r="C705" s="153"/>
      <c r="F705" s="332"/>
      <c r="G705" s="219"/>
      <c r="H705" s="116"/>
      <c r="I705" s="116"/>
      <c r="J705" s="116"/>
      <c r="K705" s="116"/>
      <c r="L705" s="116"/>
      <c r="M705" s="116"/>
      <c r="N705" s="116"/>
      <c r="O705" s="389"/>
      <c r="P705" s="219"/>
      <c r="Q705" s="332"/>
      <c r="R705" s="332"/>
      <c r="S705" s="219"/>
      <c r="T705" s="332"/>
      <c r="U705" s="219"/>
      <c r="V705" s="332"/>
      <c r="W705" s="242"/>
      <c r="X705" s="332"/>
    </row>
    <row r="706" spans="1:24" ht="13">
      <c r="A706" s="7"/>
      <c r="C706" s="153"/>
      <c r="F706" s="332"/>
      <c r="G706" s="219"/>
      <c r="H706" s="116"/>
      <c r="I706" s="116"/>
      <c r="J706" s="116"/>
      <c r="K706" s="116"/>
      <c r="L706" s="116"/>
      <c r="M706" s="116"/>
      <c r="N706" s="116"/>
      <c r="O706" s="389"/>
      <c r="P706" s="219"/>
      <c r="Q706" s="332"/>
      <c r="R706" s="332"/>
      <c r="S706" s="219"/>
      <c r="T706" s="332"/>
      <c r="U706" s="219"/>
      <c r="V706" s="332"/>
      <c r="W706" s="242"/>
      <c r="X706" s="332"/>
    </row>
    <row r="707" spans="1:24" ht="13">
      <c r="A707" s="7"/>
      <c r="C707" s="153"/>
      <c r="F707" s="332"/>
      <c r="G707" s="219"/>
      <c r="H707" s="116"/>
      <c r="I707" s="116"/>
      <c r="J707" s="116"/>
      <c r="K707" s="116"/>
      <c r="L707" s="116"/>
      <c r="M707" s="116"/>
      <c r="N707" s="116"/>
      <c r="O707" s="389"/>
      <c r="P707" s="219"/>
      <c r="Q707" s="332"/>
      <c r="R707" s="332"/>
      <c r="S707" s="219"/>
      <c r="T707" s="332"/>
      <c r="U707" s="219"/>
      <c r="V707" s="332"/>
      <c r="W707" s="242"/>
      <c r="X707" s="332"/>
    </row>
    <row r="708" spans="1:24" ht="13">
      <c r="A708" s="7"/>
      <c r="C708" s="153"/>
      <c r="F708" s="332"/>
      <c r="G708" s="219"/>
      <c r="H708" s="116"/>
      <c r="I708" s="116"/>
      <c r="J708" s="116"/>
      <c r="K708" s="116"/>
      <c r="L708" s="116"/>
      <c r="M708" s="116"/>
      <c r="N708" s="116"/>
      <c r="O708" s="389"/>
      <c r="P708" s="219"/>
      <c r="Q708" s="332"/>
      <c r="R708" s="332"/>
      <c r="S708" s="219"/>
      <c r="T708" s="332"/>
      <c r="U708" s="219"/>
      <c r="V708" s="332"/>
      <c r="W708" s="242"/>
      <c r="X708" s="332"/>
    </row>
    <row r="709" spans="1:24" ht="13">
      <c r="A709" s="7"/>
      <c r="C709" s="153"/>
      <c r="F709" s="332"/>
      <c r="G709" s="219"/>
      <c r="H709" s="116"/>
      <c r="I709" s="116"/>
      <c r="J709" s="116"/>
      <c r="K709" s="116"/>
      <c r="L709" s="116"/>
      <c r="M709" s="116"/>
      <c r="N709" s="116"/>
      <c r="O709" s="389"/>
      <c r="P709" s="219"/>
      <c r="Q709" s="332"/>
      <c r="R709" s="332"/>
      <c r="S709" s="219"/>
      <c r="T709" s="332"/>
      <c r="U709" s="219"/>
      <c r="V709" s="332"/>
      <c r="W709" s="242"/>
      <c r="X709" s="332"/>
    </row>
    <row r="710" spans="1:24" ht="13">
      <c r="A710" s="7"/>
      <c r="C710" s="153"/>
      <c r="F710" s="332"/>
      <c r="G710" s="219"/>
      <c r="H710" s="116"/>
      <c r="I710" s="116"/>
      <c r="J710" s="116"/>
      <c r="K710" s="116"/>
      <c r="L710" s="116"/>
      <c r="M710" s="116"/>
      <c r="N710" s="116"/>
      <c r="O710" s="389"/>
      <c r="P710" s="219"/>
      <c r="Q710" s="332"/>
      <c r="R710" s="332"/>
      <c r="S710" s="219"/>
      <c r="T710" s="332"/>
      <c r="U710" s="219"/>
      <c r="V710" s="332"/>
      <c r="W710" s="242"/>
      <c r="X710" s="332"/>
    </row>
    <row r="711" spans="1:24" ht="13">
      <c r="A711" s="7"/>
      <c r="C711" s="153"/>
      <c r="F711" s="332"/>
      <c r="G711" s="219"/>
      <c r="H711" s="116"/>
      <c r="I711" s="116"/>
      <c r="J711" s="116"/>
      <c r="K711" s="116"/>
      <c r="L711" s="116"/>
      <c r="M711" s="116"/>
      <c r="N711" s="116"/>
      <c r="O711" s="389"/>
      <c r="P711" s="219"/>
      <c r="Q711" s="332"/>
      <c r="R711" s="332"/>
      <c r="S711" s="219"/>
      <c r="T711" s="332"/>
      <c r="U711" s="219"/>
      <c r="V711" s="332"/>
      <c r="W711" s="242"/>
      <c r="X711" s="332"/>
    </row>
    <row r="712" spans="1:24" ht="13">
      <c r="A712" s="7"/>
      <c r="C712" s="153"/>
      <c r="F712" s="332"/>
      <c r="G712" s="219"/>
      <c r="H712" s="116"/>
      <c r="I712" s="116"/>
      <c r="J712" s="116"/>
      <c r="K712" s="116"/>
      <c r="L712" s="116"/>
      <c r="M712" s="116"/>
      <c r="N712" s="116"/>
      <c r="O712" s="389"/>
      <c r="P712" s="219"/>
      <c r="Q712" s="332"/>
      <c r="R712" s="332"/>
      <c r="S712" s="219"/>
      <c r="T712" s="332"/>
      <c r="U712" s="219"/>
      <c r="V712" s="332"/>
      <c r="W712" s="242"/>
      <c r="X712" s="332"/>
    </row>
    <row r="713" spans="1:24" ht="13">
      <c r="A713" s="7"/>
      <c r="C713" s="153"/>
      <c r="F713" s="332"/>
      <c r="G713" s="219"/>
      <c r="H713" s="116"/>
      <c r="I713" s="116"/>
      <c r="J713" s="116"/>
      <c r="K713" s="116"/>
      <c r="L713" s="116"/>
      <c r="M713" s="116"/>
      <c r="N713" s="116"/>
      <c r="O713" s="389"/>
      <c r="P713" s="219"/>
      <c r="Q713" s="332"/>
      <c r="R713" s="332"/>
      <c r="S713" s="219"/>
      <c r="T713" s="332"/>
      <c r="U713" s="219"/>
      <c r="V713" s="332"/>
      <c r="W713" s="242"/>
      <c r="X713" s="332"/>
    </row>
    <row r="714" spans="1:24" ht="13">
      <c r="A714" s="7"/>
      <c r="C714" s="153"/>
      <c r="F714" s="332"/>
      <c r="G714" s="219"/>
      <c r="H714" s="116"/>
      <c r="I714" s="116"/>
      <c r="J714" s="116"/>
      <c r="K714" s="116"/>
      <c r="L714" s="116"/>
      <c r="M714" s="116"/>
      <c r="N714" s="116"/>
      <c r="O714" s="389"/>
      <c r="P714" s="219"/>
      <c r="Q714" s="332"/>
      <c r="R714" s="332"/>
      <c r="S714" s="219"/>
      <c r="T714" s="332"/>
      <c r="U714" s="219"/>
      <c r="V714" s="332"/>
      <c r="W714" s="242"/>
      <c r="X714" s="332"/>
    </row>
    <row r="715" spans="1:24" ht="13">
      <c r="A715" s="7"/>
      <c r="C715" s="153"/>
      <c r="F715" s="332"/>
      <c r="G715" s="219"/>
      <c r="H715" s="116"/>
      <c r="I715" s="116"/>
      <c r="J715" s="116"/>
      <c r="K715" s="116"/>
      <c r="L715" s="116"/>
      <c r="M715" s="116"/>
      <c r="N715" s="116"/>
      <c r="O715" s="389"/>
      <c r="P715" s="219"/>
      <c r="Q715" s="332"/>
      <c r="R715" s="332"/>
      <c r="S715" s="219"/>
      <c r="T715" s="332"/>
      <c r="U715" s="219"/>
      <c r="V715" s="332"/>
      <c r="W715" s="242"/>
      <c r="X715" s="332"/>
    </row>
    <row r="716" spans="1:24" ht="13">
      <c r="A716" s="7"/>
      <c r="C716" s="153"/>
      <c r="F716" s="332"/>
      <c r="G716" s="219"/>
      <c r="H716" s="116"/>
      <c r="I716" s="116"/>
      <c r="J716" s="116"/>
      <c r="K716" s="116"/>
      <c r="L716" s="116"/>
      <c r="M716" s="116"/>
      <c r="N716" s="116"/>
      <c r="O716" s="389"/>
      <c r="P716" s="219"/>
      <c r="Q716" s="332"/>
      <c r="R716" s="332"/>
      <c r="S716" s="219"/>
      <c r="T716" s="332"/>
      <c r="U716" s="219"/>
      <c r="V716" s="332"/>
      <c r="W716" s="242"/>
      <c r="X716" s="332"/>
    </row>
    <row r="717" spans="1:24" ht="13">
      <c r="A717" s="7"/>
      <c r="C717" s="153"/>
      <c r="F717" s="332"/>
      <c r="G717" s="219"/>
      <c r="H717" s="116"/>
      <c r="I717" s="116"/>
      <c r="J717" s="116"/>
      <c r="K717" s="116"/>
      <c r="L717" s="116"/>
      <c r="M717" s="116"/>
      <c r="N717" s="116"/>
      <c r="O717" s="389"/>
      <c r="P717" s="219"/>
      <c r="Q717" s="332"/>
      <c r="R717" s="332"/>
      <c r="S717" s="219"/>
      <c r="T717" s="332"/>
      <c r="U717" s="219"/>
      <c r="V717" s="332"/>
      <c r="W717" s="242"/>
      <c r="X717" s="332"/>
    </row>
    <row r="718" spans="1:24" ht="13">
      <c r="A718" s="7"/>
      <c r="C718" s="153"/>
      <c r="F718" s="332"/>
      <c r="G718" s="219"/>
      <c r="H718" s="116"/>
      <c r="I718" s="116"/>
      <c r="J718" s="116"/>
      <c r="K718" s="116"/>
      <c r="L718" s="116"/>
      <c r="M718" s="116"/>
      <c r="N718" s="116"/>
      <c r="O718" s="389"/>
      <c r="P718" s="219"/>
      <c r="Q718" s="332"/>
      <c r="R718" s="332"/>
      <c r="S718" s="219"/>
      <c r="T718" s="332"/>
      <c r="U718" s="219"/>
      <c r="V718" s="332"/>
      <c r="W718" s="242"/>
      <c r="X718" s="332"/>
    </row>
    <row r="719" spans="1:24" ht="13">
      <c r="A719" s="7"/>
      <c r="C719" s="153"/>
      <c r="F719" s="332"/>
      <c r="G719" s="219"/>
      <c r="H719" s="116"/>
      <c r="I719" s="116"/>
      <c r="J719" s="116"/>
      <c r="K719" s="116"/>
      <c r="L719" s="116"/>
      <c r="M719" s="116"/>
      <c r="N719" s="116"/>
      <c r="O719" s="389"/>
      <c r="P719" s="219"/>
      <c r="Q719" s="332"/>
      <c r="R719" s="332"/>
      <c r="S719" s="219"/>
      <c r="T719" s="332"/>
      <c r="U719" s="219"/>
      <c r="V719" s="332"/>
      <c r="W719" s="242"/>
      <c r="X719" s="332"/>
    </row>
    <row r="720" spans="1:24" ht="13">
      <c r="A720" s="7"/>
      <c r="C720" s="153"/>
      <c r="F720" s="332"/>
      <c r="G720" s="219"/>
      <c r="H720" s="116"/>
      <c r="I720" s="116"/>
      <c r="J720" s="116"/>
      <c r="K720" s="116"/>
      <c r="L720" s="116"/>
      <c r="M720" s="116"/>
      <c r="N720" s="116"/>
      <c r="O720" s="389"/>
      <c r="P720" s="219"/>
      <c r="Q720" s="332"/>
      <c r="R720" s="332"/>
      <c r="S720" s="219"/>
      <c r="T720" s="332"/>
      <c r="U720" s="219"/>
      <c r="V720" s="332"/>
      <c r="W720" s="242"/>
      <c r="X720" s="332"/>
    </row>
    <row r="721" spans="1:24" ht="13">
      <c r="A721" s="7"/>
      <c r="C721" s="153"/>
      <c r="F721" s="332"/>
      <c r="G721" s="219"/>
      <c r="H721" s="116"/>
      <c r="I721" s="116"/>
      <c r="J721" s="116"/>
      <c r="K721" s="116"/>
      <c r="L721" s="116"/>
      <c r="M721" s="116"/>
      <c r="N721" s="116"/>
      <c r="O721" s="389"/>
      <c r="P721" s="219"/>
      <c r="Q721" s="332"/>
      <c r="R721" s="332"/>
      <c r="S721" s="219"/>
      <c r="T721" s="332"/>
      <c r="U721" s="219"/>
      <c r="V721" s="332"/>
      <c r="W721" s="242"/>
      <c r="X721" s="332"/>
    </row>
    <row r="722" spans="1:24" ht="13">
      <c r="A722" s="7"/>
      <c r="C722" s="153"/>
      <c r="F722" s="332"/>
      <c r="G722" s="219"/>
      <c r="H722" s="116"/>
      <c r="I722" s="116"/>
      <c r="J722" s="116"/>
      <c r="K722" s="116"/>
      <c r="L722" s="116"/>
      <c r="M722" s="116"/>
      <c r="N722" s="116"/>
      <c r="O722" s="389"/>
      <c r="P722" s="219"/>
      <c r="Q722" s="332"/>
      <c r="R722" s="332"/>
      <c r="S722" s="219"/>
      <c r="T722" s="332"/>
      <c r="U722" s="219"/>
      <c r="V722" s="332"/>
      <c r="W722" s="242"/>
      <c r="X722" s="332"/>
    </row>
    <row r="723" spans="1:24" ht="13">
      <c r="A723" s="7"/>
      <c r="C723" s="153"/>
      <c r="F723" s="332"/>
      <c r="G723" s="219"/>
      <c r="H723" s="116"/>
      <c r="I723" s="116"/>
      <c r="J723" s="116"/>
      <c r="K723" s="116"/>
      <c r="L723" s="116"/>
      <c r="M723" s="116"/>
      <c r="N723" s="116"/>
      <c r="O723" s="389"/>
      <c r="P723" s="219"/>
      <c r="Q723" s="332"/>
      <c r="R723" s="332"/>
      <c r="S723" s="219"/>
      <c r="T723" s="332"/>
      <c r="U723" s="219"/>
      <c r="V723" s="332"/>
      <c r="W723" s="242"/>
      <c r="X723" s="332"/>
    </row>
    <row r="724" spans="1:24" ht="13">
      <c r="A724" s="7"/>
      <c r="C724" s="153"/>
      <c r="F724" s="332"/>
      <c r="G724" s="219"/>
      <c r="H724" s="116"/>
      <c r="I724" s="116"/>
      <c r="J724" s="116"/>
      <c r="K724" s="116"/>
      <c r="L724" s="116"/>
      <c r="M724" s="116"/>
      <c r="N724" s="116"/>
      <c r="O724" s="389"/>
      <c r="P724" s="219"/>
      <c r="Q724" s="332"/>
      <c r="R724" s="332"/>
      <c r="S724" s="219"/>
      <c r="T724" s="332"/>
      <c r="U724" s="219"/>
      <c r="V724" s="332"/>
      <c r="W724" s="242"/>
      <c r="X724" s="332"/>
    </row>
    <row r="725" spans="1:24" ht="13">
      <c r="A725" s="7"/>
      <c r="C725" s="153"/>
      <c r="F725" s="332"/>
      <c r="G725" s="219"/>
      <c r="H725" s="116"/>
      <c r="I725" s="116"/>
      <c r="J725" s="116"/>
      <c r="K725" s="116"/>
      <c r="L725" s="116"/>
      <c r="M725" s="116"/>
      <c r="N725" s="116"/>
      <c r="O725" s="389"/>
      <c r="P725" s="219"/>
      <c r="Q725" s="332"/>
      <c r="R725" s="332"/>
      <c r="S725" s="219"/>
      <c r="T725" s="332"/>
      <c r="U725" s="219"/>
      <c r="V725" s="332"/>
      <c r="W725" s="242"/>
      <c r="X725" s="332"/>
    </row>
    <row r="726" spans="1:24" ht="13">
      <c r="A726" s="7"/>
      <c r="C726" s="153"/>
      <c r="F726" s="332"/>
      <c r="G726" s="219"/>
      <c r="H726" s="116"/>
      <c r="I726" s="116"/>
      <c r="J726" s="116"/>
      <c r="K726" s="116"/>
      <c r="L726" s="116"/>
      <c r="M726" s="116"/>
      <c r="N726" s="116"/>
      <c r="O726" s="389"/>
      <c r="P726" s="219"/>
      <c r="Q726" s="332"/>
      <c r="R726" s="332"/>
      <c r="S726" s="219"/>
      <c r="T726" s="332"/>
      <c r="U726" s="219"/>
      <c r="V726" s="332"/>
      <c r="W726" s="242"/>
      <c r="X726" s="332"/>
    </row>
    <row r="727" spans="1:24" ht="13">
      <c r="A727" s="7"/>
      <c r="C727" s="153"/>
      <c r="F727" s="332"/>
      <c r="G727" s="219"/>
      <c r="H727" s="116"/>
      <c r="I727" s="116"/>
      <c r="J727" s="116"/>
      <c r="K727" s="116"/>
      <c r="L727" s="116"/>
      <c r="M727" s="116"/>
      <c r="N727" s="116"/>
      <c r="O727" s="389"/>
      <c r="P727" s="219"/>
      <c r="Q727" s="332"/>
      <c r="R727" s="332"/>
      <c r="S727" s="219"/>
      <c r="T727" s="332"/>
      <c r="U727" s="219"/>
      <c r="V727" s="332"/>
      <c r="W727" s="242"/>
      <c r="X727" s="332"/>
    </row>
    <row r="728" spans="1:24" ht="13">
      <c r="A728" s="7"/>
      <c r="C728" s="153"/>
      <c r="F728" s="332"/>
      <c r="G728" s="219"/>
      <c r="H728" s="116"/>
      <c r="I728" s="116"/>
      <c r="J728" s="116"/>
      <c r="K728" s="116"/>
      <c r="L728" s="116"/>
      <c r="M728" s="116"/>
      <c r="N728" s="116"/>
      <c r="O728" s="389"/>
      <c r="P728" s="219"/>
      <c r="Q728" s="332"/>
      <c r="R728" s="332"/>
      <c r="S728" s="219"/>
      <c r="T728" s="332"/>
      <c r="U728" s="219"/>
      <c r="V728" s="332"/>
      <c r="W728" s="242"/>
      <c r="X728" s="332"/>
    </row>
    <row r="729" spans="1:24" ht="13">
      <c r="A729" s="7"/>
      <c r="C729" s="153"/>
      <c r="F729" s="332"/>
      <c r="G729" s="219"/>
      <c r="H729" s="116"/>
      <c r="I729" s="116"/>
      <c r="J729" s="116"/>
      <c r="K729" s="116"/>
      <c r="L729" s="116"/>
      <c r="M729" s="116"/>
      <c r="N729" s="116"/>
      <c r="O729" s="389"/>
      <c r="P729" s="219"/>
      <c r="Q729" s="332"/>
      <c r="R729" s="332"/>
      <c r="S729" s="219"/>
      <c r="T729" s="332"/>
      <c r="U729" s="219"/>
      <c r="V729" s="332"/>
      <c r="W729" s="242"/>
      <c r="X729" s="332"/>
    </row>
    <row r="730" spans="1:24" ht="13">
      <c r="A730" s="7"/>
      <c r="C730" s="153"/>
      <c r="F730" s="332"/>
      <c r="G730" s="219"/>
      <c r="H730" s="116"/>
      <c r="I730" s="116"/>
      <c r="J730" s="116"/>
      <c r="K730" s="116"/>
      <c r="L730" s="116"/>
      <c r="M730" s="116"/>
      <c r="N730" s="116"/>
      <c r="O730" s="389"/>
      <c r="P730" s="219"/>
      <c r="Q730" s="332"/>
      <c r="R730" s="332"/>
      <c r="S730" s="219"/>
      <c r="T730" s="332"/>
      <c r="U730" s="219"/>
      <c r="V730" s="332"/>
      <c r="W730" s="242"/>
      <c r="X730" s="332"/>
    </row>
    <row r="731" spans="1:24" ht="13">
      <c r="A731" s="7"/>
      <c r="C731" s="153"/>
      <c r="F731" s="332"/>
      <c r="G731" s="219"/>
      <c r="H731" s="116"/>
      <c r="I731" s="116"/>
      <c r="J731" s="116"/>
      <c r="K731" s="116"/>
      <c r="L731" s="116"/>
      <c r="M731" s="116"/>
      <c r="N731" s="116"/>
      <c r="O731" s="389"/>
      <c r="P731" s="219"/>
      <c r="Q731" s="332"/>
      <c r="R731" s="332"/>
      <c r="S731" s="219"/>
      <c r="T731" s="332"/>
      <c r="U731" s="219"/>
      <c r="V731" s="332"/>
      <c r="W731" s="242"/>
      <c r="X731" s="332"/>
    </row>
    <row r="732" spans="1:24" ht="13">
      <c r="A732" s="7"/>
      <c r="C732" s="153"/>
      <c r="F732" s="332"/>
      <c r="G732" s="219"/>
      <c r="H732" s="116"/>
      <c r="I732" s="116"/>
      <c r="J732" s="116"/>
      <c r="K732" s="116"/>
      <c r="L732" s="116"/>
      <c r="M732" s="116"/>
      <c r="N732" s="116"/>
      <c r="O732" s="389"/>
      <c r="P732" s="219"/>
      <c r="Q732" s="332"/>
      <c r="R732" s="332"/>
      <c r="S732" s="219"/>
      <c r="T732" s="332"/>
      <c r="U732" s="219"/>
      <c r="V732" s="332"/>
      <c r="W732" s="242"/>
      <c r="X732" s="332"/>
    </row>
    <row r="733" spans="1:24" ht="13">
      <c r="A733" s="7"/>
      <c r="C733" s="153"/>
      <c r="F733" s="332"/>
      <c r="G733" s="219"/>
      <c r="H733" s="116"/>
      <c r="I733" s="116"/>
      <c r="J733" s="116"/>
      <c r="K733" s="116"/>
      <c r="L733" s="116"/>
      <c r="M733" s="116"/>
      <c r="N733" s="116"/>
      <c r="O733" s="389"/>
      <c r="P733" s="219"/>
      <c r="Q733" s="332"/>
      <c r="R733" s="332"/>
      <c r="S733" s="219"/>
      <c r="T733" s="332"/>
      <c r="U733" s="219"/>
      <c r="V733" s="332"/>
      <c r="W733" s="242"/>
      <c r="X733" s="332"/>
    </row>
    <row r="734" spans="1:24" ht="13">
      <c r="A734" s="7"/>
      <c r="C734" s="153"/>
      <c r="F734" s="332"/>
      <c r="G734" s="219"/>
      <c r="H734" s="116"/>
      <c r="I734" s="116"/>
      <c r="J734" s="116"/>
      <c r="K734" s="116"/>
      <c r="L734" s="116"/>
      <c r="M734" s="116"/>
      <c r="N734" s="116"/>
      <c r="O734" s="389"/>
      <c r="P734" s="219"/>
      <c r="Q734" s="332"/>
      <c r="R734" s="332"/>
      <c r="S734" s="219"/>
      <c r="T734" s="332"/>
      <c r="U734" s="219"/>
      <c r="V734" s="332"/>
      <c r="W734" s="242"/>
      <c r="X734" s="332"/>
    </row>
    <row r="735" spans="1:24" ht="13">
      <c r="A735" s="7"/>
      <c r="C735" s="153"/>
      <c r="F735" s="332"/>
      <c r="G735" s="219"/>
      <c r="H735" s="116"/>
      <c r="I735" s="116"/>
      <c r="J735" s="116"/>
      <c r="K735" s="116"/>
      <c r="L735" s="116"/>
      <c r="M735" s="116"/>
      <c r="N735" s="116"/>
      <c r="O735" s="389"/>
      <c r="P735" s="219"/>
      <c r="Q735" s="332"/>
      <c r="R735" s="332"/>
      <c r="S735" s="219"/>
      <c r="T735" s="332"/>
      <c r="U735" s="219"/>
      <c r="V735" s="332"/>
      <c r="W735" s="242"/>
      <c r="X735" s="332"/>
    </row>
    <row r="736" spans="1:24" ht="13">
      <c r="A736" s="7"/>
      <c r="C736" s="153"/>
      <c r="F736" s="332"/>
      <c r="G736" s="219"/>
      <c r="H736" s="116"/>
      <c r="I736" s="116"/>
      <c r="J736" s="116"/>
      <c r="K736" s="116"/>
      <c r="L736" s="116"/>
      <c r="M736" s="116"/>
      <c r="N736" s="116"/>
      <c r="O736" s="389"/>
      <c r="P736" s="219"/>
      <c r="Q736" s="332"/>
      <c r="R736" s="332"/>
      <c r="S736" s="219"/>
      <c r="T736" s="332"/>
      <c r="U736" s="219"/>
      <c r="V736" s="332"/>
      <c r="W736" s="242"/>
      <c r="X736" s="332"/>
    </row>
    <row r="737" spans="1:24" ht="13">
      <c r="A737" s="7"/>
      <c r="C737" s="153"/>
      <c r="F737" s="332"/>
      <c r="G737" s="219"/>
      <c r="H737" s="116"/>
      <c r="I737" s="116"/>
      <c r="J737" s="116"/>
      <c r="K737" s="116"/>
      <c r="L737" s="116"/>
      <c r="M737" s="116"/>
      <c r="N737" s="116"/>
      <c r="O737" s="389"/>
      <c r="P737" s="219"/>
      <c r="Q737" s="332"/>
      <c r="R737" s="332"/>
      <c r="S737" s="219"/>
      <c r="T737" s="332"/>
      <c r="U737" s="219"/>
      <c r="V737" s="332"/>
      <c r="W737" s="242"/>
      <c r="X737" s="332"/>
    </row>
    <row r="738" spans="1:24" ht="13">
      <c r="A738" s="7"/>
      <c r="C738" s="153"/>
      <c r="F738" s="332"/>
      <c r="G738" s="219"/>
      <c r="H738" s="116"/>
      <c r="I738" s="116"/>
      <c r="J738" s="116"/>
      <c r="K738" s="116"/>
      <c r="L738" s="116"/>
      <c r="M738" s="116"/>
      <c r="N738" s="116"/>
      <c r="O738" s="389"/>
      <c r="P738" s="219"/>
      <c r="Q738" s="332"/>
      <c r="R738" s="332"/>
      <c r="S738" s="219"/>
      <c r="T738" s="332"/>
      <c r="U738" s="219"/>
      <c r="V738" s="332"/>
      <c r="W738" s="242"/>
      <c r="X738" s="332"/>
    </row>
    <row r="739" spans="1:24" ht="13">
      <c r="A739" s="7"/>
      <c r="C739" s="153"/>
      <c r="F739" s="332"/>
      <c r="G739" s="219"/>
      <c r="H739" s="116"/>
      <c r="I739" s="116"/>
      <c r="J739" s="116"/>
      <c r="K739" s="116"/>
      <c r="L739" s="116"/>
      <c r="M739" s="116"/>
      <c r="N739" s="116"/>
      <c r="O739" s="389"/>
      <c r="P739" s="219"/>
      <c r="Q739" s="332"/>
      <c r="R739" s="332"/>
      <c r="S739" s="219"/>
      <c r="T739" s="332"/>
      <c r="U739" s="219"/>
      <c r="V739" s="332"/>
      <c r="W739" s="242"/>
      <c r="X739" s="332"/>
    </row>
    <row r="740" spans="1:24" ht="13">
      <c r="A740" s="7"/>
      <c r="C740" s="153"/>
      <c r="F740" s="332"/>
      <c r="G740" s="219"/>
      <c r="H740" s="116"/>
      <c r="I740" s="116"/>
      <c r="J740" s="116"/>
      <c r="K740" s="116"/>
      <c r="L740" s="116"/>
      <c r="M740" s="116"/>
      <c r="N740" s="116"/>
      <c r="O740" s="389"/>
      <c r="P740" s="219"/>
      <c r="Q740" s="332"/>
      <c r="R740" s="332"/>
      <c r="S740" s="219"/>
      <c r="T740" s="332"/>
      <c r="U740" s="219"/>
      <c r="V740" s="332"/>
      <c r="W740" s="242"/>
      <c r="X740" s="332"/>
    </row>
    <row r="741" spans="1:24" ht="13">
      <c r="A741" s="7"/>
      <c r="C741" s="153"/>
      <c r="F741" s="332"/>
      <c r="G741" s="219"/>
      <c r="H741" s="116"/>
      <c r="I741" s="116"/>
      <c r="J741" s="116"/>
      <c r="K741" s="116"/>
      <c r="L741" s="116"/>
      <c r="M741" s="116"/>
      <c r="N741" s="116"/>
      <c r="O741" s="389"/>
      <c r="P741" s="219"/>
      <c r="Q741" s="332"/>
      <c r="R741" s="332"/>
      <c r="S741" s="219"/>
      <c r="T741" s="332"/>
      <c r="U741" s="219"/>
      <c r="V741" s="332"/>
      <c r="W741" s="242"/>
      <c r="X741" s="332"/>
    </row>
    <row r="742" spans="1:24" ht="13">
      <c r="A742" s="7"/>
      <c r="C742" s="153"/>
      <c r="F742" s="332"/>
      <c r="G742" s="219"/>
      <c r="H742" s="116"/>
      <c r="I742" s="116"/>
      <c r="J742" s="116"/>
      <c r="K742" s="116"/>
      <c r="L742" s="116"/>
      <c r="M742" s="116"/>
      <c r="N742" s="116"/>
      <c r="O742" s="389"/>
      <c r="P742" s="219"/>
      <c r="Q742" s="332"/>
      <c r="R742" s="332"/>
      <c r="S742" s="219"/>
      <c r="T742" s="332"/>
      <c r="U742" s="219"/>
      <c r="V742" s="332"/>
      <c r="W742" s="242"/>
      <c r="X742" s="332"/>
    </row>
    <row r="743" spans="1:24" ht="13">
      <c r="A743" s="7"/>
      <c r="C743" s="153"/>
      <c r="F743" s="332"/>
      <c r="G743" s="219"/>
      <c r="H743" s="116"/>
      <c r="I743" s="116"/>
      <c r="J743" s="116"/>
      <c r="K743" s="116"/>
      <c r="L743" s="116"/>
      <c r="M743" s="116"/>
      <c r="N743" s="116"/>
      <c r="O743" s="389"/>
      <c r="P743" s="219"/>
      <c r="Q743" s="332"/>
      <c r="R743" s="332"/>
      <c r="S743" s="219"/>
      <c r="T743" s="332"/>
      <c r="U743" s="219"/>
      <c r="V743" s="332"/>
      <c r="W743" s="242"/>
      <c r="X743" s="332"/>
    </row>
    <row r="744" spans="1:24" ht="13">
      <c r="A744" s="7"/>
      <c r="C744" s="153"/>
      <c r="F744" s="332"/>
      <c r="G744" s="219"/>
      <c r="H744" s="116"/>
      <c r="I744" s="116"/>
      <c r="J744" s="116"/>
      <c r="K744" s="116"/>
      <c r="L744" s="116"/>
      <c r="M744" s="116"/>
      <c r="N744" s="116"/>
      <c r="O744" s="389"/>
      <c r="P744" s="219"/>
      <c r="Q744" s="332"/>
      <c r="R744" s="332"/>
      <c r="S744" s="219"/>
      <c r="T744" s="332"/>
      <c r="U744" s="219"/>
      <c r="V744" s="332"/>
      <c r="W744" s="242"/>
      <c r="X744" s="332"/>
    </row>
    <row r="745" spans="1:24" ht="13">
      <c r="A745" s="7"/>
      <c r="C745" s="153"/>
      <c r="F745" s="332"/>
      <c r="G745" s="219"/>
      <c r="H745" s="116"/>
      <c r="I745" s="116"/>
      <c r="J745" s="116"/>
      <c r="K745" s="116"/>
      <c r="L745" s="116"/>
      <c r="M745" s="116"/>
      <c r="N745" s="116"/>
      <c r="O745" s="389"/>
      <c r="P745" s="219"/>
      <c r="Q745" s="332"/>
      <c r="R745" s="332"/>
      <c r="S745" s="219"/>
      <c r="T745" s="332"/>
      <c r="U745" s="219"/>
      <c r="V745" s="332"/>
      <c r="W745" s="242"/>
      <c r="X745" s="332"/>
    </row>
    <row r="746" spans="1:24" ht="13">
      <c r="A746" s="7"/>
      <c r="C746" s="153"/>
      <c r="F746" s="332"/>
      <c r="G746" s="219"/>
      <c r="H746" s="116"/>
      <c r="I746" s="116"/>
      <c r="J746" s="116"/>
      <c r="K746" s="116"/>
      <c r="L746" s="116"/>
      <c r="M746" s="116"/>
      <c r="N746" s="116"/>
      <c r="O746" s="389"/>
      <c r="P746" s="219"/>
      <c r="Q746" s="332"/>
      <c r="R746" s="332"/>
      <c r="S746" s="219"/>
      <c r="T746" s="332"/>
      <c r="U746" s="219"/>
      <c r="V746" s="332"/>
      <c r="W746" s="242"/>
      <c r="X746" s="332"/>
    </row>
    <row r="747" spans="1:24" ht="13">
      <c r="A747" s="7"/>
      <c r="C747" s="153"/>
      <c r="F747" s="332"/>
      <c r="G747" s="219"/>
      <c r="H747" s="116"/>
      <c r="I747" s="116"/>
      <c r="J747" s="116"/>
      <c r="K747" s="116"/>
      <c r="L747" s="116"/>
      <c r="M747" s="116"/>
      <c r="N747" s="116"/>
      <c r="O747" s="389"/>
      <c r="P747" s="219"/>
      <c r="Q747" s="332"/>
      <c r="R747" s="332"/>
      <c r="S747" s="219"/>
      <c r="T747" s="332"/>
      <c r="U747" s="219"/>
      <c r="V747" s="332"/>
      <c r="W747" s="242"/>
      <c r="X747" s="332"/>
    </row>
    <row r="748" spans="1:24" ht="13">
      <c r="A748" s="7"/>
      <c r="C748" s="153"/>
      <c r="F748" s="332"/>
      <c r="G748" s="219"/>
      <c r="H748" s="116"/>
      <c r="I748" s="116"/>
      <c r="J748" s="116"/>
      <c r="K748" s="116"/>
      <c r="L748" s="116"/>
      <c r="M748" s="116"/>
      <c r="N748" s="116"/>
      <c r="O748" s="389"/>
      <c r="P748" s="219"/>
      <c r="Q748" s="332"/>
      <c r="R748" s="332"/>
      <c r="S748" s="219"/>
      <c r="T748" s="332"/>
      <c r="U748" s="219"/>
      <c r="V748" s="332"/>
      <c r="W748" s="242"/>
      <c r="X748" s="332"/>
    </row>
    <row r="749" spans="1:24" ht="13">
      <c r="A749" s="7"/>
      <c r="C749" s="153"/>
      <c r="F749" s="332"/>
      <c r="G749" s="219"/>
      <c r="H749" s="116"/>
      <c r="I749" s="116"/>
      <c r="J749" s="116"/>
      <c r="K749" s="116"/>
      <c r="L749" s="116"/>
      <c r="M749" s="116"/>
      <c r="N749" s="116"/>
      <c r="O749" s="389"/>
      <c r="P749" s="219"/>
      <c r="Q749" s="332"/>
      <c r="R749" s="332"/>
      <c r="S749" s="219"/>
      <c r="T749" s="332"/>
      <c r="U749" s="219"/>
      <c r="V749" s="332"/>
      <c r="W749" s="242"/>
      <c r="X749" s="332"/>
    </row>
    <row r="750" spans="1:24" ht="13">
      <c r="A750" s="7"/>
      <c r="C750" s="153"/>
      <c r="F750" s="332"/>
      <c r="G750" s="219"/>
      <c r="H750" s="116"/>
      <c r="I750" s="116"/>
      <c r="J750" s="116"/>
      <c r="K750" s="116"/>
      <c r="L750" s="116"/>
      <c r="M750" s="116"/>
      <c r="N750" s="116"/>
      <c r="O750" s="389"/>
      <c r="P750" s="219"/>
      <c r="Q750" s="332"/>
      <c r="R750" s="332"/>
      <c r="S750" s="219"/>
      <c r="T750" s="332"/>
      <c r="U750" s="219"/>
      <c r="V750" s="332"/>
      <c r="W750" s="242"/>
      <c r="X750" s="332"/>
    </row>
    <row r="751" spans="1:24" ht="13">
      <c r="A751" s="7"/>
      <c r="C751" s="153"/>
      <c r="F751" s="332"/>
      <c r="G751" s="219"/>
      <c r="H751" s="116"/>
      <c r="I751" s="116"/>
      <c r="J751" s="116"/>
      <c r="K751" s="116"/>
      <c r="L751" s="116"/>
      <c r="M751" s="116"/>
      <c r="N751" s="116"/>
      <c r="O751" s="389"/>
      <c r="P751" s="219"/>
      <c r="Q751" s="332"/>
      <c r="R751" s="332"/>
      <c r="S751" s="219"/>
      <c r="T751" s="332"/>
      <c r="U751" s="219"/>
      <c r="V751" s="332"/>
      <c r="W751" s="242"/>
      <c r="X751" s="332"/>
    </row>
    <row r="752" spans="1:24" ht="13">
      <c r="A752" s="7"/>
      <c r="C752" s="153"/>
      <c r="F752" s="332"/>
      <c r="G752" s="219"/>
      <c r="H752" s="116"/>
      <c r="I752" s="116"/>
      <c r="J752" s="116"/>
      <c r="K752" s="116"/>
      <c r="L752" s="116"/>
      <c r="M752" s="116"/>
      <c r="N752" s="116"/>
      <c r="O752" s="389"/>
      <c r="P752" s="219"/>
      <c r="Q752" s="332"/>
      <c r="R752" s="332"/>
      <c r="S752" s="219"/>
      <c r="T752" s="332"/>
      <c r="U752" s="219"/>
      <c r="V752" s="332"/>
      <c r="W752" s="242"/>
      <c r="X752" s="332"/>
    </row>
    <row r="753" spans="1:24" ht="13">
      <c r="A753" s="7"/>
      <c r="C753" s="153"/>
      <c r="F753" s="332"/>
      <c r="G753" s="219"/>
      <c r="H753" s="116"/>
      <c r="I753" s="116"/>
      <c r="J753" s="116"/>
      <c r="K753" s="116"/>
      <c r="L753" s="116"/>
      <c r="M753" s="116"/>
      <c r="N753" s="116"/>
      <c r="O753" s="389"/>
      <c r="P753" s="219"/>
      <c r="Q753" s="332"/>
      <c r="R753" s="332"/>
      <c r="S753" s="219"/>
      <c r="T753" s="332"/>
      <c r="U753" s="219"/>
      <c r="V753" s="332"/>
      <c r="W753" s="242"/>
      <c r="X753" s="332"/>
    </row>
    <row r="754" spans="1:24" ht="13">
      <c r="A754" s="7"/>
      <c r="C754" s="153"/>
      <c r="F754" s="332"/>
      <c r="G754" s="219"/>
      <c r="H754" s="116"/>
      <c r="I754" s="116"/>
      <c r="J754" s="116"/>
      <c r="K754" s="116"/>
      <c r="L754" s="116"/>
      <c r="M754" s="116"/>
      <c r="N754" s="116"/>
      <c r="O754" s="389"/>
      <c r="P754" s="219"/>
      <c r="Q754" s="332"/>
      <c r="R754" s="332"/>
      <c r="S754" s="219"/>
      <c r="T754" s="332"/>
      <c r="U754" s="219"/>
      <c r="V754" s="332"/>
      <c r="W754" s="242"/>
      <c r="X754" s="332"/>
    </row>
    <row r="755" spans="1:24" ht="13">
      <c r="A755" s="7"/>
      <c r="C755" s="153"/>
      <c r="F755" s="332"/>
      <c r="G755" s="219"/>
      <c r="H755" s="116"/>
      <c r="I755" s="116"/>
      <c r="J755" s="116"/>
      <c r="K755" s="116"/>
      <c r="L755" s="116"/>
      <c r="M755" s="116"/>
      <c r="N755" s="116"/>
      <c r="O755" s="389"/>
      <c r="P755" s="219"/>
      <c r="Q755" s="332"/>
      <c r="R755" s="332"/>
      <c r="S755" s="219"/>
      <c r="T755" s="332"/>
      <c r="U755" s="219"/>
      <c r="V755" s="332"/>
      <c r="W755" s="242"/>
      <c r="X755" s="332"/>
    </row>
    <row r="756" spans="1:24" ht="13">
      <c r="A756" s="7"/>
      <c r="C756" s="153"/>
      <c r="F756" s="332"/>
      <c r="G756" s="219"/>
      <c r="H756" s="116"/>
      <c r="I756" s="116"/>
      <c r="J756" s="116"/>
      <c r="K756" s="116"/>
      <c r="L756" s="116"/>
      <c r="M756" s="116"/>
      <c r="N756" s="116"/>
      <c r="O756" s="389"/>
      <c r="P756" s="219"/>
      <c r="Q756" s="332"/>
      <c r="R756" s="332"/>
      <c r="S756" s="219"/>
      <c r="T756" s="332"/>
      <c r="U756" s="219"/>
      <c r="V756" s="332"/>
      <c r="W756" s="242"/>
      <c r="X756" s="332"/>
    </row>
    <row r="757" spans="1:24" ht="13">
      <c r="A757" s="7"/>
      <c r="C757" s="153"/>
      <c r="F757" s="332"/>
      <c r="G757" s="219"/>
      <c r="H757" s="116"/>
      <c r="I757" s="116"/>
      <c r="J757" s="116"/>
      <c r="K757" s="116"/>
      <c r="L757" s="116"/>
      <c r="M757" s="116"/>
      <c r="N757" s="116"/>
      <c r="O757" s="389"/>
      <c r="P757" s="219"/>
      <c r="Q757" s="332"/>
      <c r="R757" s="332"/>
      <c r="S757" s="219"/>
      <c r="T757" s="332"/>
      <c r="U757" s="219"/>
      <c r="V757" s="332"/>
      <c r="W757" s="242"/>
      <c r="X757" s="332"/>
    </row>
    <row r="758" spans="1:24" ht="13">
      <c r="A758" s="7"/>
      <c r="C758" s="153"/>
      <c r="F758" s="332"/>
      <c r="G758" s="219"/>
      <c r="H758" s="116"/>
      <c r="I758" s="116"/>
      <c r="J758" s="116"/>
      <c r="K758" s="116"/>
      <c r="L758" s="116"/>
      <c r="M758" s="116"/>
      <c r="N758" s="116"/>
      <c r="O758" s="389"/>
      <c r="P758" s="219"/>
      <c r="Q758" s="332"/>
      <c r="R758" s="332"/>
      <c r="S758" s="219"/>
      <c r="T758" s="332"/>
      <c r="U758" s="219"/>
      <c r="V758" s="332"/>
      <c r="W758" s="242"/>
      <c r="X758" s="332"/>
    </row>
    <row r="759" spans="1:24" ht="13">
      <c r="A759" s="7"/>
      <c r="C759" s="153"/>
      <c r="F759" s="332"/>
      <c r="G759" s="219"/>
      <c r="H759" s="116"/>
      <c r="I759" s="116"/>
      <c r="J759" s="116"/>
      <c r="K759" s="116"/>
      <c r="L759" s="116"/>
      <c r="M759" s="116"/>
      <c r="N759" s="116"/>
      <c r="O759" s="389"/>
      <c r="P759" s="219"/>
      <c r="Q759" s="332"/>
      <c r="R759" s="332"/>
      <c r="S759" s="219"/>
      <c r="T759" s="332"/>
      <c r="U759" s="219"/>
      <c r="V759" s="332"/>
      <c r="W759" s="242"/>
      <c r="X759" s="332"/>
    </row>
    <row r="760" spans="1:24" ht="13">
      <c r="A760" s="7"/>
      <c r="C760" s="153"/>
      <c r="F760" s="332"/>
      <c r="G760" s="219"/>
      <c r="H760" s="116"/>
      <c r="I760" s="116"/>
      <c r="J760" s="116"/>
      <c r="K760" s="116"/>
      <c r="L760" s="116"/>
      <c r="M760" s="116"/>
      <c r="N760" s="116"/>
      <c r="O760" s="389"/>
      <c r="P760" s="219"/>
      <c r="Q760" s="332"/>
      <c r="R760" s="332"/>
      <c r="S760" s="219"/>
      <c r="T760" s="332"/>
      <c r="U760" s="219"/>
      <c r="V760" s="332"/>
      <c r="W760" s="242"/>
      <c r="X760" s="332"/>
    </row>
    <row r="761" spans="1:24" ht="13">
      <c r="A761" s="7"/>
      <c r="C761" s="153"/>
      <c r="F761" s="332"/>
      <c r="G761" s="219"/>
      <c r="H761" s="116"/>
      <c r="I761" s="116"/>
      <c r="J761" s="116"/>
      <c r="K761" s="116"/>
      <c r="L761" s="116"/>
      <c r="M761" s="116"/>
      <c r="N761" s="116"/>
      <c r="O761" s="389"/>
      <c r="P761" s="219"/>
      <c r="Q761" s="332"/>
      <c r="R761" s="332"/>
      <c r="S761" s="219"/>
      <c r="T761" s="332"/>
      <c r="U761" s="219"/>
      <c r="V761" s="332"/>
      <c r="W761" s="242"/>
      <c r="X761" s="332"/>
    </row>
    <row r="762" spans="1:24" ht="13">
      <c r="A762" s="7"/>
      <c r="C762" s="153"/>
      <c r="F762" s="332"/>
      <c r="G762" s="219"/>
      <c r="H762" s="116"/>
      <c r="I762" s="116"/>
      <c r="J762" s="116"/>
      <c r="K762" s="116"/>
      <c r="L762" s="116"/>
      <c r="M762" s="116"/>
      <c r="N762" s="116"/>
      <c r="O762" s="389"/>
      <c r="P762" s="219"/>
      <c r="Q762" s="332"/>
      <c r="R762" s="332"/>
      <c r="S762" s="219"/>
      <c r="T762" s="332"/>
      <c r="U762" s="219"/>
      <c r="V762" s="332"/>
      <c r="W762" s="242"/>
      <c r="X762" s="332"/>
    </row>
    <row r="763" spans="1:24" ht="13">
      <c r="A763" s="7"/>
      <c r="C763" s="153"/>
      <c r="F763" s="332"/>
      <c r="G763" s="219"/>
      <c r="H763" s="116"/>
      <c r="I763" s="116"/>
      <c r="J763" s="116"/>
      <c r="K763" s="116"/>
      <c r="L763" s="116"/>
      <c r="M763" s="116"/>
      <c r="N763" s="116"/>
      <c r="O763" s="389"/>
      <c r="P763" s="219"/>
      <c r="Q763" s="332"/>
      <c r="R763" s="332"/>
      <c r="S763" s="219"/>
      <c r="T763" s="332"/>
      <c r="U763" s="219"/>
      <c r="V763" s="332"/>
      <c r="W763" s="242"/>
      <c r="X763" s="332"/>
    </row>
    <row r="764" spans="1:24" ht="13">
      <c r="A764" s="7"/>
      <c r="C764" s="153"/>
      <c r="F764" s="332"/>
      <c r="G764" s="219"/>
      <c r="H764" s="116"/>
      <c r="I764" s="116"/>
      <c r="J764" s="116"/>
      <c r="K764" s="116"/>
      <c r="L764" s="116"/>
      <c r="M764" s="116"/>
      <c r="N764" s="116"/>
      <c r="O764" s="389"/>
      <c r="P764" s="219"/>
      <c r="Q764" s="332"/>
      <c r="R764" s="332"/>
      <c r="S764" s="219"/>
      <c r="T764" s="332"/>
      <c r="U764" s="219"/>
      <c r="V764" s="332"/>
      <c r="W764" s="242"/>
      <c r="X764" s="332"/>
    </row>
    <row r="765" spans="1:24" ht="13">
      <c r="A765" s="7"/>
      <c r="C765" s="153"/>
      <c r="F765" s="332"/>
      <c r="G765" s="219"/>
      <c r="H765" s="116"/>
      <c r="I765" s="116"/>
      <c r="J765" s="116"/>
      <c r="K765" s="116"/>
      <c r="L765" s="116"/>
      <c r="M765" s="116"/>
      <c r="N765" s="116"/>
      <c r="O765" s="389"/>
      <c r="P765" s="219"/>
      <c r="Q765" s="332"/>
      <c r="R765" s="332"/>
      <c r="S765" s="219"/>
      <c r="T765" s="332"/>
      <c r="U765" s="219"/>
      <c r="V765" s="332"/>
      <c r="W765" s="242"/>
      <c r="X765" s="332"/>
    </row>
    <row r="766" spans="1:24" ht="13">
      <c r="A766" s="7"/>
      <c r="C766" s="153"/>
      <c r="F766" s="332"/>
      <c r="G766" s="219"/>
      <c r="H766" s="116"/>
      <c r="I766" s="116"/>
      <c r="J766" s="116"/>
      <c r="K766" s="116"/>
      <c r="L766" s="116"/>
      <c r="M766" s="116"/>
      <c r="N766" s="116"/>
      <c r="O766" s="389"/>
      <c r="P766" s="219"/>
      <c r="Q766" s="332"/>
      <c r="R766" s="332"/>
      <c r="S766" s="219"/>
      <c r="T766" s="332"/>
      <c r="U766" s="219"/>
      <c r="V766" s="332"/>
      <c r="W766" s="242"/>
      <c r="X766" s="332"/>
    </row>
    <row r="767" spans="1:24" ht="13">
      <c r="A767" s="7"/>
      <c r="C767" s="153"/>
      <c r="F767" s="332"/>
      <c r="G767" s="219"/>
      <c r="H767" s="116"/>
      <c r="I767" s="116"/>
      <c r="J767" s="116"/>
      <c r="K767" s="116"/>
      <c r="L767" s="116"/>
      <c r="M767" s="116"/>
      <c r="N767" s="116"/>
      <c r="O767" s="389"/>
      <c r="P767" s="219"/>
      <c r="Q767" s="332"/>
      <c r="R767" s="332"/>
      <c r="S767" s="219"/>
      <c r="T767" s="332"/>
      <c r="U767" s="219"/>
      <c r="V767" s="332"/>
      <c r="W767" s="242"/>
      <c r="X767" s="332"/>
    </row>
    <row r="768" spans="1:24" ht="13">
      <c r="A768" s="7"/>
      <c r="C768" s="153"/>
      <c r="F768" s="332"/>
      <c r="G768" s="219"/>
      <c r="H768" s="116"/>
      <c r="I768" s="116"/>
      <c r="J768" s="116"/>
      <c r="K768" s="116"/>
      <c r="L768" s="116"/>
      <c r="M768" s="116"/>
      <c r="N768" s="116"/>
      <c r="O768" s="389"/>
      <c r="P768" s="219"/>
      <c r="Q768" s="332"/>
      <c r="R768" s="332"/>
      <c r="S768" s="219"/>
      <c r="T768" s="332"/>
      <c r="U768" s="219"/>
      <c r="V768" s="332"/>
      <c r="W768" s="242"/>
      <c r="X768" s="332"/>
    </row>
    <row r="769" spans="1:24" ht="13">
      <c r="A769" s="7"/>
      <c r="C769" s="153"/>
      <c r="F769" s="332"/>
      <c r="G769" s="219"/>
      <c r="H769" s="116"/>
      <c r="I769" s="116"/>
      <c r="J769" s="116"/>
      <c r="K769" s="116"/>
      <c r="L769" s="116"/>
      <c r="M769" s="116"/>
      <c r="N769" s="116"/>
      <c r="O769" s="389"/>
      <c r="P769" s="219"/>
      <c r="Q769" s="332"/>
      <c r="R769" s="332"/>
      <c r="S769" s="219"/>
      <c r="T769" s="332"/>
      <c r="U769" s="219"/>
      <c r="V769" s="332"/>
      <c r="W769" s="242"/>
      <c r="X769" s="332"/>
    </row>
    <row r="770" spans="1:24" ht="13">
      <c r="A770" s="7"/>
      <c r="C770" s="153"/>
      <c r="F770" s="332"/>
      <c r="G770" s="219"/>
      <c r="H770" s="116"/>
      <c r="I770" s="116"/>
      <c r="J770" s="116"/>
      <c r="K770" s="116"/>
      <c r="L770" s="116"/>
      <c r="M770" s="116"/>
      <c r="N770" s="116"/>
      <c r="O770" s="389"/>
      <c r="P770" s="219"/>
      <c r="Q770" s="332"/>
      <c r="R770" s="332"/>
      <c r="S770" s="219"/>
      <c r="T770" s="332"/>
      <c r="U770" s="219"/>
      <c r="V770" s="332"/>
      <c r="W770" s="242"/>
      <c r="X770" s="332"/>
    </row>
    <row r="771" spans="1:24" ht="13">
      <c r="A771" s="7"/>
      <c r="C771" s="153"/>
      <c r="F771" s="332"/>
      <c r="G771" s="219"/>
      <c r="H771" s="116"/>
      <c r="I771" s="116"/>
      <c r="J771" s="116"/>
      <c r="K771" s="116"/>
      <c r="L771" s="116"/>
      <c r="M771" s="116"/>
      <c r="N771" s="116"/>
      <c r="O771" s="389"/>
      <c r="P771" s="219"/>
      <c r="Q771" s="332"/>
      <c r="R771" s="332"/>
      <c r="S771" s="219"/>
      <c r="T771" s="332"/>
      <c r="U771" s="219"/>
      <c r="V771" s="332"/>
      <c r="W771" s="242"/>
      <c r="X771" s="332"/>
    </row>
    <row r="772" spans="1:24" ht="13">
      <c r="A772" s="7"/>
      <c r="C772" s="153"/>
      <c r="F772" s="332"/>
      <c r="G772" s="219"/>
      <c r="H772" s="116"/>
      <c r="I772" s="116"/>
      <c r="J772" s="116"/>
      <c r="K772" s="116"/>
      <c r="L772" s="116"/>
      <c r="M772" s="116"/>
      <c r="N772" s="116"/>
      <c r="O772" s="389"/>
      <c r="P772" s="219"/>
      <c r="Q772" s="332"/>
      <c r="R772" s="332"/>
      <c r="S772" s="219"/>
      <c r="T772" s="332"/>
      <c r="U772" s="219"/>
      <c r="V772" s="332"/>
      <c r="W772" s="242"/>
      <c r="X772" s="332"/>
    </row>
    <row r="773" spans="1:24" ht="13">
      <c r="A773" s="7"/>
      <c r="C773" s="153"/>
      <c r="F773" s="332"/>
      <c r="G773" s="219"/>
      <c r="H773" s="116"/>
      <c r="I773" s="116"/>
      <c r="J773" s="116"/>
      <c r="K773" s="116"/>
      <c r="L773" s="116"/>
      <c r="M773" s="116"/>
      <c r="N773" s="116"/>
      <c r="O773" s="389"/>
      <c r="P773" s="219"/>
      <c r="Q773" s="332"/>
      <c r="R773" s="332"/>
      <c r="S773" s="219"/>
      <c r="T773" s="332"/>
      <c r="U773" s="219"/>
      <c r="V773" s="332"/>
      <c r="W773" s="242"/>
      <c r="X773" s="332"/>
    </row>
    <row r="774" spans="1:24" ht="13">
      <c r="A774" s="7"/>
      <c r="C774" s="153"/>
      <c r="F774" s="332"/>
      <c r="G774" s="219"/>
      <c r="H774" s="116"/>
      <c r="I774" s="116"/>
      <c r="J774" s="116"/>
      <c r="K774" s="116"/>
      <c r="L774" s="116"/>
      <c r="M774" s="116"/>
      <c r="N774" s="116"/>
      <c r="O774" s="389"/>
      <c r="P774" s="219"/>
      <c r="Q774" s="332"/>
      <c r="R774" s="332"/>
      <c r="S774" s="219"/>
      <c r="T774" s="332"/>
      <c r="U774" s="219"/>
      <c r="V774" s="332"/>
      <c r="W774" s="242"/>
      <c r="X774" s="332"/>
    </row>
    <row r="775" spans="1:24" ht="13">
      <c r="A775" s="7"/>
      <c r="C775" s="153"/>
      <c r="F775" s="332"/>
      <c r="G775" s="219"/>
      <c r="H775" s="116"/>
      <c r="I775" s="116"/>
      <c r="J775" s="116"/>
      <c r="K775" s="116"/>
      <c r="L775" s="116"/>
      <c r="M775" s="116"/>
      <c r="N775" s="116"/>
      <c r="O775" s="389"/>
      <c r="P775" s="219"/>
      <c r="Q775" s="332"/>
      <c r="R775" s="332"/>
      <c r="S775" s="219"/>
      <c r="T775" s="332"/>
      <c r="U775" s="219"/>
      <c r="V775" s="332"/>
      <c r="W775" s="242"/>
      <c r="X775" s="332"/>
    </row>
    <row r="776" spans="1:24" ht="13">
      <c r="A776" s="7"/>
      <c r="C776" s="153"/>
      <c r="F776" s="332"/>
      <c r="G776" s="219"/>
      <c r="H776" s="116"/>
      <c r="I776" s="116"/>
      <c r="J776" s="116"/>
      <c r="K776" s="116"/>
      <c r="L776" s="116"/>
      <c r="M776" s="116"/>
      <c r="N776" s="116"/>
      <c r="O776" s="389"/>
      <c r="P776" s="219"/>
      <c r="Q776" s="332"/>
      <c r="R776" s="332"/>
      <c r="S776" s="219"/>
      <c r="T776" s="332"/>
      <c r="U776" s="219"/>
      <c r="V776" s="332"/>
      <c r="W776" s="242"/>
      <c r="X776" s="332"/>
    </row>
    <row r="777" spans="1:24" ht="13">
      <c r="A777" s="7"/>
      <c r="C777" s="153"/>
      <c r="F777" s="332"/>
      <c r="G777" s="219"/>
      <c r="H777" s="116"/>
      <c r="I777" s="116"/>
      <c r="J777" s="116"/>
      <c r="K777" s="116"/>
      <c r="L777" s="116"/>
      <c r="M777" s="116"/>
      <c r="N777" s="116"/>
      <c r="O777" s="389"/>
      <c r="P777" s="219"/>
      <c r="Q777" s="332"/>
      <c r="R777" s="332"/>
      <c r="S777" s="219"/>
      <c r="T777" s="332"/>
      <c r="U777" s="219"/>
      <c r="V777" s="332"/>
      <c r="W777" s="242"/>
      <c r="X777" s="332"/>
    </row>
    <row r="778" spans="1:24" ht="13">
      <c r="A778" s="7"/>
      <c r="C778" s="153"/>
      <c r="F778" s="332"/>
      <c r="G778" s="219"/>
      <c r="H778" s="116"/>
      <c r="I778" s="116"/>
      <c r="J778" s="116"/>
      <c r="K778" s="116"/>
      <c r="L778" s="116"/>
      <c r="M778" s="116"/>
      <c r="N778" s="116"/>
      <c r="O778" s="389"/>
      <c r="P778" s="219"/>
      <c r="Q778" s="332"/>
      <c r="R778" s="332"/>
      <c r="S778" s="219"/>
      <c r="T778" s="332"/>
      <c r="U778" s="219"/>
      <c r="V778" s="332"/>
      <c r="W778" s="242"/>
      <c r="X778" s="332"/>
    </row>
    <row r="779" spans="1:24" ht="13">
      <c r="A779" s="7"/>
      <c r="C779" s="153"/>
      <c r="F779" s="332"/>
      <c r="G779" s="219"/>
      <c r="H779" s="116"/>
      <c r="I779" s="116"/>
      <c r="J779" s="116"/>
      <c r="K779" s="116"/>
      <c r="L779" s="116"/>
      <c r="M779" s="116"/>
      <c r="N779" s="116"/>
      <c r="O779" s="389"/>
      <c r="P779" s="219"/>
      <c r="Q779" s="332"/>
      <c r="R779" s="332"/>
      <c r="S779" s="219"/>
      <c r="T779" s="332"/>
      <c r="U779" s="219"/>
      <c r="V779" s="332"/>
      <c r="W779" s="242"/>
      <c r="X779" s="332"/>
    </row>
    <row r="780" spans="1:24" ht="13">
      <c r="A780" s="7"/>
      <c r="C780" s="153"/>
      <c r="F780" s="332"/>
      <c r="G780" s="219"/>
      <c r="H780" s="116"/>
      <c r="I780" s="116"/>
      <c r="J780" s="116"/>
      <c r="K780" s="116"/>
      <c r="L780" s="116"/>
      <c r="M780" s="116"/>
      <c r="N780" s="116"/>
      <c r="O780" s="389"/>
      <c r="P780" s="219"/>
      <c r="Q780" s="332"/>
      <c r="R780" s="332"/>
      <c r="S780" s="219"/>
      <c r="T780" s="332"/>
      <c r="U780" s="219"/>
      <c r="V780" s="332"/>
      <c r="W780" s="242"/>
      <c r="X780" s="332"/>
    </row>
    <row r="781" spans="1:24" ht="13">
      <c r="A781" s="7"/>
      <c r="C781" s="153"/>
      <c r="F781" s="332"/>
      <c r="G781" s="219"/>
      <c r="H781" s="116"/>
      <c r="I781" s="116"/>
      <c r="J781" s="116"/>
      <c r="K781" s="116"/>
      <c r="L781" s="116"/>
      <c r="M781" s="116"/>
      <c r="N781" s="116"/>
      <c r="O781" s="389"/>
      <c r="P781" s="219"/>
      <c r="Q781" s="332"/>
      <c r="R781" s="332"/>
      <c r="S781" s="219"/>
      <c r="T781" s="332"/>
      <c r="U781" s="219"/>
      <c r="V781" s="332"/>
      <c r="W781" s="242"/>
      <c r="X781" s="332"/>
    </row>
    <row r="782" spans="1:24" ht="13">
      <c r="A782" s="7"/>
      <c r="C782" s="153"/>
      <c r="F782" s="332"/>
      <c r="G782" s="219"/>
      <c r="H782" s="116"/>
      <c r="I782" s="116"/>
      <c r="J782" s="116"/>
      <c r="K782" s="116"/>
      <c r="L782" s="116"/>
      <c r="M782" s="116"/>
      <c r="N782" s="116"/>
      <c r="O782" s="389"/>
      <c r="P782" s="219"/>
      <c r="Q782" s="332"/>
      <c r="R782" s="332"/>
      <c r="S782" s="219"/>
      <c r="T782" s="332"/>
      <c r="U782" s="219"/>
      <c r="V782" s="332"/>
      <c r="W782" s="242"/>
      <c r="X782" s="332"/>
    </row>
    <row r="783" spans="1:24" ht="13">
      <c r="A783" s="7"/>
      <c r="C783" s="153"/>
      <c r="F783" s="332"/>
      <c r="G783" s="219"/>
      <c r="H783" s="116"/>
      <c r="I783" s="116"/>
      <c r="J783" s="116"/>
      <c r="K783" s="116"/>
      <c r="L783" s="116"/>
      <c r="M783" s="116"/>
      <c r="N783" s="116"/>
      <c r="O783" s="389"/>
      <c r="P783" s="219"/>
      <c r="Q783" s="332"/>
      <c r="R783" s="332"/>
      <c r="S783" s="219"/>
      <c r="T783" s="332"/>
      <c r="U783" s="219"/>
      <c r="V783" s="332"/>
      <c r="W783" s="242"/>
      <c r="X783" s="332"/>
    </row>
    <row r="784" spans="1:24" ht="13">
      <c r="A784" s="7"/>
      <c r="C784" s="153"/>
      <c r="F784" s="332"/>
      <c r="G784" s="219"/>
      <c r="H784" s="116"/>
      <c r="I784" s="116"/>
      <c r="J784" s="116"/>
      <c r="K784" s="116"/>
      <c r="L784" s="116"/>
      <c r="M784" s="116"/>
      <c r="N784" s="116"/>
      <c r="O784" s="389"/>
      <c r="P784" s="219"/>
      <c r="Q784" s="332"/>
      <c r="R784" s="332"/>
      <c r="S784" s="219"/>
      <c r="T784" s="332"/>
      <c r="U784" s="219"/>
      <c r="V784" s="332"/>
      <c r="W784" s="242"/>
      <c r="X784" s="332"/>
    </row>
    <row r="785" spans="1:24" ht="13">
      <c r="A785" s="7"/>
      <c r="C785" s="153"/>
      <c r="F785" s="332"/>
      <c r="G785" s="219"/>
      <c r="H785" s="116"/>
      <c r="I785" s="116"/>
      <c r="J785" s="116"/>
      <c r="K785" s="116"/>
      <c r="L785" s="116"/>
      <c r="M785" s="116"/>
      <c r="N785" s="116"/>
      <c r="O785" s="389"/>
      <c r="P785" s="219"/>
      <c r="Q785" s="332"/>
      <c r="R785" s="332"/>
      <c r="S785" s="219"/>
      <c r="T785" s="332"/>
      <c r="U785" s="219"/>
      <c r="V785" s="332"/>
      <c r="W785" s="242"/>
      <c r="X785" s="332"/>
    </row>
    <row r="786" spans="1:24" ht="13">
      <c r="A786" s="7"/>
      <c r="C786" s="153"/>
      <c r="F786" s="332"/>
      <c r="G786" s="219"/>
      <c r="H786" s="116"/>
      <c r="I786" s="116"/>
      <c r="J786" s="116"/>
      <c r="K786" s="116"/>
      <c r="L786" s="116"/>
      <c r="M786" s="116"/>
      <c r="N786" s="116"/>
      <c r="O786" s="389"/>
      <c r="P786" s="219"/>
      <c r="Q786" s="332"/>
      <c r="R786" s="332"/>
      <c r="S786" s="219"/>
      <c r="T786" s="332"/>
      <c r="U786" s="219"/>
      <c r="V786" s="332"/>
      <c r="W786" s="242"/>
      <c r="X786" s="332"/>
    </row>
    <row r="787" spans="1:24" ht="13">
      <c r="A787" s="7"/>
      <c r="C787" s="153"/>
      <c r="F787" s="332"/>
      <c r="G787" s="219"/>
      <c r="H787" s="116"/>
      <c r="I787" s="116"/>
      <c r="J787" s="116"/>
      <c r="K787" s="116"/>
      <c r="L787" s="116"/>
      <c r="M787" s="116"/>
      <c r="N787" s="116"/>
      <c r="O787" s="389"/>
      <c r="P787" s="219"/>
      <c r="Q787" s="332"/>
      <c r="R787" s="332"/>
      <c r="S787" s="219"/>
      <c r="T787" s="332"/>
      <c r="U787" s="219"/>
      <c r="V787" s="332"/>
      <c r="W787" s="242"/>
      <c r="X787" s="332"/>
    </row>
    <row r="788" spans="1:24" ht="13">
      <c r="A788" s="7"/>
      <c r="C788" s="153"/>
      <c r="F788" s="332"/>
      <c r="G788" s="219"/>
      <c r="H788" s="116"/>
      <c r="I788" s="116"/>
      <c r="J788" s="116"/>
      <c r="K788" s="116"/>
      <c r="L788" s="116"/>
      <c r="M788" s="116"/>
      <c r="N788" s="116"/>
      <c r="O788" s="389"/>
      <c r="P788" s="219"/>
      <c r="Q788" s="332"/>
      <c r="R788" s="332"/>
      <c r="S788" s="219"/>
      <c r="T788" s="332"/>
      <c r="U788" s="219"/>
      <c r="V788" s="332"/>
      <c r="W788" s="242"/>
      <c r="X788" s="332"/>
    </row>
    <row r="789" spans="1:24" ht="13">
      <c r="A789" s="7"/>
      <c r="C789" s="153"/>
      <c r="F789" s="332"/>
      <c r="G789" s="219"/>
      <c r="H789" s="116"/>
      <c r="I789" s="116"/>
      <c r="J789" s="116"/>
      <c r="K789" s="116"/>
      <c r="L789" s="116"/>
      <c r="M789" s="116"/>
      <c r="N789" s="116"/>
      <c r="O789" s="389"/>
      <c r="P789" s="219"/>
      <c r="Q789" s="332"/>
      <c r="R789" s="332"/>
      <c r="S789" s="219"/>
      <c r="T789" s="332"/>
      <c r="U789" s="219"/>
      <c r="V789" s="332"/>
      <c r="W789" s="242"/>
      <c r="X789" s="332"/>
    </row>
    <row r="790" spans="1:24" ht="13">
      <c r="A790" s="7"/>
      <c r="C790" s="153"/>
      <c r="F790" s="332"/>
      <c r="G790" s="219"/>
      <c r="H790" s="116"/>
      <c r="I790" s="116"/>
      <c r="J790" s="116"/>
      <c r="K790" s="116"/>
      <c r="L790" s="116"/>
      <c r="M790" s="116"/>
      <c r="N790" s="116"/>
      <c r="O790" s="389"/>
      <c r="P790" s="219"/>
      <c r="Q790" s="332"/>
      <c r="R790" s="332"/>
      <c r="S790" s="219"/>
      <c r="T790" s="332"/>
      <c r="U790" s="219"/>
      <c r="V790" s="332"/>
      <c r="W790" s="242"/>
      <c r="X790" s="332"/>
    </row>
    <row r="791" spans="1:24" ht="13">
      <c r="A791" s="7"/>
      <c r="C791" s="153"/>
      <c r="F791" s="332"/>
      <c r="G791" s="219"/>
      <c r="H791" s="116"/>
      <c r="I791" s="116"/>
      <c r="J791" s="116"/>
      <c r="K791" s="116"/>
      <c r="L791" s="116"/>
      <c r="M791" s="116"/>
      <c r="N791" s="116"/>
      <c r="O791" s="389"/>
      <c r="P791" s="219"/>
      <c r="Q791" s="332"/>
      <c r="R791" s="332"/>
      <c r="S791" s="219"/>
      <c r="T791" s="332"/>
      <c r="U791" s="219"/>
      <c r="V791" s="332"/>
      <c r="W791" s="242"/>
      <c r="X791" s="332"/>
    </row>
    <row r="792" spans="1:24" ht="13">
      <c r="A792" s="7"/>
      <c r="C792" s="153"/>
      <c r="F792" s="332"/>
      <c r="G792" s="219"/>
      <c r="H792" s="116"/>
      <c r="I792" s="116"/>
      <c r="J792" s="116"/>
      <c r="K792" s="116"/>
      <c r="L792" s="116"/>
      <c r="M792" s="116"/>
      <c r="N792" s="116"/>
      <c r="O792" s="389"/>
      <c r="P792" s="219"/>
      <c r="Q792" s="332"/>
      <c r="R792" s="332"/>
      <c r="S792" s="219"/>
      <c r="T792" s="332"/>
      <c r="U792" s="219"/>
      <c r="V792" s="332"/>
      <c r="W792" s="242"/>
      <c r="X792" s="332"/>
    </row>
    <row r="793" spans="1:24" ht="13">
      <c r="A793" s="7"/>
      <c r="C793" s="153"/>
      <c r="F793" s="332"/>
      <c r="G793" s="219"/>
      <c r="H793" s="116"/>
      <c r="I793" s="116"/>
      <c r="J793" s="116"/>
      <c r="K793" s="116"/>
      <c r="L793" s="116"/>
      <c r="M793" s="116"/>
      <c r="N793" s="116"/>
      <c r="O793" s="389"/>
      <c r="P793" s="219"/>
      <c r="Q793" s="332"/>
      <c r="R793" s="332"/>
      <c r="S793" s="219"/>
      <c r="T793" s="332"/>
      <c r="U793" s="219"/>
      <c r="V793" s="332"/>
      <c r="W793" s="242"/>
      <c r="X793" s="332"/>
    </row>
    <row r="794" spans="1:24" ht="13">
      <c r="A794" s="7"/>
      <c r="C794" s="153"/>
      <c r="F794" s="332"/>
      <c r="G794" s="219"/>
      <c r="H794" s="116"/>
      <c r="I794" s="116"/>
      <c r="J794" s="116"/>
      <c r="K794" s="116"/>
      <c r="L794" s="116"/>
      <c r="M794" s="116"/>
      <c r="N794" s="116"/>
      <c r="O794" s="389"/>
      <c r="P794" s="219"/>
      <c r="Q794" s="332"/>
      <c r="R794" s="332"/>
      <c r="S794" s="219"/>
      <c r="T794" s="332"/>
      <c r="U794" s="219"/>
      <c r="V794" s="332"/>
      <c r="W794" s="242"/>
      <c r="X794" s="332"/>
    </row>
    <row r="795" spans="1:24" ht="13">
      <c r="A795" s="7"/>
      <c r="C795" s="153"/>
      <c r="F795" s="332"/>
      <c r="G795" s="219"/>
      <c r="H795" s="116"/>
      <c r="I795" s="116"/>
      <c r="J795" s="116"/>
      <c r="K795" s="116"/>
      <c r="L795" s="116"/>
      <c r="M795" s="116"/>
      <c r="N795" s="116"/>
      <c r="O795" s="389"/>
      <c r="P795" s="219"/>
      <c r="Q795" s="332"/>
      <c r="R795" s="332"/>
      <c r="S795" s="219"/>
      <c r="T795" s="332"/>
      <c r="U795" s="219"/>
      <c r="V795" s="332"/>
      <c r="W795" s="242"/>
      <c r="X795" s="332"/>
    </row>
    <row r="796" spans="1:24" ht="13">
      <c r="A796" s="7"/>
      <c r="C796" s="153"/>
      <c r="F796" s="332"/>
      <c r="G796" s="219"/>
      <c r="H796" s="116"/>
      <c r="I796" s="116"/>
      <c r="J796" s="116"/>
      <c r="K796" s="116"/>
      <c r="L796" s="116"/>
      <c r="M796" s="116"/>
      <c r="N796" s="116"/>
      <c r="O796" s="389"/>
      <c r="P796" s="219"/>
      <c r="Q796" s="332"/>
      <c r="R796" s="332"/>
      <c r="S796" s="219"/>
      <c r="T796" s="332"/>
      <c r="U796" s="219"/>
      <c r="V796" s="332"/>
      <c r="W796" s="242"/>
      <c r="X796" s="332"/>
    </row>
    <row r="797" spans="1:24" ht="13">
      <c r="A797" s="7"/>
      <c r="C797" s="153"/>
      <c r="F797" s="332"/>
      <c r="G797" s="219"/>
      <c r="H797" s="116"/>
      <c r="I797" s="116"/>
      <c r="J797" s="116"/>
      <c r="K797" s="116"/>
      <c r="L797" s="116"/>
      <c r="M797" s="116"/>
      <c r="N797" s="116"/>
      <c r="O797" s="389"/>
      <c r="P797" s="219"/>
      <c r="Q797" s="332"/>
      <c r="R797" s="332"/>
      <c r="S797" s="219"/>
      <c r="T797" s="332"/>
      <c r="U797" s="219"/>
      <c r="V797" s="332"/>
      <c r="W797" s="242"/>
      <c r="X797" s="332"/>
    </row>
    <row r="798" spans="1:24" ht="13">
      <c r="A798" s="7"/>
      <c r="C798" s="153"/>
      <c r="F798" s="332"/>
      <c r="G798" s="219"/>
      <c r="H798" s="116"/>
      <c r="I798" s="116"/>
      <c r="J798" s="116"/>
      <c r="K798" s="116"/>
      <c r="L798" s="116"/>
      <c r="M798" s="116"/>
      <c r="N798" s="116"/>
      <c r="O798" s="389"/>
      <c r="P798" s="219"/>
      <c r="Q798" s="332"/>
      <c r="R798" s="332"/>
      <c r="S798" s="219"/>
      <c r="T798" s="332"/>
      <c r="U798" s="219"/>
      <c r="V798" s="332"/>
      <c r="W798" s="242"/>
      <c r="X798" s="332"/>
    </row>
    <row r="799" spans="1:24" ht="13">
      <c r="A799" s="7"/>
      <c r="C799" s="153"/>
      <c r="F799" s="332"/>
      <c r="G799" s="219"/>
      <c r="H799" s="116"/>
      <c r="I799" s="116"/>
      <c r="J799" s="116"/>
      <c r="K799" s="116"/>
      <c r="L799" s="116"/>
      <c r="M799" s="116"/>
      <c r="N799" s="116"/>
      <c r="O799" s="389"/>
      <c r="P799" s="219"/>
      <c r="Q799" s="332"/>
      <c r="R799" s="332"/>
      <c r="S799" s="219"/>
      <c r="T799" s="332"/>
      <c r="U799" s="219"/>
      <c r="V799" s="332"/>
      <c r="W799" s="242"/>
      <c r="X799" s="332"/>
    </row>
    <row r="800" spans="1:24" ht="13">
      <c r="A800" s="7"/>
      <c r="C800" s="153"/>
      <c r="F800" s="332"/>
      <c r="G800" s="219"/>
      <c r="H800" s="116"/>
      <c r="I800" s="116"/>
      <c r="J800" s="116"/>
      <c r="K800" s="116"/>
      <c r="L800" s="116"/>
      <c r="M800" s="116"/>
      <c r="N800" s="116"/>
      <c r="O800" s="389"/>
      <c r="P800" s="219"/>
      <c r="Q800" s="332"/>
      <c r="R800" s="332"/>
      <c r="S800" s="219"/>
      <c r="T800" s="332"/>
      <c r="U800" s="219"/>
      <c r="V800" s="332"/>
      <c r="W800" s="242"/>
      <c r="X800" s="332"/>
    </row>
    <row r="801" spans="1:24" ht="13">
      <c r="A801" s="7"/>
      <c r="C801" s="153"/>
      <c r="F801" s="332"/>
      <c r="G801" s="219"/>
      <c r="H801" s="116"/>
      <c r="I801" s="116"/>
      <c r="J801" s="116"/>
      <c r="K801" s="116"/>
      <c r="L801" s="116"/>
      <c r="M801" s="116"/>
      <c r="N801" s="116"/>
      <c r="O801" s="389"/>
      <c r="P801" s="219"/>
      <c r="Q801" s="332"/>
      <c r="R801" s="332"/>
      <c r="S801" s="219"/>
      <c r="T801" s="332"/>
      <c r="U801" s="219"/>
      <c r="V801" s="332"/>
      <c r="W801" s="242"/>
      <c r="X801" s="332"/>
    </row>
    <row r="802" spans="1:24" ht="13">
      <c r="A802" s="7"/>
      <c r="C802" s="153"/>
      <c r="F802" s="332"/>
      <c r="G802" s="219"/>
      <c r="H802" s="116"/>
      <c r="I802" s="116"/>
      <c r="J802" s="116"/>
      <c r="K802" s="116"/>
      <c r="L802" s="116"/>
      <c r="M802" s="116"/>
      <c r="N802" s="116"/>
      <c r="O802" s="389"/>
      <c r="P802" s="219"/>
      <c r="Q802" s="332"/>
      <c r="R802" s="332"/>
      <c r="S802" s="219"/>
      <c r="T802" s="332"/>
      <c r="U802" s="219"/>
      <c r="V802" s="332"/>
      <c r="W802" s="242"/>
      <c r="X802" s="332"/>
    </row>
    <row r="803" spans="1:24" ht="13">
      <c r="A803" s="7"/>
      <c r="C803" s="153"/>
      <c r="F803" s="332"/>
      <c r="G803" s="219"/>
      <c r="H803" s="116"/>
      <c r="I803" s="116"/>
      <c r="J803" s="116"/>
      <c r="K803" s="116"/>
      <c r="L803" s="116"/>
      <c r="M803" s="116"/>
      <c r="N803" s="116"/>
      <c r="O803" s="389"/>
      <c r="P803" s="219"/>
      <c r="Q803" s="332"/>
      <c r="R803" s="332"/>
      <c r="S803" s="219"/>
      <c r="T803" s="332"/>
      <c r="U803" s="219"/>
      <c r="V803" s="332"/>
      <c r="W803" s="242"/>
      <c r="X803" s="332"/>
    </row>
    <row r="804" spans="1:24" ht="13">
      <c r="A804" s="7"/>
      <c r="C804" s="153"/>
      <c r="F804" s="332"/>
      <c r="G804" s="219"/>
      <c r="H804" s="116"/>
      <c r="I804" s="116"/>
      <c r="J804" s="116"/>
      <c r="K804" s="116"/>
      <c r="L804" s="116"/>
      <c r="M804" s="116"/>
      <c r="N804" s="116"/>
      <c r="O804" s="389"/>
      <c r="P804" s="219"/>
      <c r="Q804" s="332"/>
      <c r="R804" s="332"/>
      <c r="S804" s="219"/>
      <c r="T804" s="332"/>
      <c r="U804" s="219"/>
      <c r="V804" s="332"/>
      <c r="W804" s="242"/>
      <c r="X804" s="332"/>
    </row>
    <row r="805" spans="1:24" ht="13">
      <c r="A805" s="7"/>
      <c r="C805" s="153"/>
      <c r="F805" s="332"/>
      <c r="G805" s="219"/>
      <c r="H805" s="116"/>
      <c r="I805" s="116"/>
      <c r="J805" s="116"/>
      <c r="K805" s="116"/>
      <c r="L805" s="116"/>
      <c r="M805" s="116"/>
      <c r="N805" s="116"/>
      <c r="O805" s="389"/>
      <c r="P805" s="219"/>
      <c r="Q805" s="332"/>
      <c r="R805" s="332"/>
      <c r="S805" s="219"/>
      <c r="T805" s="332"/>
      <c r="U805" s="219"/>
      <c r="V805" s="332"/>
      <c r="W805" s="242"/>
      <c r="X805" s="332"/>
    </row>
    <row r="806" spans="1:24" ht="13">
      <c r="A806" s="7"/>
      <c r="C806" s="153"/>
      <c r="F806" s="332"/>
      <c r="G806" s="219"/>
      <c r="H806" s="116"/>
      <c r="I806" s="116"/>
      <c r="J806" s="116"/>
      <c r="K806" s="116"/>
      <c r="L806" s="116"/>
      <c r="M806" s="116"/>
      <c r="N806" s="116"/>
      <c r="O806" s="389"/>
      <c r="P806" s="219"/>
      <c r="Q806" s="332"/>
      <c r="R806" s="332"/>
      <c r="S806" s="219"/>
      <c r="T806" s="332"/>
      <c r="U806" s="219"/>
      <c r="V806" s="332"/>
      <c r="W806" s="242"/>
      <c r="X806" s="332"/>
    </row>
    <row r="807" spans="1:24" ht="13">
      <c r="A807" s="7"/>
      <c r="C807" s="153"/>
      <c r="F807" s="332"/>
      <c r="G807" s="219"/>
      <c r="H807" s="116"/>
      <c r="I807" s="116"/>
      <c r="J807" s="116"/>
      <c r="K807" s="116"/>
      <c r="L807" s="116"/>
      <c r="M807" s="116"/>
      <c r="N807" s="116"/>
      <c r="O807" s="389"/>
      <c r="P807" s="219"/>
      <c r="Q807" s="332"/>
      <c r="R807" s="332"/>
      <c r="S807" s="219"/>
      <c r="T807" s="332"/>
      <c r="U807" s="219"/>
      <c r="V807" s="332"/>
      <c r="W807" s="242"/>
      <c r="X807" s="332"/>
    </row>
    <row r="808" spans="1:24" ht="13">
      <c r="A808" s="7"/>
      <c r="C808" s="153"/>
      <c r="F808" s="332"/>
      <c r="G808" s="219"/>
      <c r="H808" s="116"/>
      <c r="I808" s="116"/>
      <c r="J808" s="116"/>
      <c r="K808" s="116"/>
      <c r="L808" s="116"/>
      <c r="M808" s="116"/>
      <c r="N808" s="116"/>
      <c r="O808" s="389"/>
      <c r="P808" s="219"/>
      <c r="Q808" s="332"/>
      <c r="R808" s="332"/>
      <c r="S808" s="219"/>
      <c r="T808" s="332"/>
      <c r="U808" s="219"/>
      <c r="V808" s="332"/>
      <c r="W808" s="242"/>
      <c r="X808" s="332"/>
    </row>
    <row r="809" spans="1:24" ht="13">
      <c r="A809" s="7"/>
      <c r="C809" s="153"/>
      <c r="F809" s="332"/>
      <c r="G809" s="219"/>
      <c r="H809" s="116"/>
      <c r="I809" s="116"/>
      <c r="J809" s="116"/>
      <c r="K809" s="116"/>
      <c r="L809" s="116"/>
      <c r="M809" s="116"/>
      <c r="N809" s="116"/>
      <c r="O809" s="389"/>
      <c r="P809" s="219"/>
      <c r="Q809" s="332"/>
      <c r="R809" s="332"/>
      <c r="S809" s="219"/>
      <c r="T809" s="332"/>
      <c r="U809" s="219"/>
      <c r="V809" s="332"/>
      <c r="W809" s="242"/>
      <c r="X809" s="332"/>
    </row>
    <row r="810" spans="1:24" ht="13">
      <c r="A810" s="7"/>
      <c r="C810" s="153"/>
      <c r="F810" s="332"/>
      <c r="G810" s="219"/>
      <c r="H810" s="116"/>
      <c r="I810" s="116"/>
      <c r="J810" s="116"/>
      <c r="K810" s="116"/>
      <c r="L810" s="116"/>
      <c r="M810" s="116"/>
      <c r="N810" s="116"/>
      <c r="O810" s="389"/>
      <c r="P810" s="219"/>
      <c r="Q810" s="332"/>
      <c r="R810" s="332"/>
      <c r="S810" s="219"/>
      <c r="T810" s="332"/>
      <c r="U810" s="219"/>
      <c r="V810" s="332"/>
      <c r="W810" s="242"/>
      <c r="X810" s="332"/>
    </row>
    <row r="811" spans="1:24" ht="13">
      <c r="A811" s="7"/>
      <c r="C811" s="153"/>
      <c r="F811" s="332"/>
      <c r="G811" s="219"/>
      <c r="H811" s="116"/>
      <c r="I811" s="116"/>
      <c r="J811" s="116"/>
      <c r="K811" s="116"/>
      <c r="L811" s="116"/>
      <c r="M811" s="116"/>
      <c r="N811" s="116"/>
      <c r="O811" s="389"/>
      <c r="P811" s="219"/>
      <c r="Q811" s="332"/>
      <c r="R811" s="332"/>
      <c r="S811" s="219"/>
      <c r="T811" s="332"/>
      <c r="U811" s="219"/>
      <c r="V811" s="332"/>
      <c r="W811" s="242"/>
      <c r="X811" s="332"/>
    </row>
    <row r="812" spans="1:24" ht="13">
      <c r="A812" s="7"/>
      <c r="C812" s="153"/>
      <c r="F812" s="332"/>
      <c r="G812" s="219"/>
      <c r="H812" s="116"/>
      <c r="I812" s="116"/>
      <c r="J812" s="116"/>
      <c r="K812" s="116"/>
      <c r="L812" s="116"/>
      <c r="M812" s="116"/>
      <c r="N812" s="116"/>
      <c r="O812" s="389"/>
      <c r="P812" s="219"/>
      <c r="Q812" s="332"/>
      <c r="R812" s="332"/>
      <c r="S812" s="219"/>
      <c r="T812" s="332"/>
      <c r="U812" s="219"/>
      <c r="V812" s="332"/>
      <c r="W812" s="242"/>
      <c r="X812" s="332"/>
    </row>
    <row r="813" spans="1:24" ht="13">
      <c r="A813" s="7"/>
      <c r="C813" s="153"/>
      <c r="F813" s="332"/>
      <c r="G813" s="219"/>
      <c r="H813" s="116"/>
      <c r="I813" s="116"/>
      <c r="J813" s="116"/>
      <c r="K813" s="116"/>
      <c r="L813" s="116"/>
      <c r="M813" s="116"/>
      <c r="N813" s="116"/>
      <c r="O813" s="389"/>
      <c r="P813" s="219"/>
      <c r="Q813" s="332"/>
      <c r="R813" s="332"/>
      <c r="S813" s="219"/>
      <c r="T813" s="332"/>
      <c r="U813" s="219"/>
      <c r="V813" s="332"/>
      <c r="W813" s="242"/>
      <c r="X813" s="332"/>
    </row>
    <row r="814" spans="1:24" ht="13">
      <c r="A814" s="7"/>
      <c r="C814" s="153"/>
      <c r="F814" s="332"/>
      <c r="G814" s="219"/>
      <c r="H814" s="116"/>
      <c r="I814" s="116"/>
      <c r="J814" s="116"/>
      <c r="K814" s="116"/>
      <c r="L814" s="116"/>
      <c r="M814" s="116"/>
      <c r="N814" s="116"/>
      <c r="O814" s="389"/>
      <c r="P814" s="219"/>
      <c r="Q814" s="332"/>
      <c r="R814" s="332"/>
      <c r="S814" s="219"/>
      <c r="T814" s="332"/>
      <c r="U814" s="219"/>
      <c r="V814" s="332"/>
      <c r="W814" s="242"/>
      <c r="X814" s="332"/>
    </row>
    <row r="815" spans="1:24" ht="13">
      <c r="A815" s="7"/>
      <c r="C815" s="153"/>
      <c r="F815" s="332"/>
      <c r="G815" s="219"/>
      <c r="H815" s="116"/>
      <c r="I815" s="116"/>
      <c r="J815" s="116"/>
      <c r="K815" s="116"/>
      <c r="L815" s="116"/>
      <c r="M815" s="116"/>
      <c r="N815" s="116"/>
      <c r="O815" s="389"/>
      <c r="P815" s="219"/>
      <c r="Q815" s="332"/>
      <c r="R815" s="332"/>
      <c r="S815" s="219"/>
      <c r="T815" s="332"/>
      <c r="U815" s="219"/>
      <c r="V815" s="332"/>
      <c r="W815" s="242"/>
      <c r="X815" s="332"/>
    </row>
    <row r="816" spans="1:24" ht="13">
      <c r="A816" s="7"/>
      <c r="C816" s="153"/>
      <c r="F816" s="332"/>
      <c r="G816" s="219"/>
      <c r="H816" s="116"/>
      <c r="I816" s="116"/>
      <c r="J816" s="116"/>
      <c r="K816" s="116"/>
      <c r="L816" s="116"/>
      <c r="M816" s="116"/>
      <c r="N816" s="116"/>
      <c r="O816" s="389"/>
      <c r="P816" s="219"/>
      <c r="Q816" s="332"/>
      <c r="R816" s="332"/>
      <c r="S816" s="219"/>
      <c r="T816" s="332"/>
      <c r="U816" s="219"/>
      <c r="V816" s="332"/>
      <c r="W816" s="242"/>
      <c r="X816" s="332"/>
    </row>
    <row r="817" spans="1:24" ht="13">
      <c r="A817" s="7"/>
      <c r="C817" s="153"/>
      <c r="F817" s="332"/>
      <c r="G817" s="219"/>
      <c r="H817" s="116"/>
      <c r="I817" s="116"/>
      <c r="J817" s="116"/>
      <c r="K817" s="116"/>
      <c r="L817" s="116"/>
      <c r="M817" s="116"/>
      <c r="N817" s="116"/>
      <c r="O817" s="389"/>
      <c r="P817" s="219"/>
      <c r="Q817" s="332"/>
      <c r="R817" s="332"/>
      <c r="S817" s="219"/>
      <c r="T817" s="332"/>
      <c r="U817" s="219"/>
      <c r="V817" s="332"/>
      <c r="W817" s="242"/>
      <c r="X817" s="332"/>
    </row>
    <row r="818" spans="1:24" ht="13">
      <c r="A818" s="7"/>
      <c r="C818" s="153"/>
      <c r="F818" s="332"/>
      <c r="G818" s="219"/>
      <c r="H818" s="116"/>
      <c r="I818" s="116"/>
      <c r="J818" s="116"/>
      <c r="K818" s="116"/>
      <c r="L818" s="116"/>
      <c r="M818" s="116"/>
      <c r="N818" s="116"/>
      <c r="O818" s="389"/>
      <c r="P818" s="219"/>
      <c r="Q818" s="332"/>
      <c r="R818" s="332"/>
      <c r="S818" s="219"/>
      <c r="T818" s="332"/>
      <c r="U818" s="219"/>
      <c r="V818" s="332"/>
      <c r="W818" s="242"/>
      <c r="X818" s="332"/>
    </row>
    <row r="819" spans="1:24" ht="13">
      <c r="A819" s="7"/>
      <c r="C819" s="153"/>
      <c r="F819" s="332"/>
      <c r="G819" s="219"/>
      <c r="H819" s="116"/>
      <c r="I819" s="116"/>
      <c r="J819" s="116"/>
      <c r="K819" s="116"/>
      <c r="L819" s="116"/>
      <c r="M819" s="116"/>
      <c r="N819" s="116"/>
      <c r="O819" s="389"/>
      <c r="P819" s="219"/>
      <c r="Q819" s="332"/>
      <c r="R819" s="332"/>
      <c r="S819" s="219"/>
      <c r="T819" s="332"/>
      <c r="U819" s="219"/>
      <c r="V819" s="332"/>
      <c r="W819" s="242"/>
      <c r="X819" s="332"/>
    </row>
    <row r="820" spans="1:24" ht="13">
      <c r="A820" s="7"/>
      <c r="C820" s="153"/>
      <c r="F820" s="332"/>
      <c r="G820" s="219"/>
      <c r="H820" s="116"/>
      <c r="I820" s="116"/>
      <c r="J820" s="116"/>
      <c r="K820" s="116"/>
      <c r="L820" s="116"/>
      <c r="M820" s="116"/>
      <c r="N820" s="116"/>
      <c r="O820" s="389"/>
      <c r="P820" s="219"/>
      <c r="Q820" s="332"/>
      <c r="R820" s="332"/>
      <c r="S820" s="219"/>
      <c r="T820" s="332"/>
      <c r="U820" s="219"/>
      <c r="V820" s="332"/>
      <c r="W820" s="242"/>
      <c r="X820" s="332"/>
    </row>
    <row r="821" spans="1:24" ht="13">
      <c r="A821" s="7"/>
      <c r="C821" s="153"/>
      <c r="F821" s="332"/>
      <c r="G821" s="219"/>
      <c r="H821" s="116"/>
      <c r="I821" s="116"/>
      <c r="J821" s="116"/>
      <c r="K821" s="116"/>
      <c r="L821" s="116"/>
      <c r="M821" s="116"/>
      <c r="N821" s="116"/>
      <c r="O821" s="389"/>
      <c r="P821" s="219"/>
      <c r="Q821" s="332"/>
      <c r="R821" s="332"/>
      <c r="S821" s="219"/>
      <c r="T821" s="332"/>
      <c r="U821" s="219"/>
      <c r="V821" s="332"/>
      <c r="W821" s="242"/>
      <c r="X821" s="332"/>
    </row>
    <row r="822" spans="1:24" ht="13">
      <c r="A822" s="7"/>
      <c r="C822" s="153"/>
      <c r="F822" s="332"/>
      <c r="G822" s="219"/>
      <c r="H822" s="116"/>
      <c r="I822" s="116"/>
      <c r="J822" s="116"/>
      <c r="K822" s="116"/>
      <c r="L822" s="116"/>
      <c r="M822" s="116"/>
      <c r="N822" s="116"/>
      <c r="O822" s="389"/>
      <c r="P822" s="219"/>
      <c r="Q822" s="332"/>
      <c r="R822" s="332"/>
      <c r="S822" s="219"/>
      <c r="T822" s="332"/>
      <c r="U822" s="219"/>
      <c r="V822" s="332"/>
      <c r="W822" s="242"/>
      <c r="X822" s="332"/>
    </row>
    <row r="823" spans="1:24" ht="13">
      <c r="A823" s="7"/>
      <c r="C823" s="153"/>
      <c r="F823" s="332"/>
      <c r="G823" s="219"/>
      <c r="H823" s="116"/>
      <c r="I823" s="116"/>
      <c r="J823" s="116"/>
      <c r="K823" s="116"/>
      <c r="L823" s="116"/>
      <c r="M823" s="116"/>
      <c r="N823" s="116"/>
      <c r="O823" s="389"/>
      <c r="P823" s="219"/>
      <c r="Q823" s="332"/>
      <c r="R823" s="332"/>
      <c r="S823" s="219"/>
      <c r="T823" s="332"/>
      <c r="U823" s="219"/>
      <c r="V823" s="332"/>
      <c r="W823" s="242"/>
      <c r="X823" s="332"/>
    </row>
    <row r="824" spans="1:24" ht="13">
      <c r="A824" s="7"/>
      <c r="C824" s="153"/>
      <c r="F824" s="332"/>
      <c r="G824" s="219"/>
      <c r="H824" s="116"/>
      <c r="I824" s="116"/>
      <c r="J824" s="116"/>
      <c r="K824" s="116"/>
      <c r="L824" s="116"/>
      <c r="M824" s="116"/>
      <c r="N824" s="116"/>
      <c r="O824" s="389"/>
      <c r="P824" s="219"/>
      <c r="Q824" s="332"/>
      <c r="R824" s="332"/>
      <c r="S824" s="219"/>
      <c r="T824" s="332"/>
      <c r="U824" s="219"/>
      <c r="V824" s="332"/>
      <c r="W824" s="242"/>
      <c r="X824" s="332"/>
    </row>
    <row r="825" spans="1:24" ht="13">
      <c r="A825" s="7"/>
      <c r="C825" s="153"/>
      <c r="F825" s="332"/>
      <c r="G825" s="219"/>
      <c r="H825" s="116"/>
      <c r="I825" s="116"/>
      <c r="J825" s="116"/>
      <c r="K825" s="116"/>
      <c r="L825" s="116"/>
      <c r="M825" s="116"/>
      <c r="N825" s="116"/>
      <c r="O825" s="389"/>
      <c r="P825" s="219"/>
      <c r="Q825" s="332"/>
      <c r="R825" s="332"/>
      <c r="S825" s="219"/>
      <c r="T825" s="332"/>
      <c r="U825" s="219"/>
      <c r="V825" s="332"/>
      <c r="W825" s="242"/>
      <c r="X825" s="332"/>
    </row>
    <row r="826" spans="1:24" ht="13">
      <c r="A826" s="7"/>
      <c r="C826" s="153"/>
      <c r="F826" s="332"/>
      <c r="G826" s="219"/>
      <c r="H826" s="116"/>
      <c r="I826" s="116"/>
      <c r="J826" s="116"/>
      <c r="K826" s="116"/>
      <c r="L826" s="116"/>
      <c r="M826" s="116"/>
      <c r="N826" s="116"/>
      <c r="O826" s="389"/>
      <c r="P826" s="219"/>
      <c r="Q826" s="332"/>
      <c r="R826" s="332"/>
      <c r="S826" s="219"/>
      <c r="T826" s="332"/>
      <c r="U826" s="219"/>
      <c r="V826" s="332"/>
      <c r="W826" s="242"/>
      <c r="X826" s="332"/>
    </row>
    <row r="827" spans="1:24" ht="13">
      <c r="A827" s="7"/>
      <c r="C827" s="153"/>
      <c r="F827" s="332"/>
      <c r="G827" s="219"/>
      <c r="H827" s="116"/>
      <c r="I827" s="116"/>
      <c r="J827" s="116"/>
      <c r="K827" s="116"/>
      <c r="L827" s="116"/>
      <c r="M827" s="116"/>
      <c r="N827" s="116"/>
      <c r="O827" s="389"/>
      <c r="P827" s="219"/>
      <c r="Q827" s="332"/>
      <c r="R827" s="332"/>
      <c r="S827" s="219"/>
      <c r="T827" s="332"/>
      <c r="U827" s="219"/>
      <c r="V827" s="332"/>
      <c r="W827" s="242"/>
      <c r="X827" s="332"/>
    </row>
    <row r="828" spans="1:24" ht="13">
      <c r="A828" s="7"/>
      <c r="C828" s="153"/>
      <c r="F828" s="332"/>
      <c r="G828" s="219"/>
      <c r="H828" s="116"/>
      <c r="I828" s="116"/>
      <c r="J828" s="116"/>
      <c r="K828" s="116"/>
      <c r="L828" s="116"/>
      <c r="M828" s="116"/>
      <c r="N828" s="116"/>
      <c r="O828" s="389"/>
      <c r="P828" s="219"/>
      <c r="Q828" s="332"/>
      <c r="R828" s="332"/>
      <c r="S828" s="219"/>
      <c r="T828" s="332"/>
      <c r="U828" s="219"/>
      <c r="V828" s="332"/>
      <c r="W828" s="242"/>
      <c r="X828" s="332"/>
    </row>
    <row r="829" spans="1:24" ht="13">
      <c r="A829" s="7"/>
      <c r="C829" s="153"/>
      <c r="F829" s="332"/>
      <c r="G829" s="219"/>
      <c r="H829" s="116"/>
      <c r="I829" s="116"/>
      <c r="J829" s="116"/>
      <c r="K829" s="116"/>
      <c r="L829" s="116"/>
      <c r="M829" s="116"/>
      <c r="N829" s="116"/>
      <c r="O829" s="389"/>
      <c r="P829" s="219"/>
      <c r="Q829" s="332"/>
      <c r="R829" s="332"/>
      <c r="S829" s="219"/>
      <c r="T829" s="332"/>
      <c r="U829" s="219"/>
      <c r="V829" s="332"/>
      <c r="W829" s="242"/>
      <c r="X829" s="332"/>
    </row>
    <row r="830" spans="1:24" ht="13">
      <c r="A830" s="7"/>
      <c r="C830" s="153"/>
      <c r="F830" s="332"/>
      <c r="G830" s="219"/>
      <c r="H830" s="116"/>
      <c r="I830" s="116"/>
      <c r="J830" s="116"/>
      <c r="K830" s="116"/>
      <c r="L830" s="116"/>
      <c r="M830" s="116"/>
      <c r="N830" s="116"/>
      <c r="O830" s="389"/>
      <c r="P830" s="219"/>
      <c r="Q830" s="332"/>
      <c r="R830" s="332"/>
      <c r="S830" s="219"/>
      <c r="T830" s="332"/>
      <c r="U830" s="219"/>
      <c r="V830" s="332"/>
      <c r="W830" s="242"/>
      <c r="X830" s="332"/>
    </row>
    <row r="831" spans="1:24" ht="13">
      <c r="A831" s="7"/>
      <c r="C831" s="153"/>
      <c r="F831" s="332"/>
      <c r="G831" s="219"/>
      <c r="H831" s="116"/>
      <c r="I831" s="116"/>
      <c r="J831" s="116"/>
      <c r="K831" s="116"/>
      <c r="L831" s="116"/>
      <c r="M831" s="116"/>
      <c r="N831" s="116"/>
      <c r="O831" s="389"/>
      <c r="P831" s="219"/>
      <c r="Q831" s="332"/>
      <c r="R831" s="332"/>
      <c r="S831" s="219"/>
      <c r="T831" s="332"/>
      <c r="U831" s="219"/>
      <c r="V831" s="332"/>
      <c r="W831" s="242"/>
      <c r="X831" s="332"/>
    </row>
    <row r="832" spans="1:24" ht="13">
      <c r="A832" s="7"/>
      <c r="C832" s="153"/>
      <c r="F832" s="332"/>
      <c r="G832" s="219"/>
      <c r="H832" s="116"/>
      <c r="I832" s="116"/>
      <c r="J832" s="116"/>
      <c r="K832" s="116"/>
      <c r="L832" s="116"/>
      <c r="M832" s="116"/>
      <c r="N832" s="116"/>
      <c r="O832" s="389"/>
      <c r="P832" s="219"/>
      <c r="Q832" s="332"/>
      <c r="R832" s="332"/>
      <c r="S832" s="219"/>
      <c r="T832" s="332"/>
      <c r="U832" s="219"/>
      <c r="V832" s="332"/>
      <c r="W832" s="242"/>
      <c r="X832" s="332"/>
    </row>
    <row r="833" spans="1:24" ht="13">
      <c r="A833" s="7"/>
      <c r="C833" s="153"/>
      <c r="F833" s="332"/>
      <c r="G833" s="219"/>
      <c r="H833" s="116"/>
      <c r="I833" s="116"/>
      <c r="J833" s="116"/>
      <c r="K833" s="116"/>
      <c r="L833" s="116"/>
      <c r="M833" s="116"/>
      <c r="N833" s="116"/>
      <c r="O833" s="389"/>
      <c r="P833" s="219"/>
      <c r="Q833" s="332"/>
      <c r="R833" s="332"/>
      <c r="S833" s="219"/>
      <c r="T833" s="332"/>
      <c r="U833" s="219"/>
      <c r="V833" s="332"/>
      <c r="W833" s="242"/>
      <c r="X833" s="332"/>
    </row>
    <row r="834" spans="1:24" ht="13">
      <c r="A834" s="7"/>
      <c r="C834" s="153"/>
      <c r="F834" s="332"/>
      <c r="G834" s="219"/>
      <c r="H834" s="116"/>
      <c r="I834" s="116"/>
      <c r="J834" s="116"/>
      <c r="K834" s="116"/>
      <c r="L834" s="116"/>
      <c r="M834" s="116"/>
      <c r="N834" s="116"/>
      <c r="O834" s="389"/>
      <c r="P834" s="219"/>
      <c r="Q834" s="332"/>
      <c r="R834" s="332"/>
      <c r="S834" s="219"/>
      <c r="T834" s="332"/>
      <c r="U834" s="219"/>
      <c r="V834" s="332"/>
      <c r="W834" s="242"/>
      <c r="X834" s="332"/>
    </row>
    <row r="835" spans="1:24" ht="13">
      <c r="A835" s="7"/>
      <c r="C835" s="153"/>
      <c r="F835" s="332"/>
      <c r="G835" s="219"/>
      <c r="H835" s="116"/>
      <c r="I835" s="116"/>
      <c r="J835" s="116"/>
      <c r="K835" s="116"/>
      <c r="L835" s="116"/>
      <c r="M835" s="116"/>
      <c r="N835" s="116"/>
      <c r="O835" s="389"/>
      <c r="P835" s="219"/>
      <c r="Q835" s="332"/>
      <c r="R835" s="332"/>
      <c r="S835" s="219"/>
      <c r="T835" s="332"/>
      <c r="U835" s="219"/>
      <c r="V835" s="332"/>
      <c r="W835" s="242"/>
      <c r="X835" s="332"/>
    </row>
    <row r="836" spans="1:24" ht="13">
      <c r="A836" s="7"/>
      <c r="C836" s="153"/>
      <c r="F836" s="332"/>
      <c r="G836" s="219"/>
      <c r="H836" s="116"/>
      <c r="I836" s="116"/>
      <c r="J836" s="116"/>
      <c r="K836" s="116"/>
      <c r="L836" s="116"/>
      <c r="M836" s="116"/>
      <c r="N836" s="116"/>
      <c r="O836" s="389"/>
      <c r="P836" s="219"/>
      <c r="Q836" s="332"/>
      <c r="R836" s="332"/>
      <c r="S836" s="219"/>
      <c r="T836" s="332"/>
      <c r="U836" s="219"/>
      <c r="V836" s="332"/>
      <c r="W836" s="242"/>
      <c r="X836" s="332"/>
    </row>
    <row r="837" spans="1:24" ht="13">
      <c r="A837" s="7"/>
      <c r="C837" s="153"/>
      <c r="F837" s="332"/>
      <c r="G837" s="219"/>
      <c r="H837" s="116"/>
      <c r="I837" s="116"/>
      <c r="J837" s="116"/>
      <c r="K837" s="116"/>
      <c r="L837" s="116"/>
      <c r="M837" s="116"/>
      <c r="N837" s="116"/>
      <c r="O837" s="389"/>
      <c r="P837" s="219"/>
      <c r="Q837" s="332"/>
      <c r="R837" s="332"/>
      <c r="S837" s="219"/>
      <c r="T837" s="332"/>
      <c r="U837" s="219"/>
      <c r="V837" s="332"/>
      <c r="W837" s="242"/>
      <c r="X837" s="332"/>
    </row>
    <row r="838" spans="1:24" ht="13">
      <c r="A838" s="7"/>
      <c r="C838" s="153"/>
      <c r="F838" s="332"/>
      <c r="G838" s="219"/>
      <c r="H838" s="116"/>
      <c r="I838" s="116"/>
      <c r="J838" s="116"/>
      <c r="K838" s="116"/>
      <c r="L838" s="116"/>
      <c r="M838" s="116"/>
      <c r="N838" s="116"/>
      <c r="O838" s="389"/>
      <c r="P838" s="219"/>
      <c r="Q838" s="332"/>
      <c r="R838" s="332"/>
      <c r="S838" s="219"/>
      <c r="T838" s="332"/>
      <c r="U838" s="219"/>
      <c r="V838" s="332"/>
      <c r="W838" s="242"/>
      <c r="X838" s="332"/>
    </row>
    <row r="839" spans="1:24" ht="13">
      <c r="A839" s="7"/>
      <c r="C839" s="153"/>
      <c r="F839" s="332"/>
      <c r="G839" s="219"/>
      <c r="H839" s="116"/>
      <c r="I839" s="116"/>
      <c r="J839" s="116"/>
      <c r="K839" s="116"/>
      <c r="L839" s="116"/>
      <c r="M839" s="116"/>
      <c r="N839" s="116"/>
      <c r="O839" s="389"/>
      <c r="P839" s="219"/>
      <c r="Q839" s="332"/>
      <c r="R839" s="332"/>
      <c r="S839" s="219"/>
      <c r="T839" s="332"/>
      <c r="U839" s="219"/>
      <c r="V839" s="332"/>
      <c r="W839" s="242"/>
      <c r="X839" s="332"/>
    </row>
    <row r="840" spans="1:24" ht="13">
      <c r="A840" s="7"/>
      <c r="C840" s="153"/>
      <c r="F840" s="332"/>
      <c r="G840" s="219"/>
      <c r="H840" s="116"/>
      <c r="I840" s="116"/>
      <c r="J840" s="116"/>
      <c r="K840" s="116"/>
      <c r="L840" s="116"/>
      <c r="M840" s="116"/>
      <c r="N840" s="116"/>
      <c r="O840" s="389"/>
      <c r="P840" s="219"/>
      <c r="Q840" s="332"/>
      <c r="R840" s="332"/>
      <c r="S840" s="219"/>
      <c r="T840" s="332"/>
      <c r="U840" s="219"/>
      <c r="V840" s="332"/>
      <c r="W840" s="242"/>
      <c r="X840" s="332"/>
    </row>
    <row r="841" spans="1:24" ht="13">
      <c r="A841" s="7"/>
      <c r="C841" s="153"/>
      <c r="F841" s="332"/>
      <c r="G841" s="219"/>
      <c r="H841" s="116"/>
      <c r="I841" s="116"/>
      <c r="J841" s="116"/>
      <c r="K841" s="116"/>
      <c r="L841" s="116"/>
      <c r="M841" s="116"/>
      <c r="N841" s="116"/>
      <c r="O841" s="389"/>
      <c r="P841" s="219"/>
      <c r="Q841" s="332"/>
      <c r="R841" s="332"/>
      <c r="S841" s="219"/>
      <c r="T841" s="332"/>
      <c r="U841" s="219"/>
      <c r="V841" s="332"/>
      <c r="W841" s="242"/>
      <c r="X841" s="332"/>
    </row>
    <row r="842" spans="1:24" ht="13">
      <c r="A842" s="7"/>
      <c r="C842" s="153"/>
      <c r="F842" s="332"/>
      <c r="G842" s="219"/>
      <c r="H842" s="116"/>
      <c r="I842" s="116"/>
      <c r="J842" s="116"/>
      <c r="K842" s="116"/>
      <c r="L842" s="116"/>
      <c r="M842" s="116"/>
      <c r="N842" s="116"/>
      <c r="O842" s="389"/>
      <c r="P842" s="219"/>
      <c r="Q842" s="332"/>
      <c r="R842" s="332"/>
      <c r="S842" s="219"/>
      <c r="T842" s="332"/>
      <c r="U842" s="219"/>
      <c r="V842" s="332"/>
      <c r="W842" s="242"/>
      <c r="X842" s="332"/>
    </row>
    <row r="843" spans="1:24" ht="13">
      <c r="A843" s="7"/>
      <c r="C843" s="153"/>
      <c r="F843" s="332"/>
      <c r="G843" s="219"/>
      <c r="H843" s="116"/>
      <c r="I843" s="116"/>
      <c r="J843" s="116"/>
      <c r="K843" s="116"/>
      <c r="L843" s="116"/>
      <c r="M843" s="116"/>
      <c r="N843" s="116"/>
      <c r="O843" s="389"/>
      <c r="P843" s="219"/>
      <c r="Q843" s="332"/>
      <c r="R843" s="332"/>
      <c r="S843" s="219"/>
      <c r="T843" s="332"/>
      <c r="U843" s="219"/>
      <c r="V843" s="332"/>
      <c r="W843" s="242"/>
      <c r="X843" s="332"/>
    </row>
    <row r="844" spans="1:24" ht="13">
      <c r="A844" s="7"/>
      <c r="C844" s="153"/>
      <c r="F844" s="332"/>
      <c r="G844" s="219"/>
      <c r="H844" s="116"/>
      <c r="I844" s="116"/>
      <c r="J844" s="116"/>
      <c r="K844" s="116"/>
      <c r="L844" s="116"/>
      <c r="M844" s="116"/>
      <c r="N844" s="116"/>
      <c r="O844" s="389"/>
      <c r="P844" s="219"/>
      <c r="Q844" s="332"/>
      <c r="R844" s="332"/>
      <c r="S844" s="219"/>
      <c r="T844" s="332"/>
      <c r="U844" s="219"/>
      <c r="V844" s="332"/>
      <c r="W844" s="242"/>
      <c r="X844" s="332"/>
    </row>
    <row r="845" spans="1:24" ht="13">
      <c r="A845" s="7"/>
      <c r="C845" s="153"/>
      <c r="F845" s="332"/>
      <c r="G845" s="219"/>
      <c r="H845" s="116"/>
      <c r="I845" s="116"/>
      <c r="J845" s="116"/>
      <c r="K845" s="116"/>
      <c r="L845" s="116"/>
      <c r="M845" s="116"/>
      <c r="N845" s="116"/>
      <c r="O845" s="389"/>
      <c r="P845" s="219"/>
      <c r="Q845" s="332"/>
      <c r="R845" s="332"/>
      <c r="S845" s="219"/>
      <c r="T845" s="332"/>
      <c r="U845" s="219"/>
      <c r="V845" s="332"/>
      <c r="W845" s="242"/>
      <c r="X845" s="332"/>
    </row>
    <row r="846" spans="1:24" ht="13">
      <c r="A846" s="7"/>
      <c r="C846" s="153"/>
      <c r="F846" s="332"/>
      <c r="G846" s="219"/>
      <c r="H846" s="116"/>
      <c r="I846" s="116"/>
      <c r="J846" s="116"/>
      <c r="K846" s="116"/>
      <c r="L846" s="116"/>
      <c r="M846" s="116"/>
      <c r="N846" s="116"/>
      <c r="O846" s="389"/>
      <c r="P846" s="219"/>
      <c r="Q846" s="332"/>
      <c r="R846" s="332"/>
      <c r="S846" s="219"/>
      <c r="T846" s="332"/>
      <c r="U846" s="219"/>
      <c r="V846" s="332"/>
      <c r="W846" s="242"/>
      <c r="X846" s="332"/>
    </row>
    <row r="847" spans="1:24" ht="13">
      <c r="A847" s="7"/>
      <c r="C847" s="153"/>
      <c r="F847" s="332"/>
      <c r="G847" s="219"/>
      <c r="H847" s="116"/>
      <c r="I847" s="116"/>
      <c r="J847" s="116"/>
      <c r="K847" s="116"/>
      <c r="L847" s="116"/>
      <c r="M847" s="116"/>
      <c r="N847" s="116"/>
      <c r="O847" s="389"/>
      <c r="P847" s="219"/>
      <c r="Q847" s="332"/>
      <c r="R847" s="332"/>
      <c r="S847" s="219"/>
      <c r="T847" s="332"/>
      <c r="U847" s="219"/>
      <c r="V847" s="332"/>
      <c r="W847" s="242"/>
      <c r="X847" s="332"/>
    </row>
    <row r="848" spans="1:24" ht="13">
      <c r="A848" s="7"/>
      <c r="C848" s="153"/>
      <c r="F848" s="332"/>
      <c r="G848" s="219"/>
      <c r="H848" s="116"/>
      <c r="I848" s="116"/>
      <c r="J848" s="116"/>
      <c r="K848" s="116"/>
      <c r="L848" s="116"/>
      <c r="M848" s="116"/>
      <c r="N848" s="116"/>
      <c r="O848" s="389"/>
      <c r="P848" s="219"/>
      <c r="Q848" s="332"/>
      <c r="R848" s="332"/>
      <c r="S848" s="219"/>
      <c r="T848" s="332"/>
      <c r="U848" s="219"/>
      <c r="V848" s="332"/>
      <c r="W848" s="242"/>
      <c r="X848" s="332"/>
    </row>
    <row r="849" spans="1:24" ht="13">
      <c r="A849" s="7"/>
      <c r="C849" s="153"/>
      <c r="F849" s="332"/>
      <c r="G849" s="219"/>
      <c r="H849" s="116"/>
      <c r="I849" s="116"/>
      <c r="J849" s="116"/>
      <c r="K849" s="116"/>
      <c r="L849" s="116"/>
      <c r="M849" s="116"/>
      <c r="N849" s="116"/>
      <c r="O849" s="389"/>
      <c r="P849" s="219"/>
      <c r="Q849" s="332"/>
      <c r="R849" s="332"/>
      <c r="S849" s="219"/>
      <c r="T849" s="332"/>
      <c r="U849" s="219"/>
      <c r="V849" s="332"/>
      <c r="W849" s="242"/>
      <c r="X849" s="332"/>
    </row>
    <row r="850" spans="1:24" ht="13">
      <c r="A850" s="7"/>
      <c r="C850" s="153"/>
      <c r="F850" s="332"/>
      <c r="G850" s="219"/>
      <c r="H850" s="116"/>
      <c r="I850" s="116"/>
      <c r="J850" s="116"/>
      <c r="K850" s="116"/>
      <c r="L850" s="116"/>
      <c r="M850" s="116"/>
      <c r="N850" s="116"/>
      <c r="O850" s="389"/>
      <c r="P850" s="219"/>
      <c r="Q850" s="332"/>
      <c r="R850" s="332"/>
      <c r="S850" s="219"/>
      <c r="T850" s="332"/>
      <c r="U850" s="219"/>
      <c r="V850" s="332"/>
      <c r="W850" s="242"/>
      <c r="X850" s="332"/>
    </row>
    <row r="851" spans="1:24" ht="13">
      <c r="A851" s="7"/>
      <c r="C851" s="153"/>
      <c r="F851" s="332"/>
      <c r="G851" s="219"/>
      <c r="H851" s="116"/>
      <c r="I851" s="116"/>
      <c r="J851" s="116"/>
      <c r="K851" s="116"/>
      <c r="L851" s="116"/>
      <c r="M851" s="116"/>
      <c r="N851" s="116"/>
      <c r="O851" s="389"/>
      <c r="P851" s="219"/>
      <c r="Q851" s="332"/>
      <c r="R851" s="332"/>
      <c r="S851" s="219"/>
      <c r="T851" s="332"/>
      <c r="U851" s="219"/>
      <c r="V851" s="332"/>
      <c r="W851" s="242"/>
      <c r="X851" s="332"/>
    </row>
    <row r="852" spans="1:24" ht="13">
      <c r="A852" s="7"/>
      <c r="C852" s="153"/>
      <c r="F852" s="332"/>
      <c r="G852" s="219"/>
      <c r="H852" s="116"/>
      <c r="I852" s="116"/>
      <c r="J852" s="116"/>
      <c r="K852" s="116"/>
      <c r="L852" s="116"/>
      <c r="M852" s="116"/>
      <c r="N852" s="116"/>
      <c r="O852" s="389"/>
      <c r="P852" s="219"/>
      <c r="Q852" s="332"/>
      <c r="R852" s="332"/>
      <c r="S852" s="219"/>
      <c r="T852" s="332"/>
      <c r="U852" s="219"/>
      <c r="V852" s="332"/>
      <c r="W852" s="242"/>
      <c r="X852" s="332"/>
    </row>
    <row r="853" spans="1:24" ht="13">
      <c r="A853" s="7"/>
      <c r="C853" s="153"/>
      <c r="F853" s="332"/>
      <c r="G853" s="219"/>
      <c r="H853" s="116"/>
      <c r="I853" s="116"/>
      <c r="J853" s="116"/>
      <c r="K853" s="116"/>
      <c r="L853" s="116"/>
      <c r="M853" s="116"/>
      <c r="N853" s="116"/>
      <c r="O853" s="389"/>
      <c r="P853" s="219"/>
      <c r="Q853" s="332"/>
      <c r="R853" s="332"/>
      <c r="S853" s="219"/>
      <c r="T853" s="332"/>
      <c r="U853" s="219"/>
      <c r="V853" s="332"/>
      <c r="W853" s="242"/>
      <c r="X853" s="332"/>
    </row>
    <row r="854" spans="1:24" ht="13">
      <c r="A854" s="7"/>
      <c r="C854" s="153"/>
      <c r="F854" s="332"/>
      <c r="G854" s="219"/>
      <c r="H854" s="116"/>
      <c r="I854" s="116"/>
      <c r="J854" s="116"/>
      <c r="K854" s="116"/>
      <c r="L854" s="116"/>
      <c r="M854" s="116"/>
      <c r="N854" s="116"/>
      <c r="O854" s="389"/>
      <c r="P854" s="219"/>
      <c r="Q854" s="332"/>
      <c r="R854" s="332"/>
      <c r="S854" s="219"/>
      <c r="T854" s="332"/>
      <c r="U854" s="219"/>
      <c r="V854" s="332"/>
      <c r="W854" s="242"/>
      <c r="X854" s="332"/>
    </row>
    <row r="855" spans="1:24" ht="13">
      <c r="A855" s="7"/>
      <c r="C855" s="153"/>
      <c r="F855" s="332"/>
      <c r="G855" s="219"/>
      <c r="H855" s="116"/>
      <c r="I855" s="116"/>
      <c r="J855" s="116"/>
      <c r="K855" s="116"/>
      <c r="L855" s="116"/>
      <c r="M855" s="116"/>
      <c r="N855" s="116"/>
      <c r="O855" s="389"/>
      <c r="P855" s="219"/>
      <c r="Q855" s="332"/>
      <c r="R855" s="332"/>
      <c r="S855" s="219"/>
      <c r="T855" s="332"/>
      <c r="U855" s="219"/>
      <c r="V855" s="332"/>
      <c r="W855" s="242"/>
      <c r="X855" s="332"/>
    </row>
    <row r="856" spans="1:24" ht="13">
      <c r="A856" s="7"/>
      <c r="C856" s="153"/>
      <c r="F856" s="332"/>
      <c r="G856" s="219"/>
      <c r="H856" s="116"/>
      <c r="I856" s="116"/>
      <c r="J856" s="116"/>
      <c r="K856" s="116"/>
      <c r="L856" s="116"/>
      <c r="M856" s="116"/>
      <c r="N856" s="116"/>
      <c r="O856" s="389"/>
      <c r="P856" s="219"/>
      <c r="Q856" s="332"/>
      <c r="R856" s="332"/>
      <c r="S856" s="219"/>
      <c r="T856" s="332"/>
      <c r="U856" s="219"/>
      <c r="V856" s="332"/>
      <c r="W856" s="242"/>
      <c r="X856" s="332"/>
    </row>
    <row r="857" spans="1:24" ht="13">
      <c r="A857" s="7"/>
      <c r="C857" s="153"/>
      <c r="F857" s="332"/>
      <c r="G857" s="219"/>
      <c r="H857" s="116"/>
      <c r="I857" s="116"/>
      <c r="J857" s="116"/>
      <c r="K857" s="116"/>
      <c r="L857" s="116"/>
      <c r="M857" s="116"/>
      <c r="N857" s="116"/>
      <c r="O857" s="389"/>
      <c r="P857" s="219"/>
      <c r="Q857" s="332"/>
      <c r="R857" s="332"/>
      <c r="S857" s="219"/>
      <c r="T857" s="332"/>
      <c r="U857" s="219"/>
      <c r="V857" s="332"/>
      <c r="W857" s="242"/>
      <c r="X857" s="332"/>
    </row>
    <row r="858" spans="1:24" ht="13">
      <c r="A858" s="7"/>
      <c r="C858" s="153"/>
      <c r="F858" s="332"/>
      <c r="G858" s="219"/>
      <c r="H858" s="116"/>
      <c r="I858" s="116"/>
      <c r="J858" s="116"/>
      <c r="K858" s="116"/>
      <c r="L858" s="116"/>
      <c r="M858" s="116"/>
      <c r="N858" s="116"/>
      <c r="O858" s="389"/>
      <c r="P858" s="219"/>
      <c r="Q858" s="332"/>
      <c r="R858" s="332"/>
      <c r="S858" s="219"/>
      <c r="T858" s="332"/>
      <c r="U858" s="219"/>
      <c r="V858" s="332"/>
      <c r="W858" s="242"/>
      <c r="X858" s="332"/>
    </row>
    <row r="859" spans="1:24" ht="13">
      <c r="A859" s="7"/>
      <c r="C859" s="153"/>
      <c r="F859" s="332"/>
      <c r="G859" s="219"/>
      <c r="H859" s="116"/>
      <c r="I859" s="116"/>
      <c r="J859" s="116"/>
      <c r="K859" s="116"/>
      <c r="L859" s="116"/>
      <c r="M859" s="116"/>
      <c r="N859" s="116"/>
      <c r="O859" s="389"/>
      <c r="P859" s="219"/>
      <c r="Q859" s="332"/>
      <c r="R859" s="332"/>
      <c r="S859" s="219"/>
      <c r="T859" s="332"/>
      <c r="U859" s="219"/>
      <c r="V859" s="332"/>
      <c r="W859" s="242"/>
      <c r="X859" s="332"/>
    </row>
    <row r="860" spans="1:24" ht="13">
      <c r="A860" s="7"/>
      <c r="C860" s="153"/>
      <c r="F860" s="332"/>
      <c r="G860" s="219"/>
      <c r="H860" s="116"/>
      <c r="I860" s="116"/>
      <c r="J860" s="116"/>
      <c r="K860" s="116"/>
      <c r="L860" s="116"/>
      <c r="M860" s="116"/>
      <c r="N860" s="116"/>
      <c r="O860" s="389"/>
      <c r="P860" s="219"/>
      <c r="Q860" s="332"/>
      <c r="R860" s="332"/>
      <c r="S860" s="219"/>
      <c r="T860" s="332"/>
      <c r="U860" s="219"/>
      <c r="V860" s="332"/>
      <c r="W860" s="242"/>
      <c r="X860" s="332"/>
    </row>
    <row r="861" spans="1:24" ht="13">
      <c r="A861" s="7"/>
      <c r="C861" s="153"/>
      <c r="F861" s="332"/>
      <c r="G861" s="219"/>
      <c r="H861" s="116"/>
      <c r="I861" s="116"/>
      <c r="J861" s="116"/>
      <c r="K861" s="116"/>
      <c r="L861" s="116"/>
      <c r="M861" s="116"/>
      <c r="N861" s="116"/>
      <c r="O861" s="389"/>
      <c r="P861" s="219"/>
      <c r="Q861" s="332"/>
      <c r="R861" s="332"/>
      <c r="S861" s="219"/>
      <c r="T861" s="332"/>
      <c r="U861" s="219"/>
      <c r="V861" s="332"/>
      <c r="W861" s="242"/>
      <c r="X861" s="332"/>
    </row>
    <row r="862" spans="1:24" ht="13">
      <c r="A862" s="7"/>
      <c r="C862" s="153"/>
      <c r="F862" s="332"/>
      <c r="G862" s="219"/>
      <c r="H862" s="116"/>
      <c r="I862" s="116"/>
      <c r="J862" s="116"/>
      <c r="K862" s="116"/>
      <c r="L862" s="116"/>
      <c r="M862" s="116"/>
      <c r="N862" s="116"/>
      <c r="O862" s="389"/>
      <c r="P862" s="219"/>
      <c r="Q862" s="332"/>
      <c r="R862" s="332"/>
      <c r="S862" s="219"/>
      <c r="T862" s="332"/>
      <c r="U862" s="219"/>
      <c r="V862" s="332"/>
      <c r="W862" s="242"/>
      <c r="X862" s="332"/>
    </row>
    <row r="863" spans="1:24" ht="13">
      <c r="A863" s="7"/>
      <c r="C863" s="153"/>
      <c r="F863" s="332"/>
      <c r="G863" s="219"/>
      <c r="H863" s="116"/>
      <c r="I863" s="116"/>
      <c r="J863" s="116"/>
      <c r="K863" s="116"/>
      <c r="L863" s="116"/>
      <c r="M863" s="116"/>
      <c r="N863" s="116"/>
      <c r="O863" s="389"/>
      <c r="P863" s="219"/>
      <c r="Q863" s="332"/>
      <c r="R863" s="332"/>
      <c r="S863" s="219"/>
      <c r="T863" s="332"/>
      <c r="U863" s="219"/>
      <c r="V863" s="332"/>
      <c r="W863" s="242"/>
      <c r="X863" s="332"/>
    </row>
    <row r="864" spans="1:24" ht="13">
      <c r="A864" s="7"/>
      <c r="C864" s="153"/>
      <c r="F864" s="332"/>
      <c r="G864" s="219"/>
      <c r="H864" s="116"/>
      <c r="I864" s="116"/>
      <c r="J864" s="116"/>
      <c r="K864" s="116"/>
      <c r="L864" s="116"/>
      <c r="M864" s="116"/>
      <c r="N864" s="116"/>
      <c r="O864" s="389"/>
      <c r="P864" s="219"/>
      <c r="Q864" s="332"/>
      <c r="R864" s="332"/>
      <c r="S864" s="219"/>
      <c r="T864" s="332"/>
      <c r="U864" s="219"/>
      <c r="V864" s="332"/>
      <c r="W864" s="242"/>
      <c r="X864" s="332"/>
    </row>
    <row r="865" spans="1:24" ht="13">
      <c r="A865" s="7"/>
      <c r="C865" s="153"/>
      <c r="F865" s="332"/>
      <c r="G865" s="219"/>
      <c r="H865" s="116"/>
      <c r="I865" s="116"/>
      <c r="J865" s="116"/>
      <c r="K865" s="116"/>
      <c r="L865" s="116"/>
      <c r="M865" s="116"/>
      <c r="N865" s="116"/>
      <c r="O865" s="389"/>
      <c r="P865" s="219"/>
      <c r="Q865" s="332"/>
      <c r="R865" s="332"/>
      <c r="S865" s="219"/>
      <c r="T865" s="332"/>
      <c r="U865" s="219"/>
      <c r="V865" s="332"/>
      <c r="W865" s="242"/>
      <c r="X865" s="332"/>
    </row>
    <row r="866" spans="1:24" ht="13">
      <c r="A866" s="7"/>
      <c r="C866" s="153"/>
      <c r="F866" s="332"/>
      <c r="G866" s="219"/>
      <c r="H866" s="116"/>
      <c r="I866" s="116"/>
      <c r="J866" s="116"/>
      <c r="K866" s="116"/>
      <c r="L866" s="116"/>
      <c r="M866" s="116"/>
      <c r="N866" s="116"/>
      <c r="O866" s="389"/>
      <c r="P866" s="219"/>
      <c r="Q866" s="332"/>
      <c r="R866" s="332"/>
      <c r="S866" s="219"/>
      <c r="T866" s="332"/>
      <c r="U866" s="219"/>
      <c r="V866" s="332"/>
      <c r="W866" s="242"/>
      <c r="X866" s="332"/>
    </row>
    <row r="867" spans="1:24" ht="13">
      <c r="A867" s="7"/>
      <c r="C867" s="153"/>
      <c r="F867" s="332"/>
      <c r="G867" s="219"/>
      <c r="H867" s="116"/>
      <c r="I867" s="116"/>
      <c r="J867" s="116"/>
      <c r="K867" s="116"/>
      <c r="L867" s="116"/>
      <c r="M867" s="116"/>
      <c r="N867" s="116"/>
      <c r="O867" s="389"/>
      <c r="P867" s="219"/>
      <c r="Q867" s="332"/>
      <c r="R867" s="332"/>
      <c r="S867" s="219"/>
      <c r="T867" s="332"/>
      <c r="U867" s="219"/>
      <c r="V867" s="332"/>
      <c r="W867" s="242"/>
      <c r="X867" s="332"/>
    </row>
    <row r="868" spans="1:24" ht="13">
      <c r="A868" s="7"/>
      <c r="C868" s="153"/>
      <c r="F868" s="332"/>
      <c r="G868" s="219"/>
      <c r="H868" s="116"/>
      <c r="I868" s="116"/>
      <c r="J868" s="116"/>
      <c r="K868" s="116"/>
      <c r="L868" s="116"/>
      <c r="M868" s="116"/>
      <c r="N868" s="116"/>
      <c r="O868" s="389"/>
      <c r="P868" s="219"/>
      <c r="Q868" s="332"/>
      <c r="R868" s="332"/>
      <c r="S868" s="219"/>
      <c r="T868" s="332"/>
      <c r="U868" s="219"/>
      <c r="V868" s="332"/>
      <c r="W868" s="242"/>
      <c r="X868" s="332"/>
    </row>
    <row r="869" spans="1:24" ht="13">
      <c r="A869" s="7"/>
      <c r="C869" s="153"/>
      <c r="F869" s="332"/>
      <c r="G869" s="219"/>
      <c r="H869" s="116"/>
      <c r="I869" s="116"/>
      <c r="J869" s="116"/>
      <c r="K869" s="116"/>
      <c r="L869" s="116"/>
      <c r="M869" s="116"/>
      <c r="N869" s="116"/>
      <c r="O869" s="389"/>
      <c r="P869" s="219"/>
      <c r="Q869" s="332"/>
      <c r="R869" s="332"/>
      <c r="S869" s="219"/>
      <c r="T869" s="332"/>
      <c r="U869" s="219"/>
      <c r="V869" s="332"/>
      <c r="W869" s="242"/>
      <c r="X869" s="332"/>
    </row>
    <row r="870" spans="1:24" ht="13">
      <c r="A870" s="7"/>
      <c r="C870" s="153"/>
      <c r="F870" s="332"/>
      <c r="G870" s="219"/>
      <c r="H870" s="116"/>
      <c r="I870" s="116"/>
      <c r="J870" s="116"/>
      <c r="K870" s="116"/>
      <c r="L870" s="116"/>
      <c r="M870" s="116"/>
      <c r="N870" s="116"/>
      <c r="O870" s="389"/>
      <c r="P870" s="219"/>
      <c r="Q870" s="332"/>
      <c r="R870" s="332"/>
      <c r="S870" s="219"/>
      <c r="T870" s="332"/>
      <c r="U870" s="219"/>
      <c r="V870" s="332"/>
      <c r="W870" s="242"/>
      <c r="X870" s="332"/>
    </row>
    <row r="871" spans="1:24" ht="13">
      <c r="A871" s="7"/>
      <c r="C871" s="153"/>
      <c r="F871" s="332"/>
      <c r="G871" s="219"/>
      <c r="H871" s="116"/>
      <c r="I871" s="116"/>
      <c r="J871" s="116"/>
      <c r="K871" s="116"/>
      <c r="L871" s="116"/>
      <c r="M871" s="116"/>
      <c r="N871" s="116"/>
      <c r="O871" s="389"/>
      <c r="P871" s="219"/>
      <c r="Q871" s="332"/>
      <c r="R871" s="332"/>
      <c r="S871" s="219"/>
      <c r="T871" s="332"/>
      <c r="U871" s="219"/>
      <c r="V871" s="332"/>
      <c r="W871" s="242"/>
      <c r="X871" s="332"/>
    </row>
    <row r="872" spans="1:24" ht="13">
      <c r="A872" s="7"/>
      <c r="C872" s="153"/>
      <c r="F872" s="332"/>
      <c r="G872" s="219"/>
      <c r="H872" s="116"/>
      <c r="I872" s="116"/>
      <c r="J872" s="116"/>
      <c r="K872" s="116"/>
      <c r="L872" s="116"/>
      <c r="M872" s="116"/>
      <c r="N872" s="116"/>
      <c r="O872" s="389"/>
      <c r="P872" s="219"/>
      <c r="Q872" s="332"/>
      <c r="R872" s="332"/>
      <c r="S872" s="219"/>
      <c r="T872" s="332"/>
      <c r="U872" s="219"/>
      <c r="V872" s="332"/>
      <c r="W872" s="242"/>
      <c r="X872" s="332"/>
    </row>
    <row r="873" spans="1:24" ht="13">
      <c r="A873" s="7"/>
      <c r="C873" s="153"/>
      <c r="F873" s="332"/>
      <c r="G873" s="219"/>
      <c r="H873" s="116"/>
      <c r="I873" s="116"/>
      <c r="J873" s="116"/>
      <c r="K873" s="116"/>
      <c r="L873" s="116"/>
      <c r="M873" s="116"/>
      <c r="N873" s="116"/>
      <c r="O873" s="389"/>
      <c r="P873" s="219"/>
      <c r="Q873" s="332"/>
      <c r="R873" s="332"/>
      <c r="S873" s="219"/>
      <c r="T873" s="332"/>
      <c r="U873" s="219"/>
      <c r="V873" s="332"/>
      <c r="W873" s="242"/>
      <c r="X873" s="332"/>
    </row>
    <row r="874" spans="1:24" ht="13">
      <c r="A874" s="7"/>
      <c r="C874" s="153"/>
      <c r="F874" s="332"/>
      <c r="G874" s="219"/>
      <c r="H874" s="116"/>
      <c r="I874" s="116"/>
      <c r="J874" s="116"/>
      <c r="K874" s="116"/>
      <c r="L874" s="116"/>
      <c r="M874" s="116"/>
      <c r="N874" s="116"/>
      <c r="O874" s="389"/>
      <c r="P874" s="219"/>
      <c r="Q874" s="332"/>
      <c r="R874" s="332"/>
      <c r="S874" s="219"/>
      <c r="T874" s="332"/>
      <c r="U874" s="219"/>
      <c r="V874" s="332"/>
      <c r="W874" s="242"/>
      <c r="X874" s="332"/>
    </row>
    <row r="875" spans="1:24" ht="13">
      <c r="A875" s="7"/>
      <c r="C875" s="153"/>
      <c r="F875" s="332"/>
      <c r="G875" s="219"/>
      <c r="H875" s="116"/>
      <c r="I875" s="116"/>
      <c r="J875" s="116"/>
      <c r="K875" s="116"/>
      <c r="L875" s="116"/>
      <c r="M875" s="116"/>
      <c r="N875" s="116"/>
      <c r="O875" s="389"/>
      <c r="P875" s="219"/>
      <c r="Q875" s="332"/>
      <c r="R875" s="332"/>
      <c r="S875" s="219"/>
      <c r="T875" s="332"/>
      <c r="U875" s="219"/>
      <c r="V875" s="332"/>
      <c r="W875" s="242"/>
      <c r="X875" s="332"/>
    </row>
    <row r="876" spans="1:24" ht="13">
      <c r="A876" s="7"/>
      <c r="C876" s="153"/>
      <c r="F876" s="332"/>
      <c r="G876" s="219"/>
      <c r="H876" s="116"/>
      <c r="I876" s="116"/>
      <c r="J876" s="116"/>
      <c r="K876" s="116"/>
      <c r="L876" s="116"/>
      <c r="M876" s="116"/>
      <c r="N876" s="116"/>
      <c r="O876" s="389"/>
      <c r="P876" s="219"/>
      <c r="Q876" s="332"/>
      <c r="R876" s="332"/>
      <c r="S876" s="219"/>
      <c r="T876" s="332"/>
      <c r="U876" s="219"/>
      <c r="V876" s="332"/>
      <c r="W876" s="242"/>
      <c r="X876" s="332"/>
    </row>
    <row r="877" spans="1:24" ht="13">
      <c r="A877" s="7"/>
      <c r="C877" s="153"/>
      <c r="F877" s="332"/>
      <c r="G877" s="219"/>
      <c r="H877" s="116"/>
      <c r="I877" s="116"/>
      <c r="J877" s="116"/>
      <c r="K877" s="116"/>
      <c r="L877" s="116"/>
      <c r="M877" s="116"/>
      <c r="N877" s="116"/>
      <c r="O877" s="389"/>
      <c r="P877" s="219"/>
      <c r="Q877" s="332"/>
      <c r="R877" s="332"/>
      <c r="S877" s="219"/>
      <c r="T877" s="332"/>
      <c r="U877" s="219"/>
      <c r="V877" s="332"/>
      <c r="W877" s="242"/>
      <c r="X877" s="332"/>
    </row>
    <row r="878" spans="1:24" ht="13">
      <c r="A878" s="7"/>
      <c r="C878" s="153"/>
      <c r="F878" s="332"/>
      <c r="G878" s="219"/>
      <c r="H878" s="116"/>
      <c r="I878" s="116"/>
      <c r="J878" s="116"/>
      <c r="K878" s="116"/>
      <c r="L878" s="116"/>
      <c r="M878" s="116"/>
      <c r="N878" s="116"/>
      <c r="O878" s="389"/>
      <c r="P878" s="219"/>
      <c r="Q878" s="332"/>
      <c r="R878" s="332"/>
      <c r="S878" s="219"/>
      <c r="T878" s="332"/>
      <c r="U878" s="219"/>
      <c r="V878" s="332"/>
      <c r="W878" s="242"/>
      <c r="X878" s="332"/>
    </row>
    <row r="879" spans="1:24" ht="13">
      <c r="A879" s="7"/>
      <c r="C879" s="153"/>
      <c r="F879" s="332"/>
      <c r="G879" s="219"/>
      <c r="H879" s="116"/>
      <c r="I879" s="116"/>
      <c r="J879" s="116"/>
      <c r="K879" s="116"/>
      <c r="L879" s="116"/>
      <c r="M879" s="116"/>
      <c r="N879" s="116"/>
      <c r="O879" s="389"/>
      <c r="P879" s="219"/>
      <c r="Q879" s="332"/>
      <c r="R879" s="332"/>
      <c r="S879" s="219"/>
      <c r="T879" s="332"/>
      <c r="U879" s="219"/>
      <c r="V879" s="332"/>
      <c r="W879" s="242"/>
      <c r="X879" s="332"/>
    </row>
    <row r="880" spans="1:24" ht="13">
      <c r="A880" s="7"/>
      <c r="C880" s="153"/>
      <c r="F880" s="332"/>
      <c r="G880" s="219"/>
      <c r="H880" s="116"/>
      <c r="I880" s="116"/>
      <c r="J880" s="116"/>
      <c r="K880" s="116"/>
      <c r="L880" s="116"/>
      <c r="M880" s="116"/>
      <c r="N880" s="116"/>
      <c r="O880" s="389"/>
      <c r="P880" s="219"/>
      <c r="Q880" s="332"/>
      <c r="R880" s="332"/>
      <c r="S880" s="219"/>
      <c r="T880" s="332"/>
      <c r="U880" s="219"/>
      <c r="V880" s="332"/>
      <c r="W880" s="242"/>
      <c r="X880" s="332"/>
    </row>
    <row r="881" spans="1:24" ht="13">
      <c r="A881" s="7"/>
      <c r="C881" s="153"/>
      <c r="F881" s="332"/>
      <c r="G881" s="219"/>
      <c r="H881" s="116"/>
      <c r="I881" s="116"/>
      <c r="J881" s="116"/>
      <c r="K881" s="116"/>
      <c r="L881" s="116"/>
      <c r="M881" s="116"/>
      <c r="N881" s="116"/>
      <c r="O881" s="389"/>
      <c r="P881" s="219"/>
      <c r="Q881" s="332"/>
      <c r="R881" s="332"/>
      <c r="S881" s="219"/>
      <c r="T881" s="332"/>
      <c r="U881" s="219"/>
      <c r="V881" s="332"/>
      <c r="W881" s="242"/>
      <c r="X881" s="332"/>
    </row>
    <row r="882" spans="1:24" ht="13">
      <c r="A882" s="7"/>
      <c r="C882" s="153"/>
      <c r="F882" s="332"/>
      <c r="G882" s="219"/>
      <c r="H882" s="116"/>
      <c r="I882" s="116"/>
      <c r="J882" s="116"/>
      <c r="K882" s="116"/>
      <c r="L882" s="116"/>
      <c r="M882" s="116"/>
      <c r="N882" s="116"/>
      <c r="O882" s="389"/>
      <c r="P882" s="219"/>
      <c r="Q882" s="332"/>
      <c r="R882" s="332"/>
      <c r="S882" s="219"/>
      <c r="T882" s="332"/>
      <c r="U882" s="219"/>
      <c r="V882" s="332"/>
      <c r="W882" s="242"/>
      <c r="X882" s="332"/>
    </row>
    <row r="883" spans="1:24" ht="13">
      <c r="A883" s="7"/>
      <c r="C883" s="153"/>
      <c r="F883" s="332"/>
      <c r="G883" s="219"/>
      <c r="H883" s="116"/>
      <c r="I883" s="116"/>
      <c r="J883" s="116"/>
      <c r="K883" s="116"/>
      <c r="L883" s="116"/>
      <c r="M883" s="116"/>
      <c r="N883" s="116"/>
      <c r="O883" s="389"/>
      <c r="P883" s="219"/>
      <c r="Q883" s="332"/>
      <c r="R883" s="332"/>
      <c r="S883" s="219"/>
      <c r="T883" s="332"/>
      <c r="U883" s="219"/>
      <c r="V883" s="332"/>
      <c r="W883" s="242"/>
      <c r="X883" s="332"/>
    </row>
    <row r="884" spans="1:24" ht="13">
      <c r="A884" s="7"/>
      <c r="C884" s="153"/>
      <c r="F884" s="332"/>
      <c r="G884" s="219"/>
      <c r="H884" s="116"/>
      <c r="I884" s="116"/>
      <c r="J884" s="116"/>
      <c r="K884" s="116"/>
      <c r="L884" s="116"/>
      <c r="M884" s="116"/>
      <c r="N884" s="116"/>
      <c r="O884" s="389"/>
      <c r="P884" s="219"/>
      <c r="Q884" s="332"/>
      <c r="R884" s="332"/>
      <c r="S884" s="219"/>
      <c r="T884" s="332"/>
      <c r="U884" s="219"/>
      <c r="V884" s="332"/>
      <c r="W884" s="242"/>
      <c r="X884" s="332"/>
    </row>
    <row r="885" spans="1:24" ht="13">
      <c r="A885" s="7"/>
      <c r="C885" s="153"/>
      <c r="F885" s="332"/>
      <c r="G885" s="219"/>
      <c r="H885" s="116"/>
      <c r="I885" s="116"/>
      <c r="J885" s="116"/>
      <c r="K885" s="116"/>
      <c r="L885" s="116"/>
      <c r="M885" s="116"/>
      <c r="N885" s="116"/>
      <c r="O885" s="389"/>
      <c r="P885" s="219"/>
      <c r="Q885" s="332"/>
      <c r="R885" s="332"/>
      <c r="S885" s="219"/>
      <c r="T885" s="332"/>
      <c r="U885" s="219"/>
      <c r="V885" s="332"/>
      <c r="W885" s="242"/>
      <c r="X885" s="332"/>
    </row>
    <row r="886" spans="1:24" ht="13">
      <c r="A886" s="7"/>
      <c r="C886" s="153"/>
      <c r="F886" s="332"/>
      <c r="G886" s="219"/>
      <c r="H886" s="116"/>
      <c r="I886" s="116"/>
      <c r="J886" s="116"/>
      <c r="K886" s="116"/>
      <c r="L886" s="116"/>
      <c r="M886" s="116"/>
      <c r="N886" s="116"/>
      <c r="O886" s="389"/>
      <c r="P886" s="219"/>
      <c r="Q886" s="332"/>
      <c r="R886" s="332"/>
      <c r="S886" s="219"/>
      <c r="T886" s="332"/>
      <c r="U886" s="219"/>
      <c r="V886" s="332"/>
      <c r="W886" s="242"/>
      <c r="X886" s="332"/>
    </row>
    <row r="887" spans="1:24" ht="13">
      <c r="A887" s="7"/>
      <c r="C887" s="153"/>
      <c r="F887" s="332"/>
      <c r="G887" s="219"/>
      <c r="H887" s="116"/>
      <c r="I887" s="116"/>
      <c r="J887" s="116"/>
      <c r="K887" s="116"/>
      <c r="L887" s="116"/>
      <c r="M887" s="116"/>
      <c r="N887" s="116"/>
      <c r="O887" s="389"/>
      <c r="P887" s="219"/>
      <c r="Q887" s="332"/>
      <c r="R887" s="332"/>
      <c r="S887" s="219"/>
      <c r="T887" s="332"/>
      <c r="U887" s="219"/>
      <c r="V887" s="332"/>
      <c r="W887" s="242"/>
      <c r="X887" s="332"/>
    </row>
    <row r="888" spans="1:24" ht="13">
      <c r="A888" s="7"/>
      <c r="C888" s="153"/>
      <c r="F888" s="332"/>
      <c r="G888" s="219"/>
      <c r="H888" s="116"/>
      <c r="I888" s="116"/>
      <c r="J888" s="116"/>
      <c r="K888" s="116"/>
      <c r="L888" s="116"/>
      <c r="M888" s="116"/>
      <c r="N888" s="116"/>
      <c r="O888" s="389"/>
      <c r="P888" s="219"/>
      <c r="Q888" s="332"/>
      <c r="R888" s="332"/>
      <c r="S888" s="219"/>
      <c r="T888" s="332"/>
      <c r="U888" s="219"/>
      <c r="V888" s="332"/>
      <c r="W888" s="242"/>
      <c r="X888" s="332"/>
    </row>
    <row r="889" spans="1:24" ht="13">
      <c r="A889" s="7"/>
      <c r="C889" s="153"/>
      <c r="F889" s="332"/>
      <c r="G889" s="219"/>
      <c r="H889" s="116"/>
      <c r="I889" s="116"/>
      <c r="J889" s="116"/>
      <c r="K889" s="116"/>
      <c r="L889" s="116"/>
      <c r="M889" s="116"/>
      <c r="N889" s="116"/>
      <c r="O889" s="389"/>
      <c r="P889" s="219"/>
      <c r="Q889" s="332"/>
      <c r="R889" s="332"/>
      <c r="S889" s="219"/>
      <c r="T889" s="332"/>
      <c r="U889" s="219"/>
      <c r="V889" s="332"/>
      <c r="W889" s="242"/>
      <c r="X889" s="332"/>
    </row>
    <row r="890" spans="1:24" ht="13">
      <c r="A890" s="7"/>
      <c r="C890" s="153"/>
      <c r="F890" s="332"/>
      <c r="G890" s="219"/>
      <c r="H890" s="116"/>
      <c r="I890" s="116"/>
      <c r="J890" s="116"/>
      <c r="K890" s="116"/>
      <c r="L890" s="116"/>
      <c r="M890" s="116"/>
      <c r="N890" s="116"/>
      <c r="O890" s="389"/>
      <c r="P890" s="219"/>
      <c r="Q890" s="332"/>
      <c r="R890" s="332"/>
      <c r="S890" s="219"/>
      <c r="T890" s="332"/>
      <c r="U890" s="219"/>
      <c r="V890" s="332"/>
      <c r="W890" s="242"/>
      <c r="X890" s="332"/>
    </row>
    <row r="891" spans="1:24" ht="13">
      <c r="A891" s="7"/>
      <c r="C891" s="153"/>
      <c r="F891" s="332"/>
      <c r="G891" s="219"/>
      <c r="H891" s="116"/>
      <c r="I891" s="116"/>
      <c r="J891" s="116"/>
      <c r="K891" s="116"/>
      <c r="L891" s="116"/>
      <c r="M891" s="116"/>
      <c r="N891" s="116"/>
      <c r="O891" s="389"/>
      <c r="P891" s="219"/>
      <c r="Q891" s="332"/>
      <c r="R891" s="332"/>
      <c r="S891" s="219"/>
      <c r="T891" s="332"/>
      <c r="U891" s="219"/>
      <c r="V891" s="332"/>
      <c r="W891" s="242"/>
      <c r="X891" s="332"/>
    </row>
    <row r="892" spans="1:24" ht="13">
      <c r="A892" s="7"/>
      <c r="C892" s="153"/>
      <c r="F892" s="332"/>
      <c r="G892" s="219"/>
      <c r="H892" s="116"/>
      <c r="I892" s="116"/>
      <c r="J892" s="116"/>
      <c r="K892" s="116"/>
      <c r="L892" s="116"/>
      <c r="M892" s="116"/>
      <c r="N892" s="116"/>
      <c r="O892" s="389"/>
      <c r="P892" s="219"/>
      <c r="Q892" s="332"/>
      <c r="R892" s="332"/>
      <c r="S892" s="219"/>
      <c r="T892" s="332"/>
      <c r="U892" s="219"/>
      <c r="V892" s="332"/>
      <c r="W892" s="242"/>
      <c r="X892" s="332"/>
    </row>
    <row r="893" spans="1:24" ht="13">
      <c r="A893" s="7"/>
      <c r="C893" s="153"/>
      <c r="F893" s="332"/>
      <c r="G893" s="219"/>
      <c r="H893" s="116"/>
      <c r="I893" s="116"/>
      <c r="J893" s="116"/>
      <c r="K893" s="116"/>
      <c r="L893" s="116"/>
      <c r="M893" s="116"/>
      <c r="N893" s="116"/>
      <c r="O893" s="389"/>
      <c r="P893" s="219"/>
      <c r="Q893" s="332"/>
      <c r="R893" s="332"/>
      <c r="S893" s="219"/>
      <c r="T893" s="332"/>
      <c r="U893" s="219"/>
      <c r="V893" s="332"/>
      <c r="W893" s="242"/>
      <c r="X893" s="332"/>
    </row>
    <row r="894" spans="1:24" ht="13">
      <c r="A894" s="7"/>
      <c r="C894" s="153"/>
      <c r="F894" s="332"/>
      <c r="G894" s="219"/>
      <c r="H894" s="116"/>
      <c r="I894" s="116"/>
      <c r="J894" s="116"/>
      <c r="K894" s="116"/>
      <c r="L894" s="116"/>
      <c r="M894" s="116"/>
      <c r="N894" s="116"/>
      <c r="O894" s="389"/>
      <c r="P894" s="219"/>
      <c r="Q894" s="332"/>
      <c r="R894" s="332"/>
      <c r="S894" s="219"/>
      <c r="T894" s="332"/>
      <c r="U894" s="219"/>
      <c r="V894" s="332"/>
      <c r="W894" s="242"/>
      <c r="X894" s="332"/>
    </row>
    <row r="895" spans="1:24" ht="13">
      <c r="A895" s="7"/>
      <c r="C895" s="153"/>
      <c r="F895" s="332"/>
      <c r="G895" s="219"/>
      <c r="H895" s="116"/>
      <c r="I895" s="116"/>
      <c r="J895" s="116"/>
      <c r="K895" s="116"/>
      <c r="L895" s="116"/>
      <c r="M895" s="116"/>
      <c r="N895" s="116"/>
      <c r="O895" s="389"/>
      <c r="P895" s="219"/>
      <c r="Q895" s="332"/>
      <c r="R895" s="332"/>
      <c r="S895" s="219"/>
      <c r="T895" s="332"/>
      <c r="U895" s="219"/>
      <c r="V895" s="332"/>
      <c r="W895" s="242"/>
      <c r="X895" s="332"/>
    </row>
    <row r="896" spans="1:24" ht="13">
      <c r="A896" s="7"/>
      <c r="C896" s="153"/>
      <c r="F896" s="332"/>
      <c r="G896" s="219"/>
      <c r="H896" s="116"/>
      <c r="I896" s="116"/>
      <c r="J896" s="116"/>
      <c r="K896" s="116"/>
      <c r="L896" s="116"/>
      <c r="M896" s="116"/>
      <c r="N896" s="116"/>
      <c r="O896" s="389"/>
      <c r="P896" s="219"/>
      <c r="Q896" s="332"/>
      <c r="R896" s="332"/>
      <c r="S896" s="219"/>
      <c r="T896" s="332"/>
      <c r="U896" s="219"/>
      <c r="V896" s="332"/>
      <c r="W896" s="242"/>
      <c r="X896" s="332"/>
    </row>
    <row r="897" spans="1:24" ht="13">
      <c r="A897" s="7"/>
      <c r="C897" s="153"/>
      <c r="F897" s="332"/>
      <c r="G897" s="219"/>
      <c r="H897" s="116"/>
      <c r="I897" s="116"/>
      <c r="J897" s="116"/>
      <c r="K897" s="116"/>
      <c r="L897" s="116"/>
      <c r="M897" s="116"/>
      <c r="N897" s="116"/>
      <c r="O897" s="389"/>
      <c r="P897" s="219"/>
      <c r="Q897" s="332"/>
      <c r="R897" s="332"/>
      <c r="S897" s="219"/>
      <c r="T897" s="332"/>
      <c r="U897" s="219"/>
      <c r="V897" s="332"/>
      <c r="W897" s="242"/>
      <c r="X897" s="332"/>
    </row>
    <row r="898" spans="1:24" ht="13">
      <c r="A898" s="7"/>
      <c r="C898" s="153"/>
      <c r="F898" s="332"/>
      <c r="G898" s="219"/>
      <c r="H898" s="116"/>
      <c r="I898" s="116"/>
      <c r="J898" s="116"/>
      <c r="K898" s="116"/>
      <c r="L898" s="116"/>
      <c r="M898" s="116"/>
      <c r="N898" s="116"/>
      <c r="O898" s="389"/>
      <c r="P898" s="219"/>
      <c r="Q898" s="332"/>
      <c r="R898" s="332"/>
      <c r="S898" s="219"/>
      <c r="T898" s="332"/>
      <c r="U898" s="219"/>
      <c r="V898" s="332"/>
      <c r="W898" s="242"/>
      <c r="X898" s="332"/>
    </row>
    <row r="899" spans="1:24" ht="13">
      <c r="A899" s="7"/>
      <c r="C899" s="153"/>
      <c r="F899" s="332"/>
      <c r="G899" s="219"/>
      <c r="H899" s="116"/>
      <c r="I899" s="116"/>
      <c r="J899" s="116"/>
      <c r="K899" s="116"/>
      <c r="L899" s="116"/>
      <c r="M899" s="116"/>
      <c r="N899" s="116"/>
      <c r="O899" s="389"/>
      <c r="P899" s="219"/>
      <c r="Q899" s="332"/>
      <c r="R899" s="332"/>
      <c r="S899" s="219"/>
      <c r="T899" s="332"/>
      <c r="U899" s="219"/>
      <c r="V899" s="332"/>
      <c r="W899" s="242"/>
      <c r="X899" s="332"/>
    </row>
    <row r="900" spans="1:24" ht="13">
      <c r="A900" s="7"/>
      <c r="C900" s="153"/>
      <c r="F900" s="332"/>
      <c r="G900" s="219"/>
      <c r="H900" s="116"/>
      <c r="I900" s="116"/>
      <c r="J900" s="116"/>
      <c r="K900" s="116"/>
      <c r="L900" s="116"/>
      <c r="M900" s="116"/>
      <c r="N900" s="116"/>
      <c r="O900" s="389"/>
      <c r="P900" s="219"/>
      <c r="Q900" s="332"/>
      <c r="R900" s="332"/>
      <c r="S900" s="219"/>
      <c r="T900" s="332"/>
      <c r="U900" s="219"/>
      <c r="V900" s="332"/>
      <c r="W900" s="242"/>
      <c r="X900" s="332"/>
    </row>
    <row r="901" spans="1:24" ht="13">
      <c r="A901" s="7"/>
      <c r="C901" s="153"/>
      <c r="F901" s="332"/>
      <c r="G901" s="219"/>
      <c r="H901" s="116"/>
      <c r="I901" s="116"/>
      <c r="J901" s="116"/>
      <c r="K901" s="116"/>
      <c r="L901" s="116"/>
      <c r="M901" s="116"/>
      <c r="N901" s="116"/>
      <c r="O901" s="389"/>
      <c r="P901" s="219"/>
      <c r="Q901" s="332"/>
      <c r="R901" s="332"/>
      <c r="S901" s="219"/>
      <c r="T901" s="332"/>
      <c r="U901" s="219"/>
      <c r="V901" s="332"/>
      <c r="W901" s="242"/>
      <c r="X901" s="332"/>
    </row>
    <row r="902" spans="1:24" ht="13">
      <c r="A902" s="7"/>
      <c r="C902" s="153"/>
      <c r="F902" s="332"/>
      <c r="G902" s="219"/>
      <c r="H902" s="116"/>
      <c r="I902" s="116"/>
      <c r="J902" s="116"/>
      <c r="K902" s="116"/>
      <c r="L902" s="116"/>
      <c r="M902" s="116"/>
      <c r="N902" s="116"/>
      <c r="O902" s="389"/>
      <c r="P902" s="219"/>
      <c r="Q902" s="332"/>
      <c r="R902" s="332"/>
      <c r="S902" s="219"/>
      <c r="T902" s="332"/>
      <c r="U902" s="219"/>
      <c r="V902" s="332"/>
      <c r="W902" s="242"/>
      <c r="X902" s="332"/>
    </row>
    <row r="903" spans="1:24" ht="13">
      <c r="A903" s="7"/>
      <c r="C903" s="153"/>
      <c r="F903" s="332"/>
      <c r="G903" s="219"/>
      <c r="H903" s="116"/>
      <c r="I903" s="116"/>
      <c r="J903" s="116"/>
      <c r="K903" s="116"/>
      <c r="L903" s="116"/>
      <c r="M903" s="116"/>
      <c r="N903" s="116"/>
      <c r="O903" s="389"/>
      <c r="P903" s="219"/>
      <c r="Q903" s="332"/>
      <c r="R903" s="332"/>
      <c r="S903" s="219"/>
      <c r="T903" s="332"/>
      <c r="U903" s="219"/>
      <c r="V903" s="332"/>
      <c r="W903" s="242"/>
      <c r="X903" s="332"/>
    </row>
    <row r="904" spans="1:24" ht="13">
      <c r="A904" s="7"/>
      <c r="C904" s="153"/>
      <c r="F904" s="332"/>
      <c r="G904" s="219"/>
      <c r="H904" s="116"/>
      <c r="I904" s="116"/>
      <c r="J904" s="116"/>
      <c r="K904" s="116"/>
      <c r="L904" s="116"/>
      <c r="M904" s="116"/>
      <c r="N904" s="116"/>
      <c r="O904" s="389"/>
      <c r="P904" s="219"/>
      <c r="Q904" s="332"/>
      <c r="R904" s="332"/>
      <c r="S904" s="219"/>
      <c r="T904" s="332"/>
      <c r="U904" s="219"/>
      <c r="V904" s="332"/>
      <c r="W904" s="242"/>
      <c r="X904" s="332"/>
    </row>
    <row r="905" spans="1:24" ht="13">
      <c r="A905" s="7"/>
      <c r="C905" s="153"/>
      <c r="F905" s="332"/>
      <c r="G905" s="219"/>
      <c r="H905" s="116"/>
      <c r="I905" s="116"/>
      <c r="J905" s="116"/>
      <c r="K905" s="116"/>
      <c r="L905" s="116"/>
      <c r="M905" s="116"/>
      <c r="N905" s="116"/>
      <c r="O905" s="389"/>
      <c r="P905" s="219"/>
      <c r="Q905" s="332"/>
      <c r="R905" s="332"/>
      <c r="S905" s="219"/>
      <c r="T905" s="332"/>
      <c r="U905" s="219"/>
      <c r="V905" s="332"/>
      <c r="W905" s="242"/>
      <c r="X905" s="332"/>
    </row>
    <row r="906" spans="1:24" ht="13">
      <c r="A906" s="7"/>
      <c r="C906" s="153"/>
      <c r="F906" s="332"/>
      <c r="G906" s="219"/>
      <c r="H906" s="116"/>
      <c r="I906" s="116"/>
      <c r="J906" s="116"/>
      <c r="K906" s="116"/>
      <c r="L906" s="116"/>
      <c r="M906" s="116"/>
      <c r="N906" s="116"/>
      <c r="O906" s="389"/>
      <c r="P906" s="219"/>
      <c r="Q906" s="332"/>
      <c r="R906" s="332"/>
      <c r="S906" s="219"/>
      <c r="T906" s="332"/>
      <c r="U906" s="219"/>
      <c r="V906" s="332"/>
      <c r="W906" s="242"/>
      <c r="X906" s="332"/>
    </row>
    <row r="907" spans="1:24" ht="13">
      <c r="A907" s="7"/>
      <c r="C907" s="153"/>
      <c r="F907" s="332"/>
      <c r="G907" s="219"/>
      <c r="H907" s="116"/>
      <c r="I907" s="116"/>
      <c r="J907" s="116"/>
      <c r="K907" s="116"/>
      <c r="L907" s="116"/>
      <c r="M907" s="116"/>
      <c r="N907" s="116"/>
      <c r="O907" s="389"/>
      <c r="P907" s="219"/>
      <c r="Q907" s="332"/>
      <c r="R907" s="332"/>
      <c r="S907" s="219"/>
      <c r="T907" s="332"/>
      <c r="U907" s="219"/>
      <c r="V907" s="332"/>
      <c r="W907" s="242"/>
      <c r="X907" s="332"/>
    </row>
    <row r="908" spans="1:24" ht="13">
      <c r="A908" s="7"/>
      <c r="C908" s="153"/>
      <c r="F908" s="332"/>
      <c r="G908" s="219"/>
      <c r="H908" s="116"/>
      <c r="I908" s="116"/>
      <c r="J908" s="116"/>
      <c r="K908" s="116"/>
      <c r="L908" s="116"/>
      <c r="M908" s="116"/>
      <c r="N908" s="116"/>
      <c r="O908" s="389"/>
      <c r="P908" s="219"/>
      <c r="Q908" s="332"/>
      <c r="R908" s="332"/>
      <c r="S908" s="219"/>
      <c r="T908" s="332"/>
      <c r="U908" s="219"/>
      <c r="V908" s="332"/>
      <c r="W908" s="242"/>
      <c r="X908" s="332"/>
    </row>
    <row r="909" spans="1:24" ht="13">
      <c r="A909" s="7"/>
      <c r="C909" s="153"/>
      <c r="F909" s="332"/>
      <c r="G909" s="219"/>
      <c r="H909" s="116"/>
      <c r="I909" s="116"/>
      <c r="J909" s="116"/>
      <c r="K909" s="116"/>
      <c r="L909" s="116"/>
      <c r="M909" s="116"/>
      <c r="N909" s="116"/>
      <c r="O909" s="389"/>
      <c r="P909" s="219"/>
      <c r="Q909" s="332"/>
      <c r="R909" s="332"/>
      <c r="S909" s="219"/>
      <c r="T909" s="332"/>
      <c r="U909" s="219"/>
      <c r="V909" s="332"/>
      <c r="W909" s="242"/>
      <c r="X909" s="332"/>
    </row>
    <row r="910" spans="1:24" ht="13">
      <c r="A910" s="7"/>
      <c r="C910" s="153"/>
      <c r="F910" s="332"/>
      <c r="G910" s="219"/>
      <c r="H910" s="116"/>
      <c r="I910" s="116"/>
      <c r="J910" s="116"/>
      <c r="K910" s="116"/>
      <c r="L910" s="116"/>
      <c r="M910" s="116"/>
      <c r="N910" s="116"/>
      <c r="O910" s="389"/>
      <c r="P910" s="219"/>
      <c r="Q910" s="332"/>
      <c r="R910" s="332"/>
      <c r="S910" s="219"/>
      <c r="T910" s="332"/>
      <c r="U910" s="219"/>
      <c r="V910" s="332"/>
      <c r="W910" s="242"/>
      <c r="X910" s="332"/>
    </row>
    <row r="911" spans="1:24" ht="13">
      <c r="A911" s="7"/>
      <c r="C911" s="153"/>
      <c r="F911" s="332"/>
      <c r="G911" s="219"/>
      <c r="H911" s="116"/>
      <c r="I911" s="116"/>
      <c r="J911" s="116"/>
      <c r="K911" s="116"/>
      <c r="L911" s="116"/>
      <c r="M911" s="116"/>
      <c r="N911" s="116"/>
      <c r="O911" s="389"/>
      <c r="P911" s="219"/>
      <c r="Q911" s="332"/>
      <c r="R911" s="332"/>
      <c r="S911" s="219"/>
      <c r="T911" s="332"/>
      <c r="U911" s="219"/>
      <c r="V911" s="332"/>
      <c r="W911" s="242"/>
      <c r="X911" s="332"/>
    </row>
    <row r="912" spans="1:24" ht="13">
      <c r="A912" s="7"/>
      <c r="C912" s="153"/>
      <c r="F912" s="332"/>
      <c r="G912" s="219"/>
      <c r="H912" s="116"/>
      <c r="I912" s="116"/>
      <c r="J912" s="116"/>
      <c r="K912" s="116"/>
      <c r="L912" s="116"/>
      <c r="M912" s="116"/>
      <c r="N912" s="116"/>
      <c r="O912" s="389"/>
      <c r="P912" s="219"/>
      <c r="Q912" s="332"/>
      <c r="R912" s="332"/>
      <c r="S912" s="219"/>
      <c r="T912" s="332"/>
      <c r="U912" s="219"/>
      <c r="V912" s="332"/>
      <c r="W912" s="242"/>
      <c r="X912" s="332"/>
    </row>
    <row r="913" spans="1:24" ht="13">
      <c r="A913" s="7"/>
      <c r="C913" s="153"/>
      <c r="F913" s="332"/>
      <c r="G913" s="219"/>
      <c r="H913" s="116"/>
      <c r="I913" s="116"/>
      <c r="J913" s="116"/>
      <c r="K913" s="116"/>
      <c r="L913" s="116"/>
      <c r="M913" s="116"/>
      <c r="N913" s="116"/>
      <c r="O913" s="389"/>
      <c r="P913" s="219"/>
      <c r="Q913" s="332"/>
      <c r="R913" s="332"/>
      <c r="S913" s="219"/>
      <c r="T913" s="332"/>
      <c r="U913" s="219"/>
      <c r="V913" s="332"/>
      <c r="W913" s="242"/>
      <c r="X913" s="332"/>
    </row>
    <row r="914" spans="1:24" ht="13">
      <c r="A914" s="7"/>
      <c r="C914" s="153"/>
      <c r="F914" s="332"/>
      <c r="G914" s="219"/>
      <c r="H914" s="116"/>
      <c r="I914" s="116"/>
      <c r="J914" s="116"/>
      <c r="K914" s="116"/>
      <c r="L914" s="116"/>
      <c r="M914" s="116"/>
      <c r="N914" s="116"/>
      <c r="O914" s="389"/>
      <c r="P914" s="219"/>
      <c r="Q914" s="332"/>
      <c r="R914" s="332"/>
      <c r="S914" s="219"/>
      <c r="T914" s="332"/>
      <c r="U914" s="219"/>
      <c r="V914" s="332"/>
      <c r="W914" s="242"/>
      <c r="X914" s="332"/>
    </row>
    <row r="915" spans="1:24" ht="13">
      <c r="A915" s="7"/>
      <c r="C915" s="153"/>
      <c r="F915" s="332"/>
      <c r="G915" s="219"/>
      <c r="H915" s="116"/>
      <c r="I915" s="116"/>
      <c r="J915" s="116"/>
      <c r="K915" s="116"/>
      <c r="L915" s="116"/>
      <c r="M915" s="116"/>
      <c r="N915" s="116"/>
      <c r="O915" s="389"/>
      <c r="P915" s="219"/>
      <c r="Q915" s="332"/>
      <c r="R915" s="332"/>
      <c r="S915" s="219"/>
      <c r="T915" s="332"/>
      <c r="U915" s="219"/>
      <c r="V915" s="332"/>
      <c r="W915" s="242"/>
      <c r="X915" s="332"/>
    </row>
    <row r="916" spans="1:24" ht="13">
      <c r="A916" s="7"/>
      <c r="C916" s="153"/>
      <c r="F916" s="332"/>
      <c r="G916" s="219"/>
      <c r="H916" s="116"/>
      <c r="I916" s="116"/>
      <c r="J916" s="116"/>
      <c r="K916" s="116"/>
      <c r="L916" s="116"/>
      <c r="M916" s="116"/>
      <c r="N916" s="116"/>
      <c r="O916" s="389"/>
      <c r="P916" s="219"/>
      <c r="Q916" s="332"/>
      <c r="R916" s="332"/>
      <c r="S916" s="219"/>
      <c r="T916" s="332"/>
      <c r="U916" s="219"/>
      <c r="V916" s="332"/>
      <c r="W916" s="242"/>
      <c r="X916" s="332"/>
    </row>
    <row r="917" spans="1:24" ht="13">
      <c r="A917" s="7"/>
      <c r="C917" s="153"/>
      <c r="F917" s="332"/>
      <c r="G917" s="219"/>
      <c r="H917" s="116"/>
      <c r="I917" s="116"/>
      <c r="J917" s="116"/>
      <c r="K917" s="116"/>
      <c r="L917" s="116"/>
      <c r="M917" s="116"/>
      <c r="N917" s="116"/>
      <c r="O917" s="389"/>
      <c r="P917" s="219"/>
      <c r="Q917" s="332"/>
      <c r="R917" s="332"/>
      <c r="S917" s="219"/>
      <c r="T917" s="332"/>
      <c r="U917" s="219"/>
      <c r="V917" s="332"/>
      <c r="W917" s="242"/>
      <c r="X917" s="332"/>
    </row>
    <row r="918" spans="1:24" ht="13">
      <c r="A918" s="7"/>
      <c r="C918" s="153"/>
      <c r="F918" s="332"/>
      <c r="G918" s="219"/>
      <c r="H918" s="116"/>
      <c r="I918" s="116"/>
      <c r="J918" s="116"/>
      <c r="K918" s="116"/>
      <c r="L918" s="116"/>
      <c r="M918" s="116"/>
      <c r="N918" s="116"/>
      <c r="O918" s="389"/>
      <c r="P918" s="219"/>
      <c r="Q918" s="332"/>
      <c r="R918" s="332"/>
      <c r="S918" s="219"/>
      <c r="T918" s="332"/>
      <c r="U918" s="219"/>
      <c r="V918" s="332"/>
      <c r="W918" s="242"/>
      <c r="X918" s="332"/>
    </row>
    <row r="919" spans="1:24" ht="13">
      <c r="A919" s="7"/>
      <c r="C919" s="153"/>
      <c r="F919" s="332"/>
      <c r="G919" s="219"/>
      <c r="H919" s="116"/>
      <c r="I919" s="116"/>
      <c r="J919" s="116"/>
      <c r="K919" s="116"/>
      <c r="L919" s="116"/>
      <c r="M919" s="116"/>
      <c r="N919" s="116"/>
      <c r="O919" s="389"/>
      <c r="P919" s="219"/>
      <c r="Q919" s="332"/>
      <c r="R919" s="332"/>
      <c r="S919" s="219"/>
      <c r="T919" s="332"/>
      <c r="U919" s="219"/>
      <c r="V919" s="332"/>
      <c r="W919" s="242"/>
      <c r="X919" s="332"/>
    </row>
    <row r="920" spans="1:24" ht="13">
      <c r="A920" s="7"/>
      <c r="C920" s="153"/>
      <c r="F920" s="332"/>
      <c r="G920" s="219"/>
      <c r="H920" s="116"/>
      <c r="I920" s="116"/>
      <c r="J920" s="116"/>
      <c r="K920" s="116"/>
      <c r="L920" s="116"/>
      <c r="M920" s="116"/>
      <c r="N920" s="116"/>
      <c r="O920" s="389"/>
      <c r="P920" s="219"/>
      <c r="Q920" s="332"/>
      <c r="R920" s="332"/>
      <c r="S920" s="219"/>
      <c r="T920" s="332"/>
      <c r="U920" s="219"/>
      <c r="V920" s="332"/>
      <c r="W920" s="242"/>
      <c r="X920" s="332"/>
    </row>
    <row r="921" spans="1:24" ht="13">
      <c r="A921" s="7"/>
      <c r="C921" s="153"/>
      <c r="F921" s="332"/>
      <c r="G921" s="219"/>
      <c r="H921" s="116"/>
      <c r="I921" s="116"/>
      <c r="J921" s="116"/>
      <c r="K921" s="116"/>
      <c r="L921" s="116"/>
      <c r="M921" s="116"/>
      <c r="N921" s="116"/>
      <c r="O921" s="389"/>
      <c r="P921" s="219"/>
      <c r="Q921" s="332"/>
      <c r="R921" s="332"/>
      <c r="S921" s="219"/>
      <c r="T921" s="332"/>
      <c r="U921" s="219"/>
      <c r="V921" s="332"/>
      <c r="W921" s="242"/>
      <c r="X921" s="332"/>
    </row>
    <row r="922" spans="1:24" ht="13">
      <c r="A922" s="7"/>
      <c r="C922" s="153"/>
      <c r="F922" s="332"/>
      <c r="G922" s="219"/>
      <c r="H922" s="116"/>
      <c r="I922" s="116"/>
      <c r="J922" s="116"/>
      <c r="K922" s="116"/>
      <c r="L922" s="116"/>
      <c r="M922" s="116"/>
      <c r="N922" s="116"/>
      <c r="O922" s="389"/>
      <c r="P922" s="219"/>
      <c r="Q922" s="332"/>
      <c r="R922" s="332"/>
      <c r="S922" s="219"/>
      <c r="T922" s="332"/>
      <c r="U922" s="219"/>
      <c r="V922" s="332"/>
      <c r="W922" s="242"/>
      <c r="X922" s="332"/>
    </row>
    <row r="923" spans="1:24" ht="13">
      <c r="A923" s="7"/>
      <c r="C923" s="153"/>
      <c r="F923" s="332"/>
      <c r="G923" s="219"/>
      <c r="H923" s="116"/>
      <c r="I923" s="116"/>
      <c r="J923" s="116"/>
      <c r="K923" s="116"/>
      <c r="L923" s="116"/>
      <c r="M923" s="116"/>
      <c r="N923" s="116"/>
      <c r="O923" s="389"/>
      <c r="P923" s="219"/>
      <c r="Q923" s="332"/>
      <c r="R923" s="332"/>
      <c r="S923" s="219"/>
      <c r="T923" s="332"/>
      <c r="U923" s="219"/>
      <c r="V923" s="332"/>
      <c r="W923" s="242"/>
      <c r="X923" s="332"/>
    </row>
    <row r="924" spans="1:24" ht="13">
      <c r="A924" s="7"/>
      <c r="C924" s="153"/>
      <c r="F924" s="332"/>
      <c r="G924" s="219"/>
      <c r="H924" s="116"/>
      <c r="I924" s="116"/>
      <c r="J924" s="116"/>
      <c r="K924" s="116"/>
      <c r="L924" s="116"/>
      <c r="M924" s="116"/>
      <c r="N924" s="116"/>
      <c r="O924" s="389"/>
      <c r="P924" s="219"/>
      <c r="Q924" s="332"/>
      <c r="R924" s="332"/>
      <c r="S924" s="219"/>
      <c r="T924" s="332"/>
      <c r="U924" s="219"/>
      <c r="V924" s="332"/>
      <c r="W924" s="242"/>
      <c r="X924" s="332"/>
    </row>
    <row r="925" spans="1:24" ht="13">
      <c r="A925" s="7"/>
      <c r="C925" s="153"/>
      <c r="F925" s="332"/>
      <c r="G925" s="219"/>
      <c r="H925" s="116"/>
      <c r="I925" s="116"/>
      <c r="J925" s="116"/>
      <c r="K925" s="116"/>
      <c r="L925" s="116"/>
      <c r="M925" s="116"/>
      <c r="N925" s="116"/>
      <c r="O925" s="389"/>
      <c r="P925" s="219"/>
      <c r="Q925" s="332"/>
      <c r="R925" s="332"/>
      <c r="S925" s="219"/>
      <c r="T925" s="332"/>
      <c r="U925" s="219"/>
      <c r="V925" s="332"/>
      <c r="W925" s="242"/>
      <c r="X925" s="332"/>
    </row>
    <row r="926" spans="1:24" ht="13">
      <c r="A926" s="7"/>
      <c r="C926" s="153"/>
      <c r="F926" s="332"/>
      <c r="G926" s="219"/>
      <c r="H926" s="116"/>
      <c r="I926" s="116"/>
      <c r="J926" s="116"/>
      <c r="K926" s="116"/>
      <c r="L926" s="116"/>
      <c r="M926" s="116"/>
      <c r="N926" s="116"/>
      <c r="O926" s="389"/>
      <c r="P926" s="219"/>
      <c r="Q926" s="332"/>
      <c r="R926" s="332"/>
      <c r="S926" s="219"/>
      <c r="T926" s="332"/>
      <c r="U926" s="219"/>
      <c r="V926" s="332"/>
      <c r="W926" s="242"/>
      <c r="X926" s="332"/>
    </row>
    <row r="927" spans="1:24" ht="13">
      <c r="A927" s="7"/>
      <c r="C927" s="153"/>
      <c r="F927" s="332"/>
      <c r="G927" s="219"/>
      <c r="H927" s="116"/>
      <c r="I927" s="116"/>
      <c r="J927" s="116"/>
      <c r="K927" s="116"/>
      <c r="L927" s="116"/>
      <c r="M927" s="116"/>
      <c r="N927" s="116"/>
      <c r="O927" s="389"/>
      <c r="P927" s="219"/>
      <c r="Q927" s="332"/>
      <c r="R927" s="332"/>
      <c r="S927" s="219"/>
      <c r="T927" s="332"/>
      <c r="U927" s="219"/>
      <c r="V927" s="332"/>
      <c r="W927" s="242"/>
      <c r="X927" s="332"/>
    </row>
    <row r="928" spans="1:24" ht="13">
      <c r="A928" s="7"/>
      <c r="C928" s="153"/>
      <c r="F928" s="332"/>
      <c r="G928" s="219"/>
      <c r="H928" s="116"/>
      <c r="I928" s="116"/>
      <c r="J928" s="116"/>
      <c r="K928" s="116"/>
      <c r="L928" s="116"/>
      <c r="M928" s="116"/>
      <c r="N928" s="116"/>
      <c r="O928" s="389"/>
      <c r="P928" s="219"/>
      <c r="Q928" s="332"/>
      <c r="R928" s="332"/>
      <c r="S928" s="219"/>
      <c r="T928" s="332"/>
      <c r="U928" s="219"/>
      <c r="V928" s="332"/>
      <c r="W928" s="242"/>
      <c r="X928" s="332"/>
    </row>
    <row r="929" spans="1:24" ht="13">
      <c r="A929" s="7"/>
      <c r="C929" s="153"/>
      <c r="F929" s="332"/>
      <c r="G929" s="219"/>
      <c r="H929" s="116"/>
      <c r="I929" s="116"/>
      <c r="J929" s="116"/>
      <c r="K929" s="116"/>
      <c r="L929" s="116"/>
      <c r="M929" s="116"/>
      <c r="N929" s="116"/>
      <c r="O929" s="389"/>
      <c r="P929" s="219"/>
      <c r="Q929" s="332"/>
      <c r="R929" s="332"/>
      <c r="S929" s="219"/>
      <c r="T929" s="332"/>
      <c r="U929" s="219"/>
      <c r="V929" s="332"/>
      <c r="W929" s="242"/>
      <c r="X929" s="332"/>
    </row>
    <row r="930" spans="1:24" ht="13">
      <c r="A930" s="7"/>
      <c r="C930" s="153"/>
      <c r="F930" s="332"/>
      <c r="G930" s="219"/>
      <c r="H930" s="116"/>
      <c r="I930" s="116"/>
      <c r="J930" s="116"/>
      <c r="K930" s="116"/>
      <c r="L930" s="116"/>
      <c r="M930" s="116"/>
      <c r="N930" s="116"/>
      <c r="O930" s="389"/>
      <c r="P930" s="219"/>
      <c r="Q930" s="332"/>
      <c r="R930" s="332"/>
      <c r="S930" s="219"/>
      <c r="T930" s="332"/>
      <c r="U930" s="219"/>
      <c r="V930" s="332"/>
      <c r="W930" s="242"/>
      <c r="X930" s="332"/>
    </row>
    <row r="931" spans="1:24" ht="13">
      <c r="A931" s="7"/>
      <c r="C931" s="153"/>
      <c r="F931" s="332"/>
      <c r="G931" s="219"/>
      <c r="H931" s="116"/>
      <c r="I931" s="116"/>
      <c r="J931" s="116"/>
      <c r="K931" s="116"/>
      <c r="L931" s="116"/>
      <c r="M931" s="116"/>
      <c r="N931" s="116"/>
      <c r="O931" s="389"/>
      <c r="P931" s="219"/>
      <c r="Q931" s="332"/>
      <c r="R931" s="332"/>
      <c r="S931" s="219"/>
      <c r="T931" s="332"/>
      <c r="U931" s="219"/>
      <c r="V931" s="332"/>
      <c r="W931" s="242"/>
      <c r="X931" s="332"/>
    </row>
    <row r="932" spans="1:24" ht="13">
      <c r="A932" s="7"/>
      <c r="C932" s="153"/>
      <c r="F932" s="332"/>
      <c r="G932" s="219"/>
      <c r="H932" s="116"/>
      <c r="I932" s="116"/>
      <c r="J932" s="116"/>
      <c r="K932" s="116"/>
      <c r="L932" s="116"/>
      <c r="M932" s="116"/>
      <c r="N932" s="116"/>
      <c r="O932" s="389"/>
      <c r="P932" s="219"/>
      <c r="Q932" s="332"/>
      <c r="R932" s="332"/>
      <c r="S932" s="219"/>
      <c r="T932" s="332"/>
      <c r="U932" s="219"/>
      <c r="V932" s="332"/>
      <c r="W932" s="242"/>
      <c r="X932" s="332"/>
    </row>
    <row r="933" spans="1:24" ht="13">
      <c r="A933" s="7"/>
      <c r="C933" s="153"/>
      <c r="F933" s="332"/>
      <c r="G933" s="219"/>
      <c r="H933" s="116"/>
      <c r="I933" s="116"/>
      <c r="J933" s="116"/>
      <c r="K933" s="116"/>
      <c r="L933" s="116"/>
      <c r="M933" s="116"/>
      <c r="N933" s="116"/>
      <c r="O933" s="389"/>
      <c r="P933" s="219"/>
      <c r="Q933" s="332"/>
      <c r="R933" s="332"/>
      <c r="S933" s="219"/>
      <c r="T933" s="332"/>
      <c r="U933" s="219"/>
      <c r="V933" s="332"/>
      <c r="W933" s="242"/>
      <c r="X933" s="332"/>
    </row>
    <row r="934" spans="1:24" ht="13">
      <c r="A934" s="7"/>
      <c r="C934" s="153"/>
      <c r="F934" s="332"/>
      <c r="G934" s="219"/>
      <c r="H934" s="116"/>
      <c r="I934" s="116"/>
      <c r="J934" s="116"/>
      <c r="K934" s="116"/>
      <c r="L934" s="116"/>
      <c r="M934" s="116"/>
      <c r="N934" s="116"/>
      <c r="O934" s="389"/>
      <c r="P934" s="219"/>
      <c r="Q934" s="332"/>
      <c r="R934" s="332"/>
      <c r="S934" s="219"/>
      <c r="T934" s="332"/>
      <c r="U934" s="219"/>
      <c r="V934" s="332"/>
      <c r="W934" s="242"/>
      <c r="X934" s="332"/>
    </row>
    <row r="935" spans="1:24" ht="13">
      <c r="A935" s="7"/>
      <c r="C935" s="153"/>
      <c r="F935" s="332"/>
      <c r="G935" s="219"/>
      <c r="H935" s="116"/>
      <c r="I935" s="116"/>
      <c r="J935" s="116"/>
      <c r="K935" s="116"/>
      <c r="L935" s="116"/>
      <c r="M935" s="116"/>
      <c r="N935" s="116"/>
      <c r="O935" s="389"/>
      <c r="P935" s="219"/>
      <c r="Q935" s="332"/>
      <c r="R935" s="332"/>
      <c r="S935" s="219"/>
      <c r="T935" s="332"/>
      <c r="U935" s="219"/>
      <c r="V935" s="332"/>
      <c r="W935" s="242"/>
      <c r="X935" s="332"/>
    </row>
    <row r="936" spans="1:24" ht="13">
      <c r="A936" s="7"/>
      <c r="C936" s="153"/>
      <c r="F936" s="332"/>
      <c r="G936" s="219"/>
      <c r="H936" s="116"/>
      <c r="I936" s="116"/>
      <c r="J936" s="116"/>
      <c r="K936" s="116"/>
      <c r="L936" s="116"/>
      <c r="M936" s="116"/>
      <c r="N936" s="116"/>
      <c r="O936" s="389"/>
      <c r="P936" s="219"/>
      <c r="Q936" s="332"/>
      <c r="R936" s="332"/>
      <c r="S936" s="219"/>
      <c r="T936" s="332"/>
      <c r="U936" s="219"/>
      <c r="V936" s="332"/>
      <c r="W936" s="242"/>
      <c r="X936" s="332"/>
    </row>
    <row r="937" spans="1:24" ht="13">
      <c r="A937" s="7"/>
      <c r="C937" s="153"/>
      <c r="F937" s="332"/>
      <c r="G937" s="219"/>
      <c r="H937" s="116"/>
      <c r="I937" s="116"/>
      <c r="J937" s="116"/>
      <c r="K937" s="116"/>
      <c r="L937" s="116"/>
      <c r="M937" s="116"/>
      <c r="N937" s="116"/>
      <c r="O937" s="389"/>
      <c r="P937" s="219"/>
      <c r="Q937" s="332"/>
      <c r="R937" s="332"/>
      <c r="S937" s="219"/>
      <c r="T937" s="332"/>
      <c r="U937" s="219"/>
      <c r="V937" s="332"/>
      <c r="W937" s="242"/>
      <c r="X937" s="332"/>
    </row>
    <row r="938" spans="1:24" ht="13">
      <c r="A938" s="7"/>
      <c r="C938" s="153"/>
      <c r="F938" s="332"/>
      <c r="G938" s="219"/>
      <c r="H938" s="116"/>
      <c r="I938" s="116"/>
      <c r="J938" s="116"/>
      <c r="K938" s="116"/>
      <c r="L938" s="116"/>
      <c r="M938" s="116"/>
      <c r="N938" s="116"/>
      <c r="O938" s="389"/>
      <c r="P938" s="219"/>
      <c r="Q938" s="332"/>
      <c r="R938" s="332"/>
      <c r="S938" s="219"/>
      <c r="T938" s="332"/>
      <c r="U938" s="219"/>
      <c r="V938" s="332"/>
      <c r="W938" s="242"/>
      <c r="X938" s="332"/>
    </row>
    <row r="939" spans="1:24" ht="13">
      <c r="A939" s="7"/>
      <c r="C939" s="153"/>
      <c r="F939" s="332"/>
      <c r="G939" s="219"/>
      <c r="H939" s="116"/>
      <c r="I939" s="116"/>
      <c r="J939" s="116"/>
      <c r="K939" s="116"/>
      <c r="L939" s="116"/>
      <c r="M939" s="116"/>
      <c r="N939" s="116"/>
      <c r="O939" s="389"/>
      <c r="P939" s="219"/>
      <c r="Q939" s="332"/>
      <c r="R939" s="332"/>
      <c r="S939" s="219"/>
      <c r="T939" s="332"/>
      <c r="U939" s="219"/>
      <c r="V939" s="332"/>
      <c r="W939" s="242"/>
      <c r="X939" s="332"/>
    </row>
    <row r="940" spans="1:24" ht="13">
      <c r="A940" s="7"/>
      <c r="C940" s="153"/>
      <c r="F940" s="332"/>
      <c r="G940" s="219"/>
      <c r="H940" s="116"/>
      <c r="I940" s="116"/>
      <c r="J940" s="116"/>
      <c r="K940" s="116"/>
      <c r="L940" s="116"/>
      <c r="M940" s="116"/>
      <c r="N940" s="116"/>
      <c r="O940" s="389"/>
      <c r="P940" s="219"/>
      <c r="Q940" s="332"/>
      <c r="R940" s="332"/>
      <c r="S940" s="219"/>
      <c r="T940" s="332"/>
      <c r="U940" s="219"/>
      <c r="V940" s="332"/>
      <c r="W940" s="242"/>
      <c r="X940" s="332"/>
    </row>
    <row r="941" spans="1:24" ht="13">
      <c r="A941" s="7"/>
      <c r="C941" s="153"/>
      <c r="F941" s="332"/>
      <c r="G941" s="219"/>
      <c r="H941" s="116"/>
      <c r="I941" s="116"/>
      <c r="J941" s="116"/>
      <c r="K941" s="116"/>
      <c r="L941" s="116"/>
      <c r="M941" s="116"/>
      <c r="N941" s="116"/>
      <c r="O941" s="389"/>
      <c r="P941" s="219"/>
      <c r="Q941" s="332"/>
      <c r="R941" s="332"/>
      <c r="S941" s="219"/>
      <c r="T941" s="332"/>
      <c r="U941" s="219"/>
      <c r="V941" s="332"/>
      <c r="W941" s="242"/>
      <c r="X941" s="332"/>
    </row>
    <row r="942" spans="1:24" ht="13">
      <c r="A942" s="7"/>
      <c r="C942" s="153"/>
      <c r="F942" s="332"/>
      <c r="G942" s="219"/>
      <c r="H942" s="116"/>
      <c r="I942" s="116"/>
      <c r="J942" s="116"/>
      <c r="K942" s="116"/>
      <c r="L942" s="116"/>
      <c r="M942" s="116"/>
      <c r="N942" s="116"/>
      <c r="O942" s="389"/>
      <c r="P942" s="219"/>
      <c r="Q942" s="332"/>
      <c r="R942" s="332"/>
      <c r="S942" s="219"/>
      <c r="T942" s="332"/>
      <c r="U942" s="219"/>
      <c r="V942" s="332"/>
      <c r="W942" s="242"/>
      <c r="X942" s="332"/>
    </row>
    <row r="943" spans="1:24" ht="13">
      <c r="A943" s="7"/>
      <c r="C943" s="153"/>
      <c r="F943" s="332"/>
      <c r="G943" s="219"/>
      <c r="H943" s="116"/>
      <c r="I943" s="116"/>
      <c r="J943" s="116"/>
      <c r="K943" s="116"/>
      <c r="L943" s="116"/>
      <c r="M943" s="116"/>
      <c r="N943" s="116"/>
      <c r="O943" s="389"/>
      <c r="P943" s="219"/>
      <c r="Q943" s="332"/>
      <c r="R943" s="332"/>
      <c r="S943" s="219"/>
      <c r="T943" s="332"/>
      <c r="U943" s="219"/>
      <c r="V943" s="332"/>
      <c r="W943" s="242"/>
      <c r="X943" s="332"/>
    </row>
    <row r="944" spans="1:24" ht="13">
      <c r="A944" s="7"/>
      <c r="C944" s="153"/>
      <c r="F944" s="332"/>
      <c r="G944" s="219"/>
      <c r="H944" s="116"/>
      <c r="I944" s="116"/>
      <c r="J944" s="116"/>
      <c r="K944" s="116"/>
      <c r="L944" s="116"/>
      <c r="M944" s="116"/>
      <c r="N944" s="116"/>
      <c r="O944" s="389"/>
      <c r="P944" s="219"/>
      <c r="Q944" s="332"/>
      <c r="R944" s="332"/>
      <c r="S944" s="219"/>
      <c r="T944" s="332"/>
      <c r="U944" s="219"/>
      <c r="V944" s="332"/>
      <c r="W944" s="242"/>
      <c r="X944" s="332"/>
    </row>
    <row r="945" spans="1:24" ht="13">
      <c r="A945" s="7"/>
      <c r="C945" s="153"/>
      <c r="F945" s="332"/>
      <c r="G945" s="219"/>
      <c r="H945" s="116"/>
      <c r="I945" s="116"/>
      <c r="J945" s="116"/>
      <c r="K945" s="116"/>
      <c r="L945" s="116"/>
      <c r="M945" s="116"/>
      <c r="N945" s="116"/>
      <c r="O945" s="389"/>
      <c r="P945" s="219"/>
      <c r="Q945" s="332"/>
      <c r="R945" s="332"/>
      <c r="S945" s="219"/>
      <c r="T945" s="332"/>
      <c r="U945" s="219"/>
      <c r="V945" s="332"/>
      <c r="W945" s="242"/>
      <c r="X945" s="332"/>
    </row>
    <row r="946" spans="1:24" ht="13">
      <c r="A946" s="7"/>
      <c r="C946" s="153"/>
      <c r="F946" s="332"/>
      <c r="G946" s="219"/>
      <c r="H946" s="116"/>
      <c r="I946" s="116"/>
      <c r="J946" s="116"/>
      <c r="K946" s="116"/>
      <c r="L946" s="116"/>
      <c r="M946" s="116"/>
      <c r="N946" s="116"/>
      <c r="O946" s="389"/>
      <c r="P946" s="219"/>
      <c r="Q946" s="332"/>
      <c r="R946" s="332"/>
      <c r="S946" s="219"/>
      <c r="T946" s="332"/>
      <c r="U946" s="219"/>
      <c r="V946" s="332"/>
      <c r="W946" s="242"/>
      <c r="X946" s="332"/>
    </row>
    <row r="947" spans="1:24" ht="13">
      <c r="A947" s="7"/>
      <c r="C947" s="153"/>
      <c r="F947" s="332"/>
      <c r="G947" s="219"/>
      <c r="H947" s="116"/>
      <c r="I947" s="116"/>
      <c r="J947" s="116"/>
      <c r="K947" s="116"/>
      <c r="L947" s="116"/>
      <c r="M947" s="116"/>
      <c r="N947" s="116"/>
      <c r="O947" s="389"/>
      <c r="P947" s="219"/>
      <c r="Q947" s="332"/>
      <c r="R947" s="332"/>
      <c r="S947" s="219"/>
      <c r="T947" s="332"/>
      <c r="U947" s="219"/>
      <c r="V947" s="332"/>
      <c r="W947" s="242"/>
      <c r="X947" s="332"/>
    </row>
    <row r="948" spans="1:24" ht="13">
      <c r="A948" s="7"/>
      <c r="C948" s="153"/>
      <c r="F948" s="332"/>
      <c r="G948" s="219"/>
      <c r="H948" s="116"/>
      <c r="I948" s="116"/>
      <c r="J948" s="116"/>
      <c r="K948" s="116"/>
      <c r="L948" s="116"/>
      <c r="M948" s="116"/>
      <c r="N948" s="116"/>
      <c r="O948" s="389"/>
      <c r="P948" s="219"/>
      <c r="Q948" s="332"/>
      <c r="R948" s="332"/>
      <c r="S948" s="219"/>
      <c r="T948" s="332"/>
      <c r="U948" s="219"/>
      <c r="V948" s="332"/>
      <c r="W948" s="242"/>
      <c r="X948" s="332"/>
    </row>
    <row r="949" spans="1:24" ht="13">
      <c r="A949" s="7"/>
      <c r="C949" s="153"/>
      <c r="F949" s="332"/>
      <c r="G949" s="219"/>
      <c r="H949" s="116"/>
      <c r="I949" s="116"/>
      <c r="J949" s="116"/>
      <c r="K949" s="116"/>
      <c r="L949" s="116"/>
      <c r="M949" s="116"/>
      <c r="N949" s="116"/>
      <c r="O949" s="389"/>
      <c r="P949" s="219"/>
      <c r="Q949" s="332"/>
      <c r="R949" s="332"/>
      <c r="S949" s="219"/>
      <c r="T949" s="332"/>
      <c r="U949" s="219"/>
      <c r="V949" s="332"/>
      <c r="W949" s="242"/>
      <c r="X949" s="332"/>
    </row>
    <row r="950" spans="1:24" ht="13">
      <c r="A950" s="7"/>
      <c r="C950" s="153"/>
      <c r="F950" s="332"/>
      <c r="G950" s="219"/>
      <c r="H950" s="116"/>
      <c r="I950" s="116"/>
      <c r="J950" s="116"/>
      <c r="K950" s="116"/>
      <c r="L950" s="116"/>
      <c r="M950" s="116"/>
      <c r="N950" s="116"/>
      <c r="O950" s="389"/>
      <c r="P950" s="219"/>
      <c r="Q950" s="332"/>
      <c r="R950" s="332"/>
      <c r="S950" s="219"/>
      <c r="T950" s="332"/>
      <c r="U950" s="219"/>
      <c r="V950" s="332"/>
      <c r="W950" s="242"/>
      <c r="X950" s="332"/>
    </row>
    <row r="951" spans="1:24" ht="13">
      <c r="A951" s="7"/>
      <c r="C951" s="153"/>
      <c r="F951" s="332"/>
      <c r="G951" s="219"/>
      <c r="H951" s="116"/>
      <c r="I951" s="116"/>
      <c r="J951" s="116"/>
      <c r="K951" s="116"/>
      <c r="L951" s="116"/>
      <c r="M951" s="116"/>
      <c r="N951" s="116"/>
      <c r="O951" s="389"/>
      <c r="P951" s="219"/>
      <c r="Q951" s="332"/>
      <c r="R951" s="332"/>
      <c r="S951" s="219"/>
      <c r="T951" s="332"/>
      <c r="U951" s="219"/>
      <c r="V951" s="332"/>
      <c r="W951" s="242"/>
      <c r="X951" s="332"/>
    </row>
    <row r="952" spans="1:24" ht="13">
      <c r="A952" s="7"/>
      <c r="C952" s="153"/>
      <c r="F952" s="332"/>
      <c r="G952" s="219"/>
      <c r="H952" s="116"/>
      <c r="I952" s="116"/>
      <c r="J952" s="116"/>
      <c r="K952" s="116"/>
      <c r="L952" s="116"/>
      <c r="M952" s="116"/>
      <c r="N952" s="116"/>
      <c r="O952" s="389"/>
      <c r="P952" s="219"/>
      <c r="Q952" s="332"/>
      <c r="R952" s="332"/>
      <c r="S952" s="219"/>
      <c r="T952" s="332"/>
      <c r="U952" s="219"/>
      <c r="V952" s="332"/>
      <c r="W952" s="242"/>
      <c r="X952" s="332"/>
    </row>
    <row r="953" spans="1:24" ht="13">
      <c r="A953" s="7"/>
      <c r="C953" s="153"/>
      <c r="F953" s="332"/>
      <c r="G953" s="219"/>
      <c r="H953" s="116"/>
      <c r="I953" s="116"/>
      <c r="J953" s="116"/>
      <c r="K953" s="116"/>
      <c r="L953" s="116"/>
      <c r="M953" s="116"/>
      <c r="N953" s="116"/>
      <c r="O953" s="389"/>
      <c r="P953" s="219"/>
      <c r="Q953" s="332"/>
      <c r="R953" s="332"/>
      <c r="S953" s="219"/>
      <c r="T953" s="332"/>
      <c r="U953" s="219"/>
      <c r="V953" s="332"/>
      <c r="W953" s="242"/>
      <c r="X953" s="332"/>
    </row>
    <row r="954" spans="1:24" ht="13">
      <c r="A954" s="7"/>
      <c r="C954" s="153"/>
      <c r="F954" s="332"/>
      <c r="G954" s="219"/>
      <c r="H954" s="116"/>
      <c r="I954" s="116"/>
      <c r="J954" s="116"/>
      <c r="K954" s="116"/>
      <c r="L954" s="116"/>
      <c r="M954" s="116"/>
      <c r="N954" s="116"/>
      <c r="O954" s="389"/>
      <c r="P954" s="219"/>
      <c r="Q954" s="332"/>
      <c r="R954" s="332"/>
      <c r="S954" s="219"/>
      <c r="T954" s="332"/>
      <c r="U954" s="219"/>
      <c r="V954" s="332"/>
      <c r="W954" s="242"/>
      <c r="X954" s="332"/>
    </row>
    <row r="955" spans="1:24" ht="13">
      <c r="A955" s="7"/>
      <c r="C955" s="153"/>
      <c r="F955" s="332"/>
      <c r="G955" s="219"/>
      <c r="H955" s="116"/>
      <c r="I955" s="116"/>
      <c r="J955" s="116"/>
      <c r="K955" s="116"/>
      <c r="L955" s="116"/>
      <c r="M955" s="116"/>
      <c r="N955" s="116"/>
      <c r="O955" s="389"/>
      <c r="P955" s="219"/>
      <c r="Q955" s="332"/>
      <c r="R955" s="332"/>
      <c r="S955" s="219"/>
      <c r="T955" s="332"/>
      <c r="U955" s="219"/>
      <c r="V955" s="332"/>
      <c r="W955" s="242"/>
      <c r="X955" s="332"/>
    </row>
    <row r="956" spans="1:24" ht="13">
      <c r="A956" s="7"/>
      <c r="C956" s="153"/>
      <c r="F956" s="332"/>
      <c r="G956" s="219"/>
      <c r="H956" s="116"/>
      <c r="I956" s="116"/>
      <c r="J956" s="116"/>
      <c r="K956" s="116"/>
      <c r="L956" s="116"/>
      <c r="M956" s="116"/>
      <c r="N956" s="116"/>
      <c r="O956" s="389"/>
      <c r="P956" s="219"/>
      <c r="Q956" s="332"/>
      <c r="R956" s="332"/>
      <c r="S956" s="219"/>
      <c r="T956" s="332"/>
      <c r="U956" s="219"/>
      <c r="V956" s="332"/>
      <c r="W956" s="242"/>
      <c r="X956" s="332"/>
    </row>
    <row r="957" spans="1:24" ht="13">
      <c r="A957" s="7"/>
      <c r="C957" s="153"/>
      <c r="F957" s="332"/>
      <c r="G957" s="219"/>
      <c r="H957" s="116"/>
      <c r="I957" s="116"/>
      <c r="J957" s="116"/>
      <c r="K957" s="116"/>
      <c r="L957" s="116"/>
      <c r="M957" s="116"/>
      <c r="N957" s="116"/>
      <c r="O957" s="389"/>
      <c r="P957" s="219"/>
      <c r="Q957" s="332"/>
      <c r="R957" s="332"/>
      <c r="S957" s="219"/>
      <c r="T957" s="332"/>
      <c r="U957" s="219"/>
      <c r="V957" s="332"/>
      <c r="W957" s="242"/>
      <c r="X957" s="332"/>
    </row>
    <row r="958" spans="1:24" ht="13">
      <c r="A958" s="7"/>
      <c r="C958" s="153"/>
      <c r="F958" s="332"/>
      <c r="G958" s="219"/>
      <c r="H958" s="116"/>
      <c r="I958" s="116"/>
      <c r="J958" s="116"/>
      <c r="K958" s="116"/>
      <c r="L958" s="116"/>
      <c r="M958" s="116"/>
      <c r="N958" s="116"/>
      <c r="O958" s="389"/>
      <c r="P958" s="219"/>
      <c r="Q958" s="332"/>
      <c r="R958" s="332"/>
      <c r="S958" s="219"/>
      <c r="T958" s="332"/>
      <c r="U958" s="219"/>
      <c r="V958" s="332"/>
      <c r="W958" s="242"/>
      <c r="X958" s="332"/>
    </row>
    <row r="959" spans="1:24" ht="13">
      <c r="A959" s="7"/>
      <c r="C959" s="153"/>
      <c r="F959" s="332"/>
      <c r="G959" s="219"/>
      <c r="H959" s="116"/>
      <c r="I959" s="116"/>
      <c r="J959" s="116"/>
      <c r="K959" s="116"/>
      <c r="L959" s="116"/>
      <c r="M959" s="116"/>
      <c r="N959" s="116"/>
      <c r="O959" s="389"/>
      <c r="P959" s="219"/>
      <c r="Q959" s="332"/>
      <c r="R959" s="332"/>
      <c r="S959" s="219"/>
      <c r="T959" s="332"/>
      <c r="U959" s="219"/>
      <c r="V959" s="332"/>
      <c r="W959" s="242"/>
      <c r="X959" s="332"/>
    </row>
    <row r="960" spans="1:24" ht="13">
      <c r="A960" s="7"/>
      <c r="C960" s="153"/>
      <c r="F960" s="332"/>
      <c r="G960" s="219"/>
      <c r="H960" s="116"/>
      <c r="I960" s="116"/>
      <c r="J960" s="116"/>
      <c r="K960" s="116"/>
      <c r="L960" s="116"/>
      <c r="M960" s="116"/>
      <c r="N960" s="116"/>
      <c r="O960" s="389"/>
      <c r="P960" s="219"/>
      <c r="Q960" s="332"/>
      <c r="R960" s="332"/>
      <c r="S960" s="219"/>
      <c r="T960" s="332"/>
      <c r="U960" s="219"/>
      <c r="V960" s="332"/>
      <c r="W960" s="242"/>
      <c r="X960" s="332"/>
    </row>
    <row r="961" spans="1:24" ht="13">
      <c r="A961" s="7"/>
      <c r="C961" s="153"/>
      <c r="F961" s="332"/>
      <c r="G961" s="219"/>
      <c r="H961" s="116"/>
      <c r="I961" s="116"/>
      <c r="J961" s="116"/>
      <c r="K961" s="116"/>
      <c r="L961" s="116"/>
      <c r="M961" s="116"/>
      <c r="N961" s="116"/>
      <c r="O961" s="389"/>
      <c r="P961" s="219"/>
      <c r="Q961" s="332"/>
      <c r="R961" s="332"/>
      <c r="S961" s="219"/>
      <c r="T961" s="332"/>
      <c r="U961" s="219"/>
      <c r="V961" s="332"/>
      <c r="W961" s="242"/>
      <c r="X961" s="332"/>
    </row>
    <row r="962" spans="1:24" ht="13">
      <c r="A962" s="7"/>
      <c r="C962" s="153"/>
      <c r="F962" s="332"/>
      <c r="G962" s="219"/>
      <c r="H962" s="116"/>
      <c r="I962" s="116"/>
      <c r="J962" s="116"/>
      <c r="K962" s="116"/>
      <c r="L962" s="116"/>
      <c r="M962" s="116"/>
      <c r="N962" s="116"/>
      <c r="O962" s="389"/>
      <c r="P962" s="219"/>
      <c r="Q962" s="332"/>
      <c r="R962" s="332"/>
      <c r="S962" s="219"/>
      <c r="T962" s="332"/>
      <c r="U962" s="219"/>
      <c r="V962" s="332"/>
      <c r="W962" s="242"/>
      <c r="X962" s="332"/>
    </row>
    <row r="963" spans="1:24" ht="13">
      <c r="A963" s="7"/>
      <c r="C963" s="153"/>
      <c r="F963" s="332"/>
      <c r="G963" s="219"/>
      <c r="H963" s="116"/>
      <c r="I963" s="116"/>
      <c r="J963" s="116"/>
      <c r="K963" s="116"/>
      <c r="L963" s="116"/>
      <c r="M963" s="116"/>
      <c r="N963" s="116"/>
      <c r="O963" s="389"/>
      <c r="P963" s="219"/>
      <c r="Q963" s="332"/>
      <c r="R963" s="332"/>
      <c r="S963" s="219"/>
      <c r="T963" s="332"/>
      <c r="U963" s="219"/>
      <c r="V963" s="332"/>
      <c r="W963" s="242"/>
      <c r="X963" s="332"/>
    </row>
    <row r="964" spans="1:24" ht="13">
      <c r="A964" s="7"/>
      <c r="C964" s="153"/>
      <c r="F964" s="332"/>
      <c r="G964" s="219"/>
      <c r="H964" s="116"/>
      <c r="I964" s="116"/>
      <c r="J964" s="116"/>
      <c r="K964" s="116"/>
      <c r="L964" s="116"/>
      <c r="M964" s="116"/>
      <c r="N964" s="116"/>
      <c r="O964" s="389"/>
      <c r="P964" s="219"/>
      <c r="Q964" s="332"/>
      <c r="R964" s="332"/>
      <c r="S964" s="219"/>
      <c r="T964" s="332"/>
      <c r="U964" s="219"/>
      <c r="V964" s="332"/>
      <c r="W964" s="242"/>
      <c r="X964" s="332"/>
    </row>
    <row r="965" spans="1:24" ht="13">
      <c r="A965" s="7"/>
      <c r="C965" s="153"/>
      <c r="F965" s="332"/>
      <c r="G965" s="219"/>
      <c r="H965" s="116"/>
      <c r="I965" s="116"/>
      <c r="J965" s="116"/>
      <c r="K965" s="116"/>
      <c r="L965" s="116"/>
      <c r="M965" s="116"/>
      <c r="N965" s="116"/>
      <c r="O965" s="389"/>
      <c r="P965" s="219"/>
      <c r="Q965" s="332"/>
      <c r="R965" s="332"/>
      <c r="S965" s="219"/>
      <c r="T965" s="332"/>
      <c r="U965" s="219"/>
      <c r="V965" s="332"/>
      <c r="W965" s="242"/>
      <c r="X965" s="332"/>
    </row>
    <row r="966" spans="1:24" ht="13">
      <c r="A966" s="7"/>
      <c r="C966" s="153"/>
      <c r="F966" s="332"/>
      <c r="G966" s="219"/>
      <c r="H966" s="116"/>
      <c r="I966" s="116"/>
      <c r="J966" s="116"/>
      <c r="K966" s="116"/>
      <c r="L966" s="116"/>
      <c r="M966" s="116"/>
      <c r="N966" s="116"/>
      <c r="O966" s="389"/>
      <c r="P966" s="219"/>
      <c r="Q966" s="332"/>
      <c r="R966" s="332"/>
      <c r="S966" s="219"/>
      <c r="T966" s="332"/>
      <c r="U966" s="219"/>
      <c r="V966" s="332"/>
      <c r="W966" s="242"/>
      <c r="X966" s="332"/>
    </row>
    <row r="967" spans="1:24" ht="13">
      <c r="A967" s="7"/>
      <c r="C967" s="153"/>
      <c r="F967" s="332"/>
      <c r="G967" s="219"/>
      <c r="H967" s="116"/>
      <c r="I967" s="116"/>
      <c r="J967" s="116"/>
      <c r="K967" s="116"/>
      <c r="L967" s="116"/>
      <c r="M967" s="116"/>
      <c r="N967" s="116"/>
      <c r="O967" s="389"/>
      <c r="P967" s="219"/>
      <c r="Q967" s="332"/>
      <c r="R967" s="332"/>
      <c r="S967" s="219"/>
      <c r="T967" s="332"/>
      <c r="U967" s="219"/>
      <c r="V967" s="332"/>
      <c r="W967" s="242"/>
      <c r="X967" s="332"/>
    </row>
    <row r="968" spans="1:24" ht="13">
      <c r="A968" s="7"/>
      <c r="C968" s="153"/>
      <c r="F968" s="332"/>
      <c r="G968" s="219"/>
      <c r="H968" s="116"/>
      <c r="I968" s="116"/>
      <c r="J968" s="116"/>
      <c r="K968" s="116"/>
      <c r="L968" s="116"/>
      <c r="M968" s="116"/>
      <c r="N968" s="116"/>
      <c r="O968" s="389"/>
      <c r="P968" s="219"/>
      <c r="Q968" s="332"/>
      <c r="R968" s="332"/>
      <c r="S968" s="219"/>
      <c r="T968" s="332"/>
      <c r="U968" s="219"/>
      <c r="V968" s="332"/>
      <c r="W968" s="242"/>
      <c r="X968" s="332"/>
    </row>
    <row r="969" spans="1:24" ht="13">
      <c r="A969" s="7"/>
      <c r="C969" s="153"/>
      <c r="F969" s="332"/>
      <c r="G969" s="219"/>
      <c r="H969" s="116"/>
      <c r="I969" s="116"/>
      <c r="J969" s="116"/>
      <c r="K969" s="116"/>
      <c r="L969" s="116"/>
      <c r="M969" s="116"/>
      <c r="N969" s="116"/>
      <c r="O969" s="389"/>
      <c r="P969" s="219"/>
      <c r="Q969" s="332"/>
      <c r="R969" s="332"/>
      <c r="S969" s="219"/>
      <c r="T969" s="332"/>
      <c r="U969" s="219"/>
      <c r="V969" s="332"/>
      <c r="W969" s="242"/>
      <c r="X969" s="332"/>
    </row>
    <row r="970" spans="1:24" ht="13">
      <c r="A970" s="7"/>
      <c r="C970" s="153"/>
      <c r="F970" s="332"/>
      <c r="G970" s="219"/>
      <c r="H970" s="116"/>
      <c r="I970" s="116"/>
      <c r="J970" s="116"/>
      <c r="K970" s="116"/>
      <c r="L970" s="116"/>
      <c r="M970" s="116"/>
      <c r="N970" s="116"/>
      <c r="O970" s="389"/>
      <c r="P970" s="219"/>
      <c r="Q970" s="332"/>
      <c r="R970" s="332"/>
      <c r="S970" s="219"/>
      <c r="T970" s="332"/>
      <c r="U970" s="219"/>
      <c r="V970" s="332"/>
      <c r="W970" s="242"/>
      <c r="X970" s="332"/>
    </row>
    <row r="971" spans="1:24" ht="13">
      <c r="A971" s="7"/>
      <c r="C971" s="153"/>
      <c r="F971" s="332"/>
      <c r="G971" s="219"/>
      <c r="H971" s="116"/>
      <c r="I971" s="116"/>
      <c r="J971" s="116"/>
      <c r="K971" s="116"/>
      <c r="L971" s="116"/>
      <c r="M971" s="116"/>
      <c r="N971" s="116"/>
      <c r="O971" s="389"/>
      <c r="P971" s="219"/>
      <c r="Q971" s="332"/>
      <c r="R971" s="332"/>
      <c r="S971" s="219"/>
      <c r="T971" s="332"/>
      <c r="U971" s="219"/>
      <c r="V971" s="332"/>
      <c r="W971" s="242"/>
      <c r="X971" s="332"/>
    </row>
    <row r="972" spans="1:24" ht="13">
      <c r="A972" s="7"/>
      <c r="C972" s="153"/>
      <c r="F972" s="332"/>
      <c r="G972" s="219"/>
      <c r="H972" s="116"/>
      <c r="I972" s="116"/>
      <c r="J972" s="116"/>
      <c r="K972" s="116"/>
      <c r="L972" s="116"/>
      <c r="M972" s="116"/>
      <c r="N972" s="116"/>
      <c r="O972" s="389"/>
      <c r="P972" s="219"/>
      <c r="Q972" s="332"/>
      <c r="R972" s="332"/>
      <c r="S972" s="219"/>
      <c r="T972" s="332"/>
      <c r="U972" s="219"/>
      <c r="V972" s="332"/>
      <c r="W972" s="242"/>
      <c r="X972" s="332"/>
    </row>
    <row r="973" spans="1:24" ht="13">
      <c r="A973" s="7"/>
      <c r="C973" s="153"/>
      <c r="F973" s="332"/>
      <c r="G973" s="219"/>
      <c r="H973" s="116"/>
      <c r="I973" s="116"/>
      <c r="J973" s="116"/>
      <c r="K973" s="116"/>
      <c r="L973" s="116"/>
      <c r="M973" s="116"/>
      <c r="N973" s="116"/>
      <c r="O973" s="389"/>
      <c r="P973" s="219"/>
      <c r="Q973" s="332"/>
      <c r="R973" s="332"/>
      <c r="S973" s="219"/>
      <c r="T973" s="332"/>
      <c r="U973" s="219"/>
      <c r="V973" s="332"/>
      <c r="W973" s="242"/>
      <c r="X973" s="332"/>
    </row>
    <row r="974" spans="1:24" ht="13">
      <c r="A974" s="7"/>
      <c r="C974" s="153"/>
      <c r="F974" s="332"/>
      <c r="G974" s="219"/>
      <c r="H974" s="116"/>
      <c r="I974" s="116"/>
      <c r="J974" s="116"/>
      <c r="K974" s="116"/>
      <c r="L974" s="116"/>
      <c r="M974" s="116"/>
      <c r="N974" s="116"/>
      <c r="O974" s="389"/>
      <c r="P974" s="219"/>
      <c r="Q974" s="332"/>
      <c r="R974" s="332"/>
      <c r="S974" s="219"/>
      <c r="T974" s="332"/>
      <c r="U974" s="219"/>
      <c r="V974" s="332"/>
      <c r="W974" s="242"/>
      <c r="X974" s="332"/>
    </row>
    <row r="975" spans="1:24" ht="13">
      <c r="A975" s="7"/>
      <c r="C975" s="153"/>
      <c r="F975" s="332"/>
      <c r="G975" s="219"/>
      <c r="H975" s="116"/>
      <c r="I975" s="116"/>
      <c r="J975" s="116"/>
      <c r="K975" s="116"/>
      <c r="L975" s="116"/>
      <c r="M975" s="116"/>
      <c r="N975" s="116"/>
      <c r="O975" s="389"/>
      <c r="P975" s="219"/>
      <c r="Q975" s="332"/>
      <c r="R975" s="332"/>
      <c r="S975" s="219"/>
      <c r="T975" s="332"/>
      <c r="U975" s="219"/>
      <c r="V975" s="332"/>
      <c r="W975" s="242"/>
      <c r="X975" s="332"/>
    </row>
    <row r="976" spans="1:24" ht="13">
      <c r="A976" s="7"/>
      <c r="C976" s="153"/>
      <c r="F976" s="332"/>
      <c r="G976" s="219"/>
      <c r="H976" s="116"/>
      <c r="I976" s="116"/>
      <c r="J976" s="116"/>
      <c r="K976" s="116"/>
      <c r="L976" s="116"/>
      <c r="M976" s="116"/>
      <c r="N976" s="116"/>
      <c r="O976" s="389"/>
      <c r="P976" s="219"/>
      <c r="Q976" s="332"/>
      <c r="R976" s="332"/>
      <c r="S976" s="219"/>
      <c r="T976" s="332"/>
      <c r="U976" s="219"/>
      <c r="V976" s="332"/>
      <c r="W976" s="242"/>
      <c r="X976" s="332"/>
    </row>
    <row r="977" spans="1:24" ht="13">
      <c r="A977" s="7"/>
      <c r="C977" s="153"/>
      <c r="F977" s="332"/>
      <c r="G977" s="219"/>
      <c r="H977" s="116"/>
      <c r="I977" s="116"/>
      <c r="J977" s="116"/>
      <c r="K977" s="116"/>
      <c r="L977" s="116"/>
      <c r="M977" s="116"/>
      <c r="N977" s="116"/>
      <c r="O977" s="389"/>
      <c r="P977" s="219"/>
      <c r="Q977" s="332"/>
      <c r="R977" s="332"/>
      <c r="S977" s="219"/>
      <c r="T977" s="332"/>
      <c r="U977" s="219"/>
      <c r="V977" s="332"/>
      <c r="W977" s="242"/>
      <c r="X977" s="332"/>
    </row>
    <row r="978" spans="1:24" ht="13">
      <c r="A978" s="7"/>
      <c r="C978" s="153"/>
      <c r="F978" s="332"/>
      <c r="G978" s="219"/>
      <c r="H978" s="116"/>
      <c r="I978" s="116"/>
      <c r="J978" s="116"/>
      <c r="K978" s="116"/>
      <c r="L978" s="116"/>
      <c r="M978" s="116"/>
      <c r="N978" s="116"/>
      <c r="O978" s="389"/>
      <c r="P978" s="219"/>
      <c r="Q978" s="332"/>
      <c r="R978" s="332"/>
      <c r="S978" s="219"/>
      <c r="T978" s="332"/>
      <c r="U978" s="219"/>
      <c r="V978" s="332"/>
      <c r="W978" s="242"/>
      <c r="X978" s="332"/>
    </row>
    <row r="979" spans="1:24" ht="13">
      <c r="A979" s="7"/>
      <c r="C979" s="153"/>
      <c r="F979" s="332"/>
      <c r="G979" s="219"/>
      <c r="H979" s="116"/>
      <c r="I979" s="116"/>
      <c r="J979" s="116"/>
      <c r="K979" s="116"/>
      <c r="L979" s="116"/>
      <c r="M979" s="116"/>
      <c r="N979" s="116"/>
      <c r="O979" s="389"/>
      <c r="P979" s="219"/>
      <c r="Q979" s="332"/>
      <c r="R979" s="332"/>
      <c r="S979" s="219"/>
      <c r="T979" s="332"/>
      <c r="U979" s="219"/>
      <c r="V979" s="332"/>
      <c r="W979" s="242"/>
      <c r="X979" s="332"/>
    </row>
    <row r="980" spans="1:24" ht="13">
      <c r="A980" s="7"/>
      <c r="C980" s="153"/>
      <c r="F980" s="332"/>
      <c r="G980" s="219"/>
      <c r="H980" s="116"/>
      <c r="I980" s="116"/>
      <c r="J980" s="116"/>
      <c r="K980" s="116"/>
      <c r="L980" s="116"/>
      <c r="M980" s="116"/>
      <c r="N980" s="116"/>
      <c r="O980" s="389"/>
      <c r="P980" s="219"/>
      <c r="Q980" s="332"/>
      <c r="R980" s="332"/>
      <c r="S980" s="219"/>
      <c r="T980" s="332"/>
      <c r="U980" s="219"/>
      <c r="V980" s="332"/>
      <c r="W980" s="242"/>
      <c r="X980" s="332"/>
    </row>
    <row r="981" spans="1:24" ht="13">
      <c r="A981" s="7"/>
      <c r="C981" s="153"/>
      <c r="F981" s="332"/>
      <c r="G981" s="219"/>
      <c r="H981" s="116"/>
      <c r="I981" s="116"/>
      <c r="J981" s="116"/>
      <c r="K981" s="116"/>
      <c r="L981" s="116"/>
      <c r="M981" s="116"/>
      <c r="N981" s="116"/>
      <c r="O981" s="389"/>
      <c r="P981" s="219"/>
      <c r="Q981" s="332"/>
      <c r="R981" s="332"/>
      <c r="S981" s="219"/>
      <c r="T981" s="332"/>
      <c r="U981" s="219"/>
      <c r="V981" s="332"/>
      <c r="W981" s="242"/>
      <c r="X981" s="332"/>
    </row>
    <row r="982" spans="1:24" ht="13">
      <c r="A982" s="7"/>
      <c r="C982" s="153"/>
      <c r="F982" s="332"/>
      <c r="G982" s="219"/>
      <c r="H982" s="116"/>
      <c r="I982" s="116"/>
      <c r="J982" s="116"/>
      <c r="K982" s="116"/>
      <c r="L982" s="116"/>
      <c r="M982" s="116"/>
      <c r="N982" s="116"/>
      <c r="O982" s="389"/>
      <c r="P982" s="219"/>
      <c r="Q982" s="332"/>
      <c r="R982" s="332"/>
      <c r="S982" s="219"/>
      <c r="T982" s="332"/>
      <c r="U982" s="219"/>
      <c r="V982" s="332"/>
      <c r="W982" s="242"/>
      <c r="X982" s="332"/>
    </row>
    <row r="983" spans="1:24" ht="13">
      <c r="A983" s="7"/>
      <c r="C983" s="153"/>
      <c r="F983" s="332"/>
      <c r="G983" s="219"/>
      <c r="H983" s="116"/>
      <c r="I983" s="116"/>
      <c r="J983" s="116"/>
      <c r="K983" s="116"/>
      <c r="L983" s="116"/>
      <c r="M983" s="116"/>
      <c r="N983" s="116"/>
      <c r="O983" s="389"/>
      <c r="P983" s="219"/>
      <c r="Q983" s="332"/>
      <c r="R983" s="332"/>
      <c r="S983" s="219"/>
      <c r="T983" s="332"/>
      <c r="U983" s="219"/>
      <c r="V983" s="332"/>
      <c r="W983" s="242"/>
      <c r="X983" s="332"/>
    </row>
    <row r="984" spans="1:24" ht="13">
      <c r="A984" s="7"/>
      <c r="C984" s="153"/>
      <c r="F984" s="332"/>
      <c r="G984" s="219"/>
      <c r="H984" s="116"/>
      <c r="I984" s="116"/>
      <c r="J984" s="116"/>
      <c r="K984" s="116"/>
      <c r="L984" s="116"/>
      <c r="M984" s="116"/>
      <c r="N984" s="116"/>
      <c r="O984" s="389"/>
      <c r="P984" s="219"/>
      <c r="Q984" s="332"/>
      <c r="R984" s="332"/>
      <c r="S984" s="219"/>
      <c r="T984" s="332"/>
      <c r="U984" s="219"/>
      <c r="V984" s="332"/>
      <c r="W984" s="242"/>
      <c r="X984" s="332"/>
    </row>
    <row r="985" spans="1:24" ht="13">
      <c r="A985" s="7"/>
      <c r="C985" s="153"/>
      <c r="F985" s="332"/>
      <c r="G985" s="219"/>
      <c r="H985" s="116"/>
      <c r="I985" s="116"/>
      <c r="J985" s="116"/>
      <c r="K985" s="116"/>
      <c r="L985" s="116"/>
      <c r="M985" s="116"/>
      <c r="N985" s="116"/>
      <c r="O985" s="389"/>
      <c r="P985" s="219"/>
      <c r="Q985" s="332"/>
      <c r="R985" s="332"/>
      <c r="S985" s="219"/>
      <c r="T985" s="332"/>
      <c r="U985" s="219"/>
      <c r="V985" s="332"/>
      <c r="W985" s="242"/>
      <c r="X985" s="332"/>
    </row>
    <row r="986" spans="1:24" ht="13">
      <c r="A986" s="7"/>
      <c r="C986" s="153"/>
      <c r="F986" s="332"/>
      <c r="G986" s="219"/>
      <c r="H986" s="116"/>
      <c r="I986" s="116"/>
      <c r="J986" s="116"/>
      <c r="K986" s="116"/>
      <c r="L986" s="116"/>
      <c r="M986" s="116"/>
      <c r="N986" s="116"/>
      <c r="O986" s="389"/>
      <c r="P986" s="219"/>
      <c r="Q986" s="332"/>
      <c r="R986" s="332"/>
      <c r="S986" s="219"/>
      <c r="T986" s="332"/>
      <c r="U986" s="219"/>
      <c r="V986" s="332"/>
      <c r="W986" s="242"/>
      <c r="X986" s="332"/>
    </row>
    <row r="987" spans="1:24" ht="13">
      <c r="A987" s="7"/>
      <c r="C987" s="153"/>
      <c r="F987" s="332"/>
      <c r="G987" s="219"/>
      <c r="H987" s="116"/>
      <c r="I987" s="116"/>
      <c r="J987" s="116"/>
      <c r="K987" s="116"/>
      <c r="L987" s="116"/>
      <c r="M987" s="116"/>
      <c r="N987" s="116"/>
      <c r="O987" s="389"/>
      <c r="P987" s="219"/>
      <c r="Q987" s="332"/>
      <c r="R987" s="332"/>
      <c r="S987" s="219"/>
      <c r="T987" s="332"/>
      <c r="U987" s="219"/>
      <c r="V987" s="332"/>
      <c r="W987" s="242"/>
      <c r="X987" s="332"/>
    </row>
    <row r="988" spans="1:24" ht="13">
      <c r="A988" s="7"/>
      <c r="C988" s="153"/>
      <c r="F988" s="332"/>
      <c r="G988" s="219"/>
      <c r="H988" s="116"/>
      <c r="I988" s="116"/>
      <c r="J988" s="116"/>
      <c r="K988" s="116"/>
      <c r="L988" s="116"/>
      <c r="M988" s="116"/>
      <c r="N988" s="116"/>
      <c r="O988" s="389"/>
      <c r="P988" s="219"/>
      <c r="Q988" s="332"/>
      <c r="R988" s="332"/>
      <c r="S988" s="219"/>
      <c r="T988" s="332"/>
      <c r="U988" s="219"/>
      <c r="V988" s="332"/>
      <c r="W988" s="242"/>
      <c r="X988" s="332"/>
    </row>
    <row r="989" spans="1:24" ht="13">
      <c r="A989" s="7"/>
      <c r="C989" s="153"/>
      <c r="F989" s="332"/>
      <c r="G989" s="219"/>
      <c r="H989" s="116"/>
      <c r="I989" s="116"/>
      <c r="J989" s="116"/>
      <c r="K989" s="116"/>
      <c r="L989" s="116"/>
      <c r="M989" s="116"/>
      <c r="N989" s="116"/>
      <c r="O989" s="389"/>
      <c r="P989" s="219"/>
      <c r="Q989" s="332"/>
      <c r="R989" s="332"/>
      <c r="S989" s="219"/>
      <c r="T989" s="332"/>
      <c r="U989" s="219"/>
      <c r="V989" s="332"/>
      <c r="W989" s="242"/>
      <c r="X989" s="332"/>
    </row>
    <row r="990" spans="1:24" ht="13">
      <c r="A990" s="7"/>
      <c r="C990" s="153"/>
      <c r="F990" s="332"/>
      <c r="G990" s="219"/>
      <c r="H990" s="116"/>
      <c r="I990" s="116"/>
      <c r="J990" s="116"/>
      <c r="K990" s="116"/>
      <c r="L990" s="116"/>
      <c r="M990" s="116"/>
      <c r="N990" s="116"/>
      <c r="O990" s="389"/>
      <c r="P990" s="219"/>
      <c r="Q990" s="332"/>
      <c r="R990" s="332"/>
      <c r="S990" s="219"/>
      <c r="T990" s="332"/>
      <c r="U990" s="219"/>
      <c r="V990" s="332"/>
      <c r="W990" s="242"/>
      <c r="X990" s="332"/>
    </row>
    <row r="991" spans="1:24" ht="13">
      <c r="A991" s="7"/>
      <c r="C991" s="153"/>
      <c r="F991" s="332"/>
      <c r="G991" s="219"/>
      <c r="H991" s="116"/>
      <c r="I991" s="116"/>
      <c r="J991" s="116"/>
      <c r="K991" s="116"/>
      <c r="L991" s="116"/>
      <c r="M991" s="116"/>
      <c r="N991" s="116"/>
      <c r="O991" s="389"/>
      <c r="P991" s="219"/>
      <c r="Q991" s="332"/>
      <c r="R991" s="332"/>
      <c r="S991" s="219"/>
      <c r="T991" s="332"/>
      <c r="U991" s="219"/>
      <c r="V991" s="332"/>
      <c r="W991" s="242"/>
      <c r="X991" s="332"/>
    </row>
    <row r="992" spans="1:24" ht="13">
      <c r="A992" s="7"/>
      <c r="C992" s="153"/>
      <c r="F992" s="332"/>
      <c r="G992" s="219"/>
      <c r="H992" s="116"/>
      <c r="I992" s="116"/>
      <c r="J992" s="116"/>
      <c r="K992" s="116"/>
      <c r="L992" s="116"/>
      <c r="M992" s="116"/>
      <c r="N992" s="116"/>
      <c r="O992" s="389"/>
      <c r="P992" s="219"/>
      <c r="Q992" s="332"/>
      <c r="R992" s="332"/>
      <c r="S992" s="219"/>
      <c r="T992" s="332"/>
      <c r="U992" s="219"/>
      <c r="V992" s="332"/>
      <c r="W992" s="242"/>
      <c r="X992" s="332"/>
    </row>
    <row r="993" spans="1:24" ht="13">
      <c r="A993" s="7"/>
      <c r="C993" s="153"/>
      <c r="F993" s="332"/>
      <c r="G993" s="219"/>
      <c r="H993" s="116"/>
      <c r="I993" s="116"/>
      <c r="J993" s="116"/>
      <c r="K993" s="116"/>
      <c r="L993" s="116"/>
      <c r="M993" s="116"/>
      <c r="N993" s="116"/>
      <c r="O993" s="389"/>
      <c r="P993" s="219"/>
      <c r="Q993" s="332"/>
      <c r="R993" s="332"/>
      <c r="S993" s="219"/>
      <c r="T993" s="332"/>
      <c r="U993" s="219"/>
      <c r="V993" s="332"/>
      <c r="W993" s="242"/>
      <c r="X993" s="332"/>
    </row>
    <row r="994" spans="1:24" ht="13">
      <c r="A994" s="7"/>
      <c r="C994" s="153"/>
      <c r="F994" s="332"/>
      <c r="G994" s="219"/>
      <c r="H994" s="116"/>
      <c r="I994" s="116"/>
      <c r="J994" s="116"/>
      <c r="K994" s="116"/>
      <c r="L994" s="116"/>
      <c r="M994" s="116"/>
      <c r="N994" s="116"/>
      <c r="O994" s="389"/>
      <c r="P994" s="219"/>
      <c r="Q994" s="332"/>
      <c r="R994" s="332"/>
      <c r="S994" s="219"/>
      <c r="T994" s="332"/>
      <c r="U994" s="219"/>
      <c r="V994" s="332"/>
      <c r="W994" s="242"/>
      <c r="X994" s="332"/>
    </row>
    <row r="995" spans="1:24" ht="13">
      <c r="A995" s="7"/>
      <c r="C995" s="153"/>
      <c r="F995" s="332"/>
      <c r="G995" s="219"/>
      <c r="H995" s="116"/>
      <c r="I995" s="116"/>
      <c r="J995" s="116"/>
      <c r="K995" s="116"/>
      <c r="L995" s="116"/>
      <c r="M995" s="116"/>
      <c r="N995" s="116"/>
      <c r="O995" s="389"/>
      <c r="P995" s="219"/>
      <c r="Q995" s="332"/>
      <c r="R995" s="332"/>
      <c r="S995" s="219"/>
      <c r="T995" s="332"/>
      <c r="U995" s="219"/>
      <c r="V995" s="332"/>
      <c r="W995" s="242"/>
      <c r="X995" s="332"/>
    </row>
    <row r="996" spans="1:24" ht="13">
      <c r="A996" s="7"/>
      <c r="C996" s="153"/>
      <c r="F996" s="332"/>
      <c r="G996" s="219"/>
      <c r="H996" s="116"/>
      <c r="I996" s="116"/>
      <c r="J996" s="116"/>
      <c r="K996" s="116"/>
      <c r="L996" s="116"/>
      <c r="M996" s="116"/>
      <c r="N996" s="116"/>
      <c r="O996" s="389"/>
      <c r="P996" s="219"/>
      <c r="Q996" s="332"/>
      <c r="R996" s="332"/>
      <c r="S996" s="219"/>
      <c r="T996" s="332"/>
      <c r="U996" s="219"/>
      <c r="V996" s="332"/>
      <c r="W996" s="242"/>
      <c r="X996" s="332"/>
    </row>
    <row r="997" spans="1:24" ht="13">
      <c r="A997" s="7"/>
      <c r="C997" s="153"/>
      <c r="F997" s="332"/>
      <c r="G997" s="219"/>
      <c r="H997" s="116"/>
      <c r="I997" s="116"/>
      <c r="J997" s="116"/>
      <c r="K997" s="116"/>
      <c r="L997" s="116"/>
      <c r="M997" s="116"/>
      <c r="N997" s="116"/>
      <c r="O997" s="389"/>
      <c r="P997" s="219"/>
      <c r="Q997" s="332"/>
      <c r="R997" s="332"/>
      <c r="S997" s="219"/>
      <c r="T997" s="332"/>
      <c r="U997" s="219"/>
      <c r="V997" s="332"/>
      <c r="W997" s="242"/>
      <c r="X997" s="332"/>
    </row>
    <row r="998" spans="1:24" ht="13">
      <c r="A998" s="7"/>
      <c r="C998" s="153"/>
      <c r="F998" s="332"/>
      <c r="G998" s="219"/>
      <c r="H998" s="116"/>
      <c r="I998" s="116"/>
      <c r="J998" s="116"/>
      <c r="K998" s="116"/>
      <c r="L998" s="116"/>
      <c r="M998" s="116"/>
      <c r="N998" s="116"/>
      <c r="O998" s="389"/>
      <c r="P998" s="219"/>
      <c r="Q998" s="332"/>
      <c r="R998" s="332"/>
      <c r="S998" s="219"/>
      <c r="T998" s="332"/>
      <c r="U998" s="219"/>
      <c r="V998" s="332"/>
      <c r="W998" s="242"/>
      <c r="X998" s="332"/>
    </row>
    <row r="999" spans="1:24" ht="13">
      <c r="A999" s="7"/>
      <c r="C999" s="153"/>
      <c r="F999" s="332"/>
      <c r="G999" s="219"/>
      <c r="H999" s="116"/>
      <c r="I999" s="116"/>
      <c r="J999" s="116"/>
      <c r="K999" s="116"/>
      <c r="L999" s="116"/>
      <c r="M999" s="116"/>
      <c r="N999" s="116"/>
      <c r="O999" s="389"/>
      <c r="P999" s="219"/>
      <c r="Q999" s="332"/>
      <c r="R999" s="332"/>
      <c r="S999" s="219"/>
      <c r="T999" s="332"/>
      <c r="U999" s="219"/>
      <c r="V999" s="332"/>
      <c r="W999" s="242"/>
      <c r="X999" s="332"/>
    </row>
    <row r="1000" spans="1:24" ht="13">
      <c r="A1000" s="7"/>
      <c r="C1000" s="153"/>
      <c r="F1000" s="332"/>
      <c r="G1000" s="219"/>
      <c r="H1000" s="116"/>
      <c r="I1000" s="116"/>
      <c r="J1000" s="116"/>
      <c r="K1000" s="116"/>
      <c r="L1000" s="116"/>
      <c r="M1000" s="116"/>
      <c r="N1000" s="116"/>
      <c r="O1000" s="389"/>
      <c r="P1000" s="219"/>
      <c r="Q1000" s="332"/>
      <c r="R1000" s="332"/>
      <c r="S1000" s="219"/>
      <c r="T1000" s="332"/>
      <c r="U1000" s="219"/>
      <c r="V1000" s="332"/>
      <c r="W1000" s="242"/>
      <c r="X1000" s="332"/>
    </row>
    <row r="1001" spans="1:24" ht="13">
      <c r="A1001" s="7"/>
      <c r="C1001" s="153"/>
      <c r="F1001" s="332"/>
      <c r="G1001" s="219"/>
      <c r="H1001" s="116"/>
      <c r="I1001" s="116"/>
      <c r="J1001" s="116"/>
      <c r="K1001" s="116"/>
      <c r="L1001" s="116"/>
      <c r="M1001" s="116"/>
      <c r="N1001" s="116"/>
      <c r="O1001" s="389"/>
      <c r="P1001" s="219"/>
      <c r="Q1001" s="332"/>
      <c r="R1001" s="332"/>
      <c r="S1001" s="219"/>
      <c r="T1001" s="332"/>
      <c r="U1001" s="219"/>
      <c r="V1001" s="332"/>
      <c r="W1001" s="242"/>
      <c r="X1001" s="332"/>
    </row>
    <row r="1002" spans="1:24" ht="13">
      <c r="A1002" s="7"/>
      <c r="C1002" s="153"/>
      <c r="F1002" s="332"/>
      <c r="G1002" s="219"/>
      <c r="H1002" s="116"/>
      <c r="I1002" s="116"/>
      <c r="J1002" s="116"/>
      <c r="K1002" s="116"/>
      <c r="L1002" s="116"/>
      <c r="M1002" s="116"/>
      <c r="N1002" s="116"/>
      <c r="O1002" s="389"/>
      <c r="P1002" s="219"/>
      <c r="Q1002" s="332"/>
      <c r="R1002" s="332"/>
      <c r="S1002" s="219"/>
      <c r="T1002" s="332"/>
      <c r="U1002" s="219"/>
      <c r="V1002" s="332"/>
      <c r="W1002" s="242"/>
      <c r="X1002" s="332"/>
    </row>
  </sheetData>
  <hyperlinks>
    <hyperlink ref="D8" r:id="rId2" display="http://0700.hk/" xr:uid="{00000000-0004-0000-0B00-000000000000}"/>
    <hyperlink ref="D9" r:id="rId3" display="http://600519.ss/" xr:uid="{00000000-0004-0000-0B00-000001000000}"/>
    <hyperlink ref="D10" r:id="rId4" display="http://mc.pa/" xr:uid="{00000000-0004-0000-0B00-000002000000}"/>
    <hyperlink ref="D11" r:id="rId5" display="http://mc.pa/" xr:uid="{00000000-0004-0000-0B00-000003000000}"/>
    <hyperlink ref="D12" r:id="rId6" display="http://mc.pa/" xr:uid="{00000000-0004-0000-0B00-000004000000}"/>
    <hyperlink ref="D13" r:id="rId7" display="http://mc.pa/" xr:uid="{00000000-0004-0000-0B00-000005000000}"/>
    <hyperlink ref="D15" r:id="rId8" display="http://mc.pa/" xr:uid="{00000000-0004-0000-0B00-000006000000}"/>
    <hyperlink ref="D16" r:id="rId9" display="http://mc.pa/" xr:uid="{00000000-0004-0000-0B00-000007000000}"/>
    <hyperlink ref="D17" r:id="rId10" display="http://0700.hk/" xr:uid="{00000000-0004-0000-0B00-000008000000}"/>
    <hyperlink ref="D20" r:id="rId11" display="http://0700.hk/" xr:uid="{00000000-0004-0000-0B00-000009000000}"/>
    <hyperlink ref="D21" r:id="rId12" display="http://600519.ss/" xr:uid="{00000000-0004-0000-0B00-00000A000000}"/>
    <hyperlink ref="D22" r:id="rId13" display="http://0700.hk/" xr:uid="{00000000-0004-0000-0B00-00000B000000}"/>
    <hyperlink ref="D23" r:id="rId14" display="http://600519.ss/" xr:uid="{00000000-0004-0000-0B00-00000C000000}"/>
    <hyperlink ref="D24" r:id="rId15" display="http://0700.hk/" xr:uid="{00000000-0004-0000-0B00-00000D000000}"/>
    <hyperlink ref="D28" r:id="rId16" display="http://0700.hk/" xr:uid="{00000000-0004-0000-0B00-00000E000000}"/>
    <hyperlink ref="D32" r:id="rId17" display="http://0700.hk/" xr:uid="{00000000-0004-0000-0B00-00000F000000}"/>
    <hyperlink ref="D35" r:id="rId18" display="http://0700.hk/" xr:uid="{00000000-0004-0000-0B00-000010000000}"/>
    <hyperlink ref="D43" r:id="rId19" display="http://0700.hk/" xr:uid="{00000000-0004-0000-0B00-000011000000}"/>
    <hyperlink ref="D45" r:id="rId20" display="http://0700.hk/" xr:uid="{00000000-0004-0000-0B00-000012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  <pageSetUpPr fitToPage="1"/>
  </sheetPr>
  <dimension ref="A1:AC1894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baseColWidth="10" defaultColWidth="14.5" defaultRowHeight="15.75" customHeight="1" outlineLevelRow="1"/>
  <cols>
    <col min="4" max="4" width="12.5" customWidth="1"/>
    <col min="6" max="6" width="12.1640625" customWidth="1"/>
    <col min="7" max="12" width="11" customWidth="1"/>
    <col min="15" max="15" width="10.6640625" customWidth="1"/>
    <col min="16" max="16" width="10" customWidth="1"/>
    <col min="17" max="17" width="10.6640625" customWidth="1"/>
    <col min="18" max="18" width="9.33203125" customWidth="1"/>
  </cols>
  <sheetData>
    <row r="1" spans="1:28">
      <c r="A1" s="386" t="s">
        <v>383</v>
      </c>
      <c r="B1" s="396"/>
      <c r="C1" s="116"/>
      <c r="D1" s="116"/>
      <c r="E1" s="116"/>
      <c r="F1" s="116"/>
      <c r="G1" s="332"/>
      <c r="H1" s="332"/>
      <c r="I1" s="332"/>
      <c r="J1" s="332"/>
      <c r="K1" s="332"/>
      <c r="L1" s="332"/>
      <c r="Q1" s="152"/>
    </row>
    <row r="2" spans="1:28" ht="15.75" customHeight="1">
      <c r="B2" s="396"/>
      <c r="C2" s="116"/>
      <c r="D2" s="116"/>
      <c r="E2" s="116"/>
      <c r="F2" s="116"/>
      <c r="G2" s="332"/>
      <c r="H2" s="332"/>
      <c r="I2" s="332"/>
      <c r="J2" s="332"/>
      <c r="K2" s="332"/>
      <c r="L2" s="332"/>
      <c r="Q2" s="152"/>
    </row>
    <row r="3" spans="1:28" ht="15.75" customHeight="1">
      <c r="B3" s="396"/>
      <c r="C3" s="116"/>
      <c r="D3" s="116"/>
      <c r="E3" s="116"/>
      <c r="F3" s="116"/>
      <c r="G3" s="332"/>
      <c r="H3" s="332"/>
      <c r="I3" s="332"/>
      <c r="J3" s="332"/>
      <c r="K3" s="397"/>
      <c r="L3" s="397"/>
      <c r="M3" s="398"/>
      <c r="N3" s="398"/>
      <c r="Q3" s="152"/>
    </row>
    <row r="4" spans="1:28" ht="15.75" customHeight="1">
      <c r="A4" s="399" t="s">
        <v>384</v>
      </c>
      <c r="B4" s="400">
        <f>MAX(B8:B814)-MIN(B9:B814)</f>
        <v>14</v>
      </c>
      <c r="C4" s="116"/>
      <c r="D4" s="116"/>
      <c r="E4" s="116"/>
      <c r="F4" s="116"/>
      <c r="G4" s="332"/>
      <c r="H4" s="332"/>
      <c r="I4" s="245"/>
      <c r="J4" s="245"/>
      <c r="K4" s="397"/>
      <c r="L4" s="397"/>
      <c r="M4" s="398"/>
      <c r="N4" s="398"/>
      <c r="Q4" s="152"/>
    </row>
    <row r="5" spans="1:28" ht="15.75" customHeight="1">
      <c r="A5" s="3"/>
      <c r="B5" s="401"/>
      <c r="C5" s="127"/>
      <c r="D5" s="127"/>
      <c r="E5" s="127"/>
      <c r="F5" s="127"/>
      <c r="G5" s="385"/>
      <c r="H5" s="368"/>
      <c r="I5" s="368"/>
      <c r="J5" s="368"/>
      <c r="K5" s="368"/>
      <c r="L5" s="368"/>
      <c r="M5" s="73"/>
      <c r="O5" s="73"/>
      <c r="P5" s="73"/>
      <c r="Q5" s="73"/>
      <c r="R5" s="73"/>
    </row>
    <row r="6" spans="1:28" ht="15.75" customHeight="1">
      <c r="A6" s="144" t="str">
        <f t="shared" ref="A6:B6" si="0">A7</f>
        <v>Acct#</v>
      </c>
      <c r="B6" s="402" t="str">
        <f t="shared" si="0"/>
        <v>DateCum</v>
      </c>
      <c r="C6" s="403" t="str">
        <f t="shared" ref="C6:L6" si="1">RIGHT(C7,LEN(C7)-7)</f>
        <v>Sec Long Exposure</v>
      </c>
      <c r="D6" s="403" t="str">
        <f t="shared" si="1"/>
        <v>Sec Short Exposure</v>
      </c>
      <c r="E6" s="403" t="str">
        <f t="shared" si="1"/>
        <v>Sec Net Exposure</v>
      </c>
      <c r="F6" s="403" t="str">
        <f t="shared" si="1"/>
        <v>Margin Adj per Trade</v>
      </c>
      <c r="G6" s="404" t="str">
        <f t="shared" si="1"/>
        <v>(Adj) Margin Fees</v>
      </c>
      <c r="H6" s="405" t="str">
        <f t="shared" si="1"/>
        <v>(Adj) Short Sell Interest</v>
      </c>
      <c r="I6" s="405" t="str">
        <f t="shared" si="1"/>
        <v>(Adj) TD Interest</v>
      </c>
      <c r="J6" s="405" t="str">
        <f t="shared" si="1"/>
        <v>(EOD) Cash ava Bal</v>
      </c>
      <c r="K6" s="405" t="str">
        <f t="shared" si="1"/>
        <v>(EOD) Margin Loan Bal</v>
      </c>
      <c r="L6" s="405" t="str">
        <f t="shared" si="1"/>
        <v>(EOD) AuM = Cash ava + Sec Net Bal</v>
      </c>
      <c r="M6" s="406" t="s">
        <v>15</v>
      </c>
      <c r="N6" s="406" t="s">
        <v>385</v>
      </c>
      <c r="O6" s="406" t="s">
        <v>386</v>
      </c>
      <c r="P6" s="406" t="s">
        <v>387</v>
      </c>
      <c r="Q6" s="406" t="s">
        <v>388</v>
      </c>
      <c r="R6" s="406" t="s">
        <v>389</v>
      </c>
    </row>
    <row r="7" spans="1:28" ht="15.75" customHeight="1" outlineLevel="1">
      <c r="A7" s="10" t="s">
        <v>103</v>
      </c>
      <c r="B7" s="396" t="s">
        <v>346</v>
      </c>
      <c r="C7" s="116" t="s">
        <v>390</v>
      </c>
      <c r="D7" s="116" t="s">
        <v>391</v>
      </c>
      <c r="E7" s="116" t="s">
        <v>392</v>
      </c>
      <c r="F7" s="137" t="s">
        <v>393</v>
      </c>
      <c r="G7" s="245" t="s">
        <v>394</v>
      </c>
      <c r="H7" s="245" t="s">
        <v>395</v>
      </c>
      <c r="I7" s="245" t="s">
        <v>396</v>
      </c>
      <c r="J7" s="245" t="s">
        <v>397</v>
      </c>
      <c r="K7" s="407" t="s">
        <v>398</v>
      </c>
      <c r="L7" s="407" t="s">
        <v>399</v>
      </c>
      <c r="M7" s="408"/>
      <c r="N7" s="408" t="s">
        <v>385</v>
      </c>
      <c r="O7" s="82" t="s">
        <v>386</v>
      </c>
      <c r="P7" s="82" t="s">
        <v>400</v>
      </c>
      <c r="Q7" s="82" t="s">
        <v>388</v>
      </c>
      <c r="R7" s="82" t="s">
        <v>389</v>
      </c>
      <c r="S7" s="109"/>
      <c r="T7" s="109"/>
      <c r="U7" s="109"/>
      <c r="V7" s="109"/>
    </row>
    <row r="8" spans="1:28" ht="15.75" customHeight="1">
      <c r="A8" s="10" t="s">
        <v>376</v>
      </c>
      <c r="B8" s="396"/>
      <c r="C8" s="116">
        <v>0</v>
      </c>
      <c r="D8" s="116">
        <v>0</v>
      </c>
      <c r="E8" s="116">
        <v>0</v>
      </c>
      <c r="F8" s="116">
        <v>0</v>
      </c>
      <c r="G8" s="332">
        <v>0</v>
      </c>
      <c r="H8" s="332">
        <v>0</v>
      </c>
      <c r="I8" s="332">
        <v>0</v>
      </c>
      <c r="J8" s="332">
        <v>0</v>
      </c>
      <c r="K8" s="332">
        <v>0</v>
      </c>
      <c r="L8" s="332">
        <v>0</v>
      </c>
      <c r="N8" s="332">
        <f t="shared" ref="N8:N98" si="2">L8</f>
        <v>0</v>
      </c>
      <c r="O8" s="409" t="str">
        <f t="shared" ref="O8:O98" si="3">IF(A8&lt;&gt;A7,"",N8/N7-1)</f>
        <v/>
      </c>
      <c r="Q8" s="152" t="str">
        <f>IF(P8="","",Q7*P8)</f>
        <v/>
      </c>
    </row>
    <row r="9" spans="1:28" ht="15.75" customHeight="1">
      <c r="A9" s="10" t="s">
        <v>183</v>
      </c>
      <c r="B9" s="396">
        <v>44561</v>
      </c>
      <c r="C9" s="116">
        <v>0</v>
      </c>
      <c r="D9" s="116">
        <v>0</v>
      </c>
      <c r="E9" s="116">
        <v>0</v>
      </c>
      <c r="F9" s="116">
        <v>500000</v>
      </c>
      <c r="G9" s="332">
        <v>0</v>
      </c>
      <c r="H9" s="332">
        <v>0</v>
      </c>
      <c r="I9" s="332">
        <v>0</v>
      </c>
      <c r="J9" s="332">
        <v>500000</v>
      </c>
      <c r="K9" s="332">
        <v>0</v>
      </c>
      <c r="L9" s="332">
        <v>500000</v>
      </c>
      <c r="N9" s="332">
        <f t="shared" si="2"/>
        <v>500000</v>
      </c>
      <c r="O9" s="409" t="str">
        <f t="shared" si="3"/>
        <v/>
      </c>
      <c r="P9" s="10" t="str">
        <f t="shared" ref="P9:P98" si="4">IF(O9="","",1+O9)</f>
        <v/>
      </c>
      <c r="Q9" s="152" t="str">
        <f t="shared" ref="Q9:Q98" si="5">IF(P9="","",IF(P8="",P9,Q8*P9))</f>
        <v/>
      </c>
      <c r="R9" s="152" t="str">
        <f t="shared" ref="R9:R98" si="6">IF(Q10="",Q9-1,"")</f>
        <v/>
      </c>
    </row>
    <row r="10" spans="1:28" ht="15.75" customHeight="1">
      <c r="A10" s="10" t="s">
        <v>183</v>
      </c>
      <c r="B10" s="396">
        <v>44562</v>
      </c>
      <c r="C10" s="116">
        <v>51989.783464320004</v>
      </c>
      <c r="D10" s="116">
        <v>0</v>
      </c>
      <c r="E10" s="116">
        <v>51989.783464320004</v>
      </c>
      <c r="F10" s="116">
        <v>448010.21653568</v>
      </c>
      <c r="G10" s="332">
        <v>0</v>
      </c>
      <c r="H10" s="332">
        <v>0</v>
      </c>
      <c r="I10" s="332">
        <v>0</v>
      </c>
      <c r="J10" s="332">
        <v>447610.20799999998</v>
      </c>
      <c r="K10" s="332">
        <v>0</v>
      </c>
      <c r="L10" s="332">
        <v>499599.99146431999</v>
      </c>
      <c r="N10" s="332">
        <f t="shared" si="2"/>
        <v>499599.99146431999</v>
      </c>
      <c r="O10" s="409">
        <f t="shared" si="3"/>
        <v>-8.0001707136001521E-4</v>
      </c>
      <c r="P10" s="409">
        <f t="shared" si="4"/>
        <v>0.99919998292863998</v>
      </c>
      <c r="Q10" s="152">
        <f t="shared" si="5"/>
        <v>0.99919998292863998</v>
      </c>
      <c r="R10" s="152" t="str">
        <f t="shared" si="6"/>
        <v/>
      </c>
      <c r="Y10" s="28"/>
      <c r="Z10" s="409"/>
      <c r="AB10" s="152"/>
    </row>
    <row r="11" spans="1:28" ht="15.75" customHeight="1">
      <c r="A11" s="10" t="s">
        <v>183</v>
      </c>
      <c r="B11" s="396">
        <v>44563</v>
      </c>
      <c r="C11" s="116">
        <v>121016.248682</v>
      </c>
      <c r="D11" s="116">
        <v>-37725.668249999995</v>
      </c>
      <c r="E11" s="116">
        <v>83290.580432000017</v>
      </c>
      <c r="F11" s="116">
        <v>341258.08306800004</v>
      </c>
      <c r="G11" s="332">
        <v>0</v>
      </c>
      <c r="H11" s="332">
        <v>-6.3907603125899906</v>
      </c>
      <c r="I11" s="332">
        <v>0</v>
      </c>
      <c r="J11" s="332">
        <v>416005.27648968733</v>
      </c>
      <c r="K11" s="332">
        <v>0</v>
      </c>
      <c r="L11" s="332">
        <v>499302.24768199993</v>
      </c>
      <c r="N11" s="332">
        <f t="shared" si="2"/>
        <v>499302.24768199993</v>
      </c>
      <c r="O11" s="409">
        <f t="shared" si="3"/>
        <v>-5.9596434629105577E-4</v>
      </c>
      <c r="P11" s="409">
        <f t="shared" si="4"/>
        <v>0.99940403565370894</v>
      </c>
      <c r="Q11" s="152">
        <f t="shared" si="5"/>
        <v>0.99860449536399987</v>
      </c>
      <c r="R11" s="152" t="str">
        <f t="shared" si="6"/>
        <v/>
      </c>
      <c r="Y11" s="28"/>
      <c r="Z11" s="409"/>
      <c r="AB11" s="152"/>
    </row>
    <row r="12" spans="1:28" ht="15.75" customHeight="1">
      <c r="A12" s="10" t="s">
        <v>183</v>
      </c>
      <c r="B12" s="396">
        <v>44564</v>
      </c>
      <c r="C12" s="116">
        <v>120596.06333800001</v>
      </c>
      <c r="D12" s="116">
        <v>-37729.942499999997</v>
      </c>
      <c r="E12" s="116">
        <v>82866.120838000003</v>
      </c>
      <c r="F12" s="116">
        <v>341673.99416200002</v>
      </c>
      <c r="G12" s="332">
        <v>0</v>
      </c>
      <c r="H12" s="332">
        <v>-6.3914843741781135</v>
      </c>
      <c r="I12" s="332">
        <v>0</v>
      </c>
      <c r="J12" s="332">
        <v>416005.27576562576</v>
      </c>
      <c r="K12" s="332">
        <v>0</v>
      </c>
      <c r="L12" s="332">
        <v>498877.78808799991</v>
      </c>
      <c r="N12" s="332">
        <f t="shared" si="2"/>
        <v>498877.78808799991</v>
      </c>
      <c r="O12" s="409">
        <f t="shared" si="3"/>
        <v>-8.5010551418618352E-4</v>
      </c>
      <c r="P12" s="409">
        <f t="shared" si="4"/>
        <v>0.99914989448581382</v>
      </c>
      <c r="Q12" s="152">
        <f t="shared" si="5"/>
        <v>0.99775557617599986</v>
      </c>
      <c r="R12" s="152" t="str">
        <f t="shared" si="6"/>
        <v/>
      </c>
      <c r="Y12" s="28"/>
      <c r="Z12" s="409"/>
      <c r="AB12" s="152"/>
    </row>
    <row r="13" spans="1:28" ht="15.75" customHeight="1">
      <c r="A13" s="10" t="s">
        <v>183</v>
      </c>
      <c r="B13" s="396">
        <v>44565</v>
      </c>
      <c r="C13" s="116">
        <v>89442.383499999996</v>
      </c>
      <c r="D13" s="116">
        <v>-37628.306695949999</v>
      </c>
      <c r="E13" s="116">
        <v>51814.076804049997</v>
      </c>
      <c r="F13" s="116">
        <v>372929.30980405008</v>
      </c>
      <c r="G13" s="332">
        <v>0</v>
      </c>
      <c r="H13" s="332">
        <v>-6.3742671824624741</v>
      </c>
      <c r="I13" s="332">
        <v>0</v>
      </c>
      <c r="J13" s="332">
        <v>448546.79298281745</v>
      </c>
      <c r="K13" s="332">
        <v>0</v>
      </c>
      <c r="L13" s="332">
        <v>500367.24405404995</v>
      </c>
      <c r="N13" s="332">
        <f t="shared" si="2"/>
        <v>500367.24405404995</v>
      </c>
      <c r="O13" s="409">
        <f t="shared" si="3"/>
        <v>2.9856129128509323E-3</v>
      </c>
      <c r="P13" s="409">
        <f t="shared" si="4"/>
        <v>1.0029856129128509</v>
      </c>
      <c r="Q13" s="152">
        <f t="shared" si="5"/>
        <v>1.0007344881081</v>
      </c>
      <c r="R13" s="152" t="str">
        <f t="shared" si="6"/>
        <v/>
      </c>
      <c r="Y13" s="28"/>
      <c r="Z13" s="409"/>
      <c r="AB13" s="152"/>
    </row>
    <row r="14" spans="1:28" ht="15.75" customHeight="1">
      <c r="A14" s="10" t="s">
        <v>183</v>
      </c>
      <c r="B14" s="396">
        <v>44566</v>
      </c>
      <c r="C14" s="116">
        <v>115710.58875719999</v>
      </c>
      <c r="D14" s="116">
        <v>-37183.895759999999</v>
      </c>
      <c r="E14" s="116">
        <v>78526.692997199993</v>
      </c>
      <c r="F14" s="116">
        <v>347105.51548280002</v>
      </c>
      <c r="G14" s="332">
        <v>0</v>
      </c>
      <c r="H14" s="332">
        <v>-6.29898359164231</v>
      </c>
      <c r="I14" s="332">
        <v>0</v>
      </c>
      <c r="J14" s="332">
        <v>422445.54386640829</v>
      </c>
      <c r="K14" s="332">
        <v>0</v>
      </c>
      <c r="L14" s="332">
        <v>500978.53584719996</v>
      </c>
      <c r="N14" s="332">
        <f t="shared" si="2"/>
        <v>500978.53584719996</v>
      </c>
      <c r="O14" s="409">
        <f t="shared" si="3"/>
        <v>1.2216862722611577E-3</v>
      </c>
      <c r="P14" s="409">
        <f t="shared" si="4"/>
        <v>1.0012216862722612</v>
      </c>
      <c r="Q14" s="152">
        <f t="shared" si="5"/>
        <v>1.0019570716944</v>
      </c>
      <c r="R14" s="152" t="str">
        <f t="shared" si="6"/>
        <v/>
      </c>
      <c r="Y14" s="28"/>
      <c r="Z14" s="409"/>
      <c r="AB14" s="152"/>
    </row>
    <row r="15" spans="1:28" ht="15.75" customHeight="1">
      <c r="A15" s="10" t="s">
        <v>183</v>
      </c>
      <c r="B15" s="396">
        <v>44567</v>
      </c>
      <c r="C15" s="116">
        <v>209069.47995919999</v>
      </c>
      <c r="D15" s="116">
        <v>-36335.460331800001</v>
      </c>
      <c r="E15" s="116">
        <v>172734.01962739998</v>
      </c>
      <c r="F15" s="116">
        <v>254595.05970900002</v>
      </c>
      <c r="G15" s="332">
        <v>0</v>
      </c>
      <c r="H15" s="332">
        <v>-6.1552579079405811</v>
      </c>
      <c r="I15" s="332">
        <v>0</v>
      </c>
      <c r="J15" s="332">
        <v>324641.42309209204</v>
      </c>
      <c r="K15" s="332">
        <v>0</v>
      </c>
      <c r="L15" s="332">
        <v>497381.59797739994</v>
      </c>
      <c r="N15" s="332">
        <f t="shared" si="2"/>
        <v>497381.59797739994</v>
      </c>
      <c r="O15" s="409">
        <f t="shared" si="3"/>
        <v>-7.1798243086748093E-3</v>
      </c>
      <c r="P15" s="409">
        <f t="shared" si="4"/>
        <v>0.99282017569132519</v>
      </c>
      <c r="Q15" s="152">
        <f t="shared" si="5"/>
        <v>0.99476319595479989</v>
      </c>
      <c r="R15" s="152" t="str">
        <f t="shared" si="6"/>
        <v/>
      </c>
      <c r="Y15" s="28"/>
      <c r="Z15" s="409"/>
      <c r="AB15" s="152"/>
    </row>
    <row r="16" spans="1:28" ht="15.75" customHeight="1">
      <c r="A16" s="10" t="s">
        <v>183</v>
      </c>
      <c r="B16" s="396">
        <v>44568</v>
      </c>
      <c r="C16" s="116">
        <v>124895.14072719999</v>
      </c>
      <c r="D16" s="116">
        <v>-35621.64963</v>
      </c>
      <c r="E16" s="116">
        <v>89273.491097199993</v>
      </c>
      <c r="F16" s="116">
        <v>339483.20964279998</v>
      </c>
      <c r="G16" s="332">
        <v>0</v>
      </c>
      <c r="H16" s="332">
        <v>-6.0343377674798369</v>
      </c>
      <c r="I16" s="332">
        <v>0</v>
      </c>
      <c r="J16" s="332">
        <v>407573.01601223252</v>
      </c>
      <c r="K16" s="332">
        <v>0</v>
      </c>
      <c r="L16" s="332">
        <v>496852.5414472</v>
      </c>
      <c r="N16" s="332">
        <f t="shared" si="2"/>
        <v>496852.5414472</v>
      </c>
      <c r="O16" s="409">
        <f t="shared" si="3"/>
        <v>-1.0636833617314601E-3</v>
      </c>
      <c r="P16" s="409">
        <f t="shared" si="4"/>
        <v>0.99893631663826854</v>
      </c>
      <c r="Q16" s="152">
        <f t="shared" si="5"/>
        <v>0.99370508289439996</v>
      </c>
      <c r="R16" s="152" t="str">
        <f t="shared" si="6"/>
        <v/>
      </c>
      <c r="Y16" s="28"/>
      <c r="Z16" s="409"/>
      <c r="AB16" s="152"/>
    </row>
    <row r="17" spans="1:29" ht="15.75" customHeight="1">
      <c r="A17" s="10" t="s">
        <v>183</v>
      </c>
      <c r="B17" s="396">
        <v>44569</v>
      </c>
      <c r="C17" s="116">
        <v>55134.949047199996</v>
      </c>
      <c r="D17" s="116">
        <v>-289301.29884</v>
      </c>
      <c r="E17" s="116">
        <v>-234166.3497928</v>
      </c>
      <c r="F17" s="116">
        <v>155563.75211279999</v>
      </c>
      <c r="G17" s="332">
        <v>0</v>
      </c>
      <c r="H17" s="332">
        <v>-49.007886268718622</v>
      </c>
      <c r="I17" s="332">
        <v>0</v>
      </c>
      <c r="J17" s="332">
        <v>732874.75046373135</v>
      </c>
      <c r="K17" s="332">
        <v>0</v>
      </c>
      <c r="L17" s="332">
        <v>498757.40855719999</v>
      </c>
      <c r="N17" s="332">
        <f t="shared" si="2"/>
        <v>498757.40855719999</v>
      </c>
      <c r="O17" s="409">
        <f t="shared" si="3"/>
        <v>3.8338681018952325E-3</v>
      </c>
      <c r="P17" s="409">
        <f t="shared" si="4"/>
        <v>1.0038338681018952</v>
      </c>
      <c r="Q17" s="152">
        <f t="shared" si="5"/>
        <v>0.99751481711439993</v>
      </c>
      <c r="R17" s="152" t="str">
        <f t="shared" si="6"/>
        <v/>
      </c>
      <c r="Y17" s="28"/>
      <c r="Z17" s="409"/>
      <c r="AB17" s="152"/>
    </row>
    <row r="18" spans="1:29" ht="15.75" customHeight="1">
      <c r="A18" s="10" t="s">
        <v>183</v>
      </c>
      <c r="B18" s="396">
        <v>44570</v>
      </c>
      <c r="C18" s="116">
        <v>50705.046579599999</v>
      </c>
      <c r="D18" s="116">
        <v>-291298.01763999998</v>
      </c>
      <c r="E18" s="116">
        <v>-240592.97106039998</v>
      </c>
      <c r="F18" s="116">
        <v>157996.9357804</v>
      </c>
      <c r="G18" s="332">
        <v>0</v>
      </c>
      <c r="H18" s="332">
        <v>-49.346132132990142</v>
      </c>
      <c r="I18" s="332">
        <v>0</v>
      </c>
      <c r="J18" s="332">
        <v>739549.41221786698</v>
      </c>
      <c r="K18" s="332">
        <v>0</v>
      </c>
      <c r="L18" s="332">
        <v>499005.7872896</v>
      </c>
      <c r="N18" s="332">
        <f t="shared" si="2"/>
        <v>499005.7872896</v>
      </c>
      <c r="O18" s="409">
        <f t="shared" si="3"/>
        <v>4.9799507363412765E-4</v>
      </c>
      <c r="P18" s="409">
        <f t="shared" si="4"/>
        <v>1.0004979950736341</v>
      </c>
      <c r="Q18" s="152">
        <f t="shared" si="5"/>
        <v>0.99801157457919998</v>
      </c>
      <c r="R18" s="152" t="str">
        <f t="shared" si="6"/>
        <v/>
      </c>
      <c r="Y18" s="28"/>
      <c r="Z18" s="409"/>
      <c r="AB18" s="152"/>
    </row>
    <row r="19" spans="1:29" ht="15.75" customHeight="1">
      <c r="A19" s="10" t="s">
        <v>183</v>
      </c>
      <c r="B19" s="396">
        <v>44571</v>
      </c>
      <c r="C19" s="116">
        <v>50356.825323999998</v>
      </c>
      <c r="D19" s="116">
        <v>-286602.48738000001</v>
      </c>
      <c r="E19" s="116">
        <v>-236245.662056</v>
      </c>
      <c r="F19" s="116">
        <v>163040.68729600002</v>
      </c>
      <c r="G19" s="332">
        <v>0</v>
      </c>
      <c r="H19" s="332">
        <v>-48.550705310241334</v>
      </c>
      <c r="I19" s="332">
        <v>0</v>
      </c>
      <c r="J19" s="332">
        <v>739550.20764468983</v>
      </c>
      <c r="K19" s="332">
        <v>0</v>
      </c>
      <c r="L19" s="332">
        <v>503353.09629400005</v>
      </c>
      <c r="N19" s="332">
        <f t="shared" si="2"/>
        <v>503353.09629400005</v>
      </c>
      <c r="O19" s="409">
        <f t="shared" si="3"/>
        <v>8.7119410538560871E-3</v>
      </c>
      <c r="P19" s="409">
        <f t="shared" si="4"/>
        <v>1.0087119410538561</v>
      </c>
      <c r="Q19" s="152">
        <f t="shared" si="5"/>
        <v>1.0067061925880001</v>
      </c>
      <c r="R19" s="152" t="str">
        <f t="shared" si="6"/>
        <v/>
      </c>
      <c r="Y19" s="28"/>
      <c r="Z19" s="409"/>
      <c r="AB19" s="152"/>
    </row>
    <row r="20" spans="1:29" ht="15.75" customHeight="1">
      <c r="A20" s="10" t="s">
        <v>183</v>
      </c>
      <c r="B20" s="396">
        <v>44572</v>
      </c>
      <c r="C20" s="116">
        <v>51567.1144556</v>
      </c>
      <c r="D20" s="116">
        <v>-289567.18318825</v>
      </c>
      <c r="E20" s="116">
        <v>-238000.06873264999</v>
      </c>
      <c r="F20" s="116">
        <v>158865.70235615005</v>
      </c>
      <c r="G20" s="332">
        <v>0</v>
      </c>
      <c r="H20" s="332">
        <v>-49.05292730362553</v>
      </c>
      <c r="I20" s="332">
        <v>0</v>
      </c>
      <c r="J20" s="332">
        <v>739549.70542269642</v>
      </c>
      <c r="K20" s="332">
        <v>0</v>
      </c>
      <c r="L20" s="332">
        <v>501598.68961735</v>
      </c>
      <c r="N20" s="332">
        <f t="shared" si="2"/>
        <v>501598.68961735</v>
      </c>
      <c r="O20" s="409">
        <f t="shared" si="3"/>
        <v>-3.4854393259265981E-3</v>
      </c>
      <c r="P20" s="409">
        <f t="shared" si="4"/>
        <v>0.9965145606740734</v>
      </c>
      <c r="Q20" s="152">
        <f t="shared" si="5"/>
        <v>1.0031973792347</v>
      </c>
      <c r="R20" s="152" t="str">
        <f t="shared" si="6"/>
        <v/>
      </c>
      <c r="Y20" s="28"/>
      <c r="Z20" s="409"/>
      <c r="AB20" s="152"/>
    </row>
    <row r="21" spans="1:29" ht="15.75" customHeight="1">
      <c r="A21" s="10" t="s">
        <v>183</v>
      </c>
      <c r="B21" s="396">
        <v>44573</v>
      </c>
      <c r="C21" s="116">
        <v>51492.048173999996</v>
      </c>
      <c r="D21" s="116">
        <v>-291276.74263499997</v>
      </c>
      <c r="E21" s="116">
        <v>-239784.69446099998</v>
      </c>
      <c r="F21" s="116">
        <v>157231.20919100003</v>
      </c>
      <c r="G21" s="332">
        <v>0</v>
      </c>
      <c r="H21" s="332">
        <v>-49.342528129034456</v>
      </c>
      <c r="I21" s="332">
        <v>0</v>
      </c>
      <c r="J21" s="332">
        <v>739549.41582187102</v>
      </c>
      <c r="K21" s="332">
        <v>0</v>
      </c>
      <c r="L21" s="332">
        <v>499814.06388900004</v>
      </c>
      <c r="N21" s="332">
        <f t="shared" si="2"/>
        <v>499814.06388900004</v>
      </c>
      <c r="O21" s="409">
        <f t="shared" si="3"/>
        <v>-3.5578755792032846E-3</v>
      </c>
      <c r="P21" s="409">
        <f t="shared" si="4"/>
        <v>0.99644212442079672</v>
      </c>
      <c r="Q21" s="152">
        <f t="shared" si="5"/>
        <v>0.99962812777800014</v>
      </c>
      <c r="R21" s="152" t="str">
        <f t="shared" si="6"/>
        <v/>
      </c>
      <c r="Y21" s="28"/>
      <c r="Z21" s="409"/>
      <c r="AB21" s="152"/>
    </row>
    <row r="22" spans="1:29" ht="15.75" customHeight="1">
      <c r="A22" s="10" t="s">
        <v>183</v>
      </c>
      <c r="B22" s="396">
        <v>44574</v>
      </c>
      <c r="C22" s="116">
        <v>50221.707708000002</v>
      </c>
      <c r="D22" s="116">
        <v>-283113.25830599997</v>
      </c>
      <c r="E22" s="116">
        <v>-232891.55059799997</v>
      </c>
      <c r="F22" s="116">
        <v>166665.03398599999</v>
      </c>
      <c r="G22" s="332">
        <v>0</v>
      </c>
      <c r="H22" s="332">
        <v>-47.959626935170945</v>
      </c>
      <c r="I22" s="332">
        <v>0</v>
      </c>
      <c r="J22" s="332">
        <v>739550.79872306483</v>
      </c>
      <c r="K22" s="332">
        <v>0</v>
      </c>
      <c r="L22" s="332">
        <v>506707.20775200007</v>
      </c>
      <c r="N22" s="332">
        <f t="shared" si="2"/>
        <v>506707.20775200007</v>
      </c>
      <c r="O22" s="409">
        <f t="shared" si="3"/>
        <v>1.3791416370650289E-2</v>
      </c>
      <c r="P22" s="409">
        <f t="shared" si="4"/>
        <v>1.0137914163706503</v>
      </c>
      <c r="Q22" s="152">
        <f t="shared" si="5"/>
        <v>1.0134144155040001</v>
      </c>
      <c r="R22" s="152" t="str">
        <f t="shared" si="6"/>
        <v/>
      </c>
      <c r="Y22" s="28"/>
      <c r="Z22" s="409"/>
      <c r="AB22" s="152"/>
    </row>
    <row r="23" spans="1:29" ht="15.75" customHeight="1">
      <c r="A23" s="10" t="s">
        <v>183</v>
      </c>
      <c r="B23" s="396">
        <v>44575</v>
      </c>
      <c r="C23" s="116">
        <v>50489.124648000005</v>
      </c>
      <c r="D23" s="116">
        <v>-276758.05422000005</v>
      </c>
      <c r="E23" s="116">
        <v>-226268.92957200005</v>
      </c>
      <c r="F23" s="116">
        <v>172752.82113200013</v>
      </c>
      <c r="G23" s="332">
        <v>0</v>
      </c>
      <c r="H23" s="332">
        <v>-46.883049953629516</v>
      </c>
      <c r="I23" s="332">
        <v>0</v>
      </c>
      <c r="J23" s="332">
        <v>739551.87530004641</v>
      </c>
      <c r="K23" s="332">
        <v>0</v>
      </c>
      <c r="L23" s="332">
        <v>513329.82877799997</v>
      </c>
      <c r="N23" s="332">
        <f t="shared" si="2"/>
        <v>513329.82877799997</v>
      </c>
      <c r="O23" s="409">
        <f t="shared" si="3"/>
        <v>1.3069916758005284E-2</v>
      </c>
      <c r="P23" s="409">
        <f t="shared" si="4"/>
        <v>1.0130699167580053</v>
      </c>
      <c r="Q23" s="152">
        <f t="shared" si="5"/>
        <v>1.0266596575560001</v>
      </c>
      <c r="R23" s="152">
        <f t="shared" si="6"/>
        <v>2.6659657556000083E-2</v>
      </c>
      <c r="S23" s="152"/>
      <c r="Y23" s="28"/>
      <c r="Z23" s="409"/>
      <c r="AB23" s="152"/>
      <c r="AC23" s="152"/>
    </row>
    <row r="24" spans="1:29" ht="15.75" customHeight="1">
      <c r="A24" s="10" t="s">
        <v>184</v>
      </c>
      <c r="B24" s="396">
        <v>44561</v>
      </c>
      <c r="C24" s="116">
        <v>0</v>
      </c>
      <c r="D24" s="116">
        <v>0</v>
      </c>
      <c r="E24" s="116">
        <v>0</v>
      </c>
      <c r="F24" s="116">
        <v>500000</v>
      </c>
      <c r="G24" s="332">
        <v>0</v>
      </c>
      <c r="H24" s="332">
        <v>0</v>
      </c>
      <c r="I24" s="332">
        <v>0</v>
      </c>
      <c r="J24" s="332">
        <v>500000</v>
      </c>
      <c r="K24" s="332">
        <v>0</v>
      </c>
      <c r="L24" s="332">
        <v>500000</v>
      </c>
      <c r="N24" s="332">
        <f t="shared" si="2"/>
        <v>500000</v>
      </c>
      <c r="O24" s="409" t="str">
        <f t="shared" si="3"/>
        <v/>
      </c>
      <c r="P24" s="10" t="str">
        <f t="shared" si="4"/>
        <v/>
      </c>
      <c r="Q24" s="152" t="str">
        <f t="shared" si="5"/>
        <v/>
      </c>
      <c r="R24" s="152" t="str">
        <f t="shared" si="6"/>
        <v/>
      </c>
    </row>
    <row r="25" spans="1:29" ht="15.75" customHeight="1">
      <c r="A25" s="10" t="s">
        <v>184</v>
      </c>
      <c r="B25" s="396">
        <v>44562</v>
      </c>
      <c r="C25" s="116">
        <v>0</v>
      </c>
      <c r="D25" s="116">
        <v>0</v>
      </c>
      <c r="E25" s="116">
        <v>0</v>
      </c>
      <c r="F25" s="116">
        <v>500000</v>
      </c>
      <c r="G25" s="332">
        <v>0</v>
      </c>
      <c r="H25" s="332">
        <v>0</v>
      </c>
      <c r="I25" s="332">
        <v>0</v>
      </c>
      <c r="J25" s="332">
        <v>500000</v>
      </c>
      <c r="K25" s="332">
        <v>0</v>
      </c>
      <c r="L25" s="332">
        <v>500000</v>
      </c>
      <c r="N25" s="332">
        <f t="shared" si="2"/>
        <v>500000</v>
      </c>
      <c r="O25" s="409">
        <f t="shared" si="3"/>
        <v>0</v>
      </c>
      <c r="P25" s="409">
        <f t="shared" si="4"/>
        <v>1</v>
      </c>
      <c r="Q25" s="152">
        <f t="shared" si="5"/>
        <v>1</v>
      </c>
      <c r="R25" s="152" t="str">
        <f t="shared" si="6"/>
        <v/>
      </c>
    </row>
    <row r="26" spans="1:29" ht="15.75" customHeight="1">
      <c r="A26" s="10" t="s">
        <v>184</v>
      </c>
      <c r="B26" s="396">
        <v>44563</v>
      </c>
      <c r="C26" s="116">
        <v>50300.890999999996</v>
      </c>
      <c r="D26" s="116">
        <v>-2284</v>
      </c>
      <c r="E26" s="116">
        <v>48016.890999999996</v>
      </c>
      <c r="F26" s="116">
        <v>447415.109</v>
      </c>
      <c r="G26" s="332">
        <v>0</v>
      </c>
      <c r="H26" s="332">
        <v>-0.38691154407730183</v>
      </c>
      <c r="I26" s="332">
        <v>0</v>
      </c>
      <c r="J26" s="332">
        <v>452489.46248845593</v>
      </c>
      <c r="K26" s="332">
        <v>0</v>
      </c>
      <c r="L26" s="332">
        <v>500506.74040000001</v>
      </c>
      <c r="N26" s="332">
        <f t="shared" si="2"/>
        <v>500506.74040000001</v>
      </c>
      <c r="O26" s="409">
        <f t="shared" si="3"/>
        <v>1.0134807999999662E-3</v>
      </c>
      <c r="P26" s="409">
        <f t="shared" si="4"/>
        <v>1.0010134808</v>
      </c>
      <c r="Q26" s="152">
        <f t="shared" si="5"/>
        <v>1.0010134808</v>
      </c>
      <c r="R26" s="152" t="str">
        <f t="shared" si="6"/>
        <v/>
      </c>
    </row>
    <row r="27" spans="1:29" ht="15.75" customHeight="1">
      <c r="A27" s="10" t="s">
        <v>184</v>
      </c>
      <c r="B27" s="396">
        <v>44564</v>
      </c>
      <c r="C27" s="116">
        <v>29691.295000000002</v>
      </c>
      <c r="D27" s="116">
        <v>0</v>
      </c>
      <c r="E27" s="116">
        <v>29691.295000000002</v>
      </c>
      <c r="F27" s="116">
        <v>470308.70500000002</v>
      </c>
      <c r="G27" s="332">
        <v>0</v>
      </c>
      <c r="H27" s="332">
        <v>-0.38437053130971882</v>
      </c>
      <c r="I27" s="332">
        <v>0</v>
      </c>
      <c r="J27" s="332">
        <v>470742.76002946869</v>
      </c>
      <c r="K27" s="332">
        <v>0</v>
      </c>
      <c r="L27" s="332">
        <v>500434.43939999997</v>
      </c>
      <c r="N27" s="332">
        <f t="shared" si="2"/>
        <v>500434.43939999997</v>
      </c>
      <c r="O27" s="409">
        <f t="shared" si="3"/>
        <v>-1.444555970260275E-4</v>
      </c>
      <c r="P27" s="409">
        <f t="shared" si="4"/>
        <v>0.99985554440297397</v>
      </c>
      <c r="Q27" s="152">
        <f t="shared" si="5"/>
        <v>1.0008688788</v>
      </c>
      <c r="R27" s="152" t="str">
        <f t="shared" si="6"/>
        <v/>
      </c>
    </row>
    <row r="28" spans="1:29" ht="15.75" customHeight="1">
      <c r="A28" s="10" t="s">
        <v>184</v>
      </c>
      <c r="B28" s="396">
        <v>44565</v>
      </c>
      <c r="C28" s="116">
        <v>29585.537797299996</v>
      </c>
      <c r="D28" s="116">
        <v>0</v>
      </c>
      <c r="E28" s="116">
        <v>29585.537797299996</v>
      </c>
      <c r="F28" s="116">
        <v>470414.46220269997</v>
      </c>
      <c r="G28" s="332">
        <v>0</v>
      </c>
      <c r="H28" s="332">
        <v>-0.38115191513744706</v>
      </c>
      <c r="I28" s="332">
        <v>0</v>
      </c>
      <c r="J28" s="332">
        <v>470742.76324808487</v>
      </c>
      <c r="K28" s="332">
        <v>0</v>
      </c>
      <c r="L28" s="332">
        <v>500328.68219729996</v>
      </c>
      <c r="N28" s="332">
        <f t="shared" si="2"/>
        <v>500328.68219729996</v>
      </c>
      <c r="O28" s="409">
        <f t="shared" si="3"/>
        <v>-2.1133078456148091E-4</v>
      </c>
      <c r="P28" s="409">
        <f t="shared" si="4"/>
        <v>0.99978866921543852</v>
      </c>
      <c r="Q28" s="152">
        <f t="shared" si="5"/>
        <v>1.0006573643946</v>
      </c>
      <c r="R28" s="152" t="str">
        <f t="shared" si="6"/>
        <v/>
      </c>
    </row>
    <row r="29" spans="1:29" ht="15.75" customHeight="1">
      <c r="A29" s="10" t="s">
        <v>184</v>
      </c>
      <c r="B29" s="396">
        <v>44566</v>
      </c>
      <c r="C29" s="116">
        <v>29095.26384</v>
      </c>
      <c r="D29" s="116">
        <v>0</v>
      </c>
      <c r="E29" s="116">
        <v>29095.26384</v>
      </c>
      <c r="F29" s="116">
        <v>470904.73615999997</v>
      </c>
      <c r="G29" s="332">
        <v>0</v>
      </c>
      <c r="H29" s="332">
        <v>-0.3647200325737438</v>
      </c>
      <c r="I29" s="332">
        <v>0</v>
      </c>
      <c r="J29" s="332">
        <v>470742.77967996744</v>
      </c>
      <c r="K29" s="332">
        <v>0</v>
      </c>
      <c r="L29" s="332">
        <v>499838.40824000002</v>
      </c>
      <c r="N29" s="332">
        <f t="shared" si="2"/>
        <v>499838.40824000002</v>
      </c>
      <c r="O29" s="409">
        <f t="shared" si="3"/>
        <v>-9.7990376075740571E-4</v>
      </c>
      <c r="P29" s="409">
        <f t="shared" si="4"/>
        <v>0.99902009623924259</v>
      </c>
      <c r="Q29" s="152">
        <f t="shared" si="5"/>
        <v>0.99967681648000006</v>
      </c>
      <c r="R29" s="152" t="str">
        <f t="shared" si="6"/>
        <v/>
      </c>
    </row>
    <row r="30" spans="1:29" ht="15.75" customHeight="1">
      <c r="A30" s="10" t="s">
        <v>184</v>
      </c>
      <c r="B30" s="396">
        <v>44567</v>
      </c>
      <c r="C30" s="116">
        <v>28593.640221199999</v>
      </c>
      <c r="D30" s="116">
        <v>0</v>
      </c>
      <c r="E30" s="116">
        <v>28593.640221199999</v>
      </c>
      <c r="F30" s="116">
        <v>471406.35977879999</v>
      </c>
      <c r="G30" s="332">
        <v>0</v>
      </c>
      <c r="H30" s="332">
        <v>-0.37014085981125416</v>
      </c>
      <c r="I30" s="332">
        <v>0</v>
      </c>
      <c r="J30" s="332">
        <v>470742.77425914019</v>
      </c>
      <c r="K30" s="332">
        <v>0</v>
      </c>
      <c r="L30" s="332">
        <v>499336.7846212</v>
      </c>
      <c r="N30" s="332">
        <f t="shared" si="2"/>
        <v>499336.7846212</v>
      </c>
      <c r="O30" s="409">
        <f t="shared" si="3"/>
        <v>-1.0035715753943242E-3</v>
      </c>
      <c r="P30" s="409">
        <f t="shared" si="4"/>
        <v>0.99899642842460568</v>
      </c>
      <c r="Q30" s="152">
        <f t="shared" si="5"/>
        <v>0.99867356924240003</v>
      </c>
      <c r="R30" s="152" t="str">
        <f t="shared" si="6"/>
        <v/>
      </c>
    </row>
    <row r="31" spans="1:29" ht="15.75" customHeight="1">
      <c r="A31" s="10" t="s">
        <v>184</v>
      </c>
      <c r="B31" s="396">
        <v>44568</v>
      </c>
      <c r="C31" s="116">
        <v>28177.76642</v>
      </c>
      <c r="D31" s="116">
        <v>0</v>
      </c>
      <c r="E31" s="116">
        <v>28177.76642</v>
      </c>
      <c r="F31" s="116">
        <v>471822.23358</v>
      </c>
      <c r="G31" s="332">
        <v>0</v>
      </c>
      <c r="H31" s="332">
        <v>-0.37522288534642012</v>
      </c>
      <c r="I31" s="332">
        <v>0</v>
      </c>
      <c r="J31" s="332">
        <v>470742.76917711465</v>
      </c>
      <c r="K31" s="332">
        <v>0</v>
      </c>
      <c r="L31" s="332">
        <v>498920.91081999999</v>
      </c>
      <c r="N31" s="332">
        <f t="shared" si="2"/>
        <v>498920.91081999999</v>
      </c>
      <c r="O31" s="409">
        <f t="shared" si="3"/>
        <v>-8.328523233381846E-4</v>
      </c>
      <c r="P31" s="409">
        <f t="shared" si="4"/>
        <v>0.99916714767666182</v>
      </c>
      <c r="Q31" s="152">
        <f t="shared" si="5"/>
        <v>0.99784182164000002</v>
      </c>
      <c r="R31" s="152" t="str">
        <f t="shared" si="6"/>
        <v/>
      </c>
    </row>
    <row r="32" spans="1:29" ht="15.75" customHeight="1">
      <c r="A32" s="10" t="s">
        <v>184</v>
      </c>
      <c r="B32" s="396">
        <v>44569</v>
      </c>
      <c r="C32" s="116">
        <v>28174.98936</v>
      </c>
      <c r="D32" s="116">
        <v>0</v>
      </c>
      <c r="E32" s="116">
        <v>28174.98936</v>
      </c>
      <c r="F32" s="116">
        <v>471825.01063999999</v>
      </c>
      <c r="G32" s="332">
        <v>0</v>
      </c>
      <c r="H32" s="332">
        <v>-0.37522288534642012</v>
      </c>
      <c r="I32" s="332">
        <v>0</v>
      </c>
      <c r="J32" s="332">
        <v>470742.76917711465</v>
      </c>
      <c r="K32" s="332">
        <v>0</v>
      </c>
      <c r="L32" s="332">
        <v>498918.13376</v>
      </c>
      <c r="N32" s="332">
        <f t="shared" si="2"/>
        <v>498918.13376</v>
      </c>
      <c r="O32" s="409">
        <f t="shared" si="3"/>
        <v>-5.5661327071909739E-6</v>
      </c>
      <c r="P32" s="409">
        <f t="shared" si="4"/>
        <v>0.99999443386729281</v>
      </c>
      <c r="Q32" s="152">
        <f t="shared" si="5"/>
        <v>0.99783626751999999</v>
      </c>
      <c r="R32" s="152" t="str">
        <f t="shared" si="6"/>
        <v/>
      </c>
    </row>
    <row r="33" spans="1:19" ht="15.75" customHeight="1">
      <c r="A33" s="10" t="s">
        <v>184</v>
      </c>
      <c r="B33" s="396">
        <v>44570</v>
      </c>
      <c r="C33" s="116">
        <v>28158.598880000001</v>
      </c>
      <c r="D33" s="116">
        <v>0</v>
      </c>
      <c r="E33" s="116">
        <v>28158.598880000001</v>
      </c>
      <c r="F33" s="116">
        <v>471841.40111999999</v>
      </c>
      <c r="G33" s="332">
        <v>0</v>
      </c>
      <c r="H33" s="332">
        <v>-0.37522288534642012</v>
      </c>
      <c r="I33" s="332">
        <v>0</v>
      </c>
      <c r="J33" s="332">
        <v>470742.76917711465</v>
      </c>
      <c r="K33" s="332">
        <v>0</v>
      </c>
      <c r="L33" s="332">
        <v>498901.74328</v>
      </c>
      <c r="N33" s="332">
        <f t="shared" si="2"/>
        <v>498901.74328</v>
      </c>
      <c r="O33" s="409">
        <f t="shared" si="3"/>
        <v>-3.2852043032494116E-5</v>
      </c>
      <c r="P33" s="409">
        <f t="shared" si="4"/>
        <v>0.99996714795696751</v>
      </c>
      <c r="Q33" s="152">
        <f t="shared" si="5"/>
        <v>0.99780348656000006</v>
      </c>
      <c r="R33" s="152" t="str">
        <f t="shared" si="6"/>
        <v/>
      </c>
    </row>
    <row r="34" spans="1:19" ht="15.75" customHeight="1">
      <c r="A34" s="10" t="s">
        <v>184</v>
      </c>
      <c r="B34" s="396">
        <v>44571</v>
      </c>
      <c r="C34" s="116">
        <v>24037.14172</v>
      </c>
      <c r="D34" s="116">
        <v>-675268</v>
      </c>
      <c r="E34" s="116">
        <v>-651230.85828000004</v>
      </c>
      <c r="F34" s="116">
        <v>-199305.14172000001</v>
      </c>
      <c r="G34" s="332">
        <v>-25.093944420159584</v>
      </c>
      <c r="H34" s="332">
        <v>-114.77483629810447</v>
      </c>
      <c r="I34" s="332">
        <v>0</v>
      </c>
      <c r="J34" s="332">
        <v>1138103.2756192819</v>
      </c>
      <c r="K34" s="332">
        <v>178656.85560000001</v>
      </c>
      <c r="L34" s="332">
        <v>487012.28612000006</v>
      </c>
      <c r="N34" s="332">
        <f t="shared" si="2"/>
        <v>487012.28612000006</v>
      </c>
      <c r="O34" s="409">
        <f t="shared" si="3"/>
        <v>-2.3831260002888377E-2</v>
      </c>
      <c r="P34" s="409">
        <f t="shared" si="4"/>
        <v>0.97616873999711162</v>
      </c>
      <c r="Q34" s="152">
        <f t="shared" si="5"/>
        <v>0.97402457224000016</v>
      </c>
      <c r="R34" s="152" t="str">
        <f t="shared" si="6"/>
        <v/>
      </c>
    </row>
    <row r="35" spans="1:19" ht="15.75" customHeight="1">
      <c r="A35" s="10" t="s">
        <v>184</v>
      </c>
      <c r="B35" s="396">
        <v>44572</v>
      </c>
      <c r="C35" s="116">
        <v>23733.7221255</v>
      </c>
      <c r="D35" s="116">
        <v>-685400</v>
      </c>
      <c r="E35" s="116">
        <v>-661666.27787450003</v>
      </c>
      <c r="F35" s="116">
        <v>-209133.72212550003</v>
      </c>
      <c r="G35" s="332">
        <v>-25.093944420159584</v>
      </c>
      <c r="H35" s="332">
        <v>-116.49696535112103</v>
      </c>
      <c r="I35" s="332">
        <v>0</v>
      </c>
      <c r="J35" s="332">
        <v>1138101.5534902287</v>
      </c>
      <c r="K35" s="332">
        <v>178656.85560000001</v>
      </c>
      <c r="L35" s="332">
        <v>476576.86652550008</v>
      </c>
      <c r="N35" s="332">
        <f t="shared" si="2"/>
        <v>476576.86652550008</v>
      </c>
      <c r="O35" s="409">
        <f t="shared" si="3"/>
        <v>-2.1427425738349215E-2</v>
      </c>
      <c r="P35" s="409">
        <f t="shared" si="4"/>
        <v>0.97857257426165078</v>
      </c>
      <c r="Q35" s="152">
        <f t="shared" si="5"/>
        <v>0.95315373305100015</v>
      </c>
      <c r="R35" s="152" t="str">
        <f t="shared" si="6"/>
        <v/>
      </c>
    </row>
    <row r="36" spans="1:19" ht="15.75" customHeight="1">
      <c r="A36" s="10" t="s">
        <v>184</v>
      </c>
      <c r="B36" s="396">
        <v>44573</v>
      </c>
      <c r="C36" s="116">
        <v>24100.215090000002</v>
      </c>
      <c r="D36" s="116">
        <v>-716392</v>
      </c>
      <c r="E36" s="116">
        <v>-692291.78491000005</v>
      </c>
      <c r="F36" s="116">
        <v>-240492.21509000001</v>
      </c>
      <c r="G36" s="332">
        <v>-25.093944420159584</v>
      </c>
      <c r="H36" s="332">
        <v>-121.76465421917173</v>
      </c>
      <c r="I36" s="332">
        <v>0</v>
      </c>
      <c r="J36" s="332">
        <v>1138096.2858013608</v>
      </c>
      <c r="K36" s="332">
        <v>178656.85560000001</v>
      </c>
      <c r="L36" s="332">
        <v>445951.35949000006</v>
      </c>
      <c r="N36" s="332">
        <f t="shared" si="2"/>
        <v>445951.35949000006</v>
      </c>
      <c r="O36" s="409">
        <f t="shared" si="3"/>
        <v>-6.426142179073091E-2</v>
      </c>
      <c r="P36" s="409">
        <f t="shared" si="4"/>
        <v>0.93573857820926909</v>
      </c>
      <c r="Q36" s="152">
        <f t="shared" si="5"/>
        <v>0.89190271898000006</v>
      </c>
      <c r="R36" s="152" t="str">
        <f t="shared" si="6"/>
        <v/>
      </c>
    </row>
    <row r="37" spans="1:19" ht="15.75" customHeight="1">
      <c r="A37" s="10" t="s">
        <v>184</v>
      </c>
      <c r="B37" s="396">
        <v>44574</v>
      </c>
      <c r="C37" s="116">
        <v>22986.012203999999</v>
      </c>
      <c r="D37" s="116">
        <v>-708048</v>
      </c>
      <c r="E37" s="116">
        <v>-685061.98779599997</v>
      </c>
      <c r="F37" s="116">
        <v>-231034.01220400003</v>
      </c>
      <c r="G37" s="332">
        <v>-25.093944420159584</v>
      </c>
      <c r="H37" s="332">
        <v>-120.34643029315809</v>
      </c>
      <c r="I37" s="332">
        <v>0</v>
      </c>
      <c r="J37" s="332">
        <v>1138097.7040252867</v>
      </c>
      <c r="K37" s="332">
        <v>178656.85560000001</v>
      </c>
      <c r="L37" s="332">
        <v>453181.15660400013</v>
      </c>
      <c r="N37" s="332">
        <f t="shared" si="2"/>
        <v>453181.15660400013</v>
      </c>
      <c r="O37" s="409">
        <f t="shared" si="3"/>
        <v>1.621207551036119E-2</v>
      </c>
      <c r="P37" s="409">
        <f t="shared" si="4"/>
        <v>1.0162120755103612</v>
      </c>
      <c r="Q37" s="152">
        <f t="shared" si="5"/>
        <v>0.90636231320800031</v>
      </c>
      <c r="R37" s="152" t="str">
        <f t="shared" si="6"/>
        <v/>
      </c>
    </row>
    <row r="38" spans="1:19" ht="15.75" customHeight="1">
      <c r="A38" s="10" t="s">
        <v>184</v>
      </c>
      <c r="B38" s="396">
        <v>44575</v>
      </c>
      <c r="C38" s="116">
        <v>22880.533080000001</v>
      </c>
      <c r="D38" s="116">
        <v>-705366</v>
      </c>
      <c r="E38" s="116">
        <v>-682485.46692000004</v>
      </c>
      <c r="F38" s="116">
        <v>-228246.53307999996</v>
      </c>
      <c r="G38" s="332">
        <v>-25.093944420159584</v>
      </c>
      <c r="H38" s="332">
        <v>-119.89057260265371</v>
      </c>
      <c r="I38" s="332">
        <v>0</v>
      </c>
      <c r="J38" s="332">
        <v>1138098.1598829774</v>
      </c>
      <c r="K38" s="332">
        <v>178656.85560000001</v>
      </c>
      <c r="L38" s="332">
        <v>455757.67748000007</v>
      </c>
      <c r="N38" s="332">
        <f t="shared" si="2"/>
        <v>455757.67748000007</v>
      </c>
      <c r="O38" s="409">
        <f t="shared" si="3"/>
        <v>5.6854104334513877E-3</v>
      </c>
      <c r="P38" s="409">
        <f t="shared" si="4"/>
        <v>1.0056854104334514</v>
      </c>
      <c r="Q38" s="152">
        <f t="shared" si="5"/>
        <v>0.91151535496000025</v>
      </c>
      <c r="R38" s="152">
        <f t="shared" si="6"/>
        <v>-8.8484645039999754E-2</v>
      </c>
      <c r="S38" s="152"/>
    </row>
    <row r="39" spans="1:19" ht="15.75" customHeight="1">
      <c r="A39" s="10" t="s">
        <v>185</v>
      </c>
      <c r="B39" s="396">
        <v>44561</v>
      </c>
      <c r="C39" s="116">
        <v>0</v>
      </c>
      <c r="D39" s="116">
        <v>0</v>
      </c>
      <c r="E39" s="116">
        <v>0</v>
      </c>
      <c r="F39" s="116">
        <v>500000</v>
      </c>
      <c r="G39" s="332">
        <v>0</v>
      </c>
      <c r="H39" s="332">
        <v>0</v>
      </c>
      <c r="I39" s="332">
        <v>0</v>
      </c>
      <c r="J39" s="332">
        <v>500000</v>
      </c>
      <c r="K39" s="332">
        <v>0</v>
      </c>
      <c r="L39" s="332">
        <v>500000</v>
      </c>
      <c r="N39" s="332">
        <f t="shared" si="2"/>
        <v>500000</v>
      </c>
      <c r="O39" s="409" t="str">
        <f t="shared" si="3"/>
        <v/>
      </c>
      <c r="P39" s="10" t="str">
        <f t="shared" si="4"/>
        <v/>
      </c>
      <c r="Q39" s="152" t="str">
        <f t="shared" si="5"/>
        <v/>
      </c>
      <c r="R39" s="152" t="str">
        <f t="shared" si="6"/>
        <v/>
      </c>
    </row>
    <row r="40" spans="1:19" ht="15.75" customHeight="1">
      <c r="A40" s="10" t="s">
        <v>185</v>
      </c>
      <c r="B40" s="396">
        <v>44562</v>
      </c>
      <c r="C40" s="116">
        <v>110314.90760000001</v>
      </c>
      <c r="D40" s="116">
        <v>0</v>
      </c>
      <c r="E40" s="116">
        <v>110314.90760000001</v>
      </c>
      <c r="F40" s="116">
        <v>385911.78</v>
      </c>
      <c r="G40" s="332">
        <v>0</v>
      </c>
      <c r="H40" s="332">
        <v>0</v>
      </c>
      <c r="I40" s="332">
        <v>0.16450657270035474</v>
      </c>
      <c r="J40" s="332">
        <v>424205.57210657268</v>
      </c>
      <c r="K40" s="332">
        <v>0</v>
      </c>
      <c r="L40" s="332">
        <v>534520.31519999995</v>
      </c>
      <c r="N40" s="332">
        <f t="shared" si="2"/>
        <v>534520.31519999995</v>
      </c>
      <c r="O40" s="409">
        <f t="shared" si="3"/>
        <v>6.9040630399999969E-2</v>
      </c>
      <c r="P40" s="409">
        <f t="shared" si="4"/>
        <v>1.0690406304</v>
      </c>
      <c r="Q40" s="152">
        <f t="shared" si="5"/>
        <v>1.0690406304</v>
      </c>
      <c r="R40" s="152" t="str">
        <f t="shared" si="6"/>
        <v/>
      </c>
    </row>
    <row r="41" spans="1:19" ht="15.75" customHeight="1">
      <c r="A41" s="10" t="s">
        <v>185</v>
      </c>
      <c r="B41" s="396">
        <v>44563</v>
      </c>
      <c r="C41" s="116">
        <v>77196.933399999994</v>
      </c>
      <c r="D41" s="116">
        <v>-5000</v>
      </c>
      <c r="E41" s="116">
        <v>72196.933399999994</v>
      </c>
      <c r="F41" s="116">
        <v>414029.73</v>
      </c>
      <c r="G41" s="332">
        <v>0</v>
      </c>
      <c r="H41" s="332">
        <v>-0.84700425586099348</v>
      </c>
      <c r="I41" s="332">
        <v>0.16450657270035474</v>
      </c>
      <c r="J41" s="332">
        <v>459204.72510231682</v>
      </c>
      <c r="K41" s="332">
        <v>0</v>
      </c>
      <c r="L41" s="332">
        <v>531402.34100000001</v>
      </c>
      <c r="N41" s="332">
        <f t="shared" si="2"/>
        <v>531402.34100000001</v>
      </c>
      <c r="O41" s="409">
        <f t="shared" si="3"/>
        <v>-5.8332192647033709E-3</v>
      </c>
      <c r="P41" s="409">
        <f t="shared" si="4"/>
        <v>0.99416678073529663</v>
      </c>
      <c r="Q41" s="152">
        <f t="shared" si="5"/>
        <v>1.0628046820000001</v>
      </c>
      <c r="R41" s="152" t="str">
        <f t="shared" si="6"/>
        <v/>
      </c>
    </row>
    <row r="42" spans="1:19" ht="15.75" customHeight="1">
      <c r="A42" s="10" t="s">
        <v>185</v>
      </c>
      <c r="B42" s="396">
        <v>44564</v>
      </c>
      <c r="C42" s="116">
        <v>74063.630600000004</v>
      </c>
      <c r="D42" s="116">
        <v>-5000</v>
      </c>
      <c r="E42" s="116">
        <v>69063.630600000004</v>
      </c>
      <c r="F42" s="116">
        <v>417162.21</v>
      </c>
      <c r="G42" s="332">
        <v>0</v>
      </c>
      <c r="H42" s="332">
        <v>-0.84700425586099348</v>
      </c>
      <c r="I42" s="332">
        <v>0.16450657270035474</v>
      </c>
      <c r="J42" s="332">
        <v>459204.72510231682</v>
      </c>
      <c r="K42" s="332">
        <v>0</v>
      </c>
      <c r="L42" s="332">
        <v>528269.03819999995</v>
      </c>
      <c r="N42" s="332">
        <f t="shared" si="2"/>
        <v>528269.03819999995</v>
      </c>
      <c r="O42" s="409">
        <f t="shared" si="3"/>
        <v>-5.8962909235660277E-3</v>
      </c>
      <c r="P42" s="409">
        <f t="shared" si="4"/>
        <v>0.99410370907643397</v>
      </c>
      <c r="Q42" s="152">
        <f t="shared" si="5"/>
        <v>1.0565380764000001</v>
      </c>
      <c r="R42" s="152" t="str">
        <f t="shared" si="6"/>
        <v/>
      </c>
    </row>
    <row r="43" spans="1:19" ht="15.75" customHeight="1">
      <c r="A43" s="10" t="s">
        <v>185</v>
      </c>
      <c r="B43" s="396">
        <v>44565</v>
      </c>
      <c r="C43" s="116">
        <v>241871.57500000001</v>
      </c>
      <c r="D43" s="116">
        <v>-5000</v>
      </c>
      <c r="E43" s="116">
        <v>236871.57500000001</v>
      </c>
      <c r="F43" s="116">
        <v>249356.25</v>
      </c>
      <c r="G43" s="332">
        <v>0</v>
      </c>
      <c r="H43" s="332">
        <v>-0.84700425586099348</v>
      </c>
      <c r="I43" s="332">
        <v>0.16450657270035474</v>
      </c>
      <c r="J43" s="332">
        <v>288204.72510231682</v>
      </c>
      <c r="K43" s="332">
        <v>0</v>
      </c>
      <c r="L43" s="332">
        <v>525076.98259999999</v>
      </c>
      <c r="N43" s="332">
        <f t="shared" si="2"/>
        <v>525076.98259999999</v>
      </c>
      <c r="O43" s="409">
        <f t="shared" si="3"/>
        <v>-6.0424809503817345E-3</v>
      </c>
      <c r="P43" s="409">
        <f t="shared" si="4"/>
        <v>0.99395751904961827</v>
      </c>
      <c r="Q43" s="152">
        <f t="shared" si="5"/>
        <v>1.0501539652</v>
      </c>
      <c r="R43" s="152" t="str">
        <f t="shared" si="6"/>
        <v/>
      </c>
    </row>
    <row r="44" spans="1:19" ht="15.75" customHeight="1">
      <c r="A44" s="10" t="s">
        <v>185</v>
      </c>
      <c r="B44" s="396">
        <v>44566</v>
      </c>
      <c r="C44" s="116">
        <v>231200.16784000001</v>
      </c>
      <c r="D44" s="116">
        <v>-5000</v>
      </c>
      <c r="E44" s="116">
        <v>226200.16784000001</v>
      </c>
      <c r="F44" s="116">
        <v>260026.93599999999</v>
      </c>
      <c r="G44" s="332">
        <v>0</v>
      </c>
      <c r="H44" s="332">
        <v>-0.84700425586099348</v>
      </c>
      <c r="I44" s="332">
        <v>0.16450657270035474</v>
      </c>
      <c r="J44" s="332">
        <v>288204.72510231682</v>
      </c>
      <c r="K44" s="332">
        <v>0</v>
      </c>
      <c r="L44" s="332">
        <v>514405.57543999999</v>
      </c>
      <c r="N44" s="332">
        <f t="shared" si="2"/>
        <v>514405.57543999999</v>
      </c>
      <c r="O44" s="409">
        <f t="shared" si="3"/>
        <v>-2.0323509720724942E-2</v>
      </c>
      <c r="P44" s="409">
        <f t="shared" si="4"/>
        <v>0.97967649027927506</v>
      </c>
      <c r="Q44" s="152">
        <f t="shared" si="5"/>
        <v>1.02881115088</v>
      </c>
      <c r="R44" s="152" t="str">
        <f t="shared" si="6"/>
        <v/>
      </c>
    </row>
    <row r="45" spans="1:19" ht="15.75" customHeight="1">
      <c r="A45" s="10" t="s">
        <v>185</v>
      </c>
      <c r="B45" s="396">
        <v>44567</v>
      </c>
      <c r="C45" s="116">
        <v>230621.12711999999</v>
      </c>
      <c r="D45" s="116">
        <v>-5000</v>
      </c>
      <c r="E45" s="116">
        <v>225621.12711999999</v>
      </c>
      <c r="F45" s="116">
        <v>260603.27600000001</v>
      </c>
      <c r="G45" s="332">
        <v>0</v>
      </c>
      <c r="H45" s="332">
        <v>-0.84700425586099348</v>
      </c>
      <c r="I45" s="332">
        <v>0.16450657270035474</v>
      </c>
      <c r="J45" s="332">
        <v>288204.72510231682</v>
      </c>
      <c r="K45" s="332">
        <v>0</v>
      </c>
      <c r="L45" s="332">
        <v>513826.53472</v>
      </c>
      <c r="N45" s="332">
        <f t="shared" si="2"/>
        <v>513826.53472</v>
      </c>
      <c r="O45" s="409">
        <f t="shared" si="3"/>
        <v>-1.1256501633069016E-3</v>
      </c>
      <c r="P45" s="409">
        <f t="shared" si="4"/>
        <v>0.9988743498366931</v>
      </c>
      <c r="Q45" s="152">
        <f t="shared" si="5"/>
        <v>1.0276530694399999</v>
      </c>
      <c r="R45" s="152" t="str">
        <f t="shared" si="6"/>
        <v/>
      </c>
    </row>
    <row r="46" spans="1:19" ht="15.75" customHeight="1">
      <c r="A46" s="10" t="s">
        <v>185</v>
      </c>
      <c r="B46" s="396">
        <v>44568</v>
      </c>
      <c r="C46" s="116">
        <v>229817.75372000001</v>
      </c>
      <c r="D46" s="116">
        <v>-5000</v>
      </c>
      <c r="E46" s="116">
        <v>224817.75372000001</v>
      </c>
      <c r="F46" s="116">
        <v>261408.174</v>
      </c>
      <c r="G46" s="332">
        <v>0</v>
      </c>
      <c r="H46" s="332">
        <v>-0.84700425586099348</v>
      </c>
      <c r="I46" s="332">
        <v>0.16450657270035474</v>
      </c>
      <c r="J46" s="332">
        <v>288204.72510231682</v>
      </c>
      <c r="K46" s="332">
        <v>0</v>
      </c>
      <c r="L46" s="332">
        <v>513023.16131999996</v>
      </c>
      <c r="N46" s="332">
        <f t="shared" si="2"/>
        <v>513023.16131999996</v>
      </c>
      <c r="O46" s="409">
        <f t="shared" si="3"/>
        <v>-1.5635109238525402E-3</v>
      </c>
      <c r="P46" s="409">
        <f t="shared" si="4"/>
        <v>0.99843648907614746</v>
      </c>
      <c r="Q46" s="152">
        <f t="shared" si="5"/>
        <v>1.0260463226399998</v>
      </c>
      <c r="R46" s="152" t="str">
        <f t="shared" si="6"/>
        <v/>
      </c>
    </row>
    <row r="47" spans="1:19" ht="15.75" customHeight="1">
      <c r="A47" s="10" t="s">
        <v>185</v>
      </c>
      <c r="B47" s="396">
        <v>44569</v>
      </c>
      <c r="C47" s="116">
        <v>226702.14371999999</v>
      </c>
      <c r="D47" s="116">
        <v>-5000</v>
      </c>
      <c r="E47" s="116">
        <v>221702.14371999999</v>
      </c>
      <c r="F47" s="116">
        <v>264523.54200000002</v>
      </c>
      <c r="G47" s="332">
        <v>0</v>
      </c>
      <c r="H47" s="332">
        <v>-0.84700425586099348</v>
      </c>
      <c r="I47" s="332">
        <v>0.16450657270035474</v>
      </c>
      <c r="J47" s="332">
        <v>288204.72510231682</v>
      </c>
      <c r="K47" s="332">
        <v>0</v>
      </c>
      <c r="L47" s="332">
        <v>509907.55131999997</v>
      </c>
      <c r="N47" s="332">
        <f t="shared" si="2"/>
        <v>509907.55131999997</v>
      </c>
      <c r="O47" s="409">
        <f t="shared" si="3"/>
        <v>-6.0730396498738237E-3</v>
      </c>
      <c r="P47" s="409">
        <f t="shared" si="4"/>
        <v>0.99392696035012618</v>
      </c>
      <c r="Q47" s="152">
        <f t="shared" si="5"/>
        <v>1.01981510264</v>
      </c>
      <c r="R47" s="152" t="str">
        <f t="shared" si="6"/>
        <v/>
      </c>
    </row>
    <row r="48" spans="1:19" ht="15.75" customHeight="1">
      <c r="A48" s="10" t="s">
        <v>185</v>
      </c>
      <c r="B48" s="396">
        <v>44570</v>
      </c>
      <c r="C48" s="116">
        <v>223582.97346000001</v>
      </c>
      <c r="D48" s="116">
        <v>-5000</v>
      </c>
      <c r="E48" s="116">
        <v>218582.97346000001</v>
      </c>
      <c r="F48" s="116">
        <v>267642.70500000002</v>
      </c>
      <c r="G48" s="332">
        <v>0</v>
      </c>
      <c r="H48" s="332">
        <v>-0.84700425586099348</v>
      </c>
      <c r="I48" s="332">
        <v>0.16450657270035474</v>
      </c>
      <c r="J48" s="332">
        <v>288204.72510231682</v>
      </c>
      <c r="K48" s="332">
        <v>0</v>
      </c>
      <c r="L48" s="332">
        <v>506788.38105999999</v>
      </c>
      <c r="N48" s="332">
        <f t="shared" si="2"/>
        <v>506788.38105999999</v>
      </c>
      <c r="O48" s="409">
        <f t="shared" si="3"/>
        <v>-6.1171289813719554E-3</v>
      </c>
      <c r="P48" s="409">
        <f t="shared" si="4"/>
        <v>0.99388287101862804</v>
      </c>
      <c r="Q48" s="152">
        <f t="shared" si="5"/>
        <v>1.01357676212</v>
      </c>
      <c r="R48" s="152" t="str">
        <f t="shared" si="6"/>
        <v/>
      </c>
    </row>
    <row r="49" spans="1:19" ht="15.75" customHeight="1">
      <c r="A49" s="10" t="s">
        <v>185</v>
      </c>
      <c r="B49" s="396">
        <v>44571</v>
      </c>
      <c r="C49" s="116">
        <v>224427.4186</v>
      </c>
      <c r="D49" s="116">
        <v>-5000</v>
      </c>
      <c r="E49" s="116">
        <v>219427.4186</v>
      </c>
      <c r="F49" s="116">
        <v>266799.39</v>
      </c>
      <c r="G49" s="332">
        <v>0</v>
      </c>
      <c r="H49" s="332">
        <v>-0.84700425586099348</v>
      </c>
      <c r="I49" s="332">
        <v>0.16450657270035474</v>
      </c>
      <c r="J49" s="332">
        <v>288204.72510231682</v>
      </c>
      <c r="K49" s="332">
        <v>0</v>
      </c>
      <c r="L49" s="332">
        <v>507632.82620000001</v>
      </c>
      <c r="N49" s="332">
        <f t="shared" si="2"/>
        <v>507632.82620000001</v>
      </c>
      <c r="O49" s="409">
        <f t="shared" si="3"/>
        <v>1.6662677590078001E-3</v>
      </c>
      <c r="P49" s="409">
        <f t="shared" si="4"/>
        <v>1.0016662677590078</v>
      </c>
      <c r="Q49" s="152">
        <f t="shared" si="5"/>
        <v>1.0152656524000001</v>
      </c>
      <c r="R49" s="152" t="str">
        <f t="shared" si="6"/>
        <v/>
      </c>
    </row>
    <row r="50" spans="1:19" ht="15.75" customHeight="1">
      <c r="A50" s="10" t="s">
        <v>185</v>
      </c>
      <c r="B50" s="396">
        <v>44572</v>
      </c>
      <c r="C50" s="116">
        <v>223962.47902</v>
      </c>
      <c r="D50" s="116">
        <v>-5000</v>
      </c>
      <c r="E50" s="116">
        <v>218962.47902</v>
      </c>
      <c r="F50" s="116">
        <v>267264.21100000001</v>
      </c>
      <c r="G50" s="332">
        <v>0</v>
      </c>
      <c r="H50" s="332">
        <v>-0.84700425586099348</v>
      </c>
      <c r="I50" s="332">
        <v>0.16450657270035474</v>
      </c>
      <c r="J50" s="332">
        <v>288204.72510231682</v>
      </c>
      <c r="K50" s="332">
        <v>0</v>
      </c>
      <c r="L50" s="332">
        <v>507167.88662</v>
      </c>
      <c r="N50" s="332">
        <f t="shared" si="2"/>
        <v>507167.88662</v>
      </c>
      <c r="O50" s="409">
        <f t="shared" si="3"/>
        <v>-9.1589738882813521E-4</v>
      </c>
      <c r="P50" s="409">
        <f t="shared" si="4"/>
        <v>0.99908410261117186</v>
      </c>
      <c r="Q50" s="152">
        <f t="shared" si="5"/>
        <v>1.01433577324</v>
      </c>
      <c r="R50" s="152" t="str">
        <f t="shared" si="6"/>
        <v/>
      </c>
    </row>
    <row r="51" spans="1:19" ht="15.75" customHeight="1">
      <c r="A51" s="10" t="s">
        <v>185</v>
      </c>
      <c r="B51" s="396">
        <v>44573</v>
      </c>
      <c r="C51" s="116">
        <v>228934.53779999999</v>
      </c>
      <c r="D51" s="116">
        <v>-5000</v>
      </c>
      <c r="E51" s="116">
        <v>223934.53779999999</v>
      </c>
      <c r="F51" s="116">
        <v>262294.11</v>
      </c>
      <c r="G51" s="332">
        <v>0</v>
      </c>
      <c r="H51" s="332">
        <v>-0.84700425586099348</v>
      </c>
      <c r="I51" s="332">
        <v>0.16450657270035474</v>
      </c>
      <c r="J51" s="332">
        <v>288204.72510231682</v>
      </c>
      <c r="K51" s="332">
        <v>0</v>
      </c>
      <c r="L51" s="332">
        <v>512139.94539999997</v>
      </c>
      <c r="N51" s="332">
        <f t="shared" si="2"/>
        <v>512139.94539999997</v>
      </c>
      <c r="O51" s="409">
        <f t="shared" si="3"/>
        <v>9.8035757215151342E-3</v>
      </c>
      <c r="P51" s="409">
        <f t="shared" si="4"/>
        <v>1.0098035757215151</v>
      </c>
      <c r="Q51" s="152">
        <f t="shared" si="5"/>
        <v>1.0242798907999999</v>
      </c>
      <c r="R51" s="152" t="str">
        <f t="shared" si="6"/>
        <v/>
      </c>
    </row>
    <row r="52" spans="1:19" ht="15.75" customHeight="1">
      <c r="A52" s="10" t="s">
        <v>185</v>
      </c>
      <c r="B52" s="396">
        <v>44574</v>
      </c>
      <c r="C52" s="116">
        <v>223614.05379999999</v>
      </c>
      <c r="D52" s="116">
        <v>-5000</v>
      </c>
      <c r="E52" s="116">
        <v>218614.05379999999</v>
      </c>
      <c r="F52" s="116">
        <v>267616.53000000003</v>
      </c>
      <c r="G52" s="332">
        <v>0</v>
      </c>
      <c r="H52" s="332">
        <v>-0.84700425586099348</v>
      </c>
      <c r="I52" s="332">
        <v>0.16450657270035474</v>
      </c>
      <c r="J52" s="332">
        <v>288204.72510231682</v>
      </c>
      <c r="K52" s="332">
        <v>0</v>
      </c>
      <c r="L52" s="332">
        <v>506819.46139999997</v>
      </c>
      <c r="N52" s="332">
        <f t="shared" si="2"/>
        <v>506819.46139999997</v>
      </c>
      <c r="O52" s="409">
        <f t="shared" si="3"/>
        <v>-1.0388730751795805E-2</v>
      </c>
      <c r="P52" s="409">
        <f t="shared" si="4"/>
        <v>0.9896112692482042</v>
      </c>
      <c r="Q52" s="152">
        <f t="shared" si="5"/>
        <v>1.0136389228</v>
      </c>
      <c r="R52" s="152" t="str">
        <f t="shared" si="6"/>
        <v/>
      </c>
    </row>
    <row r="53" spans="1:19" ht="15.75" customHeight="1">
      <c r="A53" s="10" t="s">
        <v>185</v>
      </c>
      <c r="B53" s="396">
        <v>44575</v>
      </c>
      <c r="C53" s="116">
        <v>219782.6084</v>
      </c>
      <c r="D53" s="116">
        <v>-5000</v>
      </c>
      <c r="E53" s="116">
        <v>214782.6084</v>
      </c>
      <c r="F53" s="116">
        <v>271449.5</v>
      </c>
      <c r="G53" s="332">
        <v>0</v>
      </c>
      <c r="H53" s="332">
        <v>-0.84700425586099348</v>
      </c>
      <c r="I53" s="332">
        <v>0.16450657270035474</v>
      </c>
      <c r="J53" s="332">
        <v>288204.72510231682</v>
      </c>
      <c r="K53" s="332">
        <v>0</v>
      </c>
      <c r="L53" s="332">
        <v>502988.01599999995</v>
      </c>
      <c r="N53" s="332">
        <f t="shared" si="2"/>
        <v>502988.01599999995</v>
      </c>
      <c r="O53" s="409">
        <f t="shared" si="3"/>
        <v>-7.5597834965064337E-3</v>
      </c>
      <c r="P53" s="409">
        <f t="shared" si="4"/>
        <v>0.99244021650349357</v>
      </c>
      <c r="Q53" s="152">
        <f t="shared" si="5"/>
        <v>1.005976032</v>
      </c>
      <c r="R53" s="152">
        <f t="shared" si="6"/>
        <v>5.9760319999999645E-3</v>
      </c>
      <c r="S53" s="152"/>
    </row>
    <row r="54" spans="1:19" ht="15.75" customHeight="1">
      <c r="A54" s="10" t="s">
        <v>186</v>
      </c>
      <c r="B54" s="396">
        <v>44561</v>
      </c>
      <c r="C54" s="116">
        <v>0</v>
      </c>
      <c r="D54" s="116">
        <v>0</v>
      </c>
      <c r="E54" s="116">
        <v>0</v>
      </c>
      <c r="F54" s="116">
        <v>500000</v>
      </c>
      <c r="G54" s="332">
        <v>0</v>
      </c>
      <c r="H54" s="332">
        <v>0</v>
      </c>
      <c r="I54" s="332">
        <v>0</v>
      </c>
      <c r="J54" s="332">
        <v>500000</v>
      </c>
      <c r="K54" s="332">
        <v>0</v>
      </c>
      <c r="L54" s="332">
        <v>500000</v>
      </c>
      <c r="N54" s="332">
        <f t="shared" si="2"/>
        <v>500000</v>
      </c>
      <c r="O54" s="409" t="str">
        <f t="shared" si="3"/>
        <v/>
      </c>
      <c r="P54" s="10" t="str">
        <f t="shared" si="4"/>
        <v/>
      </c>
      <c r="Q54" s="152" t="str">
        <f t="shared" si="5"/>
        <v/>
      </c>
      <c r="R54" s="152" t="str">
        <f t="shared" si="6"/>
        <v/>
      </c>
    </row>
    <row r="55" spans="1:19" ht="15.75" customHeight="1">
      <c r="A55" s="10" t="s">
        <v>186</v>
      </c>
      <c r="B55" s="396">
        <v>44562</v>
      </c>
      <c r="C55" s="116">
        <v>0</v>
      </c>
      <c r="D55" s="116">
        <v>0</v>
      </c>
      <c r="E55" s="116">
        <v>0</v>
      </c>
      <c r="F55" s="116">
        <v>500000</v>
      </c>
      <c r="G55" s="332">
        <v>0</v>
      </c>
      <c r="H55" s="332">
        <v>0</v>
      </c>
      <c r="I55" s="332">
        <v>0</v>
      </c>
      <c r="J55" s="332">
        <v>500000</v>
      </c>
      <c r="K55" s="332">
        <v>0</v>
      </c>
      <c r="L55" s="332">
        <v>500000</v>
      </c>
      <c r="N55" s="332">
        <f t="shared" si="2"/>
        <v>500000</v>
      </c>
      <c r="O55" s="409">
        <f t="shared" si="3"/>
        <v>0</v>
      </c>
      <c r="P55" s="409">
        <f t="shared" si="4"/>
        <v>1</v>
      </c>
      <c r="Q55" s="152">
        <f t="shared" si="5"/>
        <v>1</v>
      </c>
      <c r="R55" s="152" t="str">
        <f t="shared" si="6"/>
        <v/>
      </c>
    </row>
    <row r="56" spans="1:19" ht="15.75" customHeight="1">
      <c r="A56" s="10" t="s">
        <v>186</v>
      </c>
      <c r="B56" s="396">
        <v>44563</v>
      </c>
      <c r="C56" s="116">
        <v>103176.51547499999</v>
      </c>
      <c r="D56" s="116">
        <v>0</v>
      </c>
      <c r="E56" s="116">
        <v>103176.51547499999</v>
      </c>
      <c r="F56" s="116">
        <v>396823.48452499998</v>
      </c>
      <c r="G56" s="332">
        <v>0</v>
      </c>
      <c r="H56" s="332">
        <v>0</v>
      </c>
      <c r="I56" s="332">
        <v>0</v>
      </c>
      <c r="J56" s="332">
        <v>396154.46750000003</v>
      </c>
      <c r="K56" s="332">
        <v>0</v>
      </c>
      <c r="L56" s="332">
        <v>499330.98297500005</v>
      </c>
      <c r="N56" s="332">
        <f t="shared" si="2"/>
        <v>499330.98297500005</v>
      </c>
      <c r="O56" s="409">
        <f t="shared" si="3"/>
        <v>-1.3380340499998811E-3</v>
      </c>
      <c r="P56" s="409">
        <f t="shared" si="4"/>
        <v>0.99866196595000012</v>
      </c>
      <c r="Q56" s="152">
        <f t="shared" si="5"/>
        <v>0.99866196595000012</v>
      </c>
      <c r="R56" s="152" t="str">
        <f t="shared" si="6"/>
        <v/>
      </c>
    </row>
    <row r="57" spans="1:19" ht="15.75" customHeight="1">
      <c r="A57" s="10" t="s">
        <v>186</v>
      </c>
      <c r="B57" s="396">
        <v>44564</v>
      </c>
      <c r="C57" s="116">
        <v>155250.248475</v>
      </c>
      <c r="D57" s="116">
        <v>0</v>
      </c>
      <c r="E57" s="116">
        <v>155250.248475</v>
      </c>
      <c r="F57" s="116">
        <v>341919.13197499997</v>
      </c>
      <c r="G57" s="332">
        <v>0</v>
      </c>
      <c r="H57" s="332">
        <v>0</v>
      </c>
      <c r="I57" s="332">
        <v>0</v>
      </c>
      <c r="J57" s="332">
        <v>365251.58795000002</v>
      </c>
      <c r="K57" s="332">
        <v>0</v>
      </c>
      <c r="L57" s="332">
        <v>520501.83642499999</v>
      </c>
      <c r="N57" s="332">
        <f t="shared" si="2"/>
        <v>520501.83642499999</v>
      </c>
      <c r="O57" s="409">
        <f t="shared" si="3"/>
        <v>4.2398437452978666E-2</v>
      </c>
      <c r="P57" s="409">
        <f t="shared" si="4"/>
        <v>1.0423984374529787</v>
      </c>
      <c r="Q57" s="152">
        <f t="shared" si="5"/>
        <v>1.0410036728499998</v>
      </c>
      <c r="R57" s="152" t="str">
        <f t="shared" si="6"/>
        <v/>
      </c>
    </row>
    <row r="58" spans="1:19" ht="15.75" customHeight="1">
      <c r="A58" s="10" t="s">
        <v>186</v>
      </c>
      <c r="B58" s="396">
        <v>44565</v>
      </c>
      <c r="C58" s="116">
        <v>158552.59875</v>
      </c>
      <c r="D58" s="116">
        <v>0</v>
      </c>
      <c r="E58" s="116">
        <v>158552.59875</v>
      </c>
      <c r="F58" s="116">
        <v>373690.14500000002</v>
      </c>
      <c r="G58" s="332">
        <v>0</v>
      </c>
      <c r="H58" s="332">
        <v>0</v>
      </c>
      <c r="I58" s="332">
        <v>0</v>
      </c>
      <c r="J58" s="332">
        <v>382070.50044999999</v>
      </c>
      <c r="K58" s="332">
        <v>0</v>
      </c>
      <c r="L58" s="332">
        <v>540623.09920000006</v>
      </c>
      <c r="N58" s="332">
        <f t="shared" si="2"/>
        <v>540623.09920000006</v>
      </c>
      <c r="O58" s="409">
        <f t="shared" si="3"/>
        <v>3.8657428978926101E-2</v>
      </c>
      <c r="P58" s="409">
        <f t="shared" si="4"/>
        <v>1.0386574289789261</v>
      </c>
      <c r="Q58" s="152">
        <f t="shared" si="5"/>
        <v>1.0812461983999999</v>
      </c>
      <c r="R58" s="152" t="str">
        <f t="shared" si="6"/>
        <v/>
      </c>
    </row>
    <row r="59" spans="1:19" ht="15.75" customHeight="1">
      <c r="A59" s="10" t="s">
        <v>186</v>
      </c>
      <c r="B59" s="396">
        <v>44566</v>
      </c>
      <c r="C59" s="116">
        <v>153590.12151599998</v>
      </c>
      <c r="D59" s="116">
        <v>0</v>
      </c>
      <c r="E59" s="116">
        <v>153590.12151599998</v>
      </c>
      <c r="F59" s="116">
        <v>377099.73836399999</v>
      </c>
      <c r="G59" s="332">
        <v>0</v>
      </c>
      <c r="H59" s="332">
        <v>0</v>
      </c>
      <c r="I59" s="332">
        <v>0</v>
      </c>
      <c r="J59" s="332">
        <v>382070.50044999999</v>
      </c>
      <c r="K59" s="332">
        <v>0</v>
      </c>
      <c r="L59" s="332">
        <v>535660.62196599995</v>
      </c>
      <c r="N59" s="332">
        <f t="shared" si="2"/>
        <v>535660.62196599995</v>
      </c>
      <c r="O59" s="409">
        <f t="shared" si="3"/>
        <v>-9.1791809142884873E-3</v>
      </c>
      <c r="P59" s="409">
        <f t="shared" si="4"/>
        <v>0.99082081908571151</v>
      </c>
      <c r="Q59" s="152">
        <f t="shared" si="5"/>
        <v>1.0713212439319997</v>
      </c>
      <c r="R59" s="152" t="str">
        <f t="shared" si="6"/>
        <v/>
      </c>
    </row>
    <row r="60" spans="1:19" ht="15.75" customHeight="1">
      <c r="A60" s="10" t="s">
        <v>186</v>
      </c>
      <c r="B60" s="396">
        <v>44567</v>
      </c>
      <c r="C60" s="116">
        <v>151144.72981799999</v>
      </c>
      <c r="D60" s="116">
        <v>0</v>
      </c>
      <c r="E60" s="116">
        <v>151144.72981799999</v>
      </c>
      <c r="F60" s="116">
        <v>378006.93452200003</v>
      </c>
      <c r="G60" s="332">
        <v>0</v>
      </c>
      <c r="H60" s="332">
        <v>0</v>
      </c>
      <c r="I60" s="332">
        <v>0</v>
      </c>
      <c r="J60" s="332">
        <v>382070.50044999999</v>
      </c>
      <c r="K60" s="332">
        <v>0</v>
      </c>
      <c r="L60" s="332">
        <v>533215.23026799993</v>
      </c>
      <c r="N60" s="332">
        <f t="shared" si="2"/>
        <v>533215.23026799993</v>
      </c>
      <c r="O60" s="409">
        <f t="shared" si="3"/>
        <v>-4.5651884751670702E-3</v>
      </c>
      <c r="P60" s="409">
        <f t="shared" si="4"/>
        <v>0.99543481152483293</v>
      </c>
      <c r="Q60" s="152">
        <f t="shared" si="5"/>
        <v>1.0664304605359998</v>
      </c>
      <c r="R60" s="152" t="str">
        <f t="shared" si="6"/>
        <v/>
      </c>
    </row>
    <row r="61" spans="1:19" ht="15.75" customHeight="1">
      <c r="A61" s="10" t="s">
        <v>186</v>
      </c>
      <c r="B61" s="396">
        <v>44568</v>
      </c>
      <c r="C61" s="116">
        <v>149065.36934099998</v>
      </c>
      <c r="D61" s="116">
        <v>0</v>
      </c>
      <c r="E61" s="116">
        <v>149065.36934099998</v>
      </c>
      <c r="F61" s="116">
        <v>378514.98944900004</v>
      </c>
      <c r="G61" s="332">
        <v>0</v>
      </c>
      <c r="H61" s="332">
        <v>0</v>
      </c>
      <c r="I61" s="332">
        <v>0</v>
      </c>
      <c r="J61" s="332">
        <v>382070.50044999999</v>
      </c>
      <c r="K61" s="332">
        <v>0</v>
      </c>
      <c r="L61" s="332">
        <v>531135.86979099992</v>
      </c>
      <c r="N61" s="332">
        <f t="shared" si="2"/>
        <v>531135.86979099992</v>
      </c>
      <c r="O61" s="409">
        <f t="shared" si="3"/>
        <v>-3.8996644487346854E-3</v>
      </c>
      <c r="P61" s="409">
        <f t="shared" si="4"/>
        <v>0.99610033555126531</v>
      </c>
      <c r="Q61" s="152">
        <f t="shared" si="5"/>
        <v>1.0622717395819998</v>
      </c>
      <c r="R61" s="152" t="str">
        <f t="shared" si="6"/>
        <v/>
      </c>
    </row>
    <row r="62" spans="1:19" ht="15.75" customHeight="1">
      <c r="A62" s="10" t="s">
        <v>186</v>
      </c>
      <c r="B62" s="396">
        <v>44569</v>
      </c>
      <c r="C62" s="116">
        <v>146734.624491</v>
      </c>
      <c r="D62" s="116">
        <v>0</v>
      </c>
      <c r="E62" s="116">
        <v>146734.624491</v>
      </c>
      <c r="F62" s="116">
        <v>379287.86879899999</v>
      </c>
      <c r="G62" s="332">
        <v>0</v>
      </c>
      <c r="H62" s="332">
        <v>0</v>
      </c>
      <c r="I62" s="332">
        <v>0</v>
      </c>
      <c r="J62" s="332">
        <v>382070.50044999999</v>
      </c>
      <c r="K62" s="332">
        <v>0</v>
      </c>
      <c r="L62" s="332">
        <v>528805.12494100002</v>
      </c>
      <c r="N62" s="332">
        <f t="shared" si="2"/>
        <v>528805.12494100002</v>
      </c>
      <c r="O62" s="409">
        <f t="shared" si="3"/>
        <v>-4.3882271610031776E-3</v>
      </c>
      <c r="P62" s="409">
        <f t="shared" si="4"/>
        <v>0.99561177283899682</v>
      </c>
      <c r="Q62" s="152">
        <f t="shared" si="5"/>
        <v>1.0576102498819999</v>
      </c>
      <c r="R62" s="152" t="str">
        <f t="shared" si="6"/>
        <v/>
      </c>
    </row>
    <row r="63" spans="1:19" ht="15.75" customHeight="1">
      <c r="A63" s="10" t="s">
        <v>186</v>
      </c>
      <c r="B63" s="396">
        <v>44570</v>
      </c>
      <c r="C63" s="116">
        <v>144395.42567549998</v>
      </c>
      <c r="D63" s="116">
        <v>0</v>
      </c>
      <c r="E63" s="116">
        <v>144395.42567549998</v>
      </c>
      <c r="F63" s="116">
        <v>380067.48066950002</v>
      </c>
      <c r="G63" s="332">
        <v>0</v>
      </c>
      <c r="H63" s="332">
        <v>0</v>
      </c>
      <c r="I63" s="332">
        <v>0</v>
      </c>
      <c r="J63" s="332">
        <v>382070.50044999999</v>
      </c>
      <c r="K63" s="332">
        <v>0</v>
      </c>
      <c r="L63" s="332">
        <v>526465.9261255</v>
      </c>
      <c r="N63" s="332">
        <f t="shared" si="2"/>
        <v>526465.9261255</v>
      </c>
      <c r="O63" s="409">
        <f t="shared" si="3"/>
        <v>-4.42355549364426E-3</v>
      </c>
      <c r="P63" s="409">
        <f t="shared" si="4"/>
        <v>0.99557644450635574</v>
      </c>
      <c r="Q63" s="152">
        <f t="shared" si="5"/>
        <v>1.0529318522509998</v>
      </c>
      <c r="R63" s="152" t="str">
        <f t="shared" si="6"/>
        <v/>
      </c>
    </row>
    <row r="64" spans="1:19" ht="15.75" customHeight="1">
      <c r="A64" s="10" t="s">
        <v>186</v>
      </c>
      <c r="B64" s="396">
        <v>44571</v>
      </c>
      <c r="C64" s="116">
        <v>142711.64728500001</v>
      </c>
      <c r="D64" s="116">
        <v>0</v>
      </c>
      <c r="E64" s="116">
        <v>142711.64728500001</v>
      </c>
      <c r="F64" s="116">
        <v>380184.764165</v>
      </c>
      <c r="G64" s="332">
        <v>0</v>
      </c>
      <c r="H64" s="332">
        <v>0</v>
      </c>
      <c r="I64" s="332">
        <v>0</v>
      </c>
      <c r="J64" s="332">
        <v>382070.50044999999</v>
      </c>
      <c r="K64" s="332">
        <v>0</v>
      </c>
      <c r="L64" s="332">
        <v>524782.14773500001</v>
      </c>
      <c r="N64" s="332">
        <f t="shared" si="2"/>
        <v>524782.14773500001</v>
      </c>
      <c r="O64" s="409">
        <f t="shared" si="3"/>
        <v>-3.1982666055744291E-3</v>
      </c>
      <c r="P64" s="409">
        <f t="shared" si="4"/>
        <v>0.99680173339442557</v>
      </c>
      <c r="Q64" s="152">
        <f t="shared" si="5"/>
        <v>1.0495642954699997</v>
      </c>
      <c r="R64" s="152" t="str">
        <f t="shared" si="6"/>
        <v/>
      </c>
    </row>
    <row r="65" spans="1:19" ht="15.75" customHeight="1">
      <c r="A65" s="10" t="s">
        <v>186</v>
      </c>
      <c r="B65" s="396">
        <v>44572</v>
      </c>
      <c r="C65" s="116">
        <v>141488.3419575</v>
      </c>
      <c r="D65" s="116">
        <v>0</v>
      </c>
      <c r="E65" s="116">
        <v>141488.3419575</v>
      </c>
      <c r="F65" s="116">
        <v>379849.57005749998</v>
      </c>
      <c r="G65" s="332">
        <v>0</v>
      </c>
      <c r="H65" s="332">
        <v>0</v>
      </c>
      <c r="I65" s="332">
        <v>0</v>
      </c>
      <c r="J65" s="332">
        <v>382070.50044999999</v>
      </c>
      <c r="K65" s="332">
        <v>0</v>
      </c>
      <c r="L65" s="332">
        <v>523558.84240750002</v>
      </c>
      <c r="N65" s="332">
        <f t="shared" si="2"/>
        <v>523558.84240750002</v>
      </c>
      <c r="O65" s="409">
        <f t="shared" si="3"/>
        <v>-2.3310726799298243E-3</v>
      </c>
      <c r="P65" s="409">
        <f t="shared" si="4"/>
        <v>0.99766892732007018</v>
      </c>
      <c r="Q65" s="152">
        <f t="shared" si="5"/>
        <v>1.0471176848149999</v>
      </c>
      <c r="R65" s="152" t="str">
        <f t="shared" si="6"/>
        <v/>
      </c>
    </row>
    <row r="66" spans="1:19" ht="15.75" customHeight="1">
      <c r="A66" s="10" t="s">
        <v>186</v>
      </c>
      <c r="B66" s="396">
        <v>44573</v>
      </c>
      <c r="C66" s="116">
        <v>136730.35441499998</v>
      </c>
      <c r="D66" s="116">
        <v>0</v>
      </c>
      <c r="E66" s="116">
        <v>136730.35441499998</v>
      </c>
      <c r="F66" s="116">
        <v>383038.076435</v>
      </c>
      <c r="G66" s="332">
        <v>0</v>
      </c>
      <c r="H66" s="332">
        <v>0</v>
      </c>
      <c r="I66" s="332">
        <v>0</v>
      </c>
      <c r="J66" s="332">
        <v>382070.50044999999</v>
      </c>
      <c r="K66" s="332">
        <v>0</v>
      </c>
      <c r="L66" s="332">
        <v>518800.854865</v>
      </c>
      <c r="N66" s="332">
        <f t="shared" si="2"/>
        <v>518800.854865</v>
      </c>
      <c r="O66" s="409">
        <f t="shared" si="3"/>
        <v>-9.0877799343836996E-3</v>
      </c>
      <c r="P66" s="409">
        <f t="shared" si="4"/>
        <v>0.9909122200656163</v>
      </c>
      <c r="Q66" s="152">
        <f t="shared" si="5"/>
        <v>1.0376017097299999</v>
      </c>
      <c r="R66" s="152" t="str">
        <f t="shared" si="6"/>
        <v/>
      </c>
    </row>
    <row r="67" spans="1:19" ht="15.75" customHeight="1">
      <c r="A67" s="10" t="s">
        <v>186</v>
      </c>
      <c r="B67" s="396">
        <v>44574</v>
      </c>
      <c r="C67" s="116">
        <v>134277.63855</v>
      </c>
      <c r="D67" s="116">
        <v>0</v>
      </c>
      <c r="E67" s="116">
        <v>134277.63855</v>
      </c>
      <c r="F67" s="116">
        <v>383923.0343</v>
      </c>
      <c r="G67" s="332">
        <v>0</v>
      </c>
      <c r="H67" s="332">
        <v>0</v>
      </c>
      <c r="I67" s="332">
        <v>0</v>
      </c>
      <c r="J67" s="332">
        <v>382070.50044999999</v>
      </c>
      <c r="K67" s="332">
        <v>0</v>
      </c>
      <c r="L67" s="332">
        <v>516348.13899999997</v>
      </c>
      <c r="N67" s="332">
        <f t="shared" si="2"/>
        <v>516348.13899999997</v>
      </c>
      <c r="O67" s="409">
        <f t="shared" si="3"/>
        <v>-4.7276634993946853E-3</v>
      </c>
      <c r="P67" s="409">
        <f t="shared" si="4"/>
        <v>0.99527233650060531</v>
      </c>
      <c r="Q67" s="152">
        <f t="shared" si="5"/>
        <v>1.0326962779999997</v>
      </c>
      <c r="R67" s="152" t="str">
        <f t="shared" si="6"/>
        <v/>
      </c>
    </row>
    <row r="68" spans="1:19" ht="15.75" customHeight="1">
      <c r="A68" s="10" t="s">
        <v>186</v>
      </c>
      <c r="B68" s="396">
        <v>44575</v>
      </c>
      <c r="C68" s="116">
        <v>129536.85047999999</v>
      </c>
      <c r="D68" s="116">
        <v>0</v>
      </c>
      <c r="E68" s="116">
        <v>129536.85047999999</v>
      </c>
      <c r="F68" s="116">
        <v>387099.48082</v>
      </c>
      <c r="G68" s="332">
        <v>0</v>
      </c>
      <c r="H68" s="332">
        <v>0</v>
      </c>
      <c r="I68" s="332">
        <v>0</v>
      </c>
      <c r="J68" s="332">
        <v>382070.50044999999</v>
      </c>
      <c r="K68" s="332">
        <v>0</v>
      </c>
      <c r="L68" s="332">
        <v>511607.35092999996</v>
      </c>
      <c r="N68" s="332">
        <f t="shared" si="2"/>
        <v>511607.35092999996</v>
      </c>
      <c r="O68" s="409">
        <f t="shared" si="3"/>
        <v>-9.1813792128337957E-3</v>
      </c>
      <c r="P68" s="409">
        <f t="shared" si="4"/>
        <v>0.9908186207871662</v>
      </c>
      <c r="Q68" s="152">
        <f t="shared" si="5"/>
        <v>1.0232147018599997</v>
      </c>
      <c r="R68" s="152">
        <f t="shared" si="6"/>
        <v>2.3214701859999742E-2</v>
      </c>
      <c r="S68" s="152"/>
    </row>
    <row r="69" spans="1:19" ht="15.75" customHeight="1">
      <c r="A69" s="10" t="s">
        <v>187</v>
      </c>
      <c r="B69" s="396">
        <v>44561</v>
      </c>
      <c r="C69" s="116">
        <v>0</v>
      </c>
      <c r="D69" s="116">
        <v>0</v>
      </c>
      <c r="E69" s="116">
        <v>0</v>
      </c>
      <c r="F69" s="116">
        <v>500000</v>
      </c>
      <c r="G69" s="332">
        <v>0</v>
      </c>
      <c r="H69" s="332">
        <v>0</v>
      </c>
      <c r="I69" s="332">
        <v>0</v>
      </c>
      <c r="J69" s="332">
        <v>500000</v>
      </c>
      <c r="K69" s="332">
        <v>0</v>
      </c>
      <c r="L69" s="332">
        <v>500000</v>
      </c>
      <c r="N69" s="332">
        <f t="shared" si="2"/>
        <v>500000</v>
      </c>
      <c r="O69" s="409" t="str">
        <f t="shared" si="3"/>
        <v/>
      </c>
      <c r="P69" s="10" t="str">
        <f t="shared" si="4"/>
        <v/>
      </c>
      <c r="Q69" s="152" t="str">
        <f t="shared" si="5"/>
        <v/>
      </c>
      <c r="R69" s="152" t="str">
        <f t="shared" si="6"/>
        <v/>
      </c>
    </row>
    <row r="70" spans="1:19" ht="15.75" customHeight="1">
      <c r="A70" s="10" t="s">
        <v>187</v>
      </c>
      <c r="B70" s="396">
        <v>44562</v>
      </c>
      <c r="C70" s="116">
        <v>0</v>
      </c>
      <c r="D70" s="116">
        <v>0</v>
      </c>
      <c r="E70" s="116">
        <v>0</v>
      </c>
      <c r="F70" s="116">
        <v>500000</v>
      </c>
      <c r="G70" s="332">
        <v>0</v>
      </c>
      <c r="H70" s="332">
        <v>0</v>
      </c>
      <c r="I70" s="332">
        <v>0</v>
      </c>
      <c r="J70" s="332">
        <v>500000</v>
      </c>
      <c r="K70" s="332">
        <v>0</v>
      </c>
      <c r="L70" s="332">
        <v>500000</v>
      </c>
      <c r="N70" s="332">
        <f t="shared" si="2"/>
        <v>500000</v>
      </c>
      <c r="O70" s="409">
        <f t="shared" si="3"/>
        <v>0</v>
      </c>
      <c r="P70" s="409">
        <f t="shared" si="4"/>
        <v>1</v>
      </c>
      <c r="Q70" s="152">
        <f t="shared" si="5"/>
        <v>1</v>
      </c>
      <c r="R70" s="152" t="str">
        <f t="shared" si="6"/>
        <v/>
      </c>
    </row>
    <row r="71" spans="1:19" ht="15.75" customHeight="1">
      <c r="A71" s="10" t="s">
        <v>187</v>
      </c>
      <c r="B71" s="396">
        <v>44563</v>
      </c>
      <c r="C71" s="116">
        <v>0</v>
      </c>
      <c r="D71" s="116">
        <v>0</v>
      </c>
      <c r="E71" s="116">
        <v>0</v>
      </c>
      <c r="F71" s="116">
        <v>500000</v>
      </c>
      <c r="G71" s="332">
        <v>0</v>
      </c>
      <c r="H71" s="332">
        <v>0</v>
      </c>
      <c r="I71" s="332">
        <v>0</v>
      </c>
      <c r="J71" s="332">
        <v>500000</v>
      </c>
      <c r="K71" s="332">
        <v>0</v>
      </c>
      <c r="L71" s="332">
        <v>500000</v>
      </c>
      <c r="N71" s="332">
        <f t="shared" si="2"/>
        <v>500000</v>
      </c>
      <c r="O71" s="409">
        <f t="shared" si="3"/>
        <v>0</v>
      </c>
      <c r="P71" s="409">
        <f t="shared" si="4"/>
        <v>1</v>
      </c>
      <c r="Q71" s="152">
        <f t="shared" si="5"/>
        <v>1</v>
      </c>
      <c r="R71" s="152" t="str">
        <f t="shared" si="6"/>
        <v/>
      </c>
    </row>
    <row r="72" spans="1:19" ht="15.75" customHeight="1">
      <c r="A72" s="10" t="s">
        <v>187</v>
      </c>
      <c r="B72" s="396">
        <v>44564</v>
      </c>
      <c r="C72" s="116">
        <v>0</v>
      </c>
      <c r="D72" s="116">
        <v>0</v>
      </c>
      <c r="E72" s="116">
        <v>0</v>
      </c>
      <c r="F72" s="116">
        <v>500000</v>
      </c>
      <c r="G72" s="332">
        <v>0</v>
      </c>
      <c r="H72" s="332">
        <v>0</v>
      </c>
      <c r="I72" s="332">
        <v>0</v>
      </c>
      <c r="J72" s="332">
        <v>500000</v>
      </c>
      <c r="K72" s="332">
        <v>0</v>
      </c>
      <c r="L72" s="332">
        <v>500000</v>
      </c>
      <c r="N72" s="332">
        <f t="shared" si="2"/>
        <v>500000</v>
      </c>
      <c r="O72" s="409">
        <f t="shared" si="3"/>
        <v>0</v>
      </c>
      <c r="P72" s="409">
        <f t="shared" si="4"/>
        <v>1</v>
      </c>
      <c r="Q72" s="152">
        <f t="shared" si="5"/>
        <v>1</v>
      </c>
      <c r="R72" s="152" t="str">
        <f t="shared" si="6"/>
        <v/>
      </c>
    </row>
    <row r="73" spans="1:19" ht="15.75" customHeight="1">
      <c r="A73" s="10" t="s">
        <v>187</v>
      </c>
      <c r="B73" s="396">
        <v>44565</v>
      </c>
      <c r="C73" s="116">
        <v>0</v>
      </c>
      <c r="D73" s="116">
        <v>0</v>
      </c>
      <c r="E73" s="116">
        <v>0</v>
      </c>
      <c r="F73" s="116">
        <v>500000</v>
      </c>
      <c r="G73" s="332">
        <v>0</v>
      </c>
      <c r="H73" s="332">
        <v>0</v>
      </c>
      <c r="I73" s="332">
        <v>0</v>
      </c>
      <c r="J73" s="332">
        <v>500000</v>
      </c>
      <c r="K73" s="332">
        <v>0</v>
      </c>
      <c r="L73" s="332">
        <v>500000</v>
      </c>
      <c r="N73" s="332">
        <f t="shared" si="2"/>
        <v>500000</v>
      </c>
      <c r="O73" s="409">
        <f t="shared" si="3"/>
        <v>0</v>
      </c>
      <c r="P73" s="409">
        <f t="shared" si="4"/>
        <v>1</v>
      </c>
      <c r="Q73" s="152">
        <f t="shared" si="5"/>
        <v>1</v>
      </c>
      <c r="R73" s="152" t="str">
        <f t="shared" si="6"/>
        <v/>
      </c>
    </row>
    <row r="74" spans="1:19" ht="15.75" customHeight="1">
      <c r="A74" s="10" t="s">
        <v>187</v>
      </c>
      <c r="B74" s="396">
        <v>44566</v>
      </c>
      <c r="C74" s="116">
        <v>26503.816000000006</v>
      </c>
      <c r="D74" s="116">
        <v>-34299.055999999982</v>
      </c>
      <c r="E74" s="116">
        <v>-7795.2399999999761</v>
      </c>
      <c r="F74" s="116">
        <v>500000</v>
      </c>
      <c r="G74" s="332">
        <v>0</v>
      </c>
      <c r="H74" s="332">
        <v>0</v>
      </c>
      <c r="I74" s="332">
        <v>0</v>
      </c>
      <c r="J74" s="332">
        <v>507795.24</v>
      </c>
      <c r="K74" s="332">
        <v>0</v>
      </c>
      <c r="L74" s="332">
        <v>500000</v>
      </c>
      <c r="N74" s="332">
        <f t="shared" si="2"/>
        <v>500000</v>
      </c>
      <c r="O74" s="409">
        <f t="shared" si="3"/>
        <v>0</v>
      </c>
      <c r="P74" s="409">
        <f t="shared" si="4"/>
        <v>1</v>
      </c>
      <c r="Q74" s="152">
        <f t="shared" si="5"/>
        <v>1</v>
      </c>
      <c r="R74" s="152" t="str">
        <f t="shared" si="6"/>
        <v/>
      </c>
    </row>
    <row r="75" spans="1:19" ht="15.75" customHeight="1">
      <c r="A75" s="10" t="s">
        <v>187</v>
      </c>
      <c r="B75" s="396">
        <v>44567</v>
      </c>
      <c r="C75" s="116">
        <v>43222.706000000006</v>
      </c>
      <c r="D75" s="116">
        <v>-33543.525999999991</v>
      </c>
      <c r="E75" s="116">
        <v>9679.1800000000148</v>
      </c>
      <c r="F75" s="116">
        <v>482520</v>
      </c>
      <c r="G75" s="332">
        <v>0</v>
      </c>
      <c r="H75" s="332">
        <v>0</v>
      </c>
      <c r="I75" s="332">
        <v>0</v>
      </c>
      <c r="J75" s="332">
        <v>490595.24</v>
      </c>
      <c r="K75" s="332">
        <v>0</v>
      </c>
      <c r="L75" s="332">
        <v>500274.42</v>
      </c>
      <c r="N75" s="332">
        <f t="shared" si="2"/>
        <v>500274.42</v>
      </c>
      <c r="O75" s="409">
        <f t="shared" si="3"/>
        <v>5.4883999999999489E-4</v>
      </c>
      <c r="P75" s="409">
        <f t="shared" si="4"/>
        <v>1.00054884</v>
      </c>
      <c r="Q75" s="152">
        <f t="shared" si="5"/>
        <v>1.00054884</v>
      </c>
      <c r="R75" s="152" t="str">
        <f t="shared" si="6"/>
        <v/>
      </c>
    </row>
    <row r="76" spans="1:19" ht="15.75" customHeight="1">
      <c r="A76" s="10" t="s">
        <v>187</v>
      </c>
      <c r="B76" s="396">
        <v>44568</v>
      </c>
      <c r="C76" s="116">
        <v>24952.544000000005</v>
      </c>
      <c r="D76" s="116">
        <v>-37180.213999999993</v>
      </c>
      <c r="E76" s="116">
        <v>-12227.669999999987</v>
      </c>
      <c r="F76" s="116">
        <v>465159.087</v>
      </c>
      <c r="G76" s="332">
        <v>0</v>
      </c>
      <c r="H76" s="332">
        <v>-0.75044577069284024</v>
      </c>
      <c r="I76" s="332">
        <v>0</v>
      </c>
      <c r="J76" s="332">
        <v>529421.86141422926</v>
      </c>
      <c r="K76" s="332">
        <v>0</v>
      </c>
      <c r="L76" s="332">
        <v>517194.94185999996</v>
      </c>
      <c r="N76" s="332">
        <f t="shared" si="2"/>
        <v>517194.94185999996</v>
      </c>
      <c r="O76" s="409">
        <f t="shared" si="3"/>
        <v>3.3822480589753123E-2</v>
      </c>
      <c r="P76" s="409">
        <f t="shared" si="4"/>
        <v>1.0338224805897531</v>
      </c>
      <c r="Q76" s="152">
        <f t="shared" si="5"/>
        <v>1.0343898837200001</v>
      </c>
      <c r="R76" s="152" t="str">
        <f t="shared" si="6"/>
        <v/>
      </c>
    </row>
    <row r="77" spans="1:19" ht="15.75" customHeight="1">
      <c r="A77" s="10" t="s">
        <v>187</v>
      </c>
      <c r="B77" s="396">
        <v>44569</v>
      </c>
      <c r="C77" s="116">
        <v>24174.327000000005</v>
      </c>
      <c r="D77" s="116">
        <v>-36402.497000000003</v>
      </c>
      <c r="E77" s="116">
        <v>-12228.169999999998</v>
      </c>
      <c r="F77" s="116">
        <v>466716.77100000001</v>
      </c>
      <c r="G77" s="332">
        <v>0</v>
      </c>
      <c r="H77" s="332">
        <v>-0.75044577069284024</v>
      </c>
      <c r="I77" s="332">
        <v>0</v>
      </c>
      <c r="J77" s="332">
        <v>529421.86141422926</v>
      </c>
      <c r="K77" s="332">
        <v>0</v>
      </c>
      <c r="L77" s="332">
        <v>517194.44185999996</v>
      </c>
      <c r="N77" s="332">
        <f t="shared" si="2"/>
        <v>517194.44185999996</v>
      </c>
      <c r="O77" s="409">
        <f t="shared" si="3"/>
        <v>-9.6675346084040825E-7</v>
      </c>
      <c r="P77" s="409">
        <f t="shared" si="4"/>
        <v>0.99999903324653916</v>
      </c>
      <c r="Q77" s="152">
        <f t="shared" si="5"/>
        <v>1.0343888837200002</v>
      </c>
      <c r="R77" s="152" t="str">
        <f t="shared" si="6"/>
        <v/>
      </c>
    </row>
    <row r="78" spans="1:19" ht="15.75" customHeight="1">
      <c r="A78" s="10" t="s">
        <v>187</v>
      </c>
      <c r="B78" s="396">
        <v>44570</v>
      </c>
      <c r="C78" s="116">
        <v>23394.555000000004</v>
      </c>
      <c r="D78" s="116">
        <v>-35622.740000000005</v>
      </c>
      <c r="E78" s="116">
        <v>-12228.185000000001</v>
      </c>
      <c r="F78" s="116">
        <v>468276.35249999998</v>
      </c>
      <c r="G78" s="332">
        <v>0</v>
      </c>
      <c r="H78" s="332">
        <v>-0.75044577069284024</v>
      </c>
      <c r="I78" s="332">
        <v>0</v>
      </c>
      <c r="J78" s="332">
        <v>529421.86141422926</v>
      </c>
      <c r="K78" s="332">
        <v>0</v>
      </c>
      <c r="L78" s="332">
        <v>517194.42685999995</v>
      </c>
      <c r="N78" s="332">
        <f t="shared" si="2"/>
        <v>517194.42685999995</v>
      </c>
      <c r="O78" s="409">
        <f t="shared" si="3"/>
        <v>-2.9002631851682281E-8</v>
      </c>
      <c r="P78" s="409">
        <f t="shared" si="4"/>
        <v>0.99999997099736815</v>
      </c>
      <c r="Q78" s="152">
        <f t="shared" si="5"/>
        <v>1.0343888537200001</v>
      </c>
      <c r="R78" s="152" t="str">
        <f t="shared" si="6"/>
        <v/>
      </c>
    </row>
    <row r="79" spans="1:19" ht="15.75" customHeight="1">
      <c r="A79" s="10" t="s">
        <v>187</v>
      </c>
      <c r="B79" s="396">
        <v>44571</v>
      </c>
      <c r="C79" s="116">
        <v>22607.965000000004</v>
      </c>
      <c r="D79" s="116">
        <v>-34935.815000000002</v>
      </c>
      <c r="E79" s="116">
        <v>-12327.849999999999</v>
      </c>
      <c r="F79" s="116">
        <v>469741.69500000001</v>
      </c>
      <c r="G79" s="332">
        <v>0</v>
      </c>
      <c r="H79" s="332">
        <v>-0.76772465751240448</v>
      </c>
      <c r="I79" s="332">
        <v>0</v>
      </c>
      <c r="J79" s="332">
        <v>529421.8441353424</v>
      </c>
      <c r="K79" s="332">
        <v>0</v>
      </c>
      <c r="L79" s="332">
        <v>517094.76185999997</v>
      </c>
      <c r="N79" s="332">
        <f t="shared" si="2"/>
        <v>517094.76185999997</v>
      </c>
      <c r="O79" s="409">
        <f t="shared" si="3"/>
        <v>-1.9270315924524439E-4</v>
      </c>
      <c r="P79" s="409">
        <f t="shared" si="4"/>
        <v>0.99980729684075476</v>
      </c>
      <c r="Q79" s="152">
        <f t="shared" si="5"/>
        <v>1.0341895237200003</v>
      </c>
      <c r="R79" s="152" t="str">
        <f t="shared" si="6"/>
        <v/>
      </c>
    </row>
    <row r="80" spans="1:19" ht="15.75" customHeight="1">
      <c r="A80" s="10" t="s">
        <v>187</v>
      </c>
      <c r="B80" s="396">
        <v>44572</v>
      </c>
      <c r="C80" s="116">
        <v>21829.066000000003</v>
      </c>
      <c r="D80" s="116">
        <v>-34225.161000000007</v>
      </c>
      <c r="E80" s="116">
        <v>-12396.095000000005</v>
      </c>
      <c r="F80" s="116">
        <v>471232.10550000001</v>
      </c>
      <c r="G80" s="332">
        <v>0</v>
      </c>
      <c r="H80" s="332">
        <v>-0.77924391539211402</v>
      </c>
      <c r="I80" s="332">
        <v>0</v>
      </c>
      <c r="J80" s="332">
        <v>529421.8326160846</v>
      </c>
      <c r="K80" s="332">
        <v>0</v>
      </c>
      <c r="L80" s="332">
        <v>517026.51685999992</v>
      </c>
      <c r="N80" s="332">
        <f t="shared" si="2"/>
        <v>517026.51685999992</v>
      </c>
      <c r="O80" s="409">
        <f t="shared" si="3"/>
        <v>-1.3197774379802851E-4</v>
      </c>
      <c r="P80" s="409">
        <f t="shared" si="4"/>
        <v>0.99986802225620197</v>
      </c>
      <c r="Q80" s="152">
        <f t="shared" si="5"/>
        <v>1.0340530337200002</v>
      </c>
      <c r="R80" s="152" t="str">
        <f t="shared" si="6"/>
        <v/>
      </c>
    </row>
    <row r="81" spans="1:19" ht="15.75" customHeight="1">
      <c r="A81" s="10" t="s">
        <v>187</v>
      </c>
      <c r="B81" s="396">
        <v>44573</v>
      </c>
      <c r="C81" s="116">
        <v>21038.535</v>
      </c>
      <c r="D81" s="116">
        <v>-33638.584999999999</v>
      </c>
      <c r="E81" s="116">
        <v>-12600.05</v>
      </c>
      <c r="F81" s="116">
        <v>472595.05499999999</v>
      </c>
      <c r="G81" s="332">
        <v>0</v>
      </c>
      <c r="H81" s="332">
        <v>-0.81447929243593131</v>
      </c>
      <c r="I81" s="332">
        <v>0</v>
      </c>
      <c r="J81" s="332">
        <v>529421.79738070746</v>
      </c>
      <c r="K81" s="332">
        <v>0</v>
      </c>
      <c r="L81" s="332">
        <v>516822.56185999996</v>
      </c>
      <c r="N81" s="332">
        <f t="shared" si="2"/>
        <v>516822.56185999996</v>
      </c>
      <c r="O81" s="409">
        <f t="shared" si="3"/>
        <v>-3.9447686598093057E-4</v>
      </c>
      <c r="P81" s="409">
        <f t="shared" si="4"/>
        <v>0.99960552313401907</v>
      </c>
      <c r="Q81" s="152">
        <f t="shared" si="5"/>
        <v>1.0336451237200004</v>
      </c>
      <c r="R81" s="152" t="str">
        <f t="shared" si="6"/>
        <v/>
      </c>
    </row>
    <row r="82" spans="1:19" ht="15.75" customHeight="1">
      <c r="A82" s="10" t="s">
        <v>187</v>
      </c>
      <c r="B82" s="396">
        <v>44574</v>
      </c>
      <c r="C82" s="116">
        <v>20248.93</v>
      </c>
      <c r="D82" s="116">
        <v>-32788.979999999996</v>
      </c>
      <c r="E82" s="116">
        <v>-12540.049999999996</v>
      </c>
      <c r="F82" s="116">
        <v>474220.26500000001</v>
      </c>
      <c r="G82" s="332">
        <v>0</v>
      </c>
      <c r="H82" s="332">
        <v>-0.80499284477028821</v>
      </c>
      <c r="I82" s="332">
        <v>0</v>
      </c>
      <c r="J82" s="332">
        <v>529421.80686715513</v>
      </c>
      <c r="K82" s="332">
        <v>0</v>
      </c>
      <c r="L82" s="332">
        <v>516882.56185999996</v>
      </c>
      <c r="N82" s="332">
        <f t="shared" si="2"/>
        <v>516882.56185999996</v>
      </c>
      <c r="O82" s="409">
        <f t="shared" si="3"/>
        <v>1.1609400290901739E-4</v>
      </c>
      <c r="P82" s="409">
        <f t="shared" si="4"/>
        <v>1.000116094002909</v>
      </c>
      <c r="Q82" s="152">
        <f t="shared" si="5"/>
        <v>1.0337651237200005</v>
      </c>
      <c r="R82" s="152" t="str">
        <f t="shared" si="6"/>
        <v/>
      </c>
    </row>
    <row r="83" spans="1:19" ht="15.75" customHeight="1">
      <c r="A83" s="10" t="s">
        <v>187</v>
      </c>
      <c r="B83" s="396">
        <v>44575</v>
      </c>
      <c r="C83" s="116">
        <v>19462.25</v>
      </c>
      <c r="D83" s="116">
        <v>-31981.15</v>
      </c>
      <c r="E83" s="116">
        <v>-12518.900000000001</v>
      </c>
      <c r="F83" s="116">
        <v>475803.75</v>
      </c>
      <c r="G83" s="332">
        <v>0</v>
      </c>
      <c r="H83" s="332">
        <v>-0.80194362944918862</v>
      </c>
      <c r="I83" s="332">
        <v>0</v>
      </c>
      <c r="J83" s="332">
        <v>529421.80991637055</v>
      </c>
      <c r="K83" s="332">
        <v>0</v>
      </c>
      <c r="L83" s="332">
        <v>516903.71185999992</v>
      </c>
      <c r="N83" s="332">
        <f t="shared" si="2"/>
        <v>516903.71185999992</v>
      </c>
      <c r="O83" s="409">
        <f t="shared" si="3"/>
        <v>4.0918385646238065E-5</v>
      </c>
      <c r="P83" s="409">
        <f t="shared" si="4"/>
        <v>1.0000409183856462</v>
      </c>
      <c r="Q83" s="152">
        <f t="shared" si="5"/>
        <v>1.0338074237200006</v>
      </c>
      <c r="R83" s="152">
        <f t="shared" si="6"/>
        <v>3.3807423720000562E-2</v>
      </c>
      <c r="S83" s="152"/>
    </row>
    <row r="84" spans="1:19" ht="15.75" customHeight="1">
      <c r="A84" s="10" t="s">
        <v>188</v>
      </c>
      <c r="B84" s="396">
        <v>44561</v>
      </c>
      <c r="C84" s="116">
        <v>0</v>
      </c>
      <c r="D84" s="116">
        <v>0</v>
      </c>
      <c r="E84" s="116">
        <v>0</v>
      </c>
      <c r="F84" s="116">
        <v>500000</v>
      </c>
      <c r="G84" s="332">
        <v>0</v>
      </c>
      <c r="H84" s="332">
        <v>0</v>
      </c>
      <c r="I84" s="332">
        <v>0</v>
      </c>
      <c r="J84" s="332">
        <v>500000</v>
      </c>
      <c r="K84" s="332">
        <v>0</v>
      </c>
      <c r="L84" s="332">
        <v>500000</v>
      </c>
      <c r="N84" s="332">
        <f t="shared" si="2"/>
        <v>500000</v>
      </c>
      <c r="O84" s="409" t="str">
        <f t="shared" si="3"/>
        <v/>
      </c>
      <c r="P84" s="10" t="str">
        <f t="shared" si="4"/>
        <v/>
      </c>
      <c r="Q84" s="152" t="str">
        <f t="shared" si="5"/>
        <v/>
      </c>
      <c r="R84" s="152" t="str">
        <f t="shared" si="6"/>
        <v/>
      </c>
    </row>
    <row r="85" spans="1:19" ht="15.75" customHeight="1">
      <c r="A85" s="10" t="s">
        <v>188</v>
      </c>
      <c r="B85" s="396">
        <v>44562</v>
      </c>
      <c r="C85" s="116">
        <v>0</v>
      </c>
      <c r="D85" s="116">
        <v>0</v>
      </c>
      <c r="E85" s="116">
        <v>0</v>
      </c>
      <c r="F85" s="116">
        <v>500000</v>
      </c>
      <c r="G85" s="332">
        <v>0</v>
      </c>
      <c r="H85" s="332">
        <v>0</v>
      </c>
      <c r="I85" s="332">
        <v>0</v>
      </c>
      <c r="J85" s="332">
        <v>500000</v>
      </c>
      <c r="K85" s="332">
        <v>0</v>
      </c>
      <c r="L85" s="332">
        <v>500000</v>
      </c>
      <c r="N85" s="332">
        <f t="shared" si="2"/>
        <v>500000</v>
      </c>
      <c r="O85" s="409">
        <f t="shared" si="3"/>
        <v>0</v>
      </c>
      <c r="P85" s="409">
        <f t="shared" si="4"/>
        <v>1</v>
      </c>
      <c r="Q85" s="152">
        <f t="shared" si="5"/>
        <v>1</v>
      </c>
      <c r="R85" s="152" t="str">
        <f t="shared" si="6"/>
        <v/>
      </c>
    </row>
    <row r="86" spans="1:19" ht="15.75" customHeight="1">
      <c r="A86" s="10" t="s">
        <v>188</v>
      </c>
      <c r="B86" s="396">
        <v>44563</v>
      </c>
      <c r="C86" s="116">
        <v>0</v>
      </c>
      <c r="D86" s="116">
        <v>0</v>
      </c>
      <c r="E86" s="116">
        <v>0</v>
      </c>
      <c r="F86" s="116">
        <v>500000</v>
      </c>
      <c r="G86" s="332">
        <v>0</v>
      </c>
      <c r="H86" s="332">
        <v>0</v>
      </c>
      <c r="I86" s="332">
        <v>0</v>
      </c>
      <c r="J86" s="332">
        <v>500000</v>
      </c>
      <c r="K86" s="332">
        <v>0</v>
      </c>
      <c r="L86" s="332">
        <v>500000</v>
      </c>
      <c r="N86" s="332">
        <f t="shared" si="2"/>
        <v>500000</v>
      </c>
      <c r="O86" s="409">
        <f t="shared" si="3"/>
        <v>0</v>
      </c>
      <c r="P86" s="409">
        <f t="shared" si="4"/>
        <v>1</v>
      </c>
      <c r="Q86" s="152">
        <f t="shared" si="5"/>
        <v>1</v>
      </c>
      <c r="R86" s="152" t="str">
        <f t="shared" si="6"/>
        <v/>
      </c>
    </row>
    <row r="87" spans="1:19" ht="15.75" customHeight="1">
      <c r="A87" s="10" t="s">
        <v>188</v>
      </c>
      <c r="B87" s="396">
        <v>44564</v>
      </c>
      <c r="C87" s="116">
        <v>0</v>
      </c>
      <c r="D87" s="116">
        <v>0</v>
      </c>
      <c r="E87" s="116">
        <v>0</v>
      </c>
      <c r="F87" s="116">
        <v>500000</v>
      </c>
      <c r="G87" s="332">
        <v>0</v>
      </c>
      <c r="H87" s="332">
        <v>0</v>
      </c>
      <c r="I87" s="332">
        <v>0</v>
      </c>
      <c r="J87" s="332">
        <v>500000</v>
      </c>
      <c r="K87" s="332">
        <v>0</v>
      </c>
      <c r="L87" s="332">
        <v>500000</v>
      </c>
      <c r="N87" s="332">
        <f t="shared" si="2"/>
        <v>500000</v>
      </c>
      <c r="O87" s="409">
        <f t="shared" si="3"/>
        <v>0</v>
      </c>
      <c r="P87" s="409">
        <f t="shared" si="4"/>
        <v>1</v>
      </c>
      <c r="Q87" s="152">
        <f t="shared" si="5"/>
        <v>1</v>
      </c>
      <c r="R87" s="152" t="str">
        <f t="shared" si="6"/>
        <v/>
      </c>
    </row>
    <row r="88" spans="1:19" ht="15.75" customHeight="1">
      <c r="A88" s="10" t="s">
        <v>188</v>
      </c>
      <c r="B88" s="396">
        <v>44565</v>
      </c>
      <c r="C88" s="116">
        <v>0</v>
      </c>
      <c r="D88" s="116">
        <v>0</v>
      </c>
      <c r="E88" s="116">
        <v>0</v>
      </c>
      <c r="F88" s="116">
        <v>500000</v>
      </c>
      <c r="G88" s="332">
        <v>0</v>
      </c>
      <c r="H88" s="332">
        <v>0</v>
      </c>
      <c r="I88" s="332">
        <v>0</v>
      </c>
      <c r="J88" s="332">
        <v>500000</v>
      </c>
      <c r="K88" s="332">
        <v>0</v>
      </c>
      <c r="L88" s="332">
        <v>500000</v>
      </c>
      <c r="N88" s="332">
        <f t="shared" si="2"/>
        <v>500000</v>
      </c>
      <c r="O88" s="409">
        <f t="shared" si="3"/>
        <v>0</v>
      </c>
      <c r="P88" s="409">
        <f t="shared" si="4"/>
        <v>1</v>
      </c>
      <c r="Q88" s="152">
        <f t="shared" si="5"/>
        <v>1</v>
      </c>
      <c r="R88" s="152" t="str">
        <f t="shared" si="6"/>
        <v/>
      </c>
    </row>
    <row r="89" spans="1:19" ht="15.75" customHeight="1">
      <c r="A89" s="10" t="s">
        <v>188</v>
      </c>
      <c r="B89" s="396">
        <v>44566</v>
      </c>
      <c r="C89" s="116">
        <v>0</v>
      </c>
      <c r="D89" s="116">
        <v>0</v>
      </c>
      <c r="E89" s="116">
        <v>0</v>
      </c>
      <c r="F89" s="116">
        <v>500000</v>
      </c>
      <c r="G89" s="332">
        <v>0</v>
      </c>
      <c r="H89" s="332">
        <v>0</v>
      </c>
      <c r="I89" s="332">
        <v>0</v>
      </c>
      <c r="J89" s="332">
        <v>500000</v>
      </c>
      <c r="K89" s="332">
        <v>0</v>
      </c>
      <c r="L89" s="332">
        <v>500000</v>
      </c>
      <c r="N89" s="332">
        <f t="shared" si="2"/>
        <v>500000</v>
      </c>
      <c r="O89" s="409">
        <f t="shared" si="3"/>
        <v>0</v>
      </c>
      <c r="P89" s="409">
        <f t="shared" si="4"/>
        <v>1</v>
      </c>
      <c r="Q89" s="152">
        <f t="shared" si="5"/>
        <v>1</v>
      </c>
      <c r="R89" s="152" t="str">
        <f t="shared" si="6"/>
        <v/>
      </c>
    </row>
    <row r="90" spans="1:19" ht="15.75" customHeight="1">
      <c r="A90" s="10" t="s">
        <v>188</v>
      </c>
      <c r="B90" s="396">
        <v>44567</v>
      </c>
      <c r="C90" s="116">
        <v>0</v>
      </c>
      <c r="D90" s="116">
        <v>0</v>
      </c>
      <c r="E90" s="116">
        <v>0</v>
      </c>
      <c r="F90" s="116">
        <v>500000</v>
      </c>
      <c r="G90" s="332">
        <v>0</v>
      </c>
      <c r="H90" s="332">
        <v>0</v>
      </c>
      <c r="I90" s="332">
        <v>0</v>
      </c>
      <c r="J90" s="332">
        <v>500000</v>
      </c>
      <c r="K90" s="332">
        <v>0</v>
      </c>
      <c r="L90" s="332">
        <v>500000</v>
      </c>
      <c r="N90" s="332">
        <f t="shared" si="2"/>
        <v>500000</v>
      </c>
      <c r="O90" s="409">
        <f t="shared" si="3"/>
        <v>0</v>
      </c>
      <c r="P90" s="409">
        <f t="shared" si="4"/>
        <v>1</v>
      </c>
      <c r="Q90" s="152">
        <f t="shared" si="5"/>
        <v>1</v>
      </c>
      <c r="R90" s="152" t="str">
        <f t="shared" si="6"/>
        <v/>
      </c>
    </row>
    <row r="91" spans="1:19" ht="15.75" customHeight="1">
      <c r="A91" s="10" t="s">
        <v>188</v>
      </c>
      <c r="B91" s="396">
        <v>44568</v>
      </c>
      <c r="C91" s="116">
        <v>0</v>
      </c>
      <c r="D91" s="116">
        <v>0</v>
      </c>
      <c r="E91" s="116">
        <v>0</v>
      </c>
      <c r="F91" s="116">
        <v>500000</v>
      </c>
      <c r="G91" s="332">
        <v>0</v>
      </c>
      <c r="H91" s="332">
        <v>0</v>
      </c>
      <c r="I91" s="332">
        <v>0</v>
      </c>
      <c r="J91" s="332">
        <v>500000</v>
      </c>
      <c r="K91" s="332">
        <v>0</v>
      </c>
      <c r="L91" s="332">
        <v>500000</v>
      </c>
      <c r="N91" s="332">
        <f t="shared" si="2"/>
        <v>500000</v>
      </c>
      <c r="O91" s="409">
        <f t="shared" si="3"/>
        <v>0</v>
      </c>
      <c r="P91" s="409">
        <f t="shared" si="4"/>
        <v>1</v>
      </c>
      <c r="Q91" s="152">
        <f t="shared" si="5"/>
        <v>1</v>
      </c>
      <c r="R91" s="152" t="str">
        <f t="shared" si="6"/>
        <v/>
      </c>
    </row>
    <row r="92" spans="1:19" ht="15.75" customHeight="1">
      <c r="A92" s="10" t="s">
        <v>188</v>
      </c>
      <c r="B92" s="396">
        <v>44569</v>
      </c>
      <c r="C92" s="116">
        <v>0</v>
      </c>
      <c r="D92" s="116">
        <v>0</v>
      </c>
      <c r="E92" s="116">
        <v>0</v>
      </c>
      <c r="F92" s="116">
        <v>500000</v>
      </c>
      <c r="G92" s="332">
        <v>0</v>
      </c>
      <c r="H92" s="332">
        <v>0</v>
      </c>
      <c r="I92" s="332">
        <v>0</v>
      </c>
      <c r="J92" s="332">
        <v>500000</v>
      </c>
      <c r="K92" s="332">
        <v>0</v>
      </c>
      <c r="L92" s="332">
        <v>500000</v>
      </c>
      <c r="N92" s="332">
        <f t="shared" si="2"/>
        <v>500000</v>
      </c>
      <c r="O92" s="409">
        <f t="shared" si="3"/>
        <v>0</v>
      </c>
      <c r="P92" s="409">
        <f t="shared" si="4"/>
        <v>1</v>
      </c>
      <c r="Q92" s="152">
        <f t="shared" si="5"/>
        <v>1</v>
      </c>
      <c r="R92" s="152" t="str">
        <f t="shared" si="6"/>
        <v/>
      </c>
    </row>
    <row r="93" spans="1:19" ht="15.75" customHeight="1">
      <c r="A93" s="10" t="s">
        <v>188</v>
      </c>
      <c r="B93" s="396">
        <v>44570</v>
      </c>
      <c r="C93" s="116">
        <v>0</v>
      </c>
      <c r="D93" s="116">
        <v>0</v>
      </c>
      <c r="E93" s="116">
        <v>0</v>
      </c>
      <c r="F93" s="116">
        <v>500000</v>
      </c>
      <c r="G93" s="332">
        <v>0</v>
      </c>
      <c r="H93" s="332">
        <v>0</v>
      </c>
      <c r="I93" s="332">
        <v>0</v>
      </c>
      <c r="J93" s="332">
        <v>500000</v>
      </c>
      <c r="K93" s="332">
        <v>0</v>
      </c>
      <c r="L93" s="332">
        <v>500000</v>
      </c>
      <c r="N93" s="332">
        <f t="shared" si="2"/>
        <v>500000</v>
      </c>
      <c r="O93" s="409">
        <f t="shared" si="3"/>
        <v>0</v>
      </c>
      <c r="P93" s="409">
        <f t="shared" si="4"/>
        <v>1</v>
      </c>
      <c r="Q93" s="152">
        <f t="shared" si="5"/>
        <v>1</v>
      </c>
      <c r="R93" s="152" t="str">
        <f t="shared" si="6"/>
        <v/>
      </c>
    </row>
    <row r="94" spans="1:19" ht="15.75" customHeight="1">
      <c r="A94" s="10" t="s">
        <v>188</v>
      </c>
      <c r="B94" s="396">
        <v>44571</v>
      </c>
      <c r="C94" s="116">
        <v>0</v>
      </c>
      <c r="D94" s="116">
        <v>0</v>
      </c>
      <c r="E94" s="116">
        <v>0</v>
      </c>
      <c r="F94" s="116">
        <v>500000</v>
      </c>
      <c r="G94" s="332">
        <v>0</v>
      </c>
      <c r="H94" s="332">
        <v>0</v>
      </c>
      <c r="I94" s="332">
        <v>0</v>
      </c>
      <c r="J94" s="332">
        <v>500000</v>
      </c>
      <c r="K94" s="332">
        <v>0</v>
      </c>
      <c r="L94" s="332">
        <v>500000</v>
      </c>
      <c r="N94" s="332">
        <f t="shared" si="2"/>
        <v>500000</v>
      </c>
      <c r="O94" s="409">
        <f t="shared" si="3"/>
        <v>0</v>
      </c>
      <c r="P94" s="409">
        <f t="shared" si="4"/>
        <v>1</v>
      </c>
      <c r="Q94" s="152">
        <f t="shared" si="5"/>
        <v>1</v>
      </c>
      <c r="R94" s="152" t="str">
        <f t="shared" si="6"/>
        <v/>
      </c>
    </row>
    <row r="95" spans="1:19" ht="15.75" customHeight="1">
      <c r="A95" s="10" t="s">
        <v>188</v>
      </c>
      <c r="B95" s="396">
        <v>44572</v>
      </c>
      <c r="C95" s="116">
        <v>0</v>
      </c>
      <c r="D95" s="116">
        <v>0</v>
      </c>
      <c r="E95" s="116">
        <v>0</v>
      </c>
      <c r="F95" s="116">
        <v>500000</v>
      </c>
      <c r="G95" s="332">
        <v>0</v>
      </c>
      <c r="H95" s="332">
        <v>0</v>
      </c>
      <c r="I95" s="332">
        <v>0</v>
      </c>
      <c r="J95" s="332">
        <v>500000</v>
      </c>
      <c r="K95" s="332">
        <v>0</v>
      </c>
      <c r="L95" s="332">
        <v>500000</v>
      </c>
      <c r="N95" s="332">
        <f t="shared" si="2"/>
        <v>500000</v>
      </c>
      <c r="O95" s="409">
        <f t="shared" si="3"/>
        <v>0</v>
      </c>
      <c r="P95" s="409">
        <f t="shared" si="4"/>
        <v>1</v>
      </c>
      <c r="Q95" s="152">
        <f t="shared" si="5"/>
        <v>1</v>
      </c>
      <c r="R95" s="152" t="str">
        <f t="shared" si="6"/>
        <v/>
      </c>
    </row>
    <row r="96" spans="1:19" ht="13">
      <c r="A96" s="10" t="s">
        <v>188</v>
      </c>
      <c r="B96" s="396">
        <v>44573</v>
      </c>
      <c r="C96" s="116">
        <v>0</v>
      </c>
      <c r="D96" s="116">
        <v>0</v>
      </c>
      <c r="E96" s="116">
        <v>0</v>
      </c>
      <c r="F96" s="116">
        <v>500000</v>
      </c>
      <c r="G96" s="332">
        <v>0</v>
      </c>
      <c r="H96" s="332">
        <v>0</v>
      </c>
      <c r="I96" s="332">
        <v>0</v>
      </c>
      <c r="J96" s="332">
        <v>500000</v>
      </c>
      <c r="K96" s="332">
        <v>0</v>
      </c>
      <c r="L96" s="332">
        <v>500000</v>
      </c>
      <c r="N96" s="332">
        <f t="shared" si="2"/>
        <v>500000</v>
      </c>
      <c r="O96" s="409">
        <f t="shared" si="3"/>
        <v>0</v>
      </c>
      <c r="P96" s="409">
        <f t="shared" si="4"/>
        <v>1</v>
      </c>
      <c r="Q96" s="152">
        <f t="shared" si="5"/>
        <v>1</v>
      </c>
      <c r="R96" s="152" t="str">
        <f t="shared" si="6"/>
        <v/>
      </c>
    </row>
    <row r="97" spans="1:18" ht="13">
      <c r="A97" s="10" t="s">
        <v>188</v>
      </c>
      <c r="B97" s="396">
        <v>44574</v>
      </c>
      <c r="C97" s="116">
        <v>0</v>
      </c>
      <c r="D97" s="116">
        <v>0</v>
      </c>
      <c r="E97" s="116">
        <v>0</v>
      </c>
      <c r="F97" s="116">
        <v>500000</v>
      </c>
      <c r="G97" s="332">
        <v>0</v>
      </c>
      <c r="H97" s="332">
        <v>0</v>
      </c>
      <c r="I97" s="332">
        <v>0</v>
      </c>
      <c r="J97" s="332">
        <v>500000</v>
      </c>
      <c r="K97" s="332">
        <v>0</v>
      </c>
      <c r="L97" s="332">
        <v>500000</v>
      </c>
      <c r="N97" s="332">
        <f t="shared" si="2"/>
        <v>500000</v>
      </c>
      <c r="O97" s="409">
        <f t="shared" si="3"/>
        <v>0</v>
      </c>
      <c r="P97" s="409">
        <f t="shared" si="4"/>
        <v>1</v>
      </c>
      <c r="Q97" s="152">
        <f t="shared" si="5"/>
        <v>1</v>
      </c>
      <c r="R97" s="152" t="str">
        <f t="shared" si="6"/>
        <v/>
      </c>
    </row>
    <row r="98" spans="1:18" ht="13">
      <c r="A98" s="10" t="s">
        <v>188</v>
      </c>
      <c r="B98" s="396">
        <v>44575</v>
      </c>
      <c r="C98" s="116">
        <v>0</v>
      </c>
      <c r="D98" s="116">
        <v>0</v>
      </c>
      <c r="E98" s="116">
        <v>0</v>
      </c>
      <c r="F98" s="116">
        <v>500000</v>
      </c>
      <c r="G98" s="332">
        <v>0</v>
      </c>
      <c r="H98" s="332">
        <v>0</v>
      </c>
      <c r="I98" s="332">
        <v>0</v>
      </c>
      <c r="J98" s="332">
        <v>500000</v>
      </c>
      <c r="K98" s="332">
        <v>0</v>
      </c>
      <c r="L98" s="332">
        <v>500000</v>
      </c>
      <c r="N98" s="332">
        <f t="shared" si="2"/>
        <v>500000</v>
      </c>
      <c r="O98" s="10">
        <f t="shared" si="3"/>
        <v>0</v>
      </c>
      <c r="P98" s="10">
        <f t="shared" si="4"/>
        <v>1</v>
      </c>
      <c r="Q98" s="152">
        <f t="shared" si="5"/>
        <v>1</v>
      </c>
      <c r="R98" s="152">
        <f t="shared" si="6"/>
        <v>0</v>
      </c>
    </row>
    <row r="99" spans="1:18" ht="13">
      <c r="B99" s="396"/>
      <c r="C99" s="116"/>
      <c r="D99" s="116"/>
      <c r="E99" s="116"/>
      <c r="F99" s="116"/>
      <c r="G99" s="332"/>
      <c r="H99" s="332"/>
      <c r="I99" s="332"/>
      <c r="J99" s="332"/>
      <c r="K99" s="332"/>
      <c r="L99" s="332"/>
      <c r="Q99" s="152"/>
    </row>
    <row r="100" spans="1:18" ht="13">
      <c r="B100" s="396"/>
      <c r="C100" s="116"/>
      <c r="D100" s="116"/>
      <c r="E100" s="116"/>
      <c r="F100" s="116"/>
      <c r="G100" s="332"/>
      <c r="H100" s="332"/>
      <c r="I100" s="332"/>
      <c r="J100" s="332"/>
      <c r="K100" s="332"/>
      <c r="L100" s="332"/>
      <c r="Q100" s="152"/>
    </row>
    <row r="101" spans="1:18" ht="13">
      <c r="B101" s="396"/>
      <c r="C101" s="116"/>
      <c r="D101" s="116"/>
      <c r="E101" s="116"/>
      <c r="F101" s="116"/>
      <c r="G101" s="332"/>
      <c r="H101" s="332"/>
      <c r="I101" s="332"/>
      <c r="J101" s="332"/>
      <c r="K101" s="332"/>
      <c r="L101" s="332"/>
      <c r="Q101" s="152"/>
    </row>
    <row r="102" spans="1:18" ht="13">
      <c r="B102" s="396"/>
      <c r="C102" s="116"/>
      <c r="D102" s="116"/>
      <c r="E102" s="116"/>
      <c r="F102" s="116"/>
      <c r="G102" s="332"/>
      <c r="H102" s="332"/>
      <c r="I102" s="332"/>
      <c r="J102" s="332"/>
      <c r="K102" s="332"/>
      <c r="L102" s="332"/>
      <c r="Q102" s="152"/>
    </row>
    <row r="103" spans="1:18" ht="13">
      <c r="B103" s="396"/>
      <c r="C103" s="116"/>
      <c r="D103" s="116"/>
      <c r="E103" s="116"/>
      <c r="F103" s="116"/>
      <c r="G103" s="332"/>
      <c r="H103" s="332"/>
      <c r="I103" s="332"/>
      <c r="J103" s="332"/>
      <c r="K103" s="332"/>
      <c r="L103" s="332"/>
      <c r="Q103" s="152"/>
    </row>
    <row r="104" spans="1:18" ht="13">
      <c r="B104" s="396"/>
      <c r="C104" s="116"/>
      <c r="D104" s="116"/>
      <c r="E104" s="116"/>
      <c r="F104" s="116"/>
      <c r="G104" s="332"/>
      <c r="H104" s="332"/>
      <c r="I104" s="332"/>
      <c r="J104" s="332"/>
      <c r="K104" s="332"/>
      <c r="L104" s="332"/>
      <c r="Q104" s="152"/>
    </row>
    <row r="105" spans="1:18" ht="13">
      <c r="B105" s="396"/>
      <c r="C105" s="116"/>
      <c r="D105" s="116"/>
      <c r="E105" s="116"/>
      <c r="F105" s="116"/>
      <c r="G105" s="332"/>
      <c r="H105" s="332"/>
      <c r="I105" s="332"/>
      <c r="J105" s="332"/>
      <c r="K105" s="332"/>
      <c r="L105" s="332"/>
      <c r="Q105" s="152"/>
    </row>
    <row r="106" spans="1:18" ht="13">
      <c r="B106" s="396"/>
      <c r="C106" s="116"/>
      <c r="D106" s="116"/>
      <c r="E106" s="116"/>
      <c r="F106" s="116"/>
      <c r="G106" s="332"/>
      <c r="H106" s="332"/>
      <c r="I106" s="332"/>
      <c r="J106" s="332"/>
      <c r="K106" s="332"/>
      <c r="L106" s="332"/>
      <c r="Q106" s="152"/>
    </row>
    <row r="107" spans="1:18" ht="13">
      <c r="B107" s="396"/>
      <c r="C107" s="116"/>
      <c r="D107" s="116"/>
      <c r="E107" s="116"/>
      <c r="F107" s="116"/>
      <c r="G107" s="332"/>
      <c r="H107" s="332"/>
      <c r="I107" s="332"/>
      <c r="J107" s="332"/>
      <c r="K107" s="332"/>
      <c r="L107" s="332"/>
      <c r="Q107" s="152"/>
    </row>
    <row r="108" spans="1:18" ht="13">
      <c r="B108" s="396"/>
      <c r="C108" s="116"/>
      <c r="D108" s="116"/>
      <c r="E108" s="116"/>
      <c r="F108" s="116"/>
      <c r="G108" s="332"/>
      <c r="H108" s="332"/>
      <c r="I108" s="332"/>
      <c r="J108" s="332"/>
      <c r="K108" s="332"/>
      <c r="L108" s="332"/>
      <c r="Q108" s="152"/>
    </row>
    <row r="109" spans="1:18" ht="13">
      <c r="B109" s="396"/>
      <c r="C109" s="116"/>
      <c r="D109" s="116"/>
      <c r="E109" s="116"/>
      <c r="F109" s="116"/>
      <c r="G109" s="332"/>
      <c r="H109" s="332"/>
      <c r="I109" s="332"/>
      <c r="J109" s="332"/>
      <c r="K109" s="332"/>
      <c r="L109" s="332"/>
      <c r="Q109" s="152"/>
    </row>
    <row r="110" spans="1:18" ht="13">
      <c r="B110" s="396"/>
      <c r="C110" s="116"/>
      <c r="D110" s="116"/>
      <c r="E110" s="116"/>
      <c r="F110" s="116"/>
      <c r="G110" s="332"/>
      <c r="H110" s="332"/>
      <c r="I110" s="332"/>
      <c r="J110" s="332"/>
      <c r="K110" s="332"/>
      <c r="L110" s="332"/>
      <c r="Q110" s="152"/>
    </row>
    <row r="111" spans="1:18" ht="13">
      <c r="B111" s="396"/>
      <c r="C111" s="116"/>
      <c r="D111" s="116"/>
      <c r="E111" s="116"/>
      <c r="F111" s="116"/>
      <c r="G111" s="332"/>
      <c r="H111" s="332"/>
      <c r="I111" s="332"/>
      <c r="J111" s="332"/>
      <c r="K111" s="332"/>
      <c r="L111" s="332"/>
      <c r="Q111" s="152"/>
    </row>
    <row r="112" spans="1:18" ht="13">
      <c r="B112" s="396"/>
      <c r="C112" s="116"/>
      <c r="D112" s="116"/>
      <c r="E112" s="116"/>
      <c r="F112" s="116"/>
      <c r="G112" s="332"/>
      <c r="H112" s="332"/>
      <c r="I112" s="332"/>
      <c r="J112" s="332"/>
      <c r="K112" s="332"/>
      <c r="L112" s="332"/>
      <c r="Q112" s="152"/>
    </row>
    <row r="113" spans="2:17" ht="13">
      <c r="B113" s="396"/>
      <c r="C113" s="116"/>
      <c r="D113" s="116"/>
      <c r="E113" s="116"/>
      <c r="F113" s="116"/>
      <c r="G113" s="332"/>
      <c r="H113" s="332"/>
      <c r="I113" s="332"/>
      <c r="J113" s="332"/>
      <c r="K113" s="332"/>
      <c r="L113" s="332"/>
      <c r="Q113" s="152"/>
    </row>
    <row r="114" spans="2:17" ht="13">
      <c r="B114" s="396"/>
      <c r="C114" s="116"/>
      <c r="D114" s="116"/>
      <c r="E114" s="116"/>
      <c r="F114" s="116"/>
      <c r="G114" s="332"/>
      <c r="H114" s="332"/>
      <c r="I114" s="332"/>
      <c r="J114" s="332"/>
      <c r="K114" s="332"/>
      <c r="L114" s="332"/>
      <c r="Q114" s="152"/>
    </row>
    <row r="115" spans="2:17" ht="13">
      <c r="B115" s="396"/>
      <c r="C115" s="116"/>
      <c r="D115" s="116"/>
      <c r="E115" s="116"/>
      <c r="F115" s="116"/>
      <c r="G115" s="332"/>
      <c r="H115" s="332"/>
      <c r="I115" s="332"/>
      <c r="J115" s="332"/>
      <c r="K115" s="332"/>
      <c r="L115" s="332"/>
      <c r="Q115" s="152"/>
    </row>
    <row r="116" spans="2:17" ht="13">
      <c r="B116" s="396"/>
      <c r="C116" s="116"/>
      <c r="D116" s="116"/>
      <c r="E116" s="116"/>
      <c r="F116" s="116"/>
      <c r="G116" s="332"/>
      <c r="H116" s="332"/>
      <c r="I116" s="332"/>
      <c r="J116" s="332"/>
      <c r="K116" s="332"/>
      <c r="L116" s="332"/>
      <c r="Q116" s="152"/>
    </row>
    <row r="117" spans="2:17" ht="13">
      <c r="B117" s="396"/>
      <c r="C117" s="116"/>
      <c r="D117" s="116"/>
      <c r="E117" s="116"/>
      <c r="F117" s="116"/>
      <c r="G117" s="332"/>
      <c r="H117" s="332"/>
      <c r="I117" s="332"/>
      <c r="J117" s="332"/>
      <c r="K117" s="332"/>
      <c r="L117" s="332"/>
      <c r="Q117" s="152"/>
    </row>
    <row r="118" spans="2:17" ht="13">
      <c r="B118" s="396"/>
      <c r="C118" s="116"/>
      <c r="D118" s="116"/>
      <c r="E118" s="116"/>
      <c r="F118" s="116"/>
      <c r="G118" s="332"/>
      <c r="H118" s="332"/>
      <c r="I118" s="332"/>
      <c r="J118" s="332"/>
      <c r="K118" s="332"/>
      <c r="L118" s="332"/>
      <c r="Q118" s="152"/>
    </row>
    <row r="119" spans="2:17" ht="13">
      <c r="B119" s="396"/>
      <c r="C119" s="116"/>
      <c r="D119" s="116"/>
      <c r="E119" s="116"/>
      <c r="F119" s="116"/>
      <c r="G119" s="332"/>
      <c r="H119" s="332"/>
      <c r="I119" s="332"/>
      <c r="J119" s="332"/>
      <c r="K119" s="332"/>
      <c r="L119" s="332"/>
      <c r="Q119" s="152"/>
    </row>
    <row r="120" spans="2:17" ht="13">
      <c r="B120" s="396"/>
      <c r="C120" s="116"/>
      <c r="D120" s="116"/>
      <c r="E120" s="116"/>
      <c r="F120" s="116"/>
      <c r="G120" s="332"/>
      <c r="H120" s="332"/>
      <c r="I120" s="332"/>
      <c r="J120" s="332"/>
      <c r="K120" s="332"/>
      <c r="L120" s="332"/>
      <c r="Q120" s="152"/>
    </row>
    <row r="121" spans="2:17" ht="13">
      <c r="B121" s="396"/>
      <c r="C121" s="116"/>
      <c r="D121" s="116"/>
      <c r="E121" s="116"/>
      <c r="F121" s="116"/>
      <c r="G121" s="332"/>
      <c r="H121" s="332"/>
      <c r="I121" s="332"/>
      <c r="J121" s="332"/>
      <c r="K121" s="332"/>
      <c r="L121" s="332"/>
      <c r="Q121" s="152"/>
    </row>
    <row r="122" spans="2:17" ht="13">
      <c r="B122" s="396"/>
      <c r="C122" s="116"/>
      <c r="D122" s="116"/>
      <c r="E122" s="116"/>
      <c r="F122" s="116"/>
      <c r="G122" s="332"/>
      <c r="H122" s="332"/>
      <c r="I122" s="332"/>
      <c r="J122" s="332"/>
      <c r="K122" s="332"/>
      <c r="L122" s="332"/>
      <c r="Q122" s="152"/>
    </row>
    <row r="123" spans="2:17" ht="13">
      <c r="B123" s="396"/>
      <c r="C123" s="116"/>
      <c r="D123" s="116"/>
      <c r="E123" s="116"/>
      <c r="F123" s="116"/>
      <c r="G123" s="332"/>
      <c r="H123" s="332"/>
      <c r="I123" s="332"/>
      <c r="J123" s="332"/>
      <c r="K123" s="332"/>
      <c r="L123" s="332"/>
      <c r="Q123" s="152"/>
    </row>
    <row r="124" spans="2:17" ht="13">
      <c r="B124" s="396"/>
      <c r="C124" s="116"/>
      <c r="D124" s="116"/>
      <c r="E124" s="116"/>
      <c r="F124" s="116"/>
      <c r="G124" s="332"/>
      <c r="H124" s="332"/>
      <c r="I124" s="332"/>
      <c r="J124" s="332"/>
      <c r="K124" s="332"/>
      <c r="L124" s="332"/>
      <c r="Q124" s="152"/>
    </row>
    <row r="125" spans="2:17" ht="13">
      <c r="B125" s="396"/>
      <c r="C125" s="116"/>
      <c r="D125" s="116"/>
      <c r="E125" s="116"/>
      <c r="F125" s="116"/>
      <c r="G125" s="332"/>
      <c r="H125" s="332"/>
      <c r="I125" s="332"/>
      <c r="J125" s="332"/>
      <c r="K125" s="332"/>
      <c r="L125" s="332"/>
      <c r="Q125" s="152"/>
    </row>
    <row r="126" spans="2:17" ht="13">
      <c r="B126" s="396"/>
      <c r="C126" s="116"/>
      <c r="D126" s="116"/>
      <c r="E126" s="116"/>
      <c r="F126" s="116"/>
      <c r="G126" s="332"/>
      <c r="H126" s="332"/>
      <c r="I126" s="332"/>
      <c r="J126" s="332"/>
      <c r="K126" s="332"/>
      <c r="L126" s="332"/>
      <c r="Q126" s="152"/>
    </row>
    <row r="127" spans="2:17" ht="13">
      <c r="B127" s="396"/>
      <c r="C127" s="116"/>
      <c r="D127" s="116"/>
      <c r="E127" s="116"/>
      <c r="F127" s="116"/>
      <c r="G127" s="332"/>
      <c r="H127" s="332"/>
      <c r="I127" s="332"/>
      <c r="J127" s="332"/>
      <c r="K127" s="332"/>
      <c r="L127" s="332"/>
      <c r="Q127" s="152"/>
    </row>
    <row r="128" spans="2:17" ht="13">
      <c r="B128" s="396"/>
      <c r="C128" s="116"/>
      <c r="D128" s="116"/>
      <c r="E128" s="116"/>
      <c r="F128" s="116"/>
      <c r="G128" s="332"/>
      <c r="H128" s="332"/>
      <c r="I128" s="332"/>
      <c r="J128" s="332"/>
      <c r="K128" s="332"/>
      <c r="L128" s="332"/>
      <c r="Q128" s="152"/>
    </row>
    <row r="129" spans="2:17" ht="13">
      <c r="B129" s="396"/>
      <c r="C129" s="116"/>
      <c r="D129" s="116"/>
      <c r="E129" s="116"/>
      <c r="F129" s="116"/>
      <c r="G129" s="332"/>
      <c r="H129" s="332"/>
      <c r="I129" s="332"/>
      <c r="J129" s="332"/>
      <c r="K129" s="332"/>
      <c r="L129" s="332"/>
      <c r="Q129" s="152"/>
    </row>
    <row r="130" spans="2:17" ht="13">
      <c r="B130" s="396"/>
      <c r="C130" s="116"/>
      <c r="D130" s="116"/>
      <c r="E130" s="116"/>
      <c r="F130" s="116"/>
      <c r="G130" s="332"/>
      <c r="H130" s="332"/>
      <c r="I130" s="332"/>
      <c r="J130" s="332"/>
      <c r="K130" s="332"/>
      <c r="L130" s="332"/>
      <c r="Q130" s="152"/>
    </row>
    <row r="131" spans="2:17" ht="13">
      <c r="B131" s="396"/>
      <c r="C131" s="116"/>
      <c r="D131" s="116"/>
      <c r="E131" s="116"/>
      <c r="F131" s="116"/>
      <c r="G131" s="332"/>
      <c r="H131" s="332"/>
      <c r="I131" s="332"/>
      <c r="J131" s="332"/>
      <c r="K131" s="332"/>
      <c r="L131" s="332"/>
      <c r="Q131" s="152"/>
    </row>
    <row r="132" spans="2:17" ht="13">
      <c r="B132" s="396"/>
      <c r="C132" s="116"/>
      <c r="D132" s="116"/>
      <c r="E132" s="116"/>
      <c r="F132" s="116"/>
      <c r="G132" s="332"/>
      <c r="H132" s="332"/>
      <c r="I132" s="332"/>
      <c r="J132" s="332"/>
      <c r="K132" s="332"/>
      <c r="L132" s="332"/>
      <c r="Q132" s="152"/>
    </row>
    <row r="133" spans="2:17" ht="13">
      <c r="B133" s="396"/>
      <c r="C133" s="116"/>
      <c r="D133" s="116"/>
      <c r="E133" s="116"/>
      <c r="F133" s="116"/>
      <c r="G133" s="332"/>
      <c r="H133" s="332"/>
      <c r="I133" s="332"/>
      <c r="J133" s="332"/>
      <c r="K133" s="332"/>
      <c r="L133" s="332"/>
      <c r="Q133" s="152"/>
    </row>
    <row r="134" spans="2:17" ht="13">
      <c r="B134" s="396"/>
      <c r="C134" s="116"/>
      <c r="D134" s="116"/>
      <c r="E134" s="116"/>
      <c r="F134" s="116"/>
      <c r="G134" s="332"/>
      <c r="H134" s="332"/>
      <c r="I134" s="332"/>
      <c r="J134" s="332"/>
      <c r="K134" s="332"/>
      <c r="L134" s="332"/>
      <c r="Q134" s="152"/>
    </row>
    <row r="135" spans="2:17" ht="13">
      <c r="B135" s="396"/>
      <c r="C135" s="116"/>
      <c r="D135" s="116"/>
      <c r="E135" s="116"/>
      <c r="F135" s="116"/>
      <c r="G135" s="332"/>
      <c r="H135" s="332"/>
      <c r="I135" s="332"/>
      <c r="J135" s="332"/>
      <c r="K135" s="332"/>
      <c r="L135" s="332"/>
      <c r="Q135" s="152"/>
    </row>
    <row r="136" spans="2:17" ht="13">
      <c r="B136" s="396"/>
      <c r="C136" s="116"/>
      <c r="D136" s="116"/>
      <c r="E136" s="116"/>
      <c r="F136" s="116"/>
      <c r="G136" s="332"/>
      <c r="H136" s="332"/>
      <c r="I136" s="332"/>
      <c r="J136" s="332"/>
      <c r="K136" s="332"/>
      <c r="L136" s="332"/>
      <c r="Q136" s="152"/>
    </row>
    <row r="137" spans="2:17" ht="13">
      <c r="B137" s="396"/>
      <c r="C137" s="116"/>
      <c r="D137" s="116"/>
      <c r="E137" s="116"/>
      <c r="F137" s="116"/>
      <c r="G137" s="332"/>
      <c r="H137" s="332"/>
      <c r="I137" s="332"/>
      <c r="J137" s="332"/>
      <c r="K137" s="332"/>
      <c r="L137" s="332"/>
      <c r="Q137" s="152"/>
    </row>
    <row r="138" spans="2:17" ht="13">
      <c r="B138" s="396"/>
      <c r="C138" s="116"/>
      <c r="D138" s="116"/>
      <c r="E138" s="116"/>
      <c r="F138" s="116"/>
      <c r="G138" s="332"/>
      <c r="H138" s="332"/>
      <c r="I138" s="332"/>
      <c r="J138" s="332"/>
      <c r="K138" s="332"/>
      <c r="L138" s="332"/>
      <c r="Q138" s="152"/>
    </row>
    <row r="139" spans="2:17" ht="13">
      <c r="B139" s="396"/>
      <c r="C139" s="116"/>
      <c r="D139" s="116"/>
      <c r="E139" s="116"/>
      <c r="F139" s="116"/>
      <c r="G139" s="332"/>
      <c r="H139" s="332"/>
      <c r="I139" s="332"/>
      <c r="J139" s="332"/>
      <c r="K139" s="332"/>
      <c r="L139" s="332"/>
      <c r="Q139" s="152"/>
    </row>
    <row r="140" spans="2:17" ht="13">
      <c r="B140" s="396"/>
      <c r="C140" s="116"/>
      <c r="D140" s="116"/>
      <c r="E140" s="116"/>
      <c r="F140" s="116"/>
      <c r="G140" s="332"/>
      <c r="H140" s="332"/>
      <c r="I140" s="332"/>
      <c r="J140" s="332"/>
      <c r="K140" s="332"/>
      <c r="L140" s="332"/>
      <c r="Q140" s="152"/>
    </row>
    <row r="141" spans="2:17" ht="13">
      <c r="B141" s="396"/>
      <c r="C141" s="116"/>
      <c r="D141" s="116"/>
      <c r="E141" s="116"/>
      <c r="F141" s="116"/>
      <c r="G141" s="332"/>
      <c r="H141" s="332"/>
      <c r="I141" s="332"/>
      <c r="J141" s="332"/>
      <c r="K141" s="332"/>
      <c r="L141" s="332"/>
      <c r="Q141" s="152"/>
    </row>
    <row r="142" spans="2:17" ht="13">
      <c r="B142" s="396"/>
      <c r="C142" s="116"/>
      <c r="D142" s="116"/>
      <c r="E142" s="116"/>
      <c r="F142" s="116"/>
      <c r="G142" s="332"/>
      <c r="H142" s="332"/>
      <c r="I142" s="332"/>
      <c r="J142" s="332"/>
      <c r="K142" s="332"/>
      <c r="L142" s="332"/>
      <c r="Q142" s="152"/>
    </row>
    <row r="143" spans="2:17" ht="13">
      <c r="B143" s="396"/>
      <c r="C143" s="116"/>
      <c r="D143" s="116"/>
      <c r="E143" s="116"/>
      <c r="F143" s="116"/>
      <c r="G143" s="332"/>
      <c r="H143" s="332"/>
      <c r="I143" s="332"/>
      <c r="J143" s="332"/>
      <c r="K143" s="332"/>
      <c r="L143" s="332"/>
      <c r="Q143" s="152"/>
    </row>
    <row r="144" spans="2:17" ht="13">
      <c r="B144" s="396"/>
      <c r="C144" s="116"/>
      <c r="D144" s="116"/>
      <c r="E144" s="116"/>
      <c r="F144" s="116"/>
      <c r="G144" s="332"/>
      <c r="H144" s="332"/>
      <c r="I144" s="332"/>
      <c r="J144" s="332"/>
      <c r="K144" s="332"/>
      <c r="L144" s="332"/>
      <c r="Q144" s="152"/>
    </row>
    <row r="145" spans="2:17" ht="13">
      <c r="B145" s="396"/>
      <c r="C145" s="116"/>
      <c r="D145" s="116"/>
      <c r="E145" s="116"/>
      <c r="F145" s="116"/>
      <c r="G145" s="332"/>
      <c r="H145" s="332"/>
      <c r="I145" s="332"/>
      <c r="J145" s="332"/>
      <c r="K145" s="332"/>
      <c r="L145" s="332"/>
      <c r="Q145" s="152"/>
    </row>
    <row r="146" spans="2:17" ht="13">
      <c r="B146" s="396"/>
      <c r="C146" s="116"/>
      <c r="D146" s="116"/>
      <c r="E146" s="116"/>
      <c r="F146" s="116"/>
      <c r="G146" s="332"/>
      <c r="H146" s="332"/>
      <c r="I146" s="332"/>
      <c r="J146" s="332"/>
      <c r="K146" s="332"/>
      <c r="L146" s="332"/>
      <c r="Q146" s="152"/>
    </row>
    <row r="147" spans="2:17" ht="13">
      <c r="B147" s="396"/>
      <c r="C147" s="116"/>
      <c r="D147" s="116"/>
      <c r="E147" s="116"/>
      <c r="F147" s="116"/>
      <c r="G147" s="332"/>
      <c r="H147" s="332"/>
      <c r="I147" s="332"/>
      <c r="J147" s="332"/>
      <c r="K147" s="332"/>
      <c r="L147" s="332"/>
      <c r="Q147" s="152"/>
    </row>
    <row r="148" spans="2:17" ht="13">
      <c r="B148" s="396"/>
      <c r="C148" s="116"/>
      <c r="D148" s="116"/>
      <c r="E148" s="116"/>
      <c r="F148" s="116"/>
      <c r="G148" s="332"/>
      <c r="H148" s="332"/>
      <c r="I148" s="332"/>
      <c r="J148" s="332"/>
      <c r="K148" s="332"/>
      <c r="L148" s="332"/>
      <c r="Q148" s="152"/>
    </row>
    <row r="149" spans="2:17" ht="13">
      <c r="B149" s="396"/>
      <c r="C149" s="116"/>
      <c r="D149" s="116"/>
      <c r="E149" s="116"/>
      <c r="F149" s="116"/>
      <c r="G149" s="332"/>
      <c r="H149" s="332"/>
      <c r="I149" s="332"/>
      <c r="J149" s="332"/>
      <c r="K149" s="332"/>
      <c r="L149" s="332"/>
      <c r="Q149" s="152"/>
    </row>
    <row r="150" spans="2:17" ht="13">
      <c r="B150" s="396"/>
      <c r="C150" s="116"/>
      <c r="D150" s="116"/>
      <c r="E150" s="116"/>
      <c r="F150" s="116"/>
      <c r="G150" s="332"/>
      <c r="H150" s="332"/>
      <c r="I150" s="332"/>
      <c r="J150" s="332"/>
      <c r="K150" s="332"/>
      <c r="L150" s="332"/>
      <c r="Q150" s="152"/>
    </row>
    <row r="151" spans="2:17" ht="13">
      <c r="B151" s="396"/>
      <c r="C151" s="116"/>
      <c r="D151" s="116"/>
      <c r="E151" s="116"/>
      <c r="F151" s="116"/>
      <c r="G151" s="332"/>
      <c r="H151" s="332"/>
      <c r="I151" s="332"/>
      <c r="J151" s="332"/>
      <c r="K151" s="332"/>
      <c r="L151" s="332"/>
      <c r="Q151" s="152"/>
    </row>
    <row r="152" spans="2:17" ht="13">
      <c r="B152" s="396"/>
      <c r="C152" s="116"/>
      <c r="D152" s="116"/>
      <c r="E152" s="116"/>
      <c r="F152" s="116"/>
      <c r="G152" s="332"/>
      <c r="H152" s="332"/>
      <c r="I152" s="332"/>
      <c r="J152" s="332"/>
      <c r="K152" s="332"/>
      <c r="L152" s="332"/>
      <c r="Q152" s="152"/>
    </row>
    <row r="153" spans="2:17" ht="13">
      <c r="B153" s="396"/>
      <c r="C153" s="116"/>
      <c r="D153" s="116"/>
      <c r="E153" s="116"/>
      <c r="F153" s="116"/>
      <c r="G153" s="332"/>
      <c r="H153" s="332"/>
      <c r="I153" s="332"/>
      <c r="J153" s="332"/>
      <c r="K153" s="332"/>
      <c r="L153" s="332"/>
      <c r="Q153" s="152"/>
    </row>
    <row r="154" spans="2:17" ht="13">
      <c r="B154" s="396"/>
      <c r="C154" s="116"/>
      <c r="D154" s="116"/>
      <c r="E154" s="116"/>
      <c r="F154" s="116"/>
      <c r="G154" s="332"/>
      <c r="H154" s="332"/>
      <c r="I154" s="332"/>
      <c r="J154" s="332"/>
      <c r="K154" s="332"/>
      <c r="L154" s="332"/>
      <c r="Q154" s="152"/>
    </row>
    <row r="155" spans="2:17" ht="13">
      <c r="B155" s="396"/>
      <c r="C155" s="116"/>
      <c r="D155" s="116"/>
      <c r="E155" s="116"/>
      <c r="F155" s="116"/>
      <c r="G155" s="332"/>
      <c r="H155" s="332"/>
      <c r="I155" s="332"/>
      <c r="J155" s="332"/>
      <c r="K155" s="332"/>
      <c r="L155" s="332"/>
      <c r="Q155" s="152"/>
    </row>
    <row r="156" spans="2:17" ht="13">
      <c r="B156" s="396"/>
      <c r="C156" s="116"/>
      <c r="D156" s="116"/>
      <c r="E156" s="116"/>
      <c r="F156" s="116"/>
      <c r="G156" s="332"/>
      <c r="H156" s="332"/>
      <c r="I156" s="332"/>
      <c r="J156" s="332"/>
      <c r="K156" s="332"/>
      <c r="L156" s="332"/>
      <c r="Q156" s="152"/>
    </row>
    <row r="157" spans="2:17" ht="13">
      <c r="B157" s="396"/>
      <c r="C157" s="116"/>
      <c r="D157" s="116"/>
      <c r="E157" s="116"/>
      <c r="F157" s="116"/>
      <c r="G157" s="332"/>
      <c r="H157" s="332"/>
      <c r="I157" s="332"/>
      <c r="J157" s="332"/>
      <c r="K157" s="332"/>
      <c r="L157" s="332"/>
      <c r="Q157" s="152"/>
    </row>
    <row r="158" spans="2:17" ht="13">
      <c r="B158" s="396"/>
      <c r="C158" s="116"/>
      <c r="D158" s="116"/>
      <c r="E158" s="116"/>
      <c r="F158" s="116"/>
      <c r="G158" s="332"/>
      <c r="H158" s="332"/>
      <c r="I158" s="332"/>
      <c r="J158" s="332"/>
      <c r="K158" s="332"/>
      <c r="L158" s="332"/>
      <c r="Q158" s="152"/>
    </row>
    <row r="159" spans="2:17" ht="13">
      <c r="B159" s="396"/>
      <c r="C159" s="116"/>
      <c r="D159" s="116"/>
      <c r="E159" s="116"/>
      <c r="F159" s="116"/>
      <c r="G159" s="332"/>
      <c r="H159" s="332"/>
      <c r="I159" s="332"/>
      <c r="J159" s="332"/>
      <c r="K159" s="332"/>
      <c r="L159" s="332"/>
      <c r="Q159" s="152"/>
    </row>
    <row r="160" spans="2:17" ht="13">
      <c r="B160" s="396"/>
      <c r="C160" s="116"/>
      <c r="D160" s="116"/>
      <c r="E160" s="116"/>
      <c r="F160" s="116"/>
      <c r="G160" s="332"/>
      <c r="H160" s="332"/>
      <c r="I160" s="332"/>
      <c r="J160" s="332"/>
      <c r="K160" s="332"/>
      <c r="L160" s="332"/>
      <c r="Q160" s="152"/>
    </row>
    <row r="161" spans="2:17" ht="13">
      <c r="B161" s="396"/>
      <c r="C161" s="116"/>
      <c r="D161" s="116"/>
      <c r="E161" s="116"/>
      <c r="F161" s="116"/>
      <c r="G161" s="332"/>
      <c r="H161" s="332"/>
      <c r="I161" s="332"/>
      <c r="J161" s="332"/>
      <c r="K161" s="332"/>
      <c r="L161" s="332"/>
      <c r="Q161" s="152"/>
    </row>
    <row r="162" spans="2:17" ht="13">
      <c r="B162" s="396"/>
      <c r="C162" s="116"/>
      <c r="D162" s="116"/>
      <c r="E162" s="116"/>
      <c r="F162" s="116"/>
      <c r="G162" s="332"/>
      <c r="H162" s="332"/>
      <c r="I162" s="332"/>
      <c r="J162" s="332"/>
      <c r="K162" s="332"/>
      <c r="L162" s="332"/>
      <c r="Q162" s="152"/>
    </row>
    <row r="163" spans="2:17" ht="13">
      <c r="B163" s="396"/>
      <c r="C163" s="116"/>
      <c r="D163" s="116"/>
      <c r="E163" s="116"/>
      <c r="F163" s="116"/>
      <c r="G163" s="332"/>
      <c r="H163" s="332"/>
      <c r="I163" s="332"/>
      <c r="J163" s="332"/>
      <c r="K163" s="332"/>
      <c r="L163" s="332"/>
      <c r="Q163" s="152"/>
    </row>
    <row r="164" spans="2:17" ht="13">
      <c r="B164" s="396"/>
      <c r="C164" s="116"/>
      <c r="D164" s="116"/>
      <c r="E164" s="116"/>
      <c r="F164" s="116"/>
      <c r="G164" s="332"/>
      <c r="H164" s="332"/>
      <c r="I164" s="332"/>
      <c r="J164" s="332"/>
      <c r="K164" s="332"/>
      <c r="L164" s="332"/>
      <c r="Q164" s="152"/>
    </row>
    <row r="165" spans="2:17" ht="13">
      <c r="B165" s="396"/>
      <c r="C165" s="116"/>
      <c r="D165" s="116"/>
      <c r="E165" s="116"/>
      <c r="F165" s="116"/>
      <c r="G165" s="332"/>
      <c r="H165" s="332"/>
      <c r="I165" s="332"/>
      <c r="J165" s="332"/>
      <c r="K165" s="332"/>
      <c r="L165" s="332"/>
      <c r="Q165" s="152"/>
    </row>
    <row r="166" spans="2:17" ht="13">
      <c r="B166" s="396"/>
      <c r="C166" s="116"/>
      <c r="D166" s="116"/>
      <c r="E166" s="116"/>
      <c r="F166" s="116"/>
      <c r="G166" s="332"/>
      <c r="H166" s="332"/>
      <c r="I166" s="332"/>
      <c r="J166" s="332"/>
      <c r="K166" s="332"/>
      <c r="L166" s="332"/>
      <c r="Q166" s="152"/>
    </row>
    <row r="167" spans="2:17" ht="13">
      <c r="B167" s="396"/>
      <c r="C167" s="116"/>
      <c r="D167" s="116"/>
      <c r="E167" s="116"/>
      <c r="F167" s="116"/>
      <c r="G167" s="332"/>
      <c r="H167" s="332"/>
      <c r="I167" s="332"/>
      <c r="J167" s="332"/>
      <c r="K167" s="332"/>
      <c r="L167" s="332"/>
      <c r="Q167" s="152"/>
    </row>
    <row r="168" spans="2:17" ht="13">
      <c r="B168" s="396"/>
      <c r="C168" s="116"/>
      <c r="D168" s="116"/>
      <c r="E168" s="116"/>
      <c r="F168" s="116"/>
      <c r="G168" s="332"/>
      <c r="H168" s="332"/>
      <c r="I168" s="332"/>
      <c r="J168" s="332"/>
      <c r="K168" s="332"/>
      <c r="L168" s="332"/>
      <c r="Q168" s="152"/>
    </row>
    <row r="169" spans="2:17" ht="13">
      <c r="B169" s="396"/>
      <c r="C169" s="116"/>
      <c r="D169" s="116"/>
      <c r="E169" s="116"/>
      <c r="F169" s="116"/>
      <c r="G169" s="332"/>
      <c r="H169" s="332"/>
      <c r="I169" s="332"/>
      <c r="J169" s="332"/>
      <c r="K169" s="332"/>
      <c r="L169" s="332"/>
      <c r="Q169" s="152"/>
    </row>
    <row r="170" spans="2:17" ht="13">
      <c r="B170" s="396"/>
      <c r="C170" s="116"/>
      <c r="D170" s="116"/>
      <c r="E170" s="116"/>
      <c r="F170" s="116"/>
      <c r="G170" s="332"/>
      <c r="H170" s="332"/>
      <c r="I170" s="332"/>
      <c r="J170" s="332"/>
      <c r="K170" s="332"/>
      <c r="L170" s="332"/>
      <c r="Q170" s="152"/>
    </row>
    <row r="171" spans="2:17" ht="13">
      <c r="B171" s="396"/>
      <c r="C171" s="116"/>
      <c r="D171" s="116"/>
      <c r="E171" s="116"/>
      <c r="F171" s="116"/>
      <c r="G171" s="332"/>
      <c r="H171" s="332"/>
      <c r="I171" s="332"/>
      <c r="J171" s="332"/>
      <c r="K171" s="332"/>
      <c r="L171" s="332"/>
      <c r="Q171" s="152"/>
    </row>
    <row r="172" spans="2:17" ht="13">
      <c r="B172" s="396"/>
      <c r="C172" s="116"/>
      <c r="D172" s="116"/>
      <c r="E172" s="116"/>
      <c r="F172" s="116"/>
      <c r="G172" s="332"/>
      <c r="H172" s="332"/>
      <c r="I172" s="332"/>
      <c r="J172" s="332"/>
      <c r="K172" s="332"/>
      <c r="L172" s="332"/>
      <c r="Q172" s="152"/>
    </row>
    <row r="173" spans="2:17" ht="13">
      <c r="B173" s="396"/>
      <c r="C173" s="116"/>
      <c r="D173" s="116"/>
      <c r="E173" s="116"/>
      <c r="F173" s="116"/>
      <c r="G173" s="332"/>
      <c r="H173" s="332"/>
      <c r="I173" s="332"/>
      <c r="J173" s="332"/>
      <c r="K173" s="332"/>
      <c r="L173" s="332"/>
      <c r="Q173" s="152"/>
    </row>
    <row r="174" spans="2:17" ht="13">
      <c r="B174" s="396"/>
      <c r="C174" s="116"/>
      <c r="D174" s="116"/>
      <c r="E174" s="116"/>
      <c r="F174" s="116"/>
      <c r="G174" s="332"/>
      <c r="H174" s="332"/>
      <c r="I174" s="332"/>
      <c r="J174" s="332"/>
      <c r="K174" s="332"/>
      <c r="L174" s="332"/>
      <c r="Q174" s="152"/>
    </row>
    <row r="175" spans="2:17" ht="13">
      <c r="B175" s="396"/>
      <c r="C175" s="116"/>
      <c r="D175" s="116"/>
      <c r="E175" s="116"/>
      <c r="F175" s="116"/>
      <c r="G175" s="332"/>
      <c r="H175" s="332"/>
      <c r="I175" s="332"/>
      <c r="J175" s="332"/>
      <c r="K175" s="332"/>
      <c r="L175" s="332"/>
      <c r="Q175" s="152"/>
    </row>
    <row r="176" spans="2:17" ht="13">
      <c r="B176" s="396"/>
      <c r="C176" s="116"/>
      <c r="D176" s="116"/>
      <c r="E176" s="116"/>
      <c r="F176" s="116"/>
      <c r="G176" s="332"/>
      <c r="H176" s="332"/>
      <c r="I176" s="332"/>
      <c r="J176" s="332"/>
      <c r="K176" s="332"/>
      <c r="L176" s="332"/>
      <c r="Q176" s="152"/>
    </row>
    <row r="177" spans="2:17" ht="13">
      <c r="B177" s="396"/>
      <c r="C177" s="116"/>
      <c r="D177" s="116"/>
      <c r="E177" s="116"/>
      <c r="F177" s="116"/>
      <c r="G177" s="332"/>
      <c r="H177" s="332"/>
      <c r="I177" s="332"/>
      <c r="J177" s="332"/>
      <c r="K177" s="332"/>
      <c r="L177" s="332"/>
      <c r="Q177" s="152"/>
    </row>
    <row r="178" spans="2:17" ht="13">
      <c r="B178" s="396"/>
      <c r="C178" s="116"/>
      <c r="D178" s="116"/>
      <c r="E178" s="116"/>
      <c r="F178" s="116"/>
      <c r="G178" s="332"/>
      <c r="H178" s="332"/>
      <c r="I178" s="332"/>
      <c r="J178" s="332"/>
      <c r="K178" s="332"/>
      <c r="L178" s="332"/>
      <c r="Q178" s="152"/>
    </row>
    <row r="179" spans="2:17" ht="13">
      <c r="B179" s="396"/>
      <c r="C179" s="116"/>
      <c r="D179" s="116"/>
      <c r="E179" s="116"/>
      <c r="F179" s="116"/>
      <c r="G179" s="332"/>
      <c r="H179" s="332"/>
      <c r="I179" s="332"/>
      <c r="J179" s="332"/>
      <c r="K179" s="332"/>
      <c r="L179" s="332"/>
      <c r="Q179" s="152"/>
    </row>
    <row r="180" spans="2:17" ht="13">
      <c r="B180" s="396"/>
      <c r="C180" s="116"/>
      <c r="D180" s="116"/>
      <c r="E180" s="116"/>
      <c r="F180" s="116"/>
      <c r="G180" s="332"/>
      <c r="H180" s="332"/>
      <c r="I180" s="332"/>
      <c r="J180" s="332"/>
      <c r="K180" s="332"/>
      <c r="L180" s="332"/>
      <c r="Q180" s="152"/>
    </row>
    <row r="181" spans="2:17" ht="13">
      <c r="B181" s="396"/>
      <c r="C181" s="116"/>
      <c r="D181" s="116"/>
      <c r="E181" s="116"/>
      <c r="F181" s="116"/>
      <c r="G181" s="332"/>
      <c r="H181" s="332"/>
      <c r="I181" s="332"/>
      <c r="J181" s="332"/>
      <c r="K181" s="332"/>
      <c r="L181" s="332"/>
      <c r="Q181" s="152"/>
    </row>
    <row r="182" spans="2:17" ht="13">
      <c r="B182" s="396"/>
      <c r="C182" s="116"/>
      <c r="D182" s="116"/>
      <c r="E182" s="116"/>
      <c r="F182" s="116"/>
      <c r="G182" s="332"/>
      <c r="H182" s="332"/>
      <c r="I182" s="332"/>
      <c r="J182" s="332"/>
      <c r="K182" s="332"/>
      <c r="L182" s="332"/>
      <c r="Q182" s="152"/>
    </row>
    <row r="183" spans="2:17" ht="13">
      <c r="B183" s="396"/>
      <c r="C183" s="116"/>
      <c r="D183" s="116"/>
      <c r="E183" s="116"/>
      <c r="F183" s="116"/>
      <c r="G183" s="332"/>
      <c r="H183" s="332"/>
      <c r="I183" s="332"/>
      <c r="J183" s="332"/>
      <c r="K183" s="332"/>
      <c r="L183" s="332"/>
      <c r="Q183" s="152"/>
    </row>
    <row r="184" spans="2:17" ht="13">
      <c r="B184" s="396"/>
      <c r="C184" s="116"/>
      <c r="D184" s="116"/>
      <c r="E184" s="116"/>
      <c r="F184" s="116"/>
      <c r="G184" s="332"/>
      <c r="H184" s="332"/>
      <c r="I184" s="332"/>
      <c r="J184" s="332"/>
      <c r="K184" s="332"/>
      <c r="L184" s="332"/>
      <c r="Q184" s="152"/>
    </row>
    <row r="185" spans="2:17" ht="13">
      <c r="B185" s="396"/>
      <c r="C185" s="116"/>
      <c r="D185" s="116"/>
      <c r="E185" s="116"/>
      <c r="F185" s="116"/>
      <c r="G185" s="332"/>
      <c r="H185" s="332"/>
      <c r="I185" s="332"/>
      <c r="J185" s="332"/>
      <c r="K185" s="332"/>
      <c r="L185" s="332"/>
      <c r="Q185" s="152"/>
    </row>
    <row r="186" spans="2:17" ht="13">
      <c r="B186" s="396"/>
      <c r="C186" s="116"/>
      <c r="D186" s="116"/>
      <c r="E186" s="116"/>
      <c r="F186" s="116"/>
      <c r="G186" s="332"/>
      <c r="H186" s="332"/>
      <c r="I186" s="332"/>
      <c r="J186" s="332"/>
      <c r="K186" s="332"/>
      <c r="L186" s="332"/>
      <c r="Q186" s="152"/>
    </row>
    <row r="187" spans="2:17" ht="13">
      <c r="B187" s="396"/>
      <c r="C187" s="116"/>
      <c r="D187" s="116"/>
      <c r="E187" s="116"/>
      <c r="F187" s="116"/>
      <c r="G187" s="332"/>
      <c r="H187" s="332"/>
      <c r="I187" s="332"/>
      <c r="J187" s="332"/>
      <c r="K187" s="332"/>
      <c r="L187" s="332"/>
      <c r="Q187" s="152"/>
    </row>
    <row r="188" spans="2:17" ht="13">
      <c r="B188" s="396"/>
      <c r="C188" s="116"/>
      <c r="D188" s="116"/>
      <c r="E188" s="116"/>
      <c r="F188" s="116"/>
      <c r="G188" s="332"/>
      <c r="H188" s="332"/>
      <c r="I188" s="332"/>
      <c r="J188" s="332"/>
      <c r="K188" s="332"/>
      <c r="L188" s="332"/>
      <c r="Q188" s="152"/>
    </row>
    <row r="189" spans="2:17" ht="13">
      <c r="B189" s="396"/>
      <c r="C189" s="116"/>
      <c r="D189" s="116"/>
      <c r="E189" s="116"/>
      <c r="F189" s="116"/>
      <c r="G189" s="332"/>
      <c r="H189" s="332"/>
      <c r="I189" s="332"/>
      <c r="J189" s="332"/>
      <c r="K189" s="332"/>
      <c r="L189" s="332"/>
      <c r="Q189" s="152"/>
    </row>
    <row r="190" spans="2:17" ht="13">
      <c r="B190" s="396"/>
      <c r="C190" s="116"/>
      <c r="D190" s="116"/>
      <c r="E190" s="116"/>
      <c r="F190" s="116"/>
      <c r="G190" s="332"/>
      <c r="H190" s="332"/>
      <c r="I190" s="332"/>
      <c r="J190" s="332"/>
      <c r="K190" s="332"/>
      <c r="L190" s="332"/>
      <c r="Q190" s="152"/>
    </row>
    <row r="191" spans="2:17" ht="13">
      <c r="B191" s="396"/>
      <c r="C191" s="116"/>
      <c r="D191" s="116"/>
      <c r="E191" s="116"/>
      <c r="F191" s="116"/>
      <c r="G191" s="332"/>
      <c r="H191" s="332"/>
      <c r="I191" s="332"/>
      <c r="J191" s="332"/>
      <c r="K191" s="332"/>
      <c r="L191" s="332"/>
      <c r="Q191" s="152"/>
    </row>
    <row r="192" spans="2:17" ht="13">
      <c r="B192" s="396"/>
      <c r="C192" s="116"/>
      <c r="D192" s="116"/>
      <c r="E192" s="116"/>
      <c r="F192" s="116"/>
      <c r="G192" s="332"/>
      <c r="H192" s="332"/>
      <c r="I192" s="332"/>
      <c r="J192" s="332"/>
      <c r="K192" s="332"/>
      <c r="L192" s="332"/>
      <c r="Q192" s="152"/>
    </row>
    <row r="193" spans="2:17" ht="13">
      <c r="B193" s="396"/>
      <c r="C193" s="116"/>
      <c r="D193" s="116"/>
      <c r="E193" s="116"/>
      <c r="F193" s="116"/>
      <c r="G193" s="332"/>
      <c r="H193" s="332"/>
      <c r="I193" s="332"/>
      <c r="J193" s="332"/>
      <c r="K193" s="332"/>
      <c r="L193" s="332"/>
      <c r="Q193" s="152"/>
    </row>
    <row r="194" spans="2:17" ht="13">
      <c r="B194" s="396"/>
      <c r="C194" s="116"/>
      <c r="D194" s="116"/>
      <c r="E194" s="116"/>
      <c r="F194" s="116"/>
      <c r="G194" s="332"/>
      <c r="H194" s="332"/>
      <c r="I194" s="332"/>
      <c r="J194" s="332"/>
      <c r="K194" s="332"/>
      <c r="L194" s="332"/>
      <c r="Q194" s="152"/>
    </row>
    <row r="195" spans="2:17" ht="13">
      <c r="B195" s="396"/>
      <c r="C195" s="116"/>
      <c r="D195" s="116"/>
      <c r="E195" s="116"/>
      <c r="F195" s="116"/>
      <c r="G195" s="332"/>
      <c r="H195" s="332"/>
      <c r="I195" s="332"/>
      <c r="J195" s="332"/>
      <c r="K195" s="332"/>
      <c r="L195" s="332"/>
      <c r="Q195" s="152"/>
    </row>
    <row r="196" spans="2:17" ht="13">
      <c r="B196" s="396"/>
      <c r="C196" s="116"/>
      <c r="D196" s="116"/>
      <c r="E196" s="116"/>
      <c r="F196" s="116"/>
      <c r="G196" s="332"/>
      <c r="H196" s="332"/>
      <c r="I196" s="332"/>
      <c r="J196" s="332"/>
      <c r="K196" s="332"/>
      <c r="L196" s="332"/>
      <c r="Q196" s="152"/>
    </row>
    <row r="197" spans="2:17" ht="13">
      <c r="B197" s="396"/>
      <c r="C197" s="116"/>
      <c r="D197" s="116"/>
      <c r="E197" s="116"/>
      <c r="F197" s="116"/>
      <c r="G197" s="332"/>
      <c r="H197" s="332"/>
      <c r="I197" s="332"/>
      <c r="J197" s="332"/>
      <c r="K197" s="332"/>
      <c r="L197" s="332"/>
      <c r="Q197" s="152"/>
    </row>
    <row r="198" spans="2:17" ht="13">
      <c r="B198" s="396"/>
      <c r="C198" s="116"/>
      <c r="D198" s="116"/>
      <c r="E198" s="116"/>
      <c r="F198" s="116"/>
      <c r="G198" s="332"/>
      <c r="H198" s="332"/>
      <c r="I198" s="332"/>
      <c r="J198" s="332"/>
      <c r="K198" s="332"/>
      <c r="L198" s="332"/>
      <c r="Q198" s="152"/>
    </row>
    <row r="199" spans="2:17" ht="13">
      <c r="B199" s="396"/>
      <c r="C199" s="116"/>
      <c r="D199" s="116"/>
      <c r="E199" s="116"/>
      <c r="F199" s="116"/>
      <c r="G199" s="332"/>
      <c r="H199" s="332"/>
      <c r="I199" s="332"/>
      <c r="J199" s="332"/>
      <c r="K199" s="332"/>
      <c r="L199" s="332"/>
      <c r="Q199" s="152"/>
    </row>
    <row r="200" spans="2:17" ht="13">
      <c r="B200" s="396"/>
      <c r="C200" s="116"/>
      <c r="D200" s="116"/>
      <c r="E200" s="116"/>
      <c r="F200" s="116"/>
      <c r="G200" s="332"/>
      <c r="H200" s="332"/>
      <c r="I200" s="332"/>
      <c r="J200" s="332"/>
      <c r="K200" s="332"/>
      <c r="L200" s="332"/>
      <c r="Q200" s="152"/>
    </row>
    <row r="201" spans="2:17" ht="13">
      <c r="B201" s="396"/>
      <c r="C201" s="116"/>
      <c r="D201" s="116"/>
      <c r="E201" s="116"/>
      <c r="F201" s="116"/>
      <c r="G201" s="332"/>
      <c r="H201" s="332"/>
      <c r="I201" s="332"/>
      <c r="J201" s="332"/>
      <c r="K201" s="332"/>
      <c r="L201" s="332"/>
      <c r="Q201" s="152"/>
    </row>
    <row r="202" spans="2:17" ht="13">
      <c r="B202" s="396"/>
      <c r="C202" s="116"/>
      <c r="D202" s="116"/>
      <c r="E202" s="116"/>
      <c r="F202" s="116"/>
      <c r="G202" s="332"/>
      <c r="H202" s="332"/>
      <c r="I202" s="332"/>
      <c r="J202" s="332"/>
      <c r="K202" s="332"/>
      <c r="L202" s="332"/>
      <c r="Q202" s="152"/>
    </row>
    <row r="203" spans="2:17" ht="13">
      <c r="B203" s="396"/>
      <c r="C203" s="116"/>
      <c r="D203" s="116"/>
      <c r="E203" s="116"/>
      <c r="F203" s="116"/>
      <c r="G203" s="332"/>
      <c r="H203" s="332"/>
      <c r="I203" s="332"/>
      <c r="J203" s="332"/>
      <c r="K203" s="332"/>
      <c r="L203" s="332"/>
      <c r="Q203" s="152"/>
    </row>
    <row r="204" spans="2:17" ht="13">
      <c r="B204" s="396"/>
      <c r="C204" s="116"/>
      <c r="D204" s="116"/>
      <c r="E204" s="116"/>
      <c r="F204" s="116"/>
      <c r="G204" s="332"/>
      <c r="H204" s="332"/>
      <c r="I204" s="332"/>
      <c r="J204" s="332"/>
      <c r="K204" s="332"/>
      <c r="L204" s="332"/>
      <c r="Q204" s="152"/>
    </row>
    <row r="205" spans="2:17" ht="13">
      <c r="B205" s="396"/>
      <c r="C205" s="116"/>
      <c r="D205" s="116"/>
      <c r="E205" s="116"/>
      <c r="F205" s="116"/>
      <c r="G205" s="332"/>
      <c r="H205" s="332"/>
      <c r="I205" s="332"/>
      <c r="J205" s="332"/>
      <c r="K205" s="332"/>
      <c r="L205" s="332"/>
      <c r="Q205" s="152"/>
    </row>
    <row r="206" spans="2:17" ht="13">
      <c r="B206" s="396"/>
      <c r="C206" s="116"/>
      <c r="D206" s="116"/>
      <c r="E206" s="116"/>
      <c r="F206" s="116"/>
      <c r="G206" s="332"/>
      <c r="H206" s="332"/>
      <c r="I206" s="332"/>
      <c r="J206" s="332"/>
      <c r="K206" s="332"/>
      <c r="L206" s="332"/>
      <c r="Q206" s="152"/>
    </row>
    <row r="207" spans="2:17" ht="13">
      <c r="B207" s="396"/>
      <c r="C207" s="116"/>
      <c r="D207" s="116"/>
      <c r="E207" s="116"/>
      <c r="F207" s="116"/>
      <c r="G207" s="332"/>
      <c r="H207" s="332"/>
      <c r="I207" s="332"/>
      <c r="J207" s="332"/>
      <c r="K207" s="332"/>
      <c r="L207" s="332"/>
      <c r="Q207" s="152"/>
    </row>
    <row r="208" spans="2:17" ht="13">
      <c r="B208" s="396"/>
      <c r="C208" s="116"/>
      <c r="D208" s="116"/>
      <c r="E208" s="116"/>
      <c r="F208" s="116"/>
      <c r="G208" s="332"/>
      <c r="H208" s="332"/>
      <c r="I208" s="332"/>
      <c r="J208" s="332"/>
      <c r="K208" s="332"/>
      <c r="L208" s="332"/>
      <c r="Q208" s="152"/>
    </row>
    <row r="209" spans="2:17" ht="13">
      <c r="B209" s="396"/>
      <c r="C209" s="116"/>
      <c r="D209" s="116"/>
      <c r="E209" s="116"/>
      <c r="F209" s="116"/>
      <c r="G209" s="332"/>
      <c r="H209" s="332"/>
      <c r="I209" s="332"/>
      <c r="J209" s="332"/>
      <c r="K209" s="332"/>
      <c r="L209" s="332"/>
      <c r="Q209" s="152"/>
    </row>
    <row r="210" spans="2:17" ht="13">
      <c r="B210" s="396"/>
      <c r="C210" s="116"/>
      <c r="D210" s="116"/>
      <c r="E210" s="116"/>
      <c r="F210" s="116"/>
      <c r="G210" s="332"/>
      <c r="H210" s="332"/>
      <c r="I210" s="332"/>
      <c r="J210" s="332"/>
      <c r="K210" s="332"/>
      <c r="L210" s="332"/>
      <c r="Q210" s="152"/>
    </row>
    <row r="211" spans="2:17" ht="13">
      <c r="B211" s="396"/>
      <c r="C211" s="116"/>
      <c r="D211" s="116"/>
      <c r="E211" s="116"/>
      <c r="F211" s="116"/>
      <c r="G211" s="332"/>
      <c r="H211" s="332"/>
      <c r="I211" s="332"/>
      <c r="J211" s="332"/>
      <c r="K211" s="332"/>
      <c r="L211" s="332"/>
      <c r="Q211" s="152"/>
    </row>
    <row r="212" spans="2:17" ht="13">
      <c r="B212" s="396"/>
      <c r="C212" s="116"/>
      <c r="D212" s="116"/>
      <c r="E212" s="116"/>
      <c r="F212" s="116"/>
      <c r="G212" s="332"/>
      <c r="H212" s="332"/>
      <c r="I212" s="332"/>
      <c r="J212" s="332"/>
      <c r="K212" s="332"/>
      <c r="L212" s="332"/>
      <c r="Q212" s="152"/>
    </row>
    <row r="213" spans="2:17" ht="13">
      <c r="B213" s="396"/>
      <c r="C213" s="116"/>
      <c r="D213" s="116"/>
      <c r="E213" s="116"/>
      <c r="F213" s="116"/>
      <c r="G213" s="332"/>
      <c r="H213" s="332"/>
      <c r="I213" s="332"/>
      <c r="J213" s="332"/>
      <c r="K213" s="332"/>
      <c r="L213" s="332"/>
      <c r="Q213" s="152"/>
    </row>
    <row r="214" spans="2:17" ht="13">
      <c r="B214" s="396"/>
      <c r="C214" s="116"/>
      <c r="D214" s="116"/>
      <c r="E214" s="116"/>
      <c r="F214" s="116"/>
      <c r="G214" s="332"/>
      <c r="H214" s="332"/>
      <c r="I214" s="332"/>
      <c r="J214" s="332"/>
      <c r="K214" s="332"/>
      <c r="L214" s="332"/>
      <c r="Q214" s="152"/>
    </row>
    <row r="215" spans="2:17" ht="13">
      <c r="B215" s="396"/>
      <c r="C215" s="116"/>
      <c r="D215" s="116"/>
      <c r="E215" s="116"/>
      <c r="F215" s="116"/>
      <c r="G215" s="332"/>
      <c r="H215" s="332"/>
      <c r="I215" s="332"/>
      <c r="J215" s="332"/>
      <c r="K215" s="332"/>
      <c r="L215" s="332"/>
      <c r="Q215" s="152"/>
    </row>
    <row r="216" spans="2:17" ht="13">
      <c r="B216" s="396"/>
      <c r="C216" s="116"/>
      <c r="D216" s="116"/>
      <c r="E216" s="116"/>
      <c r="F216" s="116"/>
      <c r="G216" s="332"/>
      <c r="H216" s="332"/>
      <c r="I216" s="332"/>
      <c r="J216" s="332"/>
      <c r="K216" s="332"/>
      <c r="L216" s="332"/>
      <c r="Q216" s="152"/>
    </row>
    <row r="217" spans="2:17" ht="13">
      <c r="B217" s="396"/>
      <c r="C217" s="116"/>
      <c r="D217" s="116"/>
      <c r="E217" s="116"/>
      <c r="F217" s="116"/>
      <c r="G217" s="332"/>
      <c r="H217" s="332"/>
      <c r="I217" s="332"/>
      <c r="J217" s="332"/>
      <c r="K217" s="332"/>
      <c r="L217" s="332"/>
      <c r="Q217" s="152"/>
    </row>
    <row r="218" spans="2:17" ht="13">
      <c r="B218" s="396"/>
      <c r="C218" s="116"/>
      <c r="D218" s="116"/>
      <c r="E218" s="116"/>
      <c r="F218" s="116"/>
      <c r="G218" s="332"/>
      <c r="H218" s="332"/>
      <c r="I218" s="332"/>
      <c r="J218" s="332"/>
      <c r="K218" s="332"/>
      <c r="L218" s="332"/>
      <c r="Q218" s="152"/>
    </row>
    <row r="219" spans="2:17" ht="13">
      <c r="B219" s="396"/>
      <c r="C219" s="116"/>
      <c r="D219" s="116"/>
      <c r="E219" s="116"/>
      <c r="F219" s="116"/>
      <c r="G219" s="332"/>
      <c r="H219" s="332"/>
      <c r="I219" s="332"/>
      <c r="J219" s="332"/>
      <c r="K219" s="332"/>
      <c r="L219" s="332"/>
      <c r="Q219" s="152"/>
    </row>
    <row r="220" spans="2:17" ht="13">
      <c r="B220" s="396"/>
      <c r="C220" s="116"/>
      <c r="D220" s="116"/>
      <c r="E220" s="116"/>
      <c r="F220" s="116"/>
      <c r="G220" s="332"/>
      <c r="H220" s="332"/>
      <c r="I220" s="332"/>
      <c r="J220" s="332"/>
      <c r="K220" s="332"/>
      <c r="L220" s="332"/>
      <c r="Q220" s="152"/>
    </row>
    <row r="221" spans="2:17" ht="13">
      <c r="B221" s="396"/>
      <c r="C221" s="116"/>
      <c r="D221" s="116"/>
      <c r="E221" s="116"/>
      <c r="F221" s="116"/>
      <c r="G221" s="332"/>
      <c r="H221" s="332"/>
      <c r="I221" s="332"/>
      <c r="J221" s="332"/>
      <c r="K221" s="332"/>
      <c r="L221" s="332"/>
      <c r="Q221" s="152"/>
    </row>
    <row r="222" spans="2:17" ht="13">
      <c r="B222" s="396"/>
      <c r="C222" s="116"/>
      <c r="D222" s="116"/>
      <c r="E222" s="116"/>
      <c r="F222" s="116"/>
      <c r="G222" s="332"/>
      <c r="H222" s="332"/>
      <c r="I222" s="332"/>
      <c r="J222" s="332"/>
      <c r="K222" s="332"/>
      <c r="L222" s="332"/>
      <c r="Q222" s="152"/>
    </row>
    <row r="223" spans="2:17" ht="13">
      <c r="B223" s="396"/>
      <c r="C223" s="116"/>
      <c r="D223" s="116"/>
      <c r="E223" s="116"/>
      <c r="F223" s="116"/>
      <c r="G223" s="332"/>
      <c r="H223" s="332"/>
      <c r="I223" s="332"/>
      <c r="J223" s="332"/>
      <c r="K223" s="332"/>
      <c r="L223" s="332"/>
      <c r="Q223" s="152"/>
    </row>
    <row r="224" spans="2:17" ht="13">
      <c r="B224" s="396"/>
      <c r="C224" s="116"/>
      <c r="D224" s="116"/>
      <c r="E224" s="116"/>
      <c r="F224" s="116"/>
      <c r="G224" s="332"/>
      <c r="H224" s="332"/>
      <c r="I224" s="332"/>
      <c r="J224" s="332"/>
      <c r="K224" s="332"/>
      <c r="L224" s="332"/>
      <c r="Q224" s="152"/>
    </row>
    <row r="225" spans="2:17" ht="13">
      <c r="B225" s="396"/>
      <c r="C225" s="116"/>
      <c r="D225" s="116"/>
      <c r="E225" s="116"/>
      <c r="F225" s="116"/>
      <c r="G225" s="332"/>
      <c r="H225" s="332"/>
      <c r="I225" s="332"/>
      <c r="J225" s="332"/>
      <c r="K225" s="332"/>
      <c r="L225" s="332"/>
      <c r="Q225" s="152"/>
    </row>
    <row r="226" spans="2:17" ht="13">
      <c r="B226" s="396"/>
      <c r="C226" s="116"/>
      <c r="D226" s="116"/>
      <c r="E226" s="116"/>
      <c r="F226" s="116"/>
      <c r="G226" s="332"/>
      <c r="H226" s="332"/>
      <c r="I226" s="332"/>
      <c r="J226" s="332"/>
      <c r="K226" s="332"/>
      <c r="L226" s="332"/>
      <c r="Q226" s="152"/>
    </row>
    <row r="227" spans="2:17" ht="13">
      <c r="B227" s="396"/>
      <c r="C227" s="116"/>
      <c r="D227" s="116"/>
      <c r="E227" s="116"/>
      <c r="F227" s="116"/>
      <c r="G227" s="332"/>
      <c r="H227" s="332"/>
      <c r="I227" s="332"/>
      <c r="J227" s="332"/>
      <c r="K227" s="332"/>
      <c r="L227" s="332"/>
      <c r="Q227" s="152"/>
    </row>
    <row r="228" spans="2:17" ht="13">
      <c r="B228" s="396"/>
      <c r="C228" s="116"/>
      <c r="D228" s="116"/>
      <c r="E228" s="116"/>
      <c r="F228" s="116"/>
      <c r="G228" s="332"/>
      <c r="H228" s="332"/>
      <c r="I228" s="332"/>
      <c r="J228" s="332"/>
      <c r="K228" s="332"/>
      <c r="L228" s="332"/>
      <c r="Q228" s="152"/>
    </row>
    <row r="229" spans="2:17" ht="13">
      <c r="B229" s="396"/>
      <c r="C229" s="116"/>
      <c r="D229" s="116"/>
      <c r="E229" s="116"/>
      <c r="F229" s="116"/>
      <c r="G229" s="332"/>
      <c r="H229" s="332"/>
      <c r="I229" s="332"/>
      <c r="J229" s="332"/>
      <c r="K229" s="332"/>
      <c r="L229" s="332"/>
      <c r="Q229" s="152"/>
    </row>
    <row r="230" spans="2:17" ht="13">
      <c r="B230" s="396"/>
      <c r="C230" s="116"/>
      <c r="D230" s="116"/>
      <c r="E230" s="116"/>
      <c r="F230" s="116"/>
      <c r="G230" s="332"/>
      <c r="H230" s="332"/>
      <c r="I230" s="332"/>
      <c r="J230" s="332"/>
      <c r="K230" s="332"/>
      <c r="L230" s="332"/>
      <c r="Q230" s="152"/>
    </row>
    <row r="231" spans="2:17" ht="13">
      <c r="B231" s="396"/>
      <c r="C231" s="116"/>
      <c r="D231" s="116"/>
      <c r="E231" s="116"/>
      <c r="F231" s="116"/>
      <c r="G231" s="332"/>
      <c r="H231" s="332"/>
      <c r="I231" s="332"/>
      <c r="J231" s="332"/>
      <c r="K231" s="332"/>
      <c r="L231" s="332"/>
      <c r="Q231" s="152"/>
    </row>
    <row r="232" spans="2:17" ht="13">
      <c r="B232" s="396"/>
      <c r="C232" s="116"/>
      <c r="D232" s="116"/>
      <c r="E232" s="116"/>
      <c r="F232" s="116"/>
      <c r="G232" s="332"/>
      <c r="H232" s="332"/>
      <c r="I232" s="332"/>
      <c r="J232" s="332"/>
      <c r="K232" s="332"/>
      <c r="L232" s="332"/>
      <c r="Q232" s="152"/>
    </row>
    <row r="233" spans="2:17" ht="13">
      <c r="B233" s="396"/>
      <c r="C233" s="116"/>
      <c r="D233" s="116"/>
      <c r="E233" s="116"/>
      <c r="F233" s="116"/>
      <c r="G233" s="332"/>
      <c r="H233" s="332"/>
      <c r="I233" s="332"/>
      <c r="J233" s="332"/>
      <c r="K233" s="332"/>
      <c r="L233" s="332"/>
      <c r="Q233" s="152"/>
    </row>
    <row r="234" spans="2:17" ht="13">
      <c r="B234" s="396"/>
      <c r="C234" s="116"/>
      <c r="D234" s="116"/>
      <c r="E234" s="116"/>
      <c r="F234" s="116"/>
      <c r="G234" s="332"/>
      <c r="H234" s="332"/>
      <c r="I234" s="332"/>
      <c r="J234" s="332"/>
      <c r="K234" s="332"/>
      <c r="L234" s="332"/>
      <c r="Q234" s="152"/>
    </row>
    <row r="235" spans="2:17" ht="13">
      <c r="B235" s="396"/>
      <c r="C235" s="116"/>
      <c r="D235" s="116"/>
      <c r="E235" s="116"/>
      <c r="F235" s="116"/>
      <c r="G235" s="332"/>
      <c r="H235" s="332"/>
      <c r="I235" s="332"/>
      <c r="J235" s="332"/>
      <c r="K235" s="332"/>
      <c r="L235" s="332"/>
      <c r="Q235" s="152"/>
    </row>
    <row r="236" spans="2:17" ht="13">
      <c r="B236" s="396"/>
      <c r="C236" s="116"/>
      <c r="D236" s="116"/>
      <c r="E236" s="116"/>
      <c r="F236" s="116"/>
      <c r="G236" s="332"/>
      <c r="H236" s="332"/>
      <c r="I236" s="332"/>
      <c r="J236" s="332"/>
      <c r="K236" s="332"/>
      <c r="L236" s="332"/>
      <c r="Q236" s="152"/>
    </row>
    <row r="237" spans="2:17" ht="13">
      <c r="B237" s="396"/>
      <c r="C237" s="116"/>
      <c r="D237" s="116"/>
      <c r="E237" s="116"/>
      <c r="F237" s="116"/>
      <c r="G237" s="332"/>
      <c r="H237" s="332"/>
      <c r="I237" s="332"/>
      <c r="J237" s="332"/>
      <c r="K237" s="332"/>
      <c r="L237" s="332"/>
      <c r="Q237" s="152"/>
    </row>
    <row r="238" spans="2:17" ht="13">
      <c r="B238" s="396"/>
      <c r="C238" s="116"/>
      <c r="D238" s="116"/>
      <c r="E238" s="116"/>
      <c r="F238" s="116"/>
      <c r="G238" s="332"/>
      <c r="H238" s="332"/>
      <c r="I238" s="332"/>
      <c r="J238" s="332"/>
      <c r="K238" s="332"/>
      <c r="L238" s="332"/>
      <c r="Q238" s="152"/>
    </row>
    <row r="239" spans="2:17" ht="13">
      <c r="B239" s="396"/>
      <c r="C239" s="116"/>
      <c r="D239" s="116"/>
      <c r="E239" s="116"/>
      <c r="F239" s="116"/>
      <c r="G239" s="332"/>
      <c r="H239" s="332"/>
      <c r="I239" s="332"/>
      <c r="J239" s="332"/>
      <c r="K239" s="332"/>
      <c r="L239" s="332"/>
      <c r="Q239" s="152"/>
    </row>
    <row r="240" spans="2:17" ht="13">
      <c r="B240" s="396"/>
      <c r="C240" s="116"/>
      <c r="D240" s="116"/>
      <c r="E240" s="116"/>
      <c r="F240" s="116"/>
      <c r="G240" s="332"/>
      <c r="H240" s="332"/>
      <c r="I240" s="332"/>
      <c r="J240" s="332"/>
      <c r="K240" s="332"/>
      <c r="L240" s="332"/>
      <c r="Q240" s="152"/>
    </row>
    <row r="241" spans="2:17" ht="13">
      <c r="B241" s="396"/>
      <c r="C241" s="116"/>
      <c r="D241" s="116"/>
      <c r="E241" s="116"/>
      <c r="F241" s="116"/>
      <c r="G241" s="332"/>
      <c r="H241" s="332"/>
      <c r="I241" s="332"/>
      <c r="J241" s="332"/>
      <c r="K241" s="332"/>
      <c r="L241" s="332"/>
      <c r="Q241" s="152"/>
    </row>
    <row r="242" spans="2:17" ht="13">
      <c r="B242" s="396"/>
      <c r="C242" s="116"/>
      <c r="D242" s="116"/>
      <c r="E242" s="116"/>
      <c r="F242" s="116"/>
      <c r="G242" s="332"/>
      <c r="H242" s="332"/>
      <c r="I242" s="332"/>
      <c r="J242" s="332"/>
      <c r="K242" s="332"/>
      <c r="L242" s="332"/>
      <c r="Q242" s="152"/>
    </row>
    <row r="243" spans="2:17" ht="13">
      <c r="B243" s="396"/>
      <c r="C243" s="116"/>
      <c r="D243" s="116"/>
      <c r="E243" s="116"/>
      <c r="F243" s="116"/>
      <c r="G243" s="332"/>
      <c r="H243" s="332"/>
      <c r="I243" s="332"/>
      <c r="J243" s="332"/>
      <c r="K243" s="332"/>
      <c r="L243" s="332"/>
      <c r="Q243" s="152"/>
    </row>
    <row r="244" spans="2:17" ht="13">
      <c r="B244" s="396"/>
      <c r="C244" s="116"/>
      <c r="D244" s="116"/>
      <c r="E244" s="116"/>
      <c r="F244" s="116"/>
      <c r="G244" s="332"/>
      <c r="H244" s="332"/>
      <c r="I244" s="332"/>
      <c r="J244" s="332"/>
      <c r="K244" s="332"/>
      <c r="L244" s="332"/>
      <c r="Q244" s="152"/>
    </row>
    <row r="245" spans="2:17" ht="13">
      <c r="B245" s="396"/>
      <c r="C245" s="116"/>
      <c r="D245" s="116"/>
      <c r="E245" s="116"/>
      <c r="F245" s="116"/>
      <c r="G245" s="332"/>
      <c r="H245" s="332"/>
      <c r="I245" s="332"/>
      <c r="J245" s="332"/>
      <c r="K245" s="332"/>
      <c r="L245" s="332"/>
      <c r="Q245" s="152"/>
    </row>
    <row r="246" spans="2:17" ht="13">
      <c r="B246" s="396"/>
      <c r="C246" s="116"/>
      <c r="D246" s="116"/>
      <c r="E246" s="116"/>
      <c r="F246" s="116"/>
      <c r="G246" s="332"/>
      <c r="H246" s="332"/>
      <c r="I246" s="332"/>
      <c r="J246" s="332"/>
      <c r="K246" s="332"/>
      <c r="L246" s="332"/>
      <c r="Q246" s="152"/>
    </row>
    <row r="247" spans="2:17" ht="13">
      <c r="B247" s="396"/>
      <c r="C247" s="116"/>
      <c r="D247" s="116"/>
      <c r="E247" s="116"/>
      <c r="F247" s="116"/>
      <c r="G247" s="332"/>
      <c r="H247" s="332"/>
      <c r="I247" s="332"/>
      <c r="J247" s="332"/>
      <c r="K247" s="332"/>
      <c r="L247" s="332"/>
      <c r="Q247" s="152"/>
    </row>
    <row r="248" spans="2:17" ht="13">
      <c r="B248" s="396"/>
      <c r="C248" s="116"/>
      <c r="D248" s="116"/>
      <c r="E248" s="116"/>
      <c r="F248" s="116"/>
      <c r="G248" s="332"/>
      <c r="H248" s="332"/>
      <c r="I248" s="332"/>
      <c r="J248" s="332"/>
      <c r="K248" s="332"/>
      <c r="L248" s="332"/>
      <c r="Q248" s="152"/>
    </row>
    <row r="249" spans="2:17" ht="13">
      <c r="B249" s="396"/>
      <c r="C249" s="116"/>
      <c r="D249" s="116"/>
      <c r="E249" s="116"/>
      <c r="F249" s="116"/>
      <c r="G249" s="332"/>
      <c r="H249" s="332"/>
      <c r="I249" s="332"/>
      <c r="J249" s="332"/>
      <c r="K249" s="332"/>
      <c r="L249" s="332"/>
      <c r="Q249" s="152"/>
    </row>
    <row r="250" spans="2:17" ht="13">
      <c r="B250" s="396"/>
      <c r="C250" s="116"/>
      <c r="D250" s="116"/>
      <c r="E250" s="116"/>
      <c r="F250" s="116"/>
      <c r="G250" s="332"/>
      <c r="H250" s="332"/>
      <c r="I250" s="332"/>
      <c r="J250" s="332"/>
      <c r="K250" s="332"/>
      <c r="L250" s="332"/>
      <c r="Q250" s="152"/>
    </row>
    <row r="251" spans="2:17" ht="13">
      <c r="B251" s="396"/>
      <c r="C251" s="116"/>
      <c r="D251" s="116"/>
      <c r="E251" s="116"/>
      <c r="F251" s="116"/>
      <c r="G251" s="332"/>
      <c r="H251" s="332"/>
      <c r="I251" s="332"/>
      <c r="J251" s="332"/>
      <c r="K251" s="332"/>
      <c r="L251" s="332"/>
      <c r="Q251" s="152"/>
    </row>
    <row r="252" spans="2:17" ht="13">
      <c r="B252" s="396"/>
      <c r="C252" s="116"/>
      <c r="D252" s="116"/>
      <c r="E252" s="116"/>
      <c r="F252" s="116"/>
      <c r="G252" s="332"/>
      <c r="H252" s="332"/>
      <c r="I252" s="332"/>
      <c r="J252" s="332"/>
      <c r="K252" s="332"/>
      <c r="L252" s="332"/>
      <c r="Q252" s="152"/>
    </row>
    <row r="253" spans="2:17" ht="13">
      <c r="B253" s="396"/>
      <c r="C253" s="116"/>
      <c r="D253" s="116"/>
      <c r="E253" s="116"/>
      <c r="F253" s="116"/>
      <c r="G253" s="332"/>
      <c r="H253" s="332"/>
      <c r="I253" s="332"/>
      <c r="J253" s="332"/>
      <c r="K253" s="332"/>
      <c r="L253" s="332"/>
      <c r="Q253" s="152"/>
    </row>
    <row r="254" spans="2:17" ht="13">
      <c r="B254" s="396"/>
      <c r="C254" s="116"/>
      <c r="D254" s="116"/>
      <c r="E254" s="116"/>
      <c r="F254" s="116"/>
      <c r="G254" s="332"/>
      <c r="H254" s="332"/>
      <c r="I254" s="332"/>
      <c r="J254" s="332"/>
      <c r="K254" s="332"/>
      <c r="L254" s="332"/>
      <c r="Q254" s="152"/>
    </row>
    <row r="255" spans="2:17" ht="13">
      <c r="B255" s="396"/>
      <c r="C255" s="116"/>
      <c r="D255" s="116"/>
      <c r="E255" s="116"/>
      <c r="F255" s="116"/>
      <c r="G255" s="332"/>
      <c r="H255" s="332"/>
      <c r="I255" s="332"/>
      <c r="J255" s="332"/>
      <c r="K255" s="332"/>
      <c r="L255" s="332"/>
      <c r="Q255" s="152"/>
    </row>
    <row r="256" spans="2:17" ht="13">
      <c r="B256" s="396"/>
      <c r="C256" s="116"/>
      <c r="D256" s="116"/>
      <c r="E256" s="116"/>
      <c r="F256" s="116"/>
      <c r="G256" s="332"/>
      <c r="H256" s="332"/>
      <c r="I256" s="332"/>
      <c r="J256" s="332"/>
      <c r="K256" s="332"/>
      <c r="L256" s="332"/>
      <c r="Q256" s="152"/>
    </row>
    <row r="257" spans="2:17" ht="13">
      <c r="B257" s="396"/>
      <c r="C257" s="116"/>
      <c r="D257" s="116"/>
      <c r="E257" s="116"/>
      <c r="F257" s="116"/>
      <c r="G257" s="332"/>
      <c r="H257" s="332"/>
      <c r="I257" s="332"/>
      <c r="J257" s="332"/>
      <c r="K257" s="332"/>
      <c r="L257" s="332"/>
      <c r="Q257" s="152"/>
    </row>
    <row r="258" spans="2:17" ht="13">
      <c r="B258" s="396"/>
      <c r="C258" s="116"/>
      <c r="D258" s="116"/>
      <c r="E258" s="116"/>
      <c r="F258" s="116"/>
      <c r="G258" s="332"/>
      <c r="H258" s="332"/>
      <c r="I258" s="332"/>
      <c r="J258" s="332"/>
      <c r="K258" s="332"/>
      <c r="L258" s="332"/>
      <c r="Q258" s="152"/>
    </row>
    <row r="259" spans="2:17" ht="13">
      <c r="B259" s="396"/>
      <c r="C259" s="116"/>
      <c r="D259" s="116"/>
      <c r="E259" s="116"/>
      <c r="F259" s="116"/>
      <c r="G259" s="332"/>
      <c r="H259" s="332"/>
      <c r="I259" s="332"/>
      <c r="J259" s="332"/>
      <c r="K259" s="332"/>
      <c r="L259" s="332"/>
      <c r="Q259" s="152"/>
    </row>
    <row r="260" spans="2:17" ht="13">
      <c r="B260" s="396"/>
      <c r="C260" s="116"/>
      <c r="D260" s="116"/>
      <c r="E260" s="116"/>
      <c r="F260" s="116"/>
      <c r="G260" s="332"/>
      <c r="H260" s="332"/>
      <c r="I260" s="332"/>
      <c r="J260" s="332"/>
      <c r="K260" s="332"/>
      <c r="L260" s="332"/>
      <c r="Q260" s="152"/>
    </row>
    <row r="261" spans="2:17" ht="13">
      <c r="B261" s="396"/>
      <c r="C261" s="116"/>
      <c r="D261" s="116"/>
      <c r="E261" s="116"/>
      <c r="F261" s="116"/>
      <c r="G261" s="332"/>
      <c r="H261" s="332"/>
      <c r="I261" s="332"/>
      <c r="J261" s="332"/>
      <c r="K261" s="332"/>
      <c r="L261" s="332"/>
      <c r="Q261" s="152"/>
    </row>
    <row r="262" spans="2:17" ht="13">
      <c r="B262" s="396"/>
      <c r="C262" s="116"/>
      <c r="D262" s="116"/>
      <c r="E262" s="116"/>
      <c r="F262" s="116"/>
      <c r="G262" s="332"/>
      <c r="H262" s="332"/>
      <c r="I262" s="332"/>
      <c r="J262" s="332"/>
      <c r="K262" s="332"/>
      <c r="L262" s="332"/>
      <c r="Q262" s="152"/>
    </row>
    <row r="263" spans="2:17" ht="13">
      <c r="B263" s="396"/>
      <c r="C263" s="116"/>
      <c r="D263" s="116"/>
      <c r="E263" s="116"/>
      <c r="F263" s="116"/>
      <c r="G263" s="332"/>
      <c r="H263" s="332"/>
      <c r="I263" s="332"/>
      <c r="J263" s="332"/>
      <c r="K263" s="332"/>
      <c r="L263" s="332"/>
      <c r="Q263" s="152"/>
    </row>
    <row r="264" spans="2:17" ht="13">
      <c r="B264" s="396"/>
      <c r="C264" s="116"/>
      <c r="D264" s="116"/>
      <c r="E264" s="116"/>
      <c r="F264" s="116"/>
      <c r="G264" s="332"/>
      <c r="H264" s="332"/>
      <c r="I264" s="332"/>
      <c r="J264" s="332"/>
      <c r="K264" s="332"/>
      <c r="L264" s="332"/>
      <c r="Q264" s="152"/>
    </row>
    <row r="265" spans="2:17" ht="13">
      <c r="B265" s="396"/>
      <c r="C265" s="116"/>
      <c r="D265" s="116"/>
      <c r="E265" s="116"/>
      <c r="F265" s="116"/>
      <c r="G265" s="332"/>
      <c r="H265" s="332"/>
      <c r="I265" s="332"/>
      <c r="J265" s="332"/>
      <c r="K265" s="332"/>
      <c r="L265" s="332"/>
      <c r="Q265" s="152"/>
    </row>
    <row r="266" spans="2:17" ht="13">
      <c r="B266" s="396"/>
      <c r="C266" s="116"/>
      <c r="D266" s="116"/>
      <c r="E266" s="116"/>
      <c r="F266" s="116"/>
      <c r="G266" s="332"/>
      <c r="H266" s="332"/>
      <c r="I266" s="332"/>
      <c r="J266" s="332"/>
      <c r="K266" s="332"/>
      <c r="L266" s="332"/>
      <c r="Q266" s="152"/>
    </row>
    <row r="267" spans="2:17" ht="13">
      <c r="B267" s="396"/>
      <c r="C267" s="116"/>
      <c r="D267" s="116"/>
      <c r="E267" s="116"/>
      <c r="F267" s="116"/>
      <c r="G267" s="332"/>
      <c r="H267" s="332"/>
      <c r="I267" s="332"/>
      <c r="J267" s="332"/>
      <c r="K267" s="332"/>
      <c r="L267" s="332"/>
      <c r="Q267" s="152"/>
    </row>
    <row r="268" spans="2:17" ht="13">
      <c r="B268" s="396"/>
      <c r="C268" s="116"/>
      <c r="D268" s="116"/>
      <c r="E268" s="116"/>
      <c r="F268" s="116"/>
      <c r="G268" s="332"/>
      <c r="H268" s="332"/>
      <c r="I268" s="332"/>
      <c r="J268" s="332"/>
      <c r="K268" s="332"/>
      <c r="L268" s="332"/>
      <c r="Q268" s="152"/>
    </row>
    <row r="269" spans="2:17" ht="13">
      <c r="B269" s="396"/>
      <c r="C269" s="116"/>
      <c r="D269" s="116"/>
      <c r="E269" s="116"/>
      <c r="F269" s="116"/>
      <c r="G269" s="332"/>
      <c r="H269" s="332"/>
      <c r="I269" s="332"/>
      <c r="J269" s="332"/>
      <c r="K269" s="332"/>
      <c r="L269" s="332"/>
      <c r="Q269" s="152"/>
    </row>
    <row r="270" spans="2:17" ht="13">
      <c r="B270" s="396"/>
      <c r="C270" s="116"/>
      <c r="D270" s="116"/>
      <c r="E270" s="116"/>
      <c r="F270" s="116"/>
      <c r="G270" s="332"/>
      <c r="H270" s="332"/>
      <c r="I270" s="332"/>
      <c r="J270" s="332"/>
      <c r="K270" s="332"/>
      <c r="L270" s="332"/>
      <c r="Q270" s="152"/>
    </row>
    <row r="271" spans="2:17" ht="13">
      <c r="B271" s="396"/>
      <c r="C271" s="116"/>
      <c r="D271" s="116"/>
      <c r="E271" s="116"/>
      <c r="F271" s="116"/>
      <c r="G271" s="332"/>
      <c r="H271" s="332"/>
      <c r="I271" s="332"/>
      <c r="J271" s="332"/>
      <c r="K271" s="332"/>
      <c r="L271" s="332"/>
      <c r="Q271" s="152"/>
    </row>
    <row r="272" spans="2:17" ht="13">
      <c r="B272" s="396"/>
      <c r="C272" s="116"/>
      <c r="D272" s="116"/>
      <c r="E272" s="116"/>
      <c r="F272" s="116"/>
      <c r="G272" s="332"/>
      <c r="H272" s="332"/>
      <c r="I272" s="332"/>
      <c r="J272" s="332"/>
      <c r="K272" s="332"/>
      <c r="L272" s="332"/>
      <c r="Q272" s="152"/>
    </row>
    <row r="273" spans="2:17" ht="13">
      <c r="B273" s="396"/>
      <c r="C273" s="116"/>
      <c r="D273" s="116"/>
      <c r="E273" s="116"/>
      <c r="F273" s="116"/>
      <c r="G273" s="332"/>
      <c r="H273" s="332"/>
      <c r="I273" s="332"/>
      <c r="J273" s="332"/>
      <c r="K273" s="332"/>
      <c r="L273" s="332"/>
      <c r="Q273" s="152"/>
    </row>
    <row r="274" spans="2:17" ht="13">
      <c r="B274" s="396"/>
      <c r="C274" s="116"/>
      <c r="D274" s="116"/>
      <c r="E274" s="116"/>
      <c r="F274" s="116"/>
      <c r="G274" s="332"/>
      <c r="H274" s="332"/>
      <c r="I274" s="332"/>
      <c r="J274" s="332"/>
      <c r="K274" s="332"/>
      <c r="L274" s="332"/>
      <c r="Q274" s="152"/>
    </row>
    <row r="275" spans="2:17" ht="13">
      <c r="B275" s="396"/>
      <c r="C275" s="116"/>
      <c r="D275" s="116"/>
      <c r="E275" s="116"/>
      <c r="F275" s="116"/>
      <c r="G275" s="332"/>
      <c r="H275" s="332"/>
      <c r="I275" s="332"/>
      <c r="J275" s="332"/>
      <c r="K275" s="332"/>
      <c r="L275" s="332"/>
      <c r="Q275" s="152"/>
    </row>
    <row r="276" spans="2:17" ht="13">
      <c r="B276" s="396"/>
      <c r="C276" s="116"/>
      <c r="D276" s="116"/>
      <c r="E276" s="116"/>
      <c r="F276" s="116"/>
      <c r="G276" s="332"/>
      <c r="H276" s="332"/>
      <c r="I276" s="332"/>
      <c r="J276" s="332"/>
      <c r="K276" s="332"/>
      <c r="L276" s="332"/>
      <c r="Q276" s="152"/>
    </row>
    <row r="277" spans="2:17" ht="13">
      <c r="B277" s="396"/>
      <c r="C277" s="116"/>
      <c r="D277" s="116"/>
      <c r="E277" s="116"/>
      <c r="F277" s="116"/>
      <c r="G277" s="332"/>
      <c r="H277" s="332"/>
      <c r="I277" s="332"/>
      <c r="J277" s="332"/>
      <c r="K277" s="332"/>
      <c r="L277" s="332"/>
      <c r="Q277" s="152"/>
    </row>
    <row r="278" spans="2:17" ht="13">
      <c r="B278" s="396"/>
      <c r="C278" s="116"/>
      <c r="D278" s="116"/>
      <c r="E278" s="116"/>
      <c r="F278" s="116"/>
      <c r="G278" s="332"/>
      <c r="H278" s="332"/>
      <c r="I278" s="332"/>
      <c r="J278" s="332"/>
      <c r="K278" s="332"/>
      <c r="L278" s="332"/>
      <c r="Q278" s="152"/>
    </row>
    <row r="279" spans="2:17" ht="13">
      <c r="B279" s="396"/>
      <c r="C279" s="116"/>
      <c r="D279" s="116"/>
      <c r="E279" s="116"/>
      <c r="F279" s="116"/>
      <c r="G279" s="332"/>
      <c r="H279" s="332"/>
      <c r="I279" s="332"/>
      <c r="J279" s="332"/>
      <c r="K279" s="332"/>
      <c r="L279" s="332"/>
      <c r="Q279" s="152"/>
    </row>
    <row r="280" spans="2:17" ht="13">
      <c r="B280" s="396"/>
      <c r="C280" s="116"/>
      <c r="D280" s="116"/>
      <c r="E280" s="116"/>
      <c r="F280" s="116"/>
      <c r="G280" s="332"/>
      <c r="H280" s="332"/>
      <c r="I280" s="332"/>
      <c r="J280" s="332"/>
      <c r="K280" s="332"/>
      <c r="L280" s="332"/>
      <c r="Q280" s="152"/>
    </row>
    <row r="281" spans="2:17" ht="13">
      <c r="B281" s="396"/>
      <c r="C281" s="116"/>
      <c r="D281" s="116"/>
      <c r="E281" s="116"/>
      <c r="F281" s="116"/>
      <c r="G281" s="332"/>
      <c r="H281" s="332"/>
      <c r="I281" s="332"/>
      <c r="J281" s="332"/>
      <c r="K281" s="332"/>
      <c r="L281" s="332"/>
      <c r="Q281" s="152"/>
    </row>
    <row r="282" spans="2:17" ht="13">
      <c r="B282" s="396"/>
      <c r="C282" s="116"/>
      <c r="D282" s="116"/>
      <c r="E282" s="116"/>
      <c r="F282" s="116"/>
      <c r="G282" s="332"/>
      <c r="H282" s="332"/>
      <c r="I282" s="332"/>
      <c r="J282" s="332"/>
      <c r="K282" s="332"/>
      <c r="L282" s="332"/>
      <c r="Q282" s="152"/>
    </row>
    <row r="283" spans="2:17" ht="13">
      <c r="B283" s="396"/>
      <c r="C283" s="116"/>
      <c r="D283" s="116"/>
      <c r="E283" s="116"/>
      <c r="F283" s="116"/>
      <c r="G283" s="332"/>
      <c r="H283" s="332"/>
      <c r="I283" s="332"/>
      <c r="J283" s="332"/>
      <c r="K283" s="332"/>
      <c r="L283" s="332"/>
      <c r="Q283" s="152"/>
    </row>
    <row r="284" spans="2:17" ht="13">
      <c r="B284" s="396"/>
      <c r="C284" s="116"/>
      <c r="D284" s="116"/>
      <c r="E284" s="116"/>
      <c r="F284" s="116"/>
      <c r="G284" s="332"/>
      <c r="H284" s="332"/>
      <c r="I284" s="332"/>
      <c r="J284" s="332"/>
      <c r="K284" s="332"/>
      <c r="L284" s="332"/>
      <c r="Q284" s="152"/>
    </row>
    <row r="285" spans="2:17" ht="13">
      <c r="B285" s="396"/>
      <c r="C285" s="116"/>
      <c r="D285" s="116"/>
      <c r="E285" s="116"/>
      <c r="F285" s="116"/>
      <c r="G285" s="332"/>
      <c r="H285" s="332"/>
      <c r="I285" s="332"/>
      <c r="J285" s="332"/>
      <c r="K285" s="332"/>
      <c r="L285" s="332"/>
      <c r="Q285" s="152"/>
    </row>
    <row r="286" spans="2:17" ht="13">
      <c r="B286" s="396"/>
      <c r="C286" s="116"/>
      <c r="D286" s="116"/>
      <c r="E286" s="116"/>
      <c r="F286" s="116"/>
      <c r="G286" s="332"/>
      <c r="H286" s="332"/>
      <c r="I286" s="332"/>
      <c r="J286" s="332"/>
      <c r="K286" s="332"/>
      <c r="L286" s="332"/>
      <c r="Q286" s="152"/>
    </row>
    <row r="287" spans="2:17" ht="13">
      <c r="B287" s="396"/>
      <c r="C287" s="116"/>
      <c r="D287" s="116"/>
      <c r="E287" s="116"/>
      <c r="F287" s="116"/>
      <c r="G287" s="332"/>
      <c r="H287" s="332"/>
      <c r="I287" s="332"/>
      <c r="J287" s="332"/>
      <c r="K287" s="332"/>
      <c r="L287" s="332"/>
      <c r="Q287" s="152"/>
    </row>
    <row r="288" spans="2:17" ht="13">
      <c r="B288" s="396"/>
      <c r="C288" s="116"/>
      <c r="D288" s="116"/>
      <c r="E288" s="116"/>
      <c r="F288" s="116"/>
      <c r="G288" s="332"/>
      <c r="H288" s="332"/>
      <c r="I288" s="332"/>
      <c r="J288" s="332"/>
      <c r="K288" s="332"/>
      <c r="L288" s="332"/>
      <c r="Q288" s="152"/>
    </row>
    <row r="289" spans="2:17" ht="13">
      <c r="B289" s="396"/>
      <c r="C289" s="116"/>
      <c r="D289" s="116"/>
      <c r="E289" s="116"/>
      <c r="F289" s="116"/>
      <c r="G289" s="332"/>
      <c r="H289" s="332"/>
      <c r="I289" s="332"/>
      <c r="J289" s="332"/>
      <c r="K289" s="332"/>
      <c r="L289" s="332"/>
      <c r="Q289" s="152"/>
    </row>
    <row r="290" spans="2:17" ht="13">
      <c r="B290" s="396"/>
      <c r="C290" s="116"/>
      <c r="D290" s="116"/>
      <c r="E290" s="116"/>
      <c r="F290" s="116"/>
      <c r="G290" s="332"/>
      <c r="H290" s="332"/>
      <c r="I290" s="332"/>
      <c r="J290" s="332"/>
      <c r="K290" s="332"/>
      <c r="L290" s="332"/>
      <c r="Q290" s="152"/>
    </row>
    <row r="291" spans="2:17" ht="13">
      <c r="B291" s="396"/>
      <c r="C291" s="116"/>
      <c r="D291" s="116"/>
      <c r="E291" s="116"/>
      <c r="F291" s="116"/>
      <c r="G291" s="332"/>
      <c r="H291" s="332"/>
      <c r="I291" s="332"/>
      <c r="J291" s="332"/>
      <c r="K291" s="332"/>
      <c r="L291" s="332"/>
      <c r="Q291" s="152"/>
    </row>
    <row r="292" spans="2:17" ht="13">
      <c r="B292" s="396"/>
      <c r="C292" s="116"/>
      <c r="D292" s="116"/>
      <c r="E292" s="116"/>
      <c r="F292" s="116"/>
      <c r="G292" s="332"/>
      <c r="H292" s="332"/>
      <c r="I292" s="332"/>
      <c r="J292" s="332"/>
      <c r="K292" s="332"/>
      <c r="L292" s="332"/>
      <c r="Q292" s="152"/>
    </row>
    <row r="293" spans="2:17" ht="13">
      <c r="B293" s="396"/>
      <c r="C293" s="116"/>
      <c r="D293" s="116"/>
      <c r="E293" s="116"/>
      <c r="F293" s="116"/>
      <c r="G293" s="332"/>
      <c r="H293" s="332"/>
      <c r="I293" s="332"/>
      <c r="J293" s="332"/>
      <c r="K293" s="332"/>
      <c r="L293" s="332"/>
      <c r="Q293" s="152"/>
    </row>
    <row r="294" spans="2:17" ht="13">
      <c r="B294" s="396"/>
      <c r="C294" s="116"/>
      <c r="D294" s="116"/>
      <c r="E294" s="116"/>
      <c r="F294" s="116"/>
      <c r="G294" s="332"/>
      <c r="H294" s="332"/>
      <c r="I294" s="332"/>
      <c r="J294" s="332"/>
      <c r="K294" s="332"/>
      <c r="L294" s="332"/>
      <c r="Q294" s="152"/>
    </row>
    <row r="295" spans="2:17" ht="13">
      <c r="B295" s="396"/>
      <c r="C295" s="116"/>
      <c r="D295" s="116"/>
      <c r="E295" s="116"/>
      <c r="F295" s="116"/>
      <c r="G295" s="332"/>
      <c r="H295" s="332"/>
      <c r="I295" s="332"/>
      <c r="J295" s="332"/>
      <c r="K295" s="332"/>
      <c r="L295" s="332"/>
      <c r="Q295" s="152"/>
    </row>
    <row r="296" spans="2:17" ht="13">
      <c r="B296" s="396"/>
      <c r="C296" s="116"/>
      <c r="D296" s="116"/>
      <c r="E296" s="116"/>
      <c r="F296" s="116"/>
      <c r="G296" s="332"/>
      <c r="H296" s="332"/>
      <c r="I296" s="332"/>
      <c r="J296" s="332"/>
      <c r="K296" s="332"/>
      <c r="L296" s="332"/>
      <c r="Q296" s="152"/>
    </row>
    <row r="297" spans="2:17" ht="13">
      <c r="B297" s="396"/>
      <c r="C297" s="116"/>
      <c r="D297" s="116"/>
      <c r="E297" s="116"/>
      <c r="F297" s="116"/>
      <c r="G297" s="332"/>
      <c r="H297" s="332"/>
      <c r="I297" s="332"/>
      <c r="J297" s="332"/>
      <c r="K297" s="332"/>
      <c r="L297" s="332"/>
      <c r="Q297" s="152"/>
    </row>
    <row r="298" spans="2:17" ht="13">
      <c r="B298" s="396"/>
      <c r="C298" s="116"/>
      <c r="D298" s="116"/>
      <c r="E298" s="116"/>
      <c r="F298" s="116"/>
      <c r="G298" s="332"/>
      <c r="H298" s="332"/>
      <c r="I298" s="332"/>
      <c r="J298" s="332"/>
      <c r="K298" s="332"/>
      <c r="L298" s="332"/>
      <c r="Q298" s="152"/>
    </row>
    <row r="299" spans="2:17" ht="13">
      <c r="B299" s="396"/>
      <c r="C299" s="116"/>
      <c r="D299" s="116"/>
      <c r="E299" s="116"/>
      <c r="F299" s="116"/>
      <c r="G299" s="332"/>
      <c r="H299" s="332"/>
      <c r="I299" s="332"/>
      <c r="J299" s="332"/>
      <c r="K299" s="332"/>
      <c r="L299" s="332"/>
      <c r="Q299" s="152"/>
    </row>
    <row r="300" spans="2:17" ht="13">
      <c r="B300" s="396"/>
      <c r="C300" s="116"/>
      <c r="D300" s="116"/>
      <c r="E300" s="116"/>
      <c r="F300" s="116"/>
      <c r="G300" s="332"/>
      <c r="H300" s="332"/>
      <c r="I300" s="332"/>
      <c r="J300" s="332"/>
      <c r="K300" s="332"/>
      <c r="L300" s="332"/>
      <c r="Q300" s="152"/>
    </row>
    <row r="301" spans="2:17" ht="13">
      <c r="B301" s="396"/>
      <c r="C301" s="116"/>
      <c r="D301" s="116"/>
      <c r="E301" s="116"/>
      <c r="F301" s="116"/>
      <c r="G301" s="332"/>
      <c r="H301" s="332"/>
      <c r="I301" s="332"/>
      <c r="J301" s="332"/>
      <c r="K301" s="332"/>
      <c r="L301" s="332"/>
      <c r="Q301" s="152"/>
    </row>
    <row r="302" spans="2:17" ht="13">
      <c r="B302" s="396"/>
      <c r="C302" s="116"/>
      <c r="D302" s="116"/>
      <c r="E302" s="116"/>
      <c r="F302" s="116"/>
      <c r="G302" s="332"/>
      <c r="H302" s="332"/>
      <c r="I302" s="332"/>
      <c r="J302" s="332"/>
      <c r="K302" s="332"/>
      <c r="L302" s="332"/>
      <c r="Q302" s="152"/>
    </row>
    <row r="303" spans="2:17" ht="13">
      <c r="B303" s="396"/>
      <c r="C303" s="116"/>
      <c r="D303" s="116"/>
      <c r="E303" s="116"/>
      <c r="F303" s="116"/>
      <c r="G303" s="332"/>
      <c r="H303" s="332"/>
      <c r="I303" s="332"/>
      <c r="J303" s="332"/>
      <c r="K303" s="332"/>
      <c r="L303" s="332"/>
      <c r="Q303" s="152"/>
    </row>
    <row r="304" spans="2:17" ht="13">
      <c r="B304" s="396"/>
      <c r="C304" s="116"/>
      <c r="D304" s="116"/>
      <c r="E304" s="116"/>
      <c r="F304" s="116"/>
      <c r="G304" s="332"/>
      <c r="H304" s="332"/>
      <c r="I304" s="332"/>
      <c r="J304" s="332"/>
      <c r="K304" s="332"/>
      <c r="L304" s="332"/>
      <c r="Q304" s="152"/>
    </row>
    <row r="305" spans="2:17" ht="13">
      <c r="B305" s="396"/>
      <c r="C305" s="116"/>
      <c r="D305" s="116"/>
      <c r="E305" s="116"/>
      <c r="F305" s="116"/>
      <c r="G305" s="332"/>
      <c r="H305" s="332"/>
      <c r="I305" s="332"/>
      <c r="J305" s="332"/>
      <c r="K305" s="332"/>
      <c r="L305" s="332"/>
      <c r="Q305" s="152"/>
    </row>
    <row r="306" spans="2:17" ht="13">
      <c r="B306" s="396"/>
      <c r="C306" s="116"/>
      <c r="D306" s="116"/>
      <c r="E306" s="116"/>
      <c r="F306" s="116"/>
      <c r="G306" s="332"/>
      <c r="H306" s="332"/>
      <c r="I306" s="332"/>
      <c r="J306" s="332"/>
      <c r="K306" s="332"/>
      <c r="L306" s="332"/>
      <c r="Q306" s="152"/>
    </row>
    <row r="307" spans="2:17" ht="13">
      <c r="B307" s="396"/>
      <c r="C307" s="116"/>
      <c r="D307" s="116"/>
      <c r="E307" s="116"/>
      <c r="F307" s="116"/>
      <c r="G307" s="332"/>
      <c r="H307" s="332"/>
      <c r="I307" s="332"/>
      <c r="J307" s="332"/>
      <c r="K307" s="332"/>
      <c r="L307" s="332"/>
      <c r="Q307" s="152"/>
    </row>
    <row r="308" spans="2:17" ht="13">
      <c r="B308" s="396"/>
      <c r="C308" s="116"/>
      <c r="D308" s="116"/>
      <c r="E308" s="116"/>
      <c r="F308" s="116"/>
      <c r="G308" s="332"/>
      <c r="H308" s="332"/>
      <c r="I308" s="332"/>
      <c r="J308" s="332"/>
      <c r="K308" s="332"/>
      <c r="L308" s="332"/>
      <c r="Q308" s="152"/>
    </row>
    <row r="309" spans="2:17" ht="13">
      <c r="B309" s="396"/>
      <c r="C309" s="116"/>
      <c r="D309" s="116"/>
      <c r="E309" s="116"/>
      <c r="F309" s="116"/>
      <c r="G309" s="332"/>
      <c r="H309" s="332"/>
      <c r="I309" s="332"/>
      <c r="J309" s="332"/>
      <c r="K309" s="332"/>
      <c r="L309" s="332"/>
      <c r="Q309" s="152"/>
    </row>
    <row r="310" spans="2:17" ht="13">
      <c r="B310" s="396"/>
      <c r="C310" s="116"/>
      <c r="D310" s="116"/>
      <c r="E310" s="116"/>
      <c r="F310" s="116"/>
      <c r="G310" s="332"/>
      <c r="H310" s="332"/>
      <c r="I310" s="332"/>
      <c r="J310" s="332"/>
      <c r="K310" s="332"/>
      <c r="L310" s="332"/>
      <c r="Q310" s="152"/>
    </row>
    <row r="311" spans="2:17" ht="13">
      <c r="B311" s="396"/>
      <c r="C311" s="116"/>
      <c r="D311" s="116"/>
      <c r="E311" s="116"/>
      <c r="F311" s="116"/>
      <c r="G311" s="332"/>
      <c r="H311" s="332"/>
      <c r="I311" s="332"/>
      <c r="J311" s="332"/>
      <c r="K311" s="332"/>
      <c r="L311" s="332"/>
      <c r="Q311" s="152"/>
    </row>
    <row r="312" spans="2:17" ht="13">
      <c r="B312" s="396"/>
      <c r="C312" s="116"/>
      <c r="D312" s="116"/>
      <c r="E312" s="116"/>
      <c r="F312" s="116"/>
      <c r="G312" s="332"/>
      <c r="H312" s="332"/>
      <c r="I312" s="332"/>
      <c r="J312" s="332"/>
      <c r="K312" s="332"/>
      <c r="L312" s="332"/>
      <c r="Q312" s="152"/>
    </row>
    <row r="313" spans="2:17" ht="13">
      <c r="B313" s="396"/>
      <c r="C313" s="116"/>
      <c r="D313" s="116"/>
      <c r="E313" s="116"/>
      <c r="F313" s="116"/>
      <c r="G313" s="332"/>
      <c r="H313" s="332"/>
      <c r="I313" s="332"/>
      <c r="J313" s="332"/>
      <c r="K313" s="332"/>
      <c r="L313" s="332"/>
      <c r="Q313" s="152"/>
    </row>
    <row r="314" spans="2:17" ht="13">
      <c r="B314" s="396"/>
      <c r="C314" s="116"/>
      <c r="D314" s="116"/>
      <c r="E314" s="116"/>
      <c r="F314" s="116"/>
      <c r="G314" s="332"/>
      <c r="H314" s="332"/>
      <c r="I314" s="332"/>
      <c r="J314" s="332"/>
      <c r="K314" s="332"/>
      <c r="L314" s="332"/>
      <c r="Q314" s="152"/>
    </row>
    <row r="315" spans="2:17" ht="13">
      <c r="B315" s="396"/>
      <c r="C315" s="116"/>
      <c r="D315" s="116"/>
      <c r="E315" s="116"/>
      <c r="F315" s="116"/>
      <c r="G315" s="332"/>
      <c r="H315" s="332"/>
      <c r="I315" s="332"/>
      <c r="J315" s="332"/>
      <c r="K315" s="332"/>
      <c r="L315" s="332"/>
      <c r="Q315" s="152"/>
    </row>
    <row r="316" spans="2:17" ht="13">
      <c r="B316" s="396"/>
      <c r="C316" s="116"/>
      <c r="D316" s="116"/>
      <c r="E316" s="116"/>
      <c r="F316" s="116"/>
      <c r="G316" s="332"/>
      <c r="H316" s="332"/>
      <c r="I316" s="332"/>
      <c r="J316" s="332"/>
      <c r="K316" s="332"/>
      <c r="L316" s="332"/>
      <c r="Q316" s="152"/>
    </row>
    <row r="317" spans="2:17" ht="13">
      <c r="B317" s="396"/>
      <c r="C317" s="116"/>
      <c r="D317" s="116"/>
      <c r="E317" s="116"/>
      <c r="F317" s="116"/>
      <c r="G317" s="332"/>
      <c r="H317" s="332"/>
      <c r="I317" s="332"/>
      <c r="J317" s="332"/>
      <c r="K317" s="332"/>
      <c r="L317" s="332"/>
      <c r="Q317" s="152"/>
    </row>
    <row r="318" spans="2:17" ht="13">
      <c r="B318" s="396"/>
      <c r="C318" s="116"/>
      <c r="D318" s="116"/>
      <c r="E318" s="116"/>
      <c r="F318" s="116"/>
      <c r="G318" s="332"/>
      <c r="H318" s="332"/>
      <c r="I318" s="332"/>
      <c r="J318" s="332"/>
      <c r="K318" s="332"/>
      <c r="L318" s="332"/>
      <c r="Q318" s="152"/>
    </row>
    <row r="319" spans="2:17" ht="13">
      <c r="B319" s="396"/>
      <c r="C319" s="116"/>
      <c r="D319" s="116"/>
      <c r="E319" s="116"/>
      <c r="F319" s="116"/>
      <c r="G319" s="332"/>
      <c r="H319" s="332"/>
      <c r="I319" s="332"/>
      <c r="J319" s="332"/>
      <c r="K319" s="332"/>
      <c r="L319" s="332"/>
      <c r="Q319" s="152"/>
    </row>
    <row r="320" spans="2:17" ht="13">
      <c r="B320" s="396"/>
      <c r="C320" s="116"/>
      <c r="D320" s="116"/>
      <c r="E320" s="116"/>
      <c r="F320" s="116"/>
      <c r="G320" s="332"/>
      <c r="H320" s="332"/>
      <c r="I320" s="332"/>
      <c r="J320" s="332"/>
      <c r="K320" s="332"/>
      <c r="L320" s="332"/>
      <c r="Q320" s="152"/>
    </row>
    <row r="321" spans="2:17" ht="13">
      <c r="B321" s="396"/>
      <c r="C321" s="116"/>
      <c r="D321" s="116"/>
      <c r="E321" s="116"/>
      <c r="F321" s="116"/>
      <c r="G321" s="332"/>
      <c r="H321" s="332"/>
      <c r="I321" s="332"/>
      <c r="J321" s="332"/>
      <c r="K321" s="332"/>
      <c r="L321" s="332"/>
      <c r="Q321" s="152"/>
    </row>
    <row r="322" spans="2:17" ht="13">
      <c r="B322" s="396"/>
      <c r="C322" s="116"/>
      <c r="D322" s="116"/>
      <c r="E322" s="116"/>
      <c r="F322" s="116"/>
      <c r="G322" s="332"/>
      <c r="H322" s="332"/>
      <c r="I322" s="332"/>
      <c r="J322" s="332"/>
      <c r="K322" s="332"/>
      <c r="L322" s="332"/>
      <c r="Q322" s="152"/>
    </row>
    <row r="323" spans="2:17" ht="13">
      <c r="B323" s="396"/>
      <c r="C323" s="116"/>
      <c r="D323" s="116"/>
      <c r="E323" s="116"/>
      <c r="F323" s="116"/>
      <c r="G323" s="332"/>
      <c r="H323" s="332"/>
      <c r="I323" s="332"/>
      <c r="J323" s="332"/>
      <c r="K323" s="332"/>
      <c r="L323" s="332"/>
      <c r="Q323" s="152"/>
    </row>
    <row r="324" spans="2:17" ht="13">
      <c r="B324" s="396"/>
      <c r="C324" s="116"/>
      <c r="D324" s="116"/>
      <c r="E324" s="116"/>
      <c r="F324" s="116"/>
      <c r="G324" s="332"/>
      <c r="H324" s="332"/>
      <c r="I324" s="332"/>
      <c r="J324" s="332"/>
      <c r="K324" s="332"/>
      <c r="L324" s="332"/>
      <c r="Q324" s="152"/>
    </row>
    <row r="325" spans="2:17" ht="13">
      <c r="B325" s="396"/>
      <c r="C325" s="116"/>
      <c r="D325" s="116"/>
      <c r="E325" s="116"/>
      <c r="F325" s="116"/>
      <c r="G325" s="332"/>
      <c r="H325" s="332"/>
      <c r="I325" s="332"/>
      <c r="J325" s="332"/>
      <c r="K325" s="332"/>
      <c r="L325" s="332"/>
      <c r="Q325" s="152"/>
    </row>
    <row r="326" spans="2:17" ht="13">
      <c r="B326" s="396"/>
      <c r="C326" s="116"/>
      <c r="D326" s="116"/>
      <c r="E326" s="116"/>
      <c r="F326" s="116"/>
      <c r="G326" s="332"/>
      <c r="H326" s="332"/>
      <c r="I326" s="332"/>
      <c r="J326" s="332"/>
      <c r="K326" s="332"/>
      <c r="L326" s="332"/>
      <c r="Q326" s="152"/>
    </row>
    <row r="327" spans="2:17" ht="13">
      <c r="B327" s="396"/>
      <c r="C327" s="116"/>
      <c r="D327" s="116"/>
      <c r="E327" s="116"/>
      <c r="F327" s="116"/>
      <c r="G327" s="332"/>
      <c r="H327" s="332"/>
      <c r="I327" s="332"/>
      <c r="J327" s="332"/>
      <c r="K327" s="332"/>
      <c r="L327" s="332"/>
      <c r="Q327" s="152"/>
    </row>
    <row r="328" spans="2:17" ht="13">
      <c r="B328" s="396"/>
      <c r="C328" s="116"/>
      <c r="D328" s="116"/>
      <c r="E328" s="116"/>
      <c r="F328" s="116"/>
      <c r="G328" s="332"/>
      <c r="H328" s="332"/>
      <c r="I328" s="332"/>
      <c r="J328" s="332"/>
      <c r="K328" s="332"/>
      <c r="L328" s="332"/>
      <c r="Q328" s="152"/>
    </row>
    <row r="329" spans="2:17" ht="13">
      <c r="B329" s="396"/>
      <c r="C329" s="116"/>
      <c r="D329" s="116"/>
      <c r="E329" s="116"/>
      <c r="F329" s="116"/>
      <c r="G329" s="332"/>
      <c r="H329" s="332"/>
      <c r="I329" s="332"/>
      <c r="J329" s="332"/>
      <c r="K329" s="332"/>
      <c r="L329" s="332"/>
      <c r="Q329" s="152"/>
    </row>
    <row r="330" spans="2:17" ht="13">
      <c r="B330" s="396"/>
      <c r="C330" s="116"/>
      <c r="D330" s="116"/>
      <c r="E330" s="116"/>
      <c r="F330" s="116"/>
      <c r="G330" s="332"/>
      <c r="H330" s="332"/>
      <c r="I330" s="332"/>
      <c r="J330" s="332"/>
      <c r="K330" s="332"/>
      <c r="L330" s="332"/>
      <c r="Q330" s="152"/>
    </row>
    <row r="331" spans="2:17" ht="13">
      <c r="B331" s="396"/>
      <c r="C331" s="116"/>
      <c r="D331" s="116"/>
      <c r="E331" s="116"/>
      <c r="F331" s="116"/>
      <c r="G331" s="332"/>
      <c r="H331" s="332"/>
      <c r="I331" s="332"/>
      <c r="J331" s="332"/>
      <c r="K331" s="332"/>
      <c r="L331" s="332"/>
      <c r="Q331" s="152"/>
    </row>
    <row r="332" spans="2:17" ht="13">
      <c r="B332" s="396"/>
      <c r="C332" s="116"/>
      <c r="D332" s="116"/>
      <c r="E332" s="116"/>
      <c r="F332" s="116"/>
      <c r="G332" s="332"/>
      <c r="H332" s="332"/>
      <c r="I332" s="332"/>
      <c r="J332" s="332"/>
      <c r="K332" s="332"/>
      <c r="L332" s="332"/>
      <c r="Q332" s="152"/>
    </row>
    <row r="333" spans="2:17" ht="13">
      <c r="B333" s="396"/>
      <c r="C333" s="116"/>
      <c r="D333" s="116"/>
      <c r="E333" s="116"/>
      <c r="F333" s="116"/>
      <c r="G333" s="332"/>
      <c r="H333" s="332"/>
      <c r="I333" s="332"/>
      <c r="J333" s="332"/>
      <c r="K333" s="332"/>
      <c r="L333" s="332"/>
      <c r="Q333" s="152"/>
    </row>
    <row r="334" spans="2:17" ht="13">
      <c r="B334" s="396"/>
      <c r="C334" s="116"/>
      <c r="D334" s="116"/>
      <c r="E334" s="116"/>
      <c r="F334" s="116"/>
      <c r="G334" s="332"/>
      <c r="H334" s="332"/>
      <c r="I334" s="332"/>
      <c r="J334" s="332"/>
      <c r="K334" s="332"/>
      <c r="L334" s="332"/>
      <c r="Q334" s="152"/>
    </row>
    <row r="335" spans="2:17" ht="13">
      <c r="B335" s="396"/>
      <c r="C335" s="116"/>
      <c r="D335" s="116"/>
      <c r="E335" s="116"/>
      <c r="F335" s="116"/>
      <c r="G335" s="332"/>
      <c r="H335" s="332"/>
      <c r="I335" s="332"/>
      <c r="J335" s="332"/>
      <c r="K335" s="332"/>
      <c r="L335" s="332"/>
      <c r="Q335" s="152"/>
    </row>
    <row r="336" spans="2:17" ht="13">
      <c r="B336" s="396"/>
      <c r="C336" s="116"/>
      <c r="D336" s="116"/>
      <c r="E336" s="116"/>
      <c r="F336" s="116"/>
      <c r="G336" s="332"/>
      <c r="H336" s="332"/>
      <c r="I336" s="332"/>
      <c r="J336" s="332"/>
      <c r="K336" s="332"/>
      <c r="L336" s="332"/>
      <c r="Q336" s="152"/>
    </row>
    <row r="337" spans="2:17" ht="13">
      <c r="B337" s="396"/>
      <c r="C337" s="116"/>
      <c r="D337" s="116"/>
      <c r="E337" s="116"/>
      <c r="F337" s="116"/>
      <c r="G337" s="332"/>
      <c r="H337" s="332"/>
      <c r="I337" s="332"/>
      <c r="J337" s="332"/>
      <c r="K337" s="332"/>
      <c r="L337" s="332"/>
      <c r="Q337" s="152"/>
    </row>
    <row r="338" spans="2:17" ht="13">
      <c r="B338" s="396"/>
      <c r="C338" s="116"/>
      <c r="D338" s="116"/>
      <c r="E338" s="116"/>
      <c r="F338" s="116"/>
      <c r="G338" s="332"/>
      <c r="H338" s="332"/>
      <c r="I338" s="332"/>
      <c r="J338" s="332"/>
      <c r="K338" s="332"/>
      <c r="L338" s="332"/>
      <c r="Q338" s="152"/>
    </row>
    <row r="339" spans="2:17" ht="13">
      <c r="B339" s="396"/>
      <c r="C339" s="116"/>
      <c r="D339" s="116"/>
      <c r="E339" s="116"/>
      <c r="F339" s="116"/>
      <c r="G339" s="332"/>
      <c r="H339" s="332"/>
      <c r="I339" s="332"/>
      <c r="J339" s="332"/>
      <c r="K339" s="332"/>
      <c r="L339" s="332"/>
      <c r="Q339" s="152"/>
    </row>
    <row r="340" spans="2:17" ht="13">
      <c r="B340" s="396"/>
      <c r="C340" s="116"/>
      <c r="D340" s="116"/>
      <c r="E340" s="116"/>
      <c r="F340" s="116"/>
      <c r="G340" s="332"/>
      <c r="H340" s="332"/>
      <c r="I340" s="332"/>
      <c r="J340" s="332"/>
      <c r="K340" s="332"/>
      <c r="L340" s="332"/>
      <c r="Q340" s="152"/>
    </row>
    <row r="341" spans="2:17" ht="13">
      <c r="B341" s="396"/>
      <c r="C341" s="116"/>
      <c r="D341" s="116"/>
      <c r="E341" s="116"/>
      <c r="F341" s="116"/>
      <c r="G341" s="332"/>
      <c r="H341" s="332"/>
      <c r="I341" s="332"/>
      <c r="J341" s="332"/>
      <c r="K341" s="332"/>
      <c r="L341" s="332"/>
      <c r="Q341" s="152"/>
    </row>
    <row r="342" spans="2:17" ht="13">
      <c r="B342" s="396"/>
      <c r="C342" s="116"/>
      <c r="D342" s="116"/>
      <c r="E342" s="116"/>
      <c r="F342" s="116"/>
      <c r="G342" s="332"/>
      <c r="H342" s="332"/>
      <c r="I342" s="332"/>
      <c r="J342" s="332"/>
      <c r="K342" s="332"/>
      <c r="L342" s="332"/>
      <c r="Q342" s="152"/>
    </row>
    <row r="343" spans="2:17" ht="13">
      <c r="B343" s="396"/>
      <c r="C343" s="116"/>
      <c r="D343" s="116"/>
      <c r="E343" s="116"/>
      <c r="F343" s="116"/>
      <c r="G343" s="332"/>
      <c r="H343" s="332"/>
      <c r="I343" s="332"/>
      <c r="J343" s="332"/>
      <c r="K343" s="332"/>
      <c r="L343" s="332"/>
      <c r="Q343" s="152"/>
    </row>
    <row r="344" spans="2:17" ht="13">
      <c r="B344" s="396"/>
      <c r="C344" s="116"/>
      <c r="D344" s="116"/>
      <c r="E344" s="116"/>
      <c r="F344" s="116"/>
      <c r="G344" s="332"/>
      <c r="H344" s="332"/>
      <c r="I344" s="332"/>
      <c r="J344" s="332"/>
      <c r="K344" s="332"/>
      <c r="L344" s="332"/>
      <c r="Q344" s="152"/>
    </row>
    <row r="345" spans="2:17" ht="13">
      <c r="B345" s="396"/>
      <c r="C345" s="116"/>
      <c r="D345" s="116"/>
      <c r="E345" s="116"/>
      <c r="F345" s="116"/>
      <c r="G345" s="332"/>
      <c r="H345" s="332"/>
      <c r="I345" s="332"/>
      <c r="J345" s="332"/>
      <c r="K345" s="332"/>
      <c r="L345" s="332"/>
      <c r="Q345" s="152"/>
    </row>
    <row r="346" spans="2:17" ht="13">
      <c r="B346" s="396"/>
      <c r="C346" s="116"/>
      <c r="D346" s="116"/>
      <c r="E346" s="116"/>
      <c r="F346" s="116"/>
      <c r="G346" s="332"/>
      <c r="H346" s="332"/>
      <c r="I346" s="332"/>
      <c r="J346" s="332"/>
      <c r="K346" s="332"/>
      <c r="L346" s="332"/>
      <c r="Q346" s="152"/>
    </row>
    <row r="347" spans="2:17" ht="13">
      <c r="B347" s="396"/>
      <c r="C347" s="116"/>
      <c r="D347" s="116"/>
      <c r="E347" s="116"/>
      <c r="F347" s="116"/>
      <c r="G347" s="332"/>
      <c r="H347" s="332"/>
      <c r="I347" s="332"/>
      <c r="J347" s="332"/>
      <c r="K347" s="332"/>
      <c r="L347" s="332"/>
      <c r="Q347" s="152"/>
    </row>
    <row r="348" spans="2:17" ht="13">
      <c r="B348" s="396"/>
      <c r="C348" s="116"/>
      <c r="D348" s="116"/>
      <c r="E348" s="116"/>
      <c r="F348" s="116"/>
      <c r="G348" s="332"/>
      <c r="H348" s="332"/>
      <c r="I348" s="332"/>
      <c r="J348" s="332"/>
      <c r="K348" s="332"/>
      <c r="L348" s="332"/>
      <c r="Q348" s="152"/>
    </row>
    <row r="349" spans="2:17" ht="13">
      <c r="B349" s="396"/>
      <c r="C349" s="116"/>
      <c r="D349" s="116"/>
      <c r="E349" s="116"/>
      <c r="F349" s="116"/>
      <c r="G349" s="332"/>
      <c r="H349" s="332"/>
      <c r="I349" s="332"/>
      <c r="J349" s="332"/>
      <c r="K349" s="332"/>
      <c r="L349" s="332"/>
      <c r="Q349" s="152"/>
    </row>
    <row r="350" spans="2:17" ht="13">
      <c r="B350" s="396"/>
      <c r="C350" s="116"/>
      <c r="D350" s="116"/>
      <c r="E350" s="116"/>
      <c r="F350" s="116"/>
      <c r="G350" s="332"/>
      <c r="H350" s="332"/>
      <c r="I350" s="332"/>
      <c r="J350" s="332"/>
      <c r="K350" s="332"/>
      <c r="L350" s="332"/>
      <c r="Q350" s="152"/>
    </row>
    <row r="351" spans="2:17" ht="13">
      <c r="B351" s="396"/>
      <c r="C351" s="116"/>
      <c r="D351" s="116"/>
      <c r="E351" s="116"/>
      <c r="F351" s="116"/>
      <c r="G351" s="332"/>
      <c r="H351" s="332"/>
      <c r="I351" s="332"/>
      <c r="J351" s="332"/>
      <c r="K351" s="332"/>
      <c r="L351" s="332"/>
      <c r="Q351" s="152"/>
    </row>
    <row r="352" spans="2:17" ht="13">
      <c r="B352" s="396"/>
      <c r="C352" s="116"/>
      <c r="D352" s="116"/>
      <c r="E352" s="116"/>
      <c r="F352" s="116"/>
      <c r="G352" s="332"/>
      <c r="H352" s="332"/>
      <c r="I352" s="332"/>
      <c r="J352" s="332"/>
      <c r="K352" s="332"/>
      <c r="L352" s="332"/>
      <c r="Q352" s="152"/>
    </row>
    <row r="353" spans="2:17" ht="13">
      <c r="B353" s="396"/>
      <c r="C353" s="116"/>
      <c r="D353" s="116"/>
      <c r="E353" s="116"/>
      <c r="F353" s="116"/>
      <c r="G353" s="332"/>
      <c r="H353" s="332"/>
      <c r="I353" s="332"/>
      <c r="J353" s="332"/>
      <c r="K353" s="332"/>
      <c r="L353" s="332"/>
      <c r="Q353" s="152"/>
    </row>
    <row r="354" spans="2:17" ht="13">
      <c r="B354" s="396"/>
      <c r="C354" s="116"/>
      <c r="D354" s="116"/>
      <c r="E354" s="116"/>
      <c r="F354" s="116"/>
      <c r="G354" s="332"/>
      <c r="H354" s="332"/>
      <c r="I354" s="332"/>
      <c r="J354" s="332"/>
      <c r="K354" s="332"/>
      <c r="L354" s="332"/>
      <c r="Q354" s="152"/>
    </row>
    <row r="355" spans="2:17" ht="13">
      <c r="B355" s="396"/>
      <c r="C355" s="116"/>
      <c r="D355" s="116"/>
      <c r="E355" s="116"/>
      <c r="F355" s="116"/>
      <c r="G355" s="332"/>
      <c r="H355" s="332"/>
      <c r="I355" s="332"/>
      <c r="J355" s="332"/>
      <c r="K355" s="332"/>
      <c r="L355" s="332"/>
      <c r="Q355" s="152"/>
    </row>
    <row r="356" spans="2:17" ht="13">
      <c r="B356" s="396"/>
      <c r="C356" s="116"/>
      <c r="D356" s="116"/>
      <c r="E356" s="116"/>
      <c r="F356" s="116"/>
      <c r="G356" s="332"/>
      <c r="H356" s="332"/>
      <c r="I356" s="332"/>
      <c r="J356" s="332"/>
      <c r="K356" s="332"/>
      <c r="L356" s="332"/>
      <c r="Q356" s="152"/>
    </row>
    <row r="357" spans="2:17" ht="13">
      <c r="B357" s="396"/>
      <c r="C357" s="116"/>
      <c r="D357" s="116"/>
      <c r="E357" s="116"/>
      <c r="F357" s="116"/>
      <c r="G357" s="332"/>
      <c r="H357" s="332"/>
      <c r="I357" s="332"/>
      <c r="J357" s="332"/>
      <c r="K357" s="332"/>
      <c r="L357" s="332"/>
      <c r="Q357" s="152"/>
    </row>
    <row r="358" spans="2:17" ht="13">
      <c r="B358" s="396"/>
      <c r="C358" s="116"/>
      <c r="D358" s="116"/>
      <c r="E358" s="116"/>
      <c r="F358" s="116"/>
      <c r="G358" s="332"/>
      <c r="H358" s="332"/>
      <c r="I358" s="332"/>
      <c r="J358" s="332"/>
      <c r="K358" s="332"/>
      <c r="L358" s="332"/>
      <c r="Q358" s="152"/>
    </row>
    <row r="359" spans="2:17" ht="13">
      <c r="B359" s="396"/>
      <c r="C359" s="116"/>
      <c r="D359" s="116"/>
      <c r="E359" s="116"/>
      <c r="F359" s="116"/>
      <c r="G359" s="332"/>
      <c r="H359" s="332"/>
      <c r="I359" s="332"/>
      <c r="J359" s="332"/>
      <c r="K359" s="332"/>
      <c r="L359" s="332"/>
      <c r="Q359" s="152"/>
    </row>
    <row r="360" spans="2:17" ht="13">
      <c r="B360" s="396"/>
      <c r="C360" s="116"/>
      <c r="D360" s="116"/>
      <c r="E360" s="116"/>
      <c r="F360" s="116"/>
      <c r="G360" s="332"/>
      <c r="H360" s="332"/>
      <c r="I360" s="332"/>
      <c r="J360" s="332"/>
      <c r="K360" s="332"/>
      <c r="L360" s="332"/>
      <c r="Q360" s="152"/>
    </row>
    <row r="361" spans="2:17" ht="13">
      <c r="B361" s="396"/>
      <c r="C361" s="116"/>
      <c r="D361" s="116"/>
      <c r="E361" s="116"/>
      <c r="F361" s="116"/>
      <c r="G361" s="332"/>
      <c r="H361" s="332"/>
      <c r="I361" s="332"/>
      <c r="J361" s="332"/>
      <c r="K361" s="332"/>
      <c r="L361" s="332"/>
      <c r="Q361" s="152"/>
    </row>
    <row r="362" spans="2:17" ht="13">
      <c r="B362" s="396"/>
      <c r="C362" s="116"/>
      <c r="D362" s="116"/>
      <c r="E362" s="116"/>
      <c r="F362" s="116"/>
      <c r="G362" s="332"/>
      <c r="H362" s="332"/>
      <c r="I362" s="332"/>
      <c r="J362" s="332"/>
      <c r="K362" s="332"/>
      <c r="L362" s="332"/>
      <c r="Q362" s="152"/>
    </row>
    <row r="363" spans="2:17" ht="13">
      <c r="B363" s="396"/>
      <c r="C363" s="116"/>
      <c r="D363" s="116"/>
      <c r="E363" s="116"/>
      <c r="F363" s="116"/>
      <c r="G363" s="332"/>
      <c r="H363" s="332"/>
      <c r="I363" s="332"/>
      <c r="J363" s="332"/>
      <c r="K363" s="332"/>
      <c r="L363" s="332"/>
      <c r="Q363" s="152"/>
    </row>
    <row r="364" spans="2:17" ht="13">
      <c r="B364" s="396"/>
      <c r="C364" s="116"/>
      <c r="D364" s="116"/>
      <c r="E364" s="116"/>
      <c r="F364" s="116"/>
      <c r="G364" s="332"/>
      <c r="H364" s="332"/>
      <c r="I364" s="332"/>
      <c r="J364" s="332"/>
      <c r="K364" s="332"/>
      <c r="L364" s="332"/>
      <c r="Q364" s="152"/>
    </row>
    <row r="365" spans="2:17" ht="13">
      <c r="B365" s="396"/>
      <c r="C365" s="116"/>
      <c r="D365" s="116"/>
      <c r="E365" s="116"/>
      <c r="F365" s="116"/>
      <c r="G365" s="332"/>
      <c r="H365" s="332"/>
      <c r="I365" s="332"/>
      <c r="J365" s="332"/>
      <c r="K365" s="332"/>
      <c r="L365" s="332"/>
      <c r="Q365" s="152"/>
    </row>
    <row r="366" spans="2:17" ht="13">
      <c r="B366" s="396"/>
      <c r="C366" s="116"/>
      <c r="D366" s="116"/>
      <c r="E366" s="116"/>
      <c r="F366" s="116"/>
      <c r="G366" s="332"/>
      <c r="H366" s="332"/>
      <c r="I366" s="332"/>
      <c r="J366" s="332"/>
      <c r="K366" s="332"/>
      <c r="L366" s="332"/>
      <c r="Q366" s="152"/>
    </row>
    <row r="367" spans="2:17" ht="13">
      <c r="B367" s="396"/>
      <c r="C367" s="116"/>
      <c r="D367" s="116"/>
      <c r="E367" s="116"/>
      <c r="F367" s="116"/>
      <c r="G367" s="332"/>
      <c r="H367" s="332"/>
      <c r="I367" s="332"/>
      <c r="J367" s="332"/>
      <c r="K367" s="332"/>
      <c r="L367" s="332"/>
      <c r="Q367" s="152"/>
    </row>
    <row r="368" spans="2:17" ht="13">
      <c r="B368" s="396"/>
      <c r="C368" s="116"/>
      <c r="D368" s="116"/>
      <c r="E368" s="116"/>
      <c r="F368" s="116"/>
      <c r="G368" s="332"/>
      <c r="H368" s="332"/>
      <c r="I368" s="332"/>
      <c r="J368" s="332"/>
      <c r="K368" s="332"/>
      <c r="L368" s="332"/>
      <c r="Q368" s="152"/>
    </row>
    <row r="369" spans="2:17" ht="13">
      <c r="B369" s="396"/>
      <c r="C369" s="116"/>
      <c r="D369" s="116"/>
      <c r="E369" s="116"/>
      <c r="F369" s="116"/>
      <c r="G369" s="332"/>
      <c r="H369" s="332"/>
      <c r="I369" s="332"/>
      <c r="J369" s="332"/>
      <c r="K369" s="332"/>
      <c r="L369" s="332"/>
      <c r="Q369" s="152"/>
    </row>
    <row r="370" spans="2:17" ht="13">
      <c r="B370" s="396"/>
      <c r="C370" s="116"/>
      <c r="D370" s="116"/>
      <c r="E370" s="116"/>
      <c r="F370" s="116"/>
      <c r="G370" s="332"/>
      <c r="H370" s="332"/>
      <c r="I370" s="332"/>
      <c r="J370" s="332"/>
      <c r="K370" s="332"/>
      <c r="L370" s="332"/>
      <c r="Q370" s="152"/>
    </row>
    <row r="371" spans="2:17" ht="13">
      <c r="B371" s="396"/>
      <c r="C371" s="116"/>
      <c r="D371" s="116"/>
      <c r="E371" s="116"/>
      <c r="F371" s="116"/>
      <c r="G371" s="332"/>
      <c r="H371" s="332"/>
      <c r="I371" s="332"/>
      <c r="J371" s="332"/>
      <c r="K371" s="332"/>
      <c r="L371" s="332"/>
      <c r="Q371" s="152"/>
    </row>
    <row r="372" spans="2:17" ht="13">
      <c r="B372" s="396"/>
      <c r="C372" s="116"/>
      <c r="D372" s="116"/>
      <c r="E372" s="116"/>
      <c r="F372" s="116"/>
      <c r="G372" s="332"/>
      <c r="H372" s="332"/>
      <c r="I372" s="332"/>
      <c r="J372" s="332"/>
      <c r="K372" s="332"/>
      <c r="L372" s="332"/>
      <c r="Q372" s="152"/>
    </row>
    <row r="373" spans="2:17" ht="13">
      <c r="B373" s="396"/>
      <c r="C373" s="116"/>
      <c r="D373" s="116"/>
      <c r="E373" s="116"/>
      <c r="F373" s="116"/>
      <c r="G373" s="332"/>
      <c r="H373" s="332"/>
      <c r="I373" s="332"/>
      <c r="J373" s="332"/>
      <c r="K373" s="332"/>
      <c r="L373" s="332"/>
      <c r="Q373" s="152"/>
    </row>
    <row r="374" spans="2:17" ht="13">
      <c r="B374" s="396"/>
      <c r="C374" s="116"/>
      <c r="D374" s="116"/>
      <c r="E374" s="116"/>
      <c r="F374" s="116"/>
      <c r="G374" s="332"/>
      <c r="H374" s="332"/>
      <c r="I374" s="332"/>
      <c r="J374" s="332"/>
      <c r="K374" s="332"/>
      <c r="L374" s="332"/>
      <c r="Q374" s="152"/>
    </row>
    <row r="375" spans="2:17" ht="13">
      <c r="B375" s="396"/>
      <c r="C375" s="116"/>
      <c r="D375" s="116"/>
      <c r="E375" s="116"/>
      <c r="F375" s="116"/>
      <c r="G375" s="332"/>
      <c r="H375" s="332"/>
      <c r="I375" s="332"/>
      <c r="J375" s="332"/>
      <c r="K375" s="332"/>
      <c r="L375" s="332"/>
      <c r="Q375" s="152"/>
    </row>
    <row r="376" spans="2:17" ht="13">
      <c r="B376" s="396"/>
      <c r="C376" s="116"/>
      <c r="D376" s="116"/>
      <c r="E376" s="116"/>
      <c r="F376" s="116"/>
      <c r="G376" s="332"/>
      <c r="H376" s="332"/>
      <c r="I376" s="332"/>
      <c r="J376" s="332"/>
      <c r="K376" s="332"/>
      <c r="L376" s="332"/>
      <c r="Q376" s="152"/>
    </row>
    <row r="377" spans="2:17" ht="13">
      <c r="B377" s="396"/>
      <c r="C377" s="116"/>
      <c r="D377" s="116"/>
      <c r="E377" s="116"/>
      <c r="F377" s="116"/>
      <c r="G377" s="332"/>
      <c r="H377" s="332"/>
      <c r="I377" s="332"/>
      <c r="J377" s="332"/>
      <c r="K377" s="332"/>
      <c r="L377" s="332"/>
      <c r="Q377" s="152"/>
    </row>
    <row r="378" spans="2:17" ht="13">
      <c r="B378" s="396"/>
      <c r="C378" s="116"/>
      <c r="D378" s="116"/>
      <c r="E378" s="116"/>
      <c r="F378" s="116"/>
      <c r="G378" s="332"/>
      <c r="H378" s="332"/>
      <c r="I378" s="332"/>
      <c r="J378" s="332"/>
      <c r="K378" s="332"/>
      <c r="L378" s="332"/>
      <c r="Q378" s="152"/>
    </row>
    <row r="379" spans="2:17" ht="13">
      <c r="B379" s="396"/>
      <c r="C379" s="116"/>
      <c r="D379" s="116"/>
      <c r="E379" s="116"/>
      <c r="F379" s="116"/>
      <c r="G379" s="332"/>
      <c r="H379" s="332"/>
      <c r="I379" s="332"/>
      <c r="J379" s="332"/>
      <c r="K379" s="332"/>
      <c r="L379" s="332"/>
      <c r="Q379" s="152"/>
    </row>
    <row r="380" spans="2:17" ht="13">
      <c r="B380" s="396"/>
      <c r="C380" s="116"/>
      <c r="D380" s="116"/>
      <c r="E380" s="116"/>
      <c r="F380" s="116"/>
      <c r="G380" s="332"/>
      <c r="H380" s="332"/>
      <c r="I380" s="332"/>
      <c r="J380" s="332"/>
      <c r="K380" s="332"/>
      <c r="L380" s="332"/>
      <c r="Q380" s="152"/>
    </row>
    <row r="381" spans="2:17" ht="13">
      <c r="B381" s="396"/>
      <c r="C381" s="116"/>
      <c r="D381" s="116"/>
      <c r="E381" s="116"/>
      <c r="F381" s="116"/>
      <c r="G381" s="332"/>
      <c r="H381" s="332"/>
      <c r="I381" s="332"/>
      <c r="J381" s="332"/>
      <c r="K381" s="332"/>
      <c r="L381" s="332"/>
      <c r="Q381" s="152"/>
    </row>
    <row r="382" spans="2:17" ht="13">
      <c r="B382" s="396"/>
      <c r="C382" s="116"/>
      <c r="D382" s="116"/>
      <c r="E382" s="116"/>
      <c r="F382" s="116"/>
      <c r="G382" s="332"/>
      <c r="H382" s="332"/>
      <c r="I382" s="332"/>
      <c r="J382" s="332"/>
      <c r="K382" s="332"/>
      <c r="L382" s="332"/>
      <c r="Q382" s="152"/>
    </row>
    <row r="383" spans="2:17" ht="13">
      <c r="B383" s="396"/>
      <c r="C383" s="116"/>
      <c r="D383" s="116"/>
      <c r="E383" s="116"/>
      <c r="F383" s="116"/>
      <c r="G383" s="332"/>
      <c r="H383" s="332"/>
      <c r="I383" s="332"/>
      <c r="J383" s="332"/>
      <c r="K383" s="332"/>
      <c r="L383" s="332"/>
      <c r="Q383" s="152"/>
    </row>
    <row r="384" spans="2:17" ht="13">
      <c r="B384" s="396"/>
      <c r="C384" s="116"/>
      <c r="D384" s="116"/>
      <c r="E384" s="116"/>
      <c r="F384" s="116"/>
      <c r="G384" s="332"/>
      <c r="H384" s="332"/>
      <c r="I384" s="332"/>
      <c r="J384" s="332"/>
      <c r="K384" s="332"/>
      <c r="L384" s="332"/>
      <c r="Q384" s="152"/>
    </row>
    <row r="385" spans="2:17" ht="13">
      <c r="B385" s="396"/>
      <c r="C385" s="116"/>
      <c r="D385" s="116"/>
      <c r="E385" s="116"/>
      <c r="F385" s="116"/>
      <c r="G385" s="332"/>
      <c r="H385" s="332"/>
      <c r="I385" s="332"/>
      <c r="J385" s="332"/>
      <c r="K385" s="332"/>
      <c r="L385" s="332"/>
      <c r="Q385" s="152"/>
    </row>
    <row r="386" spans="2:17" ht="13">
      <c r="B386" s="396"/>
      <c r="C386" s="116"/>
      <c r="D386" s="116"/>
      <c r="E386" s="116"/>
      <c r="F386" s="116"/>
      <c r="G386" s="332"/>
      <c r="H386" s="332"/>
      <c r="I386" s="332"/>
      <c r="J386" s="332"/>
      <c r="K386" s="332"/>
      <c r="L386" s="332"/>
      <c r="Q386" s="152"/>
    </row>
    <row r="387" spans="2:17" ht="13">
      <c r="B387" s="396"/>
      <c r="C387" s="116"/>
      <c r="D387" s="116"/>
      <c r="E387" s="116"/>
      <c r="F387" s="116"/>
      <c r="G387" s="332"/>
      <c r="H387" s="332"/>
      <c r="I387" s="332"/>
      <c r="J387" s="332"/>
      <c r="K387" s="332"/>
      <c r="L387" s="332"/>
      <c r="Q387" s="152"/>
    </row>
    <row r="388" spans="2:17" ht="13">
      <c r="B388" s="396"/>
      <c r="C388" s="116"/>
      <c r="D388" s="116"/>
      <c r="E388" s="116"/>
      <c r="F388" s="116"/>
      <c r="G388" s="332"/>
      <c r="H388" s="332"/>
      <c r="I388" s="332"/>
      <c r="J388" s="332"/>
      <c r="K388" s="332"/>
      <c r="L388" s="332"/>
      <c r="Q388" s="152"/>
    </row>
    <row r="389" spans="2:17" ht="13">
      <c r="B389" s="396"/>
      <c r="C389" s="116"/>
      <c r="D389" s="116"/>
      <c r="E389" s="116"/>
      <c r="F389" s="116"/>
      <c r="G389" s="332"/>
      <c r="H389" s="332"/>
      <c r="I389" s="332"/>
      <c r="J389" s="332"/>
      <c r="K389" s="332"/>
      <c r="L389" s="332"/>
      <c r="Q389" s="152"/>
    </row>
    <row r="390" spans="2:17" ht="13">
      <c r="B390" s="396"/>
      <c r="C390" s="116"/>
      <c r="D390" s="116"/>
      <c r="E390" s="116"/>
      <c r="F390" s="116"/>
      <c r="G390" s="332"/>
      <c r="H390" s="332"/>
      <c r="I390" s="332"/>
      <c r="J390" s="332"/>
      <c r="K390" s="332"/>
      <c r="L390" s="332"/>
      <c r="Q390" s="152"/>
    </row>
    <row r="391" spans="2:17" ht="13">
      <c r="B391" s="396"/>
      <c r="C391" s="116"/>
      <c r="D391" s="116"/>
      <c r="E391" s="116"/>
      <c r="F391" s="116"/>
      <c r="G391" s="332"/>
      <c r="H391" s="332"/>
      <c r="I391" s="332"/>
      <c r="J391" s="332"/>
      <c r="K391" s="332"/>
      <c r="L391" s="332"/>
      <c r="Q391" s="152"/>
    </row>
    <row r="392" spans="2:17" ht="13">
      <c r="B392" s="396"/>
      <c r="C392" s="116"/>
      <c r="D392" s="116"/>
      <c r="E392" s="116"/>
      <c r="F392" s="116"/>
      <c r="G392" s="332"/>
      <c r="H392" s="332"/>
      <c r="I392" s="332"/>
      <c r="J392" s="332"/>
      <c r="K392" s="332"/>
      <c r="L392" s="332"/>
      <c r="Q392" s="152"/>
    </row>
    <row r="393" spans="2:17" ht="13">
      <c r="B393" s="396"/>
      <c r="C393" s="116"/>
      <c r="D393" s="116"/>
      <c r="E393" s="116"/>
      <c r="F393" s="116"/>
      <c r="G393" s="332"/>
      <c r="H393" s="332"/>
      <c r="I393" s="332"/>
      <c r="J393" s="332"/>
      <c r="K393" s="332"/>
      <c r="L393" s="332"/>
      <c r="Q393" s="152"/>
    </row>
    <row r="394" spans="2:17" ht="13">
      <c r="B394" s="396"/>
      <c r="C394" s="116"/>
      <c r="D394" s="116"/>
      <c r="E394" s="116"/>
      <c r="F394" s="116"/>
      <c r="G394" s="332"/>
      <c r="H394" s="332"/>
      <c r="I394" s="332"/>
      <c r="J394" s="332"/>
      <c r="K394" s="332"/>
      <c r="L394" s="332"/>
      <c r="Q394" s="152"/>
    </row>
    <row r="395" spans="2:17" ht="13">
      <c r="B395" s="396"/>
      <c r="C395" s="116"/>
      <c r="D395" s="116"/>
      <c r="E395" s="116"/>
      <c r="F395" s="116"/>
      <c r="G395" s="332"/>
      <c r="H395" s="332"/>
      <c r="I395" s="332"/>
      <c r="J395" s="332"/>
      <c r="K395" s="332"/>
      <c r="L395" s="332"/>
      <c r="Q395" s="152"/>
    </row>
    <row r="396" spans="2:17" ht="13">
      <c r="B396" s="396"/>
      <c r="C396" s="116"/>
      <c r="D396" s="116"/>
      <c r="E396" s="116"/>
      <c r="F396" s="116"/>
      <c r="G396" s="332"/>
      <c r="H396" s="332"/>
      <c r="I396" s="332"/>
      <c r="J396" s="332"/>
      <c r="K396" s="332"/>
      <c r="L396" s="332"/>
      <c r="Q396" s="152"/>
    </row>
    <row r="397" spans="2:17" ht="13">
      <c r="B397" s="396"/>
      <c r="C397" s="116"/>
      <c r="D397" s="116"/>
      <c r="E397" s="116"/>
      <c r="F397" s="116"/>
      <c r="G397" s="332"/>
      <c r="H397" s="332"/>
      <c r="I397" s="332"/>
      <c r="J397" s="332"/>
      <c r="K397" s="332"/>
      <c r="L397" s="332"/>
      <c r="Q397" s="152"/>
    </row>
    <row r="398" spans="2:17" ht="13">
      <c r="B398" s="396"/>
      <c r="C398" s="116"/>
      <c r="D398" s="116"/>
      <c r="E398" s="116"/>
      <c r="F398" s="116"/>
      <c r="G398" s="332"/>
      <c r="H398" s="332"/>
      <c r="I398" s="332"/>
      <c r="J398" s="332"/>
      <c r="K398" s="332"/>
      <c r="L398" s="332"/>
      <c r="Q398" s="152"/>
    </row>
    <row r="399" spans="2:17" ht="13">
      <c r="B399" s="396"/>
      <c r="C399" s="116"/>
      <c r="D399" s="116"/>
      <c r="E399" s="116"/>
      <c r="F399" s="116"/>
      <c r="G399" s="332"/>
      <c r="H399" s="332"/>
      <c r="I399" s="332"/>
      <c r="J399" s="332"/>
      <c r="K399" s="332"/>
      <c r="L399" s="332"/>
      <c r="Q399" s="152"/>
    </row>
    <row r="400" spans="2:17" ht="13">
      <c r="B400" s="396"/>
      <c r="C400" s="116"/>
      <c r="D400" s="116"/>
      <c r="E400" s="116"/>
      <c r="F400" s="116"/>
      <c r="G400" s="332"/>
      <c r="H400" s="332"/>
      <c r="I400" s="332"/>
      <c r="J400" s="332"/>
      <c r="K400" s="332"/>
      <c r="L400" s="332"/>
      <c r="Q400" s="152"/>
    </row>
    <row r="401" spans="2:17" ht="13">
      <c r="B401" s="396"/>
      <c r="C401" s="116"/>
      <c r="D401" s="116"/>
      <c r="E401" s="116"/>
      <c r="F401" s="116"/>
      <c r="G401" s="332"/>
      <c r="H401" s="332"/>
      <c r="I401" s="332"/>
      <c r="J401" s="332"/>
      <c r="K401" s="332"/>
      <c r="L401" s="332"/>
      <c r="Q401" s="152"/>
    </row>
    <row r="402" spans="2:17" ht="13">
      <c r="B402" s="396"/>
      <c r="C402" s="116"/>
      <c r="D402" s="116"/>
      <c r="E402" s="116"/>
      <c r="F402" s="116"/>
      <c r="G402" s="332"/>
      <c r="H402" s="332"/>
      <c r="I402" s="332"/>
      <c r="J402" s="332"/>
      <c r="K402" s="332"/>
      <c r="L402" s="332"/>
      <c r="Q402" s="152"/>
    </row>
    <row r="403" spans="2:17" ht="13">
      <c r="B403" s="396"/>
      <c r="C403" s="116"/>
      <c r="D403" s="116"/>
      <c r="E403" s="116"/>
      <c r="F403" s="116"/>
      <c r="G403" s="332"/>
      <c r="H403" s="332"/>
      <c r="I403" s="332"/>
      <c r="J403" s="332"/>
      <c r="K403" s="332"/>
      <c r="L403" s="332"/>
      <c r="Q403" s="152"/>
    </row>
    <row r="404" spans="2:17" ht="13">
      <c r="B404" s="396"/>
      <c r="C404" s="116"/>
      <c r="D404" s="116"/>
      <c r="E404" s="116"/>
      <c r="F404" s="116"/>
      <c r="G404" s="332"/>
      <c r="H404" s="332"/>
      <c r="I404" s="332"/>
      <c r="J404" s="332"/>
      <c r="K404" s="332"/>
      <c r="L404" s="332"/>
      <c r="Q404" s="152"/>
    </row>
    <row r="405" spans="2:17" ht="13">
      <c r="B405" s="396"/>
      <c r="C405" s="116"/>
      <c r="D405" s="116"/>
      <c r="E405" s="116"/>
      <c r="F405" s="116"/>
      <c r="G405" s="332"/>
      <c r="H405" s="332"/>
      <c r="I405" s="332"/>
      <c r="J405" s="332"/>
      <c r="K405" s="332"/>
      <c r="L405" s="332"/>
      <c r="Q405" s="152"/>
    </row>
    <row r="406" spans="2:17" ht="13">
      <c r="B406" s="396"/>
      <c r="C406" s="116"/>
      <c r="D406" s="116"/>
      <c r="E406" s="116"/>
      <c r="F406" s="116"/>
      <c r="G406" s="332"/>
      <c r="H406" s="332"/>
      <c r="I406" s="332"/>
      <c r="J406" s="332"/>
      <c r="K406" s="332"/>
      <c r="L406" s="332"/>
      <c r="Q406" s="152"/>
    </row>
    <row r="407" spans="2:17" ht="13">
      <c r="B407" s="396"/>
      <c r="C407" s="116"/>
      <c r="D407" s="116"/>
      <c r="E407" s="116"/>
      <c r="F407" s="116"/>
      <c r="G407" s="332"/>
      <c r="H407" s="332"/>
      <c r="I407" s="332"/>
      <c r="J407" s="332"/>
      <c r="K407" s="332"/>
      <c r="L407" s="332"/>
      <c r="Q407" s="152"/>
    </row>
    <row r="408" spans="2:17" ht="13">
      <c r="B408" s="396"/>
      <c r="C408" s="116"/>
      <c r="D408" s="116"/>
      <c r="E408" s="116"/>
      <c r="F408" s="116"/>
      <c r="G408" s="332"/>
      <c r="H408" s="332"/>
      <c r="I408" s="332"/>
      <c r="J408" s="332"/>
      <c r="K408" s="332"/>
      <c r="L408" s="332"/>
      <c r="Q408" s="152"/>
    </row>
    <row r="409" spans="2:17" ht="13">
      <c r="B409" s="396"/>
      <c r="C409" s="116"/>
      <c r="D409" s="116"/>
      <c r="E409" s="116"/>
      <c r="F409" s="116"/>
      <c r="G409" s="332"/>
      <c r="H409" s="332"/>
      <c r="I409" s="332"/>
      <c r="J409" s="332"/>
      <c r="K409" s="332"/>
      <c r="L409" s="332"/>
      <c r="Q409" s="152"/>
    </row>
    <row r="410" spans="2:17" ht="13">
      <c r="B410" s="396"/>
      <c r="C410" s="116"/>
      <c r="D410" s="116"/>
      <c r="E410" s="116"/>
      <c r="F410" s="116"/>
      <c r="G410" s="332"/>
      <c r="H410" s="332"/>
      <c r="I410" s="332"/>
      <c r="J410" s="332"/>
      <c r="K410" s="332"/>
      <c r="L410" s="332"/>
      <c r="Q410" s="152"/>
    </row>
    <row r="411" spans="2:17" ht="13">
      <c r="B411" s="396"/>
      <c r="C411" s="116"/>
      <c r="D411" s="116"/>
      <c r="E411" s="116"/>
      <c r="F411" s="116"/>
      <c r="G411" s="332"/>
      <c r="H411" s="332"/>
      <c r="I411" s="332"/>
      <c r="J411" s="332"/>
      <c r="K411" s="332"/>
      <c r="L411" s="332"/>
      <c r="Q411" s="152"/>
    </row>
    <row r="412" spans="2:17" ht="13">
      <c r="B412" s="396"/>
      <c r="C412" s="116"/>
      <c r="D412" s="116"/>
      <c r="E412" s="116"/>
      <c r="F412" s="116"/>
      <c r="G412" s="332"/>
      <c r="H412" s="332"/>
      <c r="I412" s="332"/>
      <c r="J412" s="332"/>
      <c r="K412" s="332"/>
      <c r="L412" s="332"/>
      <c r="Q412" s="152"/>
    </row>
    <row r="413" spans="2:17" ht="13">
      <c r="B413" s="396"/>
      <c r="C413" s="116"/>
      <c r="D413" s="116"/>
      <c r="E413" s="116"/>
      <c r="F413" s="116"/>
      <c r="G413" s="332"/>
      <c r="H413" s="332"/>
      <c r="I413" s="332"/>
      <c r="J413" s="332"/>
      <c r="K413" s="332"/>
      <c r="L413" s="332"/>
      <c r="Q413" s="152"/>
    </row>
    <row r="414" spans="2:17" ht="13">
      <c r="B414" s="396"/>
      <c r="C414" s="116"/>
      <c r="D414" s="116"/>
      <c r="E414" s="116"/>
      <c r="F414" s="116"/>
      <c r="G414" s="332"/>
      <c r="H414" s="332"/>
      <c r="I414" s="332"/>
      <c r="J414" s="332"/>
      <c r="K414" s="332"/>
      <c r="L414" s="332"/>
      <c r="Q414" s="152"/>
    </row>
    <row r="415" spans="2:17" ht="13">
      <c r="B415" s="396"/>
      <c r="C415" s="116"/>
      <c r="D415" s="116"/>
      <c r="E415" s="116"/>
      <c r="F415" s="116"/>
      <c r="G415" s="332"/>
      <c r="H415" s="332"/>
      <c r="I415" s="332"/>
      <c r="J415" s="332"/>
      <c r="K415" s="332"/>
      <c r="L415" s="332"/>
      <c r="Q415" s="152"/>
    </row>
    <row r="416" spans="2:17" ht="13">
      <c r="B416" s="396"/>
      <c r="C416" s="116"/>
      <c r="D416" s="116"/>
      <c r="E416" s="116"/>
      <c r="F416" s="116"/>
      <c r="G416" s="332"/>
      <c r="H416" s="332"/>
      <c r="I416" s="332"/>
      <c r="J416" s="332"/>
      <c r="K416" s="332"/>
      <c r="L416" s="332"/>
      <c r="Q416" s="152"/>
    </row>
    <row r="417" spans="2:17" ht="13">
      <c r="B417" s="396"/>
      <c r="C417" s="116"/>
      <c r="D417" s="116"/>
      <c r="E417" s="116"/>
      <c r="F417" s="116"/>
      <c r="G417" s="332"/>
      <c r="H417" s="332"/>
      <c r="I417" s="332"/>
      <c r="J417" s="332"/>
      <c r="K417" s="332"/>
      <c r="L417" s="332"/>
      <c r="Q417" s="152"/>
    </row>
    <row r="418" spans="2:17" ht="13">
      <c r="B418" s="396"/>
      <c r="C418" s="116"/>
      <c r="D418" s="116"/>
      <c r="E418" s="116"/>
      <c r="F418" s="116"/>
      <c r="G418" s="332"/>
      <c r="H418" s="332"/>
      <c r="I418" s="332"/>
      <c r="J418" s="332"/>
      <c r="K418" s="332"/>
      <c r="L418" s="332"/>
      <c r="Q418" s="152"/>
    </row>
    <row r="419" spans="2:17" ht="13">
      <c r="B419" s="396"/>
      <c r="C419" s="116"/>
      <c r="D419" s="116"/>
      <c r="E419" s="116"/>
      <c r="F419" s="116"/>
      <c r="G419" s="332"/>
      <c r="H419" s="332"/>
      <c r="I419" s="332"/>
      <c r="J419" s="332"/>
      <c r="K419" s="332"/>
      <c r="L419" s="332"/>
      <c r="Q419" s="152"/>
    </row>
    <row r="420" spans="2:17" ht="13">
      <c r="B420" s="396"/>
      <c r="C420" s="116"/>
      <c r="D420" s="116"/>
      <c r="E420" s="116"/>
      <c r="F420" s="116"/>
      <c r="G420" s="332"/>
      <c r="H420" s="332"/>
      <c r="I420" s="332"/>
      <c r="J420" s="332"/>
      <c r="K420" s="332"/>
      <c r="L420" s="332"/>
      <c r="Q420" s="152"/>
    </row>
    <row r="421" spans="2:17" ht="13">
      <c r="B421" s="396"/>
      <c r="C421" s="116"/>
      <c r="D421" s="116"/>
      <c r="E421" s="116"/>
      <c r="F421" s="116"/>
      <c r="G421" s="332"/>
      <c r="H421" s="332"/>
      <c r="I421" s="332"/>
      <c r="J421" s="332"/>
      <c r="K421" s="332"/>
      <c r="L421" s="332"/>
      <c r="Q421" s="152"/>
    </row>
    <row r="422" spans="2:17" ht="13">
      <c r="B422" s="396"/>
      <c r="C422" s="116"/>
      <c r="D422" s="116"/>
      <c r="E422" s="116"/>
      <c r="F422" s="116"/>
      <c r="G422" s="332"/>
      <c r="H422" s="332"/>
      <c r="I422" s="332"/>
      <c r="J422" s="332"/>
      <c r="K422" s="332"/>
      <c r="L422" s="332"/>
      <c r="Q422" s="152"/>
    </row>
    <row r="423" spans="2:17" ht="13">
      <c r="B423" s="396"/>
      <c r="C423" s="116"/>
      <c r="D423" s="116"/>
      <c r="E423" s="116"/>
      <c r="F423" s="116"/>
      <c r="G423" s="332"/>
      <c r="H423" s="332"/>
      <c r="I423" s="332"/>
      <c r="J423" s="332"/>
      <c r="K423" s="332"/>
      <c r="L423" s="332"/>
      <c r="Q423" s="152"/>
    </row>
    <row r="424" spans="2:17" ht="13">
      <c r="B424" s="396"/>
      <c r="C424" s="116"/>
      <c r="D424" s="116"/>
      <c r="E424" s="116"/>
      <c r="F424" s="116"/>
      <c r="G424" s="332"/>
      <c r="H424" s="332"/>
      <c r="I424" s="332"/>
      <c r="J424" s="332"/>
      <c r="K424" s="332"/>
      <c r="L424" s="332"/>
      <c r="Q424" s="152"/>
    </row>
    <row r="425" spans="2:17" ht="13">
      <c r="B425" s="396"/>
      <c r="C425" s="116"/>
      <c r="D425" s="116"/>
      <c r="E425" s="116"/>
      <c r="F425" s="116"/>
      <c r="G425" s="332"/>
      <c r="H425" s="332"/>
      <c r="I425" s="332"/>
      <c r="J425" s="332"/>
      <c r="K425" s="332"/>
      <c r="L425" s="332"/>
      <c r="Q425" s="152"/>
    </row>
    <row r="426" spans="2:17" ht="13">
      <c r="B426" s="396"/>
      <c r="C426" s="116"/>
      <c r="D426" s="116"/>
      <c r="E426" s="116"/>
      <c r="F426" s="116"/>
      <c r="G426" s="332"/>
      <c r="H426" s="332"/>
      <c r="I426" s="332"/>
      <c r="J426" s="332"/>
      <c r="K426" s="332"/>
      <c r="L426" s="332"/>
      <c r="Q426" s="152"/>
    </row>
    <row r="427" spans="2:17" ht="13">
      <c r="B427" s="396"/>
      <c r="C427" s="116"/>
      <c r="D427" s="116"/>
      <c r="E427" s="116"/>
      <c r="F427" s="116"/>
      <c r="G427" s="332"/>
      <c r="H427" s="332"/>
      <c r="I427" s="332"/>
      <c r="J427" s="332"/>
      <c r="K427" s="332"/>
      <c r="L427" s="332"/>
      <c r="Q427" s="152"/>
    </row>
    <row r="428" spans="2:17" ht="13">
      <c r="B428" s="396"/>
      <c r="C428" s="116"/>
      <c r="D428" s="116"/>
      <c r="E428" s="116"/>
      <c r="F428" s="116"/>
      <c r="G428" s="332"/>
      <c r="H428" s="332"/>
      <c r="I428" s="332"/>
      <c r="J428" s="332"/>
      <c r="K428" s="332"/>
      <c r="L428" s="332"/>
      <c r="Q428" s="152"/>
    </row>
    <row r="429" spans="2:17" ht="13">
      <c r="B429" s="396"/>
      <c r="C429" s="116"/>
      <c r="D429" s="116"/>
      <c r="E429" s="116"/>
      <c r="F429" s="116"/>
      <c r="G429" s="332"/>
      <c r="H429" s="332"/>
      <c r="I429" s="332"/>
      <c r="J429" s="332"/>
      <c r="K429" s="332"/>
      <c r="L429" s="332"/>
      <c r="Q429" s="152"/>
    </row>
    <row r="430" spans="2:17" ht="13">
      <c r="B430" s="396"/>
      <c r="C430" s="116"/>
      <c r="D430" s="116"/>
      <c r="E430" s="116"/>
      <c r="F430" s="116"/>
      <c r="G430" s="332"/>
      <c r="H430" s="332"/>
      <c r="I430" s="332"/>
      <c r="J430" s="332"/>
      <c r="K430" s="332"/>
      <c r="L430" s="332"/>
      <c r="Q430" s="152"/>
    </row>
    <row r="431" spans="2:17" ht="13">
      <c r="B431" s="396"/>
      <c r="C431" s="116"/>
      <c r="D431" s="116"/>
      <c r="E431" s="116"/>
      <c r="F431" s="116"/>
      <c r="G431" s="332"/>
      <c r="H431" s="332"/>
      <c r="I431" s="332"/>
      <c r="J431" s="332"/>
      <c r="K431" s="332"/>
      <c r="L431" s="332"/>
      <c r="Q431" s="152"/>
    </row>
    <row r="432" spans="2:17" ht="13">
      <c r="B432" s="396"/>
      <c r="C432" s="116"/>
      <c r="D432" s="116"/>
      <c r="E432" s="116"/>
      <c r="F432" s="116"/>
      <c r="G432" s="332"/>
      <c r="H432" s="332"/>
      <c r="I432" s="332"/>
      <c r="J432" s="332"/>
      <c r="K432" s="332"/>
      <c r="L432" s="332"/>
      <c r="Q432" s="152"/>
    </row>
    <row r="433" spans="2:17" ht="13">
      <c r="B433" s="396"/>
      <c r="C433" s="116"/>
      <c r="D433" s="116"/>
      <c r="E433" s="116"/>
      <c r="F433" s="116"/>
      <c r="G433" s="332"/>
      <c r="H433" s="332"/>
      <c r="I433" s="332"/>
      <c r="J433" s="332"/>
      <c r="K433" s="332"/>
      <c r="L433" s="332"/>
      <c r="Q433" s="152"/>
    </row>
    <row r="434" spans="2:17" ht="13">
      <c r="B434" s="396"/>
      <c r="C434" s="116"/>
      <c r="D434" s="116"/>
      <c r="E434" s="116"/>
      <c r="F434" s="116"/>
      <c r="G434" s="332"/>
      <c r="H434" s="332"/>
      <c r="I434" s="332"/>
      <c r="J434" s="332"/>
      <c r="K434" s="332"/>
      <c r="L434" s="332"/>
      <c r="Q434" s="152"/>
    </row>
    <row r="435" spans="2:17" ht="13">
      <c r="B435" s="396"/>
      <c r="C435" s="116"/>
      <c r="D435" s="116"/>
      <c r="E435" s="116"/>
      <c r="F435" s="116"/>
      <c r="G435" s="332"/>
      <c r="H435" s="332"/>
      <c r="I435" s="332"/>
      <c r="J435" s="332"/>
      <c r="K435" s="332"/>
      <c r="L435" s="332"/>
      <c r="Q435" s="152"/>
    </row>
    <row r="436" spans="2:17" ht="13">
      <c r="B436" s="396"/>
      <c r="C436" s="116"/>
      <c r="D436" s="116"/>
      <c r="E436" s="116"/>
      <c r="F436" s="116"/>
      <c r="G436" s="332"/>
      <c r="H436" s="332"/>
      <c r="I436" s="332"/>
      <c r="J436" s="332"/>
      <c r="K436" s="332"/>
      <c r="L436" s="332"/>
      <c r="Q436" s="152"/>
    </row>
    <row r="437" spans="2:17" ht="13">
      <c r="B437" s="396"/>
      <c r="C437" s="116"/>
      <c r="D437" s="116"/>
      <c r="E437" s="116"/>
      <c r="F437" s="116"/>
      <c r="G437" s="332"/>
      <c r="H437" s="332"/>
      <c r="I437" s="332"/>
      <c r="J437" s="332"/>
      <c r="K437" s="332"/>
      <c r="L437" s="332"/>
      <c r="Q437" s="152"/>
    </row>
    <row r="438" spans="2:17" ht="13">
      <c r="B438" s="396"/>
      <c r="C438" s="116"/>
      <c r="D438" s="116"/>
      <c r="E438" s="116"/>
      <c r="F438" s="116"/>
      <c r="G438" s="332"/>
      <c r="H438" s="332"/>
      <c r="I438" s="332"/>
      <c r="J438" s="332"/>
      <c r="K438" s="332"/>
      <c r="L438" s="332"/>
      <c r="Q438" s="152"/>
    </row>
    <row r="439" spans="2:17" ht="13">
      <c r="B439" s="396"/>
      <c r="C439" s="116"/>
      <c r="D439" s="116"/>
      <c r="E439" s="116"/>
      <c r="F439" s="116"/>
      <c r="G439" s="332"/>
      <c r="H439" s="332"/>
      <c r="I439" s="332"/>
      <c r="J439" s="332"/>
      <c r="K439" s="332"/>
      <c r="L439" s="332"/>
      <c r="Q439" s="152"/>
    </row>
    <row r="440" spans="2:17" ht="13">
      <c r="B440" s="396"/>
      <c r="C440" s="116"/>
      <c r="D440" s="116"/>
      <c r="E440" s="116"/>
      <c r="F440" s="116"/>
      <c r="G440" s="332"/>
      <c r="H440" s="332"/>
      <c r="I440" s="332"/>
      <c r="J440" s="332"/>
      <c r="K440" s="332"/>
      <c r="L440" s="332"/>
      <c r="Q440" s="152"/>
    </row>
    <row r="441" spans="2:17" ht="13">
      <c r="B441" s="396"/>
      <c r="C441" s="116"/>
      <c r="D441" s="116"/>
      <c r="E441" s="116"/>
      <c r="F441" s="116"/>
      <c r="G441" s="332"/>
      <c r="H441" s="332"/>
      <c r="I441" s="332"/>
      <c r="J441" s="332"/>
      <c r="K441" s="332"/>
      <c r="L441" s="332"/>
      <c r="Q441" s="152"/>
    </row>
    <row r="442" spans="2:17" ht="13">
      <c r="B442" s="396"/>
      <c r="C442" s="116"/>
      <c r="D442" s="116"/>
      <c r="E442" s="116"/>
      <c r="F442" s="116"/>
      <c r="G442" s="332"/>
      <c r="H442" s="332"/>
      <c r="I442" s="332"/>
      <c r="J442" s="332"/>
      <c r="K442" s="332"/>
      <c r="L442" s="332"/>
      <c r="Q442" s="152"/>
    </row>
    <row r="443" spans="2:17" ht="13">
      <c r="B443" s="396"/>
      <c r="C443" s="116"/>
      <c r="D443" s="116"/>
      <c r="E443" s="116"/>
      <c r="F443" s="116"/>
      <c r="G443" s="332"/>
      <c r="H443" s="332"/>
      <c r="I443" s="332"/>
      <c r="J443" s="332"/>
      <c r="K443" s="332"/>
      <c r="L443" s="332"/>
      <c r="Q443" s="152"/>
    </row>
    <row r="444" spans="2:17" ht="13">
      <c r="B444" s="396"/>
      <c r="C444" s="116"/>
      <c r="D444" s="116"/>
      <c r="E444" s="116"/>
      <c r="F444" s="116"/>
      <c r="G444" s="332"/>
      <c r="H444" s="332"/>
      <c r="I444" s="332"/>
      <c r="J444" s="332"/>
      <c r="K444" s="332"/>
      <c r="L444" s="332"/>
      <c r="Q444" s="152"/>
    </row>
    <row r="445" spans="2:17" ht="13">
      <c r="B445" s="396"/>
      <c r="C445" s="116"/>
      <c r="D445" s="116"/>
      <c r="E445" s="116"/>
      <c r="F445" s="116"/>
      <c r="G445" s="332"/>
      <c r="H445" s="332"/>
      <c r="I445" s="332"/>
      <c r="J445" s="332"/>
      <c r="K445" s="332"/>
      <c r="L445" s="332"/>
      <c r="Q445" s="152"/>
    </row>
    <row r="446" spans="2:17" ht="13">
      <c r="B446" s="396"/>
      <c r="C446" s="116"/>
      <c r="D446" s="116"/>
      <c r="E446" s="116"/>
      <c r="F446" s="116"/>
      <c r="G446" s="332"/>
      <c r="H446" s="332"/>
      <c r="I446" s="332"/>
      <c r="J446" s="332"/>
      <c r="K446" s="332"/>
      <c r="L446" s="332"/>
      <c r="Q446" s="152"/>
    </row>
    <row r="447" spans="2:17" ht="13">
      <c r="B447" s="396"/>
      <c r="C447" s="116"/>
      <c r="D447" s="116"/>
      <c r="E447" s="116"/>
      <c r="F447" s="116"/>
      <c r="G447" s="332"/>
      <c r="H447" s="332"/>
      <c r="I447" s="332"/>
      <c r="J447" s="332"/>
      <c r="K447" s="332"/>
      <c r="L447" s="332"/>
      <c r="Q447" s="152"/>
    </row>
    <row r="448" spans="2:17" ht="13">
      <c r="B448" s="396"/>
      <c r="C448" s="116"/>
      <c r="D448" s="116"/>
      <c r="E448" s="116"/>
      <c r="F448" s="116"/>
      <c r="G448" s="332"/>
      <c r="H448" s="332"/>
      <c r="I448" s="332"/>
      <c r="J448" s="332"/>
      <c r="K448" s="332"/>
      <c r="L448" s="332"/>
      <c r="Q448" s="152"/>
    </row>
    <row r="449" spans="2:17" ht="13">
      <c r="B449" s="396"/>
      <c r="C449" s="116"/>
      <c r="D449" s="116"/>
      <c r="E449" s="116"/>
      <c r="F449" s="116"/>
      <c r="G449" s="332"/>
      <c r="H449" s="332"/>
      <c r="I449" s="332"/>
      <c r="J449" s="332"/>
      <c r="K449" s="332"/>
      <c r="L449" s="332"/>
      <c r="Q449" s="152"/>
    </row>
    <row r="450" spans="2:17" ht="13">
      <c r="B450" s="396"/>
      <c r="C450" s="116"/>
      <c r="D450" s="116"/>
      <c r="E450" s="116"/>
      <c r="F450" s="116"/>
      <c r="G450" s="332"/>
      <c r="H450" s="332"/>
      <c r="I450" s="332"/>
      <c r="J450" s="332"/>
      <c r="K450" s="332"/>
      <c r="L450" s="332"/>
      <c r="Q450" s="152"/>
    </row>
    <row r="451" spans="2:17" ht="13">
      <c r="B451" s="396"/>
      <c r="C451" s="116"/>
      <c r="D451" s="116"/>
      <c r="E451" s="116"/>
      <c r="F451" s="116"/>
      <c r="G451" s="332"/>
      <c r="H451" s="332"/>
      <c r="I451" s="332"/>
      <c r="J451" s="332"/>
      <c r="K451" s="332"/>
      <c r="L451" s="332"/>
      <c r="Q451" s="152"/>
    </row>
    <row r="452" spans="2:17" ht="13">
      <c r="B452" s="396"/>
      <c r="C452" s="116"/>
      <c r="D452" s="116"/>
      <c r="E452" s="116"/>
      <c r="F452" s="116"/>
      <c r="G452" s="332"/>
      <c r="H452" s="332"/>
      <c r="I452" s="332"/>
      <c r="J452" s="332"/>
      <c r="K452" s="332"/>
      <c r="L452" s="332"/>
      <c r="Q452" s="152"/>
    </row>
    <row r="453" spans="2:17" ht="13">
      <c r="B453" s="396"/>
      <c r="C453" s="116"/>
      <c r="D453" s="116"/>
      <c r="E453" s="116"/>
      <c r="F453" s="116"/>
      <c r="G453" s="332"/>
      <c r="H453" s="332"/>
      <c r="I453" s="332"/>
      <c r="J453" s="332"/>
      <c r="K453" s="332"/>
      <c r="L453" s="332"/>
      <c r="Q453" s="152"/>
    </row>
    <row r="454" spans="2:17" ht="13">
      <c r="B454" s="396"/>
      <c r="C454" s="116"/>
      <c r="D454" s="116"/>
      <c r="E454" s="116"/>
      <c r="F454" s="116"/>
      <c r="G454" s="332"/>
      <c r="H454" s="332"/>
      <c r="I454" s="332"/>
      <c r="J454" s="332"/>
      <c r="K454" s="332"/>
      <c r="L454" s="332"/>
      <c r="Q454" s="152"/>
    </row>
    <row r="455" spans="2:17" ht="13">
      <c r="B455" s="396"/>
      <c r="C455" s="116"/>
      <c r="D455" s="116"/>
      <c r="E455" s="116"/>
      <c r="F455" s="116"/>
      <c r="G455" s="332"/>
      <c r="H455" s="332"/>
      <c r="I455" s="332"/>
      <c r="J455" s="332"/>
      <c r="K455" s="332"/>
      <c r="L455" s="332"/>
      <c r="Q455" s="152"/>
    </row>
    <row r="456" spans="2:17" ht="13">
      <c r="B456" s="396"/>
      <c r="C456" s="116"/>
      <c r="D456" s="116"/>
      <c r="E456" s="116"/>
      <c r="F456" s="116"/>
      <c r="G456" s="332"/>
      <c r="H456" s="332"/>
      <c r="I456" s="332"/>
      <c r="J456" s="332"/>
      <c r="K456" s="332"/>
      <c r="L456" s="332"/>
      <c r="Q456" s="152"/>
    </row>
    <row r="457" spans="2:17" ht="13">
      <c r="B457" s="396"/>
      <c r="C457" s="116"/>
      <c r="D457" s="116"/>
      <c r="E457" s="116"/>
      <c r="F457" s="116"/>
      <c r="G457" s="332"/>
      <c r="H457" s="332"/>
      <c r="I457" s="332"/>
      <c r="J457" s="332"/>
      <c r="K457" s="332"/>
      <c r="L457" s="332"/>
      <c r="Q457" s="152"/>
    </row>
    <row r="458" spans="2:17" ht="13">
      <c r="B458" s="396"/>
      <c r="C458" s="116"/>
      <c r="D458" s="116"/>
      <c r="E458" s="116"/>
      <c r="F458" s="116"/>
      <c r="G458" s="332"/>
      <c r="H458" s="332"/>
      <c r="I458" s="332"/>
      <c r="J458" s="332"/>
      <c r="K458" s="332"/>
      <c r="L458" s="332"/>
      <c r="Q458" s="152"/>
    </row>
    <row r="459" spans="2:17" ht="13">
      <c r="B459" s="396"/>
      <c r="C459" s="116"/>
      <c r="D459" s="116"/>
      <c r="E459" s="116"/>
      <c r="F459" s="116"/>
      <c r="G459" s="332"/>
      <c r="H459" s="332"/>
      <c r="I459" s="332"/>
      <c r="J459" s="332"/>
      <c r="K459" s="332"/>
      <c r="L459" s="332"/>
      <c r="Q459" s="152"/>
    </row>
    <row r="460" spans="2:17" ht="13">
      <c r="B460" s="396"/>
      <c r="C460" s="116"/>
      <c r="D460" s="116"/>
      <c r="E460" s="116"/>
      <c r="F460" s="116"/>
      <c r="G460" s="332"/>
      <c r="H460" s="332"/>
      <c r="I460" s="332"/>
      <c r="J460" s="332"/>
      <c r="K460" s="332"/>
      <c r="L460" s="332"/>
      <c r="Q460" s="152"/>
    </row>
    <row r="461" spans="2:17" ht="13">
      <c r="B461" s="396"/>
      <c r="C461" s="116"/>
      <c r="D461" s="116"/>
      <c r="E461" s="116"/>
      <c r="F461" s="116"/>
      <c r="G461" s="332"/>
      <c r="H461" s="332"/>
      <c r="I461" s="332"/>
      <c r="J461" s="332"/>
      <c r="K461" s="332"/>
      <c r="L461" s="332"/>
      <c r="Q461" s="152"/>
    </row>
    <row r="462" spans="2:17" ht="13">
      <c r="B462" s="396"/>
      <c r="C462" s="116"/>
      <c r="D462" s="116"/>
      <c r="E462" s="116"/>
      <c r="F462" s="116"/>
      <c r="G462" s="332"/>
      <c r="H462" s="332"/>
      <c r="I462" s="332"/>
      <c r="J462" s="332"/>
      <c r="K462" s="332"/>
      <c r="L462" s="332"/>
      <c r="Q462" s="152"/>
    </row>
    <row r="463" spans="2:17" ht="13">
      <c r="B463" s="396"/>
      <c r="C463" s="116"/>
      <c r="D463" s="116"/>
      <c r="E463" s="116"/>
      <c r="F463" s="116"/>
      <c r="G463" s="332"/>
      <c r="H463" s="332"/>
      <c r="I463" s="332"/>
      <c r="J463" s="332"/>
      <c r="K463" s="332"/>
      <c r="L463" s="332"/>
      <c r="Q463" s="152"/>
    </row>
    <row r="464" spans="2:17" ht="13">
      <c r="B464" s="396"/>
      <c r="C464" s="116"/>
      <c r="D464" s="116"/>
      <c r="E464" s="116"/>
      <c r="F464" s="116"/>
      <c r="G464" s="332"/>
      <c r="H464" s="332"/>
      <c r="I464" s="332"/>
      <c r="J464" s="332"/>
      <c r="K464" s="332"/>
      <c r="L464" s="332"/>
      <c r="Q464" s="152"/>
    </row>
    <row r="465" spans="2:17" ht="13">
      <c r="B465" s="396"/>
      <c r="C465" s="116"/>
      <c r="D465" s="116"/>
      <c r="E465" s="116"/>
      <c r="F465" s="116"/>
      <c r="G465" s="332"/>
      <c r="H465" s="332"/>
      <c r="I465" s="332"/>
      <c r="J465" s="332"/>
      <c r="K465" s="332"/>
      <c r="L465" s="332"/>
      <c r="Q465" s="152"/>
    </row>
    <row r="466" spans="2:17" ht="13">
      <c r="B466" s="396"/>
      <c r="C466" s="116"/>
      <c r="D466" s="116"/>
      <c r="E466" s="116"/>
      <c r="F466" s="116"/>
      <c r="G466" s="332"/>
      <c r="H466" s="332"/>
      <c r="I466" s="332"/>
      <c r="J466" s="332"/>
      <c r="K466" s="332"/>
      <c r="L466" s="332"/>
      <c r="Q466" s="152"/>
    </row>
    <row r="467" spans="2:17" ht="13">
      <c r="B467" s="396"/>
      <c r="C467" s="116"/>
      <c r="D467" s="116"/>
      <c r="E467" s="116"/>
      <c r="F467" s="116"/>
      <c r="G467" s="332"/>
      <c r="H467" s="332"/>
      <c r="I467" s="332"/>
      <c r="J467" s="332"/>
      <c r="K467" s="332"/>
      <c r="L467" s="332"/>
      <c r="Q467" s="152"/>
    </row>
    <row r="468" spans="2:17" ht="13">
      <c r="B468" s="396"/>
      <c r="C468" s="116"/>
      <c r="D468" s="116"/>
      <c r="E468" s="116"/>
      <c r="F468" s="116"/>
      <c r="G468" s="332"/>
      <c r="H468" s="332"/>
      <c r="I468" s="332"/>
      <c r="J468" s="332"/>
      <c r="K468" s="332"/>
      <c r="L468" s="332"/>
      <c r="Q468" s="152"/>
    </row>
    <row r="469" spans="2:17" ht="13">
      <c r="B469" s="396"/>
      <c r="C469" s="116"/>
      <c r="D469" s="116"/>
      <c r="E469" s="116"/>
      <c r="F469" s="116"/>
      <c r="G469" s="332"/>
      <c r="H469" s="332"/>
      <c r="I469" s="332"/>
      <c r="J469" s="332"/>
      <c r="K469" s="332"/>
      <c r="L469" s="332"/>
      <c r="Q469" s="152"/>
    </row>
    <row r="470" spans="2:17" ht="13">
      <c r="B470" s="396"/>
      <c r="C470" s="116"/>
      <c r="D470" s="116"/>
      <c r="E470" s="116"/>
      <c r="F470" s="116"/>
      <c r="G470" s="332"/>
      <c r="H470" s="332"/>
      <c r="I470" s="332"/>
      <c r="J470" s="332"/>
      <c r="K470" s="332"/>
      <c r="L470" s="332"/>
      <c r="Q470" s="152"/>
    </row>
    <row r="471" spans="2:17" ht="13">
      <c r="B471" s="396"/>
      <c r="C471" s="116"/>
      <c r="D471" s="116"/>
      <c r="E471" s="116"/>
      <c r="F471" s="116"/>
      <c r="G471" s="332"/>
      <c r="H471" s="332"/>
      <c r="I471" s="332"/>
      <c r="J471" s="332"/>
      <c r="K471" s="332"/>
      <c r="L471" s="332"/>
      <c r="Q471" s="152"/>
    </row>
    <row r="472" spans="2:17" ht="13">
      <c r="B472" s="396"/>
      <c r="C472" s="116"/>
      <c r="D472" s="116"/>
      <c r="E472" s="116"/>
      <c r="F472" s="116"/>
      <c r="G472" s="332"/>
      <c r="H472" s="332"/>
      <c r="I472" s="332"/>
      <c r="J472" s="332"/>
      <c r="K472" s="332"/>
      <c r="L472" s="332"/>
      <c r="Q472" s="152"/>
    </row>
    <row r="473" spans="2:17" ht="13">
      <c r="B473" s="396"/>
      <c r="C473" s="116"/>
      <c r="D473" s="116"/>
      <c r="E473" s="116"/>
      <c r="F473" s="116"/>
      <c r="G473" s="332"/>
      <c r="H473" s="332"/>
      <c r="I473" s="332"/>
      <c r="J473" s="332"/>
      <c r="K473" s="332"/>
      <c r="L473" s="332"/>
      <c r="Q473" s="152"/>
    </row>
    <row r="474" spans="2:17" ht="13">
      <c r="B474" s="396"/>
      <c r="C474" s="116"/>
      <c r="D474" s="116"/>
      <c r="E474" s="116"/>
      <c r="F474" s="116"/>
      <c r="G474" s="332"/>
      <c r="H474" s="332"/>
      <c r="I474" s="332"/>
      <c r="J474" s="332"/>
      <c r="K474" s="332"/>
      <c r="L474" s="332"/>
      <c r="Q474" s="152"/>
    </row>
    <row r="475" spans="2:17" ht="13">
      <c r="B475" s="396"/>
      <c r="C475" s="116"/>
      <c r="D475" s="116"/>
      <c r="E475" s="116"/>
      <c r="F475" s="116"/>
      <c r="G475" s="332"/>
      <c r="H475" s="332"/>
      <c r="I475" s="332"/>
      <c r="J475" s="332"/>
      <c r="K475" s="332"/>
      <c r="L475" s="332"/>
      <c r="Q475" s="152"/>
    </row>
    <row r="476" spans="2:17" ht="13">
      <c r="B476" s="396"/>
      <c r="C476" s="116"/>
      <c r="D476" s="116"/>
      <c r="E476" s="116"/>
      <c r="F476" s="116"/>
      <c r="G476" s="332"/>
      <c r="H476" s="332"/>
      <c r="I476" s="332"/>
      <c r="J476" s="332"/>
      <c r="K476" s="332"/>
      <c r="L476" s="332"/>
      <c r="Q476" s="152"/>
    </row>
    <row r="477" spans="2:17" ht="13">
      <c r="B477" s="396"/>
      <c r="C477" s="116"/>
      <c r="D477" s="116"/>
      <c r="E477" s="116"/>
      <c r="F477" s="116"/>
      <c r="G477" s="332"/>
      <c r="H477" s="332"/>
      <c r="I477" s="332"/>
      <c r="J477" s="332"/>
      <c r="K477" s="332"/>
      <c r="L477" s="332"/>
      <c r="Q477" s="152"/>
    </row>
    <row r="478" spans="2:17" ht="13">
      <c r="B478" s="396"/>
      <c r="C478" s="116"/>
      <c r="D478" s="116"/>
      <c r="E478" s="116"/>
      <c r="F478" s="116"/>
      <c r="G478" s="332"/>
      <c r="H478" s="332"/>
      <c r="I478" s="332"/>
      <c r="J478" s="332"/>
      <c r="K478" s="332"/>
      <c r="L478" s="332"/>
      <c r="Q478" s="152"/>
    </row>
    <row r="479" spans="2:17" ht="13">
      <c r="B479" s="396"/>
      <c r="C479" s="116"/>
      <c r="D479" s="116"/>
      <c r="E479" s="116"/>
      <c r="F479" s="116"/>
      <c r="G479" s="332"/>
      <c r="H479" s="332"/>
      <c r="I479" s="332"/>
      <c r="J479" s="332"/>
      <c r="K479" s="332"/>
      <c r="L479" s="332"/>
      <c r="Q479" s="152"/>
    </row>
    <row r="480" spans="2:17" ht="13">
      <c r="B480" s="396"/>
      <c r="C480" s="116"/>
      <c r="D480" s="116"/>
      <c r="E480" s="116"/>
      <c r="F480" s="116"/>
      <c r="G480" s="332"/>
      <c r="H480" s="332"/>
      <c r="I480" s="332"/>
      <c r="J480" s="332"/>
      <c r="K480" s="332"/>
      <c r="L480" s="332"/>
      <c r="Q480" s="152"/>
    </row>
    <row r="481" spans="2:17" ht="13">
      <c r="B481" s="396"/>
      <c r="C481" s="116"/>
      <c r="D481" s="116"/>
      <c r="E481" s="116"/>
      <c r="F481" s="116"/>
      <c r="G481" s="332"/>
      <c r="H481" s="332"/>
      <c r="I481" s="332"/>
      <c r="J481" s="332"/>
      <c r="K481" s="332"/>
      <c r="L481" s="332"/>
      <c r="Q481" s="152"/>
    </row>
    <row r="482" spans="2:17" ht="13">
      <c r="B482" s="396"/>
      <c r="C482" s="116"/>
      <c r="D482" s="116"/>
      <c r="E482" s="116"/>
      <c r="F482" s="116"/>
      <c r="G482" s="332"/>
      <c r="H482" s="332"/>
      <c r="I482" s="332"/>
      <c r="J482" s="332"/>
      <c r="K482" s="332"/>
      <c r="L482" s="332"/>
      <c r="Q482" s="152"/>
    </row>
    <row r="483" spans="2:17" ht="13">
      <c r="B483" s="396"/>
      <c r="C483" s="116"/>
      <c r="D483" s="116"/>
      <c r="E483" s="116"/>
      <c r="F483" s="116"/>
      <c r="G483" s="332"/>
      <c r="H483" s="332"/>
      <c r="I483" s="332"/>
      <c r="J483" s="332"/>
      <c r="K483" s="332"/>
      <c r="L483" s="332"/>
      <c r="Q483" s="152"/>
    </row>
    <row r="484" spans="2:17" ht="13">
      <c r="B484" s="396"/>
      <c r="C484" s="116"/>
      <c r="D484" s="116"/>
      <c r="E484" s="116"/>
      <c r="F484" s="116"/>
      <c r="G484" s="332"/>
      <c r="H484" s="332"/>
      <c r="I484" s="332"/>
      <c r="J484" s="332"/>
      <c r="K484" s="332"/>
      <c r="L484" s="332"/>
      <c r="Q484" s="152"/>
    </row>
    <row r="485" spans="2:17" ht="13">
      <c r="B485" s="396"/>
      <c r="C485" s="116"/>
      <c r="D485" s="116"/>
      <c r="E485" s="116"/>
      <c r="F485" s="116"/>
      <c r="G485" s="332"/>
      <c r="H485" s="332"/>
      <c r="I485" s="332"/>
      <c r="J485" s="332"/>
      <c r="K485" s="332"/>
      <c r="L485" s="332"/>
      <c r="Q485" s="152"/>
    </row>
    <row r="486" spans="2:17" ht="13">
      <c r="B486" s="396"/>
      <c r="C486" s="116"/>
      <c r="D486" s="116"/>
      <c r="E486" s="116"/>
      <c r="F486" s="116"/>
      <c r="G486" s="332"/>
      <c r="H486" s="332"/>
      <c r="I486" s="332"/>
      <c r="J486" s="332"/>
      <c r="K486" s="332"/>
      <c r="L486" s="332"/>
      <c r="Q486" s="152"/>
    </row>
    <row r="487" spans="2:17" ht="13">
      <c r="B487" s="396"/>
      <c r="C487" s="116"/>
      <c r="D487" s="116"/>
      <c r="E487" s="116"/>
      <c r="F487" s="116"/>
      <c r="G487" s="332"/>
      <c r="H487" s="332"/>
      <c r="I487" s="332"/>
      <c r="J487" s="332"/>
      <c r="K487" s="332"/>
      <c r="L487" s="332"/>
      <c r="Q487" s="152"/>
    </row>
    <row r="488" spans="2:17" ht="13">
      <c r="B488" s="396"/>
      <c r="C488" s="116"/>
      <c r="D488" s="116"/>
      <c r="E488" s="116"/>
      <c r="F488" s="116"/>
      <c r="G488" s="332"/>
      <c r="H488" s="332"/>
      <c r="I488" s="332"/>
      <c r="J488" s="332"/>
      <c r="K488" s="332"/>
      <c r="L488" s="332"/>
      <c r="Q488" s="152"/>
    </row>
    <row r="489" spans="2:17" ht="13">
      <c r="B489" s="396"/>
      <c r="C489" s="116"/>
      <c r="D489" s="116"/>
      <c r="E489" s="116"/>
      <c r="F489" s="116"/>
      <c r="G489" s="332"/>
      <c r="H489" s="332"/>
      <c r="I489" s="332"/>
      <c r="J489" s="332"/>
      <c r="K489" s="332"/>
      <c r="L489" s="332"/>
      <c r="Q489" s="152"/>
    </row>
    <row r="490" spans="2:17" ht="13">
      <c r="B490" s="396"/>
      <c r="C490" s="116"/>
      <c r="D490" s="116"/>
      <c r="E490" s="116"/>
      <c r="F490" s="116"/>
      <c r="G490" s="332"/>
      <c r="H490" s="332"/>
      <c r="I490" s="332"/>
      <c r="J490" s="332"/>
      <c r="K490" s="332"/>
      <c r="L490" s="332"/>
      <c r="Q490" s="152"/>
    </row>
    <row r="491" spans="2:17" ht="13">
      <c r="B491" s="396"/>
      <c r="C491" s="116"/>
      <c r="D491" s="116"/>
      <c r="E491" s="116"/>
      <c r="F491" s="116"/>
      <c r="G491" s="332"/>
      <c r="H491" s="332"/>
      <c r="I491" s="332"/>
      <c r="J491" s="332"/>
      <c r="K491" s="332"/>
      <c r="L491" s="332"/>
      <c r="Q491" s="152"/>
    </row>
    <row r="492" spans="2:17" ht="13">
      <c r="B492" s="396"/>
      <c r="C492" s="116"/>
      <c r="D492" s="116"/>
      <c r="E492" s="116"/>
      <c r="F492" s="116"/>
      <c r="G492" s="332"/>
      <c r="H492" s="332"/>
      <c r="I492" s="332"/>
      <c r="J492" s="332"/>
      <c r="K492" s="332"/>
      <c r="L492" s="332"/>
      <c r="Q492" s="152"/>
    </row>
    <row r="493" spans="2:17" ht="13">
      <c r="B493" s="396"/>
      <c r="C493" s="116"/>
      <c r="D493" s="116"/>
      <c r="E493" s="116"/>
      <c r="F493" s="116"/>
      <c r="G493" s="332"/>
      <c r="H493" s="332"/>
      <c r="I493" s="332"/>
      <c r="J493" s="332"/>
      <c r="K493" s="332"/>
      <c r="L493" s="332"/>
      <c r="Q493" s="152"/>
    </row>
    <row r="494" spans="2:17" ht="13">
      <c r="B494" s="396"/>
      <c r="C494" s="116"/>
      <c r="D494" s="116"/>
      <c r="E494" s="116"/>
      <c r="F494" s="116"/>
      <c r="G494" s="332"/>
      <c r="H494" s="332"/>
      <c r="I494" s="332"/>
      <c r="J494" s="332"/>
      <c r="K494" s="332"/>
      <c r="L494" s="332"/>
      <c r="Q494" s="152"/>
    </row>
    <row r="495" spans="2:17" ht="13">
      <c r="B495" s="396"/>
      <c r="C495" s="116"/>
      <c r="D495" s="116"/>
      <c r="E495" s="116"/>
      <c r="F495" s="116"/>
      <c r="G495" s="332"/>
      <c r="H495" s="332"/>
      <c r="I495" s="332"/>
      <c r="J495" s="332"/>
      <c r="K495" s="332"/>
      <c r="L495" s="332"/>
      <c r="Q495" s="152"/>
    </row>
    <row r="496" spans="2:17" ht="13">
      <c r="B496" s="396"/>
      <c r="C496" s="116"/>
      <c r="D496" s="116"/>
      <c r="E496" s="116"/>
      <c r="F496" s="116"/>
      <c r="G496" s="332"/>
      <c r="H496" s="332"/>
      <c r="I496" s="332"/>
      <c r="J496" s="332"/>
      <c r="K496" s="332"/>
      <c r="L496" s="332"/>
      <c r="Q496" s="152"/>
    </row>
    <row r="497" spans="2:17" ht="13">
      <c r="B497" s="396"/>
      <c r="C497" s="116"/>
      <c r="D497" s="116"/>
      <c r="E497" s="116"/>
      <c r="F497" s="116"/>
      <c r="G497" s="332"/>
      <c r="H497" s="332"/>
      <c r="I497" s="332"/>
      <c r="J497" s="332"/>
      <c r="K497" s="332"/>
      <c r="L497" s="332"/>
      <c r="Q497" s="152"/>
    </row>
    <row r="498" spans="2:17" ht="13">
      <c r="B498" s="396"/>
      <c r="C498" s="116"/>
      <c r="D498" s="116"/>
      <c r="E498" s="116"/>
      <c r="F498" s="116"/>
      <c r="G498" s="332"/>
      <c r="H498" s="332"/>
      <c r="I498" s="332"/>
      <c r="J498" s="332"/>
      <c r="K498" s="332"/>
      <c r="L498" s="332"/>
      <c r="Q498" s="152"/>
    </row>
    <row r="499" spans="2:17" ht="13">
      <c r="B499" s="396"/>
      <c r="C499" s="116"/>
      <c r="D499" s="116"/>
      <c r="E499" s="116"/>
      <c r="F499" s="116"/>
      <c r="G499" s="332"/>
      <c r="H499" s="332"/>
      <c r="I499" s="332"/>
      <c r="J499" s="332"/>
      <c r="K499" s="332"/>
      <c r="L499" s="332"/>
      <c r="Q499" s="152"/>
    </row>
    <row r="500" spans="2:17" ht="13">
      <c r="B500" s="396"/>
      <c r="C500" s="116"/>
      <c r="D500" s="116"/>
      <c r="E500" s="116"/>
      <c r="F500" s="116"/>
      <c r="G500" s="332"/>
      <c r="H500" s="332"/>
      <c r="I500" s="332"/>
      <c r="J500" s="332"/>
      <c r="K500" s="332"/>
      <c r="L500" s="332"/>
      <c r="Q500" s="152"/>
    </row>
    <row r="501" spans="2:17" ht="13">
      <c r="B501" s="396"/>
      <c r="C501" s="116"/>
      <c r="D501" s="116"/>
      <c r="E501" s="116"/>
      <c r="F501" s="116"/>
      <c r="G501" s="332"/>
      <c r="H501" s="332"/>
      <c r="I501" s="332"/>
      <c r="J501" s="332"/>
      <c r="K501" s="332"/>
      <c r="L501" s="332"/>
      <c r="Q501" s="152"/>
    </row>
    <row r="502" spans="2:17" ht="13">
      <c r="B502" s="396"/>
      <c r="C502" s="116"/>
      <c r="D502" s="116"/>
      <c r="E502" s="116"/>
      <c r="F502" s="116"/>
      <c r="G502" s="332"/>
      <c r="H502" s="332"/>
      <c r="I502" s="332"/>
      <c r="J502" s="332"/>
      <c r="K502" s="332"/>
      <c r="L502" s="332"/>
      <c r="Q502" s="152"/>
    </row>
    <row r="503" spans="2:17" ht="13">
      <c r="B503" s="396"/>
      <c r="C503" s="116"/>
      <c r="D503" s="116"/>
      <c r="E503" s="116"/>
      <c r="F503" s="116"/>
      <c r="G503" s="332"/>
      <c r="H503" s="332"/>
      <c r="I503" s="332"/>
      <c r="J503" s="332"/>
      <c r="K503" s="332"/>
      <c r="L503" s="332"/>
      <c r="Q503" s="152"/>
    </row>
    <row r="504" spans="2:17" ht="13">
      <c r="B504" s="396"/>
      <c r="C504" s="116"/>
      <c r="D504" s="116"/>
      <c r="E504" s="116"/>
      <c r="F504" s="116"/>
      <c r="G504" s="332"/>
      <c r="H504" s="332"/>
      <c r="I504" s="332"/>
      <c r="J504" s="332"/>
      <c r="K504" s="332"/>
      <c r="L504" s="332"/>
      <c r="Q504" s="152"/>
    </row>
    <row r="505" spans="2:17" ht="13">
      <c r="B505" s="396"/>
      <c r="C505" s="116"/>
      <c r="D505" s="116"/>
      <c r="E505" s="116"/>
      <c r="F505" s="116"/>
      <c r="G505" s="332"/>
      <c r="H505" s="332"/>
      <c r="I505" s="332"/>
      <c r="J505" s="332"/>
      <c r="K505" s="332"/>
      <c r="L505" s="332"/>
      <c r="Q505" s="152"/>
    </row>
    <row r="506" spans="2:17" ht="13">
      <c r="B506" s="396"/>
      <c r="C506" s="116"/>
      <c r="D506" s="116"/>
      <c r="E506" s="116"/>
      <c r="F506" s="116"/>
      <c r="G506" s="332"/>
      <c r="H506" s="332"/>
      <c r="I506" s="332"/>
      <c r="J506" s="332"/>
      <c r="K506" s="332"/>
      <c r="L506" s="332"/>
      <c r="Q506" s="152"/>
    </row>
    <row r="507" spans="2:17" ht="13">
      <c r="B507" s="396"/>
      <c r="C507" s="116"/>
      <c r="D507" s="116"/>
      <c r="E507" s="116"/>
      <c r="F507" s="116"/>
      <c r="G507" s="332"/>
      <c r="H507" s="332"/>
      <c r="I507" s="332"/>
      <c r="J507" s="332"/>
      <c r="K507" s="332"/>
      <c r="L507" s="332"/>
      <c r="Q507" s="152"/>
    </row>
    <row r="508" spans="2:17" ht="13">
      <c r="B508" s="396"/>
      <c r="C508" s="116"/>
      <c r="D508" s="116"/>
      <c r="E508" s="116"/>
      <c r="F508" s="116"/>
      <c r="G508" s="332"/>
      <c r="H508" s="332"/>
      <c r="I508" s="332"/>
      <c r="J508" s="332"/>
      <c r="K508" s="332"/>
      <c r="L508" s="332"/>
      <c r="Q508" s="152"/>
    </row>
    <row r="509" spans="2:17" ht="13">
      <c r="B509" s="396"/>
      <c r="C509" s="116"/>
      <c r="D509" s="116"/>
      <c r="E509" s="116"/>
      <c r="F509" s="116"/>
      <c r="G509" s="332"/>
      <c r="H509" s="332"/>
      <c r="I509" s="332"/>
      <c r="J509" s="332"/>
      <c r="K509" s="332"/>
      <c r="L509" s="332"/>
      <c r="Q509" s="152"/>
    </row>
    <row r="510" spans="2:17" ht="13">
      <c r="B510" s="396"/>
      <c r="C510" s="116"/>
      <c r="D510" s="116"/>
      <c r="E510" s="116"/>
      <c r="F510" s="116"/>
      <c r="G510" s="332"/>
      <c r="H510" s="332"/>
      <c r="I510" s="332"/>
      <c r="J510" s="332"/>
      <c r="K510" s="332"/>
      <c r="L510" s="332"/>
      <c r="Q510" s="152"/>
    </row>
    <row r="511" spans="2:17" ht="13">
      <c r="B511" s="396"/>
      <c r="C511" s="116"/>
      <c r="D511" s="116"/>
      <c r="E511" s="116"/>
      <c r="F511" s="116"/>
      <c r="G511" s="332"/>
      <c r="H511" s="332"/>
      <c r="I511" s="332"/>
      <c r="J511" s="332"/>
      <c r="K511" s="332"/>
      <c r="L511" s="332"/>
      <c r="Q511" s="152"/>
    </row>
    <row r="512" spans="2:17" ht="13">
      <c r="B512" s="396"/>
      <c r="C512" s="116"/>
      <c r="D512" s="116"/>
      <c r="E512" s="116"/>
      <c r="F512" s="116"/>
      <c r="G512" s="332"/>
      <c r="H512" s="332"/>
      <c r="I512" s="332"/>
      <c r="J512" s="332"/>
      <c r="K512" s="332"/>
      <c r="L512" s="332"/>
      <c r="Q512" s="152"/>
    </row>
    <row r="513" spans="2:17" ht="13">
      <c r="B513" s="396"/>
      <c r="C513" s="116"/>
      <c r="D513" s="116"/>
      <c r="E513" s="116"/>
      <c r="F513" s="116"/>
      <c r="G513" s="332"/>
      <c r="H513" s="332"/>
      <c r="I513" s="332"/>
      <c r="J513" s="332"/>
      <c r="K513" s="332"/>
      <c r="L513" s="332"/>
      <c r="Q513" s="152"/>
    </row>
    <row r="514" spans="2:17" ht="13">
      <c r="B514" s="396"/>
      <c r="C514" s="116"/>
      <c r="D514" s="116"/>
      <c r="E514" s="116"/>
      <c r="F514" s="116"/>
      <c r="G514" s="332"/>
      <c r="H514" s="332"/>
      <c r="I514" s="332"/>
      <c r="J514" s="332"/>
      <c r="K514" s="332"/>
      <c r="L514" s="332"/>
      <c r="Q514" s="152"/>
    </row>
    <row r="515" spans="2:17" ht="13">
      <c r="B515" s="396"/>
      <c r="C515" s="116"/>
      <c r="D515" s="116"/>
      <c r="E515" s="116"/>
      <c r="F515" s="116"/>
      <c r="G515" s="332"/>
      <c r="H515" s="332"/>
      <c r="I515" s="332"/>
      <c r="J515" s="332"/>
      <c r="K515" s="332"/>
      <c r="L515" s="332"/>
      <c r="Q515" s="152"/>
    </row>
    <row r="516" spans="2:17" ht="13">
      <c r="B516" s="396"/>
      <c r="C516" s="116"/>
      <c r="D516" s="116"/>
      <c r="E516" s="116"/>
      <c r="F516" s="116"/>
      <c r="G516" s="332"/>
      <c r="H516" s="332"/>
      <c r="I516" s="332"/>
      <c r="J516" s="332"/>
      <c r="K516" s="332"/>
      <c r="L516" s="332"/>
      <c r="Q516" s="152"/>
    </row>
    <row r="517" spans="2:17" ht="13">
      <c r="B517" s="396"/>
      <c r="C517" s="116"/>
      <c r="D517" s="116"/>
      <c r="E517" s="116"/>
      <c r="F517" s="116"/>
      <c r="G517" s="332"/>
      <c r="H517" s="332"/>
      <c r="I517" s="332"/>
      <c r="J517" s="332"/>
      <c r="K517" s="332"/>
      <c r="L517" s="332"/>
      <c r="Q517" s="152"/>
    </row>
    <row r="518" spans="2:17" ht="13">
      <c r="B518" s="396"/>
      <c r="C518" s="116"/>
      <c r="D518" s="116"/>
      <c r="E518" s="116"/>
      <c r="F518" s="116"/>
      <c r="G518" s="332"/>
      <c r="H518" s="332"/>
      <c r="I518" s="332"/>
      <c r="J518" s="332"/>
      <c r="K518" s="332"/>
      <c r="L518" s="332"/>
      <c r="Q518" s="152"/>
    </row>
    <row r="519" spans="2:17" ht="13">
      <c r="B519" s="396"/>
      <c r="C519" s="116"/>
      <c r="D519" s="116"/>
      <c r="E519" s="116"/>
      <c r="F519" s="116"/>
      <c r="G519" s="332"/>
      <c r="H519" s="332"/>
      <c r="I519" s="332"/>
      <c r="J519" s="332"/>
      <c r="K519" s="332"/>
      <c r="L519" s="332"/>
      <c r="Q519" s="152"/>
    </row>
    <row r="520" spans="2:17" ht="13">
      <c r="B520" s="396"/>
      <c r="C520" s="116"/>
      <c r="D520" s="116"/>
      <c r="E520" s="116"/>
      <c r="F520" s="116"/>
      <c r="G520" s="332"/>
      <c r="H520" s="332"/>
      <c r="I520" s="332"/>
      <c r="J520" s="332"/>
      <c r="K520" s="332"/>
      <c r="L520" s="332"/>
      <c r="Q520" s="152"/>
    </row>
    <row r="521" spans="2:17" ht="13">
      <c r="B521" s="396"/>
      <c r="C521" s="116"/>
      <c r="D521" s="116"/>
      <c r="E521" s="116"/>
      <c r="F521" s="116"/>
      <c r="G521" s="332"/>
      <c r="H521" s="332"/>
      <c r="I521" s="332"/>
      <c r="J521" s="332"/>
      <c r="K521" s="332"/>
      <c r="L521" s="332"/>
      <c r="Q521" s="152"/>
    </row>
    <row r="522" spans="2:17" ht="13">
      <c r="B522" s="396"/>
      <c r="C522" s="116"/>
      <c r="D522" s="116"/>
      <c r="E522" s="116"/>
      <c r="F522" s="116"/>
      <c r="G522" s="332"/>
      <c r="H522" s="332"/>
      <c r="I522" s="332"/>
      <c r="J522" s="332"/>
      <c r="K522" s="332"/>
      <c r="L522" s="332"/>
      <c r="Q522" s="152"/>
    </row>
    <row r="523" spans="2:17" ht="13">
      <c r="B523" s="396"/>
      <c r="C523" s="116"/>
      <c r="D523" s="116"/>
      <c r="E523" s="116"/>
      <c r="F523" s="116"/>
      <c r="G523" s="332"/>
      <c r="H523" s="332"/>
      <c r="I523" s="332"/>
      <c r="J523" s="332"/>
      <c r="K523" s="332"/>
      <c r="L523" s="332"/>
      <c r="Q523" s="152"/>
    </row>
    <row r="524" spans="2:17" ht="13">
      <c r="B524" s="396"/>
      <c r="C524" s="116"/>
      <c r="D524" s="116"/>
      <c r="E524" s="116"/>
      <c r="F524" s="116"/>
      <c r="G524" s="332"/>
      <c r="H524" s="332"/>
      <c r="I524" s="332"/>
      <c r="J524" s="332"/>
      <c r="K524" s="332"/>
      <c r="L524" s="332"/>
      <c r="Q524" s="152"/>
    </row>
    <row r="525" spans="2:17" ht="13">
      <c r="B525" s="396"/>
      <c r="C525" s="116"/>
      <c r="D525" s="116"/>
      <c r="E525" s="116"/>
      <c r="F525" s="116"/>
      <c r="G525" s="332"/>
      <c r="H525" s="332"/>
      <c r="I525" s="332"/>
      <c r="J525" s="332"/>
      <c r="K525" s="332"/>
      <c r="L525" s="332"/>
      <c r="Q525" s="152"/>
    </row>
    <row r="526" spans="2:17" ht="13">
      <c r="B526" s="396"/>
      <c r="C526" s="116"/>
      <c r="D526" s="116"/>
      <c r="E526" s="116"/>
      <c r="F526" s="116"/>
      <c r="G526" s="332"/>
      <c r="H526" s="332"/>
      <c r="I526" s="332"/>
      <c r="J526" s="332"/>
      <c r="K526" s="332"/>
      <c r="L526" s="332"/>
      <c r="Q526" s="152"/>
    </row>
    <row r="527" spans="2:17" ht="13">
      <c r="B527" s="396"/>
      <c r="C527" s="116"/>
      <c r="D527" s="116"/>
      <c r="E527" s="116"/>
      <c r="F527" s="116"/>
      <c r="G527" s="332"/>
      <c r="H527" s="332"/>
      <c r="I527" s="332"/>
      <c r="J527" s="332"/>
      <c r="K527" s="332"/>
      <c r="L527" s="332"/>
      <c r="Q527" s="152"/>
    </row>
    <row r="528" spans="2:17" ht="13">
      <c r="B528" s="396"/>
      <c r="C528" s="116"/>
      <c r="D528" s="116"/>
      <c r="E528" s="116"/>
      <c r="F528" s="116"/>
      <c r="G528" s="332"/>
      <c r="H528" s="332"/>
      <c r="I528" s="332"/>
      <c r="J528" s="332"/>
      <c r="K528" s="332"/>
      <c r="L528" s="332"/>
      <c r="Q528" s="152"/>
    </row>
    <row r="529" spans="2:17" ht="13">
      <c r="B529" s="396"/>
      <c r="C529" s="116"/>
      <c r="D529" s="116"/>
      <c r="E529" s="116"/>
      <c r="F529" s="116"/>
      <c r="G529" s="332"/>
      <c r="H529" s="332"/>
      <c r="I529" s="332"/>
      <c r="J529" s="332"/>
      <c r="K529" s="332"/>
      <c r="L529" s="332"/>
      <c r="Q529" s="152"/>
    </row>
    <row r="530" spans="2:17" ht="13">
      <c r="B530" s="396"/>
      <c r="C530" s="116"/>
      <c r="D530" s="116"/>
      <c r="E530" s="116"/>
      <c r="F530" s="116"/>
      <c r="G530" s="332"/>
      <c r="H530" s="332"/>
      <c r="I530" s="332"/>
      <c r="J530" s="332"/>
      <c r="K530" s="332"/>
      <c r="L530" s="332"/>
      <c r="Q530" s="152"/>
    </row>
    <row r="531" spans="2:17" ht="13">
      <c r="B531" s="396"/>
      <c r="C531" s="116"/>
      <c r="D531" s="116"/>
      <c r="E531" s="116"/>
      <c r="F531" s="116"/>
      <c r="G531" s="332"/>
      <c r="H531" s="332"/>
      <c r="I531" s="332"/>
      <c r="J531" s="332"/>
      <c r="K531" s="332"/>
      <c r="L531" s="332"/>
      <c r="Q531" s="152"/>
    </row>
    <row r="532" spans="2:17" ht="13">
      <c r="B532" s="396"/>
      <c r="C532" s="116"/>
      <c r="D532" s="116"/>
      <c r="E532" s="116"/>
      <c r="F532" s="116"/>
      <c r="G532" s="332"/>
      <c r="H532" s="332"/>
      <c r="I532" s="332"/>
      <c r="J532" s="332"/>
      <c r="K532" s="332"/>
      <c r="L532" s="332"/>
      <c r="Q532" s="152"/>
    </row>
    <row r="533" spans="2:17" ht="13">
      <c r="B533" s="396"/>
      <c r="C533" s="116"/>
      <c r="D533" s="116"/>
      <c r="E533" s="116"/>
      <c r="F533" s="116"/>
      <c r="G533" s="332"/>
      <c r="H533" s="332"/>
      <c r="I533" s="332"/>
      <c r="J533" s="332"/>
      <c r="K533" s="332"/>
      <c r="L533" s="332"/>
      <c r="Q533" s="152"/>
    </row>
    <row r="534" spans="2:17" ht="13">
      <c r="B534" s="396"/>
      <c r="C534" s="116"/>
      <c r="D534" s="116"/>
      <c r="E534" s="116"/>
      <c r="F534" s="116"/>
      <c r="G534" s="332"/>
      <c r="H534" s="332"/>
      <c r="I534" s="332"/>
      <c r="J534" s="332"/>
      <c r="K534" s="332"/>
      <c r="L534" s="332"/>
      <c r="Q534" s="152"/>
    </row>
    <row r="535" spans="2:17" ht="13">
      <c r="B535" s="396"/>
      <c r="C535" s="116"/>
      <c r="D535" s="116"/>
      <c r="E535" s="116"/>
      <c r="F535" s="116"/>
      <c r="G535" s="332"/>
      <c r="H535" s="332"/>
      <c r="I535" s="332"/>
      <c r="J535" s="332"/>
      <c r="K535" s="332"/>
      <c r="L535" s="332"/>
      <c r="Q535" s="152"/>
    </row>
    <row r="536" spans="2:17" ht="13">
      <c r="B536" s="396"/>
      <c r="C536" s="116"/>
      <c r="D536" s="116"/>
      <c r="E536" s="116"/>
      <c r="F536" s="116"/>
      <c r="G536" s="332"/>
      <c r="H536" s="332"/>
      <c r="I536" s="332"/>
      <c r="J536" s="332"/>
      <c r="K536" s="332"/>
      <c r="L536" s="332"/>
      <c r="Q536" s="152"/>
    </row>
    <row r="537" spans="2:17" ht="13">
      <c r="B537" s="396"/>
      <c r="C537" s="116"/>
      <c r="D537" s="116"/>
      <c r="E537" s="116"/>
      <c r="F537" s="116"/>
      <c r="G537" s="332"/>
      <c r="H537" s="332"/>
      <c r="I537" s="332"/>
      <c r="J537" s="332"/>
      <c r="K537" s="332"/>
      <c r="L537" s="332"/>
      <c r="Q537" s="152"/>
    </row>
    <row r="538" spans="2:17" ht="13">
      <c r="B538" s="396"/>
      <c r="C538" s="116"/>
      <c r="D538" s="116"/>
      <c r="E538" s="116"/>
      <c r="F538" s="116"/>
      <c r="G538" s="332"/>
      <c r="H538" s="332"/>
      <c r="I538" s="332"/>
      <c r="J538" s="332"/>
      <c r="K538" s="332"/>
      <c r="L538" s="332"/>
      <c r="Q538" s="152"/>
    </row>
    <row r="539" spans="2:17" ht="13">
      <c r="B539" s="396"/>
      <c r="C539" s="116"/>
      <c r="D539" s="116"/>
      <c r="E539" s="116"/>
      <c r="F539" s="116"/>
      <c r="G539" s="332"/>
      <c r="H539" s="332"/>
      <c r="I539" s="332"/>
      <c r="J539" s="332"/>
      <c r="K539" s="332"/>
      <c r="L539" s="332"/>
      <c r="Q539" s="152"/>
    </row>
    <row r="540" spans="2:17" ht="13">
      <c r="B540" s="396"/>
      <c r="C540" s="116"/>
      <c r="D540" s="116"/>
      <c r="E540" s="116"/>
      <c r="F540" s="116"/>
      <c r="G540" s="332"/>
      <c r="H540" s="332"/>
      <c r="I540" s="332"/>
      <c r="J540" s="332"/>
      <c r="K540" s="332"/>
      <c r="L540" s="332"/>
      <c r="Q540" s="152"/>
    </row>
    <row r="541" spans="2:17" ht="13">
      <c r="B541" s="396"/>
      <c r="C541" s="116"/>
      <c r="D541" s="116"/>
      <c r="E541" s="116"/>
      <c r="F541" s="116"/>
      <c r="G541" s="332"/>
      <c r="H541" s="332"/>
      <c r="I541" s="332"/>
      <c r="J541" s="332"/>
      <c r="K541" s="332"/>
      <c r="L541" s="332"/>
      <c r="Q541" s="152"/>
    </row>
    <row r="542" spans="2:17" ht="13">
      <c r="B542" s="396"/>
      <c r="C542" s="116"/>
      <c r="D542" s="116"/>
      <c r="E542" s="116"/>
      <c r="F542" s="116"/>
      <c r="G542" s="332"/>
      <c r="H542" s="332"/>
      <c r="I542" s="332"/>
      <c r="J542" s="332"/>
      <c r="K542" s="332"/>
      <c r="L542" s="332"/>
      <c r="Q542" s="152"/>
    </row>
    <row r="543" spans="2:17" ht="13">
      <c r="B543" s="396"/>
      <c r="C543" s="116"/>
      <c r="D543" s="116"/>
      <c r="E543" s="116"/>
      <c r="F543" s="116"/>
      <c r="G543" s="332"/>
      <c r="H543" s="332"/>
      <c r="I543" s="332"/>
      <c r="J543" s="332"/>
      <c r="K543" s="332"/>
      <c r="L543" s="332"/>
      <c r="Q543" s="152"/>
    </row>
    <row r="544" spans="2:17" ht="13">
      <c r="B544" s="396"/>
      <c r="C544" s="116"/>
      <c r="D544" s="116"/>
      <c r="E544" s="116"/>
      <c r="F544" s="116"/>
      <c r="G544" s="332"/>
      <c r="H544" s="332"/>
      <c r="I544" s="332"/>
      <c r="J544" s="332"/>
      <c r="K544" s="332"/>
      <c r="L544" s="332"/>
      <c r="Q544" s="152"/>
    </row>
    <row r="545" spans="2:17" ht="13">
      <c r="B545" s="396"/>
      <c r="C545" s="116"/>
      <c r="D545" s="116"/>
      <c r="E545" s="116"/>
      <c r="F545" s="116"/>
      <c r="G545" s="332"/>
      <c r="H545" s="332"/>
      <c r="I545" s="332"/>
      <c r="J545" s="332"/>
      <c r="K545" s="332"/>
      <c r="L545" s="332"/>
      <c r="Q545" s="152"/>
    </row>
    <row r="546" spans="2:17" ht="13">
      <c r="B546" s="396"/>
      <c r="C546" s="116"/>
      <c r="D546" s="116"/>
      <c r="E546" s="116"/>
      <c r="F546" s="116"/>
      <c r="G546" s="332"/>
      <c r="H546" s="332"/>
      <c r="I546" s="332"/>
      <c r="J546" s="332"/>
      <c r="K546" s="332"/>
      <c r="L546" s="332"/>
      <c r="Q546" s="152"/>
    </row>
    <row r="547" spans="2:17" ht="13">
      <c r="B547" s="396"/>
      <c r="C547" s="116"/>
      <c r="D547" s="116"/>
      <c r="E547" s="116"/>
      <c r="F547" s="116"/>
      <c r="G547" s="332"/>
      <c r="H547" s="332"/>
      <c r="I547" s="332"/>
      <c r="J547" s="332"/>
      <c r="K547" s="332"/>
      <c r="L547" s="332"/>
      <c r="Q547" s="152"/>
    </row>
    <row r="548" spans="2:17" ht="13">
      <c r="B548" s="396"/>
      <c r="C548" s="116"/>
      <c r="D548" s="116"/>
      <c r="E548" s="116"/>
      <c r="F548" s="116"/>
      <c r="G548" s="332"/>
      <c r="H548" s="332"/>
      <c r="I548" s="332"/>
      <c r="J548" s="332"/>
      <c r="K548" s="332"/>
      <c r="L548" s="332"/>
      <c r="Q548" s="152"/>
    </row>
    <row r="549" spans="2:17" ht="13">
      <c r="B549" s="396"/>
      <c r="C549" s="116"/>
      <c r="D549" s="116"/>
      <c r="E549" s="116"/>
      <c r="F549" s="116"/>
      <c r="G549" s="332"/>
      <c r="H549" s="332"/>
      <c r="I549" s="332"/>
      <c r="J549" s="332"/>
      <c r="K549" s="332"/>
      <c r="L549" s="332"/>
      <c r="Q549" s="152"/>
    </row>
    <row r="550" spans="2:17" ht="13">
      <c r="B550" s="396"/>
      <c r="C550" s="116"/>
      <c r="D550" s="116"/>
      <c r="E550" s="116"/>
      <c r="F550" s="116"/>
      <c r="G550" s="332"/>
      <c r="H550" s="332"/>
      <c r="I550" s="332"/>
      <c r="J550" s="332"/>
      <c r="K550" s="332"/>
      <c r="L550" s="332"/>
      <c r="Q550" s="152"/>
    </row>
    <row r="551" spans="2:17" ht="13">
      <c r="B551" s="396"/>
      <c r="C551" s="116"/>
      <c r="D551" s="116"/>
      <c r="E551" s="116"/>
      <c r="F551" s="116"/>
      <c r="G551" s="332"/>
      <c r="H551" s="332"/>
      <c r="I551" s="332"/>
      <c r="J551" s="332"/>
      <c r="K551" s="332"/>
      <c r="L551" s="332"/>
      <c r="Q551" s="152"/>
    </row>
    <row r="552" spans="2:17" ht="13">
      <c r="B552" s="396"/>
      <c r="C552" s="116"/>
      <c r="D552" s="116"/>
      <c r="E552" s="116"/>
      <c r="F552" s="116"/>
      <c r="G552" s="332"/>
      <c r="H552" s="332"/>
      <c r="I552" s="332"/>
      <c r="J552" s="332"/>
      <c r="K552" s="332"/>
      <c r="L552" s="332"/>
      <c r="Q552" s="152"/>
    </row>
    <row r="553" spans="2:17" ht="13">
      <c r="B553" s="396"/>
      <c r="C553" s="116"/>
      <c r="D553" s="116"/>
      <c r="E553" s="116"/>
      <c r="F553" s="116"/>
      <c r="G553" s="332"/>
      <c r="H553" s="332"/>
      <c r="I553" s="332"/>
      <c r="J553" s="332"/>
      <c r="K553" s="332"/>
      <c r="L553" s="332"/>
      <c r="Q553" s="152"/>
    </row>
    <row r="554" spans="2:17" ht="13">
      <c r="B554" s="396"/>
      <c r="C554" s="116"/>
      <c r="D554" s="116"/>
      <c r="E554" s="116"/>
      <c r="F554" s="116"/>
      <c r="G554" s="332"/>
      <c r="H554" s="332"/>
      <c r="I554" s="332"/>
      <c r="J554" s="332"/>
      <c r="K554" s="332"/>
      <c r="L554" s="332"/>
      <c r="Q554" s="152"/>
    </row>
    <row r="555" spans="2:17" ht="13">
      <c r="B555" s="396"/>
      <c r="C555" s="116"/>
      <c r="D555" s="116"/>
      <c r="E555" s="116"/>
      <c r="F555" s="116"/>
      <c r="G555" s="332"/>
      <c r="H555" s="332"/>
      <c r="I555" s="332"/>
      <c r="J555" s="332"/>
      <c r="K555" s="332"/>
      <c r="L555" s="332"/>
      <c r="Q555" s="152"/>
    </row>
    <row r="556" spans="2:17" ht="13">
      <c r="B556" s="396"/>
      <c r="C556" s="116"/>
      <c r="D556" s="116"/>
      <c r="E556" s="116"/>
      <c r="F556" s="116"/>
      <c r="G556" s="332"/>
      <c r="H556" s="332"/>
      <c r="I556" s="332"/>
      <c r="J556" s="332"/>
      <c r="K556" s="332"/>
      <c r="L556" s="332"/>
      <c r="Q556" s="152"/>
    </row>
    <row r="557" spans="2:17" ht="13">
      <c r="B557" s="396"/>
      <c r="C557" s="116"/>
      <c r="D557" s="116"/>
      <c r="E557" s="116"/>
      <c r="F557" s="116"/>
      <c r="G557" s="332"/>
      <c r="H557" s="332"/>
      <c r="I557" s="332"/>
      <c r="J557" s="332"/>
      <c r="K557" s="332"/>
      <c r="L557" s="332"/>
      <c r="Q557" s="152"/>
    </row>
    <row r="558" spans="2:17" ht="13">
      <c r="B558" s="396"/>
      <c r="C558" s="116"/>
      <c r="D558" s="116"/>
      <c r="E558" s="116"/>
      <c r="F558" s="116"/>
      <c r="G558" s="332"/>
      <c r="H558" s="332"/>
      <c r="I558" s="332"/>
      <c r="J558" s="332"/>
      <c r="K558" s="332"/>
      <c r="L558" s="332"/>
      <c r="Q558" s="152"/>
    </row>
    <row r="559" spans="2:17" ht="13">
      <c r="B559" s="396"/>
      <c r="C559" s="116"/>
      <c r="D559" s="116"/>
      <c r="E559" s="116"/>
      <c r="F559" s="116"/>
      <c r="G559" s="332"/>
      <c r="H559" s="332"/>
      <c r="I559" s="332"/>
      <c r="J559" s="332"/>
      <c r="K559" s="332"/>
      <c r="L559" s="332"/>
      <c r="Q559" s="152"/>
    </row>
    <row r="560" spans="2:17" ht="13">
      <c r="B560" s="396"/>
      <c r="C560" s="116"/>
      <c r="D560" s="116"/>
      <c r="E560" s="116"/>
      <c r="F560" s="116"/>
      <c r="G560" s="332"/>
      <c r="H560" s="332"/>
      <c r="I560" s="332"/>
      <c r="J560" s="332"/>
      <c r="K560" s="332"/>
      <c r="L560" s="332"/>
      <c r="Q560" s="152"/>
    </row>
    <row r="561" spans="2:17" ht="13">
      <c r="B561" s="396"/>
      <c r="C561" s="116"/>
      <c r="D561" s="116"/>
      <c r="E561" s="116"/>
      <c r="F561" s="116"/>
      <c r="G561" s="332"/>
      <c r="H561" s="332"/>
      <c r="I561" s="332"/>
      <c r="J561" s="332"/>
      <c r="K561" s="332"/>
      <c r="L561" s="332"/>
      <c r="Q561" s="152"/>
    </row>
    <row r="562" spans="2:17" ht="13">
      <c r="B562" s="396"/>
      <c r="C562" s="116"/>
      <c r="D562" s="116"/>
      <c r="E562" s="116"/>
      <c r="F562" s="116"/>
      <c r="G562" s="332"/>
      <c r="H562" s="332"/>
      <c r="I562" s="332"/>
      <c r="J562" s="332"/>
      <c r="K562" s="332"/>
      <c r="L562" s="332"/>
      <c r="Q562" s="152"/>
    </row>
    <row r="563" spans="2:17" ht="13">
      <c r="B563" s="396"/>
      <c r="C563" s="116"/>
      <c r="D563" s="116"/>
      <c r="E563" s="116"/>
      <c r="F563" s="116"/>
      <c r="G563" s="332"/>
      <c r="H563" s="332"/>
      <c r="I563" s="332"/>
      <c r="J563" s="332"/>
      <c r="K563" s="332"/>
      <c r="L563" s="332"/>
      <c r="Q563" s="152"/>
    </row>
    <row r="564" spans="2:17" ht="13">
      <c r="B564" s="396"/>
      <c r="C564" s="116"/>
      <c r="D564" s="116"/>
      <c r="E564" s="116"/>
      <c r="F564" s="116"/>
      <c r="G564" s="332"/>
      <c r="H564" s="332"/>
      <c r="I564" s="332"/>
      <c r="J564" s="332"/>
      <c r="K564" s="332"/>
      <c r="L564" s="332"/>
      <c r="Q564" s="152"/>
    </row>
    <row r="565" spans="2:17" ht="13">
      <c r="B565" s="396"/>
      <c r="C565" s="116"/>
      <c r="D565" s="116"/>
      <c r="E565" s="116"/>
      <c r="F565" s="116"/>
      <c r="G565" s="332"/>
      <c r="H565" s="332"/>
      <c r="I565" s="332"/>
      <c r="J565" s="332"/>
      <c r="K565" s="332"/>
      <c r="L565" s="332"/>
      <c r="Q565" s="152"/>
    </row>
    <row r="566" spans="2:17" ht="13">
      <c r="B566" s="396"/>
      <c r="C566" s="116"/>
      <c r="D566" s="116"/>
      <c r="E566" s="116"/>
      <c r="F566" s="116"/>
      <c r="G566" s="332"/>
      <c r="H566" s="332"/>
      <c r="I566" s="332"/>
      <c r="J566" s="332"/>
      <c r="K566" s="332"/>
      <c r="L566" s="332"/>
      <c r="Q566" s="152"/>
    </row>
    <row r="567" spans="2:17" ht="13">
      <c r="B567" s="396"/>
      <c r="C567" s="116"/>
      <c r="D567" s="116"/>
      <c r="E567" s="116"/>
      <c r="F567" s="116"/>
      <c r="G567" s="332"/>
      <c r="H567" s="332"/>
      <c r="I567" s="332"/>
      <c r="J567" s="332"/>
      <c r="K567" s="332"/>
      <c r="L567" s="332"/>
      <c r="Q567" s="152"/>
    </row>
    <row r="568" spans="2:17" ht="13">
      <c r="B568" s="396"/>
      <c r="C568" s="116"/>
      <c r="D568" s="116"/>
      <c r="E568" s="116"/>
      <c r="F568" s="116"/>
      <c r="G568" s="332"/>
      <c r="H568" s="332"/>
      <c r="I568" s="332"/>
      <c r="J568" s="332"/>
      <c r="K568" s="332"/>
      <c r="L568" s="332"/>
      <c r="Q568" s="152"/>
    </row>
    <row r="569" spans="2:17" ht="13">
      <c r="B569" s="396"/>
      <c r="C569" s="116"/>
      <c r="D569" s="116"/>
      <c r="E569" s="116"/>
      <c r="F569" s="116"/>
      <c r="G569" s="332"/>
      <c r="H569" s="332"/>
      <c r="I569" s="332"/>
      <c r="J569" s="332"/>
      <c r="K569" s="332"/>
      <c r="L569" s="332"/>
      <c r="Q569" s="152"/>
    </row>
    <row r="570" spans="2:17" ht="13">
      <c r="B570" s="396"/>
      <c r="C570" s="116"/>
      <c r="D570" s="116"/>
      <c r="E570" s="116"/>
      <c r="F570" s="116"/>
      <c r="G570" s="332"/>
      <c r="H570" s="332"/>
      <c r="I570" s="332"/>
      <c r="J570" s="332"/>
      <c r="K570" s="332"/>
      <c r="L570" s="332"/>
      <c r="Q570" s="152"/>
    </row>
    <row r="571" spans="2:17" ht="13">
      <c r="B571" s="396"/>
      <c r="C571" s="116"/>
      <c r="D571" s="116"/>
      <c r="E571" s="116"/>
      <c r="F571" s="116"/>
      <c r="G571" s="332"/>
      <c r="H571" s="332"/>
      <c r="I571" s="332"/>
      <c r="J571" s="332"/>
      <c r="K571" s="332"/>
      <c r="L571" s="332"/>
      <c r="Q571" s="152"/>
    </row>
    <row r="572" spans="2:17" ht="13">
      <c r="B572" s="396"/>
      <c r="C572" s="116"/>
      <c r="D572" s="116"/>
      <c r="E572" s="116"/>
      <c r="F572" s="116"/>
      <c r="G572" s="332"/>
      <c r="H572" s="332"/>
      <c r="I572" s="332"/>
      <c r="J572" s="332"/>
      <c r="K572" s="332"/>
      <c r="L572" s="332"/>
      <c r="Q572" s="152"/>
    </row>
    <row r="573" spans="2:17" ht="13">
      <c r="B573" s="396"/>
      <c r="C573" s="116"/>
      <c r="D573" s="116"/>
      <c r="E573" s="116"/>
      <c r="F573" s="116"/>
      <c r="G573" s="332"/>
      <c r="H573" s="332"/>
      <c r="I573" s="332"/>
      <c r="J573" s="332"/>
      <c r="K573" s="332"/>
      <c r="L573" s="332"/>
      <c r="Q573" s="152"/>
    </row>
    <row r="574" spans="2:17" ht="13">
      <c r="B574" s="396"/>
      <c r="C574" s="116"/>
      <c r="D574" s="116"/>
      <c r="E574" s="116"/>
      <c r="F574" s="116"/>
      <c r="G574" s="332"/>
      <c r="H574" s="332"/>
      <c r="I574" s="332"/>
      <c r="J574" s="332"/>
      <c r="K574" s="332"/>
      <c r="L574" s="332"/>
      <c r="Q574" s="152"/>
    </row>
    <row r="575" spans="2:17" ht="13">
      <c r="B575" s="396"/>
      <c r="C575" s="116"/>
      <c r="D575" s="116"/>
      <c r="E575" s="116"/>
      <c r="F575" s="116"/>
      <c r="G575" s="332"/>
      <c r="H575" s="332"/>
      <c r="I575" s="332"/>
      <c r="J575" s="332"/>
      <c r="K575" s="332"/>
      <c r="L575" s="332"/>
      <c r="Q575" s="152"/>
    </row>
    <row r="576" spans="2:17" ht="13">
      <c r="B576" s="396"/>
      <c r="C576" s="116"/>
      <c r="D576" s="116"/>
      <c r="E576" s="116"/>
      <c r="F576" s="116"/>
      <c r="G576" s="332"/>
      <c r="H576" s="332"/>
      <c r="I576" s="332"/>
      <c r="J576" s="332"/>
      <c r="K576" s="332"/>
      <c r="L576" s="332"/>
      <c r="Q576" s="152"/>
    </row>
    <row r="577" spans="2:17" ht="13">
      <c r="B577" s="396"/>
      <c r="C577" s="116"/>
      <c r="D577" s="116"/>
      <c r="E577" s="116"/>
      <c r="F577" s="116"/>
      <c r="G577" s="332"/>
      <c r="H577" s="332"/>
      <c r="I577" s="332"/>
      <c r="J577" s="332"/>
      <c r="K577" s="332"/>
      <c r="L577" s="332"/>
      <c r="Q577" s="152"/>
    </row>
    <row r="578" spans="2:17" ht="13">
      <c r="B578" s="396"/>
      <c r="C578" s="116"/>
      <c r="D578" s="116"/>
      <c r="E578" s="116"/>
      <c r="F578" s="116"/>
      <c r="G578" s="332"/>
      <c r="H578" s="332"/>
      <c r="I578" s="332"/>
      <c r="J578" s="332"/>
      <c r="K578" s="332"/>
      <c r="L578" s="332"/>
      <c r="Q578" s="152"/>
    </row>
    <row r="579" spans="2:17" ht="13">
      <c r="B579" s="396"/>
      <c r="C579" s="116"/>
      <c r="D579" s="116"/>
      <c r="E579" s="116"/>
      <c r="F579" s="116"/>
      <c r="G579" s="332"/>
      <c r="H579" s="332"/>
      <c r="I579" s="332"/>
      <c r="J579" s="332"/>
      <c r="K579" s="332"/>
      <c r="L579" s="332"/>
      <c r="Q579" s="152"/>
    </row>
    <row r="580" spans="2:17" ht="13">
      <c r="B580" s="396"/>
      <c r="C580" s="116"/>
      <c r="D580" s="116"/>
      <c r="E580" s="116"/>
      <c r="F580" s="116"/>
      <c r="G580" s="332"/>
      <c r="H580" s="332"/>
      <c r="I580" s="332"/>
      <c r="J580" s="332"/>
      <c r="K580" s="332"/>
      <c r="L580" s="332"/>
      <c r="Q580" s="152"/>
    </row>
    <row r="581" spans="2:17" ht="13">
      <c r="B581" s="396"/>
      <c r="C581" s="116"/>
      <c r="D581" s="116"/>
      <c r="E581" s="116"/>
      <c r="F581" s="116"/>
      <c r="G581" s="332"/>
      <c r="H581" s="332"/>
      <c r="I581" s="332"/>
      <c r="J581" s="332"/>
      <c r="K581" s="332"/>
      <c r="L581" s="332"/>
      <c r="Q581" s="152"/>
    </row>
    <row r="582" spans="2:17" ht="13">
      <c r="B582" s="396"/>
      <c r="C582" s="116"/>
      <c r="D582" s="116"/>
      <c r="E582" s="116"/>
      <c r="F582" s="116"/>
      <c r="G582" s="332"/>
      <c r="H582" s="332"/>
      <c r="I582" s="332"/>
      <c r="J582" s="332"/>
      <c r="K582" s="332"/>
      <c r="L582" s="332"/>
      <c r="Q582" s="152"/>
    </row>
    <row r="583" spans="2:17" ht="13">
      <c r="B583" s="396"/>
      <c r="C583" s="116"/>
      <c r="D583" s="116"/>
      <c r="E583" s="116"/>
      <c r="F583" s="116"/>
      <c r="G583" s="332"/>
      <c r="H583" s="332"/>
      <c r="I583" s="332"/>
      <c r="J583" s="332"/>
      <c r="K583" s="332"/>
      <c r="L583" s="332"/>
      <c r="Q583" s="152"/>
    </row>
    <row r="584" spans="2:17" ht="13">
      <c r="B584" s="396"/>
      <c r="C584" s="116"/>
      <c r="D584" s="116"/>
      <c r="E584" s="116"/>
      <c r="F584" s="116"/>
      <c r="G584" s="332"/>
      <c r="H584" s="332"/>
      <c r="I584" s="332"/>
      <c r="J584" s="332"/>
      <c r="K584" s="332"/>
      <c r="L584" s="332"/>
      <c r="Q584" s="152"/>
    </row>
    <row r="585" spans="2:17" ht="13">
      <c r="B585" s="396"/>
      <c r="C585" s="116"/>
      <c r="D585" s="116"/>
      <c r="E585" s="116"/>
      <c r="F585" s="116"/>
      <c r="G585" s="332"/>
      <c r="H585" s="332"/>
      <c r="I585" s="332"/>
      <c r="J585" s="332"/>
      <c r="K585" s="332"/>
      <c r="L585" s="332"/>
      <c r="Q585" s="152"/>
    </row>
    <row r="586" spans="2:17" ht="13">
      <c r="B586" s="396"/>
      <c r="C586" s="116"/>
      <c r="D586" s="116"/>
      <c r="E586" s="116"/>
      <c r="F586" s="116"/>
      <c r="G586" s="332"/>
      <c r="H586" s="332"/>
      <c r="I586" s="332"/>
      <c r="J586" s="332"/>
      <c r="K586" s="332"/>
      <c r="L586" s="332"/>
      <c r="Q586" s="152"/>
    </row>
    <row r="587" spans="2:17" ht="13">
      <c r="B587" s="396"/>
      <c r="C587" s="116"/>
      <c r="D587" s="116"/>
      <c r="E587" s="116"/>
      <c r="F587" s="116"/>
      <c r="G587" s="332"/>
      <c r="H587" s="332"/>
      <c r="I587" s="332"/>
      <c r="J587" s="332"/>
      <c r="K587" s="332"/>
      <c r="L587" s="332"/>
      <c r="Q587" s="152"/>
    </row>
    <row r="588" spans="2:17" ht="13">
      <c r="B588" s="396"/>
      <c r="C588" s="116"/>
      <c r="D588" s="116"/>
      <c r="E588" s="116"/>
      <c r="F588" s="116"/>
      <c r="G588" s="332"/>
      <c r="H588" s="332"/>
      <c r="I588" s="332"/>
      <c r="J588" s="332"/>
      <c r="K588" s="332"/>
      <c r="L588" s="332"/>
      <c r="Q588" s="152"/>
    </row>
    <row r="589" spans="2:17" ht="13">
      <c r="B589" s="396"/>
      <c r="C589" s="116"/>
      <c r="D589" s="116"/>
      <c r="E589" s="116"/>
      <c r="F589" s="116"/>
      <c r="G589" s="332"/>
      <c r="H589" s="332"/>
      <c r="I589" s="332"/>
      <c r="J589" s="332"/>
      <c r="K589" s="332"/>
      <c r="L589" s="332"/>
      <c r="Q589" s="152"/>
    </row>
    <row r="590" spans="2:17" ht="13">
      <c r="B590" s="396"/>
      <c r="C590" s="116"/>
      <c r="D590" s="116"/>
      <c r="E590" s="116"/>
      <c r="F590" s="116"/>
      <c r="G590" s="332"/>
      <c r="H590" s="332"/>
      <c r="I590" s="332"/>
      <c r="J590" s="332"/>
      <c r="K590" s="332"/>
      <c r="L590" s="332"/>
      <c r="Q590" s="152"/>
    </row>
    <row r="591" spans="2:17" ht="13">
      <c r="B591" s="396"/>
      <c r="C591" s="116"/>
      <c r="D591" s="116"/>
      <c r="E591" s="116"/>
      <c r="F591" s="116"/>
      <c r="G591" s="332"/>
      <c r="H591" s="332"/>
      <c r="I591" s="332"/>
      <c r="J591" s="332"/>
      <c r="K591" s="332"/>
      <c r="L591" s="332"/>
      <c r="Q591" s="152"/>
    </row>
    <row r="592" spans="2:17" ht="13">
      <c r="B592" s="396"/>
      <c r="C592" s="116"/>
      <c r="D592" s="116"/>
      <c r="E592" s="116"/>
      <c r="F592" s="116"/>
      <c r="G592" s="332"/>
      <c r="H592" s="332"/>
      <c r="I592" s="332"/>
      <c r="J592" s="332"/>
      <c r="K592" s="332"/>
      <c r="L592" s="332"/>
      <c r="Q592" s="152"/>
    </row>
    <row r="593" spans="2:17" ht="13">
      <c r="B593" s="396"/>
      <c r="C593" s="116"/>
      <c r="D593" s="116"/>
      <c r="E593" s="116"/>
      <c r="F593" s="116"/>
      <c r="G593" s="332"/>
      <c r="H593" s="332"/>
      <c r="I593" s="332"/>
      <c r="J593" s="332"/>
      <c r="K593" s="332"/>
      <c r="L593" s="332"/>
      <c r="Q593" s="152"/>
    </row>
    <row r="594" spans="2:17" ht="13">
      <c r="B594" s="396"/>
      <c r="C594" s="116"/>
      <c r="D594" s="116"/>
      <c r="E594" s="116"/>
      <c r="F594" s="116"/>
      <c r="G594" s="332"/>
      <c r="H594" s="332"/>
      <c r="I594" s="332"/>
      <c r="J594" s="332"/>
      <c r="K594" s="332"/>
      <c r="L594" s="332"/>
      <c r="Q594" s="152"/>
    </row>
    <row r="595" spans="2:17" ht="13">
      <c r="B595" s="396"/>
      <c r="C595" s="116"/>
      <c r="D595" s="116"/>
      <c r="E595" s="116"/>
      <c r="F595" s="116"/>
      <c r="G595" s="332"/>
      <c r="H595" s="332"/>
      <c r="I595" s="332"/>
      <c r="J595" s="332"/>
      <c r="K595" s="332"/>
      <c r="L595" s="332"/>
      <c r="Q595" s="152"/>
    </row>
    <row r="596" spans="2:17" ht="13">
      <c r="B596" s="396"/>
      <c r="C596" s="116"/>
      <c r="D596" s="116"/>
      <c r="E596" s="116"/>
      <c r="F596" s="116"/>
      <c r="G596" s="332"/>
      <c r="H596" s="332"/>
      <c r="I596" s="332"/>
      <c r="J596" s="332"/>
      <c r="K596" s="332"/>
      <c r="L596" s="332"/>
      <c r="Q596" s="152"/>
    </row>
    <row r="597" spans="2:17" ht="13">
      <c r="B597" s="396"/>
      <c r="C597" s="116"/>
      <c r="D597" s="116"/>
      <c r="E597" s="116"/>
      <c r="F597" s="116"/>
      <c r="G597" s="332"/>
      <c r="H597" s="332"/>
      <c r="I597" s="332"/>
      <c r="J597" s="332"/>
      <c r="K597" s="332"/>
      <c r="L597" s="332"/>
      <c r="Q597" s="152"/>
    </row>
    <row r="598" spans="2:17" ht="13">
      <c r="B598" s="396"/>
      <c r="C598" s="116"/>
      <c r="D598" s="116"/>
      <c r="E598" s="116"/>
      <c r="F598" s="116"/>
      <c r="G598" s="332"/>
      <c r="H598" s="332"/>
      <c r="I598" s="332"/>
      <c r="J598" s="332"/>
      <c r="K598" s="332"/>
      <c r="L598" s="332"/>
      <c r="Q598" s="152"/>
    </row>
    <row r="599" spans="2:17" ht="13">
      <c r="B599" s="396"/>
      <c r="C599" s="116"/>
      <c r="D599" s="116"/>
      <c r="E599" s="116"/>
      <c r="F599" s="116"/>
      <c r="G599" s="332"/>
      <c r="H599" s="332"/>
      <c r="I599" s="332"/>
      <c r="J599" s="332"/>
      <c r="K599" s="332"/>
      <c r="L599" s="332"/>
      <c r="Q599" s="152"/>
    </row>
    <row r="600" spans="2:17" ht="13">
      <c r="B600" s="396"/>
      <c r="C600" s="116"/>
      <c r="D600" s="116"/>
      <c r="E600" s="116"/>
      <c r="F600" s="116"/>
      <c r="G600" s="332"/>
      <c r="H600" s="332"/>
      <c r="I600" s="332"/>
      <c r="J600" s="332"/>
      <c r="K600" s="332"/>
      <c r="L600" s="332"/>
      <c r="Q600" s="152"/>
    </row>
    <row r="601" spans="2:17" ht="13">
      <c r="B601" s="396"/>
      <c r="C601" s="116"/>
      <c r="D601" s="116"/>
      <c r="E601" s="116"/>
      <c r="F601" s="116"/>
      <c r="G601" s="332"/>
      <c r="H601" s="332"/>
      <c r="I601" s="332"/>
      <c r="J601" s="332"/>
      <c r="K601" s="332"/>
      <c r="L601" s="332"/>
      <c r="Q601" s="152"/>
    </row>
    <row r="602" spans="2:17" ht="13">
      <c r="B602" s="396"/>
      <c r="C602" s="116"/>
      <c r="D602" s="116"/>
      <c r="E602" s="116"/>
      <c r="F602" s="116"/>
      <c r="G602" s="332"/>
      <c r="H602" s="332"/>
      <c r="I602" s="332"/>
      <c r="J602" s="332"/>
      <c r="K602" s="332"/>
      <c r="L602" s="332"/>
      <c r="Q602" s="152"/>
    </row>
    <row r="603" spans="2:17" ht="13">
      <c r="B603" s="396"/>
      <c r="C603" s="116"/>
      <c r="D603" s="116"/>
      <c r="E603" s="116"/>
      <c r="F603" s="116"/>
      <c r="G603" s="332"/>
      <c r="H603" s="332"/>
      <c r="I603" s="332"/>
      <c r="J603" s="332"/>
      <c r="K603" s="332"/>
      <c r="L603" s="332"/>
      <c r="Q603" s="152"/>
    </row>
    <row r="604" spans="2:17" ht="13">
      <c r="B604" s="396"/>
      <c r="C604" s="116"/>
      <c r="D604" s="116"/>
      <c r="E604" s="116"/>
      <c r="F604" s="116"/>
      <c r="G604" s="332"/>
      <c r="H604" s="332"/>
      <c r="I604" s="332"/>
      <c r="J604" s="332"/>
      <c r="K604" s="332"/>
      <c r="L604" s="332"/>
      <c r="Q604" s="152"/>
    </row>
    <row r="605" spans="2:17" ht="13">
      <c r="B605" s="396"/>
      <c r="C605" s="116"/>
      <c r="D605" s="116"/>
      <c r="E605" s="116"/>
      <c r="F605" s="116"/>
      <c r="G605" s="332"/>
      <c r="H605" s="332"/>
      <c r="I605" s="332"/>
      <c r="J605" s="332"/>
      <c r="K605" s="332"/>
      <c r="L605" s="332"/>
      <c r="Q605" s="152"/>
    </row>
    <row r="606" spans="2:17" ht="13">
      <c r="B606" s="396"/>
      <c r="C606" s="116"/>
      <c r="D606" s="116"/>
      <c r="E606" s="116"/>
      <c r="F606" s="116"/>
      <c r="G606" s="332"/>
      <c r="H606" s="332"/>
      <c r="I606" s="332"/>
      <c r="J606" s="332"/>
      <c r="K606" s="332"/>
      <c r="L606" s="332"/>
      <c r="Q606" s="152"/>
    </row>
    <row r="607" spans="2:17" ht="13">
      <c r="B607" s="396"/>
      <c r="C607" s="116"/>
      <c r="D607" s="116"/>
      <c r="E607" s="116"/>
      <c r="F607" s="116"/>
      <c r="G607" s="332"/>
      <c r="H607" s="332"/>
      <c r="I607" s="332"/>
      <c r="J607" s="332"/>
      <c r="K607" s="332"/>
      <c r="L607" s="332"/>
      <c r="Q607" s="152"/>
    </row>
    <row r="608" spans="2:17" ht="13">
      <c r="B608" s="396"/>
      <c r="C608" s="116"/>
      <c r="D608" s="116"/>
      <c r="E608" s="116"/>
      <c r="F608" s="116"/>
      <c r="G608" s="332"/>
      <c r="H608" s="332"/>
      <c r="I608" s="332"/>
      <c r="J608" s="332"/>
      <c r="K608" s="332"/>
      <c r="L608" s="332"/>
      <c r="Q608" s="152"/>
    </row>
    <row r="609" spans="2:17" ht="13">
      <c r="B609" s="396"/>
      <c r="C609" s="116"/>
      <c r="D609" s="116"/>
      <c r="E609" s="116"/>
      <c r="F609" s="116"/>
      <c r="G609" s="332"/>
      <c r="H609" s="332"/>
      <c r="I609" s="332"/>
      <c r="J609" s="332"/>
      <c r="K609" s="332"/>
      <c r="L609" s="332"/>
      <c r="Q609" s="152"/>
    </row>
    <row r="610" spans="2:17" ht="13">
      <c r="B610" s="396"/>
      <c r="C610" s="116"/>
      <c r="D610" s="116"/>
      <c r="E610" s="116"/>
      <c r="F610" s="116"/>
      <c r="G610" s="332"/>
      <c r="H610" s="332"/>
      <c r="I610" s="332"/>
      <c r="J610" s="332"/>
      <c r="K610" s="332"/>
      <c r="L610" s="332"/>
      <c r="Q610" s="152"/>
    </row>
    <row r="611" spans="2:17" ht="13">
      <c r="B611" s="396"/>
      <c r="C611" s="116"/>
      <c r="D611" s="116"/>
      <c r="E611" s="116"/>
      <c r="F611" s="116"/>
      <c r="G611" s="332"/>
      <c r="H611" s="332"/>
      <c r="I611" s="332"/>
      <c r="J611" s="332"/>
      <c r="K611" s="332"/>
      <c r="L611" s="332"/>
      <c r="Q611" s="152"/>
    </row>
    <row r="612" spans="2:17" ht="13">
      <c r="B612" s="396"/>
      <c r="C612" s="116"/>
      <c r="D612" s="116"/>
      <c r="E612" s="116"/>
      <c r="F612" s="116"/>
      <c r="G612" s="332"/>
      <c r="H612" s="332"/>
      <c r="I612" s="332"/>
      <c r="J612" s="332"/>
      <c r="K612" s="332"/>
      <c r="L612" s="332"/>
      <c r="Q612" s="152"/>
    </row>
    <row r="613" spans="2:17" ht="13">
      <c r="B613" s="396"/>
      <c r="C613" s="116"/>
      <c r="D613" s="116"/>
      <c r="E613" s="116"/>
      <c r="F613" s="116"/>
      <c r="G613" s="332"/>
      <c r="H613" s="332"/>
      <c r="I613" s="332"/>
      <c r="J613" s="332"/>
      <c r="K613" s="332"/>
      <c r="L613" s="332"/>
      <c r="Q613" s="152"/>
    </row>
    <row r="614" spans="2:17" ht="13">
      <c r="B614" s="396"/>
      <c r="C614" s="116"/>
      <c r="D614" s="116"/>
      <c r="E614" s="116"/>
      <c r="F614" s="116"/>
      <c r="G614" s="332"/>
      <c r="H614" s="332"/>
      <c r="I614" s="332"/>
      <c r="J614" s="332"/>
      <c r="K614" s="332"/>
      <c r="L614" s="332"/>
      <c r="Q614" s="152"/>
    </row>
    <row r="615" spans="2:17" ht="13">
      <c r="B615" s="396"/>
      <c r="C615" s="116"/>
      <c r="D615" s="116"/>
      <c r="E615" s="116"/>
      <c r="F615" s="116"/>
      <c r="G615" s="332"/>
      <c r="H615" s="332"/>
      <c r="I615" s="332"/>
      <c r="J615" s="332"/>
      <c r="K615" s="332"/>
      <c r="L615" s="332"/>
      <c r="Q615" s="152"/>
    </row>
    <row r="616" spans="2:17" ht="13">
      <c r="B616" s="396"/>
      <c r="C616" s="116"/>
      <c r="D616" s="116"/>
      <c r="E616" s="116"/>
      <c r="F616" s="116"/>
      <c r="G616" s="332"/>
      <c r="H616" s="332"/>
      <c r="I616" s="332"/>
      <c r="J616" s="332"/>
      <c r="K616" s="332"/>
      <c r="L616" s="332"/>
      <c r="Q616" s="152"/>
    </row>
    <row r="617" spans="2:17" ht="13">
      <c r="B617" s="396"/>
      <c r="C617" s="116"/>
      <c r="D617" s="116"/>
      <c r="E617" s="116"/>
      <c r="F617" s="116"/>
      <c r="G617" s="332"/>
      <c r="H617" s="332"/>
      <c r="I617" s="332"/>
      <c r="J617" s="332"/>
      <c r="K617" s="332"/>
      <c r="L617" s="332"/>
      <c r="Q617" s="152"/>
    </row>
    <row r="618" spans="2:17" ht="13">
      <c r="B618" s="396"/>
      <c r="C618" s="116"/>
      <c r="D618" s="116"/>
      <c r="E618" s="116"/>
      <c r="F618" s="116"/>
      <c r="G618" s="332"/>
      <c r="H618" s="332"/>
      <c r="I618" s="332"/>
      <c r="J618" s="332"/>
      <c r="K618" s="332"/>
      <c r="L618" s="332"/>
      <c r="Q618" s="152"/>
    </row>
    <row r="619" spans="2:17" ht="13">
      <c r="B619" s="396"/>
      <c r="C619" s="116"/>
      <c r="D619" s="116"/>
      <c r="E619" s="116"/>
      <c r="F619" s="116"/>
      <c r="G619" s="332"/>
      <c r="H619" s="332"/>
      <c r="I619" s="332"/>
      <c r="J619" s="332"/>
      <c r="K619" s="332"/>
      <c r="L619" s="332"/>
      <c r="Q619" s="152"/>
    </row>
    <row r="620" spans="2:17" ht="13">
      <c r="B620" s="396"/>
      <c r="C620" s="116"/>
      <c r="D620" s="116"/>
      <c r="E620" s="116"/>
      <c r="F620" s="116"/>
      <c r="G620" s="332"/>
      <c r="H620" s="332"/>
      <c r="I620" s="332"/>
      <c r="J620" s="332"/>
      <c r="K620" s="332"/>
      <c r="L620" s="332"/>
      <c r="Q620" s="152"/>
    </row>
    <row r="621" spans="2:17" ht="13">
      <c r="B621" s="396"/>
      <c r="C621" s="116"/>
      <c r="D621" s="116"/>
      <c r="E621" s="116"/>
      <c r="F621" s="116"/>
      <c r="G621" s="332"/>
      <c r="H621" s="332"/>
      <c r="I621" s="332"/>
      <c r="J621" s="332"/>
      <c r="K621" s="332"/>
      <c r="L621" s="332"/>
      <c r="Q621" s="152"/>
    </row>
    <row r="622" spans="2:17" ht="13">
      <c r="B622" s="396"/>
      <c r="C622" s="116"/>
      <c r="D622" s="116"/>
      <c r="E622" s="116"/>
      <c r="F622" s="116"/>
      <c r="G622" s="332"/>
      <c r="H622" s="332"/>
      <c r="I622" s="332"/>
      <c r="J622" s="332"/>
      <c r="K622" s="332"/>
      <c r="L622" s="332"/>
      <c r="Q622" s="152"/>
    </row>
    <row r="623" spans="2:17" ht="13">
      <c r="B623" s="396"/>
      <c r="C623" s="116"/>
      <c r="D623" s="116"/>
      <c r="E623" s="116"/>
      <c r="F623" s="116"/>
      <c r="G623" s="332"/>
      <c r="H623" s="332"/>
      <c r="I623" s="332"/>
      <c r="J623" s="332"/>
      <c r="K623" s="332"/>
      <c r="L623" s="332"/>
      <c r="Q623" s="152"/>
    </row>
    <row r="624" spans="2:17" ht="13">
      <c r="B624" s="396"/>
      <c r="C624" s="116"/>
      <c r="D624" s="116"/>
      <c r="E624" s="116"/>
      <c r="F624" s="116"/>
      <c r="G624" s="332"/>
      <c r="H624" s="332"/>
      <c r="I624" s="332"/>
      <c r="J624" s="332"/>
      <c r="K624" s="332"/>
      <c r="L624" s="332"/>
      <c r="Q624" s="152"/>
    </row>
    <row r="625" spans="2:17" ht="13">
      <c r="B625" s="396"/>
      <c r="C625" s="116"/>
      <c r="D625" s="116"/>
      <c r="E625" s="116"/>
      <c r="F625" s="116"/>
      <c r="G625" s="332"/>
      <c r="H625" s="332"/>
      <c r="I625" s="332"/>
      <c r="J625" s="332"/>
      <c r="K625" s="332"/>
      <c r="L625" s="332"/>
      <c r="Q625" s="152"/>
    </row>
    <row r="626" spans="2:17" ht="13">
      <c r="B626" s="396"/>
      <c r="C626" s="116"/>
      <c r="D626" s="116"/>
      <c r="E626" s="116"/>
      <c r="F626" s="116"/>
      <c r="G626" s="332"/>
      <c r="H626" s="332"/>
      <c r="I626" s="332"/>
      <c r="J626" s="332"/>
      <c r="K626" s="332"/>
      <c r="L626" s="332"/>
      <c r="Q626" s="152"/>
    </row>
    <row r="627" spans="2:17" ht="13">
      <c r="B627" s="396"/>
      <c r="C627" s="116"/>
      <c r="D627" s="116"/>
      <c r="E627" s="116"/>
      <c r="F627" s="116"/>
      <c r="G627" s="332"/>
      <c r="H627" s="332"/>
      <c r="I627" s="332"/>
      <c r="J627" s="332"/>
      <c r="K627" s="332"/>
      <c r="L627" s="332"/>
      <c r="Q627" s="152"/>
    </row>
    <row r="628" spans="2:17" ht="13">
      <c r="B628" s="396"/>
      <c r="C628" s="116"/>
      <c r="D628" s="116"/>
      <c r="E628" s="116"/>
      <c r="F628" s="116"/>
      <c r="G628" s="332"/>
      <c r="H628" s="332"/>
      <c r="I628" s="332"/>
      <c r="J628" s="332"/>
      <c r="K628" s="332"/>
      <c r="L628" s="332"/>
      <c r="Q628" s="152"/>
    </row>
    <row r="629" spans="2:17" ht="13">
      <c r="B629" s="396"/>
      <c r="C629" s="116"/>
      <c r="D629" s="116"/>
      <c r="E629" s="116"/>
      <c r="F629" s="116"/>
      <c r="G629" s="332"/>
      <c r="H629" s="332"/>
      <c r="I629" s="332"/>
      <c r="J629" s="332"/>
      <c r="K629" s="332"/>
      <c r="L629" s="332"/>
      <c r="Q629" s="152"/>
    </row>
    <row r="630" spans="2:17" ht="13">
      <c r="B630" s="396"/>
      <c r="C630" s="116"/>
      <c r="D630" s="116"/>
      <c r="E630" s="116"/>
      <c r="F630" s="116"/>
      <c r="G630" s="332"/>
      <c r="H630" s="332"/>
      <c r="I630" s="332"/>
      <c r="J630" s="332"/>
      <c r="K630" s="332"/>
      <c r="L630" s="332"/>
      <c r="Q630" s="152"/>
    </row>
    <row r="631" spans="2:17" ht="13">
      <c r="B631" s="396"/>
      <c r="C631" s="116"/>
      <c r="D631" s="116"/>
      <c r="E631" s="116"/>
      <c r="F631" s="116"/>
      <c r="G631" s="332"/>
      <c r="H631" s="332"/>
      <c r="I631" s="332"/>
      <c r="J631" s="332"/>
      <c r="K631" s="332"/>
      <c r="L631" s="332"/>
      <c r="Q631" s="152"/>
    </row>
    <row r="632" spans="2:17" ht="13">
      <c r="B632" s="396"/>
      <c r="C632" s="116"/>
      <c r="D632" s="116"/>
      <c r="E632" s="116"/>
      <c r="F632" s="116"/>
      <c r="G632" s="332"/>
      <c r="H632" s="332"/>
      <c r="I632" s="332"/>
      <c r="J632" s="332"/>
      <c r="K632" s="332"/>
      <c r="L632" s="332"/>
      <c r="Q632" s="152"/>
    </row>
    <row r="633" spans="2:17" ht="13">
      <c r="B633" s="396"/>
      <c r="C633" s="116"/>
      <c r="D633" s="116"/>
      <c r="E633" s="116"/>
      <c r="F633" s="116"/>
      <c r="G633" s="332"/>
      <c r="H633" s="332"/>
      <c r="I633" s="332"/>
      <c r="J633" s="332"/>
      <c r="K633" s="332"/>
      <c r="L633" s="332"/>
      <c r="Q633" s="152"/>
    </row>
    <row r="634" spans="2:17" ht="13">
      <c r="B634" s="396"/>
      <c r="C634" s="116"/>
      <c r="D634" s="116"/>
      <c r="E634" s="116"/>
      <c r="F634" s="116"/>
      <c r="G634" s="332"/>
      <c r="H634" s="332"/>
      <c r="I634" s="332"/>
      <c r="J634" s="332"/>
      <c r="K634" s="332"/>
      <c r="L634" s="332"/>
      <c r="Q634" s="152"/>
    </row>
    <row r="635" spans="2:17" ht="13">
      <c r="B635" s="396"/>
      <c r="C635" s="116"/>
      <c r="D635" s="116"/>
      <c r="E635" s="116"/>
      <c r="F635" s="116"/>
      <c r="G635" s="332"/>
      <c r="H635" s="332"/>
      <c r="I635" s="332"/>
      <c r="J635" s="332"/>
      <c r="K635" s="332"/>
      <c r="L635" s="332"/>
      <c r="Q635" s="152"/>
    </row>
    <row r="636" spans="2:17" ht="13">
      <c r="B636" s="396"/>
      <c r="C636" s="116"/>
      <c r="D636" s="116"/>
      <c r="E636" s="116"/>
      <c r="F636" s="116"/>
      <c r="G636" s="332"/>
      <c r="H636" s="332"/>
      <c r="I636" s="332"/>
      <c r="J636" s="332"/>
      <c r="K636" s="332"/>
      <c r="L636" s="332"/>
      <c r="Q636" s="152"/>
    </row>
    <row r="637" spans="2:17" ht="13">
      <c r="B637" s="396"/>
      <c r="C637" s="116"/>
      <c r="D637" s="116"/>
      <c r="E637" s="116"/>
      <c r="F637" s="116"/>
      <c r="G637" s="332"/>
      <c r="H637" s="332"/>
      <c r="I637" s="332"/>
      <c r="J637" s="332"/>
      <c r="K637" s="332"/>
      <c r="L637" s="332"/>
      <c r="Q637" s="152"/>
    </row>
    <row r="638" spans="2:17" ht="13">
      <c r="B638" s="396"/>
      <c r="C638" s="116"/>
      <c r="D638" s="116"/>
      <c r="E638" s="116"/>
      <c r="F638" s="116"/>
      <c r="G638" s="332"/>
      <c r="H638" s="332"/>
      <c r="I638" s="332"/>
      <c r="J638" s="332"/>
      <c r="K638" s="332"/>
      <c r="L638" s="332"/>
      <c r="Q638" s="152"/>
    </row>
    <row r="639" spans="2:17" ht="13">
      <c r="B639" s="396"/>
      <c r="C639" s="116"/>
      <c r="D639" s="116"/>
      <c r="E639" s="116"/>
      <c r="F639" s="116"/>
      <c r="G639" s="332"/>
      <c r="H639" s="332"/>
      <c r="I639" s="332"/>
      <c r="J639" s="332"/>
      <c r="K639" s="332"/>
      <c r="L639" s="332"/>
      <c r="Q639" s="152"/>
    </row>
    <row r="640" spans="2:17" ht="13">
      <c r="B640" s="396"/>
      <c r="C640" s="116"/>
      <c r="D640" s="116"/>
      <c r="E640" s="116"/>
      <c r="F640" s="116"/>
      <c r="G640" s="332"/>
      <c r="H640" s="332"/>
      <c r="I640" s="332"/>
      <c r="J640" s="332"/>
      <c r="K640" s="332"/>
      <c r="L640" s="332"/>
      <c r="Q640" s="152"/>
    </row>
    <row r="641" spans="2:17" ht="13">
      <c r="B641" s="396"/>
      <c r="C641" s="116"/>
      <c r="D641" s="116"/>
      <c r="E641" s="116"/>
      <c r="F641" s="116"/>
      <c r="G641" s="332"/>
      <c r="H641" s="332"/>
      <c r="I641" s="332"/>
      <c r="J641" s="332"/>
      <c r="K641" s="332"/>
      <c r="L641" s="332"/>
      <c r="Q641" s="152"/>
    </row>
    <row r="642" spans="2:17" ht="13">
      <c r="B642" s="396"/>
      <c r="C642" s="116"/>
      <c r="D642" s="116"/>
      <c r="E642" s="116"/>
      <c r="F642" s="116"/>
      <c r="G642" s="332"/>
      <c r="H642" s="332"/>
      <c r="I642" s="332"/>
      <c r="J642" s="332"/>
      <c r="K642" s="332"/>
      <c r="L642" s="332"/>
      <c r="Q642" s="152"/>
    </row>
    <row r="643" spans="2:17" ht="13">
      <c r="B643" s="396"/>
      <c r="C643" s="116"/>
      <c r="D643" s="116"/>
      <c r="E643" s="116"/>
      <c r="F643" s="116"/>
      <c r="G643" s="332"/>
      <c r="H643" s="332"/>
      <c r="I643" s="332"/>
      <c r="J643" s="332"/>
      <c r="K643" s="332"/>
      <c r="L643" s="332"/>
      <c r="Q643" s="152"/>
    </row>
    <row r="644" spans="2:17" ht="13">
      <c r="B644" s="396"/>
      <c r="C644" s="116"/>
      <c r="D644" s="116"/>
      <c r="E644" s="116"/>
      <c r="F644" s="116"/>
      <c r="G644" s="332"/>
      <c r="H644" s="332"/>
      <c r="I644" s="332"/>
      <c r="J644" s="332"/>
      <c r="K644" s="332"/>
      <c r="L644" s="332"/>
      <c r="Q644" s="152"/>
    </row>
    <row r="645" spans="2:17" ht="13">
      <c r="B645" s="396"/>
      <c r="C645" s="116"/>
      <c r="D645" s="116"/>
      <c r="E645" s="116"/>
      <c r="F645" s="116"/>
      <c r="G645" s="332"/>
      <c r="H645" s="332"/>
      <c r="I645" s="332"/>
      <c r="J645" s="332"/>
      <c r="K645" s="332"/>
      <c r="L645" s="332"/>
      <c r="Q645" s="152"/>
    </row>
    <row r="646" spans="2:17" ht="13">
      <c r="B646" s="396"/>
      <c r="C646" s="116"/>
      <c r="D646" s="116"/>
      <c r="E646" s="116"/>
      <c r="F646" s="116"/>
      <c r="G646" s="332"/>
      <c r="H646" s="332"/>
      <c r="I646" s="332"/>
      <c r="J646" s="332"/>
      <c r="K646" s="332"/>
      <c r="L646" s="332"/>
      <c r="Q646" s="152"/>
    </row>
    <row r="647" spans="2:17" ht="13">
      <c r="B647" s="396"/>
      <c r="C647" s="116"/>
      <c r="D647" s="116"/>
      <c r="E647" s="116"/>
      <c r="F647" s="116"/>
      <c r="G647" s="332"/>
      <c r="H647" s="332"/>
      <c r="I647" s="332"/>
      <c r="J647" s="332"/>
      <c r="K647" s="332"/>
      <c r="L647" s="332"/>
      <c r="Q647" s="152"/>
    </row>
    <row r="648" spans="2:17" ht="13">
      <c r="B648" s="396"/>
      <c r="C648" s="116"/>
      <c r="D648" s="116"/>
      <c r="E648" s="116"/>
      <c r="F648" s="116"/>
      <c r="G648" s="332"/>
      <c r="H648" s="332"/>
      <c r="I648" s="332"/>
      <c r="J648" s="332"/>
      <c r="K648" s="332"/>
      <c r="L648" s="332"/>
      <c r="Q648" s="152"/>
    </row>
    <row r="649" spans="2:17" ht="13">
      <c r="B649" s="396"/>
      <c r="C649" s="116"/>
      <c r="D649" s="116"/>
      <c r="E649" s="116"/>
      <c r="F649" s="116"/>
      <c r="G649" s="332"/>
      <c r="H649" s="332"/>
      <c r="I649" s="332"/>
      <c r="J649" s="332"/>
      <c r="K649" s="332"/>
      <c r="L649" s="332"/>
      <c r="Q649" s="152"/>
    </row>
    <row r="650" spans="2:17" ht="13">
      <c r="B650" s="396"/>
      <c r="C650" s="116"/>
      <c r="D650" s="116"/>
      <c r="E650" s="116"/>
      <c r="F650" s="116"/>
      <c r="G650" s="332"/>
      <c r="H650" s="332"/>
      <c r="I650" s="332"/>
      <c r="J650" s="332"/>
      <c r="K650" s="332"/>
      <c r="L650" s="332"/>
      <c r="Q650" s="152"/>
    </row>
    <row r="651" spans="2:17" ht="13">
      <c r="B651" s="396"/>
      <c r="C651" s="116"/>
      <c r="D651" s="116"/>
      <c r="E651" s="116"/>
      <c r="F651" s="116"/>
      <c r="G651" s="332"/>
      <c r="H651" s="332"/>
      <c r="I651" s="332"/>
      <c r="J651" s="332"/>
      <c r="K651" s="332"/>
      <c r="L651" s="332"/>
      <c r="Q651" s="152"/>
    </row>
    <row r="652" spans="2:17" ht="13">
      <c r="B652" s="396"/>
      <c r="C652" s="116"/>
      <c r="D652" s="116"/>
      <c r="E652" s="116"/>
      <c r="F652" s="116"/>
      <c r="G652" s="332"/>
      <c r="H652" s="332"/>
      <c r="I652" s="332"/>
      <c r="J652" s="332"/>
      <c r="K652" s="332"/>
      <c r="L652" s="332"/>
      <c r="Q652" s="152"/>
    </row>
    <row r="653" spans="2:17" ht="13">
      <c r="B653" s="396"/>
      <c r="C653" s="116"/>
      <c r="D653" s="116"/>
      <c r="E653" s="116"/>
      <c r="F653" s="116"/>
      <c r="G653" s="332"/>
      <c r="H653" s="332"/>
      <c r="I653" s="332"/>
      <c r="J653" s="332"/>
      <c r="K653" s="332"/>
      <c r="L653" s="332"/>
      <c r="Q653" s="152"/>
    </row>
    <row r="654" spans="2:17" ht="13">
      <c r="B654" s="396"/>
      <c r="C654" s="116"/>
      <c r="D654" s="116"/>
      <c r="E654" s="116"/>
      <c r="F654" s="116"/>
      <c r="G654" s="332"/>
      <c r="H654" s="332"/>
      <c r="I654" s="332"/>
      <c r="J654" s="332"/>
      <c r="K654" s="332"/>
      <c r="L654" s="332"/>
      <c r="Q654" s="152"/>
    </row>
    <row r="655" spans="2:17" ht="13">
      <c r="B655" s="396"/>
      <c r="C655" s="116"/>
      <c r="D655" s="116"/>
      <c r="E655" s="116"/>
      <c r="F655" s="116"/>
      <c r="G655" s="332"/>
      <c r="H655" s="332"/>
      <c r="I655" s="332"/>
      <c r="J655" s="332"/>
      <c r="K655" s="332"/>
      <c r="L655" s="332"/>
      <c r="Q655" s="152"/>
    </row>
    <row r="656" spans="2:17" ht="13">
      <c r="B656" s="396"/>
      <c r="C656" s="116"/>
      <c r="D656" s="116"/>
      <c r="E656" s="116"/>
      <c r="F656" s="116"/>
      <c r="G656" s="332"/>
      <c r="H656" s="332"/>
      <c r="I656" s="332"/>
      <c r="J656" s="332"/>
      <c r="K656" s="332"/>
      <c r="L656" s="332"/>
      <c r="Q656" s="152"/>
    </row>
    <row r="657" spans="2:17" ht="13">
      <c r="B657" s="396"/>
      <c r="C657" s="116"/>
      <c r="D657" s="116"/>
      <c r="E657" s="116"/>
      <c r="F657" s="116"/>
      <c r="G657" s="332"/>
      <c r="H657" s="332"/>
      <c r="I657" s="332"/>
      <c r="J657" s="332"/>
      <c r="K657" s="332"/>
      <c r="L657" s="332"/>
      <c r="Q657" s="152"/>
    </row>
    <row r="658" spans="2:17" ht="13">
      <c r="B658" s="396"/>
      <c r="C658" s="116"/>
      <c r="D658" s="116"/>
      <c r="E658" s="116"/>
      <c r="F658" s="116"/>
      <c r="G658" s="332"/>
      <c r="H658" s="332"/>
      <c r="I658" s="332"/>
      <c r="J658" s="332"/>
      <c r="K658" s="332"/>
      <c r="L658" s="332"/>
      <c r="Q658" s="152"/>
    </row>
    <row r="659" spans="2:17" ht="13">
      <c r="B659" s="396"/>
      <c r="C659" s="116"/>
      <c r="D659" s="116"/>
      <c r="E659" s="116"/>
      <c r="F659" s="116"/>
      <c r="G659" s="332"/>
      <c r="H659" s="332"/>
      <c r="I659" s="332"/>
      <c r="J659" s="332"/>
      <c r="K659" s="332"/>
      <c r="L659" s="332"/>
      <c r="Q659" s="152"/>
    </row>
    <row r="660" spans="2:17" ht="13">
      <c r="B660" s="396"/>
      <c r="C660" s="116"/>
      <c r="D660" s="116"/>
      <c r="E660" s="116"/>
      <c r="F660" s="116"/>
      <c r="G660" s="332"/>
      <c r="H660" s="332"/>
      <c r="I660" s="332"/>
      <c r="J660" s="332"/>
      <c r="K660" s="332"/>
      <c r="L660" s="332"/>
      <c r="Q660" s="152"/>
    </row>
    <row r="661" spans="2:17" ht="13">
      <c r="B661" s="396"/>
      <c r="C661" s="116"/>
      <c r="D661" s="116"/>
      <c r="E661" s="116"/>
      <c r="F661" s="116"/>
      <c r="G661" s="332"/>
      <c r="H661" s="332"/>
      <c r="I661" s="332"/>
      <c r="J661" s="332"/>
      <c r="K661" s="332"/>
      <c r="L661" s="332"/>
      <c r="Q661" s="152"/>
    </row>
    <row r="662" spans="2:17" ht="13">
      <c r="B662" s="396"/>
      <c r="C662" s="116"/>
      <c r="D662" s="116"/>
      <c r="E662" s="116"/>
      <c r="F662" s="116"/>
      <c r="G662" s="332"/>
      <c r="H662" s="332"/>
      <c r="I662" s="332"/>
      <c r="J662" s="332"/>
      <c r="K662" s="332"/>
      <c r="L662" s="332"/>
      <c r="Q662" s="152"/>
    </row>
    <row r="663" spans="2:17" ht="13">
      <c r="B663" s="396"/>
      <c r="C663" s="116"/>
      <c r="D663" s="116"/>
      <c r="E663" s="116"/>
      <c r="F663" s="116"/>
      <c r="G663" s="332"/>
      <c r="H663" s="332"/>
      <c r="I663" s="332"/>
      <c r="J663" s="332"/>
      <c r="K663" s="332"/>
      <c r="L663" s="332"/>
      <c r="Q663" s="152"/>
    </row>
    <row r="664" spans="2:17" ht="13">
      <c r="B664" s="396"/>
      <c r="C664" s="116"/>
      <c r="D664" s="116"/>
      <c r="E664" s="116"/>
      <c r="F664" s="116"/>
      <c r="G664" s="332"/>
      <c r="H664" s="332"/>
      <c r="I664" s="332"/>
      <c r="J664" s="332"/>
      <c r="K664" s="332"/>
      <c r="L664" s="332"/>
      <c r="Q664" s="152"/>
    </row>
    <row r="665" spans="2:17" ht="13">
      <c r="B665" s="396"/>
      <c r="C665" s="116"/>
      <c r="D665" s="116"/>
      <c r="E665" s="116"/>
      <c r="F665" s="116"/>
      <c r="G665" s="332"/>
      <c r="H665" s="332"/>
      <c r="I665" s="332"/>
      <c r="J665" s="332"/>
      <c r="K665" s="332"/>
      <c r="L665" s="332"/>
      <c r="Q665" s="152"/>
    </row>
    <row r="666" spans="2:17" ht="13">
      <c r="B666" s="396"/>
      <c r="C666" s="116"/>
      <c r="D666" s="116"/>
      <c r="E666" s="116"/>
      <c r="F666" s="116"/>
      <c r="G666" s="332"/>
      <c r="H666" s="332"/>
      <c r="I666" s="332"/>
      <c r="J666" s="332"/>
      <c r="K666" s="332"/>
      <c r="L666" s="332"/>
      <c r="Q666" s="152"/>
    </row>
    <row r="667" spans="2:17" ht="13">
      <c r="B667" s="396"/>
      <c r="C667" s="116"/>
      <c r="D667" s="116"/>
      <c r="E667" s="116"/>
      <c r="F667" s="116"/>
      <c r="G667" s="332"/>
      <c r="H667" s="332"/>
      <c r="I667" s="332"/>
      <c r="J667" s="332"/>
      <c r="K667" s="332"/>
      <c r="L667" s="332"/>
      <c r="Q667" s="152"/>
    </row>
    <row r="668" spans="2:17" ht="13">
      <c r="B668" s="396"/>
      <c r="C668" s="116"/>
      <c r="D668" s="116"/>
      <c r="E668" s="116"/>
      <c r="F668" s="116"/>
      <c r="G668" s="332"/>
      <c r="H668" s="332"/>
      <c r="I668" s="332"/>
      <c r="J668" s="332"/>
      <c r="K668" s="332"/>
      <c r="L668" s="332"/>
      <c r="Q668" s="152"/>
    </row>
    <row r="669" spans="2:17" ht="13">
      <c r="B669" s="396"/>
      <c r="C669" s="116"/>
      <c r="D669" s="116"/>
      <c r="E669" s="116"/>
      <c r="F669" s="116"/>
      <c r="G669" s="332"/>
      <c r="H669" s="332"/>
      <c r="I669" s="332"/>
      <c r="J669" s="332"/>
      <c r="K669" s="332"/>
      <c r="L669" s="332"/>
      <c r="Q669" s="152"/>
    </row>
    <row r="670" spans="2:17" ht="13">
      <c r="B670" s="396"/>
      <c r="C670" s="116"/>
      <c r="D670" s="116"/>
      <c r="E670" s="116"/>
      <c r="F670" s="116"/>
      <c r="G670" s="332"/>
      <c r="H670" s="332"/>
      <c r="I670" s="332"/>
      <c r="J670" s="332"/>
      <c r="K670" s="332"/>
      <c r="L670" s="332"/>
      <c r="Q670" s="152"/>
    </row>
    <row r="671" spans="2:17" ht="13">
      <c r="B671" s="396"/>
      <c r="C671" s="116"/>
      <c r="D671" s="116"/>
      <c r="E671" s="116"/>
      <c r="F671" s="116"/>
      <c r="G671" s="332"/>
      <c r="H671" s="332"/>
      <c r="I671" s="332"/>
      <c r="J671" s="332"/>
      <c r="K671" s="332"/>
      <c r="L671" s="332"/>
      <c r="Q671" s="152"/>
    </row>
    <row r="672" spans="2:17" ht="13">
      <c r="B672" s="396"/>
      <c r="C672" s="116"/>
      <c r="D672" s="116"/>
      <c r="E672" s="116"/>
      <c r="F672" s="116"/>
      <c r="G672" s="332"/>
      <c r="H672" s="332"/>
      <c r="I672" s="332"/>
      <c r="J672" s="332"/>
      <c r="K672" s="332"/>
      <c r="L672" s="332"/>
      <c r="Q672" s="152"/>
    </row>
    <row r="673" spans="2:17" ht="13">
      <c r="B673" s="396"/>
      <c r="C673" s="116"/>
      <c r="D673" s="116"/>
      <c r="E673" s="116"/>
      <c r="F673" s="116"/>
      <c r="G673" s="332"/>
      <c r="H673" s="332"/>
      <c r="I673" s="332"/>
      <c r="J673" s="332"/>
      <c r="K673" s="332"/>
      <c r="L673" s="332"/>
      <c r="Q673" s="152"/>
    </row>
    <row r="674" spans="2:17" ht="13">
      <c r="B674" s="396"/>
      <c r="C674" s="116"/>
      <c r="D674" s="116"/>
      <c r="E674" s="116"/>
      <c r="F674" s="116"/>
      <c r="G674" s="332"/>
      <c r="H674" s="332"/>
      <c r="I674" s="332"/>
      <c r="J674" s="332"/>
      <c r="K674" s="332"/>
      <c r="L674" s="332"/>
      <c r="Q674" s="152"/>
    </row>
    <row r="675" spans="2:17" ht="13">
      <c r="B675" s="396"/>
      <c r="C675" s="116"/>
      <c r="D675" s="116"/>
      <c r="E675" s="116"/>
      <c r="F675" s="116"/>
      <c r="G675" s="332"/>
      <c r="H675" s="332"/>
      <c r="I675" s="332"/>
      <c r="J675" s="332"/>
      <c r="K675" s="332"/>
      <c r="L675" s="332"/>
      <c r="Q675" s="152"/>
    </row>
    <row r="676" spans="2:17" ht="13">
      <c r="B676" s="396"/>
      <c r="C676" s="116"/>
      <c r="D676" s="116"/>
      <c r="E676" s="116"/>
      <c r="F676" s="116"/>
      <c r="G676" s="332"/>
      <c r="H676" s="332"/>
      <c r="I676" s="332"/>
      <c r="J676" s="332"/>
      <c r="K676" s="332"/>
      <c r="L676" s="332"/>
      <c r="Q676" s="152"/>
    </row>
    <row r="677" spans="2:17" ht="13">
      <c r="B677" s="396"/>
      <c r="C677" s="116"/>
      <c r="D677" s="116"/>
      <c r="E677" s="116"/>
      <c r="F677" s="116"/>
      <c r="G677" s="332"/>
      <c r="H677" s="332"/>
      <c r="I677" s="332"/>
      <c r="J677" s="332"/>
      <c r="K677" s="332"/>
      <c r="L677" s="332"/>
      <c r="Q677" s="152"/>
    </row>
    <row r="678" spans="2:17" ht="13">
      <c r="B678" s="396"/>
      <c r="C678" s="116"/>
      <c r="D678" s="116"/>
      <c r="E678" s="116"/>
      <c r="F678" s="116"/>
      <c r="G678" s="332"/>
      <c r="H678" s="332"/>
      <c r="I678" s="332"/>
      <c r="J678" s="332"/>
      <c r="K678" s="332"/>
      <c r="L678" s="332"/>
      <c r="Q678" s="152"/>
    </row>
    <row r="679" spans="2:17" ht="13">
      <c r="B679" s="396"/>
      <c r="C679" s="116"/>
      <c r="D679" s="116"/>
      <c r="E679" s="116"/>
      <c r="F679" s="116"/>
      <c r="G679" s="332"/>
      <c r="H679" s="332"/>
      <c r="I679" s="332"/>
      <c r="J679" s="332"/>
      <c r="K679" s="332"/>
      <c r="L679" s="332"/>
      <c r="Q679" s="152"/>
    </row>
    <row r="680" spans="2:17" ht="13">
      <c r="B680" s="396"/>
      <c r="C680" s="116"/>
      <c r="D680" s="116"/>
      <c r="E680" s="116"/>
      <c r="F680" s="116"/>
      <c r="G680" s="332"/>
      <c r="H680" s="332"/>
      <c r="I680" s="332"/>
      <c r="J680" s="332"/>
      <c r="K680" s="332"/>
      <c r="L680" s="332"/>
      <c r="Q680" s="152"/>
    </row>
    <row r="681" spans="2:17" ht="13">
      <c r="B681" s="396"/>
      <c r="C681" s="116"/>
      <c r="D681" s="116"/>
      <c r="E681" s="116"/>
      <c r="F681" s="116"/>
      <c r="G681" s="332"/>
      <c r="H681" s="332"/>
      <c r="I681" s="332"/>
      <c r="J681" s="332"/>
      <c r="K681" s="332"/>
      <c r="L681" s="332"/>
      <c r="Q681" s="152"/>
    </row>
    <row r="682" spans="2:17" ht="13">
      <c r="B682" s="396"/>
      <c r="C682" s="116"/>
      <c r="D682" s="116"/>
      <c r="E682" s="116"/>
      <c r="F682" s="116"/>
      <c r="G682" s="332"/>
      <c r="H682" s="332"/>
      <c r="I682" s="332"/>
      <c r="J682" s="332"/>
      <c r="K682" s="332"/>
      <c r="L682" s="332"/>
      <c r="Q682" s="152"/>
    </row>
    <row r="683" spans="2:17" ht="13">
      <c r="B683" s="396"/>
      <c r="C683" s="116"/>
      <c r="D683" s="116"/>
      <c r="E683" s="116"/>
      <c r="F683" s="116"/>
      <c r="G683" s="332"/>
      <c r="H683" s="332"/>
      <c r="I683" s="332"/>
      <c r="J683" s="332"/>
      <c r="K683" s="332"/>
      <c r="L683" s="332"/>
      <c r="Q683" s="152"/>
    </row>
    <row r="684" spans="2:17" ht="13">
      <c r="B684" s="396"/>
      <c r="C684" s="116"/>
      <c r="D684" s="116"/>
      <c r="E684" s="116"/>
      <c r="F684" s="116"/>
      <c r="G684" s="332"/>
      <c r="H684" s="332"/>
      <c r="I684" s="332"/>
      <c r="J684" s="332"/>
      <c r="K684" s="332"/>
      <c r="L684" s="332"/>
      <c r="Q684" s="152"/>
    </row>
    <row r="685" spans="2:17" ht="13">
      <c r="B685" s="396"/>
      <c r="C685" s="116"/>
      <c r="D685" s="116"/>
      <c r="E685" s="116"/>
      <c r="F685" s="116"/>
      <c r="G685" s="332"/>
      <c r="H685" s="332"/>
      <c r="I685" s="332"/>
      <c r="J685" s="332"/>
      <c r="K685" s="332"/>
      <c r="L685" s="332"/>
      <c r="Q685" s="152"/>
    </row>
    <row r="686" spans="2:17" ht="13">
      <c r="B686" s="396"/>
      <c r="C686" s="116"/>
      <c r="D686" s="116"/>
      <c r="E686" s="116"/>
      <c r="F686" s="116"/>
      <c r="G686" s="332"/>
      <c r="H686" s="332"/>
      <c r="I686" s="332"/>
      <c r="J686" s="332"/>
      <c r="K686" s="332"/>
      <c r="L686" s="332"/>
      <c r="Q686" s="152"/>
    </row>
    <row r="687" spans="2:17" ht="13">
      <c r="B687" s="396"/>
      <c r="C687" s="116"/>
      <c r="D687" s="116"/>
      <c r="E687" s="116"/>
      <c r="F687" s="116"/>
      <c r="G687" s="332"/>
      <c r="H687" s="332"/>
      <c r="I687" s="332"/>
      <c r="J687" s="332"/>
      <c r="K687" s="332"/>
      <c r="L687" s="332"/>
      <c r="Q687" s="152"/>
    </row>
    <row r="688" spans="2:17" ht="13">
      <c r="B688" s="396"/>
      <c r="C688" s="116"/>
      <c r="D688" s="116"/>
      <c r="E688" s="116"/>
      <c r="F688" s="116"/>
      <c r="G688" s="332"/>
      <c r="H688" s="332"/>
      <c r="I688" s="332"/>
      <c r="J688" s="332"/>
      <c r="K688" s="332"/>
      <c r="L688" s="332"/>
      <c r="Q688" s="152"/>
    </row>
    <row r="689" spans="2:17" ht="13">
      <c r="B689" s="396"/>
      <c r="C689" s="116"/>
      <c r="D689" s="116"/>
      <c r="E689" s="116"/>
      <c r="F689" s="116"/>
      <c r="G689" s="332"/>
      <c r="H689" s="332"/>
      <c r="I689" s="332"/>
      <c r="J689" s="332"/>
      <c r="K689" s="332"/>
      <c r="L689" s="332"/>
      <c r="Q689" s="152"/>
    </row>
    <row r="690" spans="2:17" ht="13">
      <c r="B690" s="396"/>
      <c r="C690" s="116"/>
      <c r="D690" s="116"/>
      <c r="E690" s="116"/>
      <c r="F690" s="116"/>
      <c r="G690" s="332"/>
      <c r="H690" s="332"/>
      <c r="I690" s="332"/>
      <c r="J690" s="332"/>
      <c r="K690" s="332"/>
      <c r="L690" s="332"/>
      <c r="Q690" s="152"/>
    </row>
    <row r="691" spans="2:17" ht="13">
      <c r="B691" s="396"/>
      <c r="C691" s="116"/>
      <c r="D691" s="116"/>
      <c r="E691" s="116"/>
      <c r="F691" s="116"/>
      <c r="G691" s="332"/>
      <c r="H691" s="332"/>
      <c r="I691" s="332"/>
      <c r="J691" s="332"/>
      <c r="K691" s="332"/>
      <c r="L691" s="332"/>
      <c r="Q691" s="152"/>
    </row>
    <row r="692" spans="2:17" ht="13">
      <c r="B692" s="396"/>
      <c r="C692" s="116"/>
      <c r="D692" s="116"/>
      <c r="E692" s="116"/>
      <c r="F692" s="116"/>
      <c r="G692" s="332"/>
      <c r="H692" s="332"/>
      <c r="I692" s="332"/>
      <c r="J692" s="332"/>
      <c r="K692" s="332"/>
      <c r="L692" s="332"/>
      <c r="Q692" s="152"/>
    </row>
    <row r="693" spans="2:17" ht="13">
      <c r="B693" s="396"/>
      <c r="C693" s="116"/>
      <c r="D693" s="116"/>
      <c r="E693" s="116"/>
      <c r="F693" s="116"/>
      <c r="G693" s="332"/>
      <c r="H693" s="332"/>
      <c r="I693" s="332"/>
      <c r="J693" s="332"/>
      <c r="K693" s="332"/>
      <c r="L693" s="332"/>
      <c r="Q693" s="152"/>
    </row>
    <row r="694" spans="2:17" ht="13">
      <c r="B694" s="396"/>
      <c r="C694" s="116"/>
      <c r="D694" s="116"/>
      <c r="E694" s="116"/>
      <c r="F694" s="116"/>
      <c r="G694" s="332"/>
      <c r="H694" s="332"/>
      <c r="I694" s="332"/>
      <c r="J694" s="332"/>
      <c r="K694" s="332"/>
      <c r="L694" s="332"/>
      <c r="Q694" s="152"/>
    </row>
    <row r="695" spans="2:17" ht="13">
      <c r="B695" s="396"/>
      <c r="C695" s="116"/>
      <c r="D695" s="116"/>
      <c r="E695" s="116"/>
      <c r="F695" s="116"/>
      <c r="G695" s="332"/>
      <c r="H695" s="332"/>
      <c r="I695" s="332"/>
      <c r="J695" s="332"/>
      <c r="K695" s="332"/>
      <c r="L695" s="332"/>
      <c r="Q695" s="152"/>
    </row>
    <row r="696" spans="2:17" ht="13">
      <c r="B696" s="396"/>
      <c r="C696" s="116"/>
      <c r="D696" s="116"/>
      <c r="E696" s="116"/>
      <c r="F696" s="116"/>
      <c r="G696" s="332"/>
      <c r="H696" s="332"/>
      <c r="I696" s="332"/>
      <c r="J696" s="332"/>
      <c r="K696" s="332"/>
      <c r="L696" s="332"/>
      <c r="Q696" s="152"/>
    </row>
    <row r="697" spans="2:17" ht="13">
      <c r="B697" s="396"/>
      <c r="C697" s="116"/>
      <c r="D697" s="116"/>
      <c r="E697" s="116"/>
      <c r="F697" s="116"/>
      <c r="G697" s="332"/>
      <c r="H697" s="332"/>
      <c r="I697" s="332"/>
      <c r="J697" s="332"/>
      <c r="K697" s="332"/>
      <c r="L697" s="332"/>
      <c r="Q697" s="152"/>
    </row>
    <row r="698" spans="2:17" ht="13">
      <c r="B698" s="396"/>
      <c r="C698" s="116"/>
      <c r="D698" s="116"/>
      <c r="E698" s="116"/>
      <c r="F698" s="116"/>
      <c r="G698" s="332"/>
      <c r="H698" s="332"/>
      <c r="I698" s="332"/>
      <c r="J698" s="332"/>
      <c r="K698" s="332"/>
      <c r="L698" s="332"/>
      <c r="Q698" s="152"/>
    </row>
    <row r="699" spans="2:17" ht="13">
      <c r="B699" s="396"/>
      <c r="C699" s="116"/>
      <c r="D699" s="116"/>
      <c r="E699" s="116"/>
      <c r="F699" s="116"/>
      <c r="G699" s="332"/>
      <c r="H699" s="332"/>
      <c r="I699" s="332"/>
      <c r="J699" s="332"/>
      <c r="K699" s="332"/>
      <c r="L699" s="332"/>
      <c r="Q699" s="152"/>
    </row>
    <row r="700" spans="2:17" ht="13">
      <c r="B700" s="396"/>
      <c r="C700" s="116"/>
      <c r="D700" s="116"/>
      <c r="E700" s="116"/>
      <c r="F700" s="116"/>
      <c r="G700" s="332"/>
      <c r="H700" s="332"/>
      <c r="I700" s="332"/>
      <c r="J700" s="332"/>
      <c r="K700" s="332"/>
      <c r="L700" s="332"/>
      <c r="Q700" s="152"/>
    </row>
    <row r="701" spans="2:17" ht="13">
      <c r="B701" s="396"/>
      <c r="C701" s="116"/>
      <c r="D701" s="116"/>
      <c r="E701" s="116"/>
      <c r="F701" s="116"/>
      <c r="G701" s="332"/>
      <c r="H701" s="332"/>
      <c r="I701" s="332"/>
      <c r="J701" s="332"/>
      <c r="K701" s="332"/>
      <c r="L701" s="332"/>
      <c r="Q701" s="152"/>
    </row>
    <row r="702" spans="2:17" ht="13">
      <c r="B702" s="396"/>
      <c r="C702" s="116"/>
      <c r="D702" s="116"/>
      <c r="E702" s="116"/>
      <c r="F702" s="116"/>
      <c r="G702" s="332"/>
      <c r="H702" s="332"/>
      <c r="I702" s="332"/>
      <c r="J702" s="332"/>
      <c r="K702" s="332"/>
      <c r="L702" s="332"/>
      <c r="Q702" s="152"/>
    </row>
    <row r="703" spans="2:17" ht="13">
      <c r="B703" s="396"/>
      <c r="C703" s="116"/>
      <c r="D703" s="116"/>
      <c r="E703" s="116"/>
      <c r="F703" s="116"/>
      <c r="G703" s="332"/>
      <c r="H703" s="332"/>
      <c r="I703" s="332"/>
      <c r="J703" s="332"/>
      <c r="K703" s="332"/>
      <c r="L703" s="332"/>
      <c r="Q703" s="152"/>
    </row>
    <row r="704" spans="2:17" ht="13">
      <c r="B704" s="396"/>
      <c r="C704" s="116"/>
      <c r="D704" s="116"/>
      <c r="E704" s="116"/>
      <c r="F704" s="116"/>
      <c r="G704" s="332"/>
      <c r="H704" s="332"/>
      <c r="I704" s="332"/>
      <c r="J704" s="332"/>
      <c r="K704" s="332"/>
      <c r="L704" s="332"/>
      <c r="Q704" s="152"/>
    </row>
    <row r="705" spans="2:17" ht="13">
      <c r="B705" s="396"/>
      <c r="C705" s="116"/>
      <c r="D705" s="116"/>
      <c r="E705" s="116"/>
      <c r="F705" s="116"/>
      <c r="G705" s="332"/>
      <c r="H705" s="332"/>
      <c r="I705" s="332"/>
      <c r="J705" s="332"/>
      <c r="K705" s="332"/>
      <c r="L705" s="332"/>
      <c r="Q705" s="152"/>
    </row>
    <row r="706" spans="2:17" ht="13">
      <c r="B706" s="396"/>
      <c r="C706" s="116"/>
      <c r="D706" s="116"/>
      <c r="E706" s="116"/>
      <c r="F706" s="116"/>
      <c r="G706" s="332"/>
      <c r="H706" s="332"/>
      <c r="I706" s="332"/>
      <c r="J706" s="332"/>
      <c r="K706" s="332"/>
      <c r="L706" s="332"/>
      <c r="Q706" s="152"/>
    </row>
    <row r="707" spans="2:17" ht="13">
      <c r="B707" s="396"/>
      <c r="C707" s="116"/>
      <c r="D707" s="116"/>
      <c r="E707" s="116"/>
      <c r="F707" s="116"/>
      <c r="G707" s="332"/>
      <c r="H707" s="332"/>
      <c r="I707" s="332"/>
      <c r="J707" s="332"/>
      <c r="K707" s="332"/>
      <c r="L707" s="332"/>
      <c r="Q707" s="152"/>
    </row>
    <row r="708" spans="2:17" ht="13">
      <c r="B708" s="396"/>
      <c r="C708" s="116"/>
      <c r="D708" s="116"/>
      <c r="E708" s="116"/>
      <c r="F708" s="116"/>
      <c r="G708" s="332"/>
      <c r="H708" s="332"/>
      <c r="I708" s="332"/>
      <c r="J708" s="332"/>
      <c r="K708" s="332"/>
      <c r="L708" s="332"/>
      <c r="Q708" s="152"/>
    </row>
    <row r="709" spans="2:17" ht="13">
      <c r="B709" s="396"/>
      <c r="C709" s="116"/>
      <c r="D709" s="116"/>
      <c r="E709" s="116"/>
      <c r="F709" s="116"/>
      <c r="G709" s="332"/>
      <c r="H709" s="332"/>
      <c r="I709" s="332"/>
      <c r="J709" s="332"/>
      <c r="K709" s="332"/>
      <c r="L709" s="332"/>
      <c r="Q709" s="152"/>
    </row>
    <row r="710" spans="2:17" ht="13">
      <c r="B710" s="396"/>
      <c r="C710" s="116"/>
      <c r="D710" s="116"/>
      <c r="E710" s="116"/>
      <c r="F710" s="116"/>
      <c r="G710" s="332"/>
      <c r="H710" s="332"/>
      <c r="I710" s="332"/>
      <c r="J710" s="332"/>
      <c r="K710" s="332"/>
      <c r="L710" s="332"/>
      <c r="Q710" s="152"/>
    </row>
    <row r="711" spans="2:17" ht="13">
      <c r="B711" s="396"/>
      <c r="C711" s="116"/>
      <c r="D711" s="116"/>
      <c r="E711" s="116"/>
      <c r="F711" s="116"/>
      <c r="G711" s="332"/>
      <c r="H711" s="332"/>
      <c r="I711" s="332"/>
      <c r="J711" s="332"/>
      <c r="K711" s="332"/>
      <c r="L711" s="332"/>
      <c r="Q711" s="152"/>
    </row>
    <row r="712" spans="2:17" ht="13">
      <c r="B712" s="396"/>
      <c r="C712" s="116"/>
      <c r="D712" s="116"/>
      <c r="E712" s="116"/>
      <c r="F712" s="116"/>
      <c r="G712" s="332"/>
      <c r="H712" s="332"/>
      <c r="I712" s="332"/>
      <c r="J712" s="332"/>
      <c r="K712" s="332"/>
      <c r="L712" s="332"/>
      <c r="Q712" s="152"/>
    </row>
    <row r="713" spans="2:17" ht="13">
      <c r="B713" s="396"/>
      <c r="C713" s="116"/>
      <c r="D713" s="116"/>
      <c r="E713" s="116"/>
      <c r="F713" s="116"/>
      <c r="G713" s="332"/>
      <c r="H713" s="332"/>
      <c r="I713" s="332"/>
      <c r="J713" s="332"/>
      <c r="K713" s="332"/>
      <c r="L713" s="332"/>
      <c r="Q713" s="152"/>
    </row>
    <row r="714" spans="2:17" ht="13">
      <c r="B714" s="396"/>
      <c r="C714" s="116"/>
      <c r="D714" s="116"/>
      <c r="E714" s="116"/>
      <c r="F714" s="116"/>
      <c r="G714" s="332"/>
      <c r="H714" s="332"/>
      <c r="I714" s="332"/>
      <c r="J714" s="332"/>
      <c r="K714" s="332"/>
      <c r="L714" s="332"/>
      <c r="Q714" s="152"/>
    </row>
    <row r="715" spans="2:17" ht="13">
      <c r="B715" s="396"/>
      <c r="C715" s="116"/>
      <c r="D715" s="116"/>
      <c r="E715" s="116"/>
      <c r="F715" s="116"/>
      <c r="G715" s="332"/>
      <c r="H715" s="332"/>
      <c r="I715" s="332"/>
      <c r="J715" s="332"/>
      <c r="K715" s="332"/>
      <c r="L715" s="332"/>
      <c r="Q715" s="152"/>
    </row>
    <row r="716" spans="2:17" ht="13">
      <c r="B716" s="396"/>
      <c r="C716" s="116"/>
      <c r="D716" s="116"/>
      <c r="E716" s="116"/>
      <c r="F716" s="116"/>
      <c r="G716" s="332"/>
      <c r="H716" s="332"/>
      <c r="I716" s="332"/>
      <c r="J716" s="332"/>
      <c r="K716" s="332"/>
      <c r="L716" s="332"/>
      <c r="Q716" s="152"/>
    </row>
    <row r="717" spans="2:17" ht="13">
      <c r="B717" s="396"/>
      <c r="C717" s="116"/>
      <c r="D717" s="116"/>
      <c r="E717" s="116"/>
      <c r="F717" s="116"/>
      <c r="G717" s="332"/>
      <c r="H717" s="332"/>
      <c r="I717" s="332"/>
      <c r="J717" s="332"/>
      <c r="K717" s="332"/>
      <c r="L717" s="332"/>
      <c r="Q717" s="152"/>
    </row>
    <row r="718" spans="2:17" ht="13">
      <c r="B718" s="396"/>
      <c r="C718" s="116"/>
      <c r="D718" s="116"/>
      <c r="E718" s="116"/>
      <c r="F718" s="116"/>
      <c r="G718" s="332"/>
      <c r="H718" s="332"/>
      <c r="I718" s="332"/>
      <c r="J718" s="332"/>
      <c r="K718" s="332"/>
      <c r="L718" s="332"/>
      <c r="Q718" s="152"/>
    </row>
    <row r="719" spans="2:17" ht="13">
      <c r="B719" s="396"/>
      <c r="C719" s="116"/>
      <c r="D719" s="116"/>
      <c r="E719" s="116"/>
      <c r="F719" s="116"/>
      <c r="G719" s="332"/>
      <c r="H719" s="332"/>
      <c r="I719" s="332"/>
      <c r="J719" s="332"/>
      <c r="K719" s="332"/>
      <c r="L719" s="332"/>
      <c r="Q719" s="152"/>
    </row>
    <row r="720" spans="2:17" ht="13">
      <c r="B720" s="396"/>
      <c r="C720" s="116"/>
      <c r="D720" s="116"/>
      <c r="E720" s="116"/>
      <c r="F720" s="116"/>
      <c r="G720" s="332"/>
      <c r="H720" s="332"/>
      <c r="I720" s="332"/>
      <c r="J720" s="332"/>
      <c r="K720" s="332"/>
      <c r="L720" s="332"/>
      <c r="Q720" s="152"/>
    </row>
    <row r="721" spans="2:17" ht="13">
      <c r="B721" s="396"/>
      <c r="C721" s="116"/>
      <c r="D721" s="116"/>
      <c r="E721" s="116"/>
      <c r="F721" s="116"/>
      <c r="G721" s="332"/>
      <c r="H721" s="332"/>
      <c r="I721" s="332"/>
      <c r="J721" s="332"/>
      <c r="K721" s="332"/>
      <c r="L721" s="332"/>
      <c r="Q721" s="152"/>
    </row>
    <row r="722" spans="2:17" ht="13">
      <c r="B722" s="396"/>
      <c r="C722" s="116"/>
      <c r="D722" s="116"/>
      <c r="E722" s="116"/>
      <c r="F722" s="116"/>
      <c r="G722" s="332"/>
      <c r="H722" s="332"/>
      <c r="I722" s="332"/>
      <c r="J722" s="332"/>
      <c r="K722" s="332"/>
      <c r="L722" s="332"/>
      <c r="Q722" s="152"/>
    </row>
    <row r="723" spans="2:17" ht="13">
      <c r="B723" s="396"/>
      <c r="C723" s="116"/>
      <c r="D723" s="116"/>
      <c r="E723" s="116"/>
      <c r="F723" s="116"/>
      <c r="G723" s="332"/>
      <c r="H723" s="332"/>
      <c r="I723" s="332"/>
      <c r="J723" s="332"/>
      <c r="K723" s="332"/>
      <c r="L723" s="332"/>
      <c r="Q723" s="152"/>
    </row>
    <row r="724" spans="2:17" ht="13">
      <c r="B724" s="396"/>
      <c r="C724" s="116"/>
      <c r="D724" s="116"/>
      <c r="E724" s="116"/>
      <c r="F724" s="116"/>
      <c r="G724" s="332"/>
      <c r="H724" s="332"/>
      <c r="I724" s="332"/>
      <c r="J724" s="332"/>
      <c r="K724" s="332"/>
      <c r="L724" s="332"/>
      <c r="Q724" s="152"/>
    </row>
    <row r="725" spans="2:17" ht="13">
      <c r="B725" s="396"/>
      <c r="C725" s="116"/>
      <c r="D725" s="116"/>
      <c r="E725" s="116"/>
      <c r="F725" s="116"/>
      <c r="G725" s="332"/>
      <c r="H725" s="332"/>
      <c r="I725" s="332"/>
      <c r="J725" s="332"/>
      <c r="K725" s="332"/>
      <c r="L725" s="332"/>
      <c r="Q725" s="152"/>
    </row>
    <row r="726" spans="2:17" ht="13">
      <c r="B726" s="396"/>
      <c r="C726" s="116"/>
      <c r="D726" s="116"/>
      <c r="E726" s="116"/>
      <c r="F726" s="116"/>
      <c r="G726" s="332"/>
      <c r="H726" s="332"/>
      <c r="I726" s="332"/>
      <c r="J726" s="332"/>
      <c r="K726" s="332"/>
      <c r="L726" s="332"/>
      <c r="Q726" s="152"/>
    </row>
    <row r="727" spans="2:17" ht="13">
      <c r="B727" s="396"/>
      <c r="C727" s="116"/>
      <c r="D727" s="116"/>
      <c r="E727" s="116"/>
      <c r="F727" s="116"/>
      <c r="G727" s="332"/>
      <c r="H727" s="332"/>
      <c r="I727" s="332"/>
      <c r="J727" s="332"/>
      <c r="K727" s="332"/>
      <c r="L727" s="332"/>
      <c r="Q727" s="152"/>
    </row>
    <row r="728" spans="2:17" ht="13">
      <c r="B728" s="396"/>
      <c r="C728" s="116"/>
      <c r="D728" s="116"/>
      <c r="E728" s="116"/>
      <c r="F728" s="116"/>
      <c r="G728" s="332"/>
      <c r="H728" s="332"/>
      <c r="I728" s="332"/>
      <c r="J728" s="332"/>
      <c r="K728" s="332"/>
      <c r="L728" s="332"/>
      <c r="Q728" s="152"/>
    </row>
    <row r="729" spans="2:17" ht="13">
      <c r="B729" s="396"/>
      <c r="C729" s="116"/>
      <c r="D729" s="116"/>
      <c r="E729" s="116"/>
      <c r="F729" s="116"/>
      <c r="G729" s="332"/>
      <c r="H729" s="332"/>
      <c r="I729" s="332"/>
      <c r="J729" s="332"/>
      <c r="K729" s="332"/>
      <c r="L729" s="332"/>
      <c r="Q729" s="152"/>
    </row>
    <row r="730" spans="2:17" ht="13">
      <c r="B730" s="396"/>
      <c r="C730" s="116"/>
      <c r="D730" s="116"/>
      <c r="E730" s="116"/>
      <c r="F730" s="116"/>
      <c r="G730" s="332"/>
      <c r="H730" s="332"/>
      <c r="I730" s="332"/>
      <c r="J730" s="332"/>
      <c r="K730" s="332"/>
      <c r="L730" s="332"/>
      <c r="Q730" s="152"/>
    </row>
    <row r="731" spans="2:17" ht="13">
      <c r="B731" s="396"/>
      <c r="C731" s="116"/>
      <c r="D731" s="116"/>
      <c r="E731" s="116"/>
      <c r="F731" s="116"/>
      <c r="G731" s="332"/>
      <c r="H731" s="332"/>
      <c r="I731" s="332"/>
      <c r="J731" s="332"/>
      <c r="K731" s="332"/>
      <c r="L731" s="332"/>
      <c r="Q731" s="152"/>
    </row>
    <row r="732" spans="2:17" ht="13">
      <c r="B732" s="396"/>
      <c r="C732" s="116"/>
      <c r="D732" s="116"/>
      <c r="E732" s="116"/>
      <c r="F732" s="116"/>
      <c r="G732" s="332"/>
      <c r="H732" s="332"/>
      <c r="I732" s="332"/>
      <c r="J732" s="332"/>
      <c r="K732" s="332"/>
      <c r="L732" s="332"/>
      <c r="Q732" s="152"/>
    </row>
    <row r="733" spans="2:17" ht="13">
      <c r="B733" s="396"/>
      <c r="C733" s="116"/>
      <c r="D733" s="116"/>
      <c r="E733" s="116"/>
      <c r="F733" s="116"/>
      <c r="G733" s="332"/>
      <c r="H733" s="332"/>
      <c r="I733" s="332"/>
      <c r="J733" s="332"/>
      <c r="K733" s="332"/>
      <c r="L733" s="332"/>
      <c r="Q733" s="152"/>
    </row>
    <row r="734" spans="2:17" ht="13">
      <c r="B734" s="396"/>
      <c r="C734" s="116"/>
      <c r="D734" s="116"/>
      <c r="E734" s="116"/>
      <c r="F734" s="116"/>
      <c r="G734" s="332"/>
      <c r="H734" s="332"/>
      <c r="I734" s="332"/>
      <c r="J734" s="332"/>
      <c r="K734" s="332"/>
      <c r="L734" s="332"/>
      <c r="Q734" s="152"/>
    </row>
    <row r="735" spans="2:17" ht="13">
      <c r="B735" s="396"/>
      <c r="C735" s="116"/>
      <c r="D735" s="116"/>
      <c r="E735" s="116"/>
      <c r="F735" s="116"/>
      <c r="G735" s="332"/>
      <c r="H735" s="332"/>
      <c r="I735" s="332"/>
      <c r="J735" s="332"/>
      <c r="K735" s="332"/>
      <c r="L735" s="332"/>
      <c r="Q735" s="152"/>
    </row>
    <row r="736" spans="2:17" ht="13">
      <c r="B736" s="396"/>
      <c r="C736" s="116"/>
      <c r="D736" s="116"/>
      <c r="E736" s="116"/>
      <c r="F736" s="116"/>
      <c r="G736" s="332"/>
      <c r="H736" s="332"/>
      <c r="I736" s="332"/>
      <c r="J736" s="332"/>
      <c r="K736" s="332"/>
      <c r="L736" s="332"/>
      <c r="Q736" s="152"/>
    </row>
    <row r="737" spans="2:17" ht="13">
      <c r="B737" s="396"/>
      <c r="C737" s="116"/>
      <c r="D737" s="116"/>
      <c r="E737" s="116"/>
      <c r="F737" s="116"/>
      <c r="G737" s="332"/>
      <c r="H737" s="332"/>
      <c r="I737" s="332"/>
      <c r="J737" s="332"/>
      <c r="K737" s="332"/>
      <c r="L737" s="332"/>
      <c r="Q737" s="152"/>
    </row>
    <row r="738" spans="2:17" ht="13">
      <c r="B738" s="396"/>
      <c r="C738" s="116"/>
      <c r="D738" s="116"/>
      <c r="E738" s="116"/>
      <c r="F738" s="116"/>
      <c r="G738" s="332"/>
      <c r="H738" s="332"/>
      <c r="I738" s="332"/>
      <c r="J738" s="332"/>
      <c r="K738" s="332"/>
      <c r="L738" s="332"/>
      <c r="Q738" s="152"/>
    </row>
    <row r="739" spans="2:17" ht="13">
      <c r="B739" s="396"/>
      <c r="C739" s="116"/>
      <c r="D739" s="116"/>
      <c r="E739" s="116"/>
      <c r="F739" s="116"/>
      <c r="G739" s="332"/>
      <c r="H739" s="332"/>
      <c r="I739" s="332"/>
      <c r="J739" s="332"/>
      <c r="K739" s="332"/>
      <c r="L739" s="332"/>
      <c r="Q739" s="152"/>
    </row>
    <row r="740" spans="2:17" ht="13">
      <c r="B740" s="396"/>
      <c r="C740" s="116"/>
      <c r="D740" s="116"/>
      <c r="E740" s="116"/>
      <c r="F740" s="116"/>
      <c r="G740" s="332"/>
      <c r="H740" s="332"/>
      <c r="I740" s="332"/>
      <c r="J740" s="332"/>
      <c r="K740" s="332"/>
      <c r="L740" s="332"/>
      <c r="Q740" s="152"/>
    </row>
    <row r="741" spans="2:17" ht="13">
      <c r="B741" s="396"/>
      <c r="C741" s="116"/>
      <c r="D741" s="116"/>
      <c r="E741" s="116"/>
      <c r="F741" s="116"/>
      <c r="G741" s="332"/>
      <c r="H741" s="332"/>
      <c r="I741" s="332"/>
      <c r="J741" s="332"/>
      <c r="K741" s="332"/>
      <c r="L741" s="332"/>
      <c r="Q741" s="152"/>
    </row>
    <row r="742" spans="2:17" ht="13">
      <c r="B742" s="396"/>
      <c r="C742" s="116"/>
      <c r="D742" s="116"/>
      <c r="E742" s="116"/>
      <c r="F742" s="116"/>
      <c r="G742" s="332"/>
      <c r="H742" s="332"/>
      <c r="I742" s="332"/>
      <c r="J742" s="332"/>
      <c r="K742" s="332"/>
      <c r="L742" s="332"/>
      <c r="Q742" s="152"/>
    </row>
    <row r="743" spans="2:17" ht="13">
      <c r="B743" s="396"/>
      <c r="C743" s="116"/>
      <c r="D743" s="116"/>
      <c r="E743" s="116"/>
      <c r="F743" s="116"/>
      <c r="G743" s="332"/>
      <c r="H743" s="332"/>
      <c r="I743" s="332"/>
      <c r="J743" s="332"/>
      <c r="K743" s="332"/>
      <c r="L743" s="332"/>
      <c r="Q743" s="152"/>
    </row>
    <row r="744" spans="2:17" ht="13">
      <c r="B744" s="396"/>
      <c r="C744" s="116"/>
      <c r="D744" s="116"/>
      <c r="E744" s="116"/>
      <c r="F744" s="116"/>
      <c r="G744" s="332"/>
      <c r="H744" s="332"/>
      <c r="I744" s="332"/>
      <c r="J744" s="332"/>
      <c r="K744" s="332"/>
      <c r="L744" s="332"/>
      <c r="Q744" s="152"/>
    </row>
    <row r="745" spans="2:17" ht="13">
      <c r="B745" s="396"/>
      <c r="C745" s="116"/>
      <c r="D745" s="116"/>
      <c r="E745" s="116"/>
      <c r="F745" s="116"/>
      <c r="G745" s="332"/>
      <c r="H745" s="332"/>
      <c r="I745" s="332"/>
      <c r="J745" s="332"/>
      <c r="K745" s="332"/>
      <c r="L745" s="332"/>
      <c r="Q745" s="152"/>
    </row>
    <row r="746" spans="2:17" ht="13">
      <c r="B746" s="396"/>
      <c r="C746" s="116"/>
      <c r="D746" s="116"/>
      <c r="E746" s="116"/>
      <c r="F746" s="116"/>
      <c r="G746" s="332"/>
      <c r="H746" s="332"/>
      <c r="I746" s="332"/>
      <c r="J746" s="332"/>
      <c r="K746" s="332"/>
      <c r="L746" s="332"/>
      <c r="Q746" s="152"/>
    </row>
    <row r="747" spans="2:17" ht="13">
      <c r="B747" s="396"/>
      <c r="C747" s="116"/>
      <c r="D747" s="116"/>
      <c r="E747" s="116"/>
      <c r="F747" s="116"/>
      <c r="G747" s="332"/>
      <c r="H747" s="332"/>
      <c r="I747" s="332"/>
      <c r="J747" s="332"/>
      <c r="K747" s="332"/>
      <c r="L747" s="332"/>
      <c r="Q747" s="152"/>
    </row>
    <row r="748" spans="2:17" ht="13">
      <c r="B748" s="396"/>
      <c r="C748" s="116"/>
      <c r="D748" s="116"/>
      <c r="E748" s="116"/>
      <c r="F748" s="116"/>
      <c r="G748" s="332"/>
      <c r="H748" s="332"/>
      <c r="I748" s="332"/>
      <c r="J748" s="332"/>
      <c r="K748" s="332"/>
      <c r="L748" s="332"/>
      <c r="Q748" s="152"/>
    </row>
    <row r="749" spans="2:17" ht="13">
      <c r="B749" s="396"/>
      <c r="C749" s="116"/>
      <c r="D749" s="116"/>
      <c r="E749" s="116"/>
      <c r="F749" s="116"/>
      <c r="G749" s="332"/>
      <c r="H749" s="332"/>
      <c r="I749" s="332"/>
      <c r="J749" s="332"/>
      <c r="K749" s="332"/>
      <c r="L749" s="332"/>
      <c r="Q749" s="152"/>
    </row>
    <row r="750" spans="2:17" ht="13">
      <c r="B750" s="396"/>
      <c r="C750" s="116"/>
      <c r="D750" s="116"/>
      <c r="E750" s="116"/>
      <c r="F750" s="116"/>
      <c r="G750" s="332"/>
      <c r="H750" s="332"/>
      <c r="I750" s="332"/>
      <c r="J750" s="332"/>
      <c r="K750" s="332"/>
      <c r="L750" s="332"/>
      <c r="Q750" s="152"/>
    </row>
    <row r="751" spans="2:17" ht="13">
      <c r="B751" s="396"/>
      <c r="C751" s="116"/>
      <c r="D751" s="116"/>
      <c r="E751" s="116"/>
      <c r="F751" s="116"/>
      <c r="G751" s="332"/>
      <c r="H751" s="332"/>
      <c r="I751" s="332"/>
      <c r="J751" s="332"/>
      <c r="K751" s="332"/>
      <c r="L751" s="332"/>
      <c r="Q751" s="152"/>
    </row>
    <row r="752" spans="2:17" ht="13">
      <c r="B752" s="396"/>
      <c r="C752" s="116"/>
      <c r="D752" s="116"/>
      <c r="E752" s="116"/>
      <c r="F752" s="116"/>
      <c r="G752" s="332"/>
      <c r="H752" s="332"/>
      <c r="I752" s="332"/>
      <c r="J752" s="332"/>
      <c r="K752" s="332"/>
      <c r="L752" s="332"/>
      <c r="Q752" s="152"/>
    </row>
    <row r="753" spans="2:17" ht="13">
      <c r="B753" s="396"/>
      <c r="C753" s="116"/>
      <c r="D753" s="116"/>
      <c r="E753" s="116"/>
      <c r="F753" s="116"/>
      <c r="G753" s="332"/>
      <c r="H753" s="332"/>
      <c r="I753" s="332"/>
      <c r="J753" s="332"/>
      <c r="K753" s="332"/>
      <c r="L753" s="332"/>
      <c r="Q753" s="152"/>
    </row>
    <row r="754" spans="2:17" ht="13">
      <c r="B754" s="396"/>
      <c r="C754" s="116"/>
      <c r="D754" s="116"/>
      <c r="E754" s="116"/>
      <c r="F754" s="116"/>
      <c r="G754" s="332"/>
      <c r="H754" s="332"/>
      <c r="I754" s="332"/>
      <c r="J754" s="332"/>
      <c r="K754" s="332"/>
      <c r="L754" s="332"/>
      <c r="Q754" s="152"/>
    </row>
    <row r="755" spans="2:17" ht="13">
      <c r="B755" s="396"/>
      <c r="C755" s="116"/>
      <c r="D755" s="116"/>
      <c r="E755" s="116"/>
      <c r="F755" s="116"/>
      <c r="G755" s="332"/>
      <c r="H755" s="332"/>
      <c r="I755" s="332"/>
      <c r="J755" s="332"/>
      <c r="K755" s="332"/>
      <c r="L755" s="332"/>
      <c r="Q755" s="152"/>
    </row>
    <row r="756" spans="2:17" ht="13">
      <c r="B756" s="396"/>
      <c r="C756" s="116"/>
      <c r="D756" s="116"/>
      <c r="E756" s="116"/>
      <c r="F756" s="116"/>
      <c r="G756" s="332"/>
      <c r="H756" s="332"/>
      <c r="I756" s="332"/>
      <c r="J756" s="332"/>
      <c r="K756" s="332"/>
      <c r="L756" s="332"/>
      <c r="Q756" s="152"/>
    </row>
    <row r="757" spans="2:17" ht="13">
      <c r="B757" s="396"/>
      <c r="C757" s="116"/>
      <c r="D757" s="116"/>
      <c r="E757" s="116"/>
      <c r="F757" s="116"/>
      <c r="G757" s="332"/>
      <c r="H757" s="332"/>
      <c r="I757" s="332"/>
      <c r="J757" s="332"/>
      <c r="K757" s="332"/>
      <c r="L757" s="332"/>
      <c r="Q757" s="152"/>
    </row>
    <row r="758" spans="2:17" ht="13">
      <c r="B758" s="396"/>
      <c r="C758" s="116"/>
      <c r="D758" s="116"/>
      <c r="E758" s="116"/>
      <c r="F758" s="116"/>
      <c r="G758" s="332"/>
      <c r="H758" s="332"/>
      <c r="I758" s="332"/>
      <c r="J758" s="332"/>
      <c r="K758" s="332"/>
      <c r="L758" s="332"/>
      <c r="Q758" s="152"/>
    </row>
    <row r="759" spans="2:17" ht="13">
      <c r="B759" s="396"/>
      <c r="C759" s="116"/>
      <c r="D759" s="116"/>
      <c r="E759" s="116"/>
      <c r="F759" s="116"/>
      <c r="G759" s="332"/>
      <c r="H759" s="332"/>
      <c r="I759" s="332"/>
      <c r="J759" s="332"/>
      <c r="K759" s="332"/>
      <c r="L759" s="332"/>
      <c r="Q759" s="152"/>
    </row>
    <row r="760" spans="2:17" ht="13">
      <c r="B760" s="396"/>
      <c r="C760" s="116"/>
      <c r="D760" s="116"/>
      <c r="E760" s="116"/>
      <c r="F760" s="116"/>
      <c r="G760" s="332"/>
      <c r="H760" s="332"/>
      <c r="I760" s="332"/>
      <c r="J760" s="332"/>
      <c r="K760" s="332"/>
      <c r="L760" s="332"/>
      <c r="Q760" s="152"/>
    </row>
    <row r="761" spans="2:17" ht="13">
      <c r="B761" s="396"/>
      <c r="C761" s="116"/>
      <c r="D761" s="116"/>
      <c r="E761" s="116"/>
      <c r="F761" s="116"/>
      <c r="G761" s="332"/>
      <c r="H761" s="332"/>
      <c r="I761" s="332"/>
      <c r="J761" s="332"/>
      <c r="K761" s="332"/>
      <c r="L761" s="332"/>
      <c r="Q761" s="152"/>
    </row>
    <row r="762" spans="2:17" ht="13">
      <c r="B762" s="396"/>
      <c r="C762" s="116"/>
      <c r="D762" s="116"/>
      <c r="E762" s="116"/>
      <c r="F762" s="116"/>
      <c r="G762" s="332"/>
      <c r="H762" s="332"/>
      <c r="I762" s="332"/>
      <c r="J762" s="332"/>
      <c r="K762" s="332"/>
      <c r="L762" s="332"/>
      <c r="Q762" s="152"/>
    </row>
    <row r="763" spans="2:17" ht="13">
      <c r="B763" s="396"/>
      <c r="C763" s="116"/>
      <c r="D763" s="116"/>
      <c r="E763" s="116"/>
      <c r="F763" s="116"/>
      <c r="G763" s="332"/>
      <c r="H763" s="332"/>
      <c r="I763" s="332"/>
      <c r="J763" s="332"/>
      <c r="K763" s="332"/>
      <c r="L763" s="332"/>
      <c r="Q763" s="152"/>
    </row>
    <row r="764" spans="2:17" ht="13">
      <c r="B764" s="396"/>
      <c r="C764" s="116"/>
      <c r="D764" s="116"/>
      <c r="E764" s="116"/>
      <c r="F764" s="116"/>
      <c r="G764" s="332"/>
      <c r="H764" s="332"/>
      <c r="I764" s="332"/>
      <c r="J764" s="332"/>
      <c r="K764" s="332"/>
      <c r="L764" s="332"/>
      <c r="Q764" s="152"/>
    </row>
    <row r="765" spans="2:17" ht="13">
      <c r="B765" s="396"/>
      <c r="C765" s="116"/>
      <c r="D765" s="116"/>
      <c r="E765" s="116"/>
      <c r="F765" s="116"/>
      <c r="G765" s="332"/>
      <c r="H765" s="332"/>
      <c r="I765" s="332"/>
      <c r="J765" s="332"/>
      <c r="K765" s="332"/>
      <c r="L765" s="332"/>
      <c r="Q765" s="152"/>
    </row>
    <row r="766" spans="2:17" ht="13">
      <c r="B766" s="396"/>
      <c r="C766" s="116"/>
      <c r="D766" s="116"/>
      <c r="E766" s="116"/>
      <c r="F766" s="116"/>
      <c r="G766" s="332"/>
      <c r="H766" s="332"/>
      <c r="I766" s="332"/>
      <c r="J766" s="332"/>
      <c r="K766" s="332"/>
      <c r="L766" s="332"/>
      <c r="Q766" s="152"/>
    </row>
    <row r="767" spans="2:17" ht="13">
      <c r="B767" s="396"/>
      <c r="C767" s="116"/>
      <c r="D767" s="116"/>
      <c r="E767" s="116"/>
      <c r="F767" s="116"/>
      <c r="G767" s="332"/>
      <c r="H767" s="332"/>
      <c r="I767" s="332"/>
      <c r="J767" s="332"/>
      <c r="K767" s="332"/>
      <c r="L767" s="332"/>
      <c r="Q767" s="152"/>
    </row>
    <row r="768" spans="2:17" ht="13">
      <c r="B768" s="396"/>
      <c r="C768" s="116"/>
      <c r="D768" s="116"/>
      <c r="E768" s="116"/>
      <c r="F768" s="116"/>
      <c r="G768" s="332"/>
      <c r="H768" s="332"/>
      <c r="I768" s="332"/>
      <c r="J768" s="332"/>
      <c r="K768" s="332"/>
      <c r="L768" s="332"/>
      <c r="Q768" s="152"/>
    </row>
    <row r="769" spans="2:17" ht="13">
      <c r="B769" s="396"/>
      <c r="C769" s="116"/>
      <c r="D769" s="116"/>
      <c r="E769" s="116"/>
      <c r="F769" s="116"/>
      <c r="G769" s="332"/>
      <c r="H769" s="332"/>
      <c r="I769" s="332"/>
      <c r="J769" s="332"/>
      <c r="K769" s="332"/>
      <c r="L769" s="332"/>
      <c r="Q769" s="152"/>
    </row>
    <row r="770" spans="2:17" ht="13">
      <c r="B770" s="396"/>
      <c r="C770" s="116"/>
      <c r="D770" s="116"/>
      <c r="E770" s="116"/>
      <c r="F770" s="116"/>
      <c r="G770" s="332"/>
      <c r="H770" s="332"/>
      <c r="I770" s="332"/>
      <c r="J770" s="332"/>
      <c r="K770" s="332"/>
      <c r="L770" s="332"/>
      <c r="Q770" s="152"/>
    </row>
    <row r="771" spans="2:17" ht="13">
      <c r="B771" s="396"/>
      <c r="C771" s="116"/>
      <c r="D771" s="116"/>
      <c r="E771" s="116"/>
      <c r="F771" s="116"/>
      <c r="G771" s="332"/>
      <c r="H771" s="332"/>
      <c r="I771" s="332"/>
      <c r="J771" s="332"/>
      <c r="K771" s="332"/>
      <c r="L771" s="332"/>
      <c r="Q771" s="152"/>
    </row>
    <row r="772" spans="2:17" ht="13">
      <c r="B772" s="396"/>
      <c r="C772" s="116"/>
      <c r="D772" s="116"/>
      <c r="E772" s="116"/>
      <c r="F772" s="116"/>
      <c r="G772" s="332"/>
      <c r="H772" s="332"/>
      <c r="I772" s="332"/>
      <c r="J772" s="332"/>
      <c r="K772" s="332"/>
      <c r="L772" s="332"/>
      <c r="Q772" s="152"/>
    </row>
    <row r="773" spans="2:17" ht="13">
      <c r="B773" s="396"/>
      <c r="C773" s="116"/>
      <c r="D773" s="116"/>
      <c r="E773" s="116"/>
      <c r="F773" s="116"/>
      <c r="G773" s="332"/>
      <c r="H773" s="332"/>
      <c r="I773" s="332"/>
      <c r="J773" s="332"/>
      <c r="K773" s="332"/>
      <c r="L773" s="332"/>
      <c r="Q773" s="152"/>
    </row>
    <row r="774" spans="2:17" ht="13">
      <c r="B774" s="396"/>
      <c r="C774" s="116"/>
      <c r="D774" s="116"/>
      <c r="E774" s="116"/>
      <c r="F774" s="116"/>
      <c r="G774" s="332"/>
      <c r="H774" s="332"/>
      <c r="I774" s="332"/>
      <c r="J774" s="332"/>
      <c r="K774" s="332"/>
      <c r="L774" s="332"/>
      <c r="Q774" s="152"/>
    </row>
    <row r="775" spans="2:17" ht="13">
      <c r="B775" s="396"/>
      <c r="C775" s="116"/>
      <c r="D775" s="116"/>
      <c r="E775" s="116"/>
      <c r="F775" s="116"/>
      <c r="G775" s="332"/>
      <c r="H775" s="332"/>
      <c r="I775" s="332"/>
      <c r="J775" s="332"/>
      <c r="K775" s="332"/>
      <c r="L775" s="332"/>
      <c r="Q775" s="152"/>
    </row>
    <row r="776" spans="2:17" ht="13">
      <c r="B776" s="396"/>
      <c r="C776" s="116"/>
      <c r="D776" s="116"/>
      <c r="E776" s="116"/>
      <c r="F776" s="116"/>
      <c r="G776" s="332"/>
      <c r="H776" s="332"/>
      <c r="I776" s="332"/>
      <c r="J776" s="332"/>
      <c r="K776" s="332"/>
      <c r="L776" s="332"/>
      <c r="Q776" s="152"/>
    </row>
    <row r="777" spans="2:17" ht="13">
      <c r="B777" s="396"/>
      <c r="C777" s="116"/>
      <c r="D777" s="116"/>
      <c r="E777" s="116"/>
      <c r="F777" s="116"/>
      <c r="G777" s="332"/>
      <c r="H777" s="332"/>
      <c r="I777" s="332"/>
      <c r="J777" s="332"/>
      <c r="K777" s="332"/>
      <c r="L777" s="332"/>
      <c r="Q777" s="152"/>
    </row>
    <row r="778" spans="2:17" ht="13">
      <c r="B778" s="396"/>
      <c r="C778" s="116"/>
      <c r="D778" s="116"/>
      <c r="E778" s="116"/>
      <c r="F778" s="116"/>
      <c r="G778" s="332"/>
      <c r="H778" s="332"/>
      <c r="I778" s="332"/>
      <c r="J778" s="332"/>
      <c r="K778" s="332"/>
      <c r="L778" s="332"/>
      <c r="Q778" s="152"/>
    </row>
    <row r="779" spans="2:17" ht="13">
      <c r="B779" s="396"/>
      <c r="C779" s="116"/>
      <c r="D779" s="116"/>
      <c r="E779" s="116"/>
      <c r="F779" s="116"/>
      <c r="G779" s="332"/>
      <c r="H779" s="332"/>
      <c r="I779" s="332"/>
      <c r="J779" s="332"/>
      <c r="K779" s="332"/>
      <c r="L779" s="332"/>
      <c r="Q779" s="152"/>
    </row>
    <row r="780" spans="2:17" ht="13">
      <c r="B780" s="396"/>
      <c r="C780" s="116"/>
      <c r="D780" s="116"/>
      <c r="E780" s="116"/>
      <c r="F780" s="116"/>
      <c r="G780" s="332"/>
      <c r="H780" s="332"/>
      <c r="I780" s="332"/>
      <c r="J780" s="332"/>
      <c r="K780" s="332"/>
      <c r="L780" s="332"/>
      <c r="Q780" s="152"/>
    </row>
    <row r="781" spans="2:17" ht="13">
      <c r="B781" s="396"/>
      <c r="C781" s="116"/>
      <c r="D781" s="116"/>
      <c r="E781" s="116"/>
      <c r="F781" s="116"/>
      <c r="G781" s="332"/>
      <c r="H781" s="332"/>
      <c r="I781" s="332"/>
      <c r="J781" s="332"/>
      <c r="K781" s="332"/>
      <c r="L781" s="332"/>
      <c r="Q781" s="152"/>
    </row>
    <row r="782" spans="2:17" ht="13">
      <c r="B782" s="396"/>
      <c r="C782" s="116"/>
      <c r="D782" s="116"/>
      <c r="E782" s="116"/>
      <c r="F782" s="116"/>
      <c r="G782" s="332"/>
      <c r="H782" s="332"/>
      <c r="I782" s="332"/>
      <c r="J782" s="332"/>
      <c r="K782" s="332"/>
      <c r="L782" s="332"/>
      <c r="Q782" s="152"/>
    </row>
    <row r="783" spans="2:17" ht="13">
      <c r="B783" s="396"/>
      <c r="C783" s="116"/>
      <c r="D783" s="116"/>
      <c r="E783" s="116"/>
      <c r="F783" s="116"/>
      <c r="G783" s="332"/>
      <c r="H783" s="332"/>
      <c r="I783" s="332"/>
      <c r="J783" s="332"/>
      <c r="K783" s="332"/>
      <c r="L783" s="332"/>
      <c r="Q783" s="152"/>
    </row>
    <row r="784" spans="2:17" ht="13">
      <c r="B784" s="396"/>
      <c r="C784" s="116"/>
      <c r="D784" s="116"/>
      <c r="E784" s="116"/>
      <c r="F784" s="116"/>
      <c r="G784" s="332"/>
      <c r="H784" s="332"/>
      <c r="I784" s="332"/>
      <c r="J784" s="332"/>
      <c r="K784" s="332"/>
      <c r="L784" s="332"/>
      <c r="Q784" s="152"/>
    </row>
    <row r="785" spans="2:17" ht="13">
      <c r="B785" s="396"/>
      <c r="C785" s="116"/>
      <c r="D785" s="116"/>
      <c r="E785" s="116"/>
      <c r="F785" s="116"/>
      <c r="G785" s="332"/>
      <c r="H785" s="332"/>
      <c r="I785" s="332"/>
      <c r="J785" s="332"/>
      <c r="K785" s="332"/>
      <c r="L785" s="332"/>
      <c r="Q785" s="152"/>
    </row>
    <row r="786" spans="2:17" ht="13">
      <c r="B786" s="396"/>
      <c r="C786" s="116"/>
      <c r="D786" s="116"/>
      <c r="E786" s="116"/>
      <c r="F786" s="116"/>
      <c r="G786" s="332"/>
      <c r="H786" s="332"/>
      <c r="I786" s="332"/>
      <c r="J786" s="332"/>
      <c r="K786" s="332"/>
      <c r="L786" s="332"/>
      <c r="Q786" s="152"/>
    </row>
    <row r="787" spans="2:17" ht="13">
      <c r="B787" s="396"/>
      <c r="C787" s="116"/>
      <c r="D787" s="116"/>
      <c r="E787" s="116"/>
      <c r="F787" s="116"/>
      <c r="G787" s="332"/>
      <c r="H787" s="332"/>
      <c r="I787" s="332"/>
      <c r="J787" s="332"/>
      <c r="K787" s="332"/>
      <c r="L787" s="332"/>
      <c r="Q787" s="152"/>
    </row>
    <row r="788" spans="2:17" ht="13">
      <c r="B788" s="396"/>
      <c r="C788" s="116"/>
      <c r="D788" s="116"/>
      <c r="E788" s="116"/>
      <c r="F788" s="116"/>
      <c r="G788" s="332"/>
      <c r="H788" s="332"/>
      <c r="I788" s="332"/>
      <c r="J788" s="332"/>
      <c r="K788" s="332"/>
      <c r="L788" s="332"/>
      <c r="Q788" s="152"/>
    </row>
    <row r="789" spans="2:17" ht="13">
      <c r="B789" s="396"/>
      <c r="C789" s="116"/>
      <c r="D789" s="116"/>
      <c r="E789" s="116"/>
      <c r="F789" s="116"/>
      <c r="G789" s="332"/>
      <c r="H789" s="332"/>
      <c r="I789" s="332"/>
      <c r="J789" s="332"/>
      <c r="K789" s="332"/>
      <c r="L789" s="332"/>
      <c r="Q789" s="152"/>
    </row>
    <row r="790" spans="2:17" ht="13">
      <c r="B790" s="396"/>
      <c r="C790" s="116"/>
      <c r="D790" s="116"/>
      <c r="E790" s="116"/>
      <c r="F790" s="116"/>
      <c r="G790" s="332"/>
      <c r="H790" s="332"/>
      <c r="I790" s="332"/>
      <c r="J790" s="332"/>
      <c r="K790" s="332"/>
      <c r="L790" s="332"/>
      <c r="Q790" s="152"/>
    </row>
    <row r="791" spans="2:17" ht="13">
      <c r="B791" s="396"/>
      <c r="C791" s="116"/>
      <c r="D791" s="116"/>
      <c r="E791" s="116"/>
      <c r="F791" s="116"/>
      <c r="G791" s="332"/>
      <c r="H791" s="332"/>
      <c r="I791" s="332"/>
      <c r="J791" s="332"/>
      <c r="K791" s="332"/>
      <c r="L791" s="332"/>
      <c r="Q791" s="152"/>
    </row>
    <row r="792" spans="2:17" ht="13">
      <c r="B792" s="396"/>
      <c r="C792" s="116"/>
      <c r="D792" s="116"/>
      <c r="E792" s="116"/>
      <c r="F792" s="116"/>
      <c r="G792" s="332"/>
      <c r="H792" s="332"/>
      <c r="I792" s="332"/>
      <c r="J792" s="332"/>
      <c r="K792" s="332"/>
      <c r="L792" s="332"/>
      <c r="Q792" s="152"/>
    </row>
    <row r="793" spans="2:17" ht="13">
      <c r="B793" s="396"/>
      <c r="C793" s="116"/>
      <c r="D793" s="116"/>
      <c r="E793" s="116"/>
      <c r="F793" s="116"/>
      <c r="G793" s="332"/>
      <c r="H793" s="332"/>
      <c r="I793" s="332"/>
      <c r="J793" s="332"/>
      <c r="K793" s="332"/>
      <c r="L793" s="332"/>
      <c r="Q793" s="152"/>
    </row>
    <row r="794" spans="2:17" ht="13">
      <c r="B794" s="396"/>
      <c r="C794" s="116"/>
      <c r="D794" s="116"/>
      <c r="E794" s="116"/>
      <c r="F794" s="116"/>
      <c r="G794" s="332"/>
      <c r="H794" s="332"/>
      <c r="I794" s="332"/>
      <c r="J794" s="332"/>
      <c r="K794" s="332"/>
      <c r="L794" s="332"/>
      <c r="Q794" s="152"/>
    </row>
    <row r="795" spans="2:17" ht="13">
      <c r="B795" s="396"/>
      <c r="C795" s="116"/>
      <c r="D795" s="116"/>
      <c r="E795" s="116"/>
      <c r="F795" s="116"/>
      <c r="G795" s="332"/>
      <c r="H795" s="332"/>
      <c r="I795" s="332"/>
      <c r="J795" s="332"/>
      <c r="K795" s="332"/>
      <c r="L795" s="332"/>
      <c r="Q795" s="152"/>
    </row>
    <row r="796" spans="2:17" ht="13">
      <c r="B796" s="396"/>
      <c r="C796" s="116"/>
      <c r="D796" s="116"/>
      <c r="E796" s="116"/>
      <c r="F796" s="116"/>
      <c r="G796" s="332"/>
      <c r="H796" s="332"/>
      <c r="I796" s="332"/>
      <c r="J796" s="332"/>
      <c r="K796" s="332"/>
      <c r="L796" s="332"/>
      <c r="Q796" s="152"/>
    </row>
    <row r="797" spans="2:17" ht="13">
      <c r="B797" s="396"/>
      <c r="C797" s="116"/>
      <c r="D797" s="116"/>
      <c r="E797" s="116"/>
      <c r="F797" s="116"/>
      <c r="G797" s="332"/>
      <c r="H797" s="332"/>
      <c r="I797" s="332"/>
      <c r="J797" s="332"/>
      <c r="K797" s="332"/>
      <c r="L797" s="332"/>
      <c r="Q797" s="152"/>
    </row>
    <row r="798" spans="2:17" ht="13">
      <c r="B798" s="396"/>
      <c r="C798" s="116"/>
      <c r="D798" s="116"/>
      <c r="E798" s="116"/>
      <c r="F798" s="116"/>
      <c r="G798" s="332"/>
      <c r="H798" s="332"/>
      <c r="I798" s="332"/>
      <c r="J798" s="332"/>
      <c r="K798" s="332"/>
      <c r="L798" s="332"/>
      <c r="Q798" s="152"/>
    </row>
    <row r="799" spans="2:17" ht="13">
      <c r="B799" s="396"/>
      <c r="C799" s="116"/>
      <c r="D799" s="116"/>
      <c r="E799" s="116"/>
      <c r="F799" s="116"/>
      <c r="G799" s="332"/>
      <c r="H799" s="332"/>
      <c r="I799" s="332"/>
      <c r="J799" s="332"/>
      <c r="K799" s="332"/>
      <c r="L799" s="332"/>
      <c r="Q799" s="152"/>
    </row>
    <row r="800" spans="2:17" ht="13">
      <c r="B800" s="396"/>
      <c r="C800" s="116"/>
      <c r="D800" s="116"/>
      <c r="E800" s="116"/>
      <c r="F800" s="116"/>
      <c r="G800" s="332"/>
      <c r="H800" s="332"/>
      <c r="I800" s="332"/>
      <c r="J800" s="332"/>
      <c r="K800" s="332"/>
      <c r="L800" s="332"/>
      <c r="Q800" s="152"/>
    </row>
    <row r="801" spans="2:17" ht="13">
      <c r="B801" s="396"/>
      <c r="C801" s="116"/>
      <c r="D801" s="116"/>
      <c r="E801" s="116"/>
      <c r="F801" s="116"/>
      <c r="G801" s="332"/>
      <c r="H801" s="332"/>
      <c r="I801" s="332"/>
      <c r="J801" s="332"/>
      <c r="K801" s="332"/>
      <c r="L801" s="332"/>
      <c r="Q801" s="152"/>
    </row>
    <row r="802" spans="2:17" ht="13">
      <c r="B802" s="396"/>
      <c r="C802" s="116"/>
      <c r="D802" s="116"/>
      <c r="E802" s="116"/>
      <c r="F802" s="116"/>
      <c r="G802" s="332"/>
      <c r="H802" s="332"/>
      <c r="I802" s="332"/>
      <c r="J802" s="332"/>
      <c r="K802" s="332"/>
      <c r="L802" s="332"/>
      <c r="Q802" s="152"/>
    </row>
    <row r="803" spans="2:17" ht="13">
      <c r="B803" s="396"/>
      <c r="C803" s="116"/>
      <c r="D803" s="116"/>
      <c r="E803" s="116"/>
      <c r="F803" s="116"/>
      <c r="G803" s="332"/>
      <c r="H803" s="332"/>
      <c r="I803" s="332"/>
      <c r="J803" s="332"/>
      <c r="K803" s="332"/>
      <c r="L803" s="332"/>
      <c r="Q803" s="152"/>
    </row>
    <row r="804" spans="2:17" ht="13">
      <c r="B804" s="396"/>
      <c r="C804" s="116"/>
      <c r="D804" s="116"/>
      <c r="E804" s="116"/>
      <c r="F804" s="116"/>
      <c r="G804" s="332"/>
      <c r="H804" s="332"/>
      <c r="I804" s="332"/>
      <c r="J804" s="332"/>
      <c r="K804" s="332"/>
      <c r="L804" s="332"/>
      <c r="Q804" s="152"/>
    </row>
    <row r="805" spans="2:17" ht="13">
      <c r="B805" s="396"/>
      <c r="C805" s="116"/>
      <c r="D805" s="116"/>
      <c r="E805" s="116"/>
      <c r="F805" s="116"/>
      <c r="G805" s="332"/>
      <c r="H805" s="332"/>
      <c r="I805" s="332"/>
      <c r="J805" s="332"/>
      <c r="K805" s="332"/>
      <c r="L805" s="332"/>
      <c r="Q805" s="152"/>
    </row>
    <row r="806" spans="2:17" ht="13">
      <c r="B806" s="396"/>
      <c r="C806" s="116"/>
      <c r="D806" s="116"/>
      <c r="E806" s="116"/>
      <c r="F806" s="116"/>
      <c r="G806" s="332"/>
      <c r="H806" s="332"/>
      <c r="I806" s="332"/>
      <c r="J806" s="332"/>
      <c r="K806" s="332"/>
      <c r="L806" s="332"/>
      <c r="Q806" s="152"/>
    </row>
    <row r="807" spans="2:17" ht="13">
      <c r="B807" s="396"/>
      <c r="C807" s="116"/>
      <c r="D807" s="116"/>
      <c r="E807" s="116"/>
      <c r="F807" s="116"/>
      <c r="G807" s="332"/>
      <c r="H807" s="332"/>
      <c r="I807" s="332"/>
      <c r="J807" s="332"/>
      <c r="K807" s="332"/>
      <c r="L807" s="332"/>
      <c r="Q807" s="152"/>
    </row>
    <row r="808" spans="2:17" ht="13">
      <c r="B808" s="396"/>
      <c r="C808" s="116"/>
      <c r="D808" s="116"/>
      <c r="E808" s="116"/>
      <c r="F808" s="116"/>
      <c r="G808" s="332"/>
      <c r="H808" s="332"/>
      <c r="I808" s="332"/>
      <c r="J808" s="332"/>
      <c r="K808" s="332"/>
      <c r="L808" s="332"/>
      <c r="Q808" s="152"/>
    </row>
    <row r="809" spans="2:17" ht="13">
      <c r="B809" s="396"/>
      <c r="C809" s="116"/>
      <c r="D809" s="116"/>
      <c r="E809" s="116"/>
      <c r="F809" s="116"/>
      <c r="G809" s="332"/>
      <c r="H809" s="332"/>
      <c r="I809" s="332"/>
      <c r="J809" s="332"/>
      <c r="K809" s="332"/>
      <c r="L809" s="332"/>
      <c r="Q809" s="152"/>
    </row>
    <row r="810" spans="2:17" ht="13">
      <c r="B810" s="396"/>
      <c r="C810" s="116"/>
      <c r="D810" s="116"/>
      <c r="E810" s="116"/>
      <c r="F810" s="116"/>
      <c r="G810" s="332"/>
      <c r="H810" s="332"/>
      <c r="I810" s="332"/>
      <c r="J810" s="332"/>
      <c r="K810" s="332"/>
      <c r="L810" s="332"/>
      <c r="Q810" s="152"/>
    </row>
    <row r="811" spans="2:17" ht="13">
      <c r="B811" s="396"/>
      <c r="C811" s="116"/>
      <c r="D811" s="116"/>
      <c r="E811" s="116"/>
      <c r="F811" s="116"/>
      <c r="G811" s="332"/>
      <c r="H811" s="332"/>
      <c r="I811" s="332"/>
      <c r="J811" s="332"/>
      <c r="K811" s="332"/>
      <c r="L811" s="332"/>
      <c r="Q811" s="152"/>
    </row>
    <row r="812" spans="2:17" ht="13">
      <c r="B812" s="396"/>
      <c r="C812" s="116"/>
      <c r="D812" s="116"/>
      <c r="E812" s="116"/>
      <c r="F812" s="116"/>
      <c r="G812" s="332"/>
      <c r="H812" s="332"/>
      <c r="I812" s="332"/>
      <c r="J812" s="332"/>
      <c r="K812" s="332"/>
      <c r="L812" s="332"/>
      <c r="Q812" s="152"/>
    </row>
    <row r="813" spans="2:17" ht="13">
      <c r="B813" s="396"/>
      <c r="C813" s="116"/>
      <c r="D813" s="116"/>
      <c r="E813" s="116"/>
      <c r="F813" s="116"/>
      <c r="G813" s="332"/>
      <c r="H813" s="332"/>
      <c r="I813" s="332"/>
      <c r="J813" s="332"/>
      <c r="K813" s="332"/>
      <c r="L813" s="332"/>
      <c r="Q813" s="152"/>
    </row>
    <row r="814" spans="2:17" ht="13">
      <c r="B814" s="396"/>
      <c r="C814" s="116"/>
      <c r="D814" s="116"/>
      <c r="E814" s="116"/>
      <c r="F814" s="116"/>
      <c r="G814" s="332"/>
      <c r="H814" s="332"/>
      <c r="I814" s="332"/>
      <c r="J814" s="332"/>
      <c r="K814" s="332"/>
      <c r="L814" s="332"/>
      <c r="Q814" s="152"/>
    </row>
    <row r="815" spans="2:17" ht="13">
      <c r="B815" s="396"/>
      <c r="C815" s="116"/>
      <c r="D815" s="116"/>
      <c r="E815" s="116"/>
      <c r="F815" s="116"/>
      <c r="G815" s="332"/>
      <c r="H815" s="332"/>
      <c r="I815" s="332"/>
      <c r="J815" s="332"/>
      <c r="K815" s="332"/>
      <c r="L815" s="332"/>
      <c r="Q815" s="152"/>
    </row>
    <row r="816" spans="2:17" ht="13">
      <c r="B816" s="396"/>
      <c r="C816" s="116"/>
      <c r="D816" s="116"/>
      <c r="E816" s="116"/>
      <c r="F816" s="116"/>
      <c r="G816" s="332"/>
      <c r="H816" s="332"/>
      <c r="I816" s="332"/>
      <c r="J816" s="332"/>
      <c r="K816" s="332"/>
      <c r="L816" s="332"/>
      <c r="Q816" s="152"/>
    </row>
    <row r="817" spans="2:17" ht="13">
      <c r="B817" s="396"/>
      <c r="C817" s="116"/>
      <c r="D817" s="116"/>
      <c r="E817" s="116"/>
      <c r="F817" s="116"/>
      <c r="G817" s="332"/>
      <c r="H817" s="332"/>
      <c r="I817" s="332"/>
      <c r="J817" s="332"/>
      <c r="K817" s="332"/>
      <c r="L817" s="332"/>
      <c r="Q817" s="152"/>
    </row>
    <row r="818" spans="2:17" ht="13">
      <c r="B818" s="396"/>
      <c r="C818" s="116"/>
      <c r="D818" s="116"/>
      <c r="E818" s="116"/>
      <c r="F818" s="116"/>
      <c r="G818" s="332"/>
      <c r="H818" s="332"/>
      <c r="I818" s="332"/>
      <c r="J818" s="332"/>
      <c r="K818" s="332"/>
      <c r="L818" s="332"/>
      <c r="Q818" s="152"/>
    </row>
    <row r="819" spans="2:17" ht="13">
      <c r="B819" s="396"/>
      <c r="C819" s="116"/>
      <c r="D819" s="116"/>
      <c r="E819" s="116"/>
      <c r="F819" s="116"/>
      <c r="G819" s="332"/>
      <c r="H819" s="332"/>
      <c r="I819" s="332"/>
      <c r="J819" s="332"/>
      <c r="K819" s="332"/>
      <c r="L819" s="332"/>
      <c r="Q819" s="152"/>
    </row>
    <row r="820" spans="2:17" ht="13">
      <c r="B820" s="396"/>
      <c r="C820" s="116"/>
      <c r="D820" s="116"/>
      <c r="E820" s="116"/>
      <c r="F820" s="116"/>
      <c r="G820" s="332"/>
      <c r="H820" s="332"/>
      <c r="I820" s="332"/>
      <c r="J820" s="332"/>
      <c r="K820" s="332"/>
      <c r="L820" s="332"/>
      <c r="Q820" s="152"/>
    </row>
    <row r="821" spans="2:17" ht="13">
      <c r="B821" s="396"/>
      <c r="C821" s="116"/>
      <c r="D821" s="116"/>
      <c r="E821" s="116"/>
      <c r="F821" s="116"/>
      <c r="G821" s="332"/>
      <c r="H821" s="332"/>
      <c r="I821" s="332"/>
      <c r="J821" s="332"/>
      <c r="K821" s="332"/>
      <c r="L821" s="332"/>
      <c r="Q821" s="152"/>
    </row>
    <row r="822" spans="2:17" ht="13">
      <c r="B822" s="396"/>
      <c r="C822" s="116"/>
      <c r="D822" s="116"/>
      <c r="E822" s="116"/>
      <c r="F822" s="116"/>
      <c r="G822" s="332"/>
      <c r="H822" s="332"/>
      <c r="I822" s="332"/>
      <c r="J822" s="332"/>
      <c r="K822" s="332"/>
      <c r="L822" s="332"/>
      <c r="Q822" s="152"/>
    </row>
    <row r="823" spans="2:17" ht="13">
      <c r="B823" s="396"/>
      <c r="C823" s="116"/>
      <c r="D823" s="116"/>
      <c r="E823" s="116"/>
      <c r="F823" s="116"/>
      <c r="G823" s="332"/>
      <c r="H823" s="332"/>
      <c r="I823" s="332"/>
      <c r="J823" s="332"/>
      <c r="K823" s="332"/>
      <c r="L823" s="332"/>
      <c r="Q823" s="152"/>
    </row>
    <row r="824" spans="2:17" ht="13">
      <c r="B824" s="396"/>
      <c r="C824" s="116"/>
      <c r="D824" s="116"/>
      <c r="E824" s="116"/>
      <c r="F824" s="116"/>
      <c r="G824" s="332"/>
      <c r="H824" s="332"/>
      <c r="I824" s="332"/>
      <c r="J824" s="332"/>
      <c r="K824" s="332"/>
      <c r="L824" s="332"/>
      <c r="Q824" s="152"/>
    </row>
    <row r="825" spans="2:17" ht="13">
      <c r="B825" s="396"/>
      <c r="C825" s="116"/>
      <c r="D825" s="116"/>
      <c r="E825" s="116"/>
      <c r="F825" s="116"/>
      <c r="G825" s="332"/>
      <c r="H825" s="332"/>
      <c r="I825" s="332"/>
      <c r="J825" s="332"/>
      <c r="K825" s="332"/>
      <c r="L825" s="332"/>
      <c r="Q825" s="152"/>
    </row>
    <row r="826" spans="2:17" ht="13">
      <c r="B826" s="396"/>
      <c r="C826" s="116"/>
      <c r="D826" s="116"/>
      <c r="E826" s="116"/>
      <c r="F826" s="116"/>
      <c r="G826" s="332"/>
      <c r="H826" s="332"/>
      <c r="I826" s="332"/>
      <c r="J826" s="332"/>
      <c r="K826" s="332"/>
      <c r="L826" s="332"/>
      <c r="Q826" s="152"/>
    </row>
    <row r="827" spans="2:17" ht="13">
      <c r="B827" s="396"/>
      <c r="C827" s="116"/>
      <c r="D827" s="116"/>
      <c r="E827" s="116"/>
      <c r="F827" s="116"/>
      <c r="G827" s="332"/>
      <c r="H827" s="332"/>
      <c r="I827" s="332"/>
      <c r="J827" s="332"/>
      <c r="K827" s="332"/>
      <c r="L827" s="332"/>
      <c r="Q827" s="152"/>
    </row>
    <row r="828" spans="2:17" ht="13">
      <c r="B828" s="396"/>
      <c r="C828" s="116"/>
      <c r="D828" s="116"/>
      <c r="E828" s="116"/>
      <c r="F828" s="116"/>
      <c r="G828" s="332"/>
      <c r="H828" s="332"/>
      <c r="I828" s="332"/>
      <c r="J828" s="332"/>
      <c r="K828" s="332"/>
      <c r="L828" s="332"/>
      <c r="Q828" s="152"/>
    </row>
    <row r="829" spans="2:17" ht="13">
      <c r="B829" s="396"/>
      <c r="C829" s="116"/>
      <c r="D829" s="116"/>
      <c r="E829" s="116"/>
      <c r="F829" s="116"/>
      <c r="G829" s="332"/>
      <c r="H829" s="332"/>
      <c r="I829" s="332"/>
      <c r="J829" s="332"/>
      <c r="K829" s="332"/>
      <c r="L829" s="332"/>
      <c r="Q829" s="152"/>
    </row>
    <row r="830" spans="2:17" ht="13">
      <c r="B830" s="396"/>
      <c r="C830" s="116"/>
      <c r="D830" s="116"/>
      <c r="E830" s="116"/>
      <c r="F830" s="116"/>
      <c r="G830" s="332"/>
      <c r="H830" s="332"/>
      <c r="I830" s="332"/>
      <c r="J830" s="332"/>
      <c r="K830" s="332"/>
      <c r="L830" s="332"/>
      <c r="Q830" s="152"/>
    </row>
    <row r="831" spans="2:17" ht="13">
      <c r="B831" s="396"/>
      <c r="C831" s="116"/>
      <c r="D831" s="116"/>
      <c r="E831" s="116"/>
      <c r="F831" s="116"/>
      <c r="G831" s="332"/>
      <c r="H831" s="332"/>
      <c r="I831" s="332"/>
      <c r="J831" s="332"/>
      <c r="K831" s="332"/>
      <c r="L831" s="332"/>
      <c r="Q831" s="152"/>
    </row>
    <row r="832" spans="2:17" ht="13">
      <c r="B832" s="396"/>
      <c r="C832" s="116"/>
      <c r="D832" s="116"/>
      <c r="E832" s="116"/>
      <c r="F832" s="116"/>
      <c r="G832" s="332"/>
      <c r="H832" s="332"/>
      <c r="I832" s="332"/>
      <c r="J832" s="332"/>
      <c r="K832" s="332"/>
      <c r="L832" s="332"/>
      <c r="Q832" s="152"/>
    </row>
    <row r="833" spans="2:17" ht="13">
      <c r="B833" s="396"/>
      <c r="C833" s="116"/>
      <c r="D833" s="116"/>
      <c r="E833" s="116"/>
      <c r="F833" s="116"/>
      <c r="G833" s="332"/>
      <c r="H833" s="332"/>
      <c r="I833" s="332"/>
      <c r="J833" s="332"/>
      <c r="K833" s="332"/>
      <c r="L833" s="332"/>
      <c r="Q833" s="152"/>
    </row>
    <row r="834" spans="2:17" ht="13">
      <c r="B834" s="396"/>
      <c r="C834" s="116"/>
      <c r="D834" s="116"/>
      <c r="E834" s="116"/>
      <c r="F834" s="116"/>
      <c r="G834" s="332"/>
      <c r="H834" s="332"/>
      <c r="I834" s="332"/>
      <c r="J834" s="332"/>
      <c r="K834" s="332"/>
      <c r="L834" s="332"/>
      <c r="Q834" s="152"/>
    </row>
    <row r="835" spans="2:17" ht="13">
      <c r="B835" s="396"/>
      <c r="C835" s="116"/>
      <c r="D835" s="116"/>
      <c r="E835" s="116"/>
      <c r="F835" s="116"/>
      <c r="G835" s="332"/>
      <c r="H835" s="332"/>
      <c r="I835" s="332"/>
      <c r="J835" s="332"/>
      <c r="K835" s="332"/>
      <c r="L835" s="332"/>
      <c r="Q835" s="152"/>
    </row>
    <row r="836" spans="2:17" ht="13">
      <c r="B836" s="396"/>
      <c r="C836" s="116"/>
      <c r="D836" s="116"/>
      <c r="E836" s="116"/>
      <c r="F836" s="116"/>
      <c r="G836" s="332"/>
      <c r="H836" s="332"/>
      <c r="I836" s="332"/>
      <c r="J836" s="332"/>
      <c r="K836" s="332"/>
      <c r="L836" s="332"/>
      <c r="Q836" s="152"/>
    </row>
    <row r="837" spans="2:17" ht="13">
      <c r="B837" s="396"/>
      <c r="C837" s="116"/>
      <c r="D837" s="116"/>
      <c r="E837" s="116"/>
      <c r="F837" s="116"/>
      <c r="G837" s="332"/>
      <c r="H837" s="332"/>
      <c r="I837" s="332"/>
      <c r="J837" s="332"/>
      <c r="K837" s="332"/>
      <c r="L837" s="332"/>
      <c r="Q837" s="152"/>
    </row>
    <row r="838" spans="2:17" ht="13">
      <c r="B838" s="396"/>
      <c r="C838" s="116"/>
      <c r="D838" s="116"/>
      <c r="E838" s="116"/>
      <c r="F838" s="116"/>
      <c r="G838" s="332"/>
      <c r="H838" s="332"/>
      <c r="I838" s="332"/>
      <c r="J838" s="332"/>
      <c r="K838" s="332"/>
      <c r="L838" s="332"/>
      <c r="Q838" s="152"/>
    </row>
    <row r="839" spans="2:17" ht="13">
      <c r="B839" s="396"/>
      <c r="C839" s="116"/>
      <c r="D839" s="116"/>
      <c r="E839" s="116"/>
      <c r="F839" s="116"/>
      <c r="G839" s="332"/>
      <c r="H839" s="332"/>
      <c r="I839" s="332"/>
      <c r="J839" s="332"/>
      <c r="K839" s="332"/>
      <c r="L839" s="332"/>
      <c r="Q839" s="152"/>
    </row>
    <row r="840" spans="2:17" ht="13">
      <c r="B840" s="396"/>
      <c r="C840" s="116"/>
      <c r="D840" s="116"/>
      <c r="E840" s="116"/>
      <c r="F840" s="116"/>
      <c r="G840" s="332"/>
      <c r="H840" s="332"/>
      <c r="I840" s="332"/>
      <c r="J840" s="332"/>
      <c r="K840" s="332"/>
      <c r="L840" s="332"/>
      <c r="Q840" s="152"/>
    </row>
    <row r="841" spans="2:17" ht="13">
      <c r="B841" s="396"/>
      <c r="C841" s="116"/>
      <c r="D841" s="116"/>
      <c r="E841" s="116"/>
      <c r="F841" s="116"/>
      <c r="G841" s="332"/>
      <c r="H841" s="332"/>
      <c r="I841" s="332"/>
      <c r="J841" s="332"/>
      <c r="K841" s="332"/>
      <c r="L841" s="332"/>
      <c r="Q841" s="152"/>
    </row>
    <row r="842" spans="2:17" ht="13">
      <c r="B842" s="396"/>
      <c r="C842" s="116"/>
      <c r="D842" s="116"/>
      <c r="E842" s="116"/>
      <c r="F842" s="116"/>
      <c r="G842" s="332"/>
      <c r="H842" s="332"/>
      <c r="I842" s="332"/>
      <c r="J842" s="332"/>
      <c r="K842" s="332"/>
      <c r="L842" s="332"/>
      <c r="Q842" s="152"/>
    </row>
    <row r="843" spans="2:17" ht="13">
      <c r="B843" s="396"/>
      <c r="C843" s="116"/>
      <c r="D843" s="116"/>
      <c r="E843" s="116"/>
      <c r="F843" s="116"/>
      <c r="G843" s="332"/>
      <c r="H843" s="332"/>
      <c r="I843" s="332"/>
      <c r="J843" s="332"/>
      <c r="K843" s="332"/>
      <c r="L843" s="332"/>
      <c r="Q843" s="152"/>
    </row>
    <row r="844" spans="2:17" ht="13">
      <c r="B844" s="396"/>
      <c r="C844" s="116"/>
      <c r="D844" s="116"/>
      <c r="E844" s="116"/>
      <c r="F844" s="116"/>
      <c r="G844" s="332"/>
      <c r="H844" s="332"/>
      <c r="I844" s="332"/>
      <c r="J844" s="332"/>
      <c r="K844" s="332"/>
      <c r="L844" s="332"/>
      <c r="Q844" s="152"/>
    </row>
    <row r="845" spans="2:17" ht="13">
      <c r="B845" s="396"/>
      <c r="C845" s="116"/>
      <c r="D845" s="116"/>
      <c r="E845" s="116"/>
      <c r="F845" s="116"/>
      <c r="G845" s="332"/>
      <c r="H845" s="332"/>
      <c r="I845" s="332"/>
      <c r="J845" s="332"/>
      <c r="K845" s="332"/>
      <c r="L845" s="332"/>
      <c r="Q845" s="152"/>
    </row>
    <row r="846" spans="2:17" ht="13">
      <c r="B846" s="396"/>
      <c r="C846" s="116"/>
      <c r="D846" s="116"/>
      <c r="E846" s="116"/>
      <c r="F846" s="116"/>
      <c r="G846" s="332"/>
      <c r="H846" s="332"/>
      <c r="I846" s="332"/>
      <c r="J846" s="332"/>
      <c r="K846" s="332"/>
      <c r="L846" s="332"/>
      <c r="Q846" s="152"/>
    </row>
    <row r="847" spans="2:17" ht="13">
      <c r="B847" s="396"/>
      <c r="C847" s="116"/>
      <c r="D847" s="116"/>
      <c r="E847" s="116"/>
      <c r="F847" s="116"/>
      <c r="G847" s="332"/>
      <c r="H847" s="332"/>
      <c r="I847" s="332"/>
      <c r="J847" s="332"/>
      <c r="K847" s="332"/>
      <c r="L847" s="332"/>
      <c r="Q847" s="152"/>
    </row>
    <row r="848" spans="2:17" ht="13">
      <c r="B848" s="396"/>
      <c r="C848" s="116"/>
      <c r="D848" s="116"/>
      <c r="E848" s="116"/>
      <c r="F848" s="116"/>
      <c r="G848" s="332"/>
      <c r="H848" s="332"/>
      <c r="I848" s="332"/>
      <c r="J848" s="332"/>
      <c r="K848" s="332"/>
      <c r="L848" s="332"/>
      <c r="Q848" s="152"/>
    </row>
    <row r="849" spans="2:17" ht="13">
      <c r="B849" s="396"/>
      <c r="C849" s="116"/>
      <c r="D849" s="116"/>
      <c r="E849" s="116"/>
      <c r="F849" s="116"/>
      <c r="G849" s="332"/>
      <c r="H849" s="332"/>
      <c r="I849" s="332"/>
      <c r="J849" s="332"/>
      <c r="K849" s="332"/>
      <c r="L849" s="332"/>
      <c r="Q849" s="152"/>
    </row>
    <row r="850" spans="2:17" ht="13">
      <c r="B850" s="396"/>
      <c r="C850" s="116"/>
      <c r="D850" s="116"/>
      <c r="E850" s="116"/>
      <c r="F850" s="116"/>
      <c r="G850" s="332"/>
      <c r="H850" s="332"/>
      <c r="I850" s="332"/>
      <c r="J850" s="332"/>
      <c r="K850" s="332"/>
      <c r="L850" s="332"/>
      <c r="Q850" s="152"/>
    </row>
    <row r="851" spans="2:17" ht="13">
      <c r="B851" s="396"/>
      <c r="C851" s="116"/>
      <c r="D851" s="116"/>
      <c r="E851" s="116"/>
      <c r="F851" s="116"/>
      <c r="G851" s="332"/>
      <c r="H851" s="332"/>
      <c r="I851" s="332"/>
      <c r="J851" s="332"/>
      <c r="K851" s="332"/>
      <c r="L851" s="332"/>
      <c r="Q851" s="152"/>
    </row>
    <row r="852" spans="2:17" ht="13">
      <c r="B852" s="396"/>
      <c r="C852" s="116"/>
      <c r="D852" s="116"/>
      <c r="E852" s="116"/>
      <c r="F852" s="116"/>
      <c r="G852" s="332"/>
      <c r="H852" s="332"/>
      <c r="I852" s="332"/>
      <c r="J852" s="332"/>
      <c r="K852" s="332"/>
      <c r="L852" s="332"/>
      <c r="Q852" s="152"/>
    </row>
    <row r="853" spans="2:17" ht="13">
      <c r="B853" s="396"/>
      <c r="C853" s="116"/>
      <c r="D853" s="116"/>
      <c r="E853" s="116"/>
      <c r="F853" s="116"/>
      <c r="G853" s="332"/>
      <c r="H853" s="332"/>
      <c r="I853" s="332"/>
      <c r="J853" s="332"/>
      <c r="K853" s="332"/>
      <c r="L853" s="332"/>
      <c r="Q853" s="152"/>
    </row>
    <row r="854" spans="2:17" ht="13">
      <c r="B854" s="396"/>
      <c r="C854" s="116"/>
      <c r="D854" s="116"/>
      <c r="E854" s="116"/>
      <c r="F854" s="116"/>
      <c r="G854" s="332"/>
      <c r="H854" s="332"/>
      <c r="I854" s="332"/>
      <c r="J854" s="332"/>
      <c r="K854" s="332"/>
      <c r="L854" s="332"/>
      <c r="Q854" s="152"/>
    </row>
    <row r="855" spans="2:17" ht="13">
      <c r="B855" s="396"/>
      <c r="C855" s="116"/>
      <c r="D855" s="116"/>
      <c r="E855" s="116"/>
      <c r="F855" s="116"/>
      <c r="G855" s="332"/>
      <c r="H855" s="332"/>
      <c r="I855" s="332"/>
      <c r="J855" s="332"/>
      <c r="K855" s="332"/>
      <c r="L855" s="332"/>
      <c r="Q855" s="152"/>
    </row>
    <row r="856" spans="2:17" ht="13">
      <c r="B856" s="396"/>
      <c r="C856" s="116"/>
      <c r="D856" s="116"/>
      <c r="E856" s="116"/>
      <c r="F856" s="116"/>
      <c r="G856" s="332"/>
      <c r="H856" s="332"/>
      <c r="I856" s="332"/>
      <c r="J856" s="332"/>
      <c r="K856" s="332"/>
      <c r="L856" s="332"/>
      <c r="Q856" s="152"/>
    </row>
    <row r="857" spans="2:17" ht="13">
      <c r="B857" s="396"/>
      <c r="C857" s="116"/>
      <c r="D857" s="116"/>
      <c r="E857" s="116"/>
      <c r="F857" s="116"/>
      <c r="G857" s="332"/>
      <c r="H857" s="332"/>
      <c r="I857" s="332"/>
      <c r="J857" s="332"/>
      <c r="K857" s="332"/>
      <c r="L857" s="332"/>
      <c r="Q857" s="152"/>
    </row>
    <row r="858" spans="2:17" ht="13">
      <c r="B858" s="396"/>
      <c r="C858" s="116"/>
      <c r="D858" s="116"/>
      <c r="E858" s="116"/>
      <c r="F858" s="116"/>
      <c r="G858" s="332"/>
      <c r="H858" s="332"/>
      <c r="I858" s="332"/>
      <c r="J858" s="332"/>
      <c r="K858" s="332"/>
      <c r="L858" s="332"/>
      <c r="Q858" s="152"/>
    </row>
    <row r="859" spans="2:17" ht="13">
      <c r="B859" s="396"/>
      <c r="C859" s="116"/>
      <c r="D859" s="116"/>
      <c r="E859" s="116"/>
      <c r="F859" s="116"/>
      <c r="G859" s="332"/>
      <c r="H859" s="332"/>
      <c r="I859" s="332"/>
      <c r="J859" s="332"/>
      <c r="K859" s="332"/>
      <c r="L859" s="332"/>
      <c r="Q859" s="152"/>
    </row>
    <row r="860" spans="2:17" ht="13">
      <c r="B860" s="396"/>
      <c r="C860" s="116"/>
      <c r="D860" s="116"/>
      <c r="E860" s="116"/>
      <c r="F860" s="116"/>
      <c r="G860" s="332"/>
      <c r="H860" s="332"/>
      <c r="I860" s="332"/>
      <c r="J860" s="332"/>
      <c r="K860" s="332"/>
      <c r="L860" s="332"/>
      <c r="Q860" s="152"/>
    </row>
    <row r="861" spans="2:17" ht="13">
      <c r="B861" s="396"/>
      <c r="C861" s="116"/>
      <c r="D861" s="116"/>
      <c r="E861" s="116"/>
      <c r="F861" s="116"/>
      <c r="G861" s="332"/>
      <c r="H861" s="332"/>
      <c r="I861" s="332"/>
      <c r="J861" s="332"/>
      <c r="K861" s="332"/>
      <c r="L861" s="332"/>
      <c r="Q861" s="152"/>
    </row>
    <row r="862" spans="2:17" ht="13">
      <c r="B862" s="396"/>
      <c r="C862" s="116"/>
      <c r="D862" s="116"/>
      <c r="E862" s="116"/>
      <c r="F862" s="116"/>
      <c r="G862" s="332"/>
      <c r="H862" s="332"/>
      <c r="I862" s="332"/>
      <c r="J862" s="332"/>
      <c r="K862" s="332"/>
      <c r="L862" s="332"/>
      <c r="Q862" s="152"/>
    </row>
    <row r="863" spans="2:17" ht="13">
      <c r="B863" s="396"/>
      <c r="C863" s="116"/>
      <c r="D863" s="116"/>
      <c r="E863" s="116"/>
      <c r="F863" s="116"/>
      <c r="G863" s="332"/>
      <c r="H863" s="332"/>
      <c r="I863" s="332"/>
      <c r="J863" s="332"/>
      <c r="K863" s="332"/>
      <c r="L863" s="332"/>
      <c r="Q863" s="152"/>
    </row>
    <row r="864" spans="2:17" ht="13">
      <c r="B864" s="396"/>
      <c r="C864" s="116"/>
      <c r="D864" s="116"/>
      <c r="E864" s="116"/>
      <c r="F864" s="116"/>
      <c r="G864" s="332"/>
      <c r="H864" s="332"/>
      <c r="I864" s="332"/>
      <c r="J864" s="332"/>
      <c r="K864" s="332"/>
      <c r="L864" s="332"/>
      <c r="Q864" s="152"/>
    </row>
    <row r="865" spans="2:17" ht="13">
      <c r="B865" s="396"/>
      <c r="C865" s="116"/>
      <c r="D865" s="116"/>
      <c r="E865" s="116"/>
      <c r="F865" s="116"/>
      <c r="G865" s="332"/>
      <c r="H865" s="332"/>
      <c r="I865" s="332"/>
      <c r="J865" s="332"/>
      <c r="K865" s="332"/>
      <c r="L865" s="332"/>
      <c r="Q865" s="152"/>
    </row>
    <row r="866" spans="2:17" ht="13">
      <c r="B866" s="396"/>
      <c r="C866" s="116"/>
      <c r="D866" s="116"/>
      <c r="E866" s="116"/>
      <c r="F866" s="116"/>
      <c r="G866" s="332"/>
      <c r="H866" s="332"/>
      <c r="I866" s="332"/>
      <c r="J866" s="332"/>
      <c r="K866" s="332"/>
      <c r="L866" s="332"/>
      <c r="Q866" s="152"/>
    </row>
    <row r="867" spans="2:17" ht="13">
      <c r="B867" s="396"/>
      <c r="C867" s="116"/>
      <c r="D867" s="116"/>
      <c r="E867" s="116"/>
      <c r="F867" s="116"/>
      <c r="G867" s="332"/>
      <c r="H867" s="332"/>
      <c r="I867" s="332"/>
      <c r="J867" s="332"/>
      <c r="K867" s="332"/>
      <c r="L867" s="332"/>
      <c r="Q867" s="152"/>
    </row>
    <row r="868" spans="2:17" ht="13">
      <c r="B868" s="396"/>
      <c r="C868" s="116"/>
      <c r="D868" s="116"/>
      <c r="E868" s="116"/>
      <c r="F868" s="116"/>
      <c r="G868" s="332"/>
      <c r="H868" s="332"/>
      <c r="I868" s="332"/>
      <c r="J868" s="332"/>
      <c r="K868" s="332"/>
      <c r="L868" s="332"/>
      <c r="Q868" s="152"/>
    </row>
    <row r="869" spans="2:17" ht="13">
      <c r="B869" s="396"/>
      <c r="C869" s="116"/>
      <c r="D869" s="116"/>
      <c r="E869" s="116"/>
      <c r="F869" s="116"/>
      <c r="G869" s="332"/>
      <c r="H869" s="332"/>
      <c r="I869" s="332"/>
      <c r="J869" s="332"/>
      <c r="K869" s="332"/>
      <c r="L869" s="332"/>
      <c r="Q869" s="152"/>
    </row>
    <row r="870" spans="2:17" ht="13">
      <c r="B870" s="396"/>
      <c r="C870" s="116"/>
      <c r="D870" s="116"/>
      <c r="E870" s="116"/>
      <c r="F870" s="116"/>
      <c r="G870" s="332"/>
      <c r="H870" s="332"/>
      <c r="I870" s="332"/>
      <c r="J870" s="332"/>
      <c r="K870" s="332"/>
      <c r="L870" s="332"/>
      <c r="Q870" s="152"/>
    </row>
    <row r="871" spans="2:17" ht="13">
      <c r="B871" s="396"/>
      <c r="C871" s="116"/>
      <c r="D871" s="116"/>
      <c r="E871" s="116"/>
      <c r="F871" s="116"/>
      <c r="G871" s="332"/>
      <c r="H871" s="332"/>
      <c r="I871" s="332"/>
      <c r="J871" s="332"/>
      <c r="K871" s="332"/>
      <c r="L871" s="332"/>
      <c r="Q871" s="152"/>
    </row>
    <row r="872" spans="2:17" ht="13">
      <c r="B872" s="396"/>
      <c r="C872" s="116"/>
      <c r="D872" s="116"/>
      <c r="E872" s="116"/>
      <c r="F872" s="116"/>
      <c r="G872" s="332"/>
      <c r="H872" s="332"/>
      <c r="I872" s="332"/>
      <c r="J872" s="332"/>
      <c r="K872" s="332"/>
      <c r="L872" s="332"/>
      <c r="Q872" s="152"/>
    </row>
    <row r="873" spans="2:17" ht="13">
      <c r="B873" s="396"/>
      <c r="C873" s="116"/>
      <c r="D873" s="116"/>
      <c r="E873" s="116"/>
      <c r="F873" s="116"/>
      <c r="G873" s="332"/>
      <c r="H873" s="332"/>
      <c r="I873" s="332"/>
      <c r="J873" s="332"/>
      <c r="K873" s="332"/>
      <c r="L873" s="332"/>
      <c r="Q873" s="152"/>
    </row>
    <row r="874" spans="2:17" ht="13">
      <c r="B874" s="396"/>
      <c r="C874" s="116"/>
      <c r="D874" s="116"/>
      <c r="E874" s="116"/>
      <c r="F874" s="116"/>
      <c r="G874" s="332"/>
      <c r="H874" s="332"/>
      <c r="I874" s="332"/>
      <c r="J874" s="332"/>
      <c r="K874" s="332"/>
      <c r="L874" s="332"/>
      <c r="Q874" s="152"/>
    </row>
    <row r="875" spans="2:17" ht="13">
      <c r="B875" s="396"/>
      <c r="C875" s="116"/>
      <c r="D875" s="116"/>
      <c r="E875" s="116"/>
      <c r="F875" s="116"/>
      <c r="G875" s="332"/>
      <c r="H875" s="332"/>
      <c r="I875" s="332"/>
      <c r="J875" s="332"/>
      <c r="K875" s="332"/>
      <c r="L875" s="332"/>
      <c r="Q875" s="152"/>
    </row>
    <row r="876" spans="2:17" ht="13">
      <c r="B876" s="396"/>
      <c r="C876" s="116"/>
      <c r="D876" s="116"/>
      <c r="E876" s="116"/>
      <c r="F876" s="116"/>
      <c r="G876" s="332"/>
      <c r="H876" s="332"/>
      <c r="I876" s="332"/>
      <c r="J876" s="332"/>
      <c r="K876" s="332"/>
      <c r="L876" s="332"/>
      <c r="Q876" s="152"/>
    </row>
    <row r="877" spans="2:17" ht="13">
      <c r="B877" s="396"/>
      <c r="C877" s="116"/>
      <c r="D877" s="116"/>
      <c r="E877" s="116"/>
      <c r="F877" s="116"/>
      <c r="G877" s="332"/>
      <c r="H877" s="332"/>
      <c r="I877" s="332"/>
      <c r="J877" s="332"/>
      <c r="K877" s="332"/>
      <c r="L877" s="332"/>
      <c r="Q877" s="152"/>
    </row>
    <row r="878" spans="2:17" ht="13">
      <c r="B878" s="396"/>
      <c r="C878" s="116"/>
      <c r="D878" s="116"/>
      <c r="E878" s="116"/>
      <c r="F878" s="116"/>
      <c r="G878" s="332"/>
      <c r="H878" s="332"/>
      <c r="I878" s="332"/>
      <c r="J878" s="332"/>
      <c r="K878" s="332"/>
      <c r="L878" s="332"/>
      <c r="Q878" s="152"/>
    </row>
    <row r="879" spans="2:17" ht="13">
      <c r="B879" s="396"/>
      <c r="C879" s="116"/>
      <c r="D879" s="116"/>
      <c r="E879" s="116"/>
      <c r="F879" s="116"/>
      <c r="G879" s="332"/>
      <c r="H879" s="332"/>
      <c r="I879" s="332"/>
      <c r="J879" s="332"/>
      <c r="K879" s="332"/>
      <c r="L879" s="332"/>
      <c r="Q879" s="152"/>
    </row>
    <row r="880" spans="2:17" ht="13">
      <c r="B880" s="396"/>
      <c r="C880" s="116"/>
      <c r="D880" s="116"/>
      <c r="E880" s="116"/>
      <c r="F880" s="116"/>
      <c r="G880" s="332"/>
      <c r="H880" s="332"/>
      <c r="I880" s="332"/>
      <c r="J880" s="332"/>
      <c r="K880" s="332"/>
      <c r="L880" s="332"/>
      <c r="Q880" s="152"/>
    </row>
    <row r="881" spans="2:17" ht="13">
      <c r="B881" s="396"/>
      <c r="C881" s="116"/>
      <c r="D881" s="116"/>
      <c r="E881" s="116"/>
      <c r="F881" s="116"/>
      <c r="G881" s="332"/>
      <c r="H881" s="332"/>
      <c r="I881" s="332"/>
      <c r="J881" s="332"/>
      <c r="K881" s="332"/>
      <c r="L881" s="332"/>
      <c r="Q881" s="152"/>
    </row>
    <row r="882" spans="2:17" ht="13">
      <c r="B882" s="396"/>
      <c r="C882" s="116"/>
      <c r="D882" s="116"/>
      <c r="E882" s="116"/>
      <c r="F882" s="116"/>
      <c r="G882" s="332"/>
      <c r="H882" s="332"/>
      <c r="I882" s="332"/>
      <c r="J882" s="332"/>
      <c r="K882" s="332"/>
      <c r="L882" s="332"/>
      <c r="Q882" s="152"/>
    </row>
    <row r="883" spans="2:17" ht="13">
      <c r="B883" s="396"/>
      <c r="C883" s="116"/>
      <c r="D883" s="116"/>
      <c r="E883" s="116"/>
      <c r="F883" s="116"/>
      <c r="G883" s="332"/>
      <c r="H883" s="332"/>
      <c r="I883" s="332"/>
      <c r="J883" s="332"/>
      <c r="K883" s="332"/>
      <c r="L883" s="332"/>
      <c r="Q883" s="152"/>
    </row>
    <row r="884" spans="2:17" ht="13">
      <c r="B884" s="396"/>
      <c r="C884" s="116"/>
      <c r="D884" s="116"/>
      <c r="E884" s="116"/>
      <c r="F884" s="116"/>
      <c r="G884" s="332"/>
      <c r="H884" s="332"/>
      <c r="I884" s="332"/>
      <c r="J884" s="332"/>
      <c r="K884" s="332"/>
      <c r="L884" s="332"/>
      <c r="Q884" s="152"/>
    </row>
    <row r="885" spans="2:17" ht="13">
      <c r="B885" s="396"/>
      <c r="C885" s="116"/>
      <c r="D885" s="116"/>
      <c r="E885" s="116"/>
      <c r="F885" s="116"/>
      <c r="G885" s="332"/>
      <c r="H885" s="332"/>
      <c r="I885" s="332"/>
      <c r="J885" s="332"/>
      <c r="K885" s="332"/>
      <c r="L885" s="332"/>
      <c r="Q885" s="152"/>
    </row>
    <row r="886" spans="2:17" ht="13">
      <c r="B886" s="396"/>
      <c r="C886" s="116"/>
      <c r="D886" s="116"/>
      <c r="E886" s="116"/>
      <c r="F886" s="116"/>
      <c r="G886" s="332"/>
      <c r="H886" s="332"/>
      <c r="I886" s="332"/>
      <c r="J886" s="332"/>
      <c r="K886" s="332"/>
      <c r="L886" s="332"/>
      <c r="Q886" s="152"/>
    </row>
    <row r="887" spans="2:17" ht="13">
      <c r="B887" s="396"/>
      <c r="C887" s="116"/>
      <c r="D887" s="116"/>
      <c r="E887" s="116"/>
      <c r="F887" s="116"/>
      <c r="G887" s="332"/>
      <c r="H887" s="332"/>
      <c r="I887" s="332"/>
      <c r="J887" s="332"/>
      <c r="K887" s="332"/>
      <c r="L887" s="332"/>
      <c r="Q887" s="152"/>
    </row>
    <row r="888" spans="2:17" ht="13">
      <c r="B888" s="396"/>
      <c r="C888" s="116"/>
      <c r="D888" s="116"/>
      <c r="E888" s="116"/>
      <c r="F888" s="116"/>
      <c r="G888" s="332"/>
      <c r="H888" s="332"/>
      <c r="I888" s="332"/>
      <c r="J888" s="332"/>
      <c r="K888" s="332"/>
      <c r="L888" s="332"/>
      <c r="Q888" s="152"/>
    </row>
    <row r="889" spans="2:17" ht="13">
      <c r="B889" s="396"/>
      <c r="C889" s="116"/>
      <c r="D889" s="116"/>
      <c r="E889" s="116"/>
      <c r="F889" s="116"/>
      <c r="G889" s="332"/>
      <c r="H889" s="332"/>
      <c r="I889" s="332"/>
      <c r="J889" s="332"/>
      <c r="K889" s="332"/>
      <c r="L889" s="332"/>
      <c r="Q889" s="152"/>
    </row>
    <row r="890" spans="2:17" ht="13">
      <c r="B890" s="396"/>
      <c r="C890" s="116"/>
      <c r="D890" s="116"/>
      <c r="E890" s="116"/>
      <c r="F890" s="116"/>
      <c r="G890" s="332"/>
      <c r="H890" s="332"/>
      <c r="I890" s="332"/>
      <c r="J890" s="332"/>
      <c r="K890" s="332"/>
      <c r="L890" s="332"/>
      <c r="Q890" s="152"/>
    </row>
    <row r="891" spans="2:17" ht="13">
      <c r="B891" s="396"/>
      <c r="C891" s="116"/>
      <c r="D891" s="116"/>
      <c r="E891" s="116"/>
      <c r="F891" s="116"/>
      <c r="G891" s="332"/>
      <c r="H891" s="332"/>
      <c r="I891" s="332"/>
      <c r="J891" s="332"/>
      <c r="K891" s="332"/>
      <c r="L891" s="332"/>
      <c r="Q891" s="152"/>
    </row>
    <row r="892" spans="2:17" ht="13">
      <c r="B892" s="396"/>
      <c r="C892" s="116"/>
      <c r="D892" s="116"/>
      <c r="E892" s="116"/>
      <c r="F892" s="116"/>
      <c r="G892" s="332"/>
      <c r="H892" s="332"/>
      <c r="I892" s="332"/>
      <c r="J892" s="332"/>
      <c r="K892" s="332"/>
      <c r="L892" s="332"/>
      <c r="Q892" s="152"/>
    </row>
    <row r="893" spans="2:17" ht="13">
      <c r="B893" s="396"/>
      <c r="C893" s="116"/>
      <c r="D893" s="116"/>
      <c r="E893" s="116"/>
      <c r="F893" s="116"/>
      <c r="G893" s="332"/>
      <c r="H893" s="332"/>
      <c r="I893" s="332"/>
      <c r="J893" s="332"/>
      <c r="K893" s="332"/>
      <c r="L893" s="332"/>
      <c r="Q893" s="152"/>
    </row>
    <row r="894" spans="2:17" ht="13">
      <c r="B894" s="396"/>
      <c r="C894" s="116"/>
      <c r="D894" s="116"/>
      <c r="E894" s="116"/>
      <c r="F894" s="116"/>
      <c r="G894" s="332"/>
      <c r="H894" s="332"/>
      <c r="I894" s="332"/>
      <c r="J894" s="332"/>
      <c r="K894" s="332"/>
      <c r="L894" s="332"/>
      <c r="Q894" s="152"/>
    </row>
    <row r="895" spans="2:17" ht="13">
      <c r="B895" s="396"/>
      <c r="C895" s="116"/>
      <c r="D895" s="116"/>
      <c r="E895" s="116"/>
      <c r="F895" s="116"/>
      <c r="G895" s="332"/>
      <c r="H895" s="332"/>
      <c r="I895" s="332"/>
      <c r="J895" s="332"/>
      <c r="K895" s="332"/>
      <c r="L895" s="332"/>
      <c r="Q895" s="152"/>
    </row>
    <row r="896" spans="2:17" ht="13">
      <c r="B896" s="396"/>
      <c r="C896" s="116"/>
      <c r="D896" s="116"/>
      <c r="E896" s="116"/>
      <c r="F896" s="116"/>
      <c r="G896" s="332"/>
      <c r="H896" s="332"/>
      <c r="I896" s="332"/>
      <c r="J896" s="332"/>
      <c r="K896" s="332"/>
      <c r="L896" s="332"/>
      <c r="Q896" s="152"/>
    </row>
    <row r="897" spans="2:17" ht="13">
      <c r="B897" s="396"/>
      <c r="C897" s="116"/>
      <c r="D897" s="116"/>
      <c r="E897" s="116"/>
      <c r="F897" s="116"/>
      <c r="G897" s="332"/>
      <c r="H897" s="332"/>
      <c r="I897" s="332"/>
      <c r="J897" s="332"/>
      <c r="K897" s="332"/>
      <c r="L897" s="332"/>
      <c r="Q897" s="152"/>
    </row>
    <row r="898" spans="2:17" ht="13">
      <c r="B898" s="396"/>
      <c r="C898" s="116"/>
      <c r="D898" s="116"/>
      <c r="E898" s="116"/>
      <c r="F898" s="116"/>
      <c r="G898" s="332"/>
      <c r="H898" s="332"/>
      <c r="I898" s="332"/>
      <c r="J898" s="332"/>
      <c r="K898" s="332"/>
      <c r="L898" s="332"/>
      <c r="Q898" s="152"/>
    </row>
    <row r="899" spans="2:17" ht="13">
      <c r="B899" s="396"/>
      <c r="C899" s="116"/>
      <c r="D899" s="116"/>
      <c r="E899" s="116"/>
      <c r="F899" s="116"/>
      <c r="G899" s="332"/>
      <c r="H899" s="332"/>
      <c r="I899" s="332"/>
      <c r="J899" s="332"/>
      <c r="K899" s="332"/>
      <c r="L899" s="332"/>
      <c r="Q899" s="152"/>
    </row>
    <row r="900" spans="2:17" ht="13">
      <c r="B900" s="396"/>
      <c r="C900" s="116"/>
      <c r="D900" s="116"/>
      <c r="E900" s="116"/>
      <c r="F900" s="116"/>
      <c r="G900" s="332"/>
      <c r="H900" s="332"/>
      <c r="I900" s="332"/>
      <c r="J900" s="332"/>
      <c r="K900" s="332"/>
      <c r="L900" s="332"/>
      <c r="Q900" s="152"/>
    </row>
    <row r="901" spans="2:17" ht="13">
      <c r="B901" s="396"/>
      <c r="C901" s="116"/>
      <c r="D901" s="116"/>
      <c r="E901" s="116"/>
      <c r="F901" s="116"/>
      <c r="G901" s="332"/>
      <c r="H901" s="332"/>
      <c r="I901" s="332"/>
      <c r="J901" s="332"/>
      <c r="K901" s="332"/>
      <c r="L901" s="332"/>
      <c r="Q901" s="152"/>
    </row>
    <row r="902" spans="2:17" ht="13">
      <c r="B902" s="396"/>
      <c r="C902" s="116"/>
      <c r="D902" s="116"/>
      <c r="E902" s="116"/>
      <c r="F902" s="116"/>
      <c r="G902" s="332"/>
      <c r="H902" s="332"/>
      <c r="I902" s="332"/>
      <c r="J902" s="332"/>
      <c r="K902" s="332"/>
      <c r="L902" s="332"/>
      <c r="Q902" s="152"/>
    </row>
    <row r="903" spans="2:17" ht="13">
      <c r="B903" s="396"/>
      <c r="C903" s="116"/>
      <c r="D903" s="116"/>
      <c r="E903" s="116"/>
      <c r="F903" s="116"/>
      <c r="G903" s="332"/>
      <c r="H903" s="332"/>
      <c r="I903" s="332"/>
      <c r="J903" s="332"/>
      <c r="K903" s="332"/>
      <c r="L903" s="332"/>
      <c r="Q903" s="152"/>
    </row>
    <row r="904" spans="2:17" ht="13">
      <c r="B904" s="396"/>
      <c r="C904" s="116"/>
      <c r="D904" s="116"/>
      <c r="E904" s="116"/>
      <c r="F904" s="116"/>
      <c r="G904" s="332"/>
      <c r="H904" s="332"/>
      <c r="I904" s="332"/>
      <c r="J904" s="332"/>
      <c r="K904" s="332"/>
      <c r="L904" s="332"/>
      <c r="Q904" s="152"/>
    </row>
    <row r="905" spans="2:17" ht="13">
      <c r="B905" s="396"/>
      <c r="C905" s="116"/>
      <c r="D905" s="116"/>
      <c r="E905" s="116"/>
      <c r="F905" s="116"/>
      <c r="G905" s="332"/>
      <c r="H905" s="332"/>
      <c r="I905" s="332"/>
      <c r="J905" s="332"/>
      <c r="K905" s="332"/>
      <c r="L905" s="332"/>
      <c r="Q905" s="152"/>
    </row>
    <row r="906" spans="2:17" ht="13">
      <c r="B906" s="396"/>
      <c r="C906" s="116"/>
      <c r="D906" s="116"/>
      <c r="E906" s="116"/>
      <c r="F906" s="116"/>
      <c r="G906" s="332"/>
      <c r="H906" s="332"/>
      <c r="I906" s="332"/>
      <c r="J906" s="332"/>
      <c r="K906" s="332"/>
      <c r="L906" s="332"/>
      <c r="Q906" s="152"/>
    </row>
    <row r="907" spans="2:17" ht="13">
      <c r="B907" s="396"/>
      <c r="C907" s="116"/>
      <c r="D907" s="116"/>
      <c r="E907" s="116"/>
      <c r="F907" s="116"/>
      <c r="G907" s="332"/>
      <c r="H907" s="332"/>
      <c r="I907" s="332"/>
      <c r="J907" s="332"/>
      <c r="K907" s="332"/>
      <c r="L907" s="332"/>
      <c r="Q907" s="152"/>
    </row>
    <row r="908" spans="2:17" ht="13">
      <c r="B908" s="396"/>
      <c r="C908" s="116"/>
      <c r="D908" s="116"/>
      <c r="E908" s="116"/>
      <c r="F908" s="116"/>
      <c r="G908" s="332"/>
      <c r="H908" s="332"/>
      <c r="I908" s="332"/>
      <c r="J908" s="332"/>
      <c r="K908" s="332"/>
      <c r="L908" s="332"/>
      <c r="Q908" s="152"/>
    </row>
    <row r="909" spans="2:17" ht="13">
      <c r="B909" s="396"/>
      <c r="C909" s="116"/>
      <c r="D909" s="116"/>
      <c r="E909" s="116"/>
      <c r="F909" s="116"/>
      <c r="G909" s="332"/>
      <c r="H909" s="332"/>
      <c r="I909" s="332"/>
      <c r="J909" s="332"/>
      <c r="K909" s="332"/>
      <c r="L909" s="332"/>
      <c r="Q909" s="152"/>
    </row>
    <row r="910" spans="2:17" ht="13">
      <c r="B910" s="396"/>
      <c r="C910" s="116"/>
      <c r="D910" s="116"/>
      <c r="E910" s="116"/>
      <c r="F910" s="116"/>
      <c r="G910" s="332"/>
      <c r="H910" s="332"/>
      <c r="I910" s="332"/>
      <c r="J910" s="332"/>
      <c r="K910" s="332"/>
      <c r="L910" s="332"/>
      <c r="Q910" s="152"/>
    </row>
    <row r="911" spans="2:17" ht="13">
      <c r="B911" s="396"/>
      <c r="C911" s="116"/>
      <c r="D911" s="116"/>
      <c r="E911" s="116"/>
      <c r="F911" s="116"/>
      <c r="G911" s="332"/>
      <c r="H911" s="332"/>
      <c r="I911" s="332"/>
      <c r="J911" s="332"/>
      <c r="K911" s="332"/>
      <c r="L911" s="332"/>
      <c r="Q911" s="152"/>
    </row>
    <row r="912" spans="2:17" ht="13">
      <c r="B912" s="396"/>
      <c r="C912" s="116"/>
      <c r="D912" s="116"/>
      <c r="E912" s="116"/>
      <c r="F912" s="116"/>
      <c r="G912" s="332"/>
      <c r="H912" s="332"/>
      <c r="I912" s="332"/>
      <c r="J912" s="332"/>
      <c r="K912" s="332"/>
      <c r="L912" s="332"/>
      <c r="Q912" s="152"/>
    </row>
    <row r="913" spans="2:17" ht="13">
      <c r="B913" s="396"/>
      <c r="C913" s="116"/>
      <c r="D913" s="116"/>
      <c r="E913" s="116"/>
      <c r="F913" s="116"/>
      <c r="G913" s="332"/>
      <c r="H913" s="332"/>
      <c r="I913" s="332"/>
      <c r="J913" s="332"/>
      <c r="K913" s="332"/>
      <c r="L913" s="332"/>
      <c r="Q913" s="152"/>
    </row>
    <row r="914" spans="2:17" ht="13">
      <c r="B914" s="396"/>
      <c r="C914" s="116"/>
      <c r="D914" s="116"/>
      <c r="E914" s="116"/>
      <c r="F914" s="116"/>
      <c r="G914" s="332"/>
      <c r="H914" s="332"/>
      <c r="I914" s="332"/>
      <c r="J914" s="332"/>
      <c r="K914" s="332"/>
      <c r="L914" s="332"/>
      <c r="Q914" s="152"/>
    </row>
    <row r="915" spans="2:17" ht="13">
      <c r="B915" s="396"/>
      <c r="C915" s="116"/>
      <c r="D915" s="116"/>
      <c r="E915" s="116"/>
      <c r="F915" s="116"/>
      <c r="G915" s="332"/>
      <c r="H915" s="332"/>
      <c r="I915" s="332"/>
      <c r="J915" s="332"/>
      <c r="K915" s="332"/>
      <c r="L915" s="332"/>
      <c r="Q915" s="152"/>
    </row>
    <row r="916" spans="2:17" ht="13">
      <c r="B916" s="396"/>
      <c r="C916" s="116"/>
      <c r="D916" s="116"/>
      <c r="E916" s="116"/>
      <c r="F916" s="116"/>
      <c r="G916" s="332"/>
      <c r="H916" s="332"/>
      <c r="I916" s="332"/>
      <c r="J916" s="332"/>
      <c r="K916" s="332"/>
      <c r="L916" s="332"/>
      <c r="Q916" s="152"/>
    </row>
    <row r="917" spans="2:17" ht="13">
      <c r="B917" s="396"/>
      <c r="C917" s="116"/>
      <c r="D917" s="116"/>
      <c r="E917" s="116"/>
      <c r="F917" s="116"/>
      <c r="G917" s="332"/>
      <c r="H917" s="332"/>
      <c r="I917" s="332"/>
      <c r="J917" s="332"/>
      <c r="K917" s="332"/>
      <c r="L917" s="332"/>
      <c r="Q917" s="152"/>
    </row>
    <row r="918" spans="2:17" ht="13">
      <c r="B918" s="396"/>
      <c r="C918" s="116"/>
      <c r="D918" s="116"/>
      <c r="E918" s="116"/>
      <c r="F918" s="116"/>
      <c r="G918" s="332"/>
      <c r="H918" s="332"/>
      <c r="I918" s="332"/>
      <c r="J918" s="332"/>
      <c r="K918" s="332"/>
      <c r="L918" s="332"/>
      <c r="Q918" s="152"/>
    </row>
    <row r="919" spans="2:17" ht="13">
      <c r="B919" s="396"/>
      <c r="C919" s="116"/>
      <c r="D919" s="116"/>
      <c r="E919" s="116"/>
      <c r="F919" s="116"/>
      <c r="G919" s="332"/>
      <c r="H919" s="332"/>
      <c r="I919" s="332"/>
      <c r="J919" s="332"/>
      <c r="K919" s="332"/>
      <c r="L919" s="332"/>
      <c r="Q919" s="152"/>
    </row>
    <row r="920" spans="2:17" ht="13">
      <c r="B920" s="396"/>
      <c r="C920" s="116"/>
      <c r="D920" s="116"/>
      <c r="E920" s="116"/>
      <c r="F920" s="116"/>
      <c r="G920" s="332"/>
      <c r="H920" s="332"/>
      <c r="I920" s="332"/>
      <c r="J920" s="332"/>
      <c r="K920" s="332"/>
      <c r="L920" s="332"/>
      <c r="Q920" s="152"/>
    </row>
    <row r="921" spans="2:17" ht="13">
      <c r="B921" s="396"/>
      <c r="C921" s="116"/>
      <c r="D921" s="116"/>
      <c r="E921" s="116"/>
      <c r="F921" s="116"/>
      <c r="G921" s="332"/>
      <c r="H921" s="332"/>
      <c r="I921" s="332"/>
      <c r="J921" s="332"/>
      <c r="K921" s="332"/>
      <c r="L921" s="332"/>
      <c r="Q921" s="152"/>
    </row>
    <row r="922" spans="2:17" ht="13">
      <c r="B922" s="396"/>
      <c r="C922" s="116"/>
      <c r="D922" s="116"/>
      <c r="E922" s="116"/>
      <c r="F922" s="116"/>
      <c r="G922" s="332"/>
      <c r="H922" s="332"/>
      <c r="I922" s="332"/>
      <c r="J922" s="332"/>
      <c r="K922" s="332"/>
      <c r="L922" s="332"/>
      <c r="Q922" s="152"/>
    </row>
    <row r="923" spans="2:17" ht="13">
      <c r="B923" s="396"/>
      <c r="C923" s="116"/>
      <c r="D923" s="116"/>
      <c r="E923" s="116"/>
      <c r="F923" s="116"/>
      <c r="G923" s="332"/>
      <c r="H923" s="332"/>
      <c r="I923" s="332"/>
      <c r="J923" s="332"/>
      <c r="K923" s="332"/>
      <c r="L923" s="332"/>
      <c r="Q923" s="152"/>
    </row>
    <row r="924" spans="2:17" ht="13">
      <c r="B924" s="396"/>
      <c r="C924" s="116"/>
      <c r="D924" s="116"/>
      <c r="E924" s="116"/>
      <c r="F924" s="116"/>
      <c r="G924" s="332"/>
      <c r="H924" s="332"/>
      <c r="I924" s="332"/>
      <c r="J924" s="332"/>
      <c r="K924" s="332"/>
      <c r="L924" s="332"/>
      <c r="Q924" s="152"/>
    </row>
    <row r="925" spans="2:17" ht="13">
      <c r="B925" s="396"/>
      <c r="C925" s="116"/>
      <c r="D925" s="116"/>
      <c r="E925" s="116"/>
      <c r="F925" s="116"/>
      <c r="G925" s="332"/>
      <c r="H925" s="332"/>
      <c r="I925" s="332"/>
      <c r="J925" s="332"/>
      <c r="K925" s="332"/>
      <c r="L925" s="332"/>
      <c r="Q925" s="152"/>
    </row>
    <row r="926" spans="2:17" ht="13">
      <c r="B926" s="396"/>
      <c r="C926" s="116"/>
      <c r="D926" s="116"/>
      <c r="E926" s="116"/>
      <c r="F926" s="116"/>
      <c r="G926" s="332"/>
      <c r="H926" s="332"/>
      <c r="I926" s="332"/>
      <c r="J926" s="332"/>
      <c r="K926" s="332"/>
      <c r="L926" s="332"/>
      <c r="Q926" s="152"/>
    </row>
    <row r="927" spans="2:17" ht="13">
      <c r="B927" s="396"/>
      <c r="C927" s="116"/>
      <c r="D927" s="116"/>
      <c r="E927" s="116"/>
      <c r="F927" s="116"/>
      <c r="G927" s="332"/>
      <c r="H927" s="332"/>
      <c r="I927" s="332"/>
      <c r="J927" s="332"/>
      <c r="K927" s="332"/>
      <c r="L927" s="332"/>
      <c r="Q927" s="152"/>
    </row>
    <row r="928" spans="2:17" ht="13">
      <c r="B928" s="396"/>
      <c r="C928" s="116"/>
      <c r="D928" s="116"/>
      <c r="E928" s="116"/>
      <c r="F928" s="116"/>
      <c r="G928" s="332"/>
      <c r="H928" s="332"/>
      <c r="I928" s="332"/>
      <c r="J928" s="332"/>
      <c r="K928" s="332"/>
      <c r="L928" s="332"/>
      <c r="Q928" s="152"/>
    </row>
    <row r="929" spans="2:17" ht="13">
      <c r="B929" s="396"/>
      <c r="C929" s="116"/>
      <c r="D929" s="116"/>
      <c r="E929" s="116"/>
      <c r="F929" s="116"/>
      <c r="G929" s="332"/>
      <c r="H929" s="332"/>
      <c r="I929" s="332"/>
      <c r="J929" s="332"/>
      <c r="K929" s="332"/>
      <c r="L929" s="332"/>
      <c r="Q929" s="152"/>
    </row>
    <row r="930" spans="2:17" ht="13">
      <c r="B930" s="396"/>
      <c r="C930" s="116"/>
      <c r="D930" s="116"/>
      <c r="E930" s="116"/>
      <c r="F930" s="116"/>
      <c r="G930" s="332"/>
      <c r="H930" s="332"/>
      <c r="I930" s="332"/>
      <c r="J930" s="332"/>
      <c r="K930" s="332"/>
      <c r="L930" s="332"/>
      <c r="Q930" s="152"/>
    </row>
    <row r="931" spans="2:17" ht="13">
      <c r="B931" s="396"/>
      <c r="C931" s="116"/>
      <c r="D931" s="116"/>
      <c r="E931" s="116"/>
      <c r="F931" s="116"/>
      <c r="G931" s="332"/>
      <c r="H931" s="332"/>
      <c r="I931" s="332"/>
      <c r="J931" s="332"/>
      <c r="K931" s="332"/>
      <c r="L931" s="332"/>
      <c r="Q931" s="152"/>
    </row>
    <row r="932" spans="2:17" ht="13">
      <c r="B932" s="396"/>
      <c r="C932" s="116"/>
      <c r="D932" s="116"/>
      <c r="E932" s="116"/>
      <c r="F932" s="116"/>
      <c r="G932" s="332"/>
      <c r="H932" s="332"/>
      <c r="I932" s="332"/>
      <c r="J932" s="332"/>
      <c r="K932" s="332"/>
      <c r="L932" s="332"/>
      <c r="Q932" s="152"/>
    </row>
    <row r="933" spans="2:17" ht="13">
      <c r="B933" s="396"/>
      <c r="C933" s="116"/>
      <c r="D933" s="116"/>
      <c r="E933" s="116"/>
      <c r="F933" s="116"/>
      <c r="G933" s="332"/>
      <c r="H933" s="332"/>
      <c r="I933" s="332"/>
      <c r="J933" s="332"/>
      <c r="K933" s="332"/>
      <c r="L933" s="332"/>
      <c r="Q933" s="152"/>
    </row>
    <row r="934" spans="2:17" ht="13">
      <c r="B934" s="396"/>
      <c r="C934" s="116"/>
      <c r="D934" s="116"/>
      <c r="E934" s="116"/>
      <c r="F934" s="116"/>
      <c r="G934" s="332"/>
      <c r="H934" s="332"/>
      <c r="I934" s="332"/>
      <c r="J934" s="332"/>
      <c r="K934" s="332"/>
      <c r="L934" s="332"/>
      <c r="Q934" s="152"/>
    </row>
    <row r="935" spans="2:17" ht="13">
      <c r="B935" s="396"/>
      <c r="C935" s="116"/>
      <c r="D935" s="116"/>
      <c r="E935" s="116"/>
      <c r="F935" s="116"/>
      <c r="G935" s="332"/>
      <c r="H935" s="332"/>
      <c r="I935" s="332"/>
      <c r="J935" s="332"/>
      <c r="K935" s="332"/>
      <c r="L935" s="332"/>
      <c r="Q935" s="152"/>
    </row>
    <row r="936" spans="2:17" ht="13">
      <c r="B936" s="396"/>
      <c r="C936" s="116"/>
      <c r="D936" s="116"/>
      <c r="E936" s="116"/>
      <c r="F936" s="116"/>
      <c r="G936" s="332"/>
      <c r="H936" s="332"/>
      <c r="I936" s="332"/>
      <c r="J936" s="332"/>
      <c r="K936" s="332"/>
      <c r="L936" s="332"/>
      <c r="Q936" s="152"/>
    </row>
    <row r="937" spans="2:17" ht="13">
      <c r="B937" s="396"/>
      <c r="C937" s="116"/>
      <c r="D937" s="116"/>
      <c r="E937" s="116"/>
      <c r="F937" s="116"/>
      <c r="G937" s="332"/>
      <c r="H937" s="332"/>
      <c r="I937" s="332"/>
      <c r="J937" s="332"/>
      <c r="K937" s="332"/>
      <c r="L937" s="332"/>
      <c r="Q937" s="152"/>
    </row>
    <row r="938" spans="2:17" ht="13">
      <c r="B938" s="396"/>
      <c r="C938" s="116"/>
      <c r="D938" s="116"/>
      <c r="E938" s="116"/>
      <c r="F938" s="116"/>
      <c r="G938" s="332"/>
      <c r="H938" s="332"/>
      <c r="I938" s="332"/>
      <c r="J938" s="332"/>
      <c r="K938" s="332"/>
      <c r="L938" s="332"/>
      <c r="Q938" s="152"/>
    </row>
    <row r="939" spans="2:17" ht="13">
      <c r="B939" s="396"/>
      <c r="C939" s="116"/>
      <c r="D939" s="116"/>
      <c r="E939" s="116"/>
      <c r="F939" s="116"/>
      <c r="G939" s="332"/>
      <c r="H939" s="332"/>
      <c r="I939" s="332"/>
      <c r="J939" s="332"/>
      <c r="K939" s="332"/>
      <c r="L939" s="332"/>
      <c r="Q939" s="152"/>
    </row>
    <row r="940" spans="2:17" ht="13">
      <c r="B940" s="396"/>
      <c r="C940" s="116"/>
      <c r="D940" s="116"/>
      <c r="E940" s="116"/>
      <c r="F940" s="116"/>
      <c r="G940" s="332"/>
      <c r="H940" s="332"/>
      <c r="I940" s="332"/>
      <c r="J940" s="332"/>
      <c r="K940" s="332"/>
      <c r="L940" s="332"/>
      <c r="Q940" s="152"/>
    </row>
    <row r="941" spans="2:17" ht="13">
      <c r="B941" s="396"/>
      <c r="C941" s="116"/>
      <c r="D941" s="116"/>
      <c r="E941" s="116"/>
      <c r="F941" s="116"/>
      <c r="G941" s="332"/>
      <c r="H941" s="332"/>
      <c r="I941" s="332"/>
      <c r="J941" s="332"/>
      <c r="K941" s="332"/>
      <c r="L941" s="332"/>
      <c r="Q941" s="152"/>
    </row>
    <row r="942" spans="2:17" ht="13">
      <c r="B942" s="396"/>
      <c r="C942" s="116"/>
      <c r="D942" s="116"/>
      <c r="E942" s="116"/>
      <c r="F942" s="116"/>
      <c r="G942" s="332"/>
      <c r="H942" s="332"/>
      <c r="I942" s="332"/>
      <c r="J942" s="332"/>
      <c r="K942" s="332"/>
      <c r="L942" s="332"/>
      <c r="Q942" s="152"/>
    </row>
    <row r="943" spans="2:17" ht="13">
      <c r="B943" s="396"/>
      <c r="C943" s="116"/>
      <c r="D943" s="116"/>
      <c r="E943" s="116"/>
      <c r="F943" s="116"/>
      <c r="G943" s="332"/>
      <c r="H943" s="332"/>
      <c r="I943" s="332"/>
      <c r="J943" s="332"/>
      <c r="K943" s="332"/>
      <c r="L943" s="332"/>
      <c r="Q943" s="152"/>
    </row>
    <row r="944" spans="2:17" ht="13">
      <c r="B944" s="396"/>
      <c r="C944" s="116"/>
      <c r="D944" s="116"/>
      <c r="E944" s="116"/>
      <c r="F944" s="116"/>
      <c r="G944" s="332"/>
      <c r="H944" s="332"/>
      <c r="I944" s="332"/>
      <c r="J944" s="332"/>
      <c r="K944" s="332"/>
      <c r="L944" s="332"/>
      <c r="Q944" s="152"/>
    </row>
    <row r="945" spans="2:17" ht="13">
      <c r="B945" s="396"/>
      <c r="C945" s="116"/>
      <c r="D945" s="116"/>
      <c r="E945" s="116"/>
      <c r="F945" s="116"/>
      <c r="G945" s="332"/>
      <c r="H945" s="332"/>
      <c r="I945" s="332"/>
      <c r="J945" s="332"/>
      <c r="K945" s="332"/>
      <c r="L945" s="332"/>
      <c r="Q945" s="152"/>
    </row>
    <row r="946" spans="2:17" ht="13">
      <c r="B946" s="396"/>
      <c r="C946" s="116"/>
      <c r="D946" s="116"/>
      <c r="E946" s="116"/>
      <c r="F946" s="116"/>
      <c r="G946" s="332"/>
      <c r="H946" s="332"/>
      <c r="I946" s="332"/>
      <c r="J946" s="332"/>
      <c r="K946" s="332"/>
      <c r="L946" s="332"/>
      <c r="Q946" s="152"/>
    </row>
    <row r="947" spans="2:17" ht="13">
      <c r="B947" s="396"/>
      <c r="C947" s="116"/>
      <c r="D947" s="116"/>
      <c r="E947" s="116"/>
      <c r="F947" s="116"/>
      <c r="G947" s="332"/>
      <c r="H947" s="332"/>
      <c r="I947" s="332"/>
      <c r="J947" s="332"/>
      <c r="K947" s="332"/>
      <c r="L947" s="332"/>
      <c r="Q947" s="152"/>
    </row>
    <row r="948" spans="2:17" ht="13">
      <c r="B948" s="396"/>
      <c r="C948" s="116"/>
      <c r="D948" s="116"/>
      <c r="E948" s="116"/>
      <c r="F948" s="116"/>
      <c r="G948" s="332"/>
      <c r="H948" s="332"/>
      <c r="I948" s="332"/>
      <c r="J948" s="332"/>
      <c r="K948" s="332"/>
      <c r="L948" s="332"/>
      <c r="Q948" s="152"/>
    </row>
    <row r="949" spans="2:17" ht="13">
      <c r="B949" s="396"/>
      <c r="C949" s="116"/>
      <c r="D949" s="116"/>
      <c r="E949" s="116"/>
      <c r="F949" s="116"/>
      <c r="G949" s="332"/>
      <c r="H949" s="332"/>
      <c r="I949" s="332"/>
      <c r="J949" s="332"/>
      <c r="K949" s="332"/>
      <c r="L949" s="332"/>
      <c r="Q949" s="152"/>
    </row>
    <row r="950" spans="2:17" ht="13">
      <c r="B950" s="396"/>
      <c r="C950" s="116"/>
      <c r="D950" s="116"/>
      <c r="E950" s="116"/>
      <c r="F950" s="116"/>
      <c r="G950" s="332"/>
      <c r="H950" s="332"/>
      <c r="I950" s="332"/>
      <c r="J950" s="332"/>
      <c r="K950" s="332"/>
      <c r="L950" s="332"/>
      <c r="Q950" s="152"/>
    </row>
    <row r="951" spans="2:17" ht="13">
      <c r="B951" s="396"/>
      <c r="C951" s="116"/>
      <c r="D951" s="116"/>
      <c r="E951" s="116"/>
      <c r="F951" s="116"/>
      <c r="G951" s="332"/>
      <c r="H951" s="332"/>
      <c r="I951" s="332"/>
      <c r="J951" s="332"/>
      <c r="K951" s="332"/>
      <c r="L951" s="332"/>
      <c r="Q951" s="152"/>
    </row>
    <row r="952" spans="2:17" ht="13">
      <c r="B952" s="396"/>
      <c r="C952" s="116"/>
      <c r="D952" s="116"/>
      <c r="E952" s="116"/>
      <c r="F952" s="116"/>
      <c r="G952" s="332"/>
      <c r="H952" s="332"/>
      <c r="I952" s="332"/>
      <c r="J952" s="332"/>
      <c r="K952" s="332"/>
      <c r="L952" s="332"/>
      <c r="Q952" s="152"/>
    </row>
    <row r="953" spans="2:17" ht="13">
      <c r="B953" s="396"/>
      <c r="C953" s="116"/>
      <c r="D953" s="116"/>
      <c r="E953" s="116"/>
      <c r="F953" s="116"/>
      <c r="G953" s="332"/>
      <c r="H953" s="332"/>
      <c r="I953" s="332"/>
      <c r="J953" s="332"/>
      <c r="K953" s="332"/>
      <c r="L953" s="332"/>
      <c r="Q953" s="152"/>
    </row>
    <row r="954" spans="2:17" ht="13">
      <c r="B954" s="396"/>
      <c r="C954" s="116"/>
      <c r="D954" s="116"/>
      <c r="E954" s="116"/>
      <c r="F954" s="116"/>
      <c r="G954" s="332"/>
      <c r="H954" s="332"/>
      <c r="I954" s="332"/>
      <c r="J954" s="332"/>
      <c r="K954" s="332"/>
      <c r="L954" s="332"/>
      <c r="Q954" s="152"/>
    </row>
    <row r="955" spans="2:17" ht="13">
      <c r="B955" s="396"/>
      <c r="C955" s="116"/>
      <c r="D955" s="116"/>
      <c r="E955" s="116"/>
      <c r="F955" s="116"/>
      <c r="G955" s="332"/>
      <c r="H955" s="332"/>
      <c r="I955" s="332"/>
      <c r="J955" s="332"/>
      <c r="K955" s="332"/>
      <c r="L955" s="332"/>
      <c r="Q955" s="152"/>
    </row>
    <row r="956" spans="2:17" ht="13">
      <c r="B956" s="396"/>
      <c r="C956" s="116"/>
      <c r="D956" s="116"/>
      <c r="E956" s="116"/>
      <c r="F956" s="116"/>
      <c r="G956" s="332"/>
      <c r="H956" s="332"/>
      <c r="I956" s="332"/>
      <c r="J956" s="332"/>
      <c r="K956" s="332"/>
      <c r="L956" s="332"/>
      <c r="Q956" s="152"/>
    </row>
    <row r="957" spans="2:17" ht="13">
      <c r="B957" s="396"/>
      <c r="C957" s="116"/>
      <c r="D957" s="116"/>
      <c r="E957" s="116"/>
      <c r="F957" s="116"/>
      <c r="G957" s="332"/>
      <c r="H957" s="332"/>
      <c r="I957" s="332"/>
      <c r="J957" s="332"/>
      <c r="K957" s="332"/>
      <c r="L957" s="332"/>
      <c r="Q957" s="152"/>
    </row>
    <row r="958" spans="2:17" ht="13">
      <c r="B958" s="396"/>
      <c r="C958" s="116"/>
      <c r="D958" s="116"/>
      <c r="E958" s="116"/>
      <c r="F958" s="116"/>
      <c r="G958" s="332"/>
      <c r="H958" s="332"/>
      <c r="I958" s="332"/>
      <c r="J958" s="332"/>
      <c r="K958" s="332"/>
      <c r="L958" s="332"/>
      <c r="Q958" s="152"/>
    </row>
    <row r="959" spans="2:17" ht="13">
      <c r="B959" s="396"/>
      <c r="C959" s="116"/>
      <c r="D959" s="116"/>
      <c r="E959" s="116"/>
      <c r="F959" s="116"/>
      <c r="G959" s="332"/>
      <c r="H959" s="332"/>
      <c r="I959" s="332"/>
      <c r="J959" s="332"/>
      <c r="K959" s="332"/>
      <c r="L959" s="332"/>
      <c r="Q959" s="152"/>
    </row>
    <row r="960" spans="2:17" ht="13">
      <c r="B960" s="396"/>
      <c r="C960" s="116"/>
      <c r="D960" s="116"/>
      <c r="E960" s="116"/>
      <c r="F960" s="116"/>
      <c r="G960" s="332"/>
      <c r="H960" s="332"/>
      <c r="I960" s="332"/>
      <c r="J960" s="332"/>
      <c r="K960" s="332"/>
      <c r="L960" s="332"/>
      <c r="Q960" s="152"/>
    </row>
    <row r="961" spans="2:17" ht="13">
      <c r="B961" s="396"/>
      <c r="C961" s="116"/>
      <c r="D961" s="116"/>
      <c r="E961" s="116"/>
      <c r="F961" s="116"/>
      <c r="G961" s="332"/>
      <c r="H961" s="332"/>
      <c r="I961" s="332"/>
      <c r="J961" s="332"/>
      <c r="K961" s="332"/>
      <c r="L961" s="332"/>
      <c r="Q961" s="152"/>
    </row>
    <row r="962" spans="2:17" ht="13">
      <c r="B962" s="396"/>
      <c r="C962" s="116"/>
      <c r="D962" s="116"/>
      <c r="E962" s="116"/>
      <c r="F962" s="116"/>
      <c r="G962" s="332"/>
      <c r="H962" s="332"/>
      <c r="I962" s="332"/>
      <c r="J962" s="332"/>
      <c r="K962" s="332"/>
      <c r="L962" s="332"/>
      <c r="Q962" s="152"/>
    </row>
    <row r="963" spans="2:17" ht="13">
      <c r="B963" s="396"/>
      <c r="C963" s="116"/>
      <c r="D963" s="116"/>
      <c r="E963" s="116"/>
      <c r="F963" s="116"/>
      <c r="G963" s="332"/>
      <c r="H963" s="332"/>
      <c r="I963" s="332"/>
      <c r="J963" s="332"/>
      <c r="K963" s="332"/>
      <c r="L963" s="332"/>
      <c r="Q963" s="152"/>
    </row>
    <row r="964" spans="2:17" ht="13">
      <c r="B964" s="396"/>
      <c r="C964" s="116"/>
      <c r="D964" s="116"/>
      <c r="E964" s="116"/>
      <c r="F964" s="116"/>
      <c r="G964" s="332"/>
      <c r="H964" s="332"/>
      <c r="I964" s="332"/>
      <c r="J964" s="332"/>
      <c r="K964" s="332"/>
      <c r="L964" s="332"/>
      <c r="Q964" s="152"/>
    </row>
    <row r="965" spans="2:17" ht="13">
      <c r="B965" s="396"/>
      <c r="C965" s="116"/>
      <c r="D965" s="116"/>
      <c r="E965" s="116"/>
      <c r="F965" s="116"/>
      <c r="G965" s="332"/>
      <c r="H965" s="332"/>
      <c r="I965" s="332"/>
      <c r="J965" s="332"/>
      <c r="K965" s="332"/>
      <c r="L965" s="332"/>
      <c r="Q965" s="152"/>
    </row>
    <row r="966" spans="2:17" ht="13">
      <c r="B966" s="396"/>
      <c r="C966" s="116"/>
      <c r="D966" s="116"/>
      <c r="E966" s="116"/>
      <c r="F966" s="116"/>
      <c r="G966" s="332"/>
      <c r="H966" s="332"/>
      <c r="I966" s="332"/>
      <c r="J966" s="332"/>
      <c r="K966" s="332"/>
      <c r="L966" s="332"/>
      <c r="Q966" s="152"/>
    </row>
    <row r="967" spans="2:17" ht="13">
      <c r="B967" s="396"/>
      <c r="C967" s="116"/>
      <c r="D967" s="116"/>
      <c r="E967" s="116"/>
      <c r="F967" s="116"/>
      <c r="G967" s="332"/>
      <c r="H967" s="332"/>
      <c r="I967" s="332"/>
      <c r="J967" s="332"/>
      <c r="K967" s="332"/>
      <c r="L967" s="332"/>
      <c r="Q967" s="152"/>
    </row>
    <row r="968" spans="2:17" ht="13">
      <c r="B968" s="396"/>
      <c r="C968" s="116"/>
      <c r="D968" s="116"/>
      <c r="E968" s="116"/>
      <c r="F968" s="116"/>
      <c r="G968" s="332"/>
      <c r="H968" s="332"/>
      <c r="I968" s="332"/>
      <c r="J968" s="332"/>
      <c r="K968" s="332"/>
      <c r="L968" s="332"/>
      <c r="Q968" s="152"/>
    </row>
    <row r="969" spans="2:17" ht="13">
      <c r="B969" s="396"/>
      <c r="C969" s="116"/>
      <c r="D969" s="116"/>
      <c r="E969" s="116"/>
      <c r="F969" s="116"/>
      <c r="G969" s="332"/>
      <c r="H969" s="332"/>
      <c r="I969" s="332"/>
      <c r="J969" s="332"/>
      <c r="K969" s="332"/>
      <c r="L969" s="332"/>
      <c r="Q969" s="152"/>
    </row>
    <row r="970" spans="2:17" ht="13">
      <c r="B970" s="396"/>
      <c r="C970" s="116"/>
      <c r="D970" s="116"/>
      <c r="E970" s="116"/>
      <c r="F970" s="116"/>
      <c r="G970" s="332"/>
      <c r="H970" s="332"/>
      <c r="I970" s="332"/>
      <c r="J970" s="332"/>
      <c r="K970" s="332"/>
      <c r="L970" s="332"/>
      <c r="Q970" s="152"/>
    </row>
    <row r="971" spans="2:17" ht="13">
      <c r="B971" s="396"/>
      <c r="C971" s="116"/>
      <c r="D971" s="116"/>
      <c r="E971" s="116"/>
      <c r="F971" s="116"/>
      <c r="G971" s="332"/>
      <c r="H971" s="332"/>
      <c r="I971" s="332"/>
      <c r="J971" s="332"/>
      <c r="K971" s="332"/>
      <c r="L971" s="332"/>
      <c r="Q971" s="152"/>
    </row>
    <row r="972" spans="2:17" ht="13">
      <c r="B972" s="396"/>
      <c r="C972" s="116"/>
      <c r="D972" s="116"/>
      <c r="E972" s="116"/>
      <c r="F972" s="116"/>
      <c r="G972" s="332"/>
      <c r="H972" s="332"/>
      <c r="I972" s="332"/>
      <c r="J972" s="332"/>
      <c r="K972" s="332"/>
      <c r="L972" s="332"/>
      <c r="Q972" s="152"/>
    </row>
    <row r="973" spans="2:17" ht="13">
      <c r="B973" s="396"/>
      <c r="C973" s="116"/>
      <c r="D973" s="116"/>
      <c r="E973" s="116"/>
      <c r="F973" s="116"/>
      <c r="G973" s="332"/>
      <c r="H973" s="332"/>
      <c r="I973" s="332"/>
      <c r="J973" s="332"/>
      <c r="K973" s="332"/>
      <c r="L973" s="332"/>
      <c r="Q973" s="152"/>
    </row>
    <row r="974" spans="2:17" ht="13">
      <c r="B974" s="396"/>
      <c r="C974" s="116"/>
      <c r="D974" s="116"/>
      <c r="E974" s="116"/>
      <c r="F974" s="116"/>
      <c r="G974" s="332"/>
      <c r="H974" s="332"/>
      <c r="I974" s="332"/>
      <c r="J974" s="332"/>
      <c r="K974" s="332"/>
      <c r="L974" s="332"/>
      <c r="Q974" s="152"/>
    </row>
    <row r="975" spans="2:17" ht="13">
      <c r="B975" s="396"/>
      <c r="C975" s="116"/>
      <c r="D975" s="116"/>
      <c r="E975" s="116"/>
      <c r="F975" s="116"/>
      <c r="G975" s="332"/>
      <c r="H975" s="332"/>
      <c r="I975" s="332"/>
      <c r="J975" s="332"/>
      <c r="K975" s="332"/>
      <c r="L975" s="332"/>
      <c r="Q975" s="152"/>
    </row>
    <row r="976" spans="2:17" ht="13">
      <c r="B976" s="396"/>
      <c r="C976" s="116"/>
      <c r="D976" s="116"/>
      <c r="E976" s="116"/>
      <c r="F976" s="116"/>
      <c r="G976" s="332"/>
      <c r="H976" s="332"/>
      <c r="I976" s="332"/>
      <c r="J976" s="332"/>
      <c r="K976" s="332"/>
      <c r="L976" s="332"/>
      <c r="Q976" s="152"/>
    </row>
    <row r="977" spans="2:17" ht="13">
      <c r="B977" s="396"/>
      <c r="C977" s="116"/>
      <c r="D977" s="116"/>
      <c r="E977" s="116"/>
      <c r="F977" s="116"/>
      <c r="G977" s="332"/>
      <c r="H977" s="332"/>
      <c r="I977" s="332"/>
      <c r="J977" s="332"/>
      <c r="K977" s="332"/>
      <c r="L977" s="332"/>
      <c r="Q977" s="152"/>
    </row>
    <row r="978" spans="2:17" ht="13">
      <c r="B978" s="396"/>
      <c r="C978" s="116"/>
      <c r="D978" s="116"/>
      <c r="E978" s="116"/>
      <c r="F978" s="116"/>
      <c r="G978" s="332"/>
      <c r="H978" s="332"/>
      <c r="I978" s="332"/>
      <c r="J978" s="332"/>
      <c r="K978" s="332"/>
      <c r="L978" s="332"/>
      <c r="Q978" s="152"/>
    </row>
    <row r="979" spans="2:17" ht="13">
      <c r="B979" s="396"/>
      <c r="C979" s="116"/>
      <c r="D979" s="116"/>
      <c r="E979" s="116"/>
      <c r="F979" s="116"/>
      <c r="G979" s="332"/>
      <c r="H979" s="332"/>
      <c r="I979" s="332"/>
      <c r="J979" s="332"/>
      <c r="K979" s="332"/>
      <c r="L979" s="332"/>
      <c r="Q979" s="152"/>
    </row>
    <row r="980" spans="2:17" ht="13">
      <c r="B980" s="396"/>
      <c r="C980" s="116"/>
      <c r="D980" s="116"/>
      <c r="E980" s="116"/>
      <c r="F980" s="116"/>
      <c r="G980" s="332"/>
      <c r="H980" s="332"/>
      <c r="I980" s="332"/>
      <c r="J980" s="332"/>
      <c r="K980" s="332"/>
      <c r="L980" s="332"/>
      <c r="Q980" s="152"/>
    </row>
    <row r="981" spans="2:17" ht="13">
      <c r="B981" s="396"/>
      <c r="C981" s="116"/>
      <c r="D981" s="116"/>
      <c r="E981" s="116"/>
      <c r="F981" s="116"/>
      <c r="G981" s="332"/>
      <c r="H981" s="332"/>
      <c r="I981" s="332"/>
      <c r="J981" s="332"/>
      <c r="K981" s="332"/>
      <c r="L981" s="332"/>
      <c r="Q981" s="152"/>
    </row>
    <row r="982" spans="2:17" ht="13">
      <c r="B982" s="396"/>
      <c r="C982" s="116"/>
      <c r="D982" s="116"/>
      <c r="E982" s="116"/>
      <c r="F982" s="116"/>
      <c r="G982" s="332"/>
      <c r="H982" s="332"/>
      <c r="I982" s="332"/>
      <c r="J982" s="332"/>
      <c r="K982" s="332"/>
      <c r="L982" s="332"/>
      <c r="Q982" s="152"/>
    </row>
    <row r="983" spans="2:17" ht="13">
      <c r="B983" s="396"/>
      <c r="C983" s="116"/>
      <c r="D983" s="116"/>
      <c r="E983" s="116"/>
      <c r="F983" s="116"/>
      <c r="G983" s="332"/>
      <c r="H983" s="332"/>
      <c r="I983" s="332"/>
      <c r="J983" s="332"/>
      <c r="K983" s="332"/>
      <c r="L983" s="332"/>
      <c r="Q983" s="152"/>
    </row>
    <row r="984" spans="2:17" ht="13">
      <c r="B984" s="396"/>
      <c r="C984" s="116"/>
      <c r="D984" s="116"/>
      <c r="E984" s="116"/>
      <c r="F984" s="116"/>
      <c r="G984" s="332"/>
      <c r="H984" s="332"/>
      <c r="I984" s="332"/>
      <c r="J984" s="332"/>
      <c r="K984" s="332"/>
      <c r="L984" s="332"/>
      <c r="Q984" s="152"/>
    </row>
    <row r="985" spans="2:17" ht="13">
      <c r="B985" s="396"/>
      <c r="C985" s="116"/>
      <c r="D985" s="116"/>
      <c r="E985" s="116"/>
      <c r="F985" s="116"/>
      <c r="G985" s="332"/>
      <c r="H985" s="332"/>
      <c r="I985" s="332"/>
      <c r="J985" s="332"/>
      <c r="K985" s="332"/>
      <c r="L985" s="332"/>
      <c r="Q985" s="152"/>
    </row>
    <row r="986" spans="2:17" ht="13">
      <c r="B986" s="396"/>
      <c r="C986" s="116"/>
      <c r="D986" s="116"/>
      <c r="E986" s="116"/>
      <c r="F986" s="116"/>
      <c r="G986" s="332"/>
      <c r="H986" s="332"/>
      <c r="I986" s="332"/>
      <c r="J986" s="332"/>
      <c r="K986" s="332"/>
      <c r="L986" s="332"/>
      <c r="Q986" s="152"/>
    </row>
    <row r="987" spans="2:17" ht="13">
      <c r="B987" s="396"/>
      <c r="C987" s="116"/>
      <c r="D987" s="116"/>
      <c r="E987" s="116"/>
      <c r="F987" s="116"/>
      <c r="G987" s="332"/>
      <c r="H987" s="332"/>
      <c r="I987" s="332"/>
      <c r="J987" s="332"/>
      <c r="K987" s="332"/>
      <c r="L987" s="332"/>
      <c r="Q987" s="152"/>
    </row>
    <row r="988" spans="2:17" ht="13">
      <c r="B988" s="396"/>
      <c r="C988" s="116"/>
      <c r="D988" s="116"/>
      <c r="E988" s="116"/>
      <c r="F988" s="116"/>
      <c r="G988" s="332"/>
      <c r="H988" s="332"/>
      <c r="I988" s="332"/>
      <c r="J988" s="332"/>
      <c r="K988" s="332"/>
      <c r="L988" s="332"/>
      <c r="Q988" s="152"/>
    </row>
    <row r="989" spans="2:17" ht="13">
      <c r="B989" s="396"/>
      <c r="C989" s="116"/>
      <c r="D989" s="116"/>
      <c r="E989" s="116"/>
      <c r="F989" s="116"/>
      <c r="G989" s="332"/>
      <c r="H989" s="332"/>
      <c r="I989" s="332"/>
      <c r="J989" s="332"/>
      <c r="K989" s="332"/>
      <c r="L989" s="332"/>
      <c r="Q989" s="152"/>
    </row>
    <row r="990" spans="2:17" ht="13">
      <c r="B990" s="396"/>
      <c r="C990" s="116"/>
      <c r="D990" s="116"/>
      <c r="E990" s="116"/>
      <c r="F990" s="116"/>
      <c r="G990" s="332"/>
      <c r="H990" s="332"/>
      <c r="I990" s="332"/>
      <c r="J990" s="332"/>
      <c r="K990" s="332"/>
      <c r="L990" s="332"/>
      <c r="Q990" s="152"/>
    </row>
    <row r="991" spans="2:17" ht="13">
      <c r="B991" s="396"/>
      <c r="C991" s="116"/>
      <c r="D991" s="116"/>
      <c r="E991" s="116"/>
      <c r="F991" s="116"/>
      <c r="G991" s="332"/>
      <c r="H991" s="332"/>
      <c r="I991" s="332"/>
      <c r="J991" s="332"/>
      <c r="K991" s="332"/>
      <c r="L991" s="332"/>
      <c r="Q991" s="152"/>
    </row>
    <row r="992" spans="2:17" ht="13">
      <c r="B992" s="396"/>
      <c r="C992" s="116"/>
      <c r="D992" s="116"/>
      <c r="E992" s="116"/>
      <c r="F992" s="116"/>
      <c r="G992" s="332"/>
      <c r="H992" s="332"/>
      <c r="I992" s="332"/>
      <c r="J992" s="332"/>
      <c r="K992" s="332"/>
      <c r="L992" s="332"/>
      <c r="Q992" s="152"/>
    </row>
    <row r="993" spans="2:17" ht="13">
      <c r="B993" s="396"/>
      <c r="C993" s="116"/>
      <c r="D993" s="116"/>
      <c r="E993" s="116"/>
      <c r="F993" s="116"/>
      <c r="G993" s="332"/>
      <c r="H993" s="332"/>
      <c r="I993" s="332"/>
      <c r="J993" s="332"/>
      <c r="K993" s="332"/>
      <c r="L993" s="332"/>
      <c r="Q993" s="152"/>
    </row>
    <row r="994" spans="2:17" ht="13">
      <c r="B994" s="396"/>
      <c r="C994" s="116"/>
      <c r="D994" s="116"/>
      <c r="E994" s="116"/>
      <c r="F994" s="116"/>
      <c r="G994" s="332"/>
      <c r="H994" s="332"/>
      <c r="I994" s="332"/>
      <c r="J994" s="332"/>
      <c r="K994" s="332"/>
      <c r="L994" s="332"/>
      <c r="Q994" s="152"/>
    </row>
    <row r="995" spans="2:17" ht="13">
      <c r="B995" s="396"/>
      <c r="C995" s="116"/>
      <c r="D995" s="116"/>
      <c r="E995" s="116"/>
      <c r="F995" s="116"/>
      <c r="G995" s="332"/>
      <c r="H995" s="332"/>
      <c r="I995" s="332"/>
      <c r="J995" s="332"/>
      <c r="K995" s="332"/>
      <c r="L995" s="332"/>
      <c r="Q995" s="152"/>
    </row>
    <row r="996" spans="2:17" ht="13">
      <c r="B996" s="396"/>
      <c r="C996" s="116"/>
      <c r="D996" s="116"/>
      <c r="E996" s="116"/>
      <c r="F996" s="116"/>
      <c r="G996" s="332"/>
      <c r="H996" s="332"/>
      <c r="I996" s="332"/>
      <c r="J996" s="332"/>
      <c r="K996" s="332"/>
      <c r="L996" s="332"/>
      <c r="Q996" s="152"/>
    </row>
    <row r="997" spans="2:17" ht="13">
      <c r="B997" s="396"/>
      <c r="C997" s="116"/>
      <c r="D997" s="116"/>
      <c r="E997" s="116"/>
      <c r="F997" s="116"/>
      <c r="G997" s="332"/>
      <c r="H997" s="332"/>
      <c r="I997" s="332"/>
      <c r="J997" s="332"/>
      <c r="K997" s="332"/>
      <c r="L997" s="332"/>
      <c r="Q997" s="152"/>
    </row>
    <row r="998" spans="2:17" ht="13">
      <c r="B998" s="396"/>
      <c r="C998" s="116"/>
      <c r="D998" s="116"/>
      <c r="E998" s="116"/>
      <c r="F998" s="116"/>
      <c r="G998" s="332"/>
      <c r="H998" s="332"/>
      <c r="I998" s="332"/>
      <c r="J998" s="332"/>
      <c r="K998" s="332"/>
      <c r="L998" s="332"/>
      <c r="Q998" s="152"/>
    </row>
    <row r="999" spans="2:17" ht="13">
      <c r="B999" s="396"/>
      <c r="C999" s="116"/>
      <c r="D999" s="116"/>
      <c r="E999" s="116"/>
      <c r="F999" s="116"/>
      <c r="G999" s="332"/>
      <c r="H999" s="332"/>
      <c r="I999" s="332"/>
      <c r="J999" s="332"/>
      <c r="K999" s="332"/>
      <c r="L999" s="332"/>
      <c r="Q999" s="152"/>
    </row>
    <row r="1000" spans="2:17" ht="13">
      <c r="B1000" s="396"/>
      <c r="C1000" s="116"/>
      <c r="D1000" s="116"/>
      <c r="E1000" s="116"/>
      <c r="F1000" s="116"/>
      <c r="G1000" s="332"/>
      <c r="H1000" s="332"/>
      <c r="I1000" s="332"/>
      <c r="J1000" s="332"/>
      <c r="K1000" s="332"/>
      <c r="L1000" s="332"/>
      <c r="Q1000" s="152"/>
    </row>
    <row r="1001" spans="2:17" ht="13">
      <c r="B1001" s="396"/>
      <c r="C1001" s="116"/>
      <c r="D1001" s="116"/>
      <c r="E1001" s="116"/>
      <c r="F1001" s="116"/>
      <c r="G1001" s="332"/>
      <c r="H1001" s="332"/>
      <c r="I1001" s="332"/>
      <c r="J1001" s="332"/>
      <c r="K1001" s="332"/>
      <c r="L1001" s="332"/>
      <c r="Q1001" s="152"/>
    </row>
    <row r="1002" spans="2:17" ht="13">
      <c r="B1002" s="396"/>
      <c r="C1002" s="116"/>
      <c r="D1002" s="116"/>
      <c r="E1002" s="116"/>
      <c r="F1002" s="116"/>
      <c r="G1002" s="332"/>
      <c r="H1002" s="332"/>
      <c r="I1002" s="332"/>
      <c r="J1002" s="332"/>
      <c r="K1002" s="332"/>
      <c r="L1002" s="332"/>
      <c r="Q1002" s="152"/>
    </row>
    <row r="1003" spans="2:17" ht="13">
      <c r="B1003" s="396"/>
      <c r="C1003" s="116"/>
      <c r="D1003" s="116"/>
      <c r="E1003" s="116"/>
      <c r="F1003" s="116"/>
      <c r="G1003" s="332"/>
      <c r="H1003" s="332"/>
      <c r="I1003" s="332"/>
      <c r="J1003" s="332"/>
      <c r="K1003" s="332"/>
      <c r="L1003" s="332"/>
      <c r="Q1003" s="152"/>
    </row>
    <row r="1004" spans="2:17" ht="13">
      <c r="B1004" s="396"/>
      <c r="C1004" s="116"/>
      <c r="D1004" s="116"/>
      <c r="E1004" s="116"/>
      <c r="F1004" s="116"/>
      <c r="G1004" s="332"/>
      <c r="H1004" s="332"/>
      <c r="I1004" s="332"/>
      <c r="J1004" s="332"/>
      <c r="K1004" s="332"/>
      <c r="L1004" s="332"/>
      <c r="Q1004" s="152"/>
    </row>
    <row r="1005" spans="2:17" ht="13">
      <c r="B1005" s="396"/>
      <c r="C1005" s="116"/>
      <c r="D1005" s="116"/>
      <c r="E1005" s="116"/>
      <c r="F1005" s="116"/>
      <c r="G1005" s="332"/>
      <c r="H1005" s="332"/>
      <c r="I1005" s="332"/>
      <c r="J1005" s="332"/>
      <c r="K1005" s="332"/>
      <c r="L1005" s="332"/>
      <c r="Q1005" s="152"/>
    </row>
    <row r="1006" spans="2:17" ht="13">
      <c r="B1006" s="396"/>
      <c r="C1006" s="116"/>
      <c r="D1006" s="116"/>
      <c r="E1006" s="116"/>
      <c r="F1006" s="116"/>
      <c r="G1006" s="332"/>
      <c r="H1006" s="332"/>
      <c r="I1006" s="332"/>
      <c r="J1006" s="332"/>
      <c r="K1006" s="332"/>
      <c r="L1006" s="332"/>
      <c r="Q1006" s="152"/>
    </row>
    <row r="1007" spans="2:17" ht="13">
      <c r="B1007" s="396"/>
      <c r="C1007" s="116"/>
      <c r="D1007" s="116"/>
      <c r="E1007" s="116"/>
      <c r="F1007" s="116"/>
      <c r="G1007" s="332"/>
      <c r="H1007" s="332"/>
      <c r="I1007" s="332"/>
      <c r="J1007" s="332"/>
      <c r="K1007" s="332"/>
      <c r="L1007" s="332"/>
      <c r="Q1007" s="152"/>
    </row>
    <row r="1008" spans="2:17" ht="13">
      <c r="B1008" s="396"/>
      <c r="C1008" s="116"/>
      <c r="D1008" s="116"/>
      <c r="E1008" s="116"/>
      <c r="F1008" s="116"/>
      <c r="G1008" s="332"/>
      <c r="H1008" s="332"/>
      <c r="I1008" s="332"/>
      <c r="J1008" s="332"/>
      <c r="K1008" s="332"/>
      <c r="L1008" s="332"/>
      <c r="Q1008" s="152"/>
    </row>
    <row r="1009" spans="2:17" ht="13">
      <c r="B1009" s="396"/>
      <c r="C1009" s="116"/>
      <c r="D1009" s="116"/>
      <c r="E1009" s="116"/>
      <c r="F1009" s="116"/>
      <c r="G1009" s="332"/>
      <c r="H1009" s="332"/>
      <c r="I1009" s="332"/>
      <c r="J1009" s="332"/>
      <c r="K1009" s="332"/>
      <c r="L1009" s="332"/>
      <c r="Q1009" s="152"/>
    </row>
    <row r="1010" spans="2:17" ht="13">
      <c r="B1010" s="396"/>
      <c r="C1010" s="116"/>
      <c r="D1010" s="116"/>
      <c r="E1010" s="116"/>
      <c r="F1010" s="116"/>
      <c r="G1010" s="332"/>
      <c r="H1010" s="332"/>
      <c r="I1010" s="332"/>
      <c r="J1010" s="332"/>
      <c r="K1010" s="332"/>
      <c r="L1010" s="332"/>
      <c r="Q1010" s="152"/>
    </row>
    <row r="1011" spans="2:17" ht="13">
      <c r="B1011" s="396"/>
      <c r="C1011" s="116"/>
      <c r="D1011" s="116"/>
      <c r="E1011" s="116"/>
      <c r="F1011" s="116"/>
      <c r="G1011" s="332"/>
      <c r="H1011" s="332"/>
      <c r="I1011" s="332"/>
      <c r="J1011" s="332"/>
      <c r="K1011" s="332"/>
      <c r="L1011" s="332"/>
      <c r="Q1011" s="152"/>
    </row>
    <row r="1012" spans="2:17" ht="13">
      <c r="B1012" s="396"/>
      <c r="C1012" s="116"/>
      <c r="D1012" s="116"/>
      <c r="E1012" s="116"/>
      <c r="F1012" s="116"/>
      <c r="G1012" s="332"/>
      <c r="H1012" s="332"/>
      <c r="I1012" s="332"/>
      <c r="J1012" s="332"/>
      <c r="K1012" s="332"/>
      <c r="L1012" s="332"/>
      <c r="Q1012" s="152"/>
    </row>
    <row r="1013" spans="2:17" ht="13">
      <c r="B1013" s="396"/>
      <c r="C1013" s="116"/>
      <c r="D1013" s="116"/>
      <c r="E1013" s="116"/>
      <c r="F1013" s="116"/>
      <c r="G1013" s="332"/>
      <c r="H1013" s="332"/>
      <c r="I1013" s="332"/>
      <c r="J1013" s="332"/>
      <c r="K1013" s="332"/>
      <c r="L1013" s="332"/>
      <c r="Q1013" s="152"/>
    </row>
    <row r="1014" spans="2:17" ht="13">
      <c r="B1014" s="396"/>
      <c r="C1014" s="116"/>
      <c r="D1014" s="116"/>
      <c r="E1014" s="116"/>
      <c r="F1014" s="116"/>
      <c r="G1014" s="332"/>
      <c r="H1014" s="332"/>
      <c r="I1014" s="332"/>
      <c r="J1014" s="332"/>
      <c r="K1014" s="332"/>
      <c r="L1014" s="332"/>
      <c r="Q1014" s="152"/>
    </row>
    <row r="1015" spans="2:17" ht="13">
      <c r="B1015" s="396"/>
      <c r="C1015" s="116"/>
      <c r="D1015" s="116"/>
      <c r="E1015" s="116"/>
      <c r="F1015" s="116"/>
      <c r="G1015" s="332"/>
      <c r="H1015" s="332"/>
      <c r="I1015" s="332"/>
      <c r="J1015" s="332"/>
      <c r="K1015" s="332"/>
      <c r="L1015" s="332"/>
      <c r="Q1015" s="152"/>
    </row>
    <row r="1016" spans="2:17" ht="13">
      <c r="B1016" s="396"/>
      <c r="C1016" s="116"/>
      <c r="D1016" s="116"/>
      <c r="E1016" s="116"/>
      <c r="F1016" s="116"/>
      <c r="G1016" s="332"/>
      <c r="H1016" s="332"/>
      <c r="I1016" s="332"/>
      <c r="J1016" s="332"/>
      <c r="K1016" s="332"/>
      <c r="L1016" s="332"/>
      <c r="Q1016" s="152"/>
    </row>
    <row r="1017" spans="2:17" ht="13">
      <c r="B1017" s="396"/>
      <c r="C1017" s="116"/>
      <c r="D1017" s="116"/>
      <c r="E1017" s="116"/>
      <c r="F1017" s="116"/>
      <c r="G1017" s="332"/>
      <c r="H1017" s="332"/>
      <c r="I1017" s="332"/>
      <c r="J1017" s="332"/>
      <c r="K1017" s="332"/>
      <c r="L1017" s="332"/>
      <c r="Q1017" s="152"/>
    </row>
    <row r="1018" spans="2:17" ht="13">
      <c r="B1018" s="396"/>
      <c r="C1018" s="116"/>
      <c r="D1018" s="116"/>
      <c r="E1018" s="116"/>
      <c r="F1018" s="116"/>
      <c r="G1018" s="332"/>
      <c r="H1018" s="332"/>
      <c r="I1018" s="332"/>
      <c r="J1018" s="332"/>
      <c r="K1018" s="332"/>
      <c r="L1018" s="332"/>
      <c r="Q1018" s="152"/>
    </row>
    <row r="1019" spans="2:17" ht="13">
      <c r="B1019" s="396"/>
      <c r="C1019" s="116"/>
      <c r="D1019" s="116"/>
      <c r="E1019" s="116"/>
      <c r="F1019" s="116"/>
      <c r="G1019" s="332"/>
      <c r="H1019" s="332"/>
      <c r="I1019" s="332"/>
      <c r="J1019" s="332"/>
      <c r="K1019" s="332"/>
      <c r="L1019" s="332"/>
      <c r="Q1019" s="152"/>
    </row>
    <row r="1020" spans="2:17" ht="13">
      <c r="B1020" s="396"/>
      <c r="C1020" s="116"/>
      <c r="D1020" s="116"/>
      <c r="E1020" s="116"/>
      <c r="F1020" s="116"/>
      <c r="G1020" s="332"/>
      <c r="H1020" s="332"/>
      <c r="I1020" s="332"/>
      <c r="J1020" s="332"/>
      <c r="K1020" s="332"/>
      <c r="L1020" s="332"/>
      <c r="Q1020" s="152"/>
    </row>
    <row r="1021" spans="2:17" ht="13">
      <c r="B1021" s="396"/>
      <c r="C1021" s="116"/>
      <c r="D1021" s="116"/>
      <c r="E1021" s="116"/>
      <c r="F1021" s="116"/>
      <c r="G1021" s="332"/>
      <c r="H1021" s="332"/>
      <c r="I1021" s="332"/>
      <c r="J1021" s="332"/>
      <c r="K1021" s="332"/>
      <c r="L1021" s="332"/>
      <c r="Q1021" s="152"/>
    </row>
    <row r="1022" spans="2:17" ht="13">
      <c r="B1022" s="396"/>
      <c r="C1022" s="116"/>
      <c r="D1022" s="116"/>
      <c r="E1022" s="116"/>
      <c r="F1022" s="116"/>
      <c r="G1022" s="332"/>
      <c r="H1022" s="332"/>
      <c r="I1022" s="332"/>
      <c r="J1022" s="332"/>
      <c r="K1022" s="332"/>
      <c r="L1022" s="332"/>
      <c r="Q1022" s="152"/>
    </row>
    <row r="1023" spans="2:17" ht="13">
      <c r="B1023" s="396"/>
      <c r="C1023" s="116"/>
      <c r="D1023" s="116"/>
      <c r="E1023" s="116"/>
      <c r="F1023" s="116"/>
      <c r="G1023" s="332"/>
      <c r="H1023" s="332"/>
      <c r="I1023" s="332"/>
      <c r="J1023" s="332"/>
      <c r="K1023" s="332"/>
      <c r="L1023" s="332"/>
      <c r="Q1023" s="152"/>
    </row>
    <row r="1024" spans="2:17" ht="13">
      <c r="B1024" s="396"/>
      <c r="C1024" s="116"/>
      <c r="D1024" s="116"/>
      <c r="E1024" s="116"/>
      <c r="F1024" s="116"/>
      <c r="G1024" s="332"/>
      <c r="H1024" s="332"/>
      <c r="I1024" s="332"/>
      <c r="J1024" s="332"/>
      <c r="K1024" s="332"/>
      <c r="L1024" s="332"/>
      <c r="Q1024" s="152"/>
    </row>
    <row r="1025" spans="2:17" ht="13">
      <c r="B1025" s="396"/>
      <c r="C1025" s="116"/>
      <c r="D1025" s="116"/>
      <c r="E1025" s="116"/>
      <c r="F1025" s="116"/>
      <c r="G1025" s="332"/>
      <c r="H1025" s="332"/>
      <c r="I1025" s="332"/>
      <c r="J1025" s="332"/>
      <c r="K1025" s="332"/>
      <c r="L1025" s="332"/>
      <c r="Q1025" s="152"/>
    </row>
    <row r="1026" spans="2:17" ht="13">
      <c r="B1026" s="396"/>
      <c r="C1026" s="116"/>
      <c r="D1026" s="116"/>
      <c r="E1026" s="116"/>
      <c r="F1026" s="116"/>
      <c r="G1026" s="332"/>
      <c r="H1026" s="332"/>
      <c r="I1026" s="332"/>
      <c r="J1026" s="332"/>
      <c r="K1026" s="332"/>
      <c r="L1026" s="332"/>
      <c r="Q1026" s="152"/>
    </row>
    <row r="1027" spans="2:17" ht="13">
      <c r="B1027" s="396"/>
      <c r="C1027" s="116"/>
      <c r="D1027" s="116"/>
      <c r="E1027" s="116"/>
      <c r="F1027" s="116"/>
      <c r="G1027" s="332"/>
      <c r="H1027" s="332"/>
      <c r="I1027" s="332"/>
      <c r="J1027" s="332"/>
      <c r="K1027" s="332"/>
      <c r="L1027" s="332"/>
      <c r="Q1027" s="152"/>
    </row>
    <row r="1028" spans="2:17" ht="13">
      <c r="B1028" s="396"/>
      <c r="C1028" s="116"/>
      <c r="D1028" s="116"/>
      <c r="E1028" s="116"/>
      <c r="F1028" s="116"/>
      <c r="G1028" s="332"/>
      <c r="H1028" s="332"/>
      <c r="I1028" s="332"/>
      <c r="J1028" s="332"/>
      <c r="K1028" s="332"/>
      <c r="L1028" s="332"/>
      <c r="Q1028" s="152"/>
    </row>
    <row r="1029" spans="2:17" ht="13">
      <c r="B1029" s="396"/>
      <c r="C1029" s="116"/>
      <c r="D1029" s="116"/>
      <c r="E1029" s="116"/>
      <c r="F1029" s="116"/>
      <c r="G1029" s="332"/>
      <c r="H1029" s="332"/>
      <c r="I1029" s="332"/>
      <c r="J1029" s="332"/>
      <c r="K1029" s="332"/>
      <c r="L1029" s="332"/>
      <c r="Q1029" s="152"/>
    </row>
    <row r="1030" spans="2:17" ht="13">
      <c r="B1030" s="396"/>
      <c r="C1030" s="116"/>
      <c r="D1030" s="116"/>
      <c r="E1030" s="116"/>
      <c r="F1030" s="116"/>
      <c r="G1030" s="332"/>
      <c r="H1030" s="332"/>
      <c r="I1030" s="332"/>
      <c r="J1030" s="332"/>
      <c r="K1030" s="332"/>
      <c r="L1030" s="332"/>
      <c r="Q1030" s="152"/>
    </row>
    <row r="1031" spans="2:17" ht="13">
      <c r="B1031" s="396"/>
      <c r="C1031" s="116"/>
      <c r="D1031" s="116"/>
      <c r="E1031" s="116"/>
      <c r="F1031" s="116"/>
      <c r="G1031" s="332"/>
      <c r="H1031" s="332"/>
      <c r="I1031" s="332"/>
      <c r="J1031" s="332"/>
      <c r="K1031" s="332"/>
      <c r="L1031" s="332"/>
      <c r="Q1031" s="152"/>
    </row>
    <row r="1032" spans="2:17" ht="13">
      <c r="B1032" s="396"/>
      <c r="C1032" s="116"/>
      <c r="D1032" s="116"/>
      <c r="E1032" s="116"/>
      <c r="F1032" s="116"/>
      <c r="G1032" s="332"/>
      <c r="H1032" s="332"/>
      <c r="I1032" s="332"/>
      <c r="J1032" s="332"/>
      <c r="K1032" s="332"/>
      <c r="L1032" s="332"/>
      <c r="Q1032" s="152"/>
    </row>
    <row r="1033" spans="2:17" ht="13">
      <c r="B1033" s="396"/>
      <c r="C1033" s="116"/>
      <c r="D1033" s="116"/>
      <c r="E1033" s="116"/>
      <c r="F1033" s="116"/>
      <c r="G1033" s="332"/>
      <c r="H1033" s="332"/>
      <c r="I1033" s="332"/>
      <c r="J1033" s="332"/>
      <c r="K1033" s="332"/>
      <c r="L1033" s="332"/>
      <c r="Q1033" s="152"/>
    </row>
    <row r="1034" spans="2:17" ht="13">
      <c r="B1034" s="396"/>
      <c r="C1034" s="116"/>
      <c r="D1034" s="116"/>
      <c r="E1034" s="116"/>
      <c r="F1034" s="116"/>
      <c r="G1034" s="332"/>
      <c r="H1034" s="332"/>
      <c r="I1034" s="332"/>
      <c r="J1034" s="332"/>
      <c r="K1034" s="332"/>
      <c r="L1034" s="332"/>
      <c r="Q1034" s="152"/>
    </row>
    <row r="1035" spans="2:17" ht="13">
      <c r="B1035" s="396"/>
      <c r="C1035" s="116"/>
      <c r="D1035" s="116"/>
      <c r="E1035" s="116"/>
      <c r="F1035" s="116"/>
      <c r="G1035" s="332"/>
      <c r="H1035" s="332"/>
      <c r="I1035" s="332"/>
      <c r="J1035" s="332"/>
      <c r="K1035" s="332"/>
      <c r="L1035" s="332"/>
      <c r="Q1035" s="152"/>
    </row>
    <row r="1036" spans="2:17" ht="13">
      <c r="B1036" s="396"/>
      <c r="C1036" s="116"/>
      <c r="D1036" s="116"/>
      <c r="E1036" s="116"/>
      <c r="F1036" s="116"/>
      <c r="G1036" s="332"/>
      <c r="H1036" s="332"/>
      <c r="I1036" s="332"/>
      <c r="J1036" s="332"/>
      <c r="K1036" s="332"/>
      <c r="L1036" s="332"/>
      <c r="Q1036" s="152"/>
    </row>
    <row r="1037" spans="2:17" ht="13">
      <c r="B1037" s="396"/>
      <c r="C1037" s="116"/>
      <c r="D1037" s="116"/>
      <c r="E1037" s="116"/>
      <c r="F1037" s="116"/>
      <c r="G1037" s="332"/>
      <c r="H1037" s="332"/>
      <c r="I1037" s="332"/>
      <c r="J1037" s="332"/>
      <c r="K1037" s="332"/>
      <c r="L1037" s="332"/>
      <c r="Q1037" s="152"/>
    </row>
    <row r="1038" spans="2:17" ht="13">
      <c r="B1038" s="396"/>
      <c r="C1038" s="116"/>
      <c r="D1038" s="116"/>
      <c r="E1038" s="116"/>
      <c r="F1038" s="116"/>
      <c r="G1038" s="332"/>
      <c r="H1038" s="332"/>
      <c r="I1038" s="332"/>
      <c r="J1038" s="332"/>
      <c r="K1038" s="332"/>
      <c r="L1038" s="332"/>
      <c r="Q1038" s="152"/>
    </row>
    <row r="1039" spans="2:17" ht="13">
      <c r="B1039" s="396"/>
      <c r="C1039" s="116"/>
      <c r="D1039" s="116"/>
      <c r="E1039" s="116"/>
      <c r="F1039" s="116"/>
      <c r="G1039" s="332"/>
      <c r="H1039" s="332"/>
      <c r="I1039" s="332"/>
      <c r="J1039" s="332"/>
      <c r="K1039" s="332"/>
      <c r="L1039" s="332"/>
      <c r="Q1039" s="152"/>
    </row>
    <row r="1040" spans="2:17" ht="13">
      <c r="B1040" s="396"/>
      <c r="C1040" s="116"/>
      <c r="D1040" s="116"/>
      <c r="E1040" s="116"/>
      <c r="F1040" s="116"/>
      <c r="G1040" s="332"/>
      <c r="H1040" s="332"/>
      <c r="I1040" s="332"/>
      <c r="J1040" s="332"/>
      <c r="K1040" s="332"/>
      <c r="L1040" s="332"/>
      <c r="Q1040" s="152"/>
    </row>
    <row r="1041" spans="2:17" ht="13">
      <c r="B1041" s="396"/>
      <c r="C1041" s="116"/>
      <c r="D1041" s="116"/>
      <c r="E1041" s="116"/>
      <c r="F1041" s="116"/>
      <c r="G1041" s="332"/>
      <c r="H1041" s="332"/>
      <c r="I1041" s="332"/>
      <c r="J1041" s="332"/>
      <c r="K1041" s="332"/>
      <c r="L1041" s="332"/>
      <c r="Q1041" s="152"/>
    </row>
    <row r="1042" spans="2:17" ht="13">
      <c r="B1042" s="396"/>
      <c r="C1042" s="116"/>
      <c r="D1042" s="116"/>
      <c r="E1042" s="116"/>
      <c r="F1042" s="116"/>
      <c r="G1042" s="332"/>
      <c r="H1042" s="332"/>
      <c r="I1042" s="332"/>
      <c r="J1042" s="332"/>
      <c r="K1042" s="332"/>
      <c r="L1042" s="332"/>
      <c r="Q1042" s="152"/>
    </row>
    <row r="1043" spans="2:17" ht="13">
      <c r="B1043" s="396"/>
      <c r="C1043" s="116"/>
      <c r="D1043" s="116"/>
      <c r="E1043" s="116"/>
      <c r="F1043" s="116"/>
      <c r="G1043" s="332"/>
      <c r="H1043" s="332"/>
      <c r="I1043" s="332"/>
      <c r="J1043" s="332"/>
      <c r="K1043" s="332"/>
      <c r="L1043" s="332"/>
      <c r="Q1043" s="152"/>
    </row>
    <row r="1044" spans="2:17" ht="13">
      <c r="B1044" s="396"/>
      <c r="C1044" s="116"/>
      <c r="D1044" s="116"/>
      <c r="E1044" s="116"/>
      <c r="F1044" s="116"/>
      <c r="G1044" s="332"/>
      <c r="H1044" s="332"/>
      <c r="I1044" s="332"/>
      <c r="J1044" s="332"/>
      <c r="K1044" s="332"/>
      <c r="L1044" s="332"/>
      <c r="Q1044" s="152"/>
    </row>
    <row r="1045" spans="2:17" ht="13">
      <c r="B1045" s="396"/>
      <c r="C1045" s="116"/>
      <c r="D1045" s="116"/>
      <c r="E1045" s="116"/>
      <c r="F1045" s="116"/>
      <c r="G1045" s="332"/>
      <c r="H1045" s="332"/>
      <c r="I1045" s="332"/>
      <c r="J1045" s="332"/>
      <c r="K1045" s="332"/>
      <c r="L1045" s="332"/>
      <c r="Q1045" s="152"/>
    </row>
    <row r="1046" spans="2:17" ht="13">
      <c r="B1046" s="396"/>
      <c r="C1046" s="116"/>
      <c r="D1046" s="116"/>
      <c r="E1046" s="116"/>
      <c r="F1046" s="116"/>
      <c r="G1046" s="332"/>
      <c r="H1046" s="332"/>
      <c r="I1046" s="332"/>
      <c r="J1046" s="332"/>
      <c r="K1046" s="332"/>
      <c r="L1046" s="332"/>
      <c r="Q1046" s="152"/>
    </row>
    <row r="1047" spans="2:17" ht="13">
      <c r="B1047" s="396"/>
      <c r="C1047" s="116"/>
      <c r="D1047" s="116"/>
      <c r="E1047" s="116"/>
      <c r="F1047" s="116"/>
      <c r="G1047" s="332"/>
      <c r="H1047" s="332"/>
      <c r="I1047" s="332"/>
      <c r="J1047" s="332"/>
      <c r="K1047" s="332"/>
      <c r="L1047" s="332"/>
      <c r="Q1047" s="152"/>
    </row>
    <row r="1048" spans="2:17" ht="13">
      <c r="B1048" s="396"/>
      <c r="C1048" s="116"/>
      <c r="D1048" s="116"/>
      <c r="E1048" s="116"/>
      <c r="F1048" s="116"/>
      <c r="G1048" s="332"/>
      <c r="H1048" s="332"/>
      <c r="I1048" s="332"/>
      <c r="J1048" s="332"/>
      <c r="K1048" s="332"/>
      <c r="L1048" s="332"/>
      <c r="Q1048" s="152"/>
    </row>
    <row r="1049" spans="2:17" ht="13">
      <c r="B1049" s="396"/>
      <c r="C1049" s="116"/>
      <c r="D1049" s="116"/>
      <c r="E1049" s="116"/>
      <c r="F1049" s="116"/>
      <c r="G1049" s="332"/>
      <c r="H1049" s="332"/>
      <c r="I1049" s="332"/>
      <c r="J1049" s="332"/>
      <c r="K1049" s="332"/>
      <c r="L1049" s="332"/>
      <c r="Q1049" s="152"/>
    </row>
    <row r="1050" spans="2:17" ht="13">
      <c r="B1050" s="396"/>
      <c r="C1050" s="116"/>
      <c r="D1050" s="116"/>
      <c r="E1050" s="116"/>
      <c r="F1050" s="116"/>
      <c r="G1050" s="332"/>
      <c r="H1050" s="332"/>
      <c r="I1050" s="332"/>
      <c r="J1050" s="332"/>
      <c r="K1050" s="332"/>
      <c r="L1050" s="332"/>
      <c r="Q1050" s="152"/>
    </row>
    <row r="1051" spans="2:17" ht="13">
      <c r="B1051" s="396"/>
      <c r="C1051" s="116"/>
      <c r="D1051" s="116"/>
      <c r="E1051" s="116"/>
      <c r="F1051" s="116"/>
      <c r="G1051" s="332"/>
      <c r="H1051" s="332"/>
      <c r="I1051" s="332"/>
      <c r="J1051" s="332"/>
      <c r="K1051" s="332"/>
      <c r="L1051" s="332"/>
      <c r="Q1051" s="152"/>
    </row>
    <row r="1052" spans="2:17" ht="13">
      <c r="B1052" s="396"/>
      <c r="C1052" s="116"/>
      <c r="D1052" s="116"/>
      <c r="E1052" s="116"/>
      <c r="F1052" s="116"/>
      <c r="G1052" s="332"/>
      <c r="H1052" s="332"/>
      <c r="I1052" s="332"/>
      <c r="J1052" s="332"/>
      <c r="K1052" s="332"/>
      <c r="L1052" s="332"/>
      <c r="Q1052" s="152"/>
    </row>
    <row r="1053" spans="2:17" ht="13">
      <c r="B1053" s="396"/>
      <c r="C1053" s="116"/>
      <c r="D1053" s="116"/>
      <c r="E1053" s="116"/>
      <c r="F1053" s="116"/>
      <c r="G1053" s="332"/>
      <c r="H1053" s="332"/>
      <c r="I1053" s="332"/>
      <c r="J1053" s="332"/>
      <c r="K1053" s="332"/>
      <c r="L1053" s="332"/>
      <c r="Q1053" s="152"/>
    </row>
    <row r="1054" spans="2:17" ht="13">
      <c r="B1054" s="396"/>
      <c r="C1054" s="116"/>
      <c r="D1054" s="116"/>
      <c r="E1054" s="116"/>
      <c r="F1054" s="116"/>
      <c r="G1054" s="332"/>
      <c r="H1054" s="332"/>
      <c r="I1054" s="332"/>
      <c r="J1054" s="332"/>
      <c r="K1054" s="332"/>
      <c r="L1054" s="332"/>
      <c r="Q1054" s="152"/>
    </row>
    <row r="1055" spans="2:17" ht="13">
      <c r="B1055" s="396"/>
      <c r="C1055" s="116"/>
      <c r="D1055" s="116"/>
      <c r="E1055" s="116"/>
      <c r="F1055" s="116"/>
      <c r="G1055" s="332"/>
      <c r="H1055" s="332"/>
      <c r="I1055" s="332"/>
      <c r="J1055" s="332"/>
      <c r="K1055" s="332"/>
      <c r="L1055" s="332"/>
      <c r="Q1055" s="152"/>
    </row>
    <row r="1056" spans="2:17" ht="13">
      <c r="B1056" s="396"/>
      <c r="C1056" s="116"/>
      <c r="D1056" s="116"/>
      <c r="E1056" s="116"/>
      <c r="F1056" s="116"/>
      <c r="G1056" s="332"/>
      <c r="H1056" s="332"/>
      <c r="I1056" s="332"/>
      <c r="J1056" s="332"/>
      <c r="K1056" s="332"/>
      <c r="L1056" s="332"/>
      <c r="Q1056" s="152"/>
    </row>
    <row r="1057" spans="2:17" ht="13">
      <c r="B1057" s="396"/>
      <c r="C1057" s="116"/>
      <c r="D1057" s="116"/>
      <c r="E1057" s="116"/>
      <c r="F1057" s="116"/>
      <c r="G1057" s="332"/>
      <c r="H1057" s="332"/>
      <c r="I1057" s="332"/>
      <c r="J1057" s="332"/>
      <c r="K1057" s="332"/>
      <c r="L1057" s="332"/>
      <c r="Q1057" s="152"/>
    </row>
    <row r="1058" spans="2:17" ht="13">
      <c r="B1058" s="396"/>
      <c r="C1058" s="116"/>
      <c r="D1058" s="116"/>
      <c r="E1058" s="116"/>
      <c r="F1058" s="116"/>
      <c r="G1058" s="332"/>
      <c r="H1058" s="332"/>
      <c r="I1058" s="332"/>
      <c r="J1058" s="332"/>
      <c r="K1058" s="332"/>
      <c r="L1058" s="332"/>
      <c r="Q1058" s="152"/>
    </row>
    <row r="1059" spans="2:17" ht="13">
      <c r="B1059" s="396"/>
      <c r="C1059" s="116"/>
      <c r="D1059" s="116"/>
      <c r="E1059" s="116"/>
      <c r="F1059" s="116"/>
      <c r="G1059" s="332"/>
      <c r="H1059" s="332"/>
      <c r="I1059" s="332"/>
      <c r="J1059" s="332"/>
      <c r="K1059" s="332"/>
      <c r="L1059" s="332"/>
      <c r="Q1059" s="152"/>
    </row>
    <row r="1060" spans="2:17" ht="13">
      <c r="B1060" s="396"/>
      <c r="C1060" s="116"/>
      <c r="D1060" s="116"/>
      <c r="E1060" s="116"/>
      <c r="F1060" s="116"/>
      <c r="G1060" s="332"/>
      <c r="H1060" s="332"/>
      <c r="I1060" s="332"/>
      <c r="J1060" s="332"/>
      <c r="K1060" s="332"/>
      <c r="L1060" s="332"/>
      <c r="Q1060" s="152"/>
    </row>
    <row r="1061" spans="2:17" ht="13">
      <c r="B1061" s="396"/>
      <c r="C1061" s="116"/>
      <c r="D1061" s="116"/>
      <c r="E1061" s="116"/>
      <c r="F1061" s="116"/>
      <c r="G1061" s="332"/>
      <c r="H1061" s="332"/>
      <c r="I1061" s="332"/>
      <c r="J1061" s="332"/>
      <c r="K1061" s="332"/>
      <c r="L1061" s="332"/>
      <c r="Q1061" s="152"/>
    </row>
    <row r="1062" spans="2:17" ht="13">
      <c r="B1062" s="396"/>
      <c r="C1062" s="116"/>
      <c r="D1062" s="116"/>
      <c r="E1062" s="116"/>
      <c r="F1062" s="116"/>
      <c r="G1062" s="332"/>
      <c r="H1062" s="332"/>
      <c r="I1062" s="332"/>
      <c r="J1062" s="332"/>
      <c r="K1062" s="332"/>
      <c r="L1062" s="332"/>
      <c r="Q1062" s="152"/>
    </row>
    <row r="1063" spans="2:17" ht="13">
      <c r="B1063" s="396"/>
      <c r="C1063" s="116"/>
      <c r="D1063" s="116"/>
      <c r="E1063" s="116"/>
      <c r="F1063" s="116"/>
      <c r="G1063" s="332"/>
      <c r="H1063" s="332"/>
      <c r="I1063" s="332"/>
      <c r="J1063" s="332"/>
      <c r="K1063" s="332"/>
      <c r="L1063" s="332"/>
      <c r="Q1063" s="152"/>
    </row>
    <row r="1064" spans="2:17" ht="13">
      <c r="B1064" s="396"/>
      <c r="C1064" s="116"/>
      <c r="D1064" s="116"/>
      <c r="E1064" s="116"/>
      <c r="F1064" s="116"/>
      <c r="G1064" s="332"/>
      <c r="H1064" s="332"/>
      <c r="I1064" s="332"/>
      <c r="J1064" s="332"/>
      <c r="K1064" s="332"/>
      <c r="L1064" s="332"/>
      <c r="Q1064" s="152"/>
    </row>
    <row r="1065" spans="2:17" ht="13">
      <c r="B1065" s="396"/>
      <c r="C1065" s="116"/>
      <c r="D1065" s="116"/>
      <c r="E1065" s="116"/>
      <c r="F1065" s="116"/>
      <c r="G1065" s="332"/>
      <c r="H1065" s="332"/>
      <c r="I1065" s="332"/>
      <c r="J1065" s="332"/>
      <c r="K1065" s="332"/>
      <c r="L1065" s="332"/>
      <c r="Q1065" s="152"/>
    </row>
    <row r="1066" spans="2:17" ht="13">
      <c r="B1066" s="396"/>
      <c r="C1066" s="116"/>
      <c r="D1066" s="116"/>
      <c r="E1066" s="116"/>
      <c r="F1066" s="116"/>
      <c r="G1066" s="332"/>
      <c r="H1066" s="332"/>
      <c r="I1066" s="332"/>
      <c r="J1066" s="332"/>
      <c r="K1066" s="332"/>
      <c r="L1066" s="332"/>
      <c r="Q1066" s="152"/>
    </row>
    <row r="1067" spans="2:17" ht="13">
      <c r="B1067" s="396"/>
      <c r="C1067" s="116"/>
      <c r="D1067" s="116"/>
      <c r="E1067" s="116"/>
      <c r="F1067" s="116"/>
      <c r="G1067" s="332"/>
      <c r="H1067" s="332"/>
      <c r="I1067" s="332"/>
      <c r="J1067" s="332"/>
      <c r="K1067" s="332"/>
      <c r="L1067" s="332"/>
      <c r="Q1067" s="152"/>
    </row>
    <row r="1068" spans="2:17" ht="13">
      <c r="B1068" s="396"/>
      <c r="C1068" s="116"/>
      <c r="D1068" s="116"/>
      <c r="E1068" s="116"/>
      <c r="F1068" s="116"/>
      <c r="G1068" s="332"/>
      <c r="H1068" s="332"/>
      <c r="I1068" s="332"/>
      <c r="J1068" s="332"/>
      <c r="K1068" s="332"/>
      <c r="L1068" s="332"/>
      <c r="Q1068" s="152"/>
    </row>
    <row r="1069" spans="2:17" ht="13">
      <c r="B1069" s="396"/>
      <c r="C1069" s="116"/>
      <c r="D1069" s="116"/>
      <c r="E1069" s="116"/>
      <c r="F1069" s="116"/>
      <c r="G1069" s="332"/>
      <c r="H1069" s="332"/>
      <c r="I1069" s="332"/>
      <c r="J1069" s="332"/>
      <c r="K1069" s="332"/>
      <c r="L1069" s="332"/>
      <c r="Q1069" s="152"/>
    </row>
    <row r="1070" spans="2:17" ht="13">
      <c r="B1070" s="396"/>
      <c r="C1070" s="116"/>
      <c r="D1070" s="116"/>
      <c r="E1070" s="116"/>
      <c r="F1070" s="116"/>
      <c r="G1070" s="332"/>
      <c r="H1070" s="332"/>
      <c r="I1070" s="332"/>
      <c r="J1070" s="332"/>
      <c r="K1070" s="332"/>
      <c r="L1070" s="332"/>
      <c r="Q1070" s="152"/>
    </row>
    <row r="1071" spans="2:17" ht="13">
      <c r="B1071" s="396"/>
      <c r="C1071" s="116"/>
      <c r="D1071" s="116"/>
      <c r="E1071" s="116"/>
      <c r="F1071" s="116"/>
      <c r="G1071" s="332"/>
      <c r="H1071" s="332"/>
      <c r="I1071" s="332"/>
      <c r="J1071" s="332"/>
      <c r="K1071" s="332"/>
      <c r="L1071" s="332"/>
      <c r="Q1071" s="152"/>
    </row>
    <row r="1072" spans="2:17" ht="13">
      <c r="B1072" s="396"/>
      <c r="C1072" s="116"/>
      <c r="D1072" s="116"/>
      <c r="E1072" s="116"/>
      <c r="F1072" s="116"/>
      <c r="G1072" s="332"/>
      <c r="H1072" s="332"/>
      <c r="I1072" s="332"/>
      <c r="J1072" s="332"/>
      <c r="K1072" s="332"/>
      <c r="L1072" s="332"/>
      <c r="Q1072" s="152"/>
    </row>
    <row r="1073" spans="2:17" ht="13">
      <c r="B1073" s="396"/>
      <c r="C1073" s="116"/>
      <c r="D1073" s="116"/>
      <c r="E1073" s="116"/>
      <c r="F1073" s="116"/>
      <c r="G1073" s="332"/>
      <c r="H1073" s="332"/>
      <c r="I1073" s="332"/>
      <c r="J1073" s="332"/>
      <c r="K1073" s="332"/>
      <c r="L1073" s="332"/>
      <c r="Q1073" s="152"/>
    </row>
    <row r="1074" spans="2:17" ht="13">
      <c r="B1074" s="396"/>
      <c r="C1074" s="116"/>
      <c r="D1074" s="116"/>
      <c r="E1074" s="116"/>
      <c r="F1074" s="116"/>
      <c r="G1074" s="332"/>
      <c r="H1074" s="332"/>
      <c r="I1074" s="332"/>
      <c r="J1074" s="332"/>
      <c r="K1074" s="332"/>
      <c r="L1074" s="332"/>
      <c r="Q1074" s="152"/>
    </row>
    <row r="1075" spans="2:17" ht="13">
      <c r="B1075" s="396"/>
      <c r="C1075" s="116"/>
      <c r="D1075" s="116"/>
      <c r="E1075" s="116"/>
      <c r="F1075" s="116"/>
      <c r="G1075" s="332"/>
      <c r="H1075" s="332"/>
      <c r="I1075" s="332"/>
      <c r="J1075" s="332"/>
      <c r="K1075" s="332"/>
      <c r="L1075" s="332"/>
      <c r="Q1075" s="152"/>
    </row>
    <row r="1076" spans="2:17" ht="13">
      <c r="B1076" s="396"/>
      <c r="C1076" s="116"/>
      <c r="D1076" s="116"/>
      <c r="E1076" s="116"/>
      <c r="F1076" s="116"/>
      <c r="G1076" s="332"/>
      <c r="H1076" s="332"/>
      <c r="I1076" s="332"/>
      <c r="J1076" s="332"/>
      <c r="K1076" s="332"/>
      <c r="L1076" s="332"/>
      <c r="Q1076" s="152"/>
    </row>
    <row r="1077" spans="2:17" ht="13">
      <c r="B1077" s="396"/>
      <c r="C1077" s="116"/>
      <c r="D1077" s="116"/>
      <c r="E1077" s="116"/>
      <c r="F1077" s="116"/>
      <c r="G1077" s="332"/>
      <c r="H1077" s="332"/>
      <c r="I1077" s="332"/>
      <c r="J1077" s="332"/>
      <c r="K1077" s="332"/>
      <c r="L1077" s="332"/>
      <c r="Q1077" s="152"/>
    </row>
    <row r="1078" spans="2:17" ht="13">
      <c r="B1078" s="396"/>
      <c r="C1078" s="116"/>
      <c r="D1078" s="116"/>
      <c r="E1078" s="116"/>
      <c r="F1078" s="116"/>
      <c r="G1078" s="332"/>
      <c r="H1078" s="332"/>
      <c r="I1078" s="332"/>
      <c r="J1078" s="332"/>
      <c r="K1078" s="332"/>
      <c r="L1078" s="332"/>
      <c r="Q1078" s="152"/>
    </row>
    <row r="1079" spans="2:17" ht="13">
      <c r="B1079" s="396"/>
      <c r="C1079" s="116"/>
      <c r="D1079" s="116"/>
      <c r="E1079" s="116"/>
      <c r="F1079" s="116"/>
      <c r="G1079" s="332"/>
      <c r="H1079" s="332"/>
      <c r="I1079" s="332"/>
      <c r="J1079" s="332"/>
      <c r="K1079" s="332"/>
      <c r="L1079" s="332"/>
      <c r="Q1079" s="152"/>
    </row>
    <row r="1080" spans="2:17" ht="13">
      <c r="B1080" s="396"/>
      <c r="C1080" s="116"/>
      <c r="D1080" s="116"/>
      <c r="E1080" s="116"/>
      <c r="F1080" s="116"/>
      <c r="G1080" s="332"/>
      <c r="H1080" s="332"/>
      <c r="I1080" s="332"/>
      <c r="J1080" s="332"/>
      <c r="K1080" s="332"/>
      <c r="L1080" s="332"/>
      <c r="Q1080" s="152"/>
    </row>
    <row r="1081" spans="2:17" ht="13">
      <c r="B1081" s="396"/>
      <c r="C1081" s="116"/>
      <c r="D1081" s="116"/>
      <c r="E1081" s="116"/>
      <c r="F1081" s="116"/>
      <c r="G1081" s="332"/>
      <c r="H1081" s="332"/>
      <c r="I1081" s="332"/>
      <c r="J1081" s="332"/>
      <c r="K1081" s="332"/>
      <c r="L1081" s="332"/>
      <c r="Q1081" s="152"/>
    </row>
    <row r="1082" spans="2:17" ht="13">
      <c r="B1082" s="396"/>
      <c r="C1082" s="116"/>
      <c r="D1082" s="116"/>
      <c r="E1082" s="116"/>
      <c r="F1082" s="116"/>
      <c r="G1082" s="332"/>
      <c r="H1082" s="332"/>
      <c r="I1082" s="332"/>
      <c r="J1082" s="332"/>
      <c r="K1082" s="332"/>
      <c r="L1082" s="332"/>
      <c r="Q1082" s="152"/>
    </row>
    <row r="1083" spans="2:17" ht="13">
      <c r="B1083" s="396"/>
      <c r="C1083" s="116"/>
      <c r="D1083" s="116"/>
      <c r="E1083" s="116"/>
      <c r="F1083" s="116"/>
      <c r="G1083" s="332"/>
      <c r="H1083" s="332"/>
      <c r="I1083" s="332"/>
      <c r="J1083" s="332"/>
      <c r="K1083" s="332"/>
      <c r="L1083" s="332"/>
      <c r="Q1083" s="152"/>
    </row>
    <row r="1084" spans="2:17" ht="13">
      <c r="B1084" s="396"/>
      <c r="C1084" s="116"/>
      <c r="D1084" s="116"/>
      <c r="E1084" s="116"/>
      <c r="F1084" s="116"/>
      <c r="G1084" s="332"/>
      <c r="H1084" s="332"/>
      <c r="I1084" s="332"/>
      <c r="J1084" s="332"/>
      <c r="K1084" s="332"/>
      <c r="L1084" s="332"/>
      <c r="Q1084" s="152"/>
    </row>
    <row r="1085" spans="2:17" ht="13">
      <c r="B1085" s="396"/>
      <c r="C1085" s="116"/>
      <c r="D1085" s="116"/>
      <c r="E1085" s="116"/>
      <c r="F1085" s="116"/>
      <c r="G1085" s="332"/>
      <c r="H1085" s="332"/>
      <c r="I1085" s="332"/>
      <c r="J1085" s="332"/>
      <c r="K1085" s="332"/>
      <c r="L1085" s="332"/>
      <c r="Q1085" s="152"/>
    </row>
    <row r="1086" spans="2:17" ht="13">
      <c r="B1086" s="396"/>
      <c r="C1086" s="116"/>
      <c r="D1086" s="116"/>
      <c r="E1086" s="116"/>
      <c r="F1086" s="116"/>
      <c r="G1086" s="332"/>
      <c r="H1086" s="332"/>
      <c r="I1086" s="332"/>
      <c r="J1086" s="332"/>
      <c r="K1086" s="332"/>
      <c r="L1086" s="332"/>
      <c r="Q1086" s="152"/>
    </row>
    <row r="1087" spans="2:17" ht="13">
      <c r="B1087" s="396"/>
      <c r="C1087" s="116"/>
      <c r="D1087" s="116"/>
      <c r="E1087" s="116"/>
      <c r="F1087" s="116"/>
      <c r="G1087" s="332"/>
      <c r="H1087" s="332"/>
      <c r="I1087" s="332"/>
      <c r="J1087" s="332"/>
      <c r="K1087" s="332"/>
      <c r="L1087" s="332"/>
      <c r="Q1087" s="152"/>
    </row>
    <row r="1088" spans="2:17" ht="13">
      <c r="B1088" s="396"/>
      <c r="C1088" s="116"/>
      <c r="D1088" s="116"/>
      <c r="E1088" s="116"/>
      <c r="F1088" s="116"/>
      <c r="G1088" s="332"/>
      <c r="H1088" s="332"/>
      <c r="I1088" s="332"/>
      <c r="J1088" s="332"/>
      <c r="K1088" s="332"/>
      <c r="L1088" s="332"/>
      <c r="Q1088" s="152"/>
    </row>
    <row r="1089" spans="2:17" ht="13">
      <c r="B1089" s="396"/>
      <c r="C1089" s="116"/>
      <c r="D1089" s="116"/>
      <c r="E1089" s="116"/>
      <c r="F1089" s="116"/>
      <c r="G1089" s="332"/>
      <c r="H1089" s="332"/>
      <c r="I1089" s="332"/>
      <c r="J1089" s="332"/>
      <c r="K1089" s="332"/>
      <c r="L1089" s="332"/>
      <c r="Q1089" s="152"/>
    </row>
    <row r="1090" spans="2:17" ht="13">
      <c r="B1090" s="396"/>
      <c r="C1090" s="116"/>
      <c r="D1090" s="116"/>
      <c r="E1090" s="116"/>
      <c r="F1090" s="116"/>
      <c r="G1090" s="332"/>
      <c r="H1090" s="332"/>
      <c r="I1090" s="332"/>
      <c r="J1090" s="332"/>
      <c r="K1090" s="332"/>
      <c r="L1090" s="332"/>
      <c r="Q1090" s="152"/>
    </row>
    <row r="1091" spans="2:17" ht="13">
      <c r="B1091" s="396"/>
      <c r="C1091" s="116"/>
      <c r="D1091" s="116"/>
      <c r="E1091" s="116"/>
      <c r="F1091" s="116"/>
      <c r="G1091" s="332"/>
      <c r="H1091" s="332"/>
      <c r="I1091" s="332"/>
      <c r="J1091" s="332"/>
      <c r="K1091" s="332"/>
      <c r="L1091" s="332"/>
      <c r="Q1091" s="152"/>
    </row>
    <row r="1092" spans="2:17" ht="13">
      <c r="B1092" s="396"/>
      <c r="C1092" s="116"/>
      <c r="D1092" s="116"/>
      <c r="E1092" s="116"/>
      <c r="F1092" s="116"/>
      <c r="G1092" s="332"/>
      <c r="H1092" s="332"/>
      <c r="I1092" s="332"/>
      <c r="J1092" s="332"/>
      <c r="K1092" s="332"/>
      <c r="L1092" s="332"/>
      <c r="Q1092" s="152"/>
    </row>
    <row r="1093" spans="2:17" ht="13">
      <c r="B1093" s="396"/>
      <c r="C1093" s="116"/>
      <c r="D1093" s="116"/>
      <c r="E1093" s="116"/>
      <c r="F1093" s="116"/>
      <c r="G1093" s="332"/>
      <c r="H1093" s="332"/>
      <c r="I1093" s="332"/>
      <c r="J1093" s="332"/>
      <c r="K1093" s="332"/>
      <c r="L1093" s="332"/>
      <c r="Q1093" s="152"/>
    </row>
    <row r="1094" spans="2:17" ht="13">
      <c r="B1094" s="396"/>
      <c r="C1094" s="116"/>
      <c r="D1094" s="116"/>
      <c r="E1094" s="116"/>
      <c r="F1094" s="116"/>
      <c r="G1094" s="332"/>
      <c r="H1094" s="332"/>
      <c r="I1094" s="332"/>
      <c r="J1094" s="332"/>
      <c r="K1094" s="332"/>
      <c r="L1094" s="332"/>
      <c r="Q1094" s="152"/>
    </row>
    <row r="1095" spans="2:17" ht="13">
      <c r="B1095" s="396"/>
      <c r="C1095" s="116"/>
      <c r="D1095" s="116"/>
      <c r="E1095" s="116"/>
      <c r="F1095" s="116"/>
      <c r="G1095" s="332"/>
      <c r="H1095" s="332"/>
      <c r="I1095" s="332"/>
      <c r="J1095" s="332"/>
      <c r="K1095" s="332"/>
      <c r="L1095" s="332"/>
      <c r="Q1095" s="152"/>
    </row>
    <row r="1096" spans="2:17" ht="13">
      <c r="B1096" s="396"/>
      <c r="C1096" s="116"/>
      <c r="D1096" s="116"/>
      <c r="E1096" s="116"/>
      <c r="F1096" s="116"/>
      <c r="G1096" s="332"/>
      <c r="H1096" s="332"/>
      <c r="I1096" s="332"/>
      <c r="J1096" s="332"/>
      <c r="K1096" s="332"/>
      <c r="L1096" s="332"/>
      <c r="Q1096" s="152"/>
    </row>
    <row r="1097" spans="2:17" ht="13">
      <c r="B1097" s="396"/>
      <c r="C1097" s="116"/>
      <c r="D1097" s="116"/>
      <c r="E1097" s="116"/>
      <c r="F1097" s="116"/>
      <c r="G1097" s="332"/>
      <c r="H1097" s="332"/>
      <c r="I1097" s="332"/>
      <c r="J1097" s="332"/>
      <c r="K1097" s="332"/>
      <c r="L1097" s="332"/>
      <c r="Q1097" s="152"/>
    </row>
    <row r="1098" spans="2:17" ht="13">
      <c r="B1098" s="396"/>
      <c r="C1098" s="116"/>
      <c r="D1098" s="116"/>
      <c r="E1098" s="116"/>
      <c r="F1098" s="116"/>
      <c r="G1098" s="332"/>
      <c r="H1098" s="332"/>
      <c r="I1098" s="332"/>
      <c r="J1098" s="332"/>
      <c r="K1098" s="332"/>
      <c r="L1098" s="332"/>
      <c r="Q1098" s="152"/>
    </row>
    <row r="1099" spans="2:17" ht="13">
      <c r="B1099" s="396"/>
      <c r="C1099" s="116"/>
      <c r="D1099" s="116"/>
      <c r="E1099" s="116"/>
      <c r="F1099" s="116"/>
      <c r="G1099" s="332"/>
      <c r="H1099" s="332"/>
      <c r="I1099" s="332"/>
      <c r="J1099" s="332"/>
      <c r="K1099" s="332"/>
      <c r="L1099" s="332"/>
      <c r="Q1099" s="152"/>
    </row>
    <row r="1100" spans="2:17" ht="13">
      <c r="B1100" s="396"/>
      <c r="C1100" s="116"/>
      <c r="D1100" s="116"/>
      <c r="E1100" s="116"/>
      <c r="F1100" s="116"/>
      <c r="G1100" s="332"/>
      <c r="H1100" s="332"/>
      <c r="I1100" s="332"/>
      <c r="J1100" s="332"/>
      <c r="K1100" s="332"/>
      <c r="L1100" s="332"/>
      <c r="Q1100" s="152"/>
    </row>
    <row r="1101" spans="2:17" ht="13">
      <c r="B1101" s="396"/>
      <c r="C1101" s="116"/>
      <c r="D1101" s="116"/>
      <c r="E1101" s="116"/>
      <c r="F1101" s="116"/>
      <c r="G1101" s="332"/>
      <c r="H1101" s="332"/>
      <c r="I1101" s="332"/>
      <c r="J1101" s="332"/>
      <c r="K1101" s="332"/>
      <c r="L1101" s="332"/>
      <c r="Q1101" s="152"/>
    </row>
    <row r="1102" spans="2:17" ht="13">
      <c r="B1102" s="396"/>
      <c r="C1102" s="116"/>
      <c r="D1102" s="116"/>
      <c r="E1102" s="116"/>
      <c r="F1102" s="116"/>
      <c r="G1102" s="332"/>
      <c r="H1102" s="332"/>
      <c r="I1102" s="332"/>
      <c r="J1102" s="332"/>
      <c r="K1102" s="332"/>
      <c r="L1102" s="332"/>
      <c r="Q1102" s="152"/>
    </row>
    <row r="1103" spans="2:17" ht="13">
      <c r="B1103" s="396"/>
      <c r="C1103" s="116"/>
      <c r="D1103" s="116"/>
      <c r="E1103" s="116"/>
      <c r="F1103" s="116"/>
      <c r="G1103" s="332"/>
      <c r="H1103" s="332"/>
      <c r="I1103" s="332"/>
      <c r="J1103" s="332"/>
      <c r="K1103" s="332"/>
      <c r="L1103" s="332"/>
      <c r="Q1103" s="152"/>
    </row>
    <row r="1104" spans="2:17" ht="13">
      <c r="B1104" s="396"/>
      <c r="C1104" s="116"/>
      <c r="D1104" s="116"/>
      <c r="E1104" s="116"/>
      <c r="F1104" s="116"/>
      <c r="G1104" s="332"/>
      <c r="H1104" s="332"/>
      <c r="I1104" s="332"/>
      <c r="J1104" s="332"/>
      <c r="K1104" s="332"/>
      <c r="L1104" s="332"/>
      <c r="Q1104" s="152"/>
    </row>
    <row r="1105" spans="2:17" ht="13">
      <c r="B1105" s="396"/>
      <c r="C1105" s="116"/>
      <c r="D1105" s="116"/>
      <c r="E1105" s="116"/>
      <c r="F1105" s="116"/>
      <c r="G1105" s="332"/>
      <c r="H1105" s="332"/>
      <c r="I1105" s="332"/>
      <c r="J1105" s="332"/>
      <c r="K1105" s="332"/>
      <c r="L1105" s="332"/>
      <c r="Q1105" s="152"/>
    </row>
    <row r="1106" spans="2:17" ht="13">
      <c r="B1106" s="396"/>
      <c r="C1106" s="116"/>
      <c r="D1106" s="116"/>
      <c r="E1106" s="116"/>
      <c r="F1106" s="116"/>
      <c r="G1106" s="332"/>
      <c r="H1106" s="332"/>
      <c r="I1106" s="332"/>
      <c r="J1106" s="332"/>
      <c r="K1106" s="332"/>
      <c r="L1106" s="332"/>
      <c r="Q1106" s="152"/>
    </row>
    <row r="1107" spans="2:17" ht="13">
      <c r="B1107" s="396"/>
      <c r="C1107" s="116"/>
      <c r="D1107" s="116"/>
      <c r="E1107" s="116"/>
      <c r="F1107" s="116"/>
      <c r="G1107" s="332"/>
      <c r="H1107" s="332"/>
      <c r="I1107" s="332"/>
      <c r="J1107" s="332"/>
      <c r="K1107" s="332"/>
      <c r="L1107" s="332"/>
      <c r="Q1107" s="152"/>
    </row>
    <row r="1108" spans="2:17" ht="13">
      <c r="B1108" s="396"/>
      <c r="C1108" s="116"/>
      <c r="D1108" s="116"/>
      <c r="E1108" s="116"/>
      <c r="F1108" s="116"/>
      <c r="G1108" s="332"/>
      <c r="H1108" s="332"/>
      <c r="I1108" s="332"/>
      <c r="J1108" s="332"/>
      <c r="K1108" s="332"/>
      <c r="L1108" s="332"/>
      <c r="Q1108" s="152"/>
    </row>
    <row r="1109" spans="2:17" ht="13">
      <c r="B1109" s="396"/>
      <c r="C1109" s="116"/>
      <c r="D1109" s="116"/>
      <c r="E1109" s="116"/>
      <c r="F1109" s="116"/>
      <c r="G1109" s="332"/>
      <c r="H1109" s="332"/>
      <c r="I1109" s="332"/>
      <c r="J1109" s="332"/>
      <c r="K1109" s="332"/>
      <c r="L1109" s="332"/>
      <c r="Q1109" s="152"/>
    </row>
    <row r="1110" spans="2:17" ht="13">
      <c r="B1110" s="396"/>
      <c r="C1110" s="116"/>
      <c r="D1110" s="116"/>
      <c r="E1110" s="116"/>
      <c r="F1110" s="116"/>
      <c r="G1110" s="332"/>
      <c r="H1110" s="332"/>
      <c r="I1110" s="332"/>
      <c r="J1110" s="332"/>
      <c r="K1110" s="332"/>
      <c r="L1110" s="332"/>
      <c r="Q1110" s="152"/>
    </row>
    <row r="1111" spans="2:17" ht="13">
      <c r="B1111" s="396"/>
      <c r="C1111" s="116"/>
      <c r="D1111" s="116"/>
      <c r="E1111" s="116"/>
      <c r="F1111" s="116"/>
      <c r="G1111" s="332"/>
      <c r="H1111" s="332"/>
      <c r="I1111" s="332"/>
      <c r="J1111" s="332"/>
      <c r="K1111" s="332"/>
      <c r="L1111" s="332"/>
      <c r="Q1111" s="152"/>
    </row>
    <row r="1112" spans="2:17" ht="13">
      <c r="B1112" s="396"/>
      <c r="C1112" s="116"/>
      <c r="D1112" s="116"/>
      <c r="E1112" s="116"/>
      <c r="F1112" s="116"/>
      <c r="G1112" s="332"/>
      <c r="H1112" s="332"/>
      <c r="I1112" s="332"/>
      <c r="J1112" s="332"/>
      <c r="K1112" s="332"/>
      <c r="L1112" s="332"/>
      <c r="Q1112" s="152"/>
    </row>
    <row r="1113" spans="2:17" ht="13">
      <c r="B1113" s="396"/>
      <c r="C1113" s="116"/>
      <c r="D1113" s="116"/>
      <c r="E1113" s="116"/>
      <c r="F1113" s="116"/>
      <c r="G1113" s="332"/>
      <c r="H1113" s="332"/>
      <c r="I1113" s="332"/>
      <c r="J1113" s="332"/>
      <c r="K1113" s="332"/>
      <c r="L1113" s="332"/>
      <c r="Q1113" s="152"/>
    </row>
    <row r="1114" spans="2:17" ht="13">
      <c r="B1114" s="396"/>
      <c r="C1114" s="116"/>
      <c r="D1114" s="116"/>
      <c r="E1114" s="116"/>
      <c r="F1114" s="116"/>
      <c r="G1114" s="332"/>
      <c r="H1114" s="332"/>
      <c r="I1114" s="332"/>
      <c r="J1114" s="332"/>
      <c r="K1114" s="332"/>
      <c r="L1114" s="332"/>
      <c r="Q1114" s="152"/>
    </row>
    <row r="1115" spans="2:17" ht="13">
      <c r="B1115" s="396"/>
      <c r="C1115" s="116"/>
      <c r="D1115" s="116"/>
      <c r="E1115" s="116"/>
      <c r="F1115" s="116"/>
      <c r="G1115" s="332"/>
      <c r="H1115" s="332"/>
      <c r="I1115" s="332"/>
      <c r="J1115" s="332"/>
      <c r="K1115" s="332"/>
      <c r="L1115" s="332"/>
      <c r="Q1115" s="152"/>
    </row>
    <row r="1116" spans="2:17" ht="13">
      <c r="B1116" s="396"/>
      <c r="C1116" s="116"/>
      <c r="D1116" s="116"/>
      <c r="E1116" s="116"/>
      <c r="F1116" s="116"/>
      <c r="G1116" s="332"/>
      <c r="H1116" s="332"/>
      <c r="I1116" s="332"/>
      <c r="J1116" s="332"/>
      <c r="K1116" s="332"/>
      <c r="L1116" s="332"/>
      <c r="Q1116" s="152"/>
    </row>
    <row r="1117" spans="2:17" ht="13">
      <c r="B1117" s="396"/>
      <c r="C1117" s="116"/>
      <c r="D1117" s="116"/>
      <c r="E1117" s="116"/>
      <c r="F1117" s="116"/>
      <c r="G1117" s="332"/>
      <c r="H1117" s="332"/>
      <c r="I1117" s="332"/>
      <c r="J1117" s="332"/>
      <c r="K1117" s="332"/>
      <c r="L1117" s="332"/>
      <c r="Q1117" s="152"/>
    </row>
    <row r="1118" spans="2:17" ht="13">
      <c r="B1118" s="396"/>
      <c r="C1118" s="116"/>
      <c r="D1118" s="116"/>
      <c r="E1118" s="116"/>
      <c r="F1118" s="116"/>
      <c r="G1118" s="332"/>
      <c r="H1118" s="332"/>
      <c r="I1118" s="332"/>
      <c r="J1118" s="332"/>
      <c r="K1118" s="332"/>
      <c r="L1118" s="332"/>
      <c r="Q1118" s="152"/>
    </row>
    <row r="1119" spans="2:17" ht="13">
      <c r="B1119" s="396"/>
      <c r="C1119" s="116"/>
      <c r="D1119" s="116"/>
      <c r="E1119" s="116"/>
      <c r="F1119" s="116"/>
      <c r="G1119" s="332"/>
      <c r="H1119" s="332"/>
      <c r="I1119" s="332"/>
      <c r="J1119" s="332"/>
      <c r="K1119" s="332"/>
      <c r="L1119" s="332"/>
      <c r="Q1119" s="152"/>
    </row>
    <row r="1120" spans="2:17" ht="13">
      <c r="B1120" s="396"/>
      <c r="C1120" s="116"/>
      <c r="D1120" s="116"/>
      <c r="E1120" s="116"/>
      <c r="F1120" s="116"/>
      <c r="G1120" s="332"/>
      <c r="H1120" s="332"/>
      <c r="I1120" s="332"/>
      <c r="J1120" s="332"/>
      <c r="K1120" s="332"/>
      <c r="L1120" s="332"/>
      <c r="Q1120" s="152"/>
    </row>
    <row r="1121" spans="2:17" ht="13">
      <c r="B1121" s="396"/>
      <c r="C1121" s="116"/>
      <c r="D1121" s="116"/>
      <c r="E1121" s="116"/>
      <c r="F1121" s="116"/>
      <c r="G1121" s="332"/>
      <c r="H1121" s="332"/>
      <c r="I1121" s="332"/>
      <c r="J1121" s="332"/>
      <c r="K1121" s="332"/>
      <c r="L1121" s="332"/>
      <c r="Q1121" s="152"/>
    </row>
    <row r="1122" spans="2:17" ht="13">
      <c r="B1122" s="396"/>
      <c r="C1122" s="116"/>
      <c r="D1122" s="116"/>
      <c r="E1122" s="116"/>
      <c r="F1122" s="116"/>
      <c r="G1122" s="332"/>
      <c r="H1122" s="332"/>
      <c r="I1122" s="332"/>
      <c r="J1122" s="332"/>
      <c r="K1122" s="332"/>
      <c r="L1122" s="332"/>
      <c r="Q1122" s="152"/>
    </row>
    <row r="1123" spans="2:17" ht="13">
      <c r="B1123" s="396"/>
      <c r="C1123" s="116"/>
      <c r="D1123" s="116"/>
      <c r="E1123" s="116"/>
      <c r="F1123" s="116"/>
      <c r="G1123" s="332"/>
      <c r="H1123" s="332"/>
      <c r="I1123" s="332"/>
      <c r="J1123" s="332"/>
      <c r="K1123" s="332"/>
      <c r="L1123" s="332"/>
      <c r="Q1123" s="152"/>
    </row>
    <row r="1124" spans="2:17" ht="13">
      <c r="B1124" s="396"/>
      <c r="C1124" s="116"/>
      <c r="D1124" s="116"/>
      <c r="E1124" s="116"/>
      <c r="F1124" s="116"/>
      <c r="G1124" s="332"/>
      <c r="H1124" s="332"/>
      <c r="I1124" s="332"/>
      <c r="J1124" s="332"/>
      <c r="K1124" s="332"/>
      <c r="L1124" s="332"/>
      <c r="Q1124" s="152"/>
    </row>
    <row r="1125" spans="2:17" ht="13">
      <c r="B1125" s="396"/>
      <c r="C1125" s="116"/>
      <c r="D1125" s="116"/>
      <c r="E1125" s="116"/>
      <c r="F1125" s="116"/>
      <c r="G1125" s="332"/>
      <c r="H1125" s="332"/>
      <c r="I1125" s="332"/>
      <c r="J1125" s="332"/>
      <c r="K1125" s="332"/>
      <c r="L1125" s="332"/>
      <c r="Q1125" s="152"/>
    </row>
    <row r="1126" spans="2:17" ht="13">
      <c r="B1126" s="396"/>
      <c r="C1126" s="116"/>
      <c r="D1126" s="116"/>
      <c r="E1126" s="116"/>
      <c r="F1126" s="116"/>
      <c r="G1126" s="332"/>
      <c r="H1126" s="332"/>
      <c r="I1126" s="332"/>
      <c r="J1126" s="332"/>
      <c r="K1126" s="332"/>
      <c r="L1126" s="332"/>
      <c r="Q1126" s="152"/>
    </row>
    <row r="1127" spans="2:17" ht="13">
      <c r="B1127" s="396"/>
      <c r="C1127" s="116"/>
      <c r="D1127" s="116"/>
      <c r="E1127" s="116"/>
      <c r="F1127" s="116"/>
      <c r="G1127" s="332"/>
      <c r="H1127" s="332"/>
      <c r="I1127" s="332"/>
      <c r="J1127" s="332"/>
      <c r="K1127" s="332"/>
      <c r="L1127" s="332"/>
      <c r="Q1127" s="152"/>
    </row>
    <row r="1128" spans="2:17" ht="13">
      <c r="B1128" s="396"/>
      <c r="C1128" s="116"/>
      <c r="D1128" s="116"/>
      <c r="E1128" s="116"/>
      <c r="F1128" s="116"/>
      <c r="G1128" s="332"/>
      <c r="H1128" s="332"/>
      <c r="I1128" s="332"/>
      <c r="J1128" s="332"/>
      <c r="K1128" s="332"/>
      <c r="L1128" s="332"/>
      <c r="Q1128" s="152"/>
    </row>
    <row r="1129" spans="2:17" ht="13">
      <c r="B1129" s="396"/>
      <c r="C1129" s="116"/>
      <c r="D1129" s="116"/>
      <c r="E1129" s="116"/>
      <c r="F1129" s="116"/>
      <c r="G1129" s="332"/>
      <c r="H1129" s="332"/>
      <c r="I1129" s="332"/>
      <c r="J1129" s="332"/>
      <c r="K1129" s="332"/>
      <c r="L1129" s="332"/>
      <c r="Q1129" s="152"/>
    </row>
    <row r="1130" spans="2:17" ht="13">
      <c r="B1130" s="396"/>
      <c r="C1130" s="116"/>
      <c r="D1130" s="116"/>
      <c r="E1130" s="116"/>
      <c r="F1130" s="116"/>
      <c r="G1130" s="332"/>
      <c r="H1130" s="332"/>
      <c r="I1130" s="332"/>
      <c r="J1130" s="332"/>
      <c r="K1130" s="332"/>
      <c r="L1130" s="332"/>
      <c r="Q1130" s="152"/>
    </row>
    <row r="1131" spans="2:17" ht="13">
      <c r="B1131" s="396"/>
      <c r="C1131" s="116"/>
      <c r="D1131" s="116"/>
      <c r="E1131" s="116"/>
      <c r="F1131" s="116"/>
      <c r="G1131" s="332"/>
      <c r="H1131" s="332"/>
      <c r="I1131" s="332"/>
      <c r="J1131" s="332"/>
      <c r="K1131" s="332"/>
      <c r="L1131" s="332"/>
      <c r="Q1131" s="152"/>
    </row>
    <row r="1132" spans="2:17" ht="13">
      <c r="B1132" s="396"/>
      <c r="C1132" s="116"/>
      <c r="D1132" s="116"/>
      <c r="E1132" s="116"/>
      <c r="F1132" s="116"/>
      <c r="G1132" s="332"/>
      <c r="H1132" s="332"/>
      <c r="I1132" s="332"/>
      <c r="J1132" s="332"/>
      <c r="K1132" s="332"/>
      <c r="L1132" s="332"/>
      <c r="Q1132" s="152"/>
    </row>
    <row r="1133" spans="2:17" ht="13">
      <c r="B1133" s="396"/>
      <c r="C1133" s="116"/>
      <c r="D1133" s="116"/>
      <c r="E1133" s="116"/>
      <c r="F1133" s="116"/>
      <c r="G1133" s="332"/>
      <c r="H1133" s="332"/>
      <c r="I1133" s="332"/>
      <c r="J1133" s="332"/>
      <c r="K1133" s="332"/>
      <c r="L1133" s="332"/>
      <c r="Q1133" s="152"/>
    </row>
    <row r="1134" spans="2:17" ht="13">
      <c r="B1134" s="396"/>
      <c r="C1134" s="116"/>
      <c r="D1134" s="116"/>
      <c r="E1134" s="116"/>
      <c r="F1134" s="116"/>
      <c r="G1134" s="332"/>
      <c r="H1134" s="332"/>
      <c r="I1134" s="332"/>
      <c r="J1134" s="332"/>
      <c r="K1134" s="332"/>
      <c r="L1134" s="332"/>
      <c r="Q1134" s="152"/>
    </row>
    <row r="1135" spans="2:17" ht="13">
      <c r="B1135" s="396"/>
      <c r="C1135" s="116"/>
      <c r="D1135" s="116"/>
      <c r="E1135" s="116"/>
      <c r="F1135" s="116"/>
      <c r="G1135" s="332"/>
      <c r="H1135" s="332"/>
      <c r="I1135" s="332"/>
      <c r="J1135" s="332"/>
      <c r="K1135" s="332"/>
      <c r="L1135" s="332"/>
      <c r="Q1135" s="152"/>
    </row>
    <row r="1136" spans="2:17" ht="13">
      <c r="B1136" s="396"/>
      <c r="C1136" s="116"/>
      <c r="D1136" s="116"/>
      <c r="E1136" s="116"/>
      <c r="F1136" s="116"/>
      <c r="G1136" s="332"/>
      <c r="H1136" s="332"/>
      <c r="I1136" s="332"/>
      <c r="J1136" s="332"/>
      <c r="K1136" s="332"/>
      <c r="L1136" s="332"/>
      <c r="Q1136" s="152"/>
    </row>
    <row r="1137" spans="2:17" ht="13">
      <c r="B1137" s="396"/>
      <c r="C1137" s="116"/>
      <c r="D1137" s="116"/>
      <c r="E1137" s="116"/>
      <c r="F1137" s="116"/>
      <c r="G1137" s="332"/>
      <c r="H1137" s="332"/>
      <c r="I1137" s="332"/>
      <c r="J1137" s="332"/>
      <c r="K1137" s="332"/>
      <c r="L1137" s="332"/>
      <c r="Q1137" s="152"/>
    </row>
    <row r="1138" spans="2:17" ht="13">
      <c r="B1138" s="396"/>
      <c r="C1138" s="116"/>
      <c r="D1138" s="116"/>
      <c r="E1138" s="116"/>
      <c r="F1138" s="116"/>
      <c r="G1138" s="332"/>
      <c r="H1138" s="332"/>
      <c r="I1138" s="332"/>
      <c r="J1138" s="332"/>
      <c r="K1138" s="332"/>
      <c r="L1138" s="332"/>
      <c r="Q1138" s="152"/>
    </row>
    <row r="1139" spans="2:17" ht="13">
      <c r="B1139" s="396"/>
      <c r="C1139" s="116"/>
      <c r="D1139" s="116"/>
      <c r="E1139" s="116"/>
      <c r="F1139" s="116"/>
      <c r="G1139" s="332"/>
      <c r="H1139" s="332"/>
      <c r="I1139" s="332"/>
      <c r="J1139" s="332"/>
      <c r="K1139" s="332"/>
      <c r="L1139" s="332"/>
      <c r="Q1139" s="152"/>
    </row>
    <row r="1140" spans="2:17" ht="13">
      <c r="B1140" s="396"/>
      <c r="C1140" s="116"/>
      <c r="D1140" s="116"/>
      <c r="E1140" s="116"/>
      <c r="F1140" s="116"/>
      <c r="G1140" s="332"/>
      <c r="H1140" s="332"/>
      <c r="I1140" s="332"/>
      <c r="J1140" s="332"/>
      <c r="K1140" s="332"/>
      <c r="L1140" s="332"/>
      <c r="Q1140" s="152"/>
    </row>
    <row r="1141" spans="2:17" ht="13">
      <c r="B1141" s="396"/>
      <c r="C1141" s="116"/>
      <c r="D1141" s="116"/>
      <c r="E1141" s="116"/>
      <c r="F1141" s="116"/>
      <c r="G1141" s="332"/>
      <c r="H1141" s="332"/>
      <c r="I1141" s="332"/>
      <c r="J1141" s="332"/>
      <c r="K1141" s="332"/>
      <c r="L1141" s="332"/>
      <c r="Q1141" s="152"/>
    </row>
    <row r="1142" spans="2:17" ht="13">
      <c r="B1142" s="396"/>
      <c r="C1142" s="116"/>
      <c r="D1142" s="116"/>
      <c r="E1142" s="116"/>
      <c r="F1142" s="116"/>
      <c r="G1142" s="332"/>
      <c r="H1142" s="332"/>
      <c r="I1142" s="332"/>
      <c r="J1142" s="332"/>
      <c r="K1142" s="332"/>
      <c r="L1142" s="332"/>
      <c r="Q1142" s="152"/>
    </row>
    <row r="1143" spans="2:17" ht="13">
      <c r="B1143" s="396"/>
      <c r="C1143" s="116"/>
      <c r="D1143" s="116"/>
      <c r="E1143" s="116"/>
      <c r="F1143" s="116"/>
      <c r="G1143" s="332"/>
      <c r="H1143" s="332"/>
      <c r="I1143" s="332"/>
      <c r="J1143" s="332"/>
      <c r="K1143" s="332"/>
      <c r="L1143" s="332"/>
      <c r="Q1143" s="152"/>
    </row>
    <row r="1144" spans="2:17" ht="13">
      <c r="B1144" s="396"/>
      <c r="C1144" s="116"/>
      <c r="D1144" s="116"/>
      <c r="E1144" s="116"/>
      <c r="F1144" s="116"/>
      <c r="G1144" s="332"/>
      <c r="H1144" s="332"/>
      <c r="I1144" s="332"/>
      <c r="J1144" s="332"/>
      <c r="K1144" s="332"/>
      <c r="L1144" s="332"/>
      <c r="Q1144" s="152"/>
    </row>
    <row r="1145" spans="2:17" ht="13">
      <c r="B1145" s="396"/>
      <c r="C1145" s="116"/>
      <c r="D1145" s="116"/>
      <c r="E1145" s="116"/>
      <c r="F1145" s="116"/>
      <c r="G1145" s="332"/>
      <c r="H1145" s="332"/>
      <c r="I1145" s="332"/>
      <c r="J1145" s="332"/>
      <c r="K1145" s="332"/>
      <c r="L1145" s="332"/>
      <c r="Q1145" s="152"/>
    </row>
    <row r="1146" spans="2:17" ht="13">
      <c r="B1146" s="396"/>
      <c r="C1146" s="116"/>
      <c r="D1146" s="116"/>
      <c r="E1146" s="116"/>
      <c r="F1146" s="116"/>
      <c r="G1146" s="332"/>
      <c r="H1146" s="332"/>
      <c r="I1146" s="332"/>
      <c r="J1146" s="332"/>
      <c r="K1146" s="332"/>
      <c r="L1146" s="332"/>
      <c r="Q1146" s="152"/>
    </row>
    <row r="1147" spans="2:17" ht="13">
      <c r="B1147" s="396"/>
      <c r="C1147" s="116"/>
      <c r="D1147" s="116"/>
      <c r="E1147" s="116"/>
      <c r="F1147" s="116"/>
      <c r="G1147" s="332"/>
      <c r="H1147" s="332"/>
      <c r="I1147" s="332"/>
      <c r="J1147" s="332"/>
      <c r="K1147" s="332"/>
      <c r="L1147" s="332"/>
      <c r="Q1147" s="152"/>
    </row>
    <row r="1148" spans="2:17" ht="13">
      <c r="B1148" s="396"/>
      <c r="C1148" s="116"/>
      <c r="D1148" s="116"/>
      <c r="E1148" s="116"/>
      <c r="F1148" s="116"/>
      <c r="G1148" s="332"/>
      <c r="H1148" s="332"/>
      <c r="I1148" s="332"/>
      <c r="J1148" s="332"/>
      <c r="K1148" s="332"/>
      <c r="L1148" s="332"/>
      <c r="Q1148" s="152"/>
    </row>
    <row r="1149" spans="2:17" ht="13">
      <c r="B1149" s="396"/>
      <c r="C1149" s="116"/>
      <c r="D1149" s="116"/>
      <c r="E1149" s="116"/>
      <c r="F1149" s="116"/>
      <c r="G1149" s="332"/>
      <c r="H1149" s="332"/>
      <c r="I1149" s="332"/>
      <c r="J1149" s="332"/>
      <c r="K1149" s="332"/>
      <c r="L1149" s="332"/>
      <c r="Q1149" s="152"/>
    </row>
    <row r="1150" spans="2:17" ht="13">
      <c r="B1150" s="396"/>
      <c r="C1150" s="116"/>
      <c r="D1150" s="116"/>
      <c r="E1150" s="116"/>
      <c r="F1150" s="116"/>
      <c r="G1150" s="332"/>
      <c r="H1150" s="332"/>
      <c r="I1150" s="332"/>
      <c r="J1150" s="332"/>
      <c r="K1150" s="332"/>
      <c r="L1150" s="332"/>
      <c r="Q1150" s="152"/>
    </row>
    <row r="1151" spans="2:17" ht="13">
      <c r="B1151" s="396"/>
      <c r="C1151" s="116"/>
      <c r="D1151" s="116"/>
      <c r="E1151" s="116"/>
      <c r="F1151" s="116"/>
      <c r="G1151" s="332"/>
      <c r="H1151" s="332"/>
      <c r="I1151" s="332"/>
      <c r="J1151" s="332"/>
      <c r="K1151" s="332"/>
      <c r="L1151" s="332"/>
      <c r="Q1151" s="152"/>
    </row>
    <row r="1152" spans="2:17" ht="13">
      <c r="B1152" s="396"/>
      <c r="C1152" s="116"/>
      <c r="D1152" s="116"/>
      <c r="E1152" s="116"/>
      <c r="F1152" s="116"/>
      <c r="G1152" s="332"/>
      <c r="H1152" s="332"/>
      <c r="I1152" s="332"/>
      <c r="J1152" s="332"/>
      <c r="K1152" s="332"/>
      <c r="L1152" s="332"/>
      <c r="Q1152" s="152"/>
    </row>
    <row r="1153" spans="2:17" ht="13">
      <c r="B1153" s="396"/>
      <c r="C1153" s="116"/>
      <c r="D1153" s="116"/>
      <c r="E1153" s="116"/>
      <c r="F1153" s="116"/>
      <c r="G1153" s="332"/>
      <c r="H1153" s="332"/>
      <c r="I1153" s="332"/>
      <c r="J1153" s="332"/>
      <c r="K1153" s="332"/>
      <c r="L1153" s="332"/>
      <c r="Q1153" s="152"/>
    </row>
    <row r="1154" spans="2:17" ht="13">
      <c r="B1154" s="396"/>
      <c r="C1154" s="116"/>
      <c r="D1154" s="116"/>
      <c r="E1154" s="116"/>
      <c r="F1154" s="116"/>
      <c r="G1154" s="332"/>
      <c r="H1154" s="332"/>
      <c r="I1154" s="332"/>
      <c r="J1154" s="332"/>
      <c r="K1154" s="332"/>
      <c r="L1154" s="332"/>
      <c r="Q1154" s="152"/>
    </row>
    <row r="1155" spans="2:17" ht="13">
      <c r="B1155" s="396"/>
      <c r="C1155" s="116"/>
      <c r="D1155" s="116"/>
      <c r="E1155" s="116"/>
      <c r="F1155" s="116"/>
      <c r="G1155" s="332"/>
      <c r="H1155" s="332"/>
      <c r="I1155" s="332"/>
      <c r="J1155" s="332"/>
      <c r="K1155" s="332"/>
      <c r="L1155" s="332"/>
      <c r="Q1155" s="152"/>
    </row>
    <row r="1156" spans="2:17" ht="13">
      <c r="B1156" s="396"/>
      <c r="C1156" s="116"/>
      <c r="D1156" s="116"/>
      <c r="E1156" s="116"/>
      <c r="F1156" s="116"/>
      <c r="G1156" s="332"/>
      <c r="H1156" s="332"/>
      <c r="I1156" s="332"/>
      <c r="J1156" s="332"/>
      <c r="K1156" s="332"/>
      <c r="L1156" s="332"/>
      <c r="Q1156" s="152"/>
    </row>
    <row r="1157" spans="2:17" ht="13">
      <c r="B1157" s="396"/>
      <c r="C1157" s="116"/>
      <c r="D1157" s="116"/>
      <c r="E1157" s="116"/>
      <c r="F1157" s="116"/>
      <c r="G1157" s="332"/>
      <c r="H1157" s="332"/>
      <c r="I1157" s="332"/>
      <c r="J1157" s="332"/>
      <c r="K1157" s="332"/>
      <c r="L1157" s="332"/>
      <c r="Q1157" s="152"/>
    </row>
    <row r="1158" spans="2:17" ht="13">
      <c r="B1158" s="396"/>
      <c r="C1158" s="116"/>
      <c r="D1158" s="116"/>
      <c r="E1158" s="116"/>
      <c r="F1158" s="116"/>
      <c r="G1158" s="332"/>
      <c r="H1158" s="332"/>
      <c r="I1158" s="332"/>
      <c r="J1158" s="332"/>
      <c r="K1158" s="332"/>
      <c r="L1158" s="332"/>
      <c r="Q1158" s="152"/>
    </row>
    <row r="1159" spans="2:17" ht="13">
      <c r="B1159" s="396"/>
      <c r="C1159" s="116"/>
      <c r="D1159" s="116"/>
      <c r="E1159" s="116"/>
      <c r="F1159" s="116"/>
      <c r="G1159" s="332"/>
      <c r="H1159" s="332"/>
      <c r="I1159" s="332"/>
      <c r="J1159" s="332"/>
      <c r="K1159" s="332"/>
      <c r="L1159" s="332"/>
      <c r="Q1159" s="152"/>
    </row>
    <row r="1160" spans="2:17" ht="13">
      <c r="B1160" s="396"/>
      <c r="C1160" s="116"/>
      <c r="D1160" s="116"/>
      <c r="E1160" s="116"/>
      <c r="F1160" s="116"/>
      <c r="G1160" s="332"/>
      <c r="H1160" s="332"/>
      <c r="I1160" s="332"/>
      <c r="J1160" s="332"/>
      <c r="K1160" s="332"/>
      <c r="L1160" s="332"/>
      <c r="Q1160" s="152"/>
    </row>
    <row r="1161" spans="2:17" ht="13">
      <c r="B1161" s="396"/>
      <c r="C1161" s="116"/>
      <c r="D1161" s="116"/>
      <c r="E1161" s="116"/>
      <c r="F1161" s="116"/>
      <c r="G1161" s="332"/>
      <c r="H1161" s="332"/>
      <c r="I1161" s="332"/>
      <c r="J1161" s="332"/>
      <c r="K1161" s="332"/>
      <c r="L1161" s="332"/>
      <c r="Q1161" s="152"/>
    </row>
    <row r="1162" spans="2:17" ht="13">
      <c r="B1162" s="396"/>
      <c r="C1162" s="116"/>
      <c r="D1162" s="116"/>
      <c r="E1162" s="116"/>
      <c r="F1162" s="116"/>
      <c r="G1162" s="332"/>
      <c r="H1162" s="332"/>
      <c r="I1162" s="332"/>
      <c r="J1162" s="332"/>
      <c r="K1162" s="332"/>
      <c r="L1162" s="332"/>
      <c r="Q1162" s="152"/>
    </row>
    <row r="1163" spans="2:17" ht="13">
      <c r="B1163" s="396"/>
      <c r="C1163" s="116"/>
      <c r="D1163" s="116"/>
      <c r="E1163" s="116"/>
      <c r="F1163" s="116"/>
      <c r="G1163" s="332"/>
      <c r="H1163" s="332"/>
      <c r="I1163" s="332"/>
      <c r="J1163" s="332"/>
      <c r="K1163" s="332"/>
      <c r="L1163" s="332"/>
      <c r="Q1163" s="152"/>
    </row>
    <row r="1164" spans="2:17" ht="13">
      <c r="B1164" s="396"/>
      <c r="C1164" s="116"/>
      <c r="D1164" s="116"/>
      <c r="E1164" s="116"/>
      <c r="F1164" s="116"/>
      <c r="G1164" s="332"/>
      <c r="H1164" s="332"/>
      <c r="I1164" s="332"/>
      <c r="J1164" s="332"/>
      <c r="K1164" s="332"/>
      <c r="L1164" s="332"/>
      <c r="Q1164" s="152"/>
    </row>
    <row r="1165" spans="2:17" ht="13">
      <c r="B1165" s="396"/>
      <c r="C1165" s="116"/>
      <c r="D1165" s="116"/>
      <c r="E1165" s="116"/>
      <c r="F1165" s="116"/>
      <c r="G1165" s="332"/>
      <c r="H1165" s="332"/>
      <c r="I1165" s="332"/>
      <c r="J1165" s="332"/>
      <c r="K1165" s="332"/>
      <c r="L1165" s="332"/>
      <c r="Q1165" s="152"/>
    </row>
    <row r="1166" spans="2:17" ht="13">
      <c r="B1166" s="396"/>
      <c r="C1166" s="116"/>
      <c r="D1166" s="116"/>
      <c r="E1166" s="116"/>
      <c r="F1166" s="116"/>
      <c r="G1166" s="332"/>
      <c r="H1166" s="332"/>
      <c r="I1166" s="332"/>
      <c r="J1166" s="332"/>
      <c r="K1166" s="332"/>
      <c r="L1166" s="332"/>
      <c r="Q1166" s="152"/>
    </row>
    <row r="1167" spans="2:17" ht="13">
      <c r="B1167" s="396"/>
      <c r="C1167" s="116"/>
      <c r="D1167" s="116"/>
      <c r="E1167" s="116"/>
      <c r="F1167" s="116"/>
      <c r="G1167" s="332"/>
      <c r="H1167" s="332"/>
      <c r="I1167" s="332"/>
      <c r="J1167" s="332"/>
      <c r="K1167" s="332"/>
      <c r="L1167" s="332"/>
      <c r="Q1167" s="152"/>
    </row>
    <row r="1168" spans="2:17" ht="13">
      <c r="B1168" s="396"/>
      <c r="C1168" s="116"/>
      <c r="D1168" s="116"/>
      <c r="E1168" s="116"/>
      <c r="F1168" s="116"/>
      <c r="G1168" s="332"/>
      <c r="H1168" s="332"/>
      <c r="I1168" s="332"/>
      <c r="J1168" s="332"/>
      <c r="K1168" s="332"/>
      <c r="L1168" s="332"/>
      <c r="Q1168" s="152"/>
    </row>
    <row r="1169" spans="2:17" ht="13">
      <c r="B1169" s="396"/>
      <c r="C1169" s="116"/>
      <c r="D1169" s="116"/>
      <c r="E1169" s="116"/>
      <c r="F1169" s="116"/>
      <c r="G1169" s="332"/>
      <c r="H1169" s="332"/>
      <c r="I1169" s="332"/>
      <c r="J1169" s="332"/>
      <c r="K1169" s="332"/>
      <c r="L1169" s="332"/>
      <c r="Q1169" s="152"/>
    </row>
    <row r="1170" spans="2:17" ht="13">
      <c r="B1170" s="396"/>
      <c r="C1170" s="116"/>
      <c r="D1170" s="116"/>
      <c r="E1170" s="116"/>
      <c r="F1170" s="116"/>
      <c r="G1170" s="332"/>
      <c r="H1170" s="332"/>
      <c r="I1170" s="332"/>
      <c r="J1170" s="332"/>
      <c r="K1170" s="332"/>
      <c r="L1170" s="332"/>
      <c r="Q1170" s="152"/>
    </row>
    <row r="1171" spans="2:17" ht="13">
      <c r="B1171" s="396"/>
      <c r="C1171" s="116"/>
      <c r="D1171" s="116"/>
      <c r="E1171" s="116"/>
      <c r="F1171" s="116"/>
      <c r="G1171" s="332"/>
      <c r="H1171" s="332"/>
      <c r="I1171" s="332"/>
      <c r="J1171" s="332"/>
      <c r="K1171" s="332"/>
      <c r="L1171" s="332"/>
      <c r="Q1171" s="152"/>
    </row>
    <row r="1172" spans="2:17" ht="13">
      <c r="B1172" s="396"/>
      <c r="C1172" s="116"/>
      <c r="D1172" s="116"/>
      <c r="E1172" s="116"/>
      <c r="F1172" s="116"/>
      <c r="G1172" s="332"/>
      <c r="H1172" s="332"/>
      <c r="I1172" s="332"/>
      <c r="J1172" s="332"/>
      <c r="K1172" s="332"/>
      <c r="L1172" s="332"/>
      <c r="Q1172" s="152"/>
    </row>
    <row r="1173" spans="2:17" ht="13">
      <c r="B1173" s="396"/>
      <c r="C1173" s="116"/>
      <c r="D1173" s="116"/>
      <c r="E1173" s="116"/>
      <c r="F1173" s="116"/>
      <c r="G1173" s="332"/>
      <c r="H1173" s="332"/>
      <c r="I1173" s="332"/>
      <c r="J1173" s="332"/>
      <c r="K1173" s="332"/>
      <c r="L1173" s="332"/>
      <c r="Q1173" s="152"/>
    </row>
    <row r="1174" spans="2:17" ht="13">
      <c r="B1174" s="396"/>
      <c r="C1174" s="116"/>
      <c r="D1174" s="116"/>
      <c r="E1174" s="116"/>
      <c r="F1174" s="116"/>
      <c r="G1174" s="332"/>
      <c r="H1174" s="332"/>
      <c r="I1174" s="332"/>
      <c r="J1174" s="332"/>
      <c r="K1174" s="332"/>
      <c r="L1174" s="332"/>
      <c r="Q1174" s="152"/>
    </row>
    <row r="1175" spans="2:17" ht="13">
      <c r="B1175" s="396"/>
      <c r="C1175" s="116"/>
      <c r="D1175" s="116"/>
      <c r="E1175" s="116"/>
      <c r="F1175" s="116"/>
      <c r="G1175" s="332"/>
      <c r="H1175" s="332"/>
      <c r="I1175" s="332"/>
      <c r="J1175" s="332"/>
      <c r="K1175" s="332"/>
      <c r="L1175" s="332"/>
      <c r="Q1175" s="152"/>
    </row>
    <row r="1176" spans="2:17" ht="13">
      <c r="B1176" s="396"/>
      <c r="C1176" s="116"/>
      <c r="D1176" s="116"/>
      <c r="E1176" s="116"/>
      <c r="F1176" s="116"/>
      <c r="G1176" s="332"/>
      <c r="H1176" s="332"/>
      <c r="I1176" s="332"/>
      <c r="J1176" s="332"/>
      <c r="K1176" s="332"/>
      <c r="L1176" s="332"/>
      <c r="Q1176" s="152"/>
    </row>
    <row r="1177" spans="2:17" ht="13">
      <c r="B1177" s="396"/>
      <c r="C1177" s="116"/>
      <c r="D1177" s="116"/>
      <c r="E1177" s="116"/>
      <c r="F1177" s="116"/>
      <c r="G1177" s="332"/>
      <c r="H1177" s="332"/>
      <c r="I1177" s="332"/>
      <c r="J1177" s="332"/>
      <c r="K1177" s="332"/>
      <c r="L1177" s="332"/>
      <c r="Q1177" s="152"/>
    </row>
    <row r="1178" spans="2:17" ht="13">
      <c r="B1178" s="396"/>
      <c r="C1178" s="116"/>
      <c r="D1178" s="116"/>
      <c r="E1178" s="116"/>
      <c r="F1178" s="116"/>
      <c r="G1178" s="332"/>
      <c r="H1178" s="332"/>
      <c r="I1178" s="332"/>
      <c r="J1178" s="332"/>
      <c r="K1178" s="332"/>
      <c r="L1178" s="332"/>
      <c r="Q1178" s="152"/>
    </row>
    <row r="1179" spans="2:17" ht="13">
      <c r="B1179" s="396"/>
      <c r="C1179" s="116"/>
      <c r="D1179" s="116"/>
      <c r="E1179" s="116"/>
      <c r="F1179" s="116"/>
      <c r="G1179" s="332"/>
      <c r="H1179" s="332"/>
      <c r="I1179" s="332"/>
      <c r="J1179" s="332"/>
      <c r="K1179" s="332"/>
      <c r="L1179" s="332"/>
      <c r="Q1179" s="152"/>
    </row>
    <row r="1180" spans="2:17" ht="13">
      <c r="B1180" s="396"/>
      <c r="C1180" s="116"/>
      <c r="D1180" s="116"/>
      <c r="E1180" s="116"/>
      <c r="F1180" s="116"/>
      <c r="G1180" s="332"/>
      <c r="H1180" s="332"/>
      <c r="I1180" s="332"/>
      <c r="J1180" s="332"/>
      <c r="K1180" s="332"/>
      <c r="L1180" s="332"/>
      <c r="Q1180" s="152"/>
    </row>
    <row r="1181" spans="2:17" ht="13">
      <c r="B1181" s="396"/>
      <c r="C1181" s="116"/>
      <c r="D1181" s="116"/>
      <c r="E1181" s="116"/>
      <c r="F1181" s="116"/>
      <c r="G1181" s="332"/>
      <c r="H1181" s="332"/>
      <c r="I1181" s="332"/>
      <c r="J1181" s="332"/>
      <c r="K1181" s="332"/>
      <c r="L1181" s="332"/>
      <c r="Q1181" s="152"/>
    </row>
    <row r="1182" spans="2:17" ht="13">
      <c r="B1182" s="396"/>
      <c r="C1182" s="116"/>
      <c r="D1182" s="116"/>
      <c r="E1182" s="116"/>
      <c r="F1182" s="116"/>
      <c r="G1182" s="332"/>
      <c r="H1182" s="332"/>
      <c r="I1182" s="332"/>
      <c r="J1182" s="332"/>
      <c r="K1182" s="332"/>
      <c r="L1182" s="332"/>
      <c r="Q1182" s="152"/>
    </row>
    <row r="1183" spans="2:17" ht="13">
      <c r="B1183" s="396"/>
      <c r="C1183" s="116"/>
      <c r="D1183" s="116"/>
      <c r="E1183" s="116"/>
      <c r="F1183" s="116"/>
      <c r="G1183" s="332"/>
      <c r="H1183" s="332"/>
      <c r="I1183" s="332"/>
      <c r="J1183" s="332"/>
      <c r="K1183" s="332"/>
      <c r="L1183" s="332"/>
      <c r="Q1183" s="152"/>
    </row>
    <row r="1184" spans="2:17" ht="13">
      <c r="B1184" s="396"/>
      <c r="C1184" s="116"/>
      <c r="D1184" s="116"/>
      <c r="E1184" s="116"/>
      <c r="F1184" s="116"/>
      <c r="G1184" s="332"/>
      <c r="H1184" s="332"/>
      <c r="I1184" s="332"/>
      <c r="J1184" s="332"/>
      <c r="K1184" s="332"/>
      <c r="L1184" s="332"/>
      <c r="Q1184" s="152"/>
    </row>
    <row r="1185" spans="2:17" ht="13">
      <c r="B1185" s="396"/>
      <c r="C1185" s="116"/>
      <c r="D1185" s="116"/>
      <c r="E1185" s="116"/>
      <c r="F1185" s="116"/>
      <c r="G1185" s="332"/>
      <c r="H1185" s="332"/>
      <c r="I1185" s="332"/>
      <c r="J1185" s="332"/>
      <c r="K1185" s="332"/>
      <c r="L1185" s="332"/>
      <c r="Q1185" s="152"/>
    </row>
    <row r="1186" spans="2:17" ht="13">
      <c r="B1186" s="396"/>
      <c r="C1186" s="116"/>
      <c r="D1186" s="116"/>
      <c r="E1186" s="116"/>
      <c r="F1186" s="116"/>
      <c r="G1186" s="332"/>
      <c r="H1186" s="332"/>
      <c r="I1186" s="332"/>
      <c r="J1186" s="332"/>
      <c r="K1186" s="332"/>
      <c r="L1186" s="332"/>
      <c r="Q1186" s="152"/>
    </row>
    <row r="1187" spans="2:17" ht="13">
      <c r="B1187" s="396"/>
      <c r="C1187" s="116"/>
      <c r="D1187" s="116"/>
      <c r="E1187" s="116"/>
      <c r="F1187" s="116"/>
      <c r="G1187" s="332"/>
      <c r="H1187" s="332"/>
      <c r="I1187" s="332"/>
      <c r="J1187" s="332"/>
      <c r="K1187" s="332"/>
      <c r="L1187" s="332"/>
      <c r="Q1187" s="152"/>
    </row>
    <row r="1188" spans="2:17" ht="13">
      <c r="B1188" s="396"/>
      <c r="C1188" s="116"/>
      <c r="D1188" s="116"/>
      <c r="E1188" s="116"/>
      <c r="F1188" s="116"/>
      <c r="G1188" s="332"/>
      <c r="H1188" s="332"/>
      <c r="I1188" s="332"/>
      <c r="J1188" s="332"/>
      <c r="K1188" s="332"/>
      <c r="L1188" s="332"/>
      <c r="Q1188" s="152"/>
    </row>
    <row r="1189" spans="2:17" ht="13">
      <c r="B1189" s="396"/>
      <c r="C1189" s="116"/>
      <c r="D1189" s="116"/>
      <c r="E1189" s="116"/>
      <c r="F1189" s="116"/>
      <c r="G1189" s="332"/>
      <c r="H1189" s="332"/>
      <c r="I1189" s="332"/>
      <c r="J1189" s="332"/>
      <c r="K1189" s="332"/>
      <c r="L1189" s="332"/>
      <c r="Q1189" s="152"/>
    </row>
    <row r="1190" spans="2:17" ht="13">
      <c r="B1190" s="396"/>
      <c r="C1190" s="116"/>
      <c r="D1190" s="116"/>
      <c r="E1190" s="116"/>
      <c r="F1190" s="116"/>
      <c r="G1190" s="332"/>
      <c r="H1190" s="332"/>
      <c r="I1190" s="332"/>
      <c r="J1190" s="332"/>
      <c r="K1190" s="332"/>
      <c r="L1190" s="332"/>
      <c r="Q1190" s="152"/>
    </row>
    <row r="1191" spans="2:17" ht="13">
      <c r="B1191" s="396"/>
      <c r="C1191" s="116"/>
      <c r="D1191" s="116"/>
      <c r="E1191" s="116"/>
      <c r="F1191" s="116"/>
      <c r="G1191" s="332"/>
      <c r="H1191" s="332"/>
      <c r="I1191" s="332"/>
      <c r="J1191" s="332"/>
      <c r="K1191" s="332"/>
      <c r="L1191" s="332"/>
      <c r="Q1191" s="152"/>
    </row>
    <row r="1192" spans="2:17" ht="13">
      <c r="B1192" s="396"/>
      <c r="C1192" s="116"/>
      <c r="D1192" s="116"/>
      <c r="E1192" s="116"/>
      <c r="F1192" s="116"/>
      <c r="G1192" s="332"/>
      <c r="H1192" s="332"/>
      <c r="I1192" s="332"/>
      <c r="J1192" s="332"/>
      <c r="K1192" s="332"/>
      <c r="L1192" s="332"/>
      <c r="Q1192" s="152"/>
    </row>
    <row r="1193" spans="2:17" ht="13">
      <c r="B1193" s="396"/>
      <c r="C1193" s="116"/>
      <c r="D1193" s="116"/>
      <c r="E1193" s="116"/>
      <c r="F1193" s="116"/>
      <c r="G1193" s="332"/>
      <c r="H1193" s="332"/>
      <c r="I1193" s="332"/>
      <c r="J1193" s="332"/>
      <c r="K1193" s="332"/>
      <c r="L1193" s="332"/>
      <c r="Q1193" s="152"/>
    </row>
    <row r="1194" spans="2:17" ht="13">
      <c r="B1194" s="396"/>
      <c r="C1194" s="116"/>
      <c r="D1194" s="116"/>
      <c r="E1194" s="116"/>
      <c r="F1194" s="116"/>
      <c r="G1194" s="332"/>
      <c r="H1194" s="332"/>
      <c r="I1194" s="332"/>
      <c r="J1194" s="332"/>
      <c r="K1194" s="332"/>
      <c r="L1194" s="332"/>
      <c r="Q1194" s="152"/>
    </row>
    <row r="1195" spans="2:17" ht="13">
      <c r="B1195" s="396"/>
      <c r="C1195" s="116"/>
      <c r="D1195" s="116"/>
      <c r="E1195" s="116"/>
      <c r="F1195" s="116"/>
      <c r="G1195" s="332"/>
      <c r="H1195" s="332"/>
      <c r="I1195" s="332"/>
      <c r="J1195" s="332"/>
      <c r="K1195" s="332"/>
      <c r="L1195" s="332"/>
      <c r="Q1195" s="152"/>
    </row>
    <row r="1196" spans="2:17" ht="13">
      <c r="B1196" s="396"/>
      <c r="C1196" s="116"/>
      <c r="D1196" s="116"/>
      <c r="E1196" s="116"/>
      <c r="F1196" s="116"/>
      <c r="G1196" s="332"/>
      <c r="H1196" s="332"/>
      <c r="I1196" s="332"/>
      <c r="J1196" s="332"/>
      <c r="K1196" s="332"/>
      <c r="L1196" s="332"/>
      <c r="Q1196" s="152"/>
    </row>
    <row r="1197" spans="2:17" ht="13">
      <c r="B1197" s="396"/>
      <c r="C1197" s="116"/>
      <c r="D1197" s="116"/>
      <c r="E1197" s="116"/>
      <c r="F1197" s="116"/>
      <c r="G1197" s="332"/>
      <c r="H1197" s="332"/>
      <c r="I1197" s="332"/>
      <c r="J1197" s="332"/>
      <c r="K1197" s="332"/>
      <c r="L1197" s="332"/>
      <c r="Q1197" s="152"/>
    </row>
    <row r="1198" spans="2:17" ht="13">
      <c r="B1198" s="396"/>
      <c r="C1198" s="116"/>
      <c r="D1198" s="116"/>
      <c r="E1198" s="116"/>
      <c r="F1198" s="116"/>
      <c r="G1198" s="332"/>
      <c r="H1198" s="332"/>
      <c r="I1198" s="332"/>
      <c r="J1198" s="332"/>
      <c r="K1198" s="332"/>
      <c r="L1198" s="332"/>
      <c r="Q1198" s="152"/>
    </row>
    <row r="1199" spans="2:17" ht="13">
      <c r="B1199" s="396"/>
      <c r="C1199" s="116"/>
      <c r="D1199" s="116"/>
      <c r="E1199" s="116"/>
      <c r="F1199" s="116"/>
      <c r="G1199" s="332"/>
      <c r="H1199" s="332"/>
      <c r="I1199" s="332"/>
      <c r="J1199" s="332"/>
      <c r="K1199" s="332"/>
      <c r="L1199" s="332"/>
      <c r="Q1199" s="152"/>
    </row>
    <row r="1200" spans="2:17" ht="13">
      <c r="B1200" s="396"/>
      <c r="C1200" s="116"/>
      <c r="D1200" s="116"/>
      <c r="E1200" s="116"/>
      <c r="F1200" s="116"/>
      <c r="G1200" s="332"/>
      <c r="H1200" s="332"/>
      <c r="I1200" s="332"/>
      <c r="J1200" s="332"/>
      <c r="K1200" s="332"/>
      <c r="L1200" s="332"/>
      <c r="Q1200" s="152"/>
    </row>
    <row r="1201" spans="2:17" ht="13">
      <c r="B1201" s="396"/>
      <c r="C1201" s="116"/>
      <c r="D1201" s="116"/>
      <c r="E1201" s="116"/>
      <c r="F1201" s="116"/>
      <c r="G1201" s="332"/>
      <c r="H1201" s="332"/>
      <c r="I1201" s="332"/>
      <c r="J1201" s="332"/>
      <c r="K1201" s="332"/>
      <c r="L1201" s="332"/>
      <c r="Q1201" s="152"/>
    </row>
    <row r="1202" spans="2:17" ht="13">
      <c r="B1202" s="396"/>
      <c r="C1202" s="116"/>
      <c r="D1202" s="116"/>
      <c r="E1202" s="116"/>
      <c r="F1202" s="116"/>
      <c r="G1202" s="332"/>
      <c r="H1202" s="332"/>
      <c r="I1202" s="332"/>
      <c r="J1202" s="332"/>
      <c r="K1202" s="332"/>
      <c r="L1202" s="332"/>
      <c r="Q1202" s="152"/>
    </row>
    <row r="1203" spans="2:17" ht="13">
      <c r="B1203" s="396"/>
      <c r="C1203" s="116"/>
      <c r="D1203" s="116"/>
      <c r="E1203" s="116"/>
      <c r="F1203" s="116"/>
      <c r="G1203" s="332"/>
      <c r="H1203" s="332"/>
      <c r="I1203" s="332"/>
      <c r="J1203" s="332"/>
      <c r="K1203" s="332"/>
      <c r="L1203" s="332"/>
      <c r="Q1203" s="152"/>
    </row>
    <row r="1204" spans="2:17" ht="13">
      <c r="B1204" s="396"/>
      <c r="C1204" s="116"/>
      <c r="D1204" s="116"/>
      <c r="E1204" s="116"/>
      <c r="F1204" s="116"/>
      <c r="G1204" s="332"/>
      <c r="H1204" s="332"/>
      <c r="I1204" s="332"/>
      <c r="J1204" s="332"/>
      <c r="K1204" s="332"/>
      <c r="L1204" s="332"/>
      <c r="Q1204" s="152"/>
    </row>
    <row r="1205" spans="2:17" ht="13">
      <c r="B1205" s="396"/>
      <c r="C1205" s="116"/>
      <c r="D1205" s="116"/>
      <c r="E1205" s="116"/>
      <c r="F1205" s="116"/>
      <c r="G1205" s="332"/>
      <c r="H1205" s="332"/>
      <c r="I1205" s="332"/>
      <c r="J1205" s="332"/>
      <c r="K1205" s="332"/>
      <c r="L1205" s="332"/>
      <c r="Q1205" s="152"/>
    </row>
    <row r="1206" spans="2:17" ht="13">
      <c r="B1206" s="396"/>
      <c r="C1206" s="116"/>
      <c r="D1206" s="116"/>
      <c r="E1206" s="116"/>
      <c r="F1206" s="116"/>
      <c r="G1206" s="332"/>
      <c r="H1206" s="332"/>
      <c r="I1206" s="332"/>
      <c r="J1206" s="332"/>
      <c r="K1206" s="332"/>
      <c r="L1206" s="332"/>
      <c r="Q1206" s="152"/>
    </row>
    <row r="1207" spans="2:17" ht="13">
      <c r="B1207" s="396"/>
      <c r="C1207" s="116"/>
      <c r="D1207" s="116"/>
      <c r="E1207" s="116"/>
      <c r="F1207" s="116"/>
      <c r="G1207" s="332"/>
      <c r="H1207" s="332"/>
      <c r="I1207" s="332"/>
      <c r="J1207" s="332"/>
      <c r="K1207" s="332"/>
      <c r="L1207" s="332"/>
      <c r="Q1207" s="152"/>
    </row>
    <row r="1208" spans="2:17" ht="13">
      <c r="B1208" s="396"/>
      <c r="C1208" s="116"/>
      <c r="D1208" s="116"/>
      <c r="E1208" s="116"/>
      <c r="F1208" s="116"/>
      <c r="G1208" s="332"/>
      <c r="H1208" s="332"/>
      <c r="I1208" s="332"/>
      <c r="J1208" s="332"/>
      <c r="K1208" s="332"/>
      <c r="L1208" s="332"/>
      <c r="Q1208" s="152"/>
    </row>
    <row r="1209" spans="2:17" ht="13">
      <c r="B1209" s="396"/>
      <c r="C1209" s="116"/>
      <c r="D1209" s="116"/>
      <c r="E1209" s="116"/>
      <c r="F1209" s="116"/>
      <c r="G1209" s="332"/>
      <c r="H1209" s="332"/>
      <c r="I1209" s="332"/>
      <c r="J1209" s="332"/>
      <c r="K1209" s="332"/>
      <c r="L1209" s="332"/>
      <c r="Q1209" s="152"/>
    </row>
    <row r="1210" spans="2:17" ht="13">
      <c r="B1210" s="396"/>
      <c r="C1210" s="116"/>
      <c r="D1210" s="116"/>
      <c r="E1210" s="116"/>
      <c r="F1210" s="116"/>
      <c r="G1210" s="332"/>
      <c r="H1210" s="332"/>
      <c r="I1210" s="332"/>
      <c r="J1210" s="332"/>
      <c r="K1210" s="332"/>
      <c r="L1210" s="332"/>
      <c r="Q1210" s="152"/>
    </row>
    <row r="1211" spans="2:17" ht="13">
      <c r="B1211" s="396"/>
      <c r="C1211" s="116"/>
      <c r="D1211" s="116"/>
      <c r="E1211" s="116"/>
      <c r="F1211" s="116"/>
      <c r="G1211" s="332"/>
      <c r="H1211" s="332"/>
      <c r="I1211" s="332"/>
      <c r="J1211" s="332"/>
      <c r="K1211" s="332"/>
      <c r="L1211" s="332"/>
      <c r="Q1211" s="152"/>
    </row>
    <row r="1212" spans="2:17" ht="13">
      <c r="B1212" s="396"/>
      <c r="C1212" s="116"/>
      <c r="D1212" s="116"/>
      <c r="E1212" s="116"/>
      <c r="F1212" s="116"/>
      <c r="G1212" s="332"/>
      <c r="H1212" s="332"/>
      <c r="I1212" s="332"/>
      <c r="J1212" s="332"/>
      <c r="K1212" s="332"/>
      <c r="L1212" s="332"/>
      <c r="Q1212" s="152"/>
    </row>
    <row r="1213" spans="2:17" ht="13">
      <c r="B1213" s="396"/>
      <c r="C1213" s="116"/>
      <c r="D1213" s="116"/>
      <c r="E1213" s="116"/>
      <c r="F1213" s="116"/>
      <c r="G1213" s="332"/>
      <c r="H1213" s="332"/>
      <c r="I1213" s="332"/>
      <c r="J1213" s="332"/>
      <c r="K1213" s="332"/>
      <c r="L1213" s="332"/>
      <c r="Q1213" s="152"/>
    </row>
    <row r="1214" spans="2:17" ht="13">
      <c r="B1214" s="396"/>
      <c r="C1214" s="116"/>
      <c r="D1214" s="116"/>
      <c r="E1214" s="116"/>
      <c r="F1214" s="116"/>
      <c r="G1214" s="332"/>
      <c r="H1214" s="332"/>
      <c r="I1214" s="332"/>
      <c r="J1214" s="332"/>
      <c r="K1214" s="332"/>
      <c r="L1214" s="332"/>
      <c r="Q1214" s="152"/>
    </row>
    <row r="1215" spans="2:17" ht="13">
      <c r="B1215" s="396"/>
      <c r="C1215" s="116"/>
      <c r="D1215" s="116"/>
      <c r="E1215" s="116"/>
      <c r="F1215" s="116"/>
      <c r="G1215" s="332"/>
      <c r="H1215" s="332"/>
      <c r="I1215" s="332"/>
      <c r="J1215" s="332"/>
      <c r="K1215" s="332"/>
      <c r="L1215" s="332"/>
      <c r="Q1215" s="152"/>
    </row>
    <row r="1216" spans="2:17" ht="13">
      <c r="B1216" s="396"/>
      <c r="C1216" s="116"/>
      <c r="D1216" s="116"/>
      <c r="E1216" s="116"/>
      <c r="F1216" s="116"/>
      <c r="G1216" s="332"/>
      <c r="H1216" s="332"/>
      <c r="I1216" s="332"/>
      <c r="J1216" s="332"/>
      <c r="K1216" s="332"/>
      <c r="L1216" s="332"/>
      <c r="Q1216" s="152"/>
    </row>
    <row r="1217" spans="2:17" ht="13">
      <c r="B1217" s="396"/>
      <c r="C1217" s="116"/>
      <c r="D1217" s="116"/>
      <c r="E1217" s="116"/>
      <c r="F1217" s="116"/>
      <c r="G1217" s="332"/>
      <c r="H1217" s="332"/>
      <c r="I1217" s="332"/>
      <c r="J1217" s="332"/>
      <c r="K1217" s="332"/>
      <c r="L1217" s="332"/>
      <c r="Q1217" s="152"/>
    </row>
    <row r="1218" spans="2:17" ht="13">
      <c r="B1218" s="396"/>
      <c r="C1218" s="116"/>
      <c r="D1218" s="116"/>
      <c r="E1218" s="116"/>
      <c r="F1218" s="116"/>
      <c r="G1218" s="332"/>
      <c r="H1218" s="332"/>
      <c r="I1218" s="332"/>
      <c r="J1218" s="332"/>
      <c r="K1218" s="332"/>
      <c r="L1218" s="332"/>
      <c r="Q1218" s="152"/>
    </row>
    <row r="1219" spans="2:17" ht="13">
      <c r="B1219" s="396"/>
      <c r="C1219" s="116"/>
      <c r="D1219" s="116"/>
      <c r="E1219" s="116"/>
      <c r="F1219" s="116"/>
      <c r="G1219" s="332"/>
      <c r="H1219" s="332"/>
      <c r="I1219" s="332"/>
      <c r="J1219" s="332"/>
      <c r="K1219" s="332"/>
      <c r="L1219" s="332"/>
      <c r="Q1219" s="152"/>
    </row>
    <row r="1220" spans="2:17" ht="13">
      <c r="B1220" s="396"/>
      <c r="C1220" s="116"/>
      <c r="D1220" s="116"/>
      <c r="E1220" s="116"/>
      <c r="F1220" s="116"/>
      <c r="G1220" s="332"/>
      <c r="H1220" s="332"/>
      <c r="I1220" s="332"/>
      <c r="J1220" s="332"/>
      <c r="K1220" s="332"/>
      <c r="L1220" s="332"/>
      <c r="Q1220" s="152"/>
    </row>
    <row r="1221" spans="2:17" ht="13">
      <c r="B1221" s="396"/>
      <c r="C1221" s="116"/>
      <c r="D1221" s="116"/>
      <c r="E1221" s="116"/>
      <c r="F1221" s="116"/>
      <c r="G1221" s="332"/>
      <c r="H1221" s="332"/>
      <c r="I1221" s="332"/>
      <c r="J1221" s="332"/>
      <c r="K1221" s="332"/>
      <c r="L1221" s="332"/>
      <c r="Q1221" s="152"/>
    </row>
    <row r="1222" spans="2:17" ht="13">
      <c r="B1222" s="396"/>
      <c r="C1222" s="116"/>
      <c r="D1222" s="116"/>
      <c r="E1222" s="116"/>
      <c r="F1222" s="116"/>
      <c r="G1222" s="332"/>
      <c r="H1222" s="332"/>
      <c r="I1222" s="332"/>
      <c r="J1222" s="332"/>
      <c r="K1222" s="332"/>
      <c r="L1222" s="332"/>
      <c r="Q1222" s="152"/>
    </row>
    <row r="1223" spans="2:17" ht="13">
      <c r="B1223" s="396"/>
      <c r="C1223" s="116"/>
      <c r="D1223" s="116"/>
      <c r="E1223" s="116"/>
      <c r="F1223" s="116"/>
      <c r="G1223" s="332"/>
      <c r="H1223" s="332"/>
      <c r="I1223" s="332"/>
      <c r="J1223" s="332"/>
      <c r="K1223" s="332"/>
      <c r="L1223" s="332"/>
      <c r="Q1223" s="152"/>
    </row>
    <row r="1224" spans="2:17" ht="13">
      <c r="B1224" s="396"/>
      <c r="C1224" s="116"/>
      <c r="D1224" s="116"/>
      <c r="E1224" s="116"/>
      <c r="F1224" s="116"/>
      <c r="G1224" s="332"/>
      <c r="H1224" s="332"/>
      <c r="I1224" s="332"/>
      <c r="J1224" s="332"/>
      <c r="K1224" s="332"/>
      <c r="L1224" s="332"/>
      <c r="Q1224" s="152"/>
    </row>
    <row r="1225" spans="2:17" ht="13">
      <c r="B1225" s="396"/>
      <c r="C1225" s="116"/>
      <c r="D1225" s="116"/>
      <c r="E1225" s="116"/>
      <c r="F1225" s="116"/>
      <c r="G1225" s="332"/>
      <c r="H1225" s="332"/>
      <c r="I1225" s="332"/>
      <c r="J1225" s="332"/>
      <c r="K1225" s="332"/>
      <c r="L1225" s="332"/>
      <c r="Q1225" s="152"/>
    </row>
    <row r="1226" spans="2:17" ht="13">
      <c r="B1226" s="396"/>
      <c r="C1226" s="116"/>
      <c r="D1226" s="116"/>
      <c r="E1226" s="116"/>
      <c r="F1226" s="116"/>
      <c r="G1226" s="332"/>
      <c r="H1226" s="332"/>
      <c r="I1226" s="332"/>
      <c r="J1226" s="332"/>
      <c r="K1226" s="332"/>
      <c r="L1226" s="332"/>
      <c r="Q1226" s="152"/>
    </row>
    <row r="1227" spans="2:17" ht="13">
      <c r="B1227" s="396"/>
      <c r="C1227" s="116"/>
      <c r="D1227" s="116"/>
      <c r="E1227" s="116"/>
      <c r="F1227" s="116"/>
      <c r="G1227" s="332"/>
      <c r="H1227" s="332"/>
      <c r="I1227" s="332"/>
      <c r="J1227" s="332"/>
      <c r="K1227" s="332"/>
      <c r="L1227" s="332"/>
      <c r="Q1227" s="152"/>
    </row>
    <row r="1228" spans="2:17" ht="13">
      <c r="B1228" s="396"/>
      <c r="C1228" s="116"/>
      <c r="D1228" s="116"/>
      <c r="E1228" s="116"/>
      <c r="F1228" s="116"/>
      <c r="G1228" s="332"/>
      <c r="H1228" s="332"/>
      <c r="I1228" s="332"/>
      <c r="J1228" s="332"/>
      <c r="K1228" s="332"/>
      <c r="L1228" s="332"/>
      <c r="Q1228" s="152"/>
    </row>
    <row r="1229" spans="2:17" ht="13">
      <c r="B1229" s="396"/>
      <c r="C1229" s="116"/>
      <c r="D1229" s="116"/>
      <c r="E1229" s="116"/>
      <c r="F1229" s="116"/>
      <c r="G1229" s="332"/>
      <c r="H1229" s="332"/>
      <c r="I1229" s="332"/>
      <c r="J1229" s="332"/>
      <c r="K1229" s="332"/>
      <c r="L1229" s="332"/>
      <c r="Q1229" s="152"/>
    </row>
    <row r="1230" spans="2:17" ht="13">
      <c r="B1230" s="396"/>
      <c r="C1230" s="116"/>
      <c r="D1230" s="116"/>
      <c r="E1230" s="116"/>
      <c r="F1230" s="116"/>
      <c r="G1230" s="332"/>
      <c r="H1230" s="332"/>
      <c r="I1230" s="332"/>
      <c r="J1230" s="332"/>
      <c r="K1230" s="332"/>
      <c r="L1230" s="332"/>
      <c r="Q1230" s="152"/>
    </row>
    <row r="1231" spans="2:17" ht="13">
      <c r="B1231" s="396"/>
      <c r="C1231" s="116"/>
      <c r="D1231" s="116"/>
      <c r="E1231" s="116"/>
      <c r="F1231" s="116"/>
      <c r="G1231" s="332"/>
      <c r="H1231" s="332"/>
      <c r="I1231" s="332"/>
      <c r="J1231" s="332"/>
      <c r="K1231" s="332"/>
      <c r="L1231" s="332"/>
      <c r="Q1231" s="152"/>
    </row>
    <row r="1232" spans="2:17" ht="13">
      <c r="B1232" s="396"/>
      <c r="C1232" s="116"/>
      <c r="D1232" s="116"/>
      <c r="E1232" s="116"/>
      <c r="F1232" s="116"/>
      <c r="G1232" s="332"/>
      <c r="H1232" s="332"/>
      <c r="I1232" s="332"/>
      <c r="J1232" s="332"/>
      <c r="K1232" s="332"/>
      <c r="L1232" s="332"/>
      <c r="Q1232" s="152"/>
    </row>
    <row r="1233" spans="2:17" ht="13">
      <c r="B1233" s="396"/>
      <c r="C1233" s="116"/>
      <c r="D1233" s="116"/>
      <c r="E1233" s="116"/>
      <c r="F1233" s="116"/>
      <c r="G1233" s="332"/>
      <c r="H1233" s="332"/>
      <c r="I1233" s="332"/>
      <c r="J1233" s="332"/>
      <c r="K1233" s="332"/>
      <c r="L1233" s="332"/>
      <c r="Q1233" s="152"/>
    </row>
    <row r="1234" spans="2:17" ht="13">
      <c r="B1234" s="396"/>
      <c r="C1234" s="116"/>
      <c r="D1234" s="116"/>
      <c r="E1234" s="116"/>
      <c r="F1234" s="116"/>
      <c r="G1234" s="332"/>
      <c r="H1234" s="332"/>
      <c r="I1234" s="332"/>
      <c r="J1234" s="332"/>
      <c r="K1234" s="332"/>
      <c r="L1234" s="332"/>
      <c r="Q1234" s="152"/>
    </row>
    <row r="1235" spans="2:17" ht="13">
      <c r="B1235" s="396"/>
      <c r="C1235" s="116"/>
      <c r="D1235" s="116"/>
      <c r="E1235" s="116"/>
      <c r="F1235" s="116"/>
      <c r="G1235" s="332"/>
      <c r="H1235" s="332"/>
      <c r="I1235" s="332"/>
      <c r="J1235" s="332"/>
      <c r="K1235" s="332"/>
      <c r="L1235" s="332"/>
      <c r="Q1235" s="152"/>
    </row>
    <row r="1236" spans="2:17" ht="13">
      <c r="B1236" s="396"/>
      <c r="C1236" s="116"/>
      <c r="D1236" s="116"/>
      <c r="E1236" s="116"/>
      <c r="F1236" s="116"/>
      <c r="G1236" s="332"/>
      <c r="H1236" s="332"/>
      <c r="I1236" s="332"/>
      <c r="J1236" s="332"/>
      <c r="K1236" s="332"/>
      <c r="L1236" s="332"/>
      <c r="Q1236" s="152"/>
    </row>
    <row r="1237" spans="2:17" ht="13">
      <c r="B1237" s="396"/>
      <c r="C1237" s="116"/>
      <c r="D1237" s="116"/>
      <c r="E1237" s="116"/>
      <c r="F1237" s="116"/>
      <c r="G1237" s="332"/>
      <c r="H1237" s="332"/>
      <c r="I1237" s="332"/>
      <c r="J1237" s="332"/>
      <c r="K1237" s="332"/>
      <c r="L1237" s="332"/>
      <c r="Q1237" s="152"/>
    </row>
    <row r="1238" spans="2:17" ht="13">
      <c r="B1238" s="396"/>
      <c r="C1238" s="116"/>
      <c r="D1238" s="116"/>
      <c r="E1238" s="116"/>
      <c r="F1238" s="116"/>
      <c r="G1238" s="332"/>
      <c r="H1238" s="332"/>
      <c r="I1238" s="332"/>
      <c r="J1238" s="332"/>
      <c r="K1238" s="332"/>
      <c r="L1238" s="332"/>
      <c r="Q1238" s="152"/>
    </row>
    <row r="1239" spans="2:17" ht="13">
      <c r="B1239" s="396"/>
      <c r="C1239" s="116"/>
      <c r="D1239" s="116"/>
      <c r="E1239" s="116"/>
      <c r="F1239" s="116"/>
      <c r="G1239" s="332"/>
      <c r="H1239" s="332"/>
      <c r="I1239" s="332"/>
      <c r="J1239" s="332"/>
      <c r="K1239" s="332"/>
      <c r="L1239" s="332"/>
      <c r="Q1239" s="152"/>
    </row>
    <row r="1240" spans="2:17" ht="13">
      <c r="B1240" s="396"/>
      <c r="C1240" s="116"/>
      <c r="D1240" s="116"/>
      <c r="E1240" s="116"/>
      <c r="F1240" s="116"/>
      <c r="G1240" s="332"/>
      <c r="H1240" s="332"/>
      <c r="I1240" s="332"/>
      <c r="J1240" s="332"/>
      <c r="K1240" s="332"/>
      <c r="L1240" s="332"/>
      <c r="Q1240" s="152"/>
    </row>
    <row r="1241" spans="2:17" ht="13">
      <c r="B1241" s="396"/>
      <c r="C1241" s="116"/>
      <c r="D1241" s="116"/>
      <c r="E1241" s="116"/>
      <c r="F1241" s="116"/>
      <c r="G1241" s="332"/>
      <c r="H1241" s="332"/>
      <c r="I1241" s="332"/>
      <c r="J1241" s="332"/>
      <c r="K1241" s="332"/>
      <c r="L1241" s="332"/>
      <c r="Q1241" s="152"/>
    </row>
    <row r="1242" spans="2:17" ht="13">
      <c r="B1242" s="396"/>
      <c r="C1242" s="116"/>
      <c r="D1242" s="116"/>
      <c r="E1242" s="116"/>
      <c r="F1242" s="116"/>
      <c r="G1242" s="332"/>
      <c r="H1242" s="332"/>
      <c r="I1242" s="332"/>
      <c r="J1242" s="332"/>
      <c r="K1242" s="332"/>
      <c r="L1242" s="332"/>
      <c r="Q1242" s="152"/>
    </row>
    <row r="1243" spans="2:17" ht="13">
      <c r="B1243" s="396"/>
      <c r="C1243" s="116"/>
      <c r="D1243" s="116"/>
      <c r="E1243" s="116"/>
      <c r="F1243" s="116"/>
      <c r="G1243" s="332"/>
      <c r="H1243" s="332"/>
      <c r="I1243" s="332"/>
      <c r="J1243" s="332"/>
      <c r="K1243" s="332"/>
      <c r="L1243" s="332"/>
      <c r="Q1243" s="152"/>
    </row>
    <row r="1244" spans="2:17" ht="13">
      <c r="B1244" s="396"/>
      <c r="C1244" s="116"/>
      <c r="D1244" s="116"/>
      <c r="E1244" s="116"/>
      <c r="F1244" s="116"/>
      <c r="G1244" s="332"/>
      <c r="H1244" s="332"/>
      <c r="I1244" s="332"/>
      <c r="J1244" s="332"/>
      <c r="K1244" s="332"/>
      <c r="L1244" s="332"/>
      <c r="Q1244" s="152"/>
    </row>
    <row r="1245" spans="2:17" ht="13">
      <c r="B1245" s="396"/>
      <c r="C1245" s="116"/>
      <c r="D1245" s="116"/>
      <c r="E1245" s="116"/>
      <c r="F1245" s="116"/>
      <c r="G1245" s="332"/>
      <c r="H1245" s="332"/>
      <c r="I1245" s="332"/>
      <c r="J1245" s="332"/>
      <c r="K1245" s="332"/>
      <c r="L1245" s="332"/>
      <c r="Q1245" s="152"/>
    </row>
    <row r="1246" spans="2:17" ht="13">
      <c r="B1246" s="396"/>
      <c r="C1246" s="116"/>
      <c r="D1246" s="116"/>
      <c r="E1246" s="116"/>
      <c r="F1246" s="116"/>
      <c r="G1246" s="332"/>
      <c r="H1246" s="332"/>
      <c r="I1246" s="332"/>
      <c r="J1246" s="332"/>
      <c r="K1246" s="332"/>
      <c r="L1246" s="332"/>
      <c r="Q1246" s="152"/>
    </row>
    <row r="1247" spans="2:17" ht="13">
      <c r="B1247" s="396"/>
      <c r="C1247" s="116"/>
      <c r="D1247" s="116"/>
      <c r="E1247" s="116"/>
      <c r="F1247" s="116"/>
      <c r="G1247" s="332"/>
      <c r="H1247" s="332"/>
      <c r="I1247" s="332"/>
      <c r="J1247" s="332"/>
      <c r="K1247" s="332"/>
      <c r="L1247" s="332"/>
      <c r="Q1247" s="152"/>
    </row>
    <row r="1248" spans="2:17" ht="13">
      <c r="B1248" s="396"/>
      <c r="C1248" s="116"/>
      <c r="D1248" s="116"/>
      <c r="E1248" s="116"/>
      <c r="F1248" s="116"/>
      <c r="G1248" s="332"/>
      <c r="H1248" s="332"/>
      <c r="I1248" s="332"/>
      <c r="J1248" s="332"/>
      <c r="K1248" s="332"/>
      <c r="L1248" s="332"/>
      <c r="Q1248" s="152"/>
    </row>
    <row r="1249" spans="2:17" ht="13">
      <c r="B1249" s="396"/>
      <c r="C1249" s="116"/>
      <c r="D1249" s="116"/>
      <c r="E1249" s="116"/>
      <c r="F1249" s="116"/>
      <c r="G1249" s="332"/>
      <c r="H1249" s="332"/>
      <c r="I1249" s="332"/>
      <c r="J1249" s="332"/>
      <c r="K1249" s="332"/>
      <c r="L1249" s="332"/>
      <c r="Q1249" s="152"/>
    </row>
    <row r="1250" spans="2:17" ht="13">
      <c r="B1250" s="396"/>
      <c r="C1250" s="116"/>
      <c r="D1250" s="116"/>
      <c r="E1250" s="116"/>
      <c r="F1250" s="116"/>
      <c r="G1250" s="332"/>
      <c r="H1250" s="332"/>
      <c r="I1250" s="332"/>
      <c r="J1250" s="332"/>
      <c r="K1250" s="332"/>
      <c r="L1250" s="332"/>
      <c r="Q1250" s="152"/>
    </row>
    <row r="1251" spans="2:17" ht="13">
      <c r="B1251" s="396"/>
      <c r="C1251" s="116"/>
      <c r="D1251" s="116"/>
      <c r="E1251" s="116"/>
      <c r="F1251" s="116"/>
      <c r="G1251" s="332"/>
      <c r="H1251" s="332"/>
      <c r="I1251" s="332"/>
      <c r="J1251" s="332"/>
      <c r="K1251" s="332"/>
      <c r="L1251" s="332"/>
      <c r="Q1251" s="152"/>
    </row>
    <row r="1252" spans="2:17" ht="13">
      <c r="B1252" s="396"/>
      <c r="C1252" s="116"/>
      <c r="D1252" s="116"/>
      <c r="E1252" s="116"/>
      <c r="F1252" s="116"/>
      <c r="G1252" s="332"/>
      <c r="H1252" s="332"/>
      <c r="I1252" s="332"/>
      <c r="J1252" s="332"/>
      <c r="K1252" s="332"/>
      <c r="L1252" s="332"/>
      <c r="Q1252" s="152"/>
    </row>
    <row r="1253" spans="2:17" ht="13">
      <c r="B1253" s="396"/>
      <c r="C1253" s="116"/>
      <c r="D1253" s="116"/>
      <c r="E1253" s="116"/>
      <c r="F1253" s="116"/>
      <c r="G1253" s="332"/>
      <c r="H1253" s="332"/>
      <c r="I1253" s="332"/>
      <c r="J1253" s="332"/>
      <c r="K1253" s="332"/>
      <c r="L1253" s="332"/>
      <c r="Q1253" s="152"/>
    </row>
    <row r="1254" spans="2:17" ht="13">
      <c r="B1254" s="396"/>
      <c r="C1254" s="116"/>
      <c r="D1254" s="116"/>
      <c r="E1254" s="116"/>
      <c r="F1254" s="116"/>
      <c r="G1254" s="332"/>
      <c r="H1254" s="332"/>
      <c r="I1254" s="332"/>
      <c r="J1254" s="332"/>
      <c r="K1254" s="332"/>
      <c r="L1254" s="332"/>
      <c r="Q1254" s="152"/>
    </row>
    <row r="1255" spans="2:17" ht="13">
      <c r="B1255" s="396"/>
      <c r="C1255" s="116"/>
      <c r="D1255" s="116"/>
      <c r="E1255" s="116"/>
      <c r="F1255" s="116"/>
      <c r="G1255" s="332"/>
      <c r="H1255" s="332"/>
      <c r="I1255" s="332"/>
      <c r="J1255" s="332"/>
      <c r="K1255" s="332"/>
      <c r="L1255" s="332"/>
      <c r="Q1255" s="152"/>
    </row>
    <row r="1256" spans="2:17" ht="13">
      <c r="B1256" s="396"/>
      <c r="C1256" s="116"/>
      <c r="D1256" s="116"/>
      <c r="E1256" s="116"/>
      <c r="F1256" s="116"/>
      <c r="G1256" s="332"/>
      <c r="H1256" s="332"/>
      <c r="I1256" s="332"/>
      <c r="J1256" s="332"/>
      <c r="K1256" s="332"/>
      <c r="L1256" s="332"/>
      <c r="Q1256" s="152"/>
    </row>
    <row r="1257" spans="2:17" ht="13">
      <c r="B1257" s="396"/>
      <c r="C1257" s="116"/>
      <c r="D1257" s="116"/>
      <c r="E1257" s="116"/>
      <c r="F1257" s="116"/>
      <c r="G1257" s="332"/>
      <c r="H1257" s="332"/>
      <c r="I1257" s="332"/>
      <c r="J1257" s="332"/>
      <c r="K1257" s="332"/>
      <c r="L1257" s="332"/>
      <c r="Q1257" s="152"/>
    </row>
    <row r="1258" spans="2:17" ht="13">
      <c r="B1258" s="396"/>
      <c r="C1258" s="116"/>
      <c r="D1258" s="116"/>
      <c r="E1258" s="116"/>
      <c r="F1258" s="116"/>
      <c r="G1258" s="332"/>
      <c r="H1258" s="332"/>
      <c r="I1258" s="332"/>
      <c r="J1258" s="332"/>
      <c r="K1258" s="332"/>
      <c r="L1258" s="332"/>
      <c r="Q1258" s="152"/>
    </row>
    <row r="1259" spans="2:17" ht="13">
      <c r="B1259" s="396"/>
      <c r="C1259" s="116"/>
      <c r="D1259" s="116"/>
      <c r="E1259" s="116"/>
      <c r="F1259" s="116"/>
      <c r="G1259" s="332"/>
      <c r="H1259" s="332"/>
      <c r="I1259" s="332"/>
      <c r="J1259" s="332"/>
      <c r="K1259" s="332"/>
      <c r="L1259" s="332"/>
      <c r="Q1259" s="152"/>
    </row>
    <row r="1260" spans="2:17" ht="13">
      <c r="B1260" s="396"/>
      <c r="C1260" s="116"/>
      <c r="D1260" s="116"/>
      <c r="E1260" s="116"/>
      <c r="F1260" s="116"/>
      <c r="G1260" s="332"/>
      <c r="H1260" s="332"/>
      <c r="I1260" s="332"/>
      <c r="J1260" s="332"/>
      <c r="K1260" s="332"/>
      <c r="L1260" s="332"/>
      <c r="Q1260" s="152"/>
    </row>
    <row r="1261" spans="2:17" ht="13">
      <c r="B1261" s="396"/>
      <c r="C1261" s="116"/>
      <c r="D1261" s="116"/>
      <c r="E1261" s="116"/>
      <c r="F1261" s="116"/>
      <c r="G1261" s="332"/>
      <c r="H1261" s="332"/>
      <c r="I1261" s="332"/>
      <c r="J1261" s="332"/>
      <c r="K1261" s="332"/>
      <c r="L1261" s="332"/>
      <c r="Q1261" s="152"/>
    </row>
    <row r="1262" spans="2:17" ht="13">
      <c r="B1262" s="396"/>
      <c r="C1262" s="116"/>
      <c r="D1262" s="116"/>
      <c r="E1262" s="116"/>
      <c r="F1262" s="116"/>
      <c r="G1262" s="332"/>
      <c r="H1262" s="332"/>
      <c r="I1262" s="332"/>
      <c r="J1262" s="332"/>
      <c r="K1262" s="332"/>
      <c r="L1262" s="332"/>
      <c r="Q1262" s="152"/>
    </row>
    <row r="1263" spans="2:17" ht="13">
      <c r="B1263" s="396"/>
      <c r="C1263" s="116"/>
      <c r="D1263" s="116"/>
      <c r="E1263" s="116"/>
      <c r="F1263" s="116"/>
      <c r="G1263" s="332"/>
      <c r="H1263" s="332"/>
      <c r="I1263" s="332"/>
      <c r="J1263" s="332"/>
      <c r="K1263" s="332"/>
      <c r="L1263" s="332"/>
      <c r="Q1263" s="152"/>
    </row>
    <row r="1264" spans="2:17" ht="13">
      <c r="B1264" s="396"/>
      <c r="C1264" s="116"/>
      <c r="D1264" s="116"/>
      <c r="E1264" s="116"/>
      <c r="F1264" s="116"/>
      <c r="G1264" s="332"/>
      <c r="H1264" s="332"/>
      <c r="I1264" s="332"/>
      <c r="J1264" s="332"/>
      <c r="K1264" s="332"/>
      <c r="L1264" s="332"/>
      <c r="Q1264" s="152"/>
    </row>
    <row r="1265" spans="2:17" ht="13">
      <c r="B1265" s="396"/>
      <c r="C1265" s="116"/>
      <c r="D1265" s="116"/>
      <c r="E1265" s="116"/>
      <c r="F1265" s="116"/>
      <c r="G1265" s="332"/>
      <c r="H1265" s="332"/>
      <c r="I1265" s="332"/>
      <c r="J1265" s="332"/>
      <c r="K1265" s="332"/>
      <c r="L1265" s="332"/>
      <c r="Q1265" s="152"/>
    </row>
    <row r="1266" spans="2:17" ht="13">
      <c r="B1266" s="396"/>
      <c r="C1266" s="116"/>
      <c r="D1266" s="116"/>
      <c r="E1266" s="116"/>
      <c r="F1266" s="116"/>
      <c r="G1266" s="332"/>
      <c r="H1266" s="332"/>
      <c r="I1266" s="332"/>
      <c r="J1266" s="332"/>
      <c r="K1266" s="332"/>
      <c r="L1266" s="332"/>
      <c r="Q1266" s="152"/>
    </row>
    <row r="1267" spans="2:17" ht="13">
      <c r="B1267" s="396"/>
      <c r="C1267" s="116"/>
      <c r="D1267" s="116"/>
      <c r="E1267" s="116"/>
      <c r="F1267" s="116"/>
      <c r="G1267" s="332"/>
      <c r="H1267" s="332"/>
      <c r="I1267" s="332"/>
      <c r="J1267" s="332"/>
      <c r="K1267" s="332"/>
      <c r="L1267" s="332"/>
      <c r="Q1267" s="152"/>
    </row>
    <row r="1268" spans="2:17" ht="13">
      <c r="B1268" s="396"/>
      <c r="C1268" s="116"/>
      <c r="D1268" s="116"/>
      <c r="E1268" s="116"/>
      <c r="F1268" s="116"/>
      <c r="G1268" s="332"/>
      <c r="H1268" s="332"/>
      <c r="I1268" s="332"/>
      <c r="J1268" s="332"/>
      <c r="K1268" s="332"/>
      <c r="L1268" s="332"/>
      <c r="Q1268" s="152"/>
    </row>
    <row r="1269" spans="2:17" ht="13">
      <c r="B1269" s="396"/>
      <c r="C1269" s="116"/>
      <c r="D1269" s="116"/>
      <c r="E1269" s="116"/>
      <c r="F1269" s="116"/>
      <c r="G1269" s="332"/>
      <c r="H1269" s="332"/>
      <c r="I1269" s="332"/>
      <c r="J1269" s="332"/>
      <c r="K1269" s="332"/>
      <c r="L1269" s="332"/>
      <c r="Q1269" s="152"/>
    </row>
    <row r="1270" spans="2:17" ht="13">
      <c r="B1270" s="396"/>
      <c r="C1270" s="116"/>
      <c r="D1270" s="116"/>
      <c r="E1270" s="116"/>
      <c r="F1270" s="116"/>
      <c r="G1270" s="332"/>
      <c r="H1270" s="332"/>
      <c r="I1270" s="332"/>
      <c r="J1270" s="332"/>
      <c r="K1270" s="332"/>
      <c r="L1270" s="332"/>
      <c r="Q1270" s="152"/>
    </row>
    <row r="1271" spans="2:17" ht="13">
      <c r="B1271" s="396"/>
      <c r="C1271" s="116"/>
      <c r="D1271" s="116"/>
      <c r="E1271" s="116"/>
      <c r="F1271" s="116"/>
      <c r="G1271" s="332"/>
      <c r="H1271" s="332"/>
      <c r="I1271" s="332"/>
      <c r="J1271" s="332"/>
      <c r="K1271" s="332"/>
      <c r="L1271" s="332"/>
      <c r="Q1271" s="152"/>
    </row>
    <row r="1272" spans="2:17" ht="13">
      <c r="B1272" s="396"/>
      <c r="C1272" s="116"/>
      <c r="D1272" s="116"/>
      <c r="E1272" s="116"/>
      <c r="F1272" s="116"/>
      <c r="G1272" s="332"/>
      <c r="H1272" s="332"/>
      <c r="I1272" s="332"/>
      <c r="J1272" s="332"/>
      <c r="K1272" s="332"/>
      <c r="L1272" s="332"/>
      <c r="Q1272" s="152"/>
    </row>
    <row r="1273" spans="2:17" ht="13">
      <c r="B1273" s="396"/>
      <c r="C1273" s="116"/>
      <c r="D1273" s="116"/>
      <c r="E1273" s="116"/>
      <c r="F1273" s="116"/>
      <c r="G1273" s="332"/>
      <c r="H1273" s="332"/>
      <c r="I1273" s="332"/>
      <c r="J1273" s="332"/>
      <c r="K1273" s="332"/>
      <c r="L1273" s="332"/>
      <c r="Q1273" s="152"/>
    </row>
    <row r="1274" spans="2:17" ht="13">
      <c r="B1274" s="396"/>
      <c r="C1274" s="116"/>
      <c r="D1274" s="116"/>
      <c r="E1274" s="116"/>
      <c r="F1274" s="116"/>
      <c r="G1274" s="332"/>
      <c r="H1274" s="332"/>
      <c r="I1274" s="332"/>
      <c r="J1274" s="332"/>
      <c r="K1274" s="332"/>
      <c r="L1274" s="332"/>
      <c r="Q1274" s="152"/>
    </row>
    <row r="1275" spans="2:17" ht="13">
      <c r="B1275" s="396"/>
      <c r="C1275" s="116"/>
      <c r="D1275" s="116"/>
      <c r="E1275" s="116"/>
      <c r="F1275" s="116"/>
      <c r="G1275" s="332"/>
      <c r="H1275" s="332"/>
      <c r="I1275" s="332"/>
      <c r="J1275" s="332"/>
      <c r="K1275" s="332"/>
      <c r="L1275" s="332"/>
      <c r="Q1275" s="152"/>
    </row>
    <row r="1276" spans="2:17" ht="13">
      <c r="B1276" s="396"/>
      <c r="C1276" s="116"/>
      <c r="D1276" s="116"/>
      <c r="E1276" s="116"/>
      <c r="F1276" s="116"/>
      <c r="G1276" s="332"/>
      <c r="H1276" s="332"/>
      <c r="I1276" s="332"/>
      <c r="J1276" s="332"/>
      <c r="K1276" s="332"/>
      <c r="L1276" s="332"/>
      <c r="Q1276" s="152"/>
    </row>
    <row r="1277" spans="2:17" ht="13">
      <c r="B1277" s="396"/>
      <c r="C1277" s="116"/>
      <c r="D1277" s="116"/>
      <c r="E1277" s="116"/>
      <c r="F1277" s="116"/>
      <c r="G1277" s="332"/>
      <c r="H1277" s="332"/>
      <c r="I1277" s="332"/>
      <c r="J1277" s="332"/>
      <c r="K1277" s="332"/>
      <c r="L1277" s="332"/>
      <c r="Q1277" s="152"/>
    </row>
    <row r="1278" spans="2:17" ht="13">
      <c r="B1278" s="396"/>
      <c r="C1278" s="116"/>
      <c r="D1278" s="116"/>
      <c r="E1278" s="116"/>
      <c r="F1278" s="116"/>
      <c r="G1278" s="332"/>
      <c r="H1278" s="332"/>
      <c r="I1278" s="332"/>
      <c r="J1278" s="332"/>
      <c r="K1278" s="332"/>
      <c r="L1278" s="332"/>
      <c r="Q1278" s="152"/>
    </row>
    <row r="1279" spans="2:17" ht="13">
      <c r="B1279" s="396"/>
      <c r="C1279" s="116"/>
      <c r="D1279" s="116"/>
      <c r="E1279" s="116"/>
      <c r="F1279" s="116"/>
      <c r="G1279" s="332"/>
      <c r="H1279" s="332"/>
      <c r="I1279" s="332"/>
      <c r="J1279" s="332"/>
      <c r="K1279" s="332"/>
      <c r="L1279" s="332"/>
      <c r="Q1279" s="152"/>
    </row>
    <row r="1280" spans="2:17" ht="13">
      <c r="B1280" s="396"/>
      <c r="C1280" s="116"/>
      <c r="D1280" s="116"/>
      <c r="E1280" s="116"/>
      <c r="F1280" s="116"/>
      <c r="G1280" s="332"/>
      <c r="H1280" s="332"/>
      <c r="I1280" s="332"/>
      <c r="J1280" s="332"/>
      <c r="K1280" s="332"/>
      <c r="L1280" s="332"/>
      <c r="Q1280" s="152"/>
    </row>
    <row r="1281" spans="2:17" ht="13">
      <c r="B1281" s="396"/>
      <c r="C1281" s="116"/>
      <c r="D1281" s="116"/>
      <c r="E1281" s="116"/>
      <c r="F1281" s="116"/>
      <c r="G1281" s="332"/>
      <c r="H1281" s="332"/>
      <c r="I1281" s="332"/>
      <c r="J1281" s="332"/>
      <c r="K1281" s="332"/>
      <c r="L1281" s="332"/>
      <c r="Q1281" s="152"/>
    </row>
    <row r="1282" spans="2:17" ht="13">
      <c r="B1282" s="396"/>
      <c r="C1282" s="116"/>
      <c r="D1282" s="116"/>
      <c r="E1282" s="116"/>
      <c r="F1282" s="116"/>
      <c r="G1282" s="332"/>
      <c r="H1282" s="332"/>
      <c r="I1282" s="332"/>
      <c r="J1282" s="332"/>
      <c r="K1282" s="332"/>
      <c r="L1282" s="332"/>
      <c r="Q1282" s="152"/>
    </row>
    <row r="1283" spans="2:17" ht="13">
      <c r="B1283" s="396"/>
      <c r="C1283" s="116"/>
      <c r="D1283" s="116"/>
      <c r="E1283" s="116"/>
      <c r="F1283" s="116"/>
      <c r="G1283" s="332"/>
      <c r="H1283" s="332"/>
      <c r="I1283" s="332"/>
      <c r="J1283" s="332"/>
      <c r="K1283" s="332"/>
      <c r="L1283" s="332"/>
      <c r="Q1283" s="152"/>
    </row>
    <row r="1284" spans="2:17" ht="13">
      <c r="B1284" s="396"/>
      <c r="C1284" s="116"/>
      <c r="D1284" s="116"/>
      <c r="E1284" s="116"/>
      <c r="F1284" s="116"/>
      <c r="G1284" s="332"/>
      <c r="H1284" s="332"/>
      <c r="I1284" s="332"/>
      <c r="J1284" s="332"/>
      <c r="K1284" s="332"/>
      <c r="L1284" s="332"/>
      <c r="Q1284" s="152"/>
    </row>
    <row r="1285" spans="2:17" ht="13">
      <c r="B1285" s="396"/>
      <c r="C1285" s="116"/>
      <c r="D1285" s="116"/>
      <c r="E1285" s="116"/>
      <c r="F1285" s="116"/>
      <c r="G1285" s="332"/>
      <c r="H1285" s="332"/>
      <c r="I1285" s="332"/>
      <c r="J1285" s="332"/>
      <c r="K1285" s="332"/>
      <c r="L1285" s="332"/>
      <c r="Q1285" s="152"/>
    </row>
    <row r="1286" spans="2:17" ht="13">
      <c r="B1286" s="396"/>
      <c r="C1286" s="116"/>
      <c r="D1286" s="116"/>
      <c r="E1286" s="116"/>
      <c r="F1286" s="116"/>
      <c r="G1286" s="332"/>
      <c r="H1286" s="332"/>
      <c r="I1286" s="332"/>
      <c r="J1286" s="332"/>
      <c r="K1286" s="332"/>
      <c r="L1286" s="332"/>
      <c r="Q1286" s="152"/>
    </row>
    <row r="1287" spans="2:17" ht="13">
      <c r="B1287" s="396"/>
      <c r="C1287" s="116"/>
      <c r="D1287" s="116"/>
      <c r="E1287" s="116"/>
      <c r="F1287" s="116"/>
      <c r="G1287" s="332"/>
      <c r="H1287" s="332"/>
      <c r="I1287" s="332"/>
      <c r="J1287" s="332"/>
      <c r="K1287" s="332"/>
      <c r="L1287" s="332"/>
      <c r="Q1287" s="152"/>
    </row>
    <row r="1288" spans="2:17" ht="13">
      <c r="B1288" s="396"/>
      <c r="C1288" s="116"/>
      <c r="D1288" s="116"/>
      <c r="E1288" s="116"/>
      <c r="F1288" s="116"/>
      <c r="G1288" s="332"/>
      <c r="H1288" s="332"/>
      <c r="I1288" s="332"/>
      <c r="J1288" s="332"/>
      <c r="K1288" s="332"/>
      <c r="L1288" s="332"/>
      <c r="Q1288" s="152"/>
    </row>
    <row r="1289" spans="2:17" ht="13">
      <c r="B1289" s="396"/>
      <c r="C1289" s="116"/>
      <c r="D1289" s="116"/>
      <c r="E1289" s="116"/>
      <c r="F1289" s="116"/>
      <c r="G1289" s="332"/>
      <c r="H1289" s="332"/>
      <c r="I1289" s="332"/>
      <c r="J1289" s="332"/>
      <c r="K1289" s="332"/>
      <c r="L1289" s="332"/>
      <c r="Q1289" s="152"/>
    </row>
    <row r="1290" spans="2:17" ht="13">
      <c r="B1290" s="396"/>
      <c r="C1290" s="116"/>
      <c r="D1290" s="116"/>
      <c r="E1290" s="116"/>
      <c r="F1290" s="116"/>
      <c r="G1290" s="332"/>
      <c r="H1290" s="332"/>
      <c r="I1290" s="332"/>
      <c r="J1290" s="332"/>
      <c r="K1290" s="332"/>
      <c r="L1290" s="332"/>
      <c r="Q1290" s="152"/>
    </row>
    <row r="1291" spans="2:17" ht="13">
      <c r="B1291" s="396"/>
      <c r="C1291" s="116"/>
      <c r="D1291" s="116"/>
      <c r="E1291" s="116"/>
      <c r="F1291" s="116"/>
      <c r="G1291" s="332"/>
      <c r="H1291" s="332"/>
      <c r="I1291" s="332"/>
      <c r="J1291" s="332"/>
      <c r="K1291" s="332"/>
      <c r="L1291" s="332"/>
      <c r="Q1291" s="152"/>
    </row>
    <row r="1292" spans="2:17" ht="13">
      <c r="B1292" s="396"/>
      <c r="C1292" s="116"/>
      <c r="D1292" s="116"/>
      <c r="E1292" s="116"/>
      <c r="F1292" s="116"/>
      <c r="G1292" s="332"/>
      <c r="H1292" s="332"/>
      <c r="I1292" s="332"/>
      <c r="J1292" s="332"/>
      <c r="K1292" s="332"/>
      <c r="L1292" s="332"/>
      <c r="Q1292" s="152"/>
    </row>
    <row r="1293" spans="2:17" ht="13">
      <c r="B1293" s="396"/>
      <c r="C1293" s="116"/>
      <c r="D1293" s="116"/>
      <c r="E1293" s="116"/>
      <c r="F1293" s="116"/>
      <c r="G1293" s="332"/>
      <c r="H1293" s="332"/>
      <c r="I1293" s="332"/>
      <c r="J1293" s="332"/>
      <c r="K1293" s="332"/>
      <c r="L1293" s="332"/>
      <c r="Q1293" s="152"/>
    </row>
    <row r="1294" spans="2:17" ht="13">
      <c r="B1294" s="396"/>
      <c r="C1294" s="116"/>
      <c r="D1294" s="116"/>
      <c r="E1294" s="116"/>
      <c r="F1294" s="116"/>
      <c r="G1294" s="332"/>
      <c r="H1294" s="332"/>
      <c r="I1294" s="332"/>
      <c r="J1294" s="332"/>
      <c r="K1294" s="332"/>
      <c r="L1294" s="332"/>
      <c r="Q1294" s="152"/>
    </row>
    <row r="1295" spans="2:17" ht="13">
      <c r="B1295" s="396"/>
      <c r="C1295" s="116"/>
      <c r="D1295" s="116"/>
      <c r="E1295" s="116"/>
      <c r="F1295" s="116"/>
      <c r="G1295" s="332"/>
      <c r="H1295" s="332"/>
      <c r="I1295" s="332"/>
      <c r="J1295" s="332"/>
      <c r="K1295" s="332"/>
      <c r="L1295" s="332"/>
      <c r="Q1295" s="152"/>
    </row>
    <row r="1296" spans="2:17" ht="13">
      <c r="B1296" s="396"/>
      <c r="C1296" s="116"/>
      <c r="D1296" s="116"/>
      <c r="E1296" s="116"/>
      <c r="F1296" s="116"/>
      <c r="G1296" s="332"/>
      <c r="H1296" s="332"/>
      <c r="I1296" s="332"/>
      <c r="J1296" s="332"/>
      <c r="K1296" s="332"/>
      <c r="L1296" s="332"/>
      <c r="Q1296" s="152"/>
    </row>
    <row r="1297" spans="2:17" ht="13">
      <c r="B1297" s="396"/>
      <c r="C1297" s="116"/>
      <c r="D1297" s="116"/>
      <c r="E1297" s="116"/>
      <c r="F1297" s="116"/>
      <c r="G1297" s="332"/>
      <c r="H1297" s="332"/>
      <c r="I1297" s="332"/>
      <c r="J1297" s="332"/>
      <c r="K1297" s="332"/>
      <c r="L1297" s="332"/>
      <c r="Q1297" s="152"/>
    </row>
    <row r="1298" spans="2:17" ht="13">
      <c r="B1298" s="396"/>
      <c r="C1298" s="116"/>
      <c r="D1298" s="116"/>
      <c r="E1298" s="116"/>
      <c r="F1298" s="116"/>
      <c r="G1298" s="332"/>
      <c r="H1298" s="332"/>
      <c r="I1298" s="332"/>
      <c r="J1298" s="332"/>
      <c r="K1298" s="332"/>
      <c r="L1298" s="332"/>
      <c r="Q1298" s="152"/>
    </row>
    <row r="1299" spans="2:17" ht="13">
      <c r="B1299" s="396"/>
      <c r="C1299" s="116"/>
      <c r="D1299" s="116"/>
      <c r="E1299" s="116"/>
      <c r="F1299" s="116"/>
      <c r="G1299" s="332"/>
      <c r="H1299" s="332"/>
      <c r="I1299" s="332"/>
      <c r="J1299" s="332"/>
      <c r="K1299" s="332"/>
      <c r="L1299" s="332"/>
      <c r="Q1299" s="152"/>
    </row>
    <row r="1300" spans="2:17" ht="13">
      <c r="B1300" s="396"/>
      <c r="C1300" s="116"/>
      <c r="D1300" s="116"/>
      <c r="E1300" s="116"/>
      <c r="F1300" s="116"/>
      <c r="G1300" s="332"/>
      <c r="H1300" s="332"/>
      <c r="I1300" s="332"/>
      <c r="J1300" s="332"/>
      <c r="K1300" s="332"/>
      <c r="L1300" s="332"/>
      <c r="Q1300" s="152"/>
    </row>
    <row r="1301" spans="2:17" ht="13">
      <c r="B1301" s="396"/>
      <c r="C1301" s="116"/>
      <c r="D1301" s="116"/>
      <c r="E1301" s="116"/>
      <c r="F1301" s="116"/>
      <c r="G1301" s="332"/>
      <c r="H1301" s="332"/>
      <c r="I1301" s="332"/>
      <c r="J1301" s="332"/>
      <c r="K1301" s="332"/>
      <c r="L1301" s="332"/>
      <c r="Q1301" s="152"/>
    </row>
    <row r="1302" spans="2:17" ht="13">
      <c r="B1302" s="396"/>
      <c r="C1302" s="116"/>
      <c r="D1302" s="116"/>
      <c r="E1302" s="116"/>
      <c r="F1302" s="116"/>
      <c r="G1302" s="332"/>
      <c r="H1302" s="332"/>
      <c r="I1302" s="332"/>
      <c r="J1302" s="332"/>
      <c r="K1302" s="332"/>
      <c r="L1302" s="332"/>
      <c r="Q1302" s="152"/>
    </row>
    <row r="1303" spans="2:17" ht="13">
      <c r="B1303" s="396"/>
      <c r="C1303" s="116"/>
      <c r="D1303" s="116"/>
      <c r="E1303" s="116"/>
      <c r="F1303" s="116"/>
      <c r="G1303" s="332"/>
      <c r="H1303" s="332"/>
      <c r="I1303" s="332"/>
      <c r="J1303" s="332"/>
      <c r="K1303" s="332"/>
      <c r="L1303" s="332"/>
      <c r="Q1303" s="152"/>
    </row>
    <row r="1304" spans="2:17" ht="13">
      <c r="B1304" s="396"/>
      <c r="C1304" s="116"/>
      <c r="D1304" s="116"/>
      <c r="E1304" s="116"/>
      <c r="F1304" s="116"/>
      <c r="G1304" s="332"/>
      <c r="H1304" s="332"/>
      <c r="I1304" s="332"/>
      <c r="J1304" s="332"/>
      <c r="K1304" s="332"/>
      <c r="L1304" s="332"/>
      <c r="Q1304" s="152"/>
    </row>
    <row r="1305" spans="2:17" ht="13">
      <c r="B1305" s="396"/>
      <c r="C1305" s="116"/>
      <c r="D1305" s="116"/>
      <c r="E1305" s="116"/>
      <c r="F1305" s="116"/>
      <c r="G1305" s="332"/>
      <c r="H1305" s="332"/>
      <c r="I1305" s="332"/>
      <c r="J1305" s="332"/>
      <c r="K1305" s="332"/>
      <c r="L1305" s="332"/>
      <c r="Q1305" s="152"/>
    </row>
    <row r="1306" spans="2:17" ht="13">
      <c r="B1306" s="396"/>
      <c r="C1306" s="116"/>
      <c r="D1306" s="116"/>
      <c r="E1306" s="116"/>
      <c r="F1306" s="116"/>
      <c r="G1306" s="332"/>
      <c r="H1306" s="332"/>
      <c r="I1306" s="332"/>
      <c r="J1306" s="332"/>
      <c r="K1306" s="332"/>
      <c r="L1306" s="332"/>
      <c r="Q1306" s="152"/>
    </row>
    <row r="1307" spans="2:17" ht="13">
      <c r="B1307" s="396"/>
      <c r="C1307" s="116"/>
      <c r="D1307" s="116"/>
      <c r="E1307" s="116"/>
      <c r="F1307" s="116"/>
      <c r="G1307" s="332"/>
      <c r="H1307" s="332"/>
      <c r="I1307" s="332"/>
      <c r="J1307" s="332"/>
      <c r="K1307" s="332"/>
      <c r="L1307" s="332"/>
      <c r="Q1307" s="152"/>
    </row>
    <row r="1308" spans="2:17" ht="13">
      <c r="B1308" s="396"/>
      <c r="C1308" s="116"/>
      <c r="D1308" s="116"/>
      <c r="E1308" s="116"/>
      <c r="F1308" s="116"/>
      <c r="G1308" s="332"/>
      <c r="H1308" s="332"/>
      <c r="I1308" s="332"/>
      <c r="J1308" s="332"/>
      <c r="K1308" s="332"/>
      <c r="L1308" s="332"/>
      <c r="Q1308" s="152"/>
    </row>
    <row r="1309" spans="2:17" ht="13">
      <c r="B1309" s="396"/>
      <c r="C1309" s="116"/>
      <c r="D1309" s="116"/>
      <c r="E1309" s="116"/>
      <c r="F1309" s="116"/>
      <c r="G1309" s="332"/>
      <c r="H1309" s="332"/>
      <c r="I1309" s="332"/>
      <c r="J1309" s="332"/>
      <c r="K1309" s="332"/>
      <c r="L1309" s="332"/>
      <c r="Q1309" s="152"/>
    </row>
    <row r="1310" spans="2:17" ht="13">
      <c r="B1310" s="396"/>
      <c r="C1310" s="116"/>
      <c r="D1310" s="116"/>
      <c r="E1310" s="116"/>
      <c r="F1310" s="116"/>
      <c r="G1310" s="332"/>
      <c r="H1310" s="332"/>
      <c r="I1310" s="332"/>
      <c r="J1310" s="332"/>
      <c r="K1310" s="332"/>
      <c r="L1310" s="332"/>
      <c r="Q1310" s="152"/>
    </row>
    <row r="1311" spans="2:17" ht="13">
      <c r="B1311" s="396"/>
      <c r="C1311" s="116"/>
      <c r="D1311" s="116"/>
      <c r="E1311" s="116"/>
      <c r="F1311" s="116"/>
      <c r="G1311" s="332"/>
      <c r="H1311" s="332"/>
      <c r="I1311" s="332"/>
      <c r="J1311" s="332"/>
      <c r="K1311" s="332"/>
      <c r="L1311" s="332"/>
      <c r="Q1311" s="152"/>
    </row>
    <row r="1312" spans="2:17" ht="13">
      <c r="B1312" s="396"/>
      <c r="C1312" s="116"/>
      <c r="D1312" s="116"/>
      <c r="E1312" s="116"/>
      <c r="F1312" s="116"/>
      <c r="G1312" s="332"/>
      <c r="H1312" s="332"/>
      <c r="I1312" s="332"/>
      <c r="J1312" s="332"/>
      <c r="K1312" s="332"/>
      <c r="L1312" s="332"/>
      <c r="Q1312" s="152"/>
    </row>
    <row r="1313" spans="2:17" ht="13">
      <c r="B1313" s="396"/>
      <c r="C1313" s="116"/>
      <c r="D1313" s="116"/>
      <c r="E1313" s="116"/>
      <c r="F1313" s="116"/>
      <c r="G1313" s="332"/>
      <c r="H1313" s="332"/>
      <c r="I1313" s="332"/>
      <c r="J1313" s="332"/>
      <c r="K1313" s="332"/>
      <c r="L1313" s="332"/>
      <c r="Q1313" s="152"/>
    </row>
    <row r="1314" spans="2:17" ht="13">
      <c r="B1314" s="396"/>
      <c r="C1314" s="116"/>
      <c r="D1314" s="116"/>
      <c r="E1314" s="116"/>
      <c r="F1314" s="116"/>
      <c r="G1314" s="332"/>
      <c r="H1314" s="332"/>
      <c r="I1314" s="332"/>
      <c r="J1314" s="332"/>
      <c r="K1314" s="332"/>
      <c r="L1314" s="332"/>
      <c r="Q1314" s="152"/>
    </row>
    <row r="1315" spans="2:17" ht="13">
      <c r="B1315" s="396"/>
      <c r="C1315" s="116"/>
      <c r="D1315" s="116"/>
      <c r="E1315" s="116"/>
      <c r="F1315" s="116"/>
      <c r="G1315" s="332"/>
      <c r="H1315" s="332"/>
      <c r="I1315" s="332"/>
      <c r="J1315" s="332"/>
      <c r="K1315" s="332"/>
      <c r="L1315" s="332"/>
      <c r="Q1315" s="152"/>
    </row>
    <row r="1316" spans="2:17" ht="13">
      <c r="B1316" s="396"/>
      <c r="C1316" s="116"/>
      <c r="D1316" s="116"/>
      <c r="E1316" s="116"/>
      <c r="F1316" s="116"/>
      <c r="G1316" s="332"/>
      <c r="H1316" s="332"/>
      <c r="I1316" s="332"/>
      <c r="J1316" s="332"/>
      <c r="K1316" s="332"/>
      <c r="L1316" s="332"/>
      <c r="Q1316" s="152"/>
    </row>
    <row r="1317" spans="2:17" ht="13">
      <c r="B1317" s="396"/>
      <c r="C1317" s="116"/>
      <c r="D1317" s="116"/>
      <c r="E1317" s="116"/>
      <c r="F1317" s="116"/>
      <c r="G1317" s="332"/>
      <c r="H1317" s="332"/>
      <c r="I1317" s="332"/>
      <c r="J1317" s="332"/>
      <c r="K1317" s="332"/>
      <c r="L1317" s="332"/>
      <c r="Q1317" s="152"/>
    </row>
    <row r="1318" spans="2:17" ht="13">
      <c r="B1318" s="396"/>
      <c r="C1318" s="116"/>
      <c r="D1318" s="116"/>
      <c r="E1318" s="116"/>
      <c r="F1318" s="116"/>
      <c r="G1318" s="332"/>
      <c r="H1318" s="332"/>
      <c r="I1318" s="332"/>
      <c r="J1318" s="332"/>
      <c r="K1318" s="332"/>
      <c r="L1318" s="332"/>
      <c r="Q1318" s="152"/>
    </row>
    <row r="1319" spans="2:17" ht="13">
      <c r="B1319" s="396"/>
      <c r="C1319" s="116"/>
      <c r="D1319" s="116"/>
      <c r="E1319" s="116"/>
      <c r="F1319" s="116"/>
      <c r="G1319" s="332"/>
      <c r="H1319" s="332"/>
      <c r="I1319" s="332"/>
      <c r="J1319" s="332"/>
      <c r="K1319" s="332"/>
      <c r="L1319" s="332"/>
      <c r="Q1319" s="152"/>
    </row>
    <row r="1320" spans="2:17" ht="13">
      <c r="B1320" s="396"/>
      <c r="C1320" s="116"/>
      <c r="D1320" s="116"/>
      <c r="E1320" s="116"/>
      <c r="F1320" s="116"/>
      <c r="G1320" s="332"/>
      <c r="H1320" s="332"/>
      <c r="I1320" s="332"/>
      <c r="J1320" s="332"/>
      <c r="K1320" s="332"/>
      <c r="L1320" s="332"/>
      <c r="Q1320" s="152"/>
    </row>
    <row r="1321" spans="2:17" ht="13">
      <c r="B1321" s="396"/>
      <c r="C1321" s="116"/>
      <c r="D1321" s="116"/>
      <c r="E1321" s="116"/>
      <c r="F1321" s="116"/>
      <c r="G1321" s="332"/>
      <c r="H1321" s="332"/>
      <c r="I1321" s="332"/>
      <c r="J1321" s="332"/>
      <c r="K1321" s="332"/>
      <c r="L1321" s="332"/>
      <c r="Q1321" s="152"/>
    </row>
    <row r="1322" spans="2:17" ht="13">
      <c r="B1322" s="396"/>
      <c r="C1322" s="116"/>
      <c r="D1322" s="116"/>
      <c r="E1322" s="116"/>
      <c r="F1322" s="116"/>
      <c r="G1322" s="332"/>
      <c r="H1322" s="332"/>
      <c r="I1322" s="332"/>
      <c r="J1322" s="332"/>
      <c r="K1322" s="332"/>
      <c r="L1322" s="332"/>
      <c r="Q1322" s="152"/>
    </row>
    <row r="1323" spans="2:17" ht="13">
      <c r="B1323" s="396"/>
      <c r="C1323" s="116"/>
      <c r="D1323" s="116"/>
      <c r="E1323" s="116"/>
      <c r="F1323" s="116"/>
      <c r="G1323" s="332"/>
      <c r="H1323" s="332"/>
      <c r="I1323" s="332"/>
      <c r="J1323" s="332"/>
      <c r="K1323" s="332"/>
      <c r="L1323" s="332"/>
      <c r="Q1323" s="152"/>
    </row>
    <row r="1324" spans="2:17" ht="13">
      <c r="B1324" s="396"/>
      <c r="C1324" s="116"/>
      <c r="D1324" s="116"/>
      <c r="E1324" s="116"/>
      <c r="F1324" s="116"/>
      <c r="G1324" s="332"/>
      <c r="H1324" s="332"/>
      <c r="I1324" s="332"/>
      <c r="J1324" s="332"/>
      <c r="K1324" s="332"/>
      <c r="L1324" s="332"/>
      <c r="Q1324" s="152"/>
    </row>
    <row r="1325" spans="2:17" ht="13">
      <c r="B1325" s="396"/>
      <c r="C1325" s="116"/>
      <c r="D1325" s="116"/>
      <c r="E1325" s="116"/>
      <c r="F1325" s="116"/>
      <c r="G1325" s="332"/>
      <c r="H1325" s="332"/>
      <c r="I1325" s="332"/>
      <c r="J1325" s="332"/>
      <c r="K1325" s="332"/>
      <c r="L1325" s="332"/>
      <c r="Q1325" s="152"/>
    </row>
    <row r="1326" spans="2:17" ht="13">
      <c r="B1326" s="396"/>
      <c r="C1326" s="116"/>
      <c r="D1326" s="116"/>
      <c r="E1326" s="116"/>
      <c r="F1326" s="116"/>
      <c r="G1326" s="332"/>
      <c r="H1326" s="332"/>
      <c r="I1326" s="332"/>
      <c r="J1326" s="332"/>
      <c r="K1326" s="332"/>
      <c r="L1326" s="332"/>
      <c r="Q1326" s="152"/>
    </row>
    <row r="1327" spans="2:17" ht="13">
      <c r="B1327" s="396"/>
      <c r="C1327" s="116"/>
      <c r="D1327" s="116"/>
      <c r="E1327" s="116"/>
      <c r="F1327" s="116"/>
      <c r="G1327" s="332"/>
      <c r="H1327" s="332"/>
      <c r="I1327" s="332"/>
      <c r="J1327" s="332"/>
      <c r="K1327" s="332"/>
      <c r="L1327" s="332"/>
      <c r="Q1327" s="152"/>
    </row>
    <row r="1328" spans="2:17" ht="13">
      <c r="B1328" s="396"/>
      <c r="C1328" s="116"/>
      <c r="D1328" s="116"/>
      <c r="E1328" s="116"/>
      <c r="F1328" s="116"/>
      <c r="G1328" s="332"/>
      <c r="H1328" s="332"/>
      <c r="I1328" s="332"/>
      <c r="J1328" s="332"/>
      <c r="K1328" s="332"/>
      <c r="L1328" s="332"/>
      <c r="Q1328" s="152"/>
    </row>
    <row r="1329" spans="2:17" ht="13">
      <c r="B1329" s="396"/>
      <c r="C1329" s="116"/>
      <c r="D1329" s="116"/>
      <c r="E1329" s="116"/>
      <c r="F1329" s="116"/>
      <c r="G1329" s="332"/>
      <c r="H1329" s="332"/>
      <c r="I1329" s="332"/>
      <c r="J1329" s="332"/>
      <c r="K1329" s="332"/>
      <c r="L1329" s="332"/>
      <c r="Q1329" s="152"/>
    </row>
    <row r="1330" spans="2:17" ht="13">
      <c r="B1330" s="396"/>
      <c r="C1330" s="116"/>
      <c r="D1330" s="116"/>
      <c r="E1330" s="116"/>
      <c r="F1330" s="116"/>
      <c r="G1330" s="332"/>
      <c r="H1330" s="332"/>
      <c r="I1330" s="332"/>
      <c r="J1330" s="332"/>
      <c r="K1330" s="332"/>
      <c r="L1330" s="332"/>
      <c r="Q1330" s="152"/>
    </row>
    <row r="1331" spans="2:17" ht="13">
      <c r="B1331" s="396"/>
      <c r="C1331" s="116"/>
      <c r="D1331" s="116"/>
      <c r="E1331" s="116"/>
      <c r="F1331" s="116"/>
      <c r="G1331" s="332"/>
      <c r="H1331" s="332"/>
      <c r="I1331" s="332"/>
      <c r="J1331" s="332"/>
      <c r="K1331" s="332"/>
      <c r="L1331" s="332"/>
      <c r="Q1331" s="152"/>
    </row>
    <row r="1332" spans="2:17" ht="13">
      <c r="B1332" s="396"/>
      <c r="C1332" s="116"/>
      <c r="D1332" s="116"/>
      <c r="E1332" s="116"/>
      <c r="F1332" s="116"/>
      <c r="G1332" s="332"/>
      <c r="H1332" s="332"/>
      <c r="I1332" s="332"/>
      <c r="J1332" s="332"/>
      <c r="K1332" s="332"/>
      <c r="L1332" s="332"/>
      <c r="Q1332" s="152"/>
    </row>
    <row r="1333" spans="2:17" ht="13">
      <c r="B1333" s="396"/>
      <c r="C1333" s="116"/>
      <c r="D1333" s="116"/>
      <c r="E1333" s="116"/>
      <c r="F1333" s="116"/>
      <c r="G1333" s="332"/>
      <c r="H1333" s="332"/>
      <c r="I1333" s="332"/>
      <c r="J1333" s="332"/>
      <c r="K1333" s="332"/>
      <c r="L1333" s="332"/>
      <c r="Q1333" s="152"/>
    </row>
    <row r="1334" spans="2:17" ht="13">
      <c r="B1334" s="396"/>
      <c r="C1334" s="116"/>
      <c r="D1334" s="116"/>
      <c r="E1334" s="116"/>
      <c r="F1334" s="116"/>
      <c r="G1334" s="332"/>
      <c r="H1334" s="332"/>
      <c r="I1334" s="332"/>
      <c r="J1334" s="332"/>
      <c r="K1334" s="332"/>
      <c r="L1334" s="332"/>
      <c r="Q1334" s="152"/>
    </row>
    <row r="1335" spans="2:17" ht="13">
      <c r="B1335" s="396"/>
      <c r="C1335" s="116"/>
      <c r="D1335" s="116"/>
      <c r="E1335" s="116"/>
      <c r="F1335" s="116"/>
      <c r="G1335" s="332"/>
      <c r="H1335" s="332"/>
      <c r="I1335" s="332"/>
      <c r="J1335" s="332"/>
      <c r="K1335" s="332"/>
      <c r="L1335" s="332"/>
      <c r="Q1335" s="152"/>
    </row>
    <row r="1336" spans="2:17" ht="13">
      <c r="B1336" s="396"/>
      <c r="C1336" s="116"/>
      <c r="D1336" s="116"/>
      <c r="E1336" s="116"/>
      <c r="F1336" s="116"/>
      <c r="G1336" s="332"/>
      <c r="H1336" s="332"/>
      <c r="I1336" s="332"/>
      <c r="J1336" s="332"/>
      <c r="K1336" s="332"/>
      <c r="L1336" s="332"/>
      <c r="Q1336" s="152"/>
    </row>
    <row r="1337" spans="2:17" ht="13">
      <c r="B1337" s="396"/>
      <c r="C1337" s="116"/>
      <c r="D1337" s="116"/>
      <c r="E1337" s="116"/>
      <c r="F1337" s="116"/>
      <c r="G1337" s="332"/>
      <c r="H1337" s="332"/>
      <c r="I1337" s="332"/>
      <c r="J1337" s="332"/>
      <c r="K1337" s="332"/>
      <c r="L1337" s="332"/>
      <c r="Q1337" s="152"/>
    </row>
    <row r="1338" spans="2:17" ht="13">
      <c r="B1338" s="396"/>
      <c r="C1338" s="116"/>
      <c r="D1338" s="116"/>
      <c r="E1338" s="116"/>
      <c r="F1338" s="116"/>
      <c r="G1338" s="332"/>
      <c r="H1338" s="332"/>
      <c r="I1338" s="332"/>
      <c r="J1338" s="332"/>
      <c r="K1338" s="332"/>
      <c r="L1338" s="332"/>
      <c r="Q1338" s="152"/>
    </row>
    <row r="1339" spans="2:17" ht="13">
      <c r="B1339" s="396"/>
      <c r="C1339" s="116"/>
      <c r="D1339" s="116"/>
      <c r="E1339" s="116"/>
      <c r="F1339" s="116"/>
      <c r="G1339" s="332"/>
      <c r="H1339" s="332"/>
      <c r="I1339" s="332"/>
      <c r="J1339" s="332"/>
      <c r="K1339" s="332"/>
      <c r="L1339" s="332"/>
      <c r="Q1339" s="152"/>
    </row>
    <row r="1340" spans="2:17" ht="13">
      <c r="B1340" s="396"/>
      <c r="C1340" s="116"/>
      <c r="D1340" s="116"/>
      <c r="E1340" s="116"/>
      <c r="F1340" s="116"/>
      <c r="G1340" s="332"/>
      <c r="H1340" s="332"/>
      <c r="I1340" s="332"/>
      <c r="J1340" s="332"/>
      <c r="K1340" s="332"/>
      <c r="L1340" s="332"/>
      <c r="Q1340" s="152"/>
    </row>
    <row r="1341" spans="2:17" ht="13">
      <c r="B1341" s="396"/>
      <c r="C1341" s="116"/>
      <c r="D1341" s="116"/>
      <c r="E1341" s="116"/>
      <c r="F1341" s="116"/>
      <c r="G1341" s="332"/>
      <c r="H1341" s="332"/>
      <c r="I1341" s="332"/>
      <c r="J1341" s="332"/>
      <c r="K1341" s="332"/>
      <c r="L1341" s="332"/>
      <c r="Q1341" s="152"/>
    </row>
    <row r="1342" spans="2:17" ht="13">
      <c r="B1342" s="396"/>
      <c r="C1342" s="116"/>
      <c r="D1342" s="116"/>
      <c r="E1342" s="116"/>
      <c r="F1342" s="116"/>
      <c r="G1342" s="332"/>
      <c r="H1342" s="332"/>
      <c r="I1342" s="332"/>
      <c r="J1342" s="332"/>
      <c r="K1342" s="332"/>
      <c r="L1342" s="332"/>
      <c r="Q1342" s="152"/>
    </row>
    <row r="1343" spans="2:17" ht="13">
      <c r="B1343" s="396"/>
      <c r="C1343" s="116"/>
      <c r="D1343" s="116"/>
      <c r="E1343" s="116"/>
      <c r="F1343" s="116"/>
      <c r="G1343" s="332"/>
      <c r="H1343" s="332"/>
      <c r="I1343" s="332"/>
      <c r="J1343" s="332"/>
      <c r="K1343" s="332"/>
      <c r="L1343" s="332"/>
      <c r="Q1343" s="152"/>
    </row>
    <row r="1344" spans="2:17" ht="13">
      <c r="B1344" s="396"/>
      <c r="C1344" s="116"/>
      <c r="D1344" s="116"/>
      <c r="E1344" s="116"/>
      <c r="F1344" s="116"/>
      <c r="G1344" s="332"/>
      <c r="H1344" s="332"/>
      <c r="I1344" s="332"/>
      <c r="J1344" s="332"/>
      <c r="K1344" s="332"/>
      <c r="L1344" s="332"/>
      <c r="Q1344" s="152"/>
    </row>
    <row r="1345" spans="2:17" ht="13">
      <c r="B1345" s="396"/>
      <c r="C1345" s="116"/>
      <c r="D1345" s="116"/>
      <c r="E1345" s="116"/>
      <c r="F1345" s="116"/>
      <c r="G1345" s="332"/>
      <c r="H1345" s="332"/>
      <c r="I1345" s="332"/>
      <c r="J1345" s="332"/>
      <c r="K1345" s="332"/>
      <c r="L1345" s="332"/>
      <c r="Q1345" s="152"/>
    </row>
    <row r="1346" spans="2:17" ht="13">
      <c r="B1346" s="396"/>
      <c r="C1346" s="116"/>
      <c r="D1346" s="116"/>
      <c r="E1346" s="116"/>
      <c r="F1346" s="116"/>
      <c r="G1346" s="332"/>
      <c r="H1346" s="332"/>
      <c r="I1346" s="332"/>
      <c r="J1346" s="332"/>
      <c r="K1346" s="332"/>
      <c r="L1346" s="332"/>
      <c r="Q1346" s="152"/>
    </row>
    <row r="1347" spans="2:17" ht="13">
      <c r="B1347" s="396"/>
      <c r="C1347" s="116"/>
      <c r="D1347" s="116"/>
      <c r="E1347" s="116"/>
      <c r="F1347" s="116"/>
      <c r="G1347" s="332"/>
      <c r="H1347" s="332"/>
      <c r="I1347" s="332"/>
      <c r="J1347" s="332"/>
      <c r="K1347" s="332"/>
      <c r="L1347" s="332"/>
      <c r="Q1347" s="152"/>
    </row>
    <row r="1348" spans="2:17" ht="13">
      <c r="B1348" s="396"/>
      <c r="C1348" s="116"/>
      <c r="D1348" s="116"/>
      <c r="E1348" s="116"/>
      <c r="F1348" s="116"/>
      <c r="G1348" s="332"/>
      <c r="H1348" s="332"/>
      <c r="I1348" s="332"/>
      <c r="J1348" s="332"/>
      <c r="K1348" s="332"/>
      <c r="L1348" s="332"/>
      <c r="Q1348" s="152"/>
    </row>
    <row r="1349" spans="2:17" ht="13">
      <c r="B1349" s="396"/>
      <c r="C1349" s="116"/>
      <c r="D1349" s="116"/>
      <c r="E1349" s="116"/>
      <c r="F1349" s="116"/>
      <c r="G1349" s="332"/>
      <c r="H1349" s="332"/>
      <c r="I1349" s="332"/>
      <c r="J1349" s="332"/>
      <c r="K1349" s="332"/>
      <c r="L1349" s="332"/>
      <c r="Q1349" s="152"/>
    </row>
    <row r="1350" spans="2:17" ht="13">
      <c r="B1350" s="396"/>
      <c r="C1350" s="116"/>
      <c r="D1350" s="116"/>
      <c r="E1350" s="116"/>
      <c r="F1350" s="116"/>
      <c r="G1350" s="332"/>
      <c r="H1350" s="332"/>
      <c r="I1350" s="332"/>
      <c r="J1350" s="332"/>
      <c r="K1350" s="332"/>
      <c r="L1350" s="332"/>
      <c r="Q1350" s="152"/>
    </row>
    <row r="1351" spans="2:17" ht="13">
      <c r="B1351" s="396"/>
      <c r="C1351" s="116"/>
      <c r="D1351" s="116"/>
      <c r="E1351" s="116"/>
      <c r="F1351" s="116"/>
      <c r="G1351" s="332"/>
      <c r="H1351" s="332"/>
      <c r="I1351" s="332"/>
      <c r="J1351" s="332"/>
      <c r="K1351" s="332"/>
      <c r="L1351" s="332"/>
      <c r="Q1351" s="152"/>
    </row>
    <row r="1352" spans="2:17" ht="13">
      <c r="B1352" s="396"/>
      <c r="C1352" s="116"/>
      <c r="D1352" s="116"/>
      <c r="E1352" s="116"/>
      <c r="F1352" s="116"/>
      <c r="G1352" s="332"/>
      <c r="H1352" s="332"/>
      <c r="I1352" s="332"/>
      <c r="J1352" s="332"/>
      <c r="K1352" s="332"/>
      <c r="L1352" s="332"/>
      <c r="Q1352" s="152"/>
    </row>
    <row r="1353" spans="2:17" ht="13">
      <c r="B1353" s="396"/>
      <c r="C1353" s="116"/>
      <c r="D1353" s="116"/>
      <c r="E1353" s="116"/>
      <c r="F1353" s="116"/>
      <c r="G1353" s="332"/>
      <c r="H1353" s="332"/>
      <c r="I1353" s="332"/>
      <c r="J1353" s="332"/>
      <c r="K1353" s="332"/>
      <c r="L1353" s="332"/>
      <c r="Q1353" s="152"/>
    </row>
    <row r="1354" spans="2:17" ht="13">
      <c r="B1354" s="396"/>
      <c r="C1354" s="116"/>
      <c r="D1354" s="116"/>
      <c r="E1354" s="116"/>
      <c r="F1354" s="116"/>
      <c r="G1354" s="332"/>
      <c r="H1354" s="332"/>
      <c r="I1354" s="332"/>
      <c r="J1354" s="332"/>
      <c r="K1354" s="332"/>
      <c r="L1354" s="332"/>
      <c r="Q1354" s="152"/>
    </row>
    <row r="1355" spans="2:17" ht="13">
      <c r="B1355" s="396"/>
      <c r="C1355" s="116"/>
      <c r="D1355" s="116"/>
      <c r="E1355" s="116"/>
      <c r="F1355" s="116"/>
      <c r="G1355" s="332"/>
      <c r="H1355" s="332"/>
      <c r="I1355" s="332"/>
      <c r="J1355" s="332"/>
      <c r="K1355" s="332"/>
      <c r="L1355" s="332"/>
      <c r="Q1355" s="152"/>
    </row>
    <row r="1356" spans="2:17" ht="13">
      <c r="B1356" s="396"/>
      <c r="C1356" s="116"/>
      <c r="D1356" s="116"/>
      <c r="E1356" s="116"/>
      <c r="F1356" s="116"/>
      <c r="G1356" s="332"/>
      <c r="H1356" s="332"/>
      <c r="I1356" s="332"/>
      <c r="J1356" s="332"/>
      <c r="K1356" s="332"/>
      <c r="L1356" s="332"/>
      <c r="Q1356" s="152"/>
    </row>
    <row r="1357" spans="2:17" ht="13">
      <c r="B1357" s="396"/>
      <c r="C1357" s="116"/>
      <c r="D1357" s="116"/>
      <c r="E1357" s="116"/>
      <c r="F1357" s="116"/>
      <c r="G1357" s="332"/>
      <c r="H1357" s="332"/>
      <c r="I1357" s="332"/>
      <c r="J1357" s="332"/>
      <c r="K1357" s="332"/>
      <c r="L1357" s="332"/>
      <c r="Q1357" s="152"/>
    </row>
    <row r="1358" spans="2:17" ht="13">
      <c r="B1358" s="396"/>
      <c r="C1358" s="116"/>
      <c r="D1358" s="116"/>
      <c r="E1358" s="116"/>
      <c r="F1358" s="116"/>
      <c r="G1358" s="332"/>
      <c r="H1358" s="332"/>
      <c r="I1358" s="332"/>
      <c r="J1358" s="332"/>
      <c r="K1358" s="332"/>
      <c r="L1358" s="332"/>
      <c r="Q1358" s="152"/>
    </row>
    <row r="1359" spans="2:17" ht="13">
      <c r="B1359" s="396"/>
      <c r="C1359" s="116"/>
      <c r="D1359" s="116"/>
      <c r="E1359" s="116"/>
      <c r="F1359" s="116"/>
      <c r="G1359" s="332"/>
      <c r="H1359" s="332"/>
      <c r="I1359" s="332"/>
      <c r="J1359" s="332"/>
      <c r="K1359" s="332"/>
      <c r="L1359" s="332"/>
      <c r="Q1359" s="152"/>
    </row>
    <row r="1360" spans="2:17" ht="13">
      <c r="B1360" s="396"/>
      <c r="C1360" s="116"/>
      <c r="D1360" s="116"/>
      <c r="E1360" s="116"/>
      <c r="F1360" s="116"/>
      <c r="G1360" s="332"/>
      <c r="H1360" s="332"/>
      <c r="I1360" s="332"/>
      <c r="J1360" s="332"/>
      <c r="K1360" s="332"/>
      <c r="L1360" s="332"/>
      <c r="Q1360" s="152"/>
    </row>
    <row r="1361" spans="2:17" ht="13">
      <c r="B1361" s="396"/>
      <c r="C1361" s="116"/>
      <c r="D1361" s="116"/>
      <c r="E1361" s="116"/>
      <c r="F1361" s="116"/>
      <c r="G1361" s="332"/>
      <c r="H1361" s="332"/>
      <c r="I1361" s="332"/>
      <c r="J1361" s="332"/>
      <c r="K1361" s="332"/>
      <c r="L1361" s="332"/>
      <c r="Q1361" s="152"/>
    </row>
    <row r="1362" spans="2:17" ht="13">
      <c r="B1362" s="396"/>
      <c r="C1362" s="116"/>
      <c r="D1362" s="116"/>
      <c r="E1362" s="116"/>
      <c r="F1362" s="116"/>
      <c r="G1362" s="332"/>
      <c r="H1362" s="332"/>
      <c r="I1362" s="332"/>
      <c r="J1362" s="332"/>
      <c r="K1362" s="332"/>
      <c r="L1362" s="332"/>
      <c r="Q1362" s="152"/>
    </row>
    <row r="1363" spans="2:17" ht="13">
      <c r="B1363" s="396"/>
      <c r="C1363" s="116"/>
      <c r="D1363" s="116"/>
      <c r="E1363" s="116"/>
      <c r="F1363" s="116"/>
      <c r="G1363" s="332"/>
      <c r="H1363" s="332"/>
      <c r="I1363" s="332"/>
      <c r="J1363" s="332"/>
      <c r="K1363" s="332"/>
      <c r="L1363" s="332"/>
      <c r="Q1363" s="152"/>
    </row>
    <row r="1364" spans="2:17" ht="13">
      <c r="B1364" s="396"/>
      <c r="C1364" s="116"/>
      <c r="D1364" s="116"/>
      <c r="E1364" s="116"/>
      <c r="F1364" s="116"/>
      <c r="G1364" s="332"/>
      <c r="H1364" s="332"/>
      <c r="I1364" s="332"/>
      <c r="J1364" s="332"/>
      <c r="K1364" s="332"/>
      <c r="L1364" s="332"/>
      <c r="Q1364" s="152"/>
    </row>
    <row r="1365" spans="2:17" ht="13">
      <c r="B1365" s="396"/>
      <c r="C1365" s="116"/>
      <c r="D1365" s="116"/>
      <c r="E1365" s="116"/>
      <c r="F1365" s="116"/>
      <c r="G1365" s="332"/>
      <c r="H1365" s="332"/>
      <c r="I1365" s="332"/>
      <c r="J1365" s="332"/>
      <c r="K1365" s="332"/>
      <c r="L1365" s="332"/>
      <c r="Q1365" s="152"/>
    </row>
    <row r="1366" spans="2:17" ht="13">
      <c r="B1366" s="396"/>
      <c r="C1366" s="116"/>
      <c r="D1366" s="116"/>
      <c r="E1366" s="116"/>
      <c r="F1366" s="116"/>
      <c r="G1366" s="332"/>
      <c r="H1366" s="332"/>
      <c r="I1366" s="332"/>
      <c r="J1366" s="332"/>
      <c r="K1366" s="332"/>
      <c r="L1366" s="332"/>
      <c r="Q1366" s="152"/>
    </row>
    <row r="1367" spans="2:17" ht="13">
      <c r="B1367" s="396"/>
      <c r="C1367" s="116"/>
      <c r="D1367" s="116"/>
      <c r="E1367" s="116"/>
      <c r="F1367" s="116"/>
      <c r="G1367" s="332"/>
      <c r="H1367" s="332"/>
      <c r="I1367" s="332"/>
      <c r="J1367" s="332"/>
      <c r="K1367" s="332"/>
      <c r="L1367" s="332"/>
      <c r="Q1367" s="152"/>
    </row>
    <row r="1368" spans="2:17" ht="13">
      <c r="B1368" s="396"/>
      <c r="C1368" s="116"/>
      <c r="D1368" s="116"/>
      <c r="E1368" s="116"/>
      <c r="F1368" s="116"/>
      <c r="G1368" s="332"/>
      <c r="H1368" s="332"/>
      <c r="I1368" s="332"/>
      <c r="J1368" s="332"/>
      <c r="K1368" s="332"/>
      <c r="L1368" s="332"/>
      <c r="Q1368" s="152"/>
    </row>
    <row r="1369" spans="2:17" ht="13">
      <c r="B1369" s="396"/>
      <c r="C1369" s="116"/>
      <c r="D1369" s="116"/>
      <c r="E1369" s="116"/>
      <c r="F1369" s="116"/>
      <c r="G1369" s="332"/>
      <c r="H1369" s="332"/>
      <c r="I1369" s="332"/>
      <c r="J1369" s="332"/>
      <c r="K1369" s="332"/>
      <c r="L1369" s="332"/>
      <c r="Q1369" s="152"/>
    </row>
    <row r="1370" spans="2:17" ht="13">
      <c r="B1370" s="396"/>
      <c r="C1370" s="116"/>
      <c r="D1370" s="116"/>
      <c r="E1370" s="116"/>
      <c r="F1370" s="116"/>
      <c r="G1370" s="332"/>
      <c r="H1370" s="332"/>
      <c r="I1370" s="332"/>
      <c r="J1370" s="332"/>
      <c r="K1370" s="332"/>
      <c r="L1370" s="332"/>
      <c r="Q1370" s="152"/>
    </row>
    <row r="1371" spans="2:17" ht="13">
      <c r="B1371" s="396"/>
      <c r="C1371" s="116"/>
      <c r="D1371" s="116"/>
      <c r="E1371" s="116"/>
      <c r="F1371" s="116"/>
      <c r="G1371" s="332"/>
      <c r="H1371" s="332"/>
      <c r="I1371" s="332"/>
      <c r="J1371" s="332"/>
      <c r="K1371" s="332"/>
      <c r="L1371" s="332"/>
      <c r="Q1371" s="152"/>
    </row>
    <row r="1372" spans="2:17" ht="13">
      <c r="B1372" s="396"/>
      <c r="C1372" s="116"/>
      <c r="D1372" s="116"/>
      <c r="E1372" s="116"/>
      <c r="F1372" s="116"/>
      <c r="G1372" s="332"/>
      <c r="H1372" s="332"/>
      <c r="I1372" s="332"/>
      <c r="J1372" s="332"/>
      <c r="K1372" s="332"/>
      <c r="L1372" s="332"/>
      <c r="Q1372" s="152"/>
    </row>
    <row r="1373" spans="2:17" ht="13">
      <c r="B1373" s="396"/>
      <c r="C1373" s="116"/>
      <c r="D1373" s="116"/>
      <c r="E1373" s="116"/>
      <c r="F1373" s="116"/>
      <c r="G1373" s="332"/>
      <c r="H1373" s="332"/>
      <c r="I1373" s="332"/>
      <c r="J1373" s="332"/>
      <c r="K1373" s="332"/>
      <c r="L1373" s="332"/>
      <c r="Q1373" s="152"/>
    </row>
    <row r="1374" spans="2:17" ht="13">
      <c r="B1374" s="396"/>
      <c r="C1374" s="116"/>
      <c r="D1374" s="116"/>
      <c r="E1374" s="116"/>
      <c r="F1374" s="116"/>
      <c r="G1374" s="332"/>
      <c r="H1374" s="332"/>
      <c r="I1374" s="332"/>
      <c r="J1374" s="332"/>
      <c r="K1374" s="332"/>
      <c r="L1374" s="332"/>
      <c r="Q1374" s="152"/>
    </row>
    <row r="1375" spans="2:17" ht="13">
      <c r="B1375" s="396"/>
      <c r="C1375" s="116"/>
      <c r="D1375" s="116"/>
      <c r="E1375" s="116"/>
      <c r="F1375" s="116"/>
      <c r="G1375" s="332"/>
      <c r="H1375" s="332"/>
      <c r="I1375" s="332"/>
      <c r="J1375" s="332"/>
      <c r="K1375" s="332"/>
      <c r="L1375" s="332"/>
      <c r="Q1375" s="152"/>
    </row>
    <row r="1376" spans="2:17" ht="13">
      <c r="B1376" s="396"/>
      <c r="C1376" s="116"/>
      <c r="D1376" s="116"/>
      <c r="E1376" s="116"/>
      <c r="F1376" s="116"/>
      <c r="G1376" s="332"/>
      <c r="H1376" s="332"/>
      <c r="I1376" s="332"/>
      <c r="J1376" s="332"/>
      <c r="K1376" s="332"/>
      <c r="L1376" s="332"/>
      <c r="Q1376" s="152"/>
    </row>
    <row r="1377" spans="2:17" ht="13">
      <c r="B1377" s="396"/>
      <c r="C1377" s="116"/>
      <c r="D1377" s="116"/>
      <c r="E1377" s="116"/>
      <c r="F1377" s="116"/>
      <c r="G1377" s="332"/>
      <c r="H1377" s="332"/>
      <c r="I1377" s="332"/>
      <c r="J1377" s="332"/>
      <c r="K1377" s="332"/>
      <c r="L1377" s="332"/>
      <c r="Q1377" s="152"/>
    </row>
    <row r="1378" spans="2:17" ht="13">
      <c r="B1378" s="396"/>
      <c r="C1378" s="116"/>
      <c r="D1378" s="116"/>
      <c r="E1378" s="116"/>
      <c r="F1378" s="116"/>
      <c r="G1378" s="332"/>
      <c r="H1378" s="332"/>
      <c r="I1378" s="332"/>
      <c r="J1378" s="332"/>
      <c r="K1378" s="332"/>
      <c r="L1378" s="332"/>
      <c r="Q1378" s="152"/>
    </row>
    <row r="1379" spans="2:17" ht="13">
      <c r="B1379" s="396"/>
      <c r="C1379" s="116"/>
      <c r="D1379" s="116"/>
      <c r="E1379" s="116"/>
      <c r="F1379" s="116"/>
      <c r="G1379" s="332"/>
      <c r="H1379" s="332"/>
      <c r="I1379" s="332"/>
      <c r="J1379" s="332"/>
      <c r="K1379" s="332"/>
      <c r="L1379" s="332"/>
      <c r="Q1379" s="152"/>
    </row>
    <row r="1380" spans="2:17" ht="13">
      <c r="B1380" s="396"/>
      <c r="C1380" s="116"/>
      <c r="D1380" s="116"/>
      <c r="E1380" s="116"/>
      <c r="F1380" s="116"/>
      <c r="G1380" s="332"/>
      <c r="H1380" s="332"/>
      <c r="I1380" s="332"/>
      <c r="J1380" s="332"/>
      <c r="K1380" s="332"/>
      <c r="L1380" s="332"/>
      <c r="Q1380" s="152"/>
    </row>
    <row r="1381" spans="2:17" ht="13">
      <c r="B1381" s="396"/>
      <c r="C1381" s="116"/>
      <c r="D1381" s="116"/>
      <c r="E1381" s="116"/>
      <c r="F1381" s="116"/>
      <c r="G1381" s="332"/>
      <c r="H1381" s="332"/>
      <c r="I1381" s="332"/>
      <c r="J1381" s="332"/>
      <c r="K1381" s="332"/>
      <c r="L1381" s="332"/>
      <c r="Q1381" s="152"/>
    </row>
    <row r="1382" spans="2:17" ht="13">
      <c r="B1382" s="396"/>
      <c r="C1382" s="116"/>
      <c r="D1382" s="116"/>
      <c r="E1382" s="116"/>
      <c r="F1382" s="116"/>
      <c r="G1382" s="332"/>
      <c r="H1382" s="332"/>
      <c r="I1382" s="332"/>
      <c r="J1382" s="332"/>
      <c r="K1382" s="332"/>
      <c r="L1382" s="332"/>
      <c r="Q1382" s="152"/>
    </row>
    <row r="1383" spans="2:17" ht="13">
      <c r="B1383" s="396"/>
      <c r="C1383" s="116"/>
      <c r="D1383" s="116"/>
      <c r="E1383" s="116"/>
      <c r="F1383" s="116"/>
      <c r="G1383" s="332"/>
      <c r="H1383" s="332"/>
      <c r="I1383" s="332"/>
      <c r="J1383" s="332"/>
      <c r="K1383" s="332"/>
      <c r="L1383" s="332"/>
      <c r="Q1383" s="152"/>
    </row>
    <row r="1384" spans="2:17" ht="13">
      <c r="B1384" s="396"/>
      <c r="C1384" s="116"/>
      <c r="D1384" s="116"/>
      <c r="E1384" s="116"/>
      <c r="F1384" s="116"/>
      <c r="G1384" s="332"/>
      <c r="H1384" s="332"/>
      <c r="I1384" s="332"/>
      <c r="J1384" s="332"/>
      <c r="K1384" s="332"/>
      <c r="L1384" s="332"/>
      <c r="Q1384" s="152"/>
    </row>
    <row r="1385" spans="2:17" ht="13">
      <c r="B1385" s="396"/>
      <c r="C1385" s="116"/>
      <c r="D1385" s="116"/>
      <c r="E1385" s="116"/>
      <c r="F1385" s="116"/>
      <c r="G1385" s="332"/>
      <c r="H1385" s="332"/>
      <c r="I1385" s="332"/>
      <c r="J1385" s="332"/>
      <c r="K1385" s="332"/>
      <c r="L1385" s="332"/>
      <c r="Q1385" s="152"/>
    </row>
    <row r="1386" spans="2:17" ht="13">
      <c r="B1386" s="396"/>
      <c r="C1386" s="116"/>
      <c r="D1386" s="116"/>
      <c r="E1386" s="116"/>
      <c r="F1386" s="116"/>
      <c r="G1386" s="332"/>
      <c r="H1386" s="332"/>
      <c r="I1386" s="332"/>
      <c r="J1386" s="332"/>
      <c r="K1386" s="332"/>
      <c r="L1386" s="332"/>
      <c r="Q1386" s="152"/>
    </row>
    <row r="1387" spans="2:17" ht="13">
      <c r="B1387" s="396"/>
      <c r="C1387" s="116"/>
      <c r="D1387" s="116"/>
      <c r="E1387" s="116"/>
      <c r="F1387" s="116"/>
      <c r="G1387" s="332"/>
      <c r="H1387" s="332"/>
      <c r="I1387" s="332"/>
      <c r="J1387" s="332"/>
      <c r="K1387" s="332"/>
      <c r="L1387" s="332"/>
      <c r="Q1387" s="152"/>
    </row>
    <row r="1388" spans="2:17" ht="13">
      <c r="B1388" s="396"/>
      <c r="C1388" s="116"/>
      <c r="D1388" s="116"/>
      <c r="E1388" s="116"/>
      <c r="F1388" s="116"/>
      <c r="G1388" s="332"/>
      <c r="H1388" s="332"/>
      <c r="I1388" s="332"/>
      <c r="J1388" s="332"/>
      <c r="K1388" s="332"/>
      <c r="L1388" s="332"/>
      <c r="Q1388" s="152"/>
    </row>
    <row r="1389" spans="2:17" ht="13">
      <c r="B1389" s="396"/>
      <c r="C1389" s="116"/>
      <c r="D1389" s="116"/>
      <c r="E1389" s="116"/>
      <c r="F1389" s="116"/>
      <c r="G1389" s="332"/>
      <c r="H1389" s="332"/>
      <c r="I1389" s="332"/>
      <c r="J1389" s="332"/>
      <c r="K1389" s="332"/>
      <c r="L1389" s="332"/>
      <c r="Q1389" s="152"/>
    </row>
    <row r="1390" spans="2:17" ht="13">
      <c r="B1390" s="396"/>
      <c r="C1390" s="116"/>
      <c r="D1390" s="116"/>
      <c r="E1390" s="116"/>
      <c r="F1390" s="116"/>
      <c r="G1390" s="332"/>
      <c r="H1390" s="332"/>
      <c r="I1390" s="332"/>
      <c r="J1390" s="332"/>
      <c r="K1390" s="332"/>
      <c r="L1390" s="332"/>
      <c r="Q1390" s="152"/>
    </row>
    <row r="1391" spans="2:17" ht="13">
      <c r="B1391" s="396"/>
      <c r="C1391" s="116"/>
      <c r="D1391" s="116"/>
      <c r="E1391" s="116"/>
      <c r="F1391" s="116"/>
      <c r="G1391" s="332"/>
      <c r="H1391" s="332"/>
      <c r="I1391" s="332"/>
      <c r="J1391" s="332"/>
      <c r="K1391" s="332"/>
      <c r="L1391" s="332"/>
      <c r="Q1391" s="152"/>
    </row>
    <row r="1392" spans="2:17" ht="13">
      <c r="B1392" s="396"/>
      <c r="C1392" s="116"/>
      <c r="D1392" s="116"/>
      <c r="E1392" s="116"/>
      <c r="F1392" s="116"/>
      <c r="G1392" s="332"/>
      <c r="H1392" s="332"/>
      <c r="I1392" s="332"/>
      <c r="J1392" s="332"/>
      <c r="K1392" s="332"/>
      <c r="L1392" s="332"/>
      <c r="Q1392" s="152"/>
    </row>
    <row r="1393" spans="2:17" ht="13">
      <c r="B1393" s="396"/>
      <c r="C1393" s="116"/>
      <c r="D1393" s="116"/>
      <c r="E1393" s="116"/>
      <c r="F1393" s="116"/>
      <c r="G1393" s="332"/>
      <c r="H1393" s="332"/>
      <c r="I1393" s="332"/>
      <c r="J1393" s="332"/>
      <c r="K1393" s="332"/>
      <c r="L1393" s="332"/>
      <c r="Q1393" s="152"/>
    </row>
    <row r="1394" spans="2:17" ht="13">
      <c r="B1394" s="396"/>
      <c r="C1394" s="116"/>
      <c r="D1394" s="116"/>
      <c r="E1394" s="116"/>
      <c r="F1394" s="116"/>
      <c r="G1394" s="332"/>
      <c r="H1394" s="332"/>
      <c r="I1394" s="332"/>
      <c r="J1394" s="332"/>
      <c r="K1394" s="332"/>
      <c r="L1394" s="332"/>
      <c r="Q1394" s="152"/>
    </row>
    <row r="1395" spans="2:17" ht="13">
      <c r="B1395" s="396"/>
      <c r="C1395" s="116"/>
      <c r="D1395" s="116"/>
      <c r="E1395" s="116"/>
      <c r="F1395" s="116"/>
      <c r="G1395" s="332"/>
      <c r="H1395" s="332"/>
      <c r="I1395" s="332"/>
      <c r="J1395" s="332"/>
      <c r="K1395" s="332"/>
      <c r="L1395" s="332"/>
      <c r="Q1395" s="152"/>
    </row>
    <row r="1396" spans="2:17" ht="13">
      <c r="B1396" s="396"/>
      <c r="C1396" s="116"/>
      <c r="D1396" s="116"/>
      <c r="E1396" s="116"/>
      <c r="F1396" s="116"/>
      <c r="G1396" s="332"/>
      <c r="H1396" s="332"/>
      <c r="I1396" s="332"/>
      <c r="J1396" s="332"/>
      <c r="K1396" s="332"/>
      <c r="L1396" s="332"/>
      <c r="Q1396" s="152"/>
    </row>
    <row r="1397" spans="2:17" ht="13">
      <c r="B1397" s="396"/>
      <c r="C1397" s="116"/>
      <c r="D1397" s="116"/>
      <c r="E1397" s="116"/>
      <c r="F1397" s="116"/>
      <c r="G1397" s="332"/>
      <c r="H1397" s="332"/>
      <c r="I1397" s="332"/>
      <c r="J1397" s="332"/>
      <c r="K1397" s="332"/>
      <c r="L1397" s="332"/>
      <c r="Q1397" s="152"/>
    </row>
    <row r="1398" spans="2:17" ht="13">
      <c r="B1398" s="396"/>
      <c r="C1398" s="116"/>
      <c r="D1398" s="116"/>
      <c r="E1398" s="116"/>
      <c r="F1398" s="116"/>
      <c r="G1398" s="332"/>
      <c r="H1398" s="332"/>
      <c r="I1398" s="332"/>
      <c r="J1398" s="332"/>
      <c r="K1398" s="332"/>
      <c r="L1398" s="332"/>
      <c r="Q1398" s="152"/>
    </row>
    <row r="1399" spans="2:17" ht="13">
      <c r="B1399" s="396"/>
      <c r="C1399" s="116"/>
      <c r="D1399" s="116"/>
      <c r="E1399" s="116"/>
      <c r="F1399" s="116"/>
      <c r="G1399" s="332"/>
      <c r="H1399" s="332"/>
      <c r="I1399" s="332"/>
      <c r="J1399" s="332"/>
      <c r="K1399" s="332"/>
      <c r="L1399" s="332"/>
      <c r="Q1399" s="152"/>
    </row>
    <row r="1400" spans="2:17" ht="13">
      <c r="B1400" s="396"/>
      <c r="C1400" s="116"/>
      <c r="D1400" s="116"/>
      <c r="E1400" s="116"/>
      <c r="F1400" s="116"/>
      <c r="G1400" s="332"/>
      <c r="H1400" s="332"/>
      <c r="I1400" s="332"/>
      <c r="J1400" s="332"/>
      <c r="K1400" s="332"/>
      <c r="L1400" s="332"/>
      <c r="Q1400" s="152"/>
    </row>
    <row r="1401" spans="2:17" ht="13">
      <c r="B1401" s="396"/>
      <c r="C1401" s="116"/>
      <c r="D1401" s="116"/>
      <c r="E1401" s="116"/>
      <c r="F1401" s="116"/>
      <c r="G1401" s="332"/>
      <c r="H1401" s="332"/>
      <c r="I1401" s="332"/>
      <c r="J1401" s="332"/>
      <c r="K1401" s="332"/>
      <c r="L1401" s="332"/>
      <c r="Q1401" s="152"/>
    </row>
    <row r="1402" spans="2:17" ht="13">
      <c r="B1402" s="396"/>
      <c r="C1402" s="116"/>
      <c r="D1402" s="116"/>
      <c r="E1402" s="116"/>
      <c r="F1402" s="116"/>
      <c r="G1402" s="332"/>
      <c r="H1402" s="332"/>
      <c r="I1402" s="332"/>
      <c r="J1402" s="332"/>
      <c r="K1402" s="332"/>
      <c r="L1402" s="332"/>
      <c r="Q1402" s="152"/>
    </row>
    <row r="1403" spans="2:17" ht="13">
      <c r="B1403" s="396"/>
      <c r="C1403" s="116"/>
      <c r="D1403" s="116"/>
      <c r="E1403" s="116"/>
      <c r="F1403" s="116"/>
      <c r="G1403" s="332"/>
      <c r="H1403" s="332"/>
      <c r="I1403" s="332"/>
      <c r="J1403" s="332"/>
      <c r="K1403" s="332"/>
      <c r="L1403" s="332"/>
      <c r="Q1403" s="152"/>
    </row>
    <row r="1404" spans="2:17" ht="13">
      <c r="B1404" s="396"/>
      <c r="C1404" s="116"/>
      <c r="D1404" s="116"/>
      <c r="E1404" s="116"/>
      <c r="F1404" s="116"/>
      <c r="G1404" s="332"/>
      <c r="H1404" s="332"/>
      <c r="I1404" s="332"/>
      <c r="J1404" s="332"/>
      <c r="K1404" s="332"/>
      <c r="L1404" s="332"/>
      <c r="Q1404" s="152"/>
    </row>
    <row r="1405" spans="2:17" ht="13">
      <c r="B1405" s="396"/>
      <c r="C1405" s="116"/>
      <c r="D1405" s="116"/>
      <c r="E1405" s="116"/>
      <c r="F1405" s="116"/>
      <c r="G1405" s="332"/>
      <c r="H1405" s="332"/>
      <c r="I1405" s="332"/>
      <c r="J1405" s="332"/>
      <c r="K1405" s="332"/>
      <c r="L1405" s="332"/>
      <c r="Q1405" s="152"/>
    </row>
    <row r="1406" spans="2:17" ht="13">
      <c r="B1406" s="396"/>
      <c r="C1406" s="116"/>
      <c r="D1406" s="116"/>
      <c r="E1406" s="116"/>
      <c r="F1406" s="116"/>
      <c r="G1406" s="332"/>
      <c r="H1406" s="332"/>
      <c r="I1406" s="332"/>
      <c r="J1406" s="332"/>
      <c r="K1406" s="332"/>
      <c r="L1406" s="332"/>
      <c r="Q1406" s="152"/>
    </row>
    <row r="1407" spans="2:17" ht="13">
      <c r="B1407" s="396"/>
      <c r="C1407" s="116"/>
      <c r="D1407" s="116"/>
      <c r="E1407" s="116"/>
      <c r="F1407" s="116"/>
      <c r="G1407" s="332"/>
      <c r="H1407" s="332"/>
      <c r="I1407" s="332"/>
      <c r="J1407" s="332"/>
      <c r="K1407" s="332"/>
      <c r="L1407" s="332"/>
      <c r="Q1407" s="152"/>
    </row>
    <row r="1408" spans="2:17" ht="13">
      <c r="B1408" s="396"/>
      <c r="C1408" s="116"/>
      <c r="D1408" s="116"/>
      <c r="E1408" s="116"/>
      <c r="F1408" s="116"/>
      <c r="G1408" s="332"/>
      <c r="H1408" s="332"/>
      <c r="I1408" s="332"/>
      <c r="J1408" s="332"/>
      <c r="K1408" s="332"/>
      <c r="L1408" s="332"/>
      <c r="Q1408" s="152"/>
    </row>
    <row r="1409" spans="2:17" ht="13">
      <c r="B1409" s="396"/>
      <c r="C1409" s="116"/>
      <c r="D1409" s="116"/>
      <c r="E1409" s="116"/>
      <c r="F1409" s="116"/>
      <c r="G1409" s="332"/>
      <c r="H1409" s="332"/>
      <c r="I1409" s="332"/>
      <c r="J1409" s="332"/>
      <c r="K1409" s="332"/>
      <c r="L1409" s="332"/>
      <c r="Q1409" s="152"/>
    </row>
    <row r="1410" spans="2:17" ht="13">
      <c r="B1410" s="396"/>
      <c r="C1410" s="116"/>
      <c r="D1410" s="116"/>
      <c r="E1410" s="116"/>
      <c r="F1410" s="116"/>
      <c r="G1410" s="332"/>
      <c r="H1410" s="332"/>
      <c r="I1410" s="332"/>
      <c r="J1410" s="332"/>
      <c r="K1410" s="332"/>
      <c r="L1410" s="332"/>
      <c r="Q1410" s="152"/>
    </row>
    <row r="1411" spans="2:17" ht="13">
      <c r="B1411" s="396"/>
      <c r="C1411" s="116"/>
      <c r="D1411" s="116"/>
      <c r="E1411" s="116"/>
      <c r="F1411" s="116"/>
      <c r="G1411" s="332"/>
      <c r="H1411" s="332"/>
      <c r="I1411" s="332"/>
      <c r="J1411" s="332"/>
      <c r="K1411" s="332"/>
      <c r="L1411" s="332"/>
      <c r="Q1411" s="152"/>
    </row>
    <row r="1412" spans="2:17" ht="13">
      <c r="B1412" s="396"/>
      <c r="C1412" s="116"/>
      <c r="D1412" s="116"/>
      <c r="E1412" s="116"/>
      <c r="F1412" s="116"/>
      <c r="G1412" s="332"/>
      <c r="H1412" s="332"/>
      <c r="I1412" s="332"/>
      <c r="J1412" s="332"/>
      <c r="K1412" s="332"/>
      <c r="L1412" s="332"/>
      <c r="Q1412" s="152"/>
    </row>
    <row r="1413" spans="2:17" ht="13">
      <c r="B1413" s="396"/>
      <c r="C1413" s="116"/>
      <c r="D1413" s="116"/>
      <c r="E1413" s="116"/>
      <c r="F1413" s="116"/>
      <c r="G1413" s="332"/>
      <c r="H1413" s="332"/>
      <c r="I1413" s="332"/>
      <c r="J1413" s="332"/>
      <c r="K1413" s="332"/>
      <c r="L1413" s="332"/>
      <c r="Q1413" s="152"/>
    </row>
    <row r="1414" spans="2:17" ht="13">
      <c r="B1414" s="396"/>
      <c r="C1414" s="116"/>
      <c r="D1414" s="116"/>
      <c r="E1414" s="116"/>
      <c r="F1414" s="116"/>
      <c r="G1414" s="332"/>
      <c r="H1414" s="332"/>
      <c r="I1414" s="332"/>
      <c r="J1414" s="332"/>
      <c r="K1414" s="332"/>
      <c r="L1414" s="332"/>
      <c r="Q1414" s="152"/>
    </row>
    <row r="1415" spans="2:17" ht="13">
      <c r="B1415" s="396"/>
      <c r="C1415" s="116"/>
      <c r="D1415" s="116"/>
      <c r="E1415" s="116"/>
      <c r="F1415" s="116"/>
      <c r="G1415" s="332"/>
      <c r="H1415" s="332"/>
      <c r="I1415" s="332"/>
      <c r="J1415" s="332"/>
      <c r="K1415" s="332"/>
      <c r="L1415" s="332"/>
      <c r="Q1415" s="152"/>
    </row>
    <row r="1416" spans="2:17" ht="13">
      <c r="B1416" s="396"/>
      <c r="C1416" s="116"/>
      <c r="D1416" s="116"/>
      <c r="E1416" s="116"/>
      <c r="F1416" s="116"/>
      <c r="G1416" s="332"/>
      <c r="H1416" s="332"/>
      <c r="I1416" s="332"/>
      <c r="J1416" s="332"/>
      <c r="K1416" s="332"/>
      <c r="L1416" s="332"/>
      <c r="Q1416" s="152"/>
    </row>
    <row r="1417" spans="2:17" ht="13">
      <c r="B1417" s="396"/>
      <c r="C1417" s="116"/>
      <c r="D1417" s="116"/>
      <c r="E1417" s="116"/>
      <c r="F1417" s="116"/>
      <c r="G1417" s="332"/>
      <c r="H1417" s="332"/>
      <c r="I1417" s="332"/>
      <c r="J1417" s="332"/>
      <c r="K1417" s="332"/>
      <c r="L1417" s="332"/>
      <c r="Q1417" s="152"/>
    </row>
    <row r="1418" spans="2:17" ht="13">
      <c r="B1418" s="396"/>
      <c r="C1418" s="116"/>
      <c r="D1418" s="116"/>
      <c r="E1418" s="116"/>
      <c r="F1418" s="116"/>
      <c r="G1418" s="332"/>
      <c r="H1418" s="332"/>
      <c r="I1418" s="332"/>
      <c r="J1418" s="332"/>
      <c r="K1418" s="332"/>
      <c r="L1418" s="332"/>
      <c r="Q1418" s="152"/>
    </row>
    <row r="1419" spans="2:17" ht="13">
      <c r="B1419" s="396"/>
      <c r="C1419" s="116"/>
      <c r="D1419" s="116"/>
      <c r="E1419" s="116"/>
      <c r="F1419" s="116"/>
      <c r="G1419" s="332"/>
      <c r="H1419" s="332"/>
      <c r="I1419" s="332"/>
      <c r="J1419" s="332"/>
      <c r="K1419" s="332"/>
      <c r="L1419" s="332"/>
      <c r="Q1419" s="152"/>
    </row>
    <row r="1420" spans="2:17" ht="13">
      <c r="B1420" s="396"/>
      <c r="C1420" s="116"/>
      <c r="D1420" s="116"/>
      <c r="E1420" s="116"/>
      <c r="F1420" s="116"/>
      <c r="G1420" s="332"/>
      <c r="H1420" s="332"/>
      <c r="I1420" s="332"/>
      <c r="J1420" s="332"/>
      <c r="K1420" s="332"/>
      <c r="L1420" s="332"/>
      <c r="Q1420" s="152"/>
    </row>
    <row r="1421" spans="2:17" ht="13">
      <c r="B1421" s="396"/>
      <c r="C1421" s="116"/>
      <c r="D1421" s="116"/>
      <c r="E1421" s="116"/>
      <c r="F1421" s="116"/>
      <c r="G1421" s="332"/>
      <c r="H1421" s="332"/>
      <c r="I1421" s="332"/>
      <c r="J1421" s="332"/>
      <c r="K1421" s="332"/>
      <c r="L1421" s="332"/>
      <c r="Q1421" s="152"/>
    </row>
    <row r="1422" spans="2:17" ht="13">
      <c r="B1422" s="396"/>
      <c r="C1422" s="116"/>
      <c r="D1422" s="116"/>
      <c r="E1422" s="116"/>
      <c r="F1422" s="116"/>
      <c r="G1422" s="332"/>
      <c r="H1422" s="332"/>
      <c r="I1422" s="332"/>
      <c r="J1422" s="332"/>
      <c r="K1422" s="332"/>
      <c r="L1422" s="332"/>
      <c r="Q1422" s="152"/>
    </row>
    <row r="1423" spans="2:17" ht="13">
      <c r="B1423" s="396"/>
      <c r="C1423" s="116"/>
      <c r="D1423" s="116"/>
      <c r="E1423" s="116"/>
      <c r="F1423" s="116"/>
      <c r="G1423" s="332"/>
      <c r="H1423" s="332"/>
      <c r="I1423" s="332"/>
      <c r="J1423" s="332"/>
      <c r="K1423" s="332"/>
      <c r="L1423" s="332"/>
      <c r="Q1423" s="152"/>
    </row>
    <row r="1424" spans="2:17" ht="13">
      <c r="B1424" s="396"/>
      <c r="C1424" s="116"/>
      <c r="D1424" s="116"/>
      <c r="E1424" s="116"/>
      <c r="F1424" s="116"/>
      <c r="G1424" s="332"/>
      <c r="H1424" s="332"/>
      <c r="I1424" s="332"/>
      <c r="J1424" s="332"/>
      <c r="K1424" s="332"/>
      <c r="L1424" s="332"/>
      <c r="Q1424" s="152"/>
    </row>
    <row r="1425" spans="2:17" ht="13">
      <c r="B1425" s="396"/>
      <c r="C1425" s="116"/>
      <c r="D1425" s="116"/>
      <c r="E1425" s="116"/>
      <c r="F1425" s="116"/>
      <c r="G1425" s="332"/>
      <c r="H1425" s="332"/>
      <c r="I1425" s="332"/>
      <c r="J1425" s="332"/>
      <c r="K1425" s="332"/>
      <c r="L1425" s="332"/>
      <c r="Q1425" s="152"/>
    </row>
    <row r="1426" spans="2:17" ht="13">
      <c r="B1426" s="396"/>
      <c r="C1426" s="116"/>
      <c r="D1426" s="116"/>
      <c r="E1426" s="116"/>
      <c r="F1426" s="116"/>
      <c r="G1426" s="332"/>
      <c r="H1426" s="332"/>
      <c r="I1426" s="332"/>
      <c r="J1426" s="332"/>
      <c r="K1426" s="332"/>
      <c r="L1426" s="332"/>
      <c r="Q1426" s="152"/>
    </row>
    <row r="1427" spans="2:17" ht="13">
      <c r="B1427" s="396"/>
      <c r="C1427" s="116"/>
      <c r="D1427" s="116"/>
      <c r="E1427" s="116"/>
      <c r="F1427" s="116"/>
      <c r="G1427" s="332"/>
      <c r="H1427" s="332"/>
      <c r="I1427" s="332"/>
      <c r="J1427" s="332"/>
      <c r="K1427" s="332"/>
      <c r="L1427" s="332"/>
      <c r="Q1427" s="152"/>
    </row>
    <row r="1428" spans="2:17" ht="13">
      <c r="B1428" s="396"/>
      <c r="C1428" s="116"/>
      <c r="D1428" s="116"/>
      <c r="E1428" s="116"/>
      <c r="F1428" s="116"/>
      <c r="G1428" s="332"/>
      <c r="H1428" s="332"/>
      <c r="I1428" s="332"/>
      <c r="J1428" s="332"/>
      <c r="K1428" s="332"/>
      <c r="L1428" s="332"/>
      <c r="Q1428" s="152"/>
    </row>
    <row r="1429" spans="2:17" ht="13">
      <c r="B1429" s="396"/>
      <c r="C1429" s="116"/>
      <c r="D1429" s="116"/>
      <c r="E1429" s="116"/>
      <c r="F1429" s="116"/>
      <c r="G1429" s="332"/>
      <c r="H1429" s="332"/>
      <c r="I1429" s="332"/>
      <c r="J1429" s="332"/>
      <c r="K1429" s="332"/>
      <c r="L1429" s="332"/>
      <c r="Q1429" s="152"/>
    </row>
    <row r="1430" spans="2:17" ht="13">
      <c r="B1430" s="396"/>
      <c r="C1430" s="116"/>
      <c r="D1430" s="116"/>
      <c r="E1430" s="116"/>
      <c r="F1430" s="116"/>
      <c r="G1430" s="332"/>
      <c r="H1430" s="332"/>
      <c r="I1430" s="332"/>
      <c r="J1430" s="332"/>
      <c r="K1430" s="332"/>
      <c r="L1430" s="332"/>
      <c r="Q1430" s="152"/>
    </row>
    <row r="1431" spans="2:17" ht="13">
      <c r="B1431" s="396"/>
      <c r="C1431" s="116"/>
      <c r="D1431" s="116"/>
      <c r="E1431" s="116"/>
      <c r="F1431" s="116"/>
      <c r="G1431" s="332"/>
      <c r="H1431" s="332"/>
      <c r="I1431" s="332"/>
      <c r="J1431" s="332"/>
      <c r="K1431" s="332"/>
      <c r="L1431" s="332"/>
      <c r="Q1431" s="152"/>
    </row>
    <row r="1432" spans="2:17" ht="13">
      <c r="B1432" s="396"/>
      <c r="C1432" s="116"/>
      <c r="D1432" s="116"/>
      <c r="E1432" s="116"/>
      <c r="F1432" s="116"/>
      <c r="G1432" s="332"/>
      <c r="H1432" s="332"/>
      <c r="I1432" s="332"/>
      <c r="J1432" s="332"/>
      <c r="K1432" s="332"/>
      <c r="L1432" s="332"/>
      <c r="Q1432" s="152"/>
    </row>
    <row r="1433" spans="2:17" ht="13">
      <c r="B1433" s="396"/>
      <c r="C1433" s="116"/>
      <c r="D1433" s="116"/>
      <c r="E1433" s="116"/>
      <c r="F1433" s="116"/>
      <c r="G1433" s="332"/>
      <c r="H1433" s="332"/>
      <c r="I1433" s="332"/>
      <c r="J1433" s="332"/>
      <c r="K1433" s="332"/>
      <c r="L1433" s="332"/>
      <c r="Q1433" s="152"/>
    </row>
    <row r="1434" spans="2:17" ht="13">
      <c r="B1434" s="396"/>
      <c r="C1434" s="116"/>
      <c r="D1434" s="116"/>
      <c r="E1434" s="116"/>
      <c r="F1434" s="116"/>
      <c r="G1434" s="332"/>
      <c r="H1434" s="332"/>
      <c r="I1434" s="332"/>
      <c r="J1434" s="332"/>
      <c r="K1434" s="332"/>
      <c r="L1434" s="332"/>
      <c r="Q1434" s="152"/>
    </row>
    <row r="1435" spans="2:17" ht="13">
      <c r="B1435" s="396"/>
      <c r="C1435" s="116"/>
      <c r="D1435" s="116"/>
      <c r="E1435" s="116"/>
      <c r="F1435" s="116"/>
      <c r="G1435" s="332"/>
      <c r="H1435" s="332"/>
      <c r="I1435" s="332"/>
      <c r="J1435" s="332"/>
      <c r="K1435" s="332"/>
      <c r="L1435" s="332"/>
      <c r="Q1435" s="152"/>
    </row>
    <row r="1436" spans="2:17" ht="13">
      <c r="B1436" s="396"/>
      <c r="C1436" s="116"/>
      <c r="D1436" s="116"/>
      <c r="E1436" s="116"/>
      <c r="F1436" s="116"/>
      <c r="G1436" s="332"/>
      <c r="H1436" s="332"/>
      <c r="I1436" s="332"/>
      <c r="J1436" s="332"/>
      <c r="K1436" s="332"/>
      <c r="L1436" s="332"/>
      <c r="Q1436" s="152"/>
    </row>
    <row r="1437" spans="2:17" ht="13">
      <c r="B1437" s="396"/>
      <c r="C1437" s="116"/>
      <c r="D1437" s="116"/>
      <c r="E1437" s="116"/>
      <c r="F1437" s="116"/>
      <c r="G1437" s="332"/>
      <c r="H1437" s="332"/>
      <c r="I1437" s="332"/>
      <c r="J1437" s="332"/>
      <c r="K1437" s="332"/>
      <c r="L1437" s="332"/>
      <c r="Q1437" s="152"/>
    </row>
    <row r="1438" spans="2:17" ht="13">
      <c r="B1438" s="396"/>
      <c r="C1438" s="116"/>
      <c r="D1438" s="116"/>
      <c r="E1438" s="116"/>
      <c r="F1438" s="116"/>
      <c r="G1438" s="332"/>
      <c r="H1438" s="332"/>
      <c r="I1438" s="332"/>
      <c r="J1438" s="332"/>
      <c r="K1438" s="332"/>
      <c r="L1438" s="332"/>
      <c r="Q1438" s="152"/>
    </row>
    <row r="1439" spans="2:17" ht="13">
      <c r="B1439" s="396"/>
      <c r="C1439" s="116"/>
      <c r="D1439" s="116"/>
      <c r="E1439" s="116"/>
      <c r="F1439" s="116"/>
      <c r="G1439" s="332"/>
      <c r="H1439" s="332"/>
      <c r="I1439" s="332"/>
      <c r="J1439" s="332"/>
      <c r="K1439" s="332"/>
      <c r="L1439" s="332"/>
      <c r="Q1439" s="152"/>
    </row>
    <row r="1440" spans="2:17" ht="13">
      <c r="B1440" s="396"/>
      <c r="C1440" s="116"/>
      <c r="D1440" s="116"/>
      <c r="E1440" s="116"/>
      <c r="F1440" s="116"/>
      <c r="G1440" s="332"/>
      <c r="H1440" s="332"/>
      <c r="I1440" s="332"/>
      <c r="J1440" s="332"/>
      <c r="K1440" s="332"/>
      <c r="L1440" s="332"/>
      <c r="Q1440" s="152"/>
    </row>
    <row r="1441" spans="2:17" ht="13">
      <c r="B1441" s="396"/>
      <c r="C1441" s="116"/>
      <c r="D1441" s="116"/>
      <c r="E1441" s="116"/>
      <c r="F1441" s="116"/>
      <c r="G1441" s="332"/>
      <c r="H1441" s="332"/>
      <c r="I1441" s="332"/>
      <c r="J1441" s="332"/>
      <c r="K1441" s="332"/>
      <c r="L1441" s="332"/>
      <c r="Q1441" s="152"/>
    </row>
    <row r="1442" spans="2:17" ht="13">
      <c r="B1442" s="396"/>
      <c r="C1442" s="116"/>
      <c r="D1442" s="116"/>
      <c r="E1442" s="116"/>
      <c r="F1442" s="116"/>
      <c r="G1442" s="332"/>
      <c r="H1442" s="332"/>
      <c r="I1442" s="332"/>
      <c r="J1442" s="332"/>
      <c r="K1442" s="332"/>
      <c r="L1442" s="332"/>
      <c r="Q1442" s="152"/>
    </row>
    <row r="1443" spans="2:17" ht="13">
      <c r="B1443" s="396"/>
      <c r="C1443" s="116"/>
      <c r="D1443" s="116"/>
      <c r="E1443" s="116"/>
      <c r="F1443" s="116"/>
      <c r="G1443" s="332"/>
      <c r="H1443" s="332"/>
      <c r="I1443" s="332"/>
      <c r="J1443" s="332"/>
      <c r="K1443" s="332"/>
      <c r="L1443" s="332"/>
      <c r="Q1443" s="152"/>
    </row>
    <row r="1444" spans="2:17" ht="13">
      <c r="B1444" s="396"/>
      <c r="C1444" s="116"/>
      <c r="D1444" s="116"/>
      <c r="E1444" s="116"/>
      <c r="F1444" s="116"/>
      <c r="G1444" s="332"/>
      <c r="H1444" s="332"/>
      <c r="I1444" s="332"/>
      <c r="J1444" s="332"/>
      <c r="K1444" s="332"/>
      <c r="L1444" s="332"/>
      <c r="Q1444" s="152"/>
    </row>
    <row r="1445" spans="2:17" ht="13">
      <c r="B1445" s="396"/>
      <c r="C1445" s="116"/>
      <c r="D1445" s="116"/>
      <c r="E1445" s="116"/>
      <c r="F1445" s="116"/>
      <c r="G1445" s="332"/>
      <c r="H1445" s="332"/>
      <c r="I1445" s="332"/>
      <c r="J1445" s="332"/>
      <c r="K1445" s="332"/>
      <c r="L1445" s="332"/>
      <c r="Q1445" s="152"/>
    </row>
    <row r="1446" spans="2:17" ht="13">
      <c r="B1446" s="396"/>
      <c r="C1446" s="116"/>
      <c r="D1446" s="116"/>
      <c r="E1446" s="116"/>
      <c r="F1446" s="116"/>
      <c r="G1446" s="332"/>
      <c r="H1446" s="332"/>
      <c r="I1446" s="332"/>
      <c r="J1446" s="332"/>
      <c r="K1446" s="332"/>
      <c r="L1446" s="332"/>
      <c r="Q1446" s="152"/>
    </row>
    <row r="1447" spans="2:17" ht="13">
      <c r="B1447" s="396"/>
      <c r="C1447" s="116"/>
      <c r="D1447" s="116"/>
      <c r="E1447" s="116"/>
      <c r="F1447" s="116"/>
      <c r="G1447" s="332"/>
      <c r="H1447" s="332"/>
      <c r="I1447" s="332"/>
      <c r="J1447" s="332"/>
      <c r="K1447" s="332"/>
      <c r="L1447" s="332"/>
      <c r="Q1447" s="152"/>
    </row>
    <row r="1448" spans="2:17" ht="13">
      <c r="B1448" s="396"/>
      <c r="C1448" s="116"/>
      <c r="D1448" s="116"/>
      <c r="E1448" s="116"/>
      <c r="F1448" s="116"/>
      <c r="G1448" s="332"/>
      <c r="H1448" s="332"/>
      <c r="I1448" s="332"/>
      <c r="J1448" s="332"/>
      <c r="K1448" s="332"/>
      <c r="L1448" s="332"/>
      <c r="Q1448" s="152"/>
    </row>
    <row r="1449" spans="2:17" ht="13">
      <c r="B1449" s="396"/>
      <c r="C1449" s="116"/>
      <c r="D1449" s="116"/>
      <c r="E1449" s="116"/>
      <c r="F1449" s="116"/>
      <c r="G1449" s="332"/>
      <c r="H1449" s="332"/>
      <c r="I1449" s="332"/>
      <c r="J1449" s="332"/>
      <c r="K1449" s="332"/>
      <c r="L1449" s="332"/>
      <c r="Q1449" s="152"/>
    </row>
    <row r="1450" spans="2:17" ht="13">
      <c r="B1450" s="396"/>
      <c r="C1450" s="116"/>
      <c r="D1450" s="116"/>
      <c r="E1450" s="116"/>
      <c r="F1450" s="116"/>
      <c r="G1450" s="332"/>
      <c r="H1450" s="332"/>
      <c r="I1450" s="332"/>
      <c r="J1450" s="332"/>
      <c r="K1450" s="332"/>
      <c r="L1450" s="332"/>
      <c r="Q1450" s="152"/>
    </row>
    <row r="1451" spans="2:17" ht="13">
      <c r="B1451" s="396"/>
      <c r="C1451" s="116"/>
      <c r="D1451" s="116"/>
      <c r="E1451" s="116"/>
      <c r="F1451" s="116"/>
      <c r="G1451" s="332"/>
      <c r="H1451" s="332"/>
      <c r="I1451" s="332"/>
      <c r="J1451" s="332"/>
      <c r="K1451" s="332"/>
      <c r="L1451" s="332"/>
      <c r="Q1451" s="152"/>
    </row>
    <row r="1452" spans="2:17" ht="13">
      <c r="B1452" s="396"/>
      <c r="C1452" s="116"/>
      <c r="D1452" s="116"/>
      <c r="E1452" s="116"/>
      <c r="F1452" s="116"/>
      <c r="G1452" s="332"/>
      <c r="H1452" s="332"/>
      <c r="I1452" s="332"/>
      <c r="J1452" s="332"/>
      <c r="K1452" s="332"/>
      <c r="L1452" s="332"/>
      <c r="Q1452" s="152"/>
    </row>
    <row r="1453" spans="2:17" ht="13">
      <c r="B1453" s="396"/>
      <c r="C1453" s="116"/>
      <c r="D1453" s="116"/>
      <c r="E1453" s="116"/>
      <c r="F1453" s="116"/>
      <c r="G1453" s="332"/>
      <c r="H1453" s="332"/>
      <c r="I1453" s="332"/>
      <c r="J1453" s="332"/>
      <c r="K1453" s="332"/>
      <c r="L1453" s="332"/>
      <c r="Q1453" s="152"/>
    </row>
    <row r="1454" spans="2:17" ht="13">
      <c r="B1454" s="396"/>
      <c r="C1454" s="116"/>
      <c r="D1454" s="116"/>
      <c r="E1454" s="116"/>
      <c r="F1454" s="116"/>
      <c r="G1454" s="332"/>
      <c r="H1454" s="332"/>
      <c r="I1454" s="332"/>
      <c r="J1454" s="332"/>
      <c r="K1454" s="332"/>
      <c r="L1454" s="332"/>
      <c r="Q1454" s="152"/>
    </row>
    <row r="1455" spans="2:17" ht="13">
      <c r="B1455" s="396"/>
      <c r="C1455" s="116"/>
      <c r="D1455" s="116"/>
      <c r="E1455" s="116"/>
      <c r="F1455" s="116"/>
      <c r="G1455" s="332"/>
      <c r="H1455" s="332"/>
      <c r="I1455" s="332"/>
      <c r="J1455" s="332"/>
      <c r="K1455" s="332"/>
      <c r="L1455" s="332"/>
      <c r="Q1455" s="152"/>
    </row>
    <row r="1456" spans="2:17" ht="13">
      <c r="B1456" s="396"/>
      <c r="C1456" s="116"/>
      <c r="D1456" s="116"/>
      <c r="E1456" s="116"/>
      <c r="F1456" s="116"/>
      <c r="G1456" s="332"/>
      <c r="H1456" s="332"/>
      <c r="I1456" s="332"/>
      <c r="J1456" s="332"/>
      <c r="K1456" s="332"/>
      <c r="L1456" s="332"/>
      <c r="Q1456" s="152"/>
    </row>
    <row r="1457" spans="2:17" ht="13">
      <c r="B1457" s="396"/>
      <c r="C1457" s="116"/>
      <c r="D1457" s="116"/>
      <c r="E1457" s="116"/>
      <c r="F1457" s="116"/>
      <c r="G1457" s="332"/>
      <c r="H1457" s="332"/>
      <c r="I1457" s="332"/>
      <c r="J1457" s="332"/>
      <c r="K1457" s="332"/>
      <c r="L1457" s="332"/>
      <c r="Q1457" s="152"/>
    </row>
    <row r="1458" spans="2:17" ht="13">
      <c r="B1458" s="396"/>
      <c r="C1458" s="116"/>
      <c r="D1458" s="116"/>
      <c r="E1458" s="116"/>
      <c r="F1458" s="116"/>
      <c r="G1458" s="332"/>
      <c r="H1458" s="332"/>
      <c r="I1458" s="332"/>
      <c r="J1458" s="332"/>
      <c r="K1458" s="332"/>
      <c r="L1458" s="332"/>
      <c r="Q1458" s="152"/>
    </row>
    <row r="1459" spans="2:17" ht="13">
      <c r="B1459" s="396"/>
      <c r="C1459" s="116"/>
      <c r="D1459" s="116"/>
      <c r="E1459" s="116"/>
      <c r="F1459" s="116"/>
      <c r="G1459" s="332"/>
      <c r="H1459" s="332"/>
      <c r="I1459" s="332"/>
      <c r="J1459" s="332"/>
      <c r="K1459" s="332"/>
      <c r="L1459" s="332"/>
      <c r="Q1459" s="152"/>
    </row>
    <row r="1460" spans="2:17" ht="13">
      <c r="B1460" s="396"/>
      <c r="C1460" s="116"/>
      <c r="D1460" s="116"/>
      <c r="E1460" s="116"/>
      <c r="F1460" s="116"/>
      <c r="G1460" s="332"/>
      <c r="H1460" s="332"/>
      <c r="I1460" s="332"/>
      <c r="J1460" s="332"/>
      <c r="K1460" s="332"/>
      <c r="L1460" s="332"/>
      <c r="Q1460" s="152"/>
    </row>
    <row r="1461" spans="2:17" ht="13">
      <c r="B1461" s="396"/>
      <c r="C1461" s="116"/>
      <c r="D1461" s="116"/>
      <c r="E1461" s="116"/>
      <c r="F1461" s="116"/>
      <c r="G1461" s="332"/>
      <c r="H1461" s="332"/>
      <c r="I1461" s="332"/>
      <c r="J1461" s="332"/>
      <c r="K1461" s="332"/>
      <c r="L1461" s="332"/>
      <c r="Q1461" s="152"/>
    </row>
    <row r="1462" spans="2:17" ht="13">
      <c r="B1462" s="396"/>
      <c r="C1462" s="116"/>
      <c r="D1462" s="116"/>
      <c r="E1462" s="116"/>
      <c r="F1462" s="116"/>
      <c r="G1462" s="332"/>
      <c r="H1462" s="332"/>
      <c r="I1462" s="332"/>
      <c r="J1462" s="332"/>
      <c r="K1462" s="332"/>
      <c r="L1462" s="332"/>
      <c r="Q1462" s="152"/>
    </row>
    <row r="1463" spans="2:17" ht="13">
      <c r="B1463" s="396"/>
      <c r="C1463" s="116"/>
      <c r="D1463" s="116"/>
      <c r="E1463" s="116"/>
      <c r="F1463" s="116"/>
      <c r="G1463" s="332"/>
      <c r="H1463" s="332"/>
      <c r="I1463" s="332"/>
      <c r="J1463" s="332"/>
      <c r="K1463" s="332"/>
      <c r="L1463" s="332"/>
      <c r="Q1463" s="152"/>
    </row>
    <row r="1464" spans="2:17" ht="13">
      <c r="B1464" s="396"/>
      <c r="C1464" s="116"/>
      <c r="D1464" s="116"/>
      <c r="E1464" s="116"/>
      <c r="F1464" s="116"/>
      <c r="G1464" s="332"/>
      <c r="H1464" s="332"/>
      <c r="I1464" s="332"/>
      <c r="J1464" s="332"/>
      <c r="K1464" s="332"/>
      <c r="L1464" s="332"/>
      <c r="Q1464" s="152"/>
    </row>
    <row r="1465" spans="2:17" ht="13">
      <c r="B1465" s="396"/>
      <c r="C1465" s="116"/>
      <c r="D1465" s="116"/>
      <c r="E1465" s="116"/>
      <c r="F1465" s="116"/>
      <c r="G1465" s="332"/>
      <c r="H1465" s="332"/>
      <c r="I1465" s="332"/>
      <c r="J1465" s="332"/>
      <c r="K1465" s="332"/>
      <c r="L1465" s="332"/>
      <c r="Q1465" s="152"/>
    </row>
    <row r="1466" spans="2:17" ht="13">
      <c r="B1466" s="396"/>
      <c r="C1466" s="116"/>
      <c r="D1466" s="116"/>
      <c r="E1466" s="116"/>
      <c r="F1466" s="116"/>
      <c r="G1466" s="332"/>
      <c r="H1466" s="332"/>
      <c r="I1466" s="332"/>
      <c r="J1466" s="332"/>
      <c r="K1466" s="332"/>
      <c r="L1466" s="332"/>
      <c r="Q1466" s="152"/>
    </row>
    <row r="1467" spans="2:17" ht="13">
      <c r="B1467" s="396"/>
      <c r="C1467" s="116"/>
      <c r="D1467" s="116"/>
      <c r="E1467" s="116"/>
      <c r="F1467" s="116"/>
      <c r="G1467" s="332"/>
      <c r="H1467" s="332"/>
      <c r="I1467" s="332"/>
      <c r="J1467" s="332"/>
      <c r="K1467" s="332"/>
      <c r="L1467" s="332"/>
      <c r="Q1467" s="152"/>
    </row>
    <row r="1468" spans="2:17" ht="13">
      <c r="B1468" s="396"/>
      <c r="C1468" s="116"/>
      <c r="D1468" s="116"/>
      <c r="E1468" s="116"/>
      <c r="F1468" s="116"/>
      <c r="G1468" s="332"/>
      <c r="H1468" s="332"/>
      <c r="I1468" s="332"/>
      <c r="J1468" s="332"/>
      <c r="K1468" s="332"/>
      <c r="L1468" s="332"/>
      <c r="Q1468" s="152"/>
    </row>
    <row r="1469" spans="2:17" ht="13">
      <c r="B1469" s="396"/>
      <c r="C1469" s="116"/>
      <c r="D1469" s="116"/>
      <c r="E1469" s="116"/>
      <c r="F1469" s="116"/>
      <c r="G1469" s="332"/>
      <c r="H1469" s="332"/>
      <c r="I1469" s="332"/>
      <c r="J1469" s="332"/>
      <c r="K1469" s="332"/>
      <c r="L1469" s="332"/>
      <c r="Q1469" s="152"/>
    </row>
    <row r="1470" spans="2:17" ht="13">
      <c r="B1470" s="396"/>
      <c r="C1470" s="116"/>
      <c r="D1470" s="116"/>
      <c r="E1470" s="116"/>
      <c r="F1470" s="116"/>
      <c r="G1470" s="332"/>
      <c r="H1470" s="332"/>
      <c r="I1470" s="332"/>
      <c r="J1470" s="332"/>
      <c r="K1470" s="332"/>
      <c r="L1470" s="332"/>
      <c r="Q1470" s="152"/>
    </row>
    <row r="1471" spans="2:17" ht="13">
      <c r="B1471" s="396"/>
      <c r="C1471" s="116"/>
      <c r="D1471" s="116"/>
      <c r="E1471" s="116"/>
      <c r="F1471" s="116"/>
      <c r="G1471" s="332"/>
      <c r="H1471" s="332"/>
      <c r="I1471" s="332"/>
      <c r="J1471" s="332"/>
      <c r="K1471" s="332"/>
      <c r="L1471" s="332"/>
      <c r="Q1471" s="152"/>
    </row>
    <row r="1472" spans="2:17" ht="13">
      <c r="B1472" s="396"/>
      <c r="C1472" s="116"/>
      <c r="D1472" s="116"/>
      <c r="E1472" s="116"/>
      <c r="F1472" s="116"/>
      <c r="G1472" s="332"/>
      <c r="H1472" s="332"/>
      <c r="I1472" s="332"/>
      <c r="J1472" s="332"/>
      <c r="K1472" s="332"/>
      <c r="L1472" s="332"/>
      <c r="Q1472" s="152"/>
    </row>
    <row r="1473" spans="2:17" ht="13">
      <c r="B1473" s="396"/>
      <c r="C1473" s="116"/>
      <c r="D1473" s="116"/>
      <c r="E1473" s="116"/>
      <c r="F1473" s="116"/>
      <c r="G1473" s="332"/>
      <c r="H1473" s="332"/>
      <c r="I1473" s="332"/>
      <c r="J1473" s="332"/>
      <c r="K1473" s="332"/>
      <c r="L1473" s="332"/>
      <c r="Q1473" s="152"/>
    </row>
    <row r="1474" spans="2:17" ht="13">
      <c r="B1474" s="396"/>
      <c r="C1474" s="116"/>
      <c r="D1474" s="116"/>
      <c r="E1474" s="116"/>
      <c r="F1474" s="116"/>
      <c r="G1474" s="332"/>
      <c r="H1474" s="332"/>
      <c r="I1474" s="332"/>
      <c r="J1474" s="332"/>
      <c r="K1474" s="332"/>
      <c r="L1474" s="332"/>
      <c r="Q1474" s="152"/>
    </row>
    <row r="1475" spans="2:17" ht="13">
      <c r="B1475" s="396"/>
      <c r="C1475" s="116"/>
      <c r="D1475" s="116"/>
      <c r="E1475" s="116"/>
      <c r="F1475" s="116"/>
      <c r="G1475" s="332"/>
      <c r="H1475" s="332"/>
      <c r="I1475" s="332"/>
      <c r="J1475" s="332"/>
      <c r="K1475" s="332"/>
      <c r="L1475" s="332"/>
      <c r="Q1475" s="152"/>
    </row>
    <row r="1476" spans="2:17" ht="13">
      <c r="B1476" s="396"/>
      <c r="C1476" s="116"/>
      <c r="D1476" s="116"/>
      <c r="E1476" s="116"/>
      <c r="F1476" s="116"/>
      <c r="G1476" s="332"/>
      <c r="H1476" s="332"/>
      <c r="I1476" s="332"/>
      <c r="J1476" s="332"/>
      <c r="K1476" s="332"/>
      <c r="L1476" s="332"/>
      <c r="Q1476" s="152"/>
    </row>
    <row r="1477" spans="2:17" ht="13">
      <c r="B1477" s="396"/>
      <c r="C1477" s="116"/>
      <c r="D1477" s="116"/>
      <c r="E1477" s="116"/>
      <c r="F1477" s="116"/>
      <c r="G1477" s="332"/>
      <c r="H1477" s="332"/>
      <c r="I1477" s="332"/>
      <c r="J1477" s="332"/>
      <c r="K1477" s="332"/>
      <c r="L1477" s="332"/>
      <c r="Q1477" s="152"/>
    </row>
    <row r="1478" spans="2:17" ht="13">
      <c r="B1478" s="396"/>
      <c r="C1478" s="116"/>
      <c r="D1478" s="116"/>
      <c r="E1478" s="116"/>
      <c r="F1478" s="116"/>
      <c r="G1478" s="332"/>
      <c r="H1478" s="332"/>
      <c r="I1478" s="332"/>
      <c r="J1478" s="332"/>
      <c r="K1478" s="332"/>
      <c r="L1478" s="332"/>
      <c r="Q1478" s="152"/>
    </row>
    <row r="1479" spans="2:17" ht="13">
      <c r="B1479" s="396"/>
      <c r="C1479" s="116"/>
      <c r="D1479" s="116"/>
      <c r="E1479" s="116"/>
      <c r="F1479" s="116"/>
      <c r="G1479" s="332"/>
      <c r="H1479" s="332"/>
      <c r="I1479" s="332"/>
      <c r="J1479" s="332"/>
      <c r="K1479" s="332"/>
      <c r="L1479" s="332"/>
      <c r="Q1479" s="152"/>
    </row>
    <row r="1480" spans="2:17" ht="13">
      <c r="B1480" s="396"/>
      <c r="C1480" s="116"/>
      <c r="D1480" s="116"/>
      <c r="E1480" s="116"/>
      <c r="F1480" s="116"/>
      <c r="G1480" s="332"/>
      <c r="H1480" s="332"/>
      <c r="I1480" s="332"/>
      <c r="J1480" s="332"/>
      <c r="K1480" s="332"/>
      <c r="L1480" s="332"/>
      <c r="Q1480" s="152"/>
    </row>
    <row r="1481" spans="2:17" ht="13">
      <c r="B1481" s="396"/>
      <c r="C1481" s="116"/>
      <c r="D1481" s="116"/>
      <c r="E1481" s="116"/>
      <c r="F1481" s="116"/>
      <c r="G1481" s="332"/>
      <c r="H1481" s="332"/>
      <c r="I1481" s="332"/>
      <c r="J1481" s="332"/>
      <c r="K1481" s="332"/>
      <c r="L1481" s="332"/>
      <c r="Q1481" s="152"/>
    </row>
    <row r="1482" spans="2:17" ht="13">
      <c r="B1482" s="396"/>
      <c r="C1482" s="116"/>
      <c r="D1482" s="116"/>
      <c r="E1482" s="116"/>
      <c r="F1482" s="116"/>
      <c r="G1482" s="332"/>
      <c r="H1482" s="332"/>
      <c r="I1482" s="332"/>
      <c r="J1482" s="332"/>
      <c r="K1482" s="332"/>
      <c r="L1482" s="332"/>
      <c r="Q1482" s="152"/>
    </row>
    <row r="1483" spans="2:17" ht="13">
      <c r="B1483" s="396"/>
      <c r="C1483" s="116"/>
      <c r="D1483" s="116"/>
      <c r="E1483" s="116"/>
      <c r="F1483" s="116"/>
      <c r="G1483" s="332"/>
      <c r="H1483" s="332"/>
      <c r="I1483" s="332"/>
      <c r="J1483" s="332"/>
      <c r="K1483" s="332"/>
      <c r="L1483" s="332"/>
      <c r="Q1483" s="152"/>
    </row>
    <row r="1484" spans="2:17" ht="13">
      <c r="B1484" s="396"/>
      <c r="C1484" s="116"/>
      <c r="D1484" s="116"/>
      <c r="E1484" s="116"/>
      <c r="F1484" s="116"/>
      <c r="G1484" s="332"/>
      <c r="H1484" s="332"/>
      <c r="I1484" s="332"/>
      <c r="J1484" s="332"/>
      <c r="K1484" s="332"/>
      <c r="L1484" s="332"/>
      <c r="Q1484" s="152"/>
    </row>
    <row r="1485" spans="2:17" ht="13">
      <c r="B1485" s="396"/>
      <c r="C1485" s="116"/>
      <c r="D1485" s="116"/>
      <c r="E1485" s="116"/>
      <c r="F1485" s="116"/>
      <c r="G1485" s="332"/>
      <c r="H1485" s="332"/>
      <c r="I1485" s="332"/>
      <c r="J1485" s="332"/>
      <c r="K1485" s="332"/>
      <c r="L1485" s="332"/>
      <c r="Q1485" s="152"/>
    </row>
    <row r="1486" spans="2:17" ht="13">
      <c r="B1486" s="396"/>
      <c r="C1486" s="116"/>
      <c r="D1486" s="116"/>
      <c r="E1486" s="116"/>
      <c r="F1486" s="116"/>
      <c r="G1486" s="332"/>
      <c r="H1486" s="332"/>
      <c r="I1486" s="332"/>
      <c r="J1486" s="332"/>
      <c r="K1486" s="332"/>
      <c r="L1486" s="332"/>
      <c r="Q1486" s="152"/>
    </row>
    <row r="1487" spans="2:17" ht="13">
      <c r="B1487" s="396"/>
      <c r="C1487" s="116"/>
      <c r="D1487" s="116"/>
      <c r="E1487" s="116"/>
      <c r="F1487" s="116"/>
      <c r="G1487" s="332"/>
      <c r="H1487" s="332"/>
      <c r="I1487" s="332"/>
      <c r="J1487" s="332"/>
      <c r="K1487" s="332"/>
      <c r="L1487" s="332"/>
      <c r="Q1487" s="152"/>
    </row>
    <row r="1488" spans="2:17" ht="13">
      <c r="B1488" s="396"/>
      <c r="C1488" s="116"/>
      <c r="D1488" s="116"/>
      <c r="E1488" s="116"/>
      <c r="F1488" s="116"/>
      <c r="G1488" s="332"/>
      <c r="H1488" s="332"/>
      <c r="I1488" s="332"/>
      <c r="J1488" s="332"/>
      <c r="K1488" s="332"/>
      <c r="L1488" s="332"/>
      <c r="Q1488" s="152"/>
    </row>
    <row r="1489" spans="2:17" ht="13">
      <c r="B1489" s="396"/>
      <c r="C1489" s="116"/>
      <c r="D1489" s="116"/>
      <c r="E1489" s="116"/>
      <c r="F1489" s="116"/>
      <c r="G1489" s="332"/>
      <c r="H1489" s="332"/>
      <c r="I1489" s="332"/>
      <c r="J1489" s="332"/>
      <c r="K1489" s="332"/>
      <c r="L1489" s="332"/>
      <c r="Q1489" s="152"/>
    </row>
    <row r="1490" spans="2:17" ht="13">
      <c r="B1490" s="396"/>
      <c r="C1490" s="116"/>
      <c r="D1490" s="116"/>
      <c r="E1490" s="116"/>
      <c r="F1490" s="116"/>
      <c r="G1490" s="332"/>
      <c r="H1490" s="332"/>
      <c r="I1490" s="332"/>
      <c r="J1490" s="332"/>
      <c r="K1490" s="332"/>
      <c r="L1490" s="332"/>
      <c r="Q1490" s="152"/>
    </row>
    <row r="1491" spans="2:17" ht="13">
      <c r="B1491" s="396"/>
      <c r="C1491" s="116"/>
      <c r="D1491" s="116"/>
      <c r="E1491" s="116"/>
      <c r="F1491" s="116"/>
      <c r="G1491" s="332"/>
      <c r="H1491" s="332"/>
      <c r="I1491" s="332"/>
      <c r="J1491" s="332"/>
      <c r="K1491" s="332"/>
      <c r="L1491" s="332"/>
      <c r="Q1491" s="152"/>
    </row>
    <row r="1492" spans="2:17" ht="13">
      <c r="B1492" s="396"/>
      <c r="C1492" s="116"/>
      <c r="D1492" s="116"/>
      <c r="E1492" s="116"/>
      <c r="F1492" s="116"/>
      <c r="G1492" s="332"/>
      <c r="H1492" s="332"/>
      <c r="I1492" s="332"/>
      <c r="J1492" s="332"/>
      <c r="K1492" s="332"/>
      <c r="L1492" s="332"/>
      <c r="Q1492" s="152"/>
    </row>
    <row r="1493" spans="2:17" ht="13">
      <c r="B1493" s="396"/>
      <c r="C1493" s="116"/>
      <c r="D1493" s="116"/>
      <c r="E1493" s="116"/>
      <c r="F1493" s="116"/>
      <c r="G1493" s="332"/>
      <c r="H1493" s="332"/>
      <c r="I1493" s="332"/>
      <c r="J1493" s="332"/>
      <c r="K1493" s="332"/>
      <c r="L1493" s="332"/>
      <c r="Q1493" s="152"/>
    </row>
    <row r="1494" spans="2:17" ht="13">
      <c r="B1494" s="396"/>
      <c r="C1494" s="116"/>
      <c r="D1494" s="116"/>
      <c r="E1494" s="116"/>
      <c r="F1494" s="116"/>
      <c r="G1494" s="332"/>
      <c r="H1494" s="332"/>
      <c r="I1494" s="332"/>
      <c r="J1494" s="332"/>
      <c r="K1494" s="332"/>
      <c r="L1494" s="332"/>
      <c r="Q1494" s="152"/>
    </row>
    <row r="1495" spans="2:17" ht="13">
      <c r="B1495" s="396"/>
      <c r="C1495" s="116"/>
      <c r="D1495" s="116"/>
      <c r="E1495" s="116"/>
      <c r="F1495" s="116"/>
      <c r="G1495" s="332"/>
      <c r="H1495" s="332"/>
      <c r="I1495" s="332"/>
      <c r="J1495" s="332"/>
      <c r="K1495" s="332"/>
      <c r="L1495" s="332"/>
      <c r="Q1495" s="152"/>
    </row>
    <row r="1496" spans="2:17" ht="13">
      <c r="B1496" s="396"/>
      <c r="C1496" s="116"/>
      <c r="D1496" s="116"/>
      <c r="E1496" s="116"/>
      <c r="F1496" s="116"/>
      <c r="G1496" s="332"/>
      <c r="H1496" s="332"/>
      <c r="I1496" s="332"/>
      <c r="J1496" s="332"/>
      <c r="K1496" s="332"/>
      <c r="L1496" s="332"/>
      <c r="Q1496" s="152"/>
    </row>
    <row r="1497" spans="2:17" ht="13">
      <c r="B1497" s="396"/>
      <c r="C1497" s="116"/>
      <c r="D1497" s="116"/>
      <c r="E1497" s="116"/>
      <c r="F1497" s="116"/>
      <c r="G1497" s="332"/>
      <c r="H1497" s="332"/>
      <c r="I1497" s="332"/>
      <c r="J1497" s="332"/>
      <c r="K1497" s="332"/>
      <c r="L1497" s="332"/>
      <c r="Q1497" s="152"/>
    </row>
    <row r="1498" spans="2:17" ht="13">
      <c r="B1498" s="396"/>
      <c r="C1498" s="116"/>
      <c r="D1498" s="116"/>
      <c r="E1498" s="116"/>
      <c r="F1498" s="116"/>
      <c r="G1498" s="332"/>
      <c r="H1498" s="332"/>
      <c r="I1498" s="332"/>
      <c r="J1498" s="332"/>
      <c r="K1498" s="332"/>
      <c r="L1498" s="332"/>
      <c r="Q1498" s="152"/>
    </row>
    <row r="1499" spans="2:17" ht="13">
      <c r="B1499" s="396"/>
      <c r="C1499" s="116"/>
      <c r="D1499" s="116"/>
      <c r="E1499" s="116"/>
      <c r="F1499" s="116"/>
      <c r="G1499" s="332"/>
      <c r="H1499" s="332"/>
      <c r="I1499" s="332"/>
      <c r="J1499" s="332"/>
      <c r="K1499" s="332"/>
      <c r="L1499" s="332"/>
      <c r="Q1499" s="152"/>
    </row>
    <row r="1500" spans="2:17" ht="13">
      <c r="B1500" s="396"/>
      <c r="C1500" s="116"/>
      <c r="D1500" s="116"/>
      <c r="E1500" s="116"/>
      <c r="F1500" s="116"/>
      <c r="G1500" s="332"/>
      <c r="H1500" s="332"/>
      <c r="I1500" s="332"/>
      <c r="J1500" s="332"/>
      <c r="K1500" s="332"/>
      <c r="L1500" s="332"/>
      <c r="Q1500" s="152"/>
    </row>
    <row r="1501" spans="2:17" ht="13">
      <c r="B1501" s="396"/>
      <c r="C1501" s="116"/>
      <c r="D1501" s="116"/>
      <c r="E1501" s="116"/>
      <c r="F1501" s="116"/>
      <c r="G1501" s="332"/>
      <c r="H1501" s="332"/>
      <c r="I1501" s="332"/>
      <c r="J1501" s="332"/>
      <c r="K1501" s="332"/>
      <c r="L1501" s="332"/>
      <c r="Q1501" s="152"/>
    </row>
    <row r="1502" spans="2:17" ht="13">
      <c r="B1502" s="396"/>
      <c r="C1502" s="116"/>
      <c r="D1502" s="116"/>
      <c r="E1502" s="116"/>
      <c r="F1502" s="116"/>
      <c r="G1502" s="332"/>
      <c r="H1502" s="332"/>
      <c r="I1502" s="332"/>
      <c r="J1502" s="332"/>
      <c r="K1502" s="332"/>
      <c r="L1502" s="332"/>
      <c r="Q1502" s="152"/>
    </row>
    <row r="1503" spans="2:17" ht="13">
      <c r="B1503" s="396"/>
      <c r="C1503" s="116"/>
      <c r="D1503" s="116"/>
      <c r="E1503" s="116"/>
      <c r="F1503" s="116"/>
      <c r="G1503" s="332"/>
      <c r="H1503" s="332"/>
      <c r="I1503" s="332"/>
      <c r="J1503" s="332"/>
      <c r="K1503" s="332"/>
      <c r="L1503" s="332"/>
      <c r="Q1503" s="152"/>
    </row>
    <row r="1504" spans="2:17" ht="13">
      <c r="B1504" s="396"/>
      <c r="C1504" s="116"/>
      <c r="D1504" s="116"/>
      <c r="E1504" s="116"/>
      <c r="F1504" s="116"/>
      <c r="G1504" s="332"/>
      <c r="H1504" s="332"/>
      <c r="I1504" s="332"/>
      <c r="J1504" s="332"/>
      <c r="K1504" s="332"/>
      <c r="L1504" s="332"/>
      <c r="Q1504" s="152"/>
    </row>
    <row r="1505" spans="2:17" ht="13">
      <c r="B1505" s="396"/>
      <c r="C1505" s="116"/>
      <c r="D1505" s="116"/>
      <c r="E1505" s="116"/>
      <c r="F1505" s="116"/>
      <c r="G1505" s="332"/>
      <c r="H1505" s="332"/>
      <c r="I1505" s="332"/>
      <c r="J1505" s="332"/>
      <c r="K1505" s="332"/>
      <c r="L1505" s="332"/>
      <c r="Q1505" s="152"/>
    </row>
    <row r="1506" spans="2:17" ht="13">
      <c r="B1506" s="396"/>
      <c r="C1506" s="116"/>
      <c r="D1506" s="116"/>
      <c r="E1506" s="116"/>
      <c r="F1506" s="116"/>
      <c r="G1506" s="332"/>
      <c r="H1506" s="332"/>
      <c r="I1506" s="332"/>
      <c r="J1506" s="332"/>
      <c r="K1506" s="332"/>
      <c r="L1506" s="332"/>
      <c r="Q1506" s="152"/>
    </row>
    <row r="1507" spans="2:17" ht="13">
      <c r="B1507" s="396"/>
      <c r="C1507" s="116"/>
      <c r="D1507" s="116"/>
      <c r="E1507" s="116"/>
      <c r="F1507" s="116"/>
      <c r="G1507" s="332"/>
      <c r="H1507" s="332"/>
      <c r="I1507" s="332"/>
      <c r="J1507" s="332"/>
      <c r="K1507" s="332"/>
      <c r="L1507" s="332"/>
      <c r="Q1507" s="152"/>
    </row>
    <row r="1508" spans="2:17" ht="13">
      <c r="B1508" s="396"/>
      <c r="C1508" s="116"/>
      <c r="D1508" s="116"/>
      <c r="E1508" s="116"/>
      <c r="F1508" s="116"/>
      <c r="G1508" s="332"/>
      <c r="H1508" s="332"/>
      <c r="I1508" s="332"/>
      <c r="J1508" s="332"/>
      <c r="K1508" s="332"/>
      <c r="L1508" s="332"/>
      <c r="Q1508" s="152"/>
    </row>
    <row r="1509" spans="2:17" ht="13">
      <c r="B1509" s="396"/>
      <c r="C1509" s="116"/>
      <c r="D1509" s="116"/>
      <c r="E1509" s="116"/>
      <c r="F1509" s="116"/>
      <c r="G1509" s="332"/>
      <c r="H1509" s="332"/>
      <c r="I1509" s="332"/>
      <c r="J1509" s="332"/>
      <c r="K1509" s="332"/>
      <c r="L1509" s="332"/>
      <c r="Q1509" s="152"/>
    </row>
    <row r="1510" spans="2:17" ht="13">
      <c r="B1510" s="396"/>
      <c r="C1510" s="116"/>
      <c r="D1510" s="116"/>
      <c r="E1510" s="116"/>
      <c r="F1510" s="116"/>
      <c r="G1510" s="332"/>
      <c r="H1510" s="332"/>
      <c r="I1510" s="332"/>
      <c r="J1510" s="332"/>
      <c r="K1510" s="332"/>
      <c r="L1510" s="332"/>
      <c r="Q1510" s="152"/>
    </row>
    <row r="1511" spans="2:17" ht="13">
      <c r="B1511" s="396"/>
      <c r="C1511" s="116"/>
      <c r="D1511" s="116"/>
      <c r="E1511" s="116"/>
      <c r="F1511" s="116"/>
      <c r="G1511" s="332"/>
      <c r="H1511" s="332"/>
      <c r="I1511" s="332"/>
      <c r="J1511" s="332"/>
      <c r="K1511" s="332"/>
      <c r="L1511" s="332"/>
      <c r="Q1511" s="152"/>
    </row>
    <row r="1512" spans="2:17" ht="13">
      <c r="B1512" s="396"/>
      <c r="C1512" s="116"/>
      <c r="D1512" s="116"/>
      <c r="E1512" s="116"/>
      <c r="F1512" s="116"/>
      <c r="G1512" s="332"/>
      <c r="H1512" s="332"/>
      <c r="I1512" s="332"/>
      <c r="J1512" s="332"/>
      <c r="K1512" s="332"/>
      <c r="L1512" s="332"/>
      <c r="Q1512" s="152"/>
    </row>
    <row r="1513" spans="2:17" ht="13">
      <c r="B1513" s="396"/>
      <c r="C1513" s="116"/>
      <c r="D1513" s="116"/>
      <c r="E1513" s="116"/>
      <c r="F1513" s="116"/>
      <c r="G1513" s="332"/>
      <c r="H1513" s="332"/>
      <c r="I1513" s="332"/>
      <c r="J1513" s="332"/>
      <c r="K1513" s="332"/>
      <c r="L1513" s="332"/>
      <c r="Q1513" s="152"/>
    </row>
    <row r="1514" spans="2:17" ht="13">
      <c r="B1514" s="396"/>
      <c r="C1514" s="116"/>
      <c r="D1514" s="116"/>
      <c r="E1514" s="116"/>
      <c r="F1514" s="116"/>
      <c r="G1514" s="332"/>
      <c r="H1514" s="332"/>
      <c r="I1514" s="332"/>
      <c r="J1514" s="332"/>
      <c r="K1514" s="332"/>
      <c r="L1514" s="332"/>
      <c r="Q1514" s="152"/>
    </row>
    <row r="1515" spans="2:17" ht="13">
      <c r="B1515" s="396"/>
      <c r="C1515" s="116"/>
      <c r="D1515" s="116"/>
      <c r="E1515" s="116"/>
      <c r="F1515" s="116"/>
      <c r="G1515" s="332"/>
      <c r="H1515" s="332"/>
      <c r="I1515" s="332"/>
      <c r="J1515" s="332"/>
      <c r="K1515" s="332"/>
      <c r="L1515" s="332"/>
      <c r="Q1515" s="152"/>
    </row>
    <row r="1516" spans="2:17" ht="13">
      <c r="B1516" s="396"/>
      <c r="C1516" s="116"/>
      <c r="D1516" s="116"/>
      <c r="E1516" s="116"/>
      <c r="F1516" s="116"/>
      <c r="G1516" s="332"/>
      <c r="H1516" s="332"/>
      <c r="I1516" s="332"/>
      <c r="J1516" s="332"/>
      <c r="K1516" s="332"/>
      <c r="L1516" s="332"/>
      <c r="Q1516" s="152"/>
    </row>
    <row r="1517" spans="2:17" ht="13">
      <c r="B1517" s="396"/>
      <c r="C1517" s="116"/>
      <c r="D1517" s="116"/>
      <c r="E1517" s="116"/>
      <c r="F1517" s="116"/>
      <c r="G1517" s="332"/>
      <c r="H1517" s="332"/>
      <c r="I1517" s="332"/>
      <c r="J1517" s="332"/>
      <c r="K1517" s="332"/>
      <c r="L1517" s="332"/>
      <c r="Q1517" s="152"/>
    </row>
    <row r="1518" spans="2:17" ht="13">
      <c r="B1518" s="396"/>
      <c r="C1518" s="116"/>
      <c r="D1518" s="116"/>
      <c r="E1518" s="116"/>
      <c r="F1518" s="116"/>
      <c r="G1518" s="332"/>
      <c r="H1518" s="332"/>
      <c r="I1518" s="332"/>
      <c r="J1518" s="332"/>
      <c r="K1518" s="332"/>
      <c r="L1518" s="332"/>
      <c r="Q1518" s="152"/>
    </row>
    <row r="1519" spans="2:17" ht="13">
      <c r="B1519" s="396"/>
      <c r="C1519" s="116"/>
      <c r="D1519" s="116"/>
      <c r="E1519" s="116"/>
      <c r="F1519" s="116"/>
      <c r="G1519" s="332"/>
      <c r="H1519" s="332"/>
      <c r="I1519" s="332"/>
      <c r="J1519" s="332"/>
      <c r="K1519" s="332"/>
      <c r="L1519" s="332"/>
      <c r="Q1519" s="152"/>
    </row>
    <row r="1520" spans="2:17" ht="13">
      <c r="B1520" s="396"/>
      <c r="C1520" s="116"/>
      <c r="D1520" s="116"/>
      <c r="E1520" s="116"/>
      <c r="F1520" s="116"/>
      <c r="G1520" s="332"/>
      <c r="H1520" s="332"/>
      <c r="I1520" s="332"/>
      <c r="J1520" s="332"/>
      <c r="K1520" s="332"/>
      <c r="L1520" s="332"/>
      <c r="Q1520" s="152"/>
    </row>
    <row r="1521" spans="2:17" ht="13">
      <c r="B1521" s="396"/>
      <c r="C1521" s="116"/>
      <c r="D1521" s="116"/>
      <c r="E1521" s="116"/>
      <c r="F1521" s="116"/>
      <c r="G1521" s="332"/>
      <c r="H1521" s="332"/>
      <c r="I1521" s="332"/>
      <c r="J1521" s="332"/>
      <c r="K1521" s="332"/>
      <c r="L1521" s="332"/>
      <c r="Q1521" s="152"/>
    </row>
    <row r="1522" spans="2:17" ht="13">
      <c r="B1522" s="396"/>
      <c r="C1522" s="116"/>
      <c r="D1522" s="116"/>
      <c r="E1522" s="116"/>
      <c r="F1522" s="116"/>
      <c r="G1522" s="332"/>
      <c r="H1522" s="332"/>
      <c r="I1522" s="332"/>
      <c r="J1522" s="332"/>
      <c r="K1522" s="332"/>
      <c r="L1522" s="332"/>
      <c r="Q1522" s="152"/>
    </row>
    <row r="1523" spans="2:17" ht="13">
      <c r="B1523" s="396"/>
      <c r="C1523" s="116"/>
      <c r="D1523" s="116"/>
      <c r="E1523" s="116"/>
      <c r="F1523" s="116"/>
      <c r="G1523" s="332"/>
      <c r="H1523" s="332"/>
      <c r="I1523" s="332"/>
      <c r="J1523" s="332"/>
      <c r="K1523" s="332"/>
      <c r="L1523" s="332"/>
      <c r="Q1523" s="152"/>
    </row>
    <row r="1524" spans="2:17" ht="13">
      <c r="B1524" s="396"/>
      <c r="C1524" s="116"/>
      <c r="D1524" s="116"/>
      <c r="E1524" s="116"/>
      <c r="F1524" s="116"/>
      <c r="G1524" s="332"/>
      <c r="H1524" s="332"/>
      <c r="I1524" s="332"/>
      <c r="J1524" s="332"/>
      <c r="K1524" s="332"/>
      <c r="L1524" s="332"/>
      <c r="Q1524" s="152"/>
    </row>
    <row r="1525" spans="2:17" ht="13">
      <c r="B1525" s="396"/>
      <c r="C1525" s="116"/>
      <c r="D1525" s="116"/>
      <c r="E1525" s="116"/>
      <c r="F1525" s="116"/>
      <c r="G1525" s="332"/>
      <c r="H1525" s="332"/>
      <c r="I1525" s="332"/>
      <c r="J1525" s="332"/>
      <c r="K1525" s="332"/>
      <c r="L1525" s="332"/>
      <c r="Q1525" s="152"/>
    </row>
    <row r="1526" spans="2:17" ht="13">
      <c r="B1526" s="396"/>
      <c r="C1526" s="116"/>
      <c r="D1526" s="116"/>
      <c r="E1526" s="116"/>
      <c r="F1526" s="116"/>
      <c r="G1526" s="332"/>
      <c r="H1526" s="332"/>
      <c r="I1526" s="332"/>
      <c r="J1526" s="332"/>
      <c r="K1526" s="332"/>
      <c r="L1526" s="332"/>
      <c r="Q1526" s="152"/>
    </row>
    <row r="1527" spans="2:17" ht="13">
      <c r="B1527" s="396"/>
      <c r="C1527" s="116"/>
      <c r="D1527" s="116"/>
      <c r="E1527" s="116"/>
      <c r="F1527" s="116"/>
      <c r="G1527" s="332"/>
      <c r="H1527" s="332"/>
      <c r="I1527" s="332"/>
      <c r="J1527" s="332"/>
      <c r="K1527" s="332"/>
      <c r="L1527" s="332"/>
      <c r="Q1527" s="152"/>
    </row>
    <row r="1528" spans="2:17" ht="13">
      <c r="B1528" s="396"/>
      <c r="C1528" s="116"/>
      <c r="D1528" s="116"/>
      <c r="E1528" s="116"/>
      <c r="F1528" s="116"/>
      <c r="G1528" s="332"/>
      <c r="H1528" s="332"/>
      <c r="I1528" s="332"/>
      <c r="J1528" s="332"/>
      <c r="K1528" s="332"/>
      <c r="L1528" s="332"/>
      <c r="Q1528" s="152"/>
    </row>
    <row r="1529" spans="2:17" ht="13">
      <c r="B1529" s="396"/>
      <c r="C1529" s="116"/>
      <c r="D1529" s="116"/>
      <c r="E1529" s="116"/>
      <c r="F1529" s="116"/>
      <c r="G1529" s="332"/>
      <c r="H1529" s="332"/>
      <c r="I1529" s="332"/>
      <c r="J1529" s="332"/>
      <c r="K1529" s="332"/>
      <c r="L1529" s="332"/>
      <c r="Q1529" s="152"/>
    </row>
    <row r="1530" spans="2:17" ht="13">
      <c r="B1530" s="396"/>
      <c r="C1530" s="116"/>
      <c r="D1530" s="116"/>
      <c r="E1530" s="116"/>
      <c r="F1530" s="116"/>
      <c r="G1530" s="332"/>
      <c r="H1530" s="332"/>
      <c r="I1530" s="332"/>
      <c r="J1530" s="332"/>
      <c r="K1530" s="332"/>
      <c r="L1530" s="332"/>
      <c r="Q1530" s="152"/>
    </row>
    <row r="1531" spans="2:17" ht="13">
      <c r="B1531" s="396"/>
      <c r="C1531" s="116"/>
      <c r="D1531" s="116"/>
      <c r="E1531" s="116"/>
      <c r="F1531" s="116"/>
      <c r="G1531" s="332"/>
      <c r="H1531" s="332"/>
      <c r="I1531" s="332"/>
      <c r="J1531" s="332"/>
      <c r="K1531" s="332"/>
      <c r="L1531" s="332"/>
      <c r="Q1531" s="152"/>
    </row>
    <row r="1532" spans="2:17" ht="13">
      <c r="B1532" s="396"/>
      <c r="C1532" s="116"/>
      <c r="D1532" s="116"/>
      <c r="E1532" s="116"/>
      <c r="F1532" s="116"/>
      <c r="G1532" s="332"/>
      <c r="H1532" s="332"/>
      <c r="I1532" s="332"/>
      <c r="J1532" s="332"/>
      <c r="K1532" s="332"/>
      <c r="L1532" s="332"/>
      <c r="Q1532" s="152"/>
    </row>
    <row r="1533" spans="2:17" ht="13">
      <c r="B1533" s="396"/>
      <c r="C1533" s="116"/>
      <c r="D1533" s="116"/>
      <c r="E1533" s="116"/>
      <c r="F1533" s="116"/>
      <c r="G1533" s="332"/>
      <c r="H1533" s="332"/>
      <c r="I1533" s="332"/>
      <c r="J1533" s="332"/>
      <c r="K1533" s="332"/>
      <c r="L1533" s="332"/>
      <c r="Q1533" s="152"/>
    </row>
    <row r="1534" spans="2:17" ht="13">
      <c r="B1534" s="396"/>
      <c r="C1534" s="116"/>
      <c r="D1534" s="116"/>
      <c r="E1534" s="116"/>
      <c r="F1534" s="116"/>
      <c r="G1534" s="332"/>
      <c r="H1534" s="332"/>
      <c r="I1534" s="332"/>
      <c r="J1534" s="332"/>
      <c r="K1534" s="332"/>
      <c r="L1534" s="332"/>
      <c r="Q1534" s="152"/>
    </row>
    <row r="1535" spans="2:17" ht="13">
      <c r="B1535" s="396"/>
      <c r="C1535" s="116"/>
      <c r="D1535" s="116"/>
      <c r="E1535" s="116"/>
      <c r="F1535" s="116"/>
      <c r="G1535" s="332"/>
      <c r="H1535" s="332"/>
      <c r="I1535" s="332"/>
      <c r="J1535" s="332"/>
      <c r="K1535" s="332"/>
      <c r="L1535" s="332"/>
      <c r="Q1535" s="152"/>
    </row>
    <row r="1536" spans="2:17" ht="13">
      <c r="B1536" s="396"/>
      <c r="C1536" s="116"/>
      <c r="D1536" s="116"/>
      <c r="E1536" s="116"/>
      <c r="F1536" s="116"/>
      <c r="G1536" s="332"/>
      <c r="H1536" s="332"/>
      <c r="I1536" s="332"/>
      <c r="J1536" s="332"/>
      <c r="K1536" s="332"/>
      <c r="L1536" s="332"/>
      <c r="Q1536" s="152"/>
    </row>
    <row r="1537" spans="2:17" ht="13">
      <c r="B1537" s="396"/>
      <c r="C1537" s="116"/>
      <c r="D1537" s="116"/>
      <c r="E1537" s="116"/>
      <c r="F1537" s="116"/>
      <c r="G1537" s="332"/>
      <c r="H1537" s="332"/>
      <c r="I1537" s="332"/>
      <c r="J1537" s="332"/>
      <c r="K1537" s="332"/>
      <c r="L1537" s="332"/>
      <c r="Q1537" s="152"/>
    </row>
    <row r="1538" spans="2:17" ht="13">
      <c r="B1538" s="396"/>
      <c r="C1538" s="116"/>
      <c r="D1538" s="116"/>
      <c r="E1538" s="116"/>
      <c r="F1538" s="116"/>
      <c r="G1538" s="332"/>
      <c r="H1538" s="332"/>
      <c r="I1538" s="332"/>
      <c r="J1538" s="332"/>
      <c r="K1538" s="332"/>
      <c r="L1538" s="332"/>
      <c r="Q1538" s="152"/>
    </row>
    <row r="1539" spans="2:17" ht="13">
      <c r="B1539" s="396"/>
      <c r="C1539" s="116"/>
      <c r="D1539" s="116"/>
      <c r="E1539" s="116"/>
      <c r="F1539" s="116"/>
      <c r="G1539" s="332"/>
      <c r="H1539" s="332"/>
      <c r="I1539" s="332"/>
      <c r="J1539" s="332"/>
      <c r="K1539" s="332"/>
      <c r="L1539" s="332"/>
      <c r="Q1539" s="152"/>
    </row>
    <row r="1540" spans="2:17" ht="13">
      <c r="B1540" s="396"/>
      <c r="C1540" s="116"/>
      <c r="D1540" s="116"/>
      <c r="E1540" s="116"/>
      <c r="F1540" s="116"/>
      <c r="G1540" s="332"/>
      <c r="H1540" s="332"/>
      <c r="I1540" s="332"/>
      <c r="J1540" s="332"/>
      <c r="K1540" s="332"/>
      <c r="L1540" s="332"/>
      <c r="Q1540" s="152"/>
    </row>
    <row r="1541" spans="2:17" ht="13">
      <c r="B1541" s="396"/>
      <c r="C1541" s="116"/>
      <c r="D1541" s="116"/>
      <c r="E1541" s="116"/>
      <c r="F1541" s="116"/>
      <c r="G1541" s="332"/>
      <c r="H1541" s="332"/>
      <c r="I1541" s="332"/>
      <c r="J1541" s="332"/>
      <c r="K1541" s="332"/>
      <c r="L1541" s="332"/>
      <c r="Q1541" s="152"/>
    </row>
    <row r="1542" spans="2:17" ht="13">
      <c r="B1542" s="396"/>
      <c r="C1542" s="116"/>
      <c r="D1542" s="116"/>
      <c r="E1542" s="116"/>
      <c r="F1542" s="116"/>
      <c r="G1542" s="332"/>
      <c r="H1542" s="332"/>
      <c r="I1542" s="332"/>
      <c r="J1542" s="332"/>
      <c r="K1542" s="332"/>
      <c r="L1542" s="332"/>
      <c r="Q1542" s="152"/>
    </row>
    <row r="1543" spans="2:17" ht="13">
      <c r="B1543" s="396"/>
      <c r="C1543" s="116"/>
      <c r="D1543" s="116"/>
      <c r="E1543" s="116"/>
      <c r="F1543" s="116"/>
      <c r="G1543" s="332"/>
      <c r="H1543" s="332"/>
      <c r="I1543" s="332"/>
      <c r="J1543" s="332"/>
      <c r="K1543" s="332"/>
      <c r="L1543" s="332"/>
      <c r="Q1543" s="152"/>
    </row>
    <row r="1544" spans="2:17" ht="13">
      <c r="B1544" s="396"/>
      <c r="C1544" s="116"/>
      <c r="D1544" s="116"/>
      <c r="E1544" s="116"/>
      <c r="F1544" s="116"/>
      <c r="G1544" s="332"/>
      <c r="H1544" s="332"/>
      <c r="I1544" s="332"/>
      <c r="J1544" s="332"/>
      <c r="K1544" s="332"/>
      <c r="L1544" s="332"/>
      <c r="Q1544" s="152"/>
    </row>
    <row r="1545" spans="2:17" ht="13">
      <c r="B1545" s="396"/>
      <c r="C1545" s="116"/>
      <c r="D1545" s="116"/>
      <c r="E1545" s="116"/>
      <c r="F1545" s="116"/>
      <c r="G1545" s="332"/>
      <c r="H1545" s="332"/>
      <c r="I1545" s="332"/>
      <c r="J1545" s="332"/>
      <c r="K1545" s="332"/>
      <c r="L1545" s="332"/>
      <c r="Q1545" s="152"/>
    </row>
    <row r="1546" spans="2:17" ht="13">
      <c r="B1546" s="396"/>
      <c r="C1546" s="116"/>
      <c r="D1546" s="116"/>
      <c r="E1546" s="116"/>
      <c r="F1546" s="116"/>
      <c r="G1546" s="332"/>
      <c r="H1546" s="332"/>
      <c r="I1546" s="332"/>
      <c r="J1546" s="332"/>
      <c r="K1546" s="332"/>
      <c r="L1546" s="332"/>
      <c r="Q1546" s="152"/>
    </row>
    <row r="1547" spans="2:17" ht="13">
      <c r="B1547" s="396"/>
      <c r="C1547" s="116"/>
      <c r="D1547" s="116"/>
      <c r="E1547" s="116"/>
      <c r="F1547" s="116"/>
      <c r="G1547" s="332"/>
      <c r="H1547" s="332"/>
      <c r="I1547" s="332"/>
      <c r="J1547" s="332"/>
      <c r="K1547" s="332"/>
      <c r="L1547" s="332"/>
      <c r="Q1547" s="152"/>
    </row>
    <row r="1548" spans="2:17" ht="13">
      <c r="B1548" s="396"/>
      <c r="C1548" s="116"/>
      <c r="D1548" s="116"/>
      <c r="E1548" s="116"/>
      <c r="F1548" s="116"/>
      <c r="G1548" s="332"/>
      <c r="H1548" s="332"/>
      <c r="I1548" s="332"/>
      <c r="J1548" s="332"/>
      <c r="K1548" s="332"/>
      <c r="L1548" s="332"/>
      <c r="Q1548" s="152"/>
    </row>
    <row r="1549" spans="2:17" ht="13">
      <c r="B1549" s="396"/>
      <c r="C1549" s="116"/>
      <c r="D1549" s="116"/>
      <c r="E1549" s="116"/>
      <c r="F1549" s="116"/>
      <c r="G1549" s="332"/>
      <c r="H1549" s="332"/>
      <c r="I1549" s="332"/>
      <c r="J1549" s="332"/>
      <c r="K1549" s="332"/>
      <c r="L1549" s="332"/>
      <c r="Q1549" s="152"/>
    </row>
    <row r="1550" spans="2:17" ht="13">
      <c r="B1550" s="396"/>
      <c r="C1550" s="116"/>
      <c r="D1550" s="116"/>
      <c r="E1550" s="116"/>
      <c r="F1550" s="116"/>
      <c r="G1550" s="332"/>
      <c r="H1550" s="332"/>
      <c r="I1550" s="332"/>
      <c r="J1550" s="332"/>
      <c r="K1550" s="332"/>
      <c r="L1550" s="332"/>
      <c r="Q1550" s="152"/>
    </row>
    <row r="1551" spans="2:17" ht="13">
      <c r="B1551" s="396"/>
      <c r="C1551" s="116"/>
      <c r="D1551" s="116"/>
      <c r="E1551" s="116"/>
      <c r="F1551" s="116"/>
      <c r="G1551" s="332"/>
      <c r="H1551" s="332"/>
      <c r="I1551" s="332"/>
      <c r="J1551" s="332"/>
      <c r="K1551" s="332"/>
      <c r="L1551" s="332"/>
      <c r="Q1551" s="152"/>
    </row>
    <row r="1552" spans="2:17" ht="13">
      <c r="B1552" s="396"/>
      <c r="C1552" s="116"/>
      <c r="D1552" s="116"/>
      <c r="E1552" s="116"/>
      <c r="F1552" s="116"/>
      <c r="G1552" s="332"/>
      <c r="H1552" s="332"/>
      <c r="I1552" s="332"/>
      <c r="J1552" s="332"/>
      <c r="K1552" s="332"/>
      <c r="L1552" s="332"/>
      <c r="Q1552" s="152"/>
    </row>
    <row r="1553" spans="2:17" ht="13">
      <c r="B1553" s="396"/>
      <c r="C1553" s="116"/>
      <c r="D1553" s="116"/>
      <c r="E1553" s="116"/>
      <c r="F1553" s="116"/>
      <c r="G1553" s="332"/>
      <c r="H1553" s="332"/>
      <c r="I1553" s="332"/>
      <c r="J1553" s="332"/>
      <c r="K1553" s="332"/>
      <c r="L1553" s="332"/>
      <c r="Q1553" s="152"/>
    </row>
    <row r="1554" spans="2:17" ht="13">
      <c r="B1554" s="396"/>
      <c r="C1554" s="116"/>
      <c r="D1554" s="116"/>
      <c r="E1554" s="116"/>
      <c r="F1554" s="116"/>
      <c r="G1554" s="332"/>
      <c r="H1554" s="332"/>
      <c r="I1554" s="332"/>
      <c r="J1554" s="332"/>
      <c r="K1554" s="332"/>
      <c r="L1554" s="332"/>
      <c r="Q1554" s="152"/>
    </row>
    <row r="1555" spans="2:17" ht="13">
      <c r="B1555" s="396"/>
      <c r="C1555" s="116"/>
      <c r="D1555" s="116"/>
      <c r="E1555" s="116"/>
      <c r="F1555" s="116"/>
      <c r="G1555" s="332"/>
      <c r="H1555" s="332"/>
      <c r="I1555" s="332"/>
      <c r="J1555" s="332"/>
      <c r="K1555" s="332"/>
      <c r="L1555" s="332"/>
      <c r="Q1555" s="152"/>
    </row>
    <row r="1556" spans="2:17" ht="13">
      <c r="B1556" s="396"/>
      <c r="C1556" s="116"/>
      <c r="D1556" s="116"/>
      <c r="E1556" s="116"/>
      <c r="F1556" s="116"/>
      <c r="G1556" s="332"/>
      <c r="H1556" s="332"/>
      <c r="I1556" s="332"/>
      <c r="J1556" s="332"/>
      <c r="K1556" s="332"/>
      <c r="L1556" s="332"/>
      <c r="Q1556" s="152"/>
    </row>
    <row r="1557" spans="2:17" ht="13">
      <c r="B1557" s="396"/>
      <c r="C1557" s="116"/>
      <c r="D1557" s="116"/>
      <c r="E1557" s="116"/>
      <c r="F1557" s="116"/>
      <c r="G1557" s="332"/>
      <c r="H1557" s="332"/>
      <c r="I1557" s="332"/>
      <c r="J1557" s="332"/>
      <c r="K1557" s="332"/>
      <c r="L1557" s="332"/>
      <c r="Q1557" s="152"/>
    </row>
    <row r="1558" spans="2:17" ht="13">
      <c r="B1558" s="396"/>
      <c r="C1558" s="116"/>
      <c r="D1558" s="116"/>
      <c r="E1558" s="116"/>
      <c r="F1558" s="116"/>
      <c r="G1558" s="332"/>
      <c r="H1558" s="332"/>
      <c r="I1558" s="332"/>
      <c r="J1558" s="332"/>
      <c r="K1558" s="332"/>
      <c r="L1558" s="332"/>
      <c r="Q1558" s="152"/>
    </row>
    <row r="1559" spans="2:17" ht="13">
      <c r="B1559" s="396"/>
      <c r="C1559" s="116"/>
      <c r="D1559" s="116"/>
      <c r="E1559" s="116"/>
      <c r="F1559" s="116"/>
      <c r="G1559" s="332"/>
      <c r="H1559" s="332"/>
      <c r="I1559" s="332"/>
      <c r="J1559" s="332"/>
      <c r="K1559" s="332"/>
      <c r="L1559" s="332"/>
      <c r="Q1559" s="152"/>
    </row>
    <row r="1560" spans="2:17" ht="13">
      <c r="B1560" s="396"/>
      <c r="C1560" s="116"/>
      <c r="D1560" s="116"/>
      <c r="E1560" s="116"/>
      <c r="F1560" s="116"/>
      <c r="G1560" s="332"/>
      <c r="H1560" s="332"/>
      <c r="I1560" s="332"/>
      <c r="J1560" s="332"/>
      <c r="K1560" s="332"/>
      <c r="L1560" s="332"/>
      <c r="Q1560" s="152"/>
    </row>
    <row r="1561" spans="2:17" ht="13">
      <c r="B1561" s="396"/>
      <c r="C1561" s="116"/>
      <c r="D1561" s="116"/>
      <c r="E1561" s="116"/>
      <c r="F1561" s="116"/>
      <c r="G1561" s="332"/>
      <c r="H1561" s="332"/>
      <c r="I1561" s="332"/>
      <c r="J1561" s="332"/>
      <c r="K1561" s="332"/>
      <c r="L1561" s="332"/>
      <c r="Q1561" s="152"/>
    </row>
    <row r="1562" spans="2:17" ht="13">
      <c r="B1562" s="396"/>
      <c r="C1562" s="116"/>
      <c r="D1562" s="116"/>
      <c r="E1562" s="116"/>
      <c r="F1562" s="116"/>
      <c r="G1562" s="332"/>
      <c r="H1562" s="332"/>
      <c r="I1562" s="332"/>
      <c r="J1562" s="332"/>
      <c r="K1562" s="332"/>
      <c r="L1562" s="332"/>
      <c r="Q1562" s="152"/>
    </row>
    <row r="1563" spans="2:17" ht="13">
      <c r="B1563" s="396"/>
      <c r="C1563" s="116"/>
      <c r="D1563" s="116"/>
      <c r="E1563" s="116"/>
      <c r="F1563" s="116"/>
      <c r="G1563" s="332"/>
      <c r="H1563" s="332"/>
      <c r="I1563" s="332"/>
      <c r="J1563" s="332"/>
      <c r="K1563" s="332"/>
      <c r="L1563" s="332"/>
      <c r="Q1563" s="152"/>
    </row>
    <row r="1564" spans="2:17" ht="13">
      <c r="B1564" s="396"/>
      <c r="C1564" s="116"/>
      <c r="D1564" s="116"/>
      <c r="E1564" s="116"/>
      <c r="F1564" s="116"/>
      <c r="G1564" s="332"/>
      <c r="H1564" s="332"/>
      <c r="I1564" s="332"/>
      <c r="J1564" s="332"/>
      <c r="K1564" s="332"/>
      <c r="L1564" s="332"/>
      <c r="Q1564" s="152"/>
    </row>
    <row r="1565" spans="2:17" ht="13">
      <c r="B1565" s="396"/>
      <c r="C1565" s="116"/>
      <c r="D1565" s="116"/>
      <c r="E1565" s="116"/>
      <c r="F1565" s="116"/>
      <c r="G1565" s="332"/>
      <c r="H1565" s="332"/>
      <c r="I1565" s="332"/>
      <c r="J1565" s="332"/>
      <c r="K1565" s="332"/>
      <c r="L1565" s="332"/>
      <c r="Q1565" s="152"/>
    </row>
    <row r="1566" spans="2:17" ht="13">
      <c r="B1566" s="396"/>
      <c r="C1566" s="116"/>
      <c r="D1566" s="116"/>
      <c r="E1566" s="116"/>
      <c r="F1566" s="116"/>
      <c r="G1566" s="332"/>
      <c r="H1566" s="332"/>
      <c r="I1566" s="332"/>
      <c r="J1566" s="332"/>
      <c r="K1566" s="332"/>
      <c r="L1566" s="332"/>
      <c r="Q1566" s="152"/>
    </row>
    <row r="1567" spans="2:17" ht="13">
      <c r="B1567" s="396"/>
      <c r="C1567" s="116"/>
      <c r="D1567" s="116"/>
      <c r="E1567" s="116"/>
      <c r="F1567" s="116"/>
      <c r="G1567" s="332"/>
      <c r="H1567" s="332"/>
      <c r="I1567" s="332"/>
      <c r="J1567" s="332"/>
      <c r="K1567" s="332"/>
      <c r="L1567" s="332"/>
      <c r="Q1567" s="152"/>
    </row>
    <row r="1568" spans="2:17" ht="13">
      <c r="B1568" s="396"/>
      <c r="C1568" s="116"/>
      <c r="D1568" s="116"/>
      <c r="E1568" s="116"/>
      <c r="F1568" s="116"/>
      <c r="G1568" s="332"/>
      <c r="H1568" s="332"/>
      <c r="I1568" s="332"/>
      <c r="J1568" s="332"/>
      <c r="K1568" s="332"/>
      <c r="L1568" s="332"/>
      <c r="Q1568" s="152"/>
    </row>
    <row r="1569" spans="2:17" ht="13">
      <c r="B1569" s="396"/>
      <c r="C1569" s="116"/>
      <c r="D1569" s="116"/>
      <c r="E1569" s="116"/>
      <c r="F1569" s="116"/>
      <c r="G1569" s="332"/>
      <c r="H1569" s="332"/>
      <c r="I1569" s="332"/>
      <c r="J1569" s="332"/>
      <c r="K1569" s="332"/>
      <c r="L1569" s="332"/>
      <c r="Q1569" s="152"/>
    </row>
    <row r="1570" spans="2:17" ht="13">
      <c r="B1570" s="396"/>
      <c r="C1570" s="116"/>
      <c r="D1570" s="116"/>
      <c r="E1570" s="116"/>
      <c r="F1570" s="116"/>
      <c r="G1570" s="332"/>
      <c r="H1570" s="332"/>
      <c r="I1570" s="332"/>
      <c r="J1570" s="332"/>
      <c r="K1570" s="332"/>
      <c r="L1570" s="332"/>
      <c r="Q1570" s="152"/>
    </row>
    <row r="1571" spans="2:17" ht="13">
      <c r="B1571" s="396"/>
      <c r="C1571" s="116"/>
      <c r="D1571" s="116"/>
      <c r="E1571" s="116"/>
      <c r="F1571" s="116"/>
      <c r="G1571" s="332"/>
      <c r="H1571" s="332"/>
      <c r="I1571" s="332"/>
      <c r="J1571" s="332"/>
      <c r="K1571" s="332"/>
      <c r="L1571" s="332"/>
      <c r="Q1571" s="152"/>
    </row>
    <row r="1572" spans="2:17" ht="13">
      <c r="B1572" s="396"/>
      <c r="C1572" s="116"/>
      <c r="D1572" s="116"/>
      <c r="E1572" s="116"/>
      <c r="F1572" s="116"/>
      <c r="G1572" s="332"/>
      <c r="H1572" s="332"/>
      <c r="I1572" s="332"/>
      <c r="J1572" s="332"/>
      <c r="K1572" s="332"/>
      <c r="L1572" s="332"/>
      <c r="Q1572" s="152"/>
    </row>
    <row r="1573" spans="2:17" ht="13">
      <c r="B1573" s="396"/>
      <c r="C1573" s="116"/>
      <c r="D1573" s="116"/>
      <c r="E1573" s="116"/>
      <c r="F1573" s="116"/>
      <c r="G1573" s="332"/>
      <c r="H1573" s="332"/>
      <c r="I1573" s="332"/>
      <c r="J1573" s="332"/>
      <c r="K1573" s="332"/>
      <c r="L1573" s="332"/>
      <c r="Q1573" s="152"/>
    </row>
    <row r="1574" spans="2:17" ht="13">
      <c r="B1574" s="396"/>
      <c r="C1574" s="116"/>
      <c r="D1574" s="116"/>
      <c r="E1574" s="116"/>
      <c r="F1574" s="116"/>
      <c r="G1574" s="332"/>
      <c r="H1574" s="332"/>
      <c r="I1574" s="332"/>
      <c r="J1574" s="332"/>
      <c r="K1574" s="332"/>
      <c r="L1574" s="332"/>
      <c r="Q1574" s="152"/>
    </row>
    <row r="1575" spans="2:17" ht="13">
      <c r="B1575" s="396"/>
      <c r="C1575" s="116"/>
      <c r="D1575" s="116"/>
      <c r="E1575" s="116"/>
      <c r="F1575" s="116"/>
      <c r="G1575" s="332"/>
      <c r="H1575" s="332"/>
      <c r="I1575" s="332"/>
      <c r="J1575" s="332"/>
      <c r="K1575" s="332"/>
      <c r="L1575" s="332"/>
      <c r="Q1575" s="152"/>
    </row>
    <row r="1576" spans="2:17" ht="13">
      <c r="B1576" s="396"/>
      <c r="C1576" s="116"/>
      <c r="D1576" s="116"/>
      <c r="E1576" s="116"/>
      <c r="F1576" s="116"/>
      <c r="G1576" s="332"/>
      <c r="H1576" s="332"/>
      <c r="I1576" s="332"/>
      <c r="J1576" s="332"/>
      <c r="K1576" s="332"/>
      <c r="L1576" s="332"/>
      <c r="Q1576" s="152"/>
    </row>
    <row r="1577" spans="2:17" ht="13">
      <c r="B1577" s="396"/>
      <c r="C1577" s="116"/>
      <c r="D1577" s="116"/>
      <c r="E1577" s="116"/>
      <c r="F1577" s="116"/>
      <c r="G1577" s="332"/>
      <c r="H1577" s="332"/>
      <c r="I1577" s="332"/>
      <c r="J1577" s="332"/>
      <c r="K1577" s="332"/>
      <c r="L1577" s="332"/>
      <c r="Q1577" s="152"/>
    </row>
    <row r="1578" spans="2:17" ht="13">
      <c r="B1578" s="396"/>
      <c r="C1578" s="116"/>
      <c r="D1578" s="116"/>
      <c r="E1578" s="116"/>
      <c r="F1578" s="116"/>
      <c r="G1578" s="332"/>
      <c r="H1578" s="332"/>
      <c r="I1578" s="332"/>
      <c r="J1578" s="332"/>
      <c r="K1578" s="332"/>
      <c r="L1578" s="332"/>
      <c r="Q1578" s="152"/>
    </row>
    <row r="1579" spans="2:17" ht="13">
      <c r="B1579" s="396"/>
      <c r="C1579" s="116"/>
      <c r="D1579" s="116"/>
      <c r="E1579" s="116"/>
      <c r="F1579" s="116"/>
      <c r="G1579" s="332"/>
      <c r="H1579" s="332"/>
      <c r="I1579" s="332"/>
      <c r="J1579" s="332"/>
      <c r="K1579" s="332"/>
      <c r="L1579" s="332"/>
      <c r="Q1579" s="152"/>
    </row>
    <row r="1580" spans="2:17" ht="13">
      <c r="B1580" s="396"/>
      <c r="C1580" s="116"/>
      <c r="D1580" s="116"/>
      <c r="E1580" s="116"/>
      <c r="F1580" s="116"/>
      <c r="G1580" s="332"/>
      <c r="H1580" s="332"/>
      <c r="I1580" s="332"/>
      <c r="J1580" s="332"/>
      <c r="K1580" s="332"/>
      <c r="L1580" s="332"/>
      <c r="Q1580" s="152"/>
    </row>
    <row r="1581" spans="2:17" ht="13">
      <c r="B1581" s="396"/>
      <c r="C1581" s="116"/>
      <c r="D1581" s="116"/>
      <c r="E1581" s="116"/>
      <c r="F1581" s="116"/>
      <c r="G1581" s="332"/>
      <c r="H1581" s="332"/>
      <c r="I1581" s="332"/>
      <c r="J1581" s="332"/>
      <c r="K1581" s="332"/>
      <c r="L1581" s="332"/>
      <c r="Q1581" s="152"/>
    </row>
    <row r="1582" spans="2:17" ht="13">
      <c r="B1582" s="396"/>
      <c r="C1582" s="116"/>
      <c r="D1582" s="116"/>
      <c r="E1582" s="116"/>
      <c r="F1582" s="116"/>
      <c r="G1582" s="332"/>
      <c r="H1582" s="332"/>
      <c r="I1582" s="332"/>
      <c r="J1582" s="332"/>
      <c r="K1582" s="332"/>
      <c r="L1582" s="332"/>
      <c r="Q1582" s="152"/>
    </row>
    <row r="1583" spans="2:17" ht="13">
      <c r="B1583" s="396"/>
      <c r="C1583" s="116"/>
      <c r="D1583" s="116"/>
      <c r="E1583" s="116"/>
      <c r="F1583" s="116"/>
      <c r="G1583" s="332"/>
      <c r="H1583" s="332"/>
      <c r="I1583" s="332"/>
      <c r="J1583" s="332"/>
      <c r="K1583" s="332"/>
      <c r="L1583" s="332"/>
      <c r="Q1583" s="152"/>
    </row>
    <row r="1584" spans="2:17" ht="13">
      <c r="B1584" s="396"/>
      <c r="C1584" s="116"/>
      <c r="D1584" s="116"/>
      <c r="E1584" s="116"/>
      <c r="F1584" s="116"/>
      <c r="G1584" s="332"/>
      <c r="H1584" s="332"/>
      <c r="I1584" s="332"/>
      <c r="J1584" s="332"/>
      <c r="K1584" s="332"/>
      <c r="L1584" s="332"/>
      <c r="Q1584" s="152"/>
    </row>
    <row r="1585" spans="2:17" ht="13">
      <c r="B1585" s="396"/>
      <c r="C1585" s="116"/>
      <c r="D1585" s="116"/>
      <c r="E1585" s="116"/>
      <c r="F1585" s="116"/>
      <c r="G1585" s="332"/>
      <c r="H1585" s="332"/>
      <c r="I1585" s="332"/>
      <c r="J1585" s="332"/>
      <c r="K1585" s="332"/>
      <c r="L1585" s="332"/>
      <c r="Q1585" s="152"/>
    </row>
    <row r="1586" spans="2:17" ht="13">
      <c r="B1586" s="396"/>
      <c r="C1586" s="116"/>
      <c r="D1586" s="116"/>
      <c r="E1586" s="116"/>
      <c r="F1586" s="116"/>
      <c r="G1586" s="332"/>
      <c r="H1586" s="332"/>
      <c r="I1586" s="332"/>
      <c r="J1586" s="332"/>
      <c r="K1586" s="332"/>
      <c r="L1586" s="332"/>
      <c r="Q1586" s="152"/>
    </row>
    <row r="1587" spans="2:17" ht="13">
      <c r="B1587" s="396"/>
      <c r="C1587" s="116"/>
      <c r="D1587" s="116"/>
      <c r="E1587" s="116"/>
      <c r="F1587" s="116"/>
      <c r="G1587" s="332"/>
      <c r="H1587" s="332"/>
      <c r="I1587" s="332"/>
      <c r="J1587" s="332"/>
      <c r="K1587" s="332"/>
      <c r="L1587" s="332"/>
      <c r="Q1587" s="152"/>
    </row>
    <row r="1588" spans="2:17" ht="13">
      <c r="B1588" s="396"/>
      <c r="C1588" s="116"/>
      <c r="D1588" s="116"/>
      <c r="E1588" s="116"/>
      <c r="F1588" s="116"/>
      <c r="G1588" s="332"/>
      <c r="H1588" s="332"/>
      <c r="I1588" s="332"/>
      <c r="J1588" s="332"/>
      <c r="K1588" s="332"/>
      <c r="L1588" s="332"/>
      <c r="Q1588" s="152"/>
    </row>
    <row r="1589" spans="2:17" ht="13">
      <c r="B1589" s="396"/>
      <c r="C1589" s="116"/>
      <c r="D1589" s="116"/>
      <c r="E1589" s="116"/>
      <c r="F1589" s="116"/>
      <c r="G1589" s="332"/>
      <c r="H1589" s="332"/>
      <c r="I1589" s="332"/>
      <c r="J1589" s="332"/>
      <c r="K1589" s="332"/>
      <c r="L1589" s="332"/>
      <c r="Q1589" s="152"/>
    </row>
    <row r="1590" spans="2:17" ht="13">
      <c r="B1590" s="396"/>
      <c r="C1590" s="116"/>
      <c r="D1590" s="116"/>
      <c r="E1590" s="116"/>
      <c r="F1590" s="116"/>
      <c r="G1590" s="332"/>
      <c r="H1590" s="332"/>
      <c r="I1590" s="332"/>
      <c r="J1590" s="332"/>
      <c r="K1590" s="332"/>
      <c r="L1590" s="332"/>
      <c r="Q1590" s="152"/>
    </row>
    <row r="1591" spans="2:17" ht="13">
      <c r="B1591" s="396"/>
      <c r="C1591" s="116"/>
      <c r="D1591" s="116"/>
      <c r="E1591" s="116"/>
      <c r="F1591" s="116"/>
      <c r="G1591" s="332"/>
      <c r="H1591" s="332"/>
      <c r="I1591" s="332"/>
      <c r="J1591" s="332"/>
      <c r="K1591" s="332"/>
      <c r="L1591" s="332"/>
      <c r="Q1591" s="152"/>
    </row>
    <row r="1592" spans="2:17" ht="13">
      <c r="B1592" s="396"/>
      <c r="C1592" s="116"/>
      <c r="D1592" s="116"/>
      <c r="E1592" s="116"/>
      <c r="F1592" s="116"/>
      <c r="G1592" s="332"/>
      <c r="H1592" s="332"/>
      <c r="I1592" s="332"/>
      <c r="J1592" s="332"/>
      <c r="K1592" s="332"/>
      <c r="L1592" s="332"/>
      <c r="Q1592" s="152"/>
    </row>
    <row r="1593" spans="2:17" ht="13">
      <c r="B1593" s="396"/>
      <c r="C1593" s="116"/>
      <c r="D1593" s="116"/>
      <c r="E1593" s="116"/>
      <c r="F1593" s="116"/>
      <c r="G1593" s="332"/>
      <c r="H1593" s="332"/>
      <c r="I1593" s="332"/>
      <c r="J1593" s="332"/>
      <c r="K1593" s="332"/>
      <c r="L1593" s="332"/>
      <c r="Q1593" s="152"/>
    </row>
    <row r="1594" spans="2:17" ht="13">
      <c r="B1594" s="396"/>
      <c r="C1594" s="116"/>
      <c r="D1594" s="116"/>
      <c r="E1594" s="116"/>
      <c r="F1594" s="116"/>
      <c r="G1594" s="332"/>
      <c r="H1594" s="332"/>
      <c r="I1594" s="332"/>
      <c r="J1594" s="332"/>
      <c r="K1594" s="332"/>
      <c r="L1594" s="332"/>
      <c r="Q1594" s="152"/>
    </row>
    <row r="1595" spans="2:17" ht="13">
      <c r="B1595" s="396"/>
      <c r="C1595" s="116"/>
      <c r="D1595" s="116"/>
      <c r="E1595" s="116"/>
      <c r="F1595" s="116"/>
      <c r="G1595" s="332"/>
      <c r="H1595" s="332"/>
      <c r="I1595" s="332"/>
      <c r="J1595" s="332"/>
      <c r="K1595" s="332"/>
      <c r="L1595" s="332"/>
      <c r="Q1595" s="152"/>
    </row>
    <row r="1596" spans="2:17" ht="13">
      <c r="B1596" s="396"/>
      <c r="C1596" s="116"/>
      <c r="D1596" s="116"/>
      <c r="E1596" s="116"/>
      <c r="F1596" s="116"/>
      <c r="G1596" s="332"/>
      <c r="H1596" s="332"/>
      <c r="I1596" s="332"/>
      <c r="J1596" s="332"/>
      <c r="K1596" s="332"/>
      <c r="L1596" s="332"/>
      <c r="Q1596" s="152"/>
    </row>
    <row r="1597" spans="2:17" ht="13">
      <c r="B1597" s="396"/>
      <c r="C1597" s="116"/>
      <c r="D1597" s="116"/>
      <c r="E1597" s="116"/>
      <c r="F1597" s="116"/>
      <c r="G1597" s="332"/>
      <c r="H1597" s="332"/>
      <c r="I1597" s="332"/>
      <c r="J1597" s="332"/>
      <c r="K1597" s="332"/>
      <c r="L1597" s="332"/>
      <c r="Q1597" s="152"/>
    </row>
    <row r="1598" spans="2:17" ht="13">
      <c r="B1598" s="396"/>
      <c r="C1598" s="116"/>
      <c r="D1598" s="116"/>
      <c r="E1598" s="116"/>
      <c r="F1598" s="116"/>
      <c r="G1598" s="332"/>
      <c r="H1598" s="332"/>
      <c r="I1598" s="332"/>
      <c r="J1598" s="332"/>
      <c r="K1598" s="332"/>
      <c r="L1598" s="332"/>
      <c r="Q1598" s="152"/>
    </row>
    <row r="1599" spans="2:17" ht="13">
      <c r="B1599" s="396"/>
      <c r="C1599" s="116"/>
      <c r="D1599" s="116"/>
      <c r="E1599" s="116"/>
      <c r="F1599" s="116"/>
      <c r="G1599" s="332"/>
      <c r="H1599" s="332"/>
      <c r="I1599" s="332"/>
      <c r="J1599" s="332"/>
      <c r="K1599" s="332"/>
      <c r="L1599" s="332"/>
      <c r="Q1599" s="152"/>
    </row>
    <row r="1600" spans="2:17" ht="13">
      <c r="B1600" s="396"/>
      <c r="C1600" s="116"/>
      <c r="D1600" s="116"/>
      <c r="E1600" s="116"/>
      <c r="F1600" s="116"/>
      <c r="G1600" s="332"/>
      <c r="H1600" s="332"/>
      <c r="I1600" s="332"/>
      <c r="J1600" s="332"/>
      <c r="K1600" s="332"/>
      <c r="L1600" s="332"/>
      <c r="Q1600" s="152"/>
    </row>
    <row r="1601" spans="2:17" ht="13">
      <c r="B1601" s="396"/>
      <c r="C1601" s="116"/>
      <c r="D1601" s="116"/>
      <c r="E1601" s="116"/>
      <c r="F1601" s="116"/>
      <c r="G1601" s="332"/>
      <c r="H1601" s="332"/>
      <c r="I1601" s="332"/>
      <c r="J1601" s="332"/>
      <c r="K1601" s="332"/>
      <c r="L1601" s="332"/>
      <c r="Q1601" s="152"/>
    </row>
    <row r="1602" spans="2:17" ht="13">
      <c r="B1602" s="396"/>
      <c r="C1602" s="116"/>
      <c r="D1602" s="116"/>
      <c r="E1602" s="116"/>
      <c r="F1602" s="116"/>
      <c r="G1602" s="332"/>
      <c r="H1602" s="332"/>
      <c r="I1602" s="332"/>
      <c r="J1602" s="332"/>
      <c r="K1602" s="332"/>
      <c r="L1602" s="332"/>
      <c r="Q1602" s="152"/>
    </row>
    <row r="1603" spans="2:17" ht="13">
      <c r="B1603" s="396"/>
      <c r="C1603" s="116"/>
      <c r="D1603" s="116"/>
      <c r="E1603" s="116"/>
      <c r="F1603" s="116"/>
      <c r="G1603" s="332"/>
      <c r="H1603" s="332"/>
      <c r="I1603" s="332"/>
      <c r="J1603" s="332"/>
      <c r="K1603" s="332"/>
      <c r="L1603" s="332"/>
      <c r="Q1603" s="152"/>
    </row>
    <row r="1604" spans="2:17" ht="13">
      <c r="B1604" s="396"/>
      <c r="C1604" s="116"/>
      <c r="D1604" s="116"/>
      <c r="E1604" s="116"/>
      <c r="F1604" s="116"/>
      <c r="G1604" s="332"/>
      <c r="H1604" s="332"/>
      <c r="I1604" s="332"/>
      <c r="J1604" s="332"/>
      <c r="K1604" s="332"/>
      <c r="L1604" s="332"/>
      <c r="Q1604" s="152"/>
    </row>
    <row r="1605" spans="2:17" ht="13">
      <c r="B1605" s="396"/>
      <c r="C1605" s="116"/>
      <c r="D1605" s="116"/>
      <c r="E1605" s="116"/>
      <c r="F1605" s="116"/>
      <c r="G1605" s="332"/>
      <c r="H1605" s="332"/>
      <c r="I1605" s="332"/>
      <c r="J1605" s="332"/>
      <c r="K1605" s="332"/>
      <c r="L1605" s="332"/>
      <c r="Q1605" s="152"/>
    </row>
    <row r="1606" spans="2:17" ht="13">
      <c r="B1606" s="396"/>
      <c r="C1606" s="116"/>
      <c r="D1606" s="116"/>
      <c r="E1606" s="116"/>
      <c r="F1606" s="116"/>
      <c r="G1606" s="332"/>
      <c r="H1606" s="332"/>
      <c r="I1606" s="332"/>
      <c r="J1606" s="332"/>
      <c r="K1606" s="332"/>
      <c r="L1606" s="332"/>
      <c r="Q1606" s="152"/>
    </row>
    <row r="1607" spans="2:17" ht="13">
      <c r="B1607" s="396"/>
      <c r="C1607" s="116"/>
      <c r="D1607" s="116"/>
      <c r="E1607" s="116"/>
      <c r="F1607" s="116"/>
      <c r="G1607" s="332"/>
      <c r="H1607" s="332"/>
      <c r="I1607" s="332"/>
      <c r="J1607" s="332"/>
      <c r="K1607" s="332"/>
      <c r="L1607" s="332"/>
      <c r="Q1607" s="152"/>
    </row>
    <row r="1608" spans="2:17" ht="13">
      <c r="B1608" s="396"/>
      <c r="C1608" s="116"/>
      <c r="D1608" s="116"/>
      <c r="E1608" s="116"/>
      <c r="F1608" s="116"/>
      <c r="G1608" s="332"/>
      <c r="H1608" s="332"/>
      <c r="I1608" s="332"/>
      <c r="J1608" s="332"/>
      <c r="K1608" s="332"/>
      <c r="L1608" s="332"/>
      <c r="Q1608" s="152"/>
    </row>
    <row r="1609" spans="2:17" ht="13">
      <c r="B1609" s="396"/>
      <c r="C1609" s="116"/>
      <c r="D1609" s="116"/>
      <c r="E1609" s="116"/>
      <c r="F1609" s="116"/>
      <c r="G1609" s="332"/>
      <c r="H1609" s="332"/>
      <c r="I1609" s="332"/>
      <c r="J1609" s="332"/>
      <c r="K1609" s="332"/>
      <c r="L1609" s="332"/>
      <c r="Q1609" s="152"/>
    </row>
    <row r="1610" spans="2:17" ht="13">
      <c r="B1610" s="396"/>
      <c r="C1610" s="116"/>
      <c r="D1610" s="116"/>
      <c r="E1610" s="116"/>
      <c r="F1610" s="116"/>
      <c r="G1610" s="332"/>
      <c r="H1610" s="332"/>
      <c r="I1610" s="332"/>
      <c r="J1610" s="332"/>
      <c r="K1610" s="332"/>
      <c r="L1610" s="332"/>
      <c r="Q1610" s="152"/>
    </row>
    <row r="1611" spans="2:17" ht="13">
      <c r="B1611" s="396"/>
      <c r="C1611" s="116"/>
      <c r="D1611" s="116"/>
      <c r="E1611" s="116"/>
      <c r="F1611" s="116"/>
      <c r="G1611" s="332"/>
      <c r="H1611" s="332"/>
      <c r="I1611" s="332"/>
      <c r="J1611" s="332"/>
      <c r="K1611" s="332"/>
      <c r="L1611" s="332"/>
      <c r="Q1611" s="152"/>
    </row>
    <row r="1612" spans="2:17" ht="13">
      <c r="B1612" s="396"/>
      <c r="C1612" s="116"/>
      <c r="D1612" s="116"/>
      <c r="E1612" s="116"/>
      <c r="F1612" s="116"/>
      <c r="G1612" s="332"/>
      <c r="H1612" s="332"/>
      <c r="I1612" s="332"/>
      <c r="J1612" s="332"/>
      <c r="K1612" s="332"/>
      <c r="L1612" s="332"/>
      <c r="Q1612" s="152"/>
    </row>
    <row r="1613" spans="2:17" ht="13">
      <c r="B1613" s="396"/>
      <c r="C1613" s="116"/>
      <c r="D1613" s="116"/>
      <c r="E1613" s="116"/>
      <c r="F1613" s="116"/>
      <c r="G1613" s="332"/>
      <c r="H1613" s="332"/>
      <c r="I1613" s="332"/>
      <c r="J1613" s="332"/>
      <c r="K1613" s="332"/>
      <c r="L1613" s="332"/>
      <c r="Q1613" s="152"/>
    </row>
    <row r="1614" spans="2:17" ht="13">
      <c r="B1614" s="396"/>
      <c r="C1614" s="116"/>
      <c r="D1614" s="116"/>
      <c r="E1614" s="116"/>
      <c r="F1614" s="116"/>
      <c r="G1614" s="332"/>
      <c r="H1614" s="332"/>
      <c r="I1614" s="332"/>
      <c r="J1614" s="332"/>
      <c r="K1614" s="332"/>
      <c r="L1614" s="332"/>
      <c r="Q1614" s="152"/>
    </row>
    <row r="1615" spans="2:17" ht="13">
      <c r="B1615" s="396"/>
      <c r="C1615" s="116"/>
      <c r="D1615" s="116"/>
      <c r="E1615" s="116"/>
      <c r="F1615" s="116"/>
      <c r="G1615" s="332"/>
      <c r="H1615" s="332"/>
      <c r="I1615" s="332"/>
      <c r="J1615" s="332"/>
      <c r="K1615" s="332"/>
      <c r="L1615" s="332"/>
      <c r="Q1615" s="152"/>
    </row>
    <row r="1616" spans="2:17" ht="13">
      <c r="B1616" s="396"/>
      <c r="C1616" s="116"/>
      <c r="D1616" s="116"/>
      <c r="E1616" s="116"/>
      <c r="F1616" s="116"/>
      <c r="G1616" s="332"/>
      <c r="H1616" s="332"/>
      <c r="I1616" s="332"/>
      <c r="J1616" s="332"/>
      <c r="K1616" s="332"/>
      <c r="L1616" s="332"/>
      <c r="Q1616" s="152"/>
    </row>
    <row r="1617" spans="2:17" ht="13">
      <c r="B1617" s="396"/>
      <c r="C1617" s="116"/>
      <c r="D1617" s="116"/>
      <c r="E1617" s="116"/>
      <c r="F1617" s="116"/>
      <c r="G1617" s="332"/>
      <c r="H1617" s="332"/>
      <c r="I1617" s="332"/>
      <c r="J1617" s="332"/>
      <c r="K1617" s="332"/>
      <c r="L1617" s="332"/>
      <c r="Q1617" s="152"/>
    </row>
    <row r="1618" spans="2:17" ht="13">
      <c r="B1618" s="396"/>
      <c r="C1618" s="116"/>
      <c r="D1618" s="116"/>
      <c r="E1618" s="116"/>
      <c r="F1618" s="116"/>
      <c r="G1618" s="332"/>
      <c r="H1618" s="332"/>
      <c r="I1618" s="332"/>
      <c r="J1618" s="332"/>
      <c r="K1618" s="332"/>
      <c r="L1618" s="332"/>
      <c r="Q1618" s="152"/>
    </row>
    <row r="1619" spans="2:17" ht="13">
      <c r="B1619" s="396"/>
      <c r="C1619" s="116"/>
      <c r="D1619" s="116"/>
      <c r="E1619" s="116"/>
      <c r="F1619" s="116"/>
      <c r="G1619" s="332"/>
      <c r="H1619" s="332"/>
      <c r="I1619" s="332"/>
      <c r="J1619" s="332"/>
      <c r="K1619" s="332"/>
      <c r="L1619" s="332"/>
      <c r="Q1619" s="152"/>
    </row>
    <row r="1620" spans="2:17" ht="13">
      <c r="B1620" s="396"/>
      <c r="C1620" s="116"/>
      <c r="D1620" s="116"/>
      <c r="E1620" s="116"/>
      <c r="F1620" s="116"/>
      <c r="G1620" s="332"/>
      <c r="H1620" s="332"/>
      <c r="I1620" s="332"/>
      <c r="J1620" s="332"/>
      <c r="K1620" s="332"/>
      <c r="L1620" s="332"/>
      <c r="Q1620" s="152"/>
    </row>
    <row r="1621" spans="2:17" ht="13">
      <c r="B1621" s="396"/>
      <c r="C1621" s="116"/>
      <c r="D1621" s="116"/>
      <c r="E1621" s="116"/>
      <c r="F1621" s="116"/>
      <c r="G1621" s="332"/>
      <c r="H1621" s="332"/>
      <c r="I1621" s="332"/>
      <c r="J1621" s="332"/>
      <c r="K1621" s="332"/>
      <c r="L1621" s="332"/>
      <c r="Q1621" s="152"/>
    </row>
    <row r="1622" spans="2:17" ht="13">
      <c r="B1622" s="396"/>
      <c r="C1622" s="116"/>
      <c r="D1622" s="116"/>
      <c r="E1622" s="116"/>
      <c r="F1622" s="116"/>
      <c r="G1622" s="332"/>
      <c r="H1622" s="332"/>
      <c r="I1622" s="332"/>
      <c r="J1622" s="332"/>
      <c r="K1622" s="332"/>
      <c r="L1622" s="332"/>
      <c r="Q1622" s="152"/>
    </row>
    <row r="1623" spans="2:17" ht="13">
      <c r="B1623" s="396"/>
      <c r="C1623" s="116"/>
      <c r="D1623" s="116"/>
      <c r="E1623" s="116"/>
      <c r="F1623" s="116"/>
      <c r="G1623" s="332"/>
      <c r="H1623" s="332"/>
      <c r="I1623" s="332"/>
      <c r="J1623" s="332"/>
      <c r="K1623" s="332"/>
      <c r="L1623" s="332"/>
      <c r="Q1623" s="152"/>
    </row>
    <row r="1624" spans="2:17" ht="13">
      <c r="B1624" s="396"/>
      <c r="C1624" s="116"/>
      <c r="D1624" s="116"/>
      <c r="E1624" s="116"/>
      <c r="F1624" s="116"/>
      <c r="G1624" s="332"/>
      <c r="H1624" s="332"/>
      <c r="I1624" s="332"/>
      <c r="J1624" s="332"/>
      <c r="K1624" s="332"/>
      <c r="L1624" s="332"/>
      <c r="Q1624" s="152"/>
    </row>
    <row r="1625" spans="2:17" ht="13">
      <c r="B1625" s="396"/>
      <c r="C1625" s="116"/>
      <c r="D1625" s="116"/>
      <c r="E1625" s="116"/>
      <c r="F1625" s="116"/>
      <c r="G1625" s="332"/>
      <c r="H1625" s="332"/>
      <c r="I1625" s="332"/>
      <c r="J1625" s="332"/>
      <c r="K1625" s="332"/>
      <c r="L1625" s="332"/>
      <c r="Q1625" s="152"/>
    </row>
    <row r="1626" spans="2:17" ht="13">
      <c r="B1626" s="396"/>
      <c r="C1626" s="116"/>
      <c r="D1626" s="116"/>
      <c r="E1626" s="116"/>
      <c r="F1626" s="116"/>
      <c r="G1626" s="332"/>
      <c r="H1626" s="332"/>
      <c r="I1626" s="332"/>
      <c r="J1626" s="332"/>
      <c r="K1626" s="332"/>
      <c r="L1626" s="332"/>
      <c r="Q1626" s="152"/>
    </row>
    <row r="1627" spans="2:17" ht="13">
      <c r="B1627" s="396"/>
      <c r="C1627" s="116"/>
      <c r="D1627" s="116"/>
      <c r="E1627" s="116"/>
      <c r="F1627" s="116"/>
      <c r="G1627" s="332"/>
      <c r="H1627" s="332"/>
      <c r="I1627" s="332"/>
      <c r="J1627" s="332"/>
      <c r="K1627" s="332"/>
      <c r="L1627" s="332"/>
      <c r="Q1627" s="152"/>
    </row>
    <row r="1628" spans="2:17" ht="13">
      <c r="B1628" s="396"/>
      <c r="C1628" s="116"/>
      <c r="D1628" s="116"/>
      <c r="E1628" s="116"/>
      <c r="F1628" s="116"/>
      <c r="G1628" s="332"/>
      <c r="H1628" s="332"/>
      <c r="I1628" s="332"/>
      <c r="J1628" s="332"/>
      <c r="K1628" s="332"/>
      <c r="L1628" s="332"/>
      <c r="Q1628" s="152"/>
    </row>
    <row r="1629" spans="2:17" ht="13">
      <c r="B1629" s="396"/>
      <c r="C1629" s="116"/>
      <c r="D1629" s="116"/>
      <c r="E1629" s="116"/>
      <c r="F1629" s="116"/>
      <c r="G1629" s="332"/>
      <c r="H1629" s="332"/>
      <c r="I1629" s="332"/>
      <c r="J1629" s="332"/>
      <c r="K1629" s="332"/>
      <c r="L1629" s="332"/>
      <c r="Q1629" s="152"/>
    </row>
    <row r="1630" spans="2:17" ht="13">
      <c r="B1630" s="396"/>
      <c r="C1630" s="116"/>
      <c r="D1630" s="116"/>
      <c r="E1630" s="116"/>
      <c r="F1630" s="116"/>
      <c r="G1630" s="332"/>
      <c r="H1630" s="332"/>
      <c r="I1630" s="332"/>
      <c r="J1630" s="332"/>
      <c r="K1630" s="332"/>
      <c r="L1630" s="332"/>
      <c r="Q1630" s="152"/>
    </row>
    <row r="1631" spans="2:17" ht="13">
      <c r="B1631" s="396"/>
      <c r="C1631" s="116"/>
      <c r="D1631" s="116"/>
      <c r="E1631" s="116"/>
      <c r="F1631" s="116"/>
      <c r="G1631" s="332"/>
      <c r="H1631" s="332"/>
      <c r="I1631" s="332"/>
      <c r="J1631" s="332"/>
      <c r="K1631" s="332"/>
      <c r="L1631" s="332"/>
      <c r="Q1631" s="152"/>
    </row>
    <row r="1632" spans="2:17" ht="13">
      <c r="B1632" s="396"/>
      <c r="C1632" s="116"/>
      <c r="D1632" s="116"/>
      <c r="E1632" s="116"/>
      <c r="F1632" s="116"/>
      <c r="G1632" s="332"/>
      <c r="H1632" s="332"/>
      <c r="I1632" s="332"/>
      <c r="J1632" s="332"/>
      <c r="K1632" s="332"/>
      <c r="L1632" s="332"/>
      <c r="Q1632" s="152"/>
    </row>
    <row r="1633" spans="2:17" ht="13">
      <c r="B1633" s="396"/>
      <c r="C1633" s="116"/>
      <c r="D1633" s="116"/>
      <c r="E1633" s="116"/>
      <c r="F1633" s="116"/>
      <c r="G1633" s="332"/>
      <c r="H1633" s="332"/>
      <c r="I1633" s="332"/>
      <c r="J1633" s="332"/>
      <c r="K1633" s="332"/>
      <c r="L1633" s="332"/>
      <c r="Q1633" s="152"/>
    </row>
    <row r="1634" spans="2:17" ht="13">
      <c r="B1634" s="396"/>
      <c r="C1634" s="116"/>
      <c r="D1634" s="116"/>
      <c r="E1634" s="116"/>
      <c r="F1634" s="116"/>
      <c r="G1634" s="332"/>
      <c r="H1634" s="332"/>
      <c r="I1634" s="332"/>
      <c r="J1634" s="332"/>
      <c r="K1634" s="332"/>
      <c r="L1634" s="332"/>
      <c r="Q1634" s="152"/>
    </row>
    <row r="1635" spans="2:17" ht="13">
      <c r="B1635" s="396"/>
      <c r="C1635" s="116"/>
      <c r="D1635" s="116"/>
      <c r="E1635" s="116"/>
      <c r="F1635" s="116"/>
      <c r="G1635" s="332"/>
      <c r="H1635" s="332"/>
      <c r="I1635" s="332"/>
      <c r="J1635" s="332"/>
      <c r="K1635" s="332"/>
      <c r="L1635" s="332"/>
      <c r="Q1635" s="152"/>
    </row>
    <row r="1636" spans="2:17" ht="13">
      <c r="B1636" s="396"/>
      <c r="C1636" s="116"/>
      <c r="D1636" s="116"/>
      <c r="E1636" s="116"/>
      <c r="F1636" s="116"/>
      <c r="G1636" s="332"/>
      <c r="H1636" s="332"/>
      <c r="I1636" s="332"/>
      <c r="J1636" s="332"/>
      <c r="K1636" s="332"/>
      <c r="L1636" s="332"/>
      <c r="Q1636" s="152"/>
    </row>
    <row r="1637" spans="2:17" ht="13">
      <c r="B1637" s="396"/>
      <c r="C1637" s="116"/>
      <c r="D1637" s="116"/>
      <c r="E1637" s="116"/>
      <c r="F1637" s="116"/>
      <c r="G1637" s="332"/>
      <c r="H1637" s="332"/>
      <c r="I1637" s="332"/>
      <c r="J1637" s="332"/>
      <c r="K1637" s="332"/>
      <c r="L1637" s="332"/>
      <c r="Q1637" s="152"/>
    </row>
    <row r="1638" spans="2:17" ht="13">
      <c r="B1638" s="396"/>
      <c r="C1638" s="116"/>
      <c r="D1638" s="116"/>
      <c r="E1638" s="116"/>
      <c r="F1638" s="116"/>
      <c r="G1638" s="332"/>
      <c r="H1638" s="332"/>
      <c r="I1638" s="332"/>
      <c r="J1638" s="332"/>
      <c r="K1638" s="332"/>
      <c r="L1638" s="332"/>
      <c r="Q1638" s="152"/>
    </row>
    <row r="1639" spans="2:17" ht="13">
      <c r="B1639" s="396"/>
      <c r="C1639" s="116"/>
      <c r="D1639" s="116"/>
      <c r="E1639" s="116"/>
      <c r="F1639" s="116"/>
      <c r="G1639" s="332"/>
      <c r="H1639" s="332"/>
      <c r="I1639" s="332"/>
      <c r="J1639" s="332"/>
      <c r="K1639" s="332"/>
      <c r="L1639" s="332"/>
      <c r="Q1639" s="152"/>
    </row>
    <row r="1640" spans="2:17" ht="13">
      <c r="B1640" s="396"/>
      <c r="C1640" s="116"/>
      <c r="D1640" s="116"/>
      <c r="E1640" s="116"/>
      <c r="F1640" s="116"/>
      <c r="G1640" s="332"/>
      <c r="H1640" s="332"/>
      <c r="I1640" s="332"/>
      <c r="J1640" s="332"/>
      <c r="K1640" s="332"/>
      <c r="L1640" s="332"/>
      <c r="Q1640" s="152"/>
    </row>
    <row r="1641" spans="2:17" ht="13">
      <c r="B1641" s="396"/>
      <c r="C1641" s="116"/>
      <c r="D1641" s="116"/>
      <c r="E1641" s="116"/>
      <c r="F1641" s="116"/>
      <c r="G1641" s="332"/>
      <c r="H1641" s="332"/>
      <c r="I1641" s="332"/>
      <c r="J1641" s="332"/>
      <c r="K1641" s="332"/>
      <c r="L1641" s="332"/>
      <c r="Q1641" s="152"/>
    </row>
    <row r="1642" spans="2:17" ht="13">
      <c r="B1642" s="396"/>
      <c r="C1642" s="116"/>
      <c r="D1642" s="116"/>
      <c r="E1642" s="116"/>
      <c r="F1642" s="116"/>
      <c r="G1642" s="332"/>
      <c r="H1642" s="332"/>
      <c r="I1642" s="332"/>
      <c r="J1642" s="332"/>
      <c r="K1642" s="332"/>
      <c r="L1642" s="332"/>
      <c r="Q1642" s="152"/>
    </row>
    <row r="1643" spans="2:17" ht="13">
      <c r="B1643" s="396"/>
      <c r="C1643" s="116"/>
      <c r="D1643" s="116"/>
      <c r="E1643" s="116"/>
      <c r="F1643" s="116"/>
      <c r="G1643" s="332"/>
      <c r="H1643" s="332"/>
      <c r="I1643" s="332"/>
      <c r="J1643" s="332"/>
      <c r="K1643" s="332"/>
      <c r="L1643" s="332"/>
      <c r="Q1643" s="152"/>
    </row>
    <row r="1644" spans="2:17" ht="13">
      <c r="B1644" s="396"/>
      <c r="C1644" s="116"/>
      <c r="D1644" s="116"/>
      <c r="E1644" s="116"/>
      <c r="F1644" s="116"/>
      <c r="G1644" s="332"/>
      <c r="H1644" s="332"/>
      <c r="I1644" s="332"/>
      <c r="J1644" s="332"/>
      <c r="K1644" s="332"/>
      <c r="L1644" s="332"/>
      <c r="Q1644" s="152"/>
    </row>
    <row r="1645" spans="2:17" ht="13">
      <c r="B1645" s="396"/>
      <c r="C1645" s="116"/>
      <c r="D1645" s="116"/>
      <c r="E1645" s="116"/>
      <c r="F1645" s="116"/>
      <c r="G1645" s="332"/>
      <c r="H1645" s="332"/>
      <c r="I1645" s="332"/>
      <c r="J1645" s="332"/>
      <c r="K1645" s="332"/>
      <c r="L1645" s="332"/>
      <c r="Q1645" s="152"/>
    </row>
    <row r="1646" spans="2:17" ht="13">
      <c r="B1646" s="396"/>
      <c r="C1646" s="116"/>
      <c r="D1646" s="116"/>
      <c r="E1646" s="116"/>
      <c r="F1646" s="116"/>
      <c r="G1646" s="332"/>
      <c r="H1646" s="332"/>
      <c r="I1646" s="332"/>
      <c r="J1646" s="332"/>
      <c r="K1646" s="332"/>
      <c r="L1646" s="332"/>
      <c r="Q1646" s="152"/>
    </row>
    <row r="1647" spans="2:17" ht="13">
      <c r="B1647" s="396"/>
      <c r="C1647" s="116"/>
      <c r="D1647" s="116"/>
      <c r="E1647" s="116"/>
      <c r="F1647" s="116"/>
      <c r="G1647" s="332"/>
      <c r="H1647" s="332"/>
      <c r="I1647" s="332"/>
      <c r="J1647" s="332"/>
      <c r="K1647" s="332"/>
      <c r="L1647" s="332"/>
      <c r="Q1647" s="152"/>
    </row>
    <row r="1648" spans="2:17" ht="13">
      <c r="B1648" s="396"/>
      <c r="C1648" s="116"/>
      <c r="D1648" s="116"/>
      <c r="E1648" s="116"/>
      <c r="F1648" s="116"/>
      <c r="G1648" s="332"/>
      <c r="H1648" s="332"/>
      <c r="I1648" s="332"/>
      <c r="J1648" s="332"/>
      <c r="K1648" s="332"/>
      <c r="L1648" s="332"/>
      <c r="Q1648" s="152"/>
    </row>
    <row r="1649" spans="2:17" ht="13">
      <c r="B1649" s="396"/>
      <c r="C1649" s="116"/>
      <c r="D1649" s="116"/>
      <c r="E1649" s="116"/>
      <c r="F1649" s="116"/>
      <c r="G1649" s="332"/>
      <c r="H1649" s="332"/>
      <c r="I1649" s="332"/>
      <c r="J1649" s="332"/>
      <c r="K1649" s="332"/>
      <c r="L1649" s="332"/>
      <c r="Q1649" s="152"/>
    </row>
    <row r="1650" spans="2:17" ht="13">
      <c r="B1650" s="396"/>
      <c r="C1650" s="116"/>
      <c r="D1650" s="116"/>
      <c r="E1650" s="116"/>
      <c r="F1650" s="116"/>
      <c r="G1650" s="332"/>
      <c r="H1650" s="332"/>
      <c r="I1650" s="332"/>
      <c r="J1650" s="332"/>
      <c r="K1650" s="332"/>
      <c r="L1650" s="332"/>
      <c r="Q1650" s="152"/>
    </row>
    <row r="1651" spans="2:17" ht="13">
      <c r="B1651" s="396"/>
      <c r="C1651" s="116"/>
      <c r="D1651" s="116"/>
      <c r="E1651" s="116"/>
      <c r="F1651" s="116"/>
      <c r="G1651" s="332"/>
      <c r="H1651" s="332"/>
      <c r="I1651" s="332"/>
      <c r="J1651" s="332"/>
      <c r="K1651" s="332"/>
      <c r="L1651" s="332"/>
      <c r="Q1651" s="152"/>
    </row>
    <row r="1652" spans="2:17" ht="13">
      <c r="B1652" s="396"/>
      <c r="C1652" s="116"/>
      <c r="D1652" s="116"/>
      <c r="E1652" s="116"/>
      <c r="F1652" s="116"/>
      <c r="G1652" s="332"/>
      <c r="H1652" s="332"/>
      <c r="I1652" s="332"/>
      <c r="J1652" s="332"/>
      <c r="K1652" s="332"/>
      <c r="L1652" s="332"/>
      <c r="Q1652" s="152"/>
    </row>
    <row r="1653" spans="2:17" ht="13">
      <c r="B1653" s="396"/>
      <c r="C1653" s="116"/>
      <c r="D1653" s="116"/>
      <c r="E1653" s="116"/>
      <c r="F1653" s="116"/>
      <c r="G1653" s="332"/>
      <c r="H1653" s="332"/>
      <c r="I1653" s="332"/>
      <c r="J1653" s="332"/>
      <c r="K1653" s="332"/>
      <c r="L1653" s="332"/>
      <c r="Q1653" s="152"/>
    </row>
    <row r="1654" spans="2:17" ht="13">
      <c r="B1654" s="396"/>
      <c r="C1654" s="116"/>
      <c r="D1654" s="116"/>
      <c r="E1654" s="116"/>
      <c r="F1654" s="116"/>
      <c r="G1654" s="332"/>
      <c r="H1654" s="332"/>
      <c r="I1654" s="332"/>
      <c r="J1654" s="332"/>
      <c r="K1654" s="332"/>
      <c r="L1654" s="332"/>
      <c r="Q1654" s="152"/>
    </row>
    <row r="1655" spans="2:17" ht="13">
      <c r="B1655" s="396"/>
      <c r="C1655" s="116"/>
      <c r="D1655" s="116"/>
      <c r="E1655" s="116"/>
      <c r="F1655" s="116"/>
      <c r="G1655" s="332"/>
      <c r="H1655" s="332"/>
      <c r="I1655" s="332"/>
      <c r="J1655" s="332"/>
      <c r="K1655" s="332"/>
      <c r="L1655" s="332"/>
      <c r="Q1655" s="152"/>
    </row>
    <row r="1656" spans="2:17" ht="13">
      <c r="B1656" s="396"/>
      <c r="C1656" s="116"/>
      <c r="D1656" s="116"/>
      <c r="E1656" s="116"/>
      <c r="F1656" s="116"/>
      <c r="G1656" s="332"/>
      <c r="H1656" s="332"/>
      <c r="I1656" s="332"/>
      <c r="J1656" s="332"/>
      <c r="K1656" s="332"/>
      <c r="L1656" s="332"/>
      <c r="Q1656" s="152"/>
    </row>
    <row r="1657" spans="2:17" ht="13">
      <c r="B1657" s="396"/>
      <c r="C1657" s="116"/>
      <c r="D1657" s="116"/>
      <c r="E1657" s="116"/>
      <c r="F1657" s="116"/>
      <c r="G1657" s="332"/>
      <c r="H1657" s="332"/>
      <c r="I1657" s="332"/>
      <c r="J1657" s="332"/>
      <c r="K1657" s="332"/>
      <c r="L1657" s="332"/>
      <c r="Q1657" s="152"/>
    </row>
    <row r="1658" spans="2:17" ht="13">
      <c r="B1658" s="396"/>
      <c r="C1658" s="116"/>
      <c r="D1658" s="116"/>
      <c r="E1658" s="116"/>
      <c r="F1658" s="116"/>
      <c r="G1658" s="332"/>
      <c r="H1658" s="332"/>
      <c r="I1658" s="332"/>
      <c r="J1658" s="332"/>
      <c r="K1658" s="332"/>
      <c r="L1658" s="332"/>
      <c r="Q1658" s="152"/>
    </row>
    <row r="1659" spans="2:17" ht="13">
      <c r="B1659" s="396"/>
      <c r="C1659" s="116"/>
      <c r="D1659" s="116"/>
      <c r="E1659" s="116"/>
      <c r="F1659" s="116"/>
      <c r="G1659" s="332"/>
      <c r="H1659" s="332"/>
      <c r="I1659" s="332"/>
      <c r="J1659" s="332"/>
      <c r="K1659" s="332"/>
      <c r="L1659" s="332"/>
      <c r="Q1659" s="152"/>
    </row>
    <row r="1660" spans="2:17" ht="13">
      <c r="B1660" s="396"/>
      <c r="C1660" s="116"/>
      <c r="D1660" s="116"/>
      <c r="E1660" s="116"/>
      <c r="F1660" s="116"/>
      <c r="G1660" s="332"/>
      <c r="H1660" s="332"/>
      <c r="I1660" s="332"/>
      <c r="J1660" s="332"/>
      <c r="K1660" s="332"/>
      <c r="L1660" s="332"/>
      <c r="Q1660" s="152"/>
    </row>
    <row r="1661" spans="2:17" ht="13">
      <c r="B1661" s="396"/>
      <c r="C1661" s="116"/>
      <c r="D1661" s="116"/>
      <c r="E1661" s="116"/>
      <c r="F1661" s="116"/>
      <c r="G1661" s="332"/>
      <c r="H1661" s="332"/>
      <c r="I1661" s="332"/>
      <c r="J1661" s="332"/>
      <c r="K1661" s="332"/>
      <c r="L1661" s="332"/>
      <c r="Q1661" s="152"/>
    </row>
    <row r="1662" spans="2:17" ht="13">
      <c r="B1662" s="396"/>
      <c r="C1662" s="116"/>
      <c r="D1662" s="116"/>
      <c r="E1662" s="116"/>
      <c r="F1662" s="116"/>
      <c r="G1662" s="332"/>
      <c r="H1662" s="332"/>
      <c r="I1662" s="332"/>
      <c r="J1662" s="332"/>
      <c r="K1662" s="332"/>
      <c r="L1662" s="332"/>
      <c r="Q1662" s="152"/>
    </row>
    <row r="1663" spans="2:17" ht="13">
      <c r="B1663" s="396"/>
      <c r="C1663" s="116"/>
      <c r="D1663" s="116"/>
      <c r="E1663" s="116"/>
      <c r="F1663" s="116"/>
      <c r="G1663" s="332"/>
      <c r="H1663" s="332"/>
      <c r="I1663" s="332"/>
      <c r="J1663" s="332"/>
      <c r="K1663" s="332"/>
      <c r="L1663" s="332"/>
      <c r="Q1663" s="152"/>
    </row>
    <row r="1664" spans="2:17" ht="13">
      <c r="B1664" s="396"/>
      <c r="C1664" s="116"/>
      <c r="D1664" s="116"/>
      <c r="E1664" s="116"/>
      <c r="F1664" s="116"/>
      <c r="G1664" s="332"/>
      <c r="H1664" s="332"/>
      <c r="I1664" s="332"/>
      <c r="J1664" s="332"/>
      <c r="K1664" s="332"/>
      <c r="L1664" s="332"/>
      <c r="Q1664" s="152"/>
    </row>
    <row r="1665" spans="2:17" ht="13">
      <c r="B1665" s="396"/>
      <c r="C1665" s="116"/>
      <c r="D1665" s="116"/>
      <c r="E1665" s="116"/>
      <c r="F1665" s="116"/>
      <c r="G1665" s="332"/>
      <c r="H1665" s="332"/>
      <c r="I1665" s="332"/>
      <c r="J1665" s="332"/>
      <c r="K1665" s="332"/>
      <c r="L1665" s="332"/>
      <c r="Q1665" s="152"/>
    </row>
    <row r="1666" spans="2:17" ht="13">
      <c r="B1666" s="396"/>
      <c r="C1666" s="116"/>
      <c r="D1666" s="116"/>
      <c r="E1666" s="116"/>
      <c r="F1666" s="116"/>
      <c r="G1666" s="332"/>
      <c r="H1666" s="332"/>
      <c r="I1666" s="332"/>
      <c r="J1666" s="332"/>
      <c r="K1666" s="332"/>
      <c r="L1666" s="332"/>
      <c r="Q1666" s="152"/>
    </row>
    <row r="1667" spans="2:17" ht="13">
      <c r="B1667" s="396"/>
      <c r="C1667" s="116"/>
      <c r="D1667" s="116"/>
      <c r="E1667" s="116"/>
      <c r="F1667" s="116"/>
      <c r="G1667" s="332"/>
      <c r="H1667" s="332"/>
      <c r="I1667" s="332"/>
      <c r="J1667" s="332"/>
      <c r="K1667" s="332"/>
      <c r="L1667" s="332"/>
      <c r="Q1667" s="152"/>
    </row>
    <row r="1668" spans="2:17" ht="13">
      <c r="B1668" s="396"/>
      <c r="C1668" s="116"/>
      <c r="D1668" s="116"/>
      <c r="E1668" s="116"/>
      <c r="F1668" s="116"/>
      <c r="G1668" s="332"/>
      <c r="H1668" s="332"/>
      <c r="I1668" s="332"/>
      <c r="J1668" s="332"/>
      <c r="K1668" s="332"/>
      <c r="L1668" s="332"/>
      <c r="Q1668" s="152"/>
    </row>
    <row r="1669" spans="2:17" ht="13">
      <c r="B1669" s="396"/>
      <c r="C1669" s="116"/>
      <c r="D1669" s="116"/>
      <c r="E1669" s="116"/>
      <c r="F1669" s="116"/>
      <c r="G1669" s="332"/>
      <c r="H1669" s="332"/>
      <c r="I1669" s="332"/>
      <c r="J1669" s="332"/>
      <c r="K1669" s="332"/>
      <c r="L1669" s="332"/>
      <c r="Q1669" s="152"/>
    </row>
    <row r="1670" spans="2:17" ht="13">
      <c r="B1670" s="396"/>
      <c r="C1670" s="116"/>
      <c r="D1670" s="116"/>
      <c r="E1670" s="116"/>
      <c r="F1670" s="116"/>
      <c r="G1670" s="332"/>
      <c r="H1670" s="332"/>
      <c r="I1670" s="332"/>
      <c r="J1670" s="332"/>
      <c r="K1670" s="332"/>
      <c r="L1670" s="332"/>
      <c r="Q1670" s="152"/>
    </row>
    <row r="1671" spans="2:17" ht="13">
      <c r="B1671" s="396"/>
      <c r="C1671" s="116"/>
      <c r="D1671" s="116"/>
      <c r="E1671" s="116"/>
      <c r="F1671" s="116"/>
      <c r="G1671" s="332"/>
      <c r="H1671" s="332"/>
      <c r="I1671" s="332"/>
      <c r="J1671" s="332"/>
      <c r="K1671" s="332"/>
      <c r="L1671" s="332"/>
      <c r="Q1671" s="152"/>
    </row>
    <row r="1672" spans="2:17" ht="13">
      <c r="B1672" s="396"/>
      <c r="C1672" s="116"/>
      <c r="D1672" s="116"/>
      <c r="E1672" s="116"/>
      <c r="F1672" s="116"/>
      <c r="G1672" s="332"/>
      <c r="H1672" s="332"/>
      <c r="I1672" s="332"/>
      <c r="J1672" s="332"/>
      <c r="K1672" s="332"/>
      <c r="L1672" s="332"/>
      <c r="Q1672" s="152"/>
    </row>
    <row r="1673" spans="2:17" ht="13">
      <c r="B1673" s="396"/>
      <c r="C1673" s="116"/>
      <c r="D1673" s="116"/>
      <c r="E1673" s="116"/>
      <c r="F1673" s="116"/>
      <c r="G1673" s="332"/>
      <c r="H1673" s="332"/>
      <c r="I1673" s="332"/>
      <c r="J1673" s="332"/>
      <c r="K1673" s="332"/>
      <c r="L1673" s="332"/>
      <c r="Q1673" s="152"/>
    </row>
    <row r="1674" spans="2:17" ht="13">
      <c r="B1674" s="396"/>
      <c r="C1674" s="116"/>
      <c r="D1674" s="116"/>
      <c r="E1674" s="116"/>
      <c r="F1674" s="116"/>
      <c r="G1674" s="332"/>
      <c r="H1674" s="332"/>
      <c r="I1674" s="332"/>
      <c r="J1674" s="332"/>
      <c r="K1674" s="332"/>
      <c r="L1674" s="332"/>
      <c r="Q1674" s="152"/>
    </row>
    <row r="1675" spans="2:17" ht="13">
      <c r="B1675" s="396"/>
      <c r="C1675" s="116"/>
      <c r="D1675" s="116"/>
      <c r="E1675" s="116"/>
      <c r="F1675" s="116"/>
      <c r="G1675" s="332"/>
      <c r="H1675" s="332"/>
      <c r="I1675" s="332"/>
      <c r="J1675" s="332"/>
      <c r="K1675" s="332"/>
      <c r="L1675" s="332"/>
      <c r="Q1675" s="152"/>
    </row>
    <row r="1676" spans="2:17" ht="13">
      <c r="B1676" s="396"/>
      <c r="C1676" s="116"/>
      <c r="D1676" s="116"/>
      <c r="E1676" s="116"/>
      <c r="F1676" s="116"/>
      <c r="G1676" s="332"/>
      <c r="H1676" s="332"/>
      <c r="I1676" s="332"/>
      <c r="J1676" s="332"/>
      <c r="K1676" s="332"/>
      <c r="L1676" s="332"/>
      <c r="Q1676" s="152"/>
    </row>
    <row r="1677" spans="2:17" ht="13">
      <c r="B1677" s="396"/>
      <c r="C1677" s="116"/>
      <c r="D1677" s="116"/>
      <c r="E1677" s="116"/>
      <c r="F1677" s="116"/>
      <c r="G1677" s="332"/>
      <c r="H1677" s="332"/>
      <c r="I1677" s="332"/>
      <c r="J1677" s="332"/>
      <c r="K1677" s="332"/>
      <c r="L1677" s="332"/>
      <c r="Q1677" s="152"/>
    </row>
    <row r="1678" spans="2:17" ht="13">
      <c r="B1678" s="396"/>
      <c r="C1678" s="116"/>
      <c r="D1678" s="116"/>
      <c r="E1678" s="116"/>
      <c r="F1678" s="116"/>
      <c r="G1678" s="332"/>
      <c r="H1678" s="332"/>
      <c r="I1678" s="332"/>
      <c r="J1678" s="332"/>
      <c r="K1678" s="332"/>
      <c r="L1678" s="332"/>
      <c r="Q1678" s="152"/>
    </row>
    <row r="1679" spans="2:17" ht="13">
      <c r="B1679" s="396"/>
      <c r="C1679" s="116"/>
      <c r="D1679" s="116"/>
      <c r="E1679" s="116"/>
      <c r="F1679" s="116"/>
      <c r="G1679" s="332"/>
      <c r="H1679" s="332"/>
      <c r="I1679" s="332"/>
      <c r="J1679" s="332"/>
      <c r="K1679" s="332"/>
      <c r="L1679" s="332"/>
      <c r="Q1679" s="152"/>
    </row>
    <row r="1680" spans="2:17" ht="13">
      <c r="B1680" s="396"/>
      <c r="C1680" s="116"/>
      <c r="D1680" s="116"/>
      <c r="E1680" s="116"/>
      <c r="F1680" s="116"/>
      <c r="G1680" s="332"/>
      <c r="H1680" s="332"/>
      <c r="I1680" s="332"/>
      <c r="J1680" s="332"/>
      <c r="K1680" s="332"/>
      <c r="L1680" s="332"/>
      <c r="Q1680" s="152"/>
    </row>
    <row r="1681" spans="2:17" ht="13">
      <c r="B1681" s="396"/>
      <c r="C1681" s="116"/>
      <c r="D1681" s="116"/>
      <c r="E1681" s="116"/>
      <c r="F1681" s="116"/>
      <c r="G1681" s="332"/>
      <c r="H1681" s="332"/>
      <c r="I1681" s="332"/>
      <c r="J1681" s="332"/>
      <c r="K1681" s="332"/>
      <c r="L1681" s="332"/>
      <c r="Q1681" s="152"/>
    </row>
    <row r="1682" spans="2:17" ht="13">
      <c r="B1682" s="396"/>
      <c r="C1682" s="116"/>
      <c r="D1682" s="116"/>
      <c r="E1682" s="116"/>
      <c r="F1682" s="116"/>
      <c r="G1682" s="332"/>
      <c r="H1682" s="332"/>
      <c r="I1682" s="332"/>
      <c r="J1682" s="332"/>
      <c r="K1682" s="332"/>
      <c r="L1682" s="332"/>
      <c r="Q1682" s="152"/>
    </row>
    <row r="1683" spans="2:17" ht="13">
      <c r="B1683" s="396"/>
      <c r="C1683" s="116"/>
      <c r="D1683" s="116"/>
      <c r="E1683" s="116"/>
      <c r="F1683" s="116"/>
      <c r="G1683" s="332"/>
      <c r="H1683" s="332"/>
      <c r="I1683" s="332"/>
      <c r="J1683" s="332"/>
      <c r="K1683" s="332"/>
      <c r="L1683" s="332"/>
      <c r="Q1683" s="152"/>
    </row>
    <row r="1684" spans="2:17" ht="13">
      <c r="B1684" s="396"/>
      <c r="C1684" s="116"/>
      <c r="D1684" s="116"/>
      <c r="E1684" s="116"/>
      <c r="F1684" s="116"/>
      <c r="G1684" s="332"/>
      <c r="H1684" s="332"/>
      <c r="I1684" s="332"/>
      <c r="J1684" s="332"/>
      <c r="K1684" s="332"/>
      <c r="L1684" s="332"/>
      <c r="Q1684" s="152"/>
    </row>
    <row r="1685" spans="2:17" ht="13">
      <c r="B1685" s="396"/>
      <c r="C1685" s="116"/>
      <c r="D1685" s="116"/>
      <c r="E1685" s="116"/>
      <c r="F1685" s="116"/>
      <c r="G1685" s="332"/>
      <c r="H1685" s="332"/>
      <c r="I1685" s="332"/>
      <c r="J1685" s="332"/>
      <c r="K1685" s="332"/>
      <c r="L1685" s="332"/>
      <c r="Q1685" s="152"/>
    </row>
    <row r="1686" spans="2:17" ht="13">
      <c r="B1686" s="396"/>
      <c r="C1686" s="116"/>
      <c r="D1686" s="116"/>
      <c r="E1686" s="116"/>
      <c r="F1686" s="116"/>
      <c r="G1686" s="332"/>
      <c r="H1686" s="332"/>
      <c r="I1686" s="332"/>
      <c r="J1686" s="332"/>
      <c r="K1686" s="332"/>
      <c r="L1686" s="332"/>
      <c r="Q1686" s="152"/>
    </row>
    <row r="1687" spans="2:17" ht="13">
      <c r="B1687" s="396"/>
      <c r="C1687" s="116"/>
      <c r="D1687" s="116"/>
      <c r="E1687" s="116"/>
      <c r="F1687" s="116"/>
      <c r="G1687" s="332"/>
      <c r="H1687" s="332"/>
      <c r="I1687" s="332"/>
      <c r="J1687" s="332"/>
      <c r="K1687" s="332"/>
      <c r="L1687" s="332"/>
      <c r="Q1687" s="152"/>
    </row>
    <row r="1688" spans="2:17" ht="13">
      <c r="B1688" s="396"/>
      <c r="C1688" s="116"/>
      <c r="D1688" s="116"/>
      <c r="E1688" s="116"/>
      <c r="F1688" s="116"/>
      <c r="G1688" s="332"/>
      <c r="H1688" s="332"/>
      <c r="I1688" s="332"/>
      <c r="J1688" s="332"/>
      <c r="K1688" s="332"/>
      <c r="L1688" s="332"/>
      <c r="Q1688" s="152"/>
    </row>
    <row r="1689" spans="2:17" ht="13">
      <c r="B1689" s="396"/>
      <c r="C1689" s="116"/>
      <c r="D1689" s="116"/>
      <c r="E1689" s="116"/>
      <c r="F1689" s="116"/>
      <c r="G1689" s="332"/>
      <c r="H1689" s="332"/>
      <c r="I1689" s="332"/>
      <c r="J1689" s="332"/>
      <c r="K1689" s="332"/>
      <c r="L1689" s="332"/>
      <c r="Q1689" s="152"/>
    </row>
    <row r="1690" spans="2:17" ht="13">
      <c r="B1690" s="396"/>
      <c r="C1690" s="116"/>
      <c r="D1690" s="116"/>
      <c r="E1690" s="116"/>
      <c r="F1690" s="116"/>
      <c r="G1690" s="332"/>
      <c r="H1690" s="332"/>
      <c r="I1690" s="332"/>
      <c r="J1690" s="332"/>
      <c r="K1690" s="332"/>
      <c r="L1690" s="332"/>
      <c r="Q1690" s="152"/>
    </row>
    <row r="1691" spans="2:17" ht="13">
      <c r="B1691" s="396"/>
      <c r="C1691" s="116"/>
      <c r="D1691" s="116"/>
      <c r="E1691" s="116"/>
      <c r="F1691" s="116"/>
      <c r="G1691" s="332"/>
      <c r="H1691" s="332"/>
      <c r="I1691" s="332"/>
      <c r="J1691" s="332"/>
      <c r="K1691" s="332"/>
      <c r="L1691" s="332"/>
      <c r="Q1691" s="152"/>
    </row>
    <row r="1692" spans="2:17" ht="13">
      <c r="B1692" s="396"/>
      <c r="C1692" s="116"/>
      <c r="D1692" s="116"/>
      <c r="E1692" s="116"/>
      <c r="F1692" s="116"/>
      <c r="G1692" s="332"/>
      <c r="H1692" s="332"/>
      <c r="I1692" s="332"/>
      <c r="J1692" s="332"/>
      <c r="K1692" s="332"/>
      <c r="L1692" s="332"/>
      <c r="Q1692" s="152"/>
    </row>
    <row r="1693" spans="2:17" ht="13">
      <c r="B1693" s="396"/>
      <c r="C1693" s="116"/>
      <c r="D1693" s="116"/>
      <c r="E1693" s="116"/>
      <c r="F1693" s="116"/>
      <c r="G1693" s="332"/>
      <c r="H1693" s="332"/>
      <c r="I1693" s="332"/>
      <c r="J1693" s="332"/>
      <c r="K1693" s="332"/>
      <c r="L1693" s="332"/>
      <c r="Q1693" s="152"/>
    </row>
    <row r="1694" spans="2:17" ht="13">
      <c r="B1694" s="396"/>
      <c r="C1694" s="116"/>
      <c r="D1694" s="116"/>
      <c r="E1694" s="116"/>
      <c r="F1694" s="116"/>
      <c r="G1694" s="332"/>
      <c r="H1694" s="332"/>
      <c r="I1694" s="332"/>
      <c r="J1694" s="332"/>
      <c r="K1694" s="332"/>
      <c r="L1694" s="332"/>
      <c r="Q1694" s="152"/>
    </row>
    <row r="1695" spans="2:17" ht="13">
      <c r="B1695" s="396"/>
      <c r="C1695" s="116"/>
      <c r="D1695" s="116"/>
      <c r="E1695" s="116"/>
      <c r="F1695" s="116"/>
      <c r="G1695" s="332"/>
      <c r="H1695" s="332"/>
      <c r="I1695" s="332"/>
      <c r="J1695" s="332"/>
      <c r="K1695" s="332"/>
      <c r="L1695" s="332"/>
      <c r="Q1695" s="152"/>
    </row>
    <row r="1696" spans="2:17" ht="13">
      <c r="B1696" s="396"/>
      <c r="C1696" s="116"/>
      <c r="D1696" s="116"/>
      <c r="E1696" s="116"/>
      <c r="F1696" s="116"/>
      <c r="G1696" s="332"/>
      <c r="H1696" s="332"/>
      <c r="I1696" s="332"/>
      <c r="J1696" s="332"/>
      <c r="K1696" s="332"/>
      <c r="L1696" s="332"/>
      <c r="Q1696" s="152"/>
    </row>
    <row r="1697" spans="2:17" ht="13">
      <c r="B1697" s="396"/>
      <c r="C1697" s="116"/>
      <c r="D1697" s="116"/>
      <c r="E1697" s="116"/>
      <c r="F1697" s="116"/>
      <c r="G1697" s="332"/>
      <c r="H1697" s="332"/>
      <c r="I1697" s="332"/>
      <c r="J1697" s="332"/>
      <c r="K1697" s="332"/>
      <c r="L1697" s="332"/>
      <c r="Q1697" s="152"/>
    </row>
    <row r="1698" spans="2:17" ht="13">
      <c r="B1698" s="396"/>
      <c r="C1698" s="116"/>
      <c r="D1698" s="116"/>
      <c r="E1698" s="116"/>
      <c r="F1698" s="116"/>
      <c r="G1698" s="332"/>
      <c r="H1698" s="332"/>
      <c r="I1698" s="332"/>
      <c r="J1698" s="332"/>
      <c r="K1698" s="332"/>
      <c r="L1698" s="332"/>
      <c r="Q1698" s="152"/>
    </row>
    <row r="1699" spans="2:17" ht="13">
      <c r="B1699" s="396"/>
      <c r="C1699" s="116"/>
      <c r="D1699" s="116"/>
      <c r="E1699" s="116"/>
      <c r="F1699" s="116"/>
      <c r="G1699" s="332"/>
      <c r="H1699" s="332"/>
      <c r="I1699" s="332"/>
      <c r="J1699" s="332"/>
      <c r="K1699" s="332"/>
      <c r="L1699" s="332"/>
      <c r="Q1699" s="152"/>
    </row>
    <row r="1700" spans="2:17" ht="13">
      <c r="B1700" s="396"/>
      <c r="C1700" s="116"/>
      <c r="D1700" s="116"/>
      <c r="E1700" s="116"/>
      <c r="F1700" s="116"/>
      <c r="G1700" s="332"/>
      <c r="H1700" s="332"/>
      <c r="I1700" s="332"/>
      <c r="J1700" s="332"/>
      <c r="K1700" s="332"/>
      <c r="L1700" s="332"/>
      <c r="Q1700" s="152"/>
    </row>
    <row r="1701" spans="2:17" ht="13">
      <c r="B1701" s="396"/>
      <c r="C1701" s="116"/>
      <c r="D1701" s="116"/>
      <c r="E1701" s="116"/>
      <c r="F1701" s="116"/>
      <c r="G1701" s="332"/>
      <c r="H1701" s="332"/>
      <c r="I1701" s="332"/>
      <c r="J1701" s="332"/>
      <c r="K1701" s="332"/>
      <c r="L1701" s="332"/>
      <c r="Q1701" s="152"/>
    </row>
    <row r="1702" spans="2:17" ht="13">
      <c r="B1702" s="396"/>
      <c r="C1702" s="116"/>
      <c r="D1702" s="116"/>
      <c r="E1702" s="116"/>
      <c r="F1702" s="116"/>
      <c r="G1702" s="332"/>
      <c r="H1702" s="332"/>
      <c r="I1702" s="332"/>
      <c r="J1702" s="332"/>
      <c r="K1702" s="332"/>
      <c r="L1702" s="332"/>
      <c r="Q1702" s="152"/>
    </row>
    <row r="1703" spans="2:17" ht="13">
      <c r="B1703" s="396"/>
      <c r="C1703" s="116"/>
      <c r="D1703" s="116"/>
      <c r="E1703" s="116"/>
      <c r="F1703" s="116"/>
      <c r="G1703" s="332"/>
      <c r="H1703" s="332"/>
      <c r="I1703" s="332"/>
      <c r="J1703" s="332"/>
      <c r="K1703" s="332"/>
      <c r="L1703" s="332"/>
      <c r="Q1703" s="152"/>
    </row>
    <row r="1704" spans="2:17" ht="13">
      <c r="B1704" s="396"/>
      <c r="C1704" s="116"/>
      <c r="D1704" s="116"/>
      <c r="E1704" s="116"/>
      <c r="F1704" s="116"/>
      <c r="G1704" s="332"/>
      <c r="H1704" s="332"/>
      <c r="I1704" s="332"/>
      <c r="J1704" s="332"/>
      <c r="K1704" s="332"/>
      <c r="L1704" s="332"/>
      <c r="Q1704" s="152"/>
    </row>
    <row r="1705" spans="2:17" ht="13">
      <c r="B1705" s="396"/>
      <c r="C1705" s="116"/>
      <c r="D1705" s="116"/>
      <c r="E1705" s="116"/>
      <c r="F1705" s="116"/>
      <c r="G1705" s="332"/>
      <c r="H1705" s="332"/>
      <c r="I1705" s="332"/>
      <c r="J1705" s="332"/>
      <c r="K1705" s="332"/>
      <c r="L1705" s="332"/>
      <c r="Q1705" s="152"/>
    </row>
    <row r="1706" spans="2:17" ht="13">
      <c r="B1706" s="396"/>
      <c r="C1706" s="116"/>
      <c r="D1706" s="116"/>
      <c r="E1706" s="116"/>
      <c r="F1706" s="116"/>
      <c r="G1706" s="332"/>
      <c r="H1706" s="332"/>
      <c r="I1706" s="332"/>
      <c r="J1706" s="332"/>
      <c r="K1706" s="332"/>
      <c r="L1706" s="332"/>
      <c r="Q1706" s="152"/>
    </row>
    <row r="1707" spans="2:17" ht="13">
      <c r="B1707" s="396"/>
      <c r="C1707" s="116"/>
      <c r="D1707" s="116"/>
      <c r="E1707" s="116"/>
      <c r="F1707" s="116"/>
      <c r="G1707" s="332"/>
      <c r="H1707" s="332"/>
      <c r="I1707" s="332"/>
      <c r="J1707" s="332"/>
      <c r="K1707" s="332"/>
      <c r="L1707" s="332"/>
      <c r="Q1707" s="152"/>
    </row>
    <row r="1708" spans="2:17" ht="13">
      <c r="B1708" s="396"/>
      <c r="C1708" s="116"/>
      <c r="D1708" s="116"/>
      <c r="E1708" s="116"/>
      <c r="F1708" s="116"/>
      <c r="G1708" s="332"/>
      <c r="H1708" s="332"/>
      <c r="I1708" s="332"/>
      <c r="J1708" s="332"/>
      <c r="K1708" s="332"/>
      <c r="L1708" s="332"/>
      <c r="Q1708" s="152"/>
    </row>
    <row r="1709" spans="2:17" ht="13">
      <c r="B1709" s="396"/>
      <c r="C1709" s="116"/>
      <c r="D1709" s="116"/>
      <c r="E1709" s="116"/>
      <c r="F1709" s="116"/>
      <c r="G1709" s="332"/>
      <c r="H1709" s="332"/>
      <c r="I1709" s="332"/>
      <c r="J1709" s="332"/>
      <c r="K1709" s="332"/>
      <c r="L1709" s="332"/>
      <c r="Q1709" s="152"/>
    </row>
    <row r="1710" spans="2:17" ht="13">
      <c r="B1710" s="396"/>
      <c r="C1710" s="116"/>
      <c r="D1710" s="116"/>
      <c r="E1710" s="116"/>
      <c r="F1710" s="116"/>
      <c r="G1710" s="332"/>
      <c r="H1710" s="332"/>
      <c r="I1710" s="332"/>
      <c r="J1710" s="332"/>
      <c r="K1710" s="332"/>
      <c r="L1710" s="332"/>
      <c r="Q1710" s="152"/>
    </row>
    <row r="1711" spans="2:17" ht="13">
      <c r="B1711" s="396"/>
      <c r="C1711" s="116"/>
      <c r="D1711" s="116"/>
      <c r="E1711" s="116"/>
      <c r="F1711" s="116"/>
      <c r="G1711" s="332"/>
      <c r="H1711" s="332"/>
      <c r="I1711" s="332"/>
      <c r="J1711" s="332"/>
      <c r="K1711" s="332"/>
      <c r="L1711" s="332"/>
      <c r="Q1711" s="152"/>
    </row>
    <row r="1712" spans="2:17" ht="13">
      <c r="B1712" s="396"/>
      <c r="C1712" s="116"/>
      <c r="D1712" s="116"/>
      <c r="E1712" s="116"/>
      <c r="F1712" s="116"/>
      <c r="G1712" s="332"/>
      <c r="H1712" s="332"/>
      <c r="I1712" s="332"/>
      <c r="J1712" s="332"/>
      <c r="K1712" s="332"/>
      <c r="L1712" s="332"/>
      <c r="Q1712" s="152"/>
    </row>
    <row r="1713" spans="2:17" ht="13">
      <c r="B1713" s="396"/>
      <c r="C1713" s="116"/>
      <c r="D1713" s="116"/>
      <c r="E1713" s="116"/>
      <c r="F1713" s="116"/>
      <c r="G1713" s="332"/>
      <c r="H1713" s="332"/>
      <c r="I1713" s="332"/>
      <c r="J1713" s="332"/>
      <c r="K1713" s="332"/>
      <c r="L1713" s="332"/>
      <c r="Q1713" s="152"/>
    </row>
    <row r="1714" spans="2:17" ht="13">
      <c r="B1714" s="396"/>
      <c r="C1714" s="116"/>
      <c r="D1714" s="116"/>
      <c r="E1714" s="116"/>
      <c r="F1714" s="116"/>
      <c r="G1714" s="332"/>
      <c r="H1714" s="332"/>
      <c r="I1714" s="332"/>
      <c r="J1714" s="332"/>
      <c r="K1714" s="332"/>
      <c r="L1714" s="332"/>
      <c r="Q1714" s="152"/>
    </row>
    <row r="1715" spans="2:17" ht="13">
      <c r="B1715" s="396"/>
      <c r="C1715" s="116"/>
      <c r="D1715" s="116"/>
      <c r="E1715" s="116"/>
      <c r="F1715" s="116"/>
      <c r="G1715" s="332"/>
      <c r="H1715" s="332"/>
      <c r="I1715" s="332"/>
      <c r="J1715" s="332"/>
      <c r="K1715" s="332"/>
      <c r="L1715" s="332"/>
      <c r="Q1715" s="152"/>
    </row>
    <row r="1716" spans="2:17" ht="13">
      <c r="B1716" s="396"/>
      <c r="C1716" s="116"/>
      <c r="D1716" s="116"/>
      <c r="E1716" s="116"/>
      <c r="F1716" s="116"/>
      <c r="G1716" s="332"/>
      <c r="H1716" s="332"/>
      <c r="I1716" s="332"/>
      <c r="J1716" s="332"/>
      <c r="K1716" s="332"/>
      <c r="L1716" s="332"/>
      <c r="Q1716" s="152"/>
    </row>
    <row r="1717" spans="2:17" ht="13">
      <c r="B1717" s="396"/>
      <c r="C1717" s="116"/>
      <c r="D1717" s="116"/>
      <c r="E1717" s="116"/>
      <c r="F1717" s="116"/>
      <c r="G1717" s="332"/>
      <c r="H1717" s="332"/>
      <c r="I1717" s="332"/>
      <c r="J1717" s="332"/>
      <c r="K1717" s="332"/>
      <c r="L1717" s="332"/>
      <c r="Q1717" s="152"/>
    </row>
    <row r="1718" spans="2:17" ht="13">
      <c r="B1718" s="396"/>
      <c r="C1718" s="116"/>
      <c r="D1718" s="116"/>
      <c r="E1718" s="116"/>
      <c r="F1718" s="116"/>
      <c r="G1718" s="332"/>
      <c r="H1718" s="332"/>
      <c r="I1718" s="332"/>
      <c r="J1718" s="332"/>
      <c r="K1718" s="332"/>
      <c r="L1718" s="332"/>
      <c r="Q1718" s="152"/>
    </row>
    <row r="1719" spans="2:17" ht="13">
      <c r="B1719" s="396"/>
      <c r="C1719" s="116"/>
      <c r="D1719" s="116"/>
      <c r="E1719" s="116"/>
      <c r="F1719" s="116"/>
      <c r="G1719" s="332"/>
      <c r="H1719" s="332"/>
      <c r="I1719" s="332"/>
      <c r="J1719" s="332"/>
      <c r="K1719" s="332"/>
      <c r="L1719" s="332"/>
      <c r="Q1719" s="152"/>
    </row>
    <row r="1720" spans="2:17" ht="13">
      <c r="B1720" s="396"/>
      <c r="C1720" s="116"/>
      <c r="D1720" s="116"/>
      <c r="E1720" s="116"/>
      <c r="F1720" s="116"/>
      <c r="G1720" s="332"/>
      <c r="H1720" s="332"/>
      <c r="I1720" s="332"/>
      <c r="J1720" s="332"/>
      <c r="K1720" s="332"/>
      <c r="L1720" s="332"/>
      <c r="Q1720" s="152"/>
    </row>
    <row r="1721" spans="2:17" ht="13">
      <c r="B1721" s="396"/>
      <c r="C1721" s="116"/>
      <c r="D1721" s="116"/>
      <c r="E1721" s="116"/>
      <c r="F1721" s="116"/>
      <c r="G1721" s="332"/>
      <c r="H1721" s="332"/>
      <c r="I1721" s="332"/>
      <c r="J1721" s="332"/>
      <c r="K1721" s="332"/>
      <c r="L1721" s="332"/>
      <c r="Q1721" s="152"/>
    </row>
    <row r="1722" spans="2:17" ht="13">
      <c r="B1722" s="396"/>
      <c r="C1722" s="116"/>
      <c r="D1722" s="116"/>
      <c r="E1722" s="116"/>
      <c r="F1722" s="116"/>
      <c r="G1722" s="332"/>
      <c r="H1722" s="332"/>
      <c r="I1722" s="332"/>
      <c r="J1722" s="332"/>
      <c r="K1722" s="332"/>
      <c r="L1722" s="332"/>
      <c r="Q1722" s="152"/>
    </row>
    <row r="1723" spans="2:17" ht="13">
      <c r="B1723" s="396"/>
      <c r="C1723" s="116"/>
      <c r="D1723" s="116"/>
      <c r="E1723" s="116"/>
      <c r="F1723" s="116"/>
      <c r="G1723" s="332"/>
      <c r="H1723" s="332"/>
      <c r="I1723" s="332"/>
      <c r="J1723" s="332"/>
      <c r="K1723" s="332"/>
      <c r="L1723" s="332"/>
      <c r="Q1723" s="152"/>
    </row>
    <row r="1724" spans="2:17" ht="13">
      <c r="B1724" s="396"/>
      <c r="C1724" s="116"/>
      <c r="D1724" s="116"/>
      <c r="E1724" s="116"/>
      <c r="F1724" s="116"/>
      <c r="G1724" s="332"/>
      <c r="H1724" s="332"/>
      <c r="I1724" s="332"/>
      <c r="J1724" s="332"/>
      <c r="K1724" s="332"/>
      <c r="L1724" s="332"/>
      <c r="Q1724" s="152"/>
    </row>
    <row r="1725" spans="2:17" ht="13">
      <c r="B1725" s="396"/>
      <c r="C1725" s="116"/>
      <c r="D1725" s="116"/>
      <c r="E1725" s="116"/>
      <c r="F1725" s="116"/>
      <c r="G1725" s="332"/>
      <c r="H1725" s="332"/>
      <c r="I1725" s="332"/>
      <c r="J1725" s="332"/>
      <c r="K1725" s="332"/>
      <c r="L1725" s="332"/>
      <c r="Q1725" s="152"/>
    </row>
    <row r="1726" spans="2:17" ht="13">
      <c r="B1726" s="396"/>
      <c r="C1726" s="116"/>
      <c r="D1726" s="116"/>
      <c r="E1726" s="116"/>
      <c r="F1726" s="116"/>
      <c r="G1726" s="332"/>
      <c r="H1726" s="332"/>
      <c r="I1726" s="332"/>
      <c r="J1726" s="332"/>
      <c r="K1726" s="332"/>
      <c r="L1726" s="332"/>
      <c r="Q1726" s="152"/>
    </row>
    <row r="1727" spans="2:17" ht="13">
      <c r="B1727" s="396"/>
      <c r="C1727" s="116"/>
      <c r="D1727" s="116"/>
      <c r="E1727" s="116"/>
      <c r="F1727" s="116"/>
      <c r="G1727" s="332"/>
      <c r="H1727" s="332"/>
      <c r="I1727" s="332"/>
      <c r="J1727" s="332"/>
      <c r="K1727" s="332"/>
      <c r="L1727" s="332"/>
      <c r="Q1727" s="152"/>
    </row>
    <row r="1728" spans="2:17" ht="13">
      <c r="B1728" s="396"/>
      <c r="C1728" s="116"/>
      <c r="D1728" s="116"/>
      <c r="E1728" s="116"/>
      <c r="F1728" s="116"/>
      <c r="G1728" s="332"/>
      <c r="H1728" s="332"/>
      <c r="I1728" s="332"/>
      <c r="J1728" s="332"/>
      <c r="K1728" s="332"/>
      <c r="L1728" s="332"/>
      <c r="Q1728" s="152"/>
    </row>
    <row r="1729" spans="2:17" ht="13">
      <c r="B1729" s="396"/>
      <c r="C1729" s="116"/>
      <c r="D1729" s="116"/>
      <c r="E1729" s="116"/>
      <c r="F1729" s="116"/>
      <c r="G1729" s="332"/>
      <c r="H1729" s="332"/>
      <c r="I1729" s="332"/>
      <c r="J1729" s="332"/>
      <c r="K1729" s="332"/>
      <c r="L1729" s="332"/>
      <c r="Q1729" s="152"/>
    </row>
    <row r="1730" spans="2:17" ht="13">
      <c r="B1730" s="396"/>
      <c r="C1730" s="116"/>
      <c r="D1730" s="116"/>
      <c r="E1730" s="116"/>
      <c r="F1730" s="116"/>
      <c r="G1730" s="332"/>
      <c r="H1730" s="332"/>
      <c r="I1730" s="332"/>
      <c r="J1730" s="332"/>
      <c r="K1730" s="332"/>
      <c r="L1730" s="332"/>
      <c r="Q1730" s="152"/>
    </row>
    <row r="1731" spans="2:17" ht="13">
      <c r="B1731" s="396"/>
      <c r="C1731" s="116"/>
      <c r="D1731" s="116"/>
      <c r="E1731" s="116"/>
      <c r="F1731" s="116"/>
      <c r="G1731" s="332"/>
      <c r="H1731" s="332"/>
      <c r="I1731" s="332"/>
      <c r="J1731" s="332"/>
      <c r="K1731" s="332"/>
      <c r="L1731" s="332"/>
      <c r="Q1731" s="152"/>
    </row>
    <row r="1732" spans="2:17" ht="13">
      <c r="B1732" s="396"/>
      <c r="C1732" s="116"/>
      <c r="D1732" s="116"/>
      <c r="E1732" s="116"/>
      <c r="F1732" s="116"/>
      <c r="G1732" s="332"/>
      <c r="H1732" s="332"/>
      <c r="I1732" s="332"/>
      <c r="J1732" s="332"/>
      <c r="K1732" s="332"/>
      <c r="L1732" s="332"/>
      <c r="Q1732" s="152"/>
    </row>
    <row r="1733" spans="2:17" ht="13">
      <c r="B1733" s="396"/>
      <c r="C1733" s="116"/>
      <c r="D1733" s="116"/>
      <c r="E1733" s="116"/>
      <c r="F1733" s="116"/>
      <c r="G1733" s="332"/>
      <c r="H1733" s="332"/>
      <c r="I1733" s="332"/>
      <c r="J1733" s="332"/>
      <c r="K1733" s="332"/>
      <c r="L1733" s="332"/>
      <c r="Q1733" s="152"/>
    </row>
    <row r="1734" spans="2:17" ht="13">
      <c r="B1734" s="396"/>
      <c r="C1734" s="116"/>
      <c r="D1734" s="116"/>
      <c r="E1734" s="116"/>
      <c r="F1734" s="116"/>
      <c r="G1734" s="332"/>
      <c r="H1734" s="332"/>
      <c r="I1734" s="332"/>
      <c r="J1734" s="332"/>
      <c r="K1734" s="332"/>
      <c r="L1734" s="332"/>
      <c r="Q1734" s="152"/>
    </row>
    <row r="1735" spans="2:17" ht="13">
      <c r="B1735" s="396"/>
      <c r="C1735" s="116"/>
      <c r="D1735" s="116"/>
      <c r="E1735" s="116"/>
      <c r="F1735" s="116"/>
      <c r="G1735" s="332"/>
      <c r="H1735" s="332"/>
      <c r="I1735" s="332"/>
      <c r="J1735" s="332"/>
      <c r="K1735" s="332"/>
      <c r="L1735" s="332"/>
      <c r="Q1735" s="152"/>
    </row>
    <row r="1736" spans="2:17" ht="13">
      <c r="B1736" s="396"/>
      <c r="C1736" s="116"/>
      <c r="D1736" s="116"/>
      <c r="E1736" s="116"/>
      <c r="F1736" s="116"/>
      <c r="G1736" s="332"/>
      <c r="H1736" s="332"/>
      <c r="I1736" s="332"/>
      <c r="J1736" s="332"/>
      <c r="K1736" s="332"/>
      <c r="L1736" s="332"/>
      <c r="Q1736" s="152"/>
    </row>
    <row r="1737" spans="2:17" ht="13">
      <c r="B1737" s="396"/>
      <c r="C1737" s="116"/>
      <c r="D1737" s="116"/>
      <c r="E1737" s="116"/>
      <c r="F1737" s="116"/>
      <c r="G1737" s="332"/>
      <c r="H1737" s="332"/>
      <c r="I1737" s="332"/>
      <c r="J1737" s="332"/>
      <c r="K1737" s="332"/>
      <c r="L1737" s="332"/>
      <c r="Q1737" s="152"/>
    </row>
    <row r="1738" spans="2:17" ht="13">
      <c r="B1738" s="396"/>
      <c r="C1738" s="116"/>
      <c r="D1738" s="116"/>
      <c r="E1738" s="116"/>
      <c r="F1738" s="116"/>
      <c r="G1738" s="332"/>
      <c r="H1738" s="332"/>
      <c r="I1738" s="332"/>
      <c r="J1738" s="332"/>
      <c r="K1738" s="332"/>
      <c r="L1738" s="332"/>
      <c r="Q1738" s="152"/>
    </row>
    <row r="1739" spans="2:17" ht="13">
      <c r="B1739" s="396"/>
      <c r="C1739" s="116"/>
      <c r="D1739" s="116"/>
      <c r="E1739" s="116"/>
      <c r="F1739" s="116"/>
      <c r="G1739" s="332"/>
      <c r="H1739" s="332"/>
      <c r="I1739" s="332"/>
      <c r="J1739" s="332"/>
      <c r="K1739" s="332"/>
      <c r="L1739" s="332"/>
      <c r="Q1739" s="152"/>
    </row>
    <row r="1740" spans="2:17" ht="13">
      <c r="B1740" s="396"/>
      <c r="C1740" s="116"/>
      <c r="D1740" s="116"/>
      <c r="E1740" s="116"/>
      <c r="F1740" s="116"/>
      <c r="G1740" s="332"/>
      <c r="H1740" s="332"/>
      <c r="I1740" s="332"/>
      <c r="J1740" s="332"/>
      <c r="K1740" s="332"/>
      <c r="L1740" s="332"/>
      <c r="Q1740" s="152"/>
    </row>
    <row r="1741" spans="2:17" ht="13">
      <c r="B1741" s="396"/>
      <c r="C1741" s="116"/>
      <c r="D1741" s="116"/>
      <c r="E1741" s="116"/>
      <c r="F1741" s="116"/>
      <c r="G1741" s="332"/>
      <c r="H1741" s="332"/>
      <c r="I1741" s="332"/>
      <c r="J1741" s="332"/>
      <c r="K1741" s="332"/>
      <c r="L1741" s="332"/>
      <c r="Q1741" s="152"/>
    </row>
    <row r="1742" spans="2:17" ht="13">
      <c r="B1742" s="396"/>
      <c r="C1742" s="116"/>
      <c r="D1742" s="116"/>
      <c r="E1742" s="116"/>
      <c r="F1742" s="116"/>
      <c r="G1742" s="332"/>
      <c r="H1742" s="332"/>
      <c r="I1742" s="332"/>
      <c r="J1742" s="332"/>
      <c r="K1742" s="332"/>
      <c r="L1742" s="332"/>
      <c r="Q1742" s="152"/>
    </row>
    <row r="1743" spans="2:17" ht="13">
      <c r="B1743" s="396"/>
      <c r="C1743" s="116"/>
      <c r="D1743" s="116"/>
      <c r="E1743" s="116"/>
      <c r="F1743" s="116"/>
      <c r="G1743" s="332"/>
      <c r="H1743" s="332"/>
      <c r="I1743" s="332"/>
      <c r="J1743" s="332"/>
      <c r="K1743" s="332"/>
      <c r="L1743" s="332"/>
      <c r="Q1743" s="152"/>
    </row>
    <row r="1744" spans="2:17" ht="13">
      <c r="B1744" s="396"/>
      <c r="C1744" s="116"/>
      <c r="D1744" s="116"/>
      <c r="E1744" s="116"/>
      <c r="F1744" s="116"/>
      <c r="G1744" s="332"/>
      <c r="H1744" s="332"/>
      <c r="I1744" s="332"/>
      <c r="J1744" s="332"/>
      <c r="K1744" s="332"/>
      <c r="L1744" s="332"/>
      <c r="Q1744" s="152"/>
    </row>
    <row r="1745" spans="2:17" ht="13">
      <c r="B1745" s="396"/>
      <c r="C1745" s="116"/>
      <c r="D1745" s="116"/>
      <c r="E1745" s="116"/>
      <c r="F1745" s="116"/>
      <c r="G1745" s="332"/>
      <c r="H1745" s="332"/>
      <c r="I1745" s="332"/>
      <c r="J1745" s="332"/>
      <c r="K1745" s="332"/>
      <c r="L1745" s="332"/>
      <c r="Q1745" s="152"/>
    </row>
    <row r="1746" spans="2:17" ht="13">
      <c r="B1746" s="396"/>
      <c r="C1746" s="116"/>
      <c r="D1746" s="116"/>
      <c r="E1746" s="116"/>
      <c r="F1746" s="116"/>
      <c r="G1746" s="332"/>
      <c r="H1746" s="332"/>
      <c r="I1746" s="332"/>
      <c r="J1746" s="332"/>
      <c r="K1746" s="332"/>
      <c r="L1746" s="332"/>
      <c r="Q1746" s="152"/>
    </row>
    <row r="1747" spans="2:17" ht="13">
      <c r="B1747" s="396"/>
      <c r="C1747" s="116"/>
      <c r="D1747" s="116"/>
      <c r="E1747" s="116"/>
      <c r="F1747" s="116"/>
      <c r="G1747" s="332"/>
      <c r="H1747" s="332"/>
      <c r="I1747" s="332"/>
      <c r="J1747" s="332"/>
      <c r="K1747" s="332"/>
      <c r="L1747" s="332"/>
      <c r="Q1747" s="152"/>
    </row>
    <row r="1748" spans="2:17" ht="13">
      <c r="B1748" s="396"/>
      <c r="C1748" s="116"/>
      <c r="D1748" s="116"/>
      <c r="E1748" s="116"/>
      <c r="F1748" s="116"/>
      <c r="G1748" s="332"/>
      <c r="H1748" s="332"/>
      <c r="I1748" s="332"/>
      <c r="J1748" s="332"/>
      <c r="K1748" s="332"/>
      <c r="L1748" s="332"/>
      <c r="Q1748" s="152"/>
    </row>
    <row r="1749" spans="2:17" ht="13">
      <c r="B1749" s="396"/>
      <c r="C1749" s="116"/>
      <c r="D1749" s="116"/>
      <c r="E1749" s="116"/>
      <c r="F1749" s="116"/>
      <c r="G1749" s="332"/>
      <c r="H1749" s="332"/>
      <c r="I1749" s="332"/>
      <c r="J1749" s="332"/>
      <c r="K1749" s="332"/>
      <c r="L1749" s="332"/>
      <c r="Q1749" s="152"/>
    </row>
    <row r="1750" spans="2:17" ht="13">
      <c r="B1750" s="396"/>
      <c r="C1750" s="116"/>
      <c r="D1750" s="116"/>
      <c r="E1750" s="116"/>
      <c r="F1750" s="116"/>
      <c r="G1750" s="332"/>
      <c r="H1750" s="332"/>
      <c r="I1750" s="332"/>
      <c r="J1750" s="332"/>
      <c r="K1750" s="332"/>
      <c r="L1750" s="332"/>
      <c r="Q1750" s="152"/>
    </row>
    <row r="1751" spans="2:17" ht="13">
      <c r="B1751" s="396"/>
      <c r="C1751" s="116"/>
      <c r="D1751" s="116"/>
      <c r="E1751" s="116"/>
      <c r="F1751" s="116"/>
      <c r="G1751" s="332"/>
      <c r="H1751" s="332"/>
      <c r="I1751" s="332"/>
      <c r="J1751" s="332"/>
      <c r="K1751" s="332"/>
      <c r="L1751" s="332"/>
      <c r="Q1751" s="152"/>
    </row>
    <row r="1752" spans="2:17" ht="13">
      <c r="B1752" s="396"/>
      <c r="C1752" s="116"/>
      <c r="D1752" s="116"/>
      <c r="E1752" s="116"/>
      <c r="F1752" s="116"/>
      <c r="G1752" s="332"/>
      <c r="H1752" s="332"/>
      <c r="I1752" s="332"/>
      <c r="J1752" s="332"/>
      <c r="K1752" s="332"/>
      <c r="L1752" s="332"/>
      <c r="Q1752" s="152"/>
    </row>
    <row r="1753" spans="2:17" ht="13">
      <c r="B1753" s="396"/>
      <c r="C1753" s="116"/>
      <c r="D1753" s="116"/>
      <c r="E1753" s="116"/>
      <c r="F1753" s="116"/>
      <c r="G1753" s="332"/>
      <c r="H1753" s="332"/>
      <c r="I1753" s="332"/>
      <c r="J1753" s="332"/>
      <c r="K1753" s="332"/>
      <c r="L1753" s="332"/>
      <c r="Q1753" s="152"/>
    </row>
    <row r="1754" spans="2:17" ht="13">
      <c r="B1754" s="396"/>
      <c r="C1754" s="116"/>
      <c r="D1754" s="116"/>
      <c r="E1754" s="116"/>
      <c r="F1754" s="116"/>
      <c r="G1754" s="332"/>
      <c r="H1754" s="332"/>
      <c r="I1754" s="332"/>
      <c r="J1754" s="332"/>
      <c r="K1754" s="332"/>
      <c r="L1754" s="332"/>
      <c r="Q1754" s="152"/>
    </row>
    <row r="1755" spans="2:17" ht="13">
      <c r="B1755" s="396"/>
      <c r="C1755" s="116"/>
      <c r="D1755" s="116"/>
      <c r="E1755" s="116"/>
      <c r="F1755" s="116"/>
      <c r="G1755" s="332"/>
      <c r="H1755" s="332"/>
      <c r="I1755" s="332"/>
      <c r="J1755" s="332"/>
      <c r="K1755" s="332"/>
      <c r="L1755" s="332"/>
      <c r="Q1755" s="152"/>
    </row>
    <row r="1756" spans="2:17" ht="13">
      <c r="B1756" s="396"/>
      <c r="C1756" s="116"/>
      <c r="D1756" s="116"/>
      <c r="E1756" s="116"/>
      <c r="F1756" s="116"/>
      <c r="G1756" s="332"/>
      <c r="H1756" s="332"/>
      <c r="I1756" s="332"/>
      <c r="J1756" s="332"/>
      <c r="K1756" s="332"/>
      <c r="L1756" s="332"/>
      <c r="Q1756" s="152"/>
    </row>
    <row r="1757" spans="2:17" ht="13">
      <c r="B1757" s="396"/>
      <c r="C1757" s="116"/>
      <c r="D1757" s="116"/>
      <c r="E1757" s="116"/>
      <c r="F1757" s="116"/>
      <c r="G1757" s="332"/>
      <c r="H1757" s="332"/>
      <c r="I1757" s="332"/>
      <c r="J1757" s="332"/>
      <c r="K1757" s="332"/>
      <c r="L1757" s="332"/>
      <c r="Q1757" s="152"/>
    </row>
    <row r="1758" spans="2:17" ht="13">
      <c r="B1758" s="396"/>
      <c r="C1758" s="116"/>
      <c r="D1758" s="116"/>
      <c r="E1758" s="116"/>
      <c r="F1758" s="116"/>
      <c r="G1758" s="332"/>
      <c r="H1758" s="332"/>
      <c r="I1758" s="332"/>
      <c r="J1758" s="332"/>
      <c r="K1758" s="332"/>
      <c r="L1758" s="332"/>
      <c r="Q1758" s="152"/>
    </row>
    <row r="1759" spans="2:17" ht="13">
      <c r="B1759" s="396"/>
      <c r="C1759" s="116"/>
      <c r="D1759" s="116"/>
      <c r="E1759" s="116"/>
      <c r="F1759" s="116"/>
      <c r="G1759" s="332"/>
      <c r="H1759" s="332"/>
      <c r="I1759" s="332"/>
      <c r="J1759" s="332"/>
      <c r="K1759" s="332"/>
      <c r="L1759" s="332"/>
      <c r="Q1759" s="152"/>
    </row>
    <row r="1760" spans="2:17" ht="13">
      <c r="B1760" s="396"/>
      <c r="C1760" s="116"/>
      <c r="D1760" s="116"/>
      <c r="E1760" s="116"/>
      <c r="F1760" s="116"/>
      <c r="G1760" s="332"/>
      <c r="H1760" s="332"/>
      <c r="I1760" s="332"/>
      <c r="J1760" s="332"/>
      <c r="K1760" s="332"/>
      <c r="L1760" s="332"/>
      <c r="Q1760" s="152"/>
    </row>
    <row r="1761" spans="2:17" ht="13">
      <c r="B1761" s="396"/>
      <c r="C1761" s="116"/>
      <c r="D1761" s="116"/>
      <c r="E1761" s="116"/>
      <c r="F1761" s="116"/>
      <c r="G1761" s="332"/>
      <c r="H1761" s="332"/>
      <c r="I1761" s="332"/>
      <c r="J1761" s="332"/>
      <c r="K1761" s="332"/>
      <c r="L1761" s="332"/>
      <c r="Q1761" s="152"/>
    </row>
    <row r="1762" spans="2:17" ht="13">
      <c r="B1762" s="396"/>
      <c r="C1762" s="116"/>
      <c r="D1762" s="116"/>
      <c r="E1762" s="116"/>
      <c r="F1762" s="116"/>
      <c r="G1762" s="332"/>
      <c r="H1762" s="332"/>
      <c r="I1762" s="332"/>
      <c r="J1762" s="332"/>
      <c r="K1762" s="332"/>
      <c r="L1762" s="332"/>
      <c r="Q1762" s="152"/>
    </row>
    <row r="1763" spans="2:17" ht="13">
      <c r="B1763" s="396"/>
      <c r="C1763" s="116"/>
      <c r="D1763" s="116"/>
      <c r="E1763" s="116"/>
      <c r="F1763" s="116"/>
      <c r="G1763" s="332"/>
      <c r="H1763" s="332"/>
      <c r="I1763" s="332"/>
      <c r="J1763" s="332"/>
      <c r="K1763" s="332"/>
      <c r="L1763" s="332"/>
      <c r="Q1763" s="152"/>
    </row>
    <row r="1764" spans="2:17" ht="13">
      <c r="B1764" s="396"/>
      <c r="C1764" s="116"/>
      <c r="D1764" s="116"/>
      <c r="E1764" s="116"/>
      <c r="F1764" s="116"/>
      <c r="G1764" s="332"/>
      <c r="H1764" s="332"/>
      <c r="I1764" s="332"/>
      <c r="J1764" s="332"/>
      <c r="K1764" s="332"/>
      <c r="L1764" s="332"/>
      <c r="Q1764" s="152"/>
    </row>
    <row r="1765" spans="2:17" ht="13">
      <c r="B1765" s="396"/>
      <c r="C1765" s="116"/>
      <c r="D1765" s="116"/>
      <c r="E1765" s="116"/>
      <c r="F1765" s="116"/>
      <c r="G1765" s="332"/>
      <c r="H1765" s="332"/>
      <c r="I1765" s="332"/>
      <c r="J1765" s="332"/>
      <c r="K1765" s="332"/>
      <c r="L1765" s="332"/>
      <c r="Q1765" s="152"/>
    </row>
    <row r="1766" spans="2:17" ht="13">
      <c r="B1766" s="396"/>
      <c r="C1766" s="116"/>
      <c r="D1766" s="116"/>
      <c r="E1766" s="116"/>
      <c r="F1766" s="116"/>
      <c r="G1766" s="332"/>
      <c r="H1766" s="332"/>
      <c r="I1766" s="332"/>
      <c r="J1766" s="332"/>
      <c r="K1766" s="332"/>
      <c r="L1766" s="332"/>
      <c r="Q1766" s="152"/>
    </row>
    <row r="1767" spans="2:17" ht="13">
      <c r="B1767" s="396"/>
      <c r="C1767" s="116"/>
      <c r="D1767" s="116"/>
      <c r="E1767" s="116"/>
      <c r="F1767" s="116"/>
      <c r="G1767" s="332"/>
      <c r="H1767" s="332"/>
      <c r="I1767" s="332"/>
      <c r="J1767" s="332"/>
      <c r="K1767" s="332"/>
      <c r="L1767" s="332"/>
      <c r="Q1767" s="152"/>
    </row>
    <row r="1768" spans="2:17" ht="13">
      <c r="B1768" s="396"/>
      <c r="C1768" s="116"/>
      <c r="D1768" s="116"/>
      <c r="E1768" s="116"/>
      <c r="F1768" s="116"/>
      <c r="G1768" s="332"/>
      <c r="H1768" s="332"/>
      <c r="I1768" s="332"/>
      <c r="J1768" s="332"/>
      <c r="K1768" s="332"/>
      <c r="L1768" s="332"/>
      <c r="Q1768" s="152"/>
    </row>
    <row r="1769" spans="2:17" ht="13">
      <c r="B1769" s="396"/>
      <c r="C1769" s="116"/>
      <c r="D1769" s="116"/>
      <c r="E1769" s="116"/>
      <c r="F1769" s="116"/>
      <c r="G1769" s="332"/>
      <c r="H1769" s="332"/>
      <c r="I1769" s="332"/>
      <c r="J1769" s="332"/>
      <c r="K1769" s="332"/>
      <c r="L1769" s="332"/>
      <c r="Q1769" s="152"/>
    </row>
    <row r="1770" spans="2:17" ht="13">
      <c r="B1770" s="396"/>
      <c r="C1770" s="116"/>
      <c r="D1770" s="116"/>
      <c r="E1770" s="116"/>
      <c r="F1770" s="116"/>
      <c r="G1770" s="332"/>
      <c r="H1770" s="332"/>
      <c r="I1770" s="332"/>
      <c r="J1770" s="332"/>
      <c r="K1770" s="332"/>
      <c r="L1770" s="332"/>
      <c r="Q1770" s="152"/>
    </row>
    <row r="1771" spans="2:17" ht="13">
      <c r="B1771" s="396"/>
      <c r="C1771" s="116"/>
      <c r="D1771" s="116"/>
      <c r="E1771" s="116"/>
      <c r="F1771" s="116"/>
      <c r="G1771" s="332"/>
      <c r="H1771" s="332"/>
      <c r="I1771" s="332"/>
      <c r="J1771" s="332"/>
      <c r="K1771" s="332"/>
      <c r="L1771" s="332"/>
      <c r="Q1771" s="152"/>
    </row>
    <row r="1772" spans="2:17" ht="13">
      <c r="B1772" s="396"/>
      <c r="C1772" s="116"/>
      <c r="D1772" s="116"/>
      <c r="E1772" s="116"/>
      <c r="F1772" s="116"/>
      <c r="G1772" s="332"/>
      <c r="H1772" s="332"/>
      <c r="I1772" s="332"/>
      <c r="J1772" s="332"/>
      <c r="K1772" s="332"/>
      <c r="L1772" s="332"/>
      <c r="Q1772" s="152"/>
    </row>
    <row r="1773" spans="2:17" ht="13">
      <c r="B1773" s="396"/>
      <c r="C1773" s="116"/>
      <c r="D1773" s="116"/>
      <c r="E1773" s="116"/>
      <c r="F1773" s="116"/>
      <c r="G1773" s="332"/>
      <c r="H1773" s="332"/>
      <c r="I1773" s="332"/>
      <c r="J1773" s="332"/>
      <c r="K1773" s="332"/>
      <c r="L1773" s="332"/>
      <c r="Q1773" s="152"/>
    </row>
    <row r="1774" spans="2:17" ht="13">
      <c r="B1774" s="396"/>
      <c r="C1774" s="116"/>
      <c r="D1774" s="116"/>
      <c r="E1774" s="116"/>
      <c r="F1774" s="116"/>
      <c r="G1774" s="332"/>
      <c r="H1774" s="332"/>
      <c r="I1774" s="332"/>
      <c r="J1774" s="332"/>
      <c r="K1774" s="332"/>
      <c r="L1774" s="332"/>
      <c r="Q1774" s="152"/>
    </row>
    <row r="1775" spans="2:17" ht="13">
      <c r="B1775" s="396"/>
      <c r="C1775" s="116"/>
      <c r="D1775" s="116"/>
      <c r="E1775" s="116"/>
      <c r="F1775" s="116"/>
      <c r="G1775" s="332"/>
      <c r="H1775" s="332"/>
      <c r="I1775" s="332"/>
      <c r="J1775" s="332"/>
      <c r="K1775" s="332"/>
      <c r="L1775" s="332"/>
      <c r="Q1775" s="152"/>
    </row>
    <row r="1776" spans="2:17" ht="13">
      <c r="B1776" s="396"/>
      <c r="C1776" s="116"/>
      <c r="D1776" s="116"/>
      <c r="E1776" s="116"/>
      <c r="F1776" s="116"/>
      <c r="G1776" s="332"/>
      <c r="H1776" s="332"/>
      <c r="I1776" s="332"/>
      <c r="J1776" s="332"/>
      <c r="K1776" s="332"/>
      <c r="L1776" s="332"/>
      <c r="Q1776" s="152"/>
    </row>
    <row r="1777" spans="2:17" ht="13">
      <c r="B1777" s="396"/>
      <c r="C1777" s="116"/>
      <c r="D1777" s="116"/>
      <c r="E1777" s="116"/>
      <c r="F1777" s="116"/>
      <c r="G1777" s="332"/>
      <c r="H1777" s="332"/>
      <c r="I1777" s="332"/>
      <c r="J1777" s="332"/>
      <c r="K1777" s="332"/>
      <c r="L1777" s="332"/>
      <c r="Q1777" s="152"/>
    </row>
    <row r="1778" spans="2:17" ht="13">
      <c r="B1778" s="396"/>
      <c r="C1778" s="116"/>
      <c r="D1778" s="116"/>
      <c r="E1778" s="116"/>
      <c r="F1778" s="116"/>
      <c r="G1778" s="332"/>
      <c r="H1778" s="332"/>
      <c r="I1778" s="332"/>
      <c r="J1778" s="332"/>
      <c r="K1778" s="332"/>
      <c r="L1778" s="332"/>
      <c r="Q1778" s="152"/>
    </row>
    <row r="1779" spans="2:17" ht="13">
      <c r="B1779" s="396"/>
      <c r="C1779" s="116"/>
      <c r="D1779" s="116"/>
      <c r="E1779" s="116"/>
      <c r="F1779" s="116"/>
      <c r="G1779" s="332"/>
      <c r="H1779" s="332"/>
      <c r="I1779" s="332"/>
      <c r="J1779" s="332"/>
      <c r="K1779" s="332"/>
      <c r="L1779" s="332"/>
      <c r="Q1779" s="152"/>
    </row>
    <row r="1780" spans="2:17" ht="13">
      <c r="B1780" s="396"/>
      <c r="C1780" s="116"/>
      <c r="D1780" s="116"/>
      <c r="E1780" s="116"/>
      <c r="F1780" s="116"/>
      <c r="G1780" s="332"/>
      <c r="H1780" s="332"/>
      <c r="I1780" s="332"/>
      <c r="J1780" s="332"/>
      <c r="K1780" s="332"/>
      <c r="L1780" s="332"/>
      <c r="Q1780" s="152"/>
    </row>
    <row r="1781" spans="2:17" ht="13">
      <c r="B1781" s="396"/>
      <c r="C1781" s="116"/>
      <c r="D1781" s="116"/>
      <c r="E1781" s="116"/>
      <c r="F1781" s="116"/>
      <c r="G1781" s="332"/>
      <c r="H1781" s="332"/>
      <c r="I1781" s="332"/>
      <c r="J1781" s="332"/>
      <c r="K1781" s="332"/>
      <c r="L1781" s="332"/>
      <c r="Q1781" s="152"/>
    </row>
    <row r="1782" spans="2:17" ht="13">
      <c r="B1782" s="396"/>
      <c r="C1782" s="116"/>
      <c r="D1782" s="116"/>
      <c r="E1782" s="116"/>
      <c r="F1782" s="116"/>
      <c r="G1782" s="332"/>
      <c r="H1782" s="332"/>
      <c r="I1782" s="332"/>
      <c r="J1782" s="332"/>
      <c r="K1782" s="332"/>
      <c r="L1782" s="332"/>
      <c r="Q1782" s="152"/>
    </row>
    <row r="1783" spans="2:17" ht="13">
      <c r="B1783" s="396"/>
      <c r="C1783" s="116"/>
      <c r="D1783" s="116"/>
      <c r="E1783" s="116"/>
      <c r="F1783" s="116"/>
      <c r="G1783" s="332"/>
      <c r="H1783" s="332"/>
      <c r="I1783" s="332"/>
      <c r="J1783" s="332"/>
      <c r="K1783" s="332"/>
      <c r="L1783" s="332"/>
      <c r="Q1783" s="152"/>
    </row>
    <row r="1784" spans="2:17" ht="13">
      <c r="B1784" s="396"/>
      <c r="C1784" s="116"/>
      <c r="D1784" s="116"/>
      <c r="E1784" s="116"/>
      <c r="F1784" s="116"/>
      <c r="G1784" s="332"/>
      <c r="H1784" s="332"/>
      <c r="I1784" s="332"/>
      <c r="J1784" s="332"/>
      <c r="K1784" s="332"/>
      <c r="L1784" s="332"/>
      <c r="Q1784" s="152"/>
    </row>
    <row r="1785" spans="2:17" ht="13">
      <c r="B1785" s="396"/>
      <c r="C1785" s="116"/>
      <c r="D1785" s="116"/>
      <c r="E1785" s="116"/>
      <c r="F1785" s="116"/>
      <c r="G1785" s="332"/>
      <c r="H1785" s="332"/>
      <c r="I1785" s="332"/>
      <c r="J1785" s="332"/>
      <c r="K1785" s="332"/>
      <c r="L1785" s="332"/>
      <c r="Q1785" s="152"/>
    </row>
    <row r="1786" spans="2:17" ht="13">
      <c r="B1786" s="396"/>
      <c r="C1786" s="116"/>
      <c r="D1786" s="116"/>
      <c r="E1786" s="116"/>
      <c r="F1786" s="116"/>
      <c r="G1786" s="332"/>
      <c r="H1786" s="332"/>
      <c r="I1786" s="332"/>
      <c r="J1786" s="332"/>
      <c r="K1786" s="332"/>
      <c r="L1786" s="332"/>
      <c r="Q1786" s="152"/>
    </row>
    <row r="1787" spans="2:17" ht="13">
      <c r="B1787" s="396"/>
      <c r="C1787" s="116"/>
      <c r="D1787" s="116"/>
      <c r="E1787" s="116"/>
      <c r="F1787" s="116"/>
      <c r="G1787" s="332"/>
      <c r="H1787" s="332"/>
      <c r="I1787" s="332"/>
      <c r="J1787" s="332"/>
      <c r="K1787" s="332"/>
      <c r="L1787" s="332"/>
      <c r="Q1787" s="152"/>
    </row>
    <row r="1788" spans="2:17" ht="13">
      <c r="B1788" s="396"/>
      <c r="C1788" s="116"/>
      <c r="D1788" s="116"/>
      <c r="E1788" s="116"/>
      <c r="F1788" s="116"/>
      <c r="G1788" s="332"/>
      <c r="H1788" s="332"/>
      <c r="I1788" s="332"/>
      <c r="J1788" s="332"/>
      <c r="K1788" s="332"/>
      <c r="L1788" s="332"/>
      <c r="Q1788" s="152"/>
    </row>
    <row r="1789" spans="2:17" ht="13">
      <c r="B1789" s="396"/>
      <c r="C1789" s="116"/>
      <c r="D1789" s="116"/>
      <c r="E1789" s="116"/>
      <c r="F1789" s="116"/>
      <c r="G1789" s="332"/>
      <c r="H1789" s="332"/>
      <c r="I1789" s="332"/>
      <c r="J1789" s="332"/>
      <c r="K1789" s="332"/>
      <c r="L1789" s="332"/>
      <c r="Q1789" s="152"/>
    </row>
    <row r="1790" spans="2:17" ht="13">
      <c r="B1790" s="396"/>
      <c r="C1790" s="116"/>
      <c r="D1790" s="116"/>
      <c r="E1790" s="116"/>
      <c r="F1790" s="116"/>
      <c r="G1790" s="332"/>
      <c r="H1790" s="332"/>
      <c r="I1790" s="332"/>
      <c r="J1790" s="332"/>
      <c r="K1790" s="332"/>
      <c r="L1790" s="332"/>
      <c r="Q1790" s="152"/>
    </row>
    <row r="1791" spans="2:17" ht="13">
      <c r="B1791" s="396"/>
      <c r="C1791" s="116"/>
      <c r="D1791" s="116"/>
      <c r="E1791" s="116"/>
      <c r="F1791" s="116"/>
      <c r="G1791" s="332"/>
      <c r="H1791" s="332"/>
      <c r="I1791" s="332"/>
      <c r="J1791" s="332"/>
      <c r="K1791" s="332"/>
      <c r="L1791" s="332"/>
      <c r="Q1791" s="152"/>
    </row>
    <row r="1792" spans="2:17" ht="13">
      <c r="B1792" s="396"/>
      <c r="C1792" s="116"/>
      <c r="D1792" s="116"/>
      <c r="E1792" s="116"/>
      <c r="F1792" s="116"/>
      <c r="G1792" s="332"/>
      <c r="H1792" s="332"/>
      <c r="I1792" s="332"/>
      <c r="J1792" s="332"/>
      <c r="K1792" s="332"/>
      <c r="L1792" s="332"/>
      <c r="Q1792" s="152"/>
    </row>
    <row r="1793" spans="2:17" ht="13">
      <c r="B1793" s="396"/>
      <c r="C1793" s="116"/>
      <c r="D1793" s="116"/>
      <c r="E1793" s="116"/>
      <c r="F1793" s="116"/>
      <c r="G1793" s="332"/>
      <c r="H1793" s="332"/>
      <c r="I1793" s="332"/>
      <c r="J1793" s="332"/>
      <c r="K1793" s="332"/>
      <c r="L1793" s="332"/>
      <c r="Q1793" s="152"/>
    </row>
    <row r="1794" spans="2:17" ht="13">
      <c r="B1794" s="396"/>
      <c r="C1794" s="116"/>
      <c r="D1794" s="116"/>
      <c r="E1794" s="116"/>
      <c r="F1794" s="116"/>
      <c r="G1794" s="332"/>
      <c r="H1794" s="332"/>
      <c r="I1794" s="332"/>
      <c r="J1794" s="332"/>
      <c r="K1794" s="332"/>
      <c r="L1794" s="332"/>
      <c r="Q1794" s="152"/>
    </row>
    <row r="1795" spans="2:17" ht="13">
      <c r="B1795" s="396"/>
      <c r="C1795" s="116"/>
      <c r="D1795" s="116"/>
      <c r="E1795" s="116"/>
      <c r="F1795" s="116"/>
      <c r="G1795" s="332"/>
      <c r="H1795" s="332"/>
      <c r="I1795" s="332"/>
      <c r="J1795" s="332"/>
      <c r="K1795" s="332"/>
      <c r="L1795" s="332"/>
      <c r="Q1795" s="152"/>
    </row>
    <row r="1796" spans="2:17" ht="13">
      <c r="B1796" s="396"/>
      <c r="C1796" s="116"/>
      <c r="D1796" s="116"/>
      <c r="E1796" s="116"/>
      <c r="F1796" s="116"/>
      <c r="G1796" s="332"/>
      <c r="H1796" s="332"/>
      <c r="I1796" s="332"/>
      <c r="J1796" s="332"/>
      <c r="K1796" s="332"/>
      <c r="L1796" s="332"/>
      <c r="Q1796" s="152"/>
    </row>
    <row r="1797" spans="2:17" ht="13">
      <c r="B1797" s="396"/>
      <c r="C1797" s="116"/>
      <c r="D1797" s="116"/>
      <c r="E1797" s="116"/>
      <c r="F1797" s="116"/>
      <c r="G1797" s="332"/>
      <c r="H1797" s="332"/>
      <c r="I1797" s="332"/>
      <c r="J1797" s="332"/>
      <c r="K1797" s="332"/>
      <c r="L1797" s="332"/>
      <c r="Q1797" s="152"/>
    </row>
    <row r="1798" spans="2:17" ht="13">
      <c r="B1798" s="396"/>
      <c r="C1798" s="116"/>
      <c r="D1798" s="116"/>
      <c r="E1798" s="116"/>
      <c r="F1798" s="116"/>
      <c r="G1798" s="332"/>
      <c r="H1798" s="332"/>
      <c r="I1798" s="332"/>
      <c r="J1798" s="332"/>
      <c r="K1798" s="332"/>
      <c r="L1798" s="332"/>
      <c r="Q1798" s="152"/>
    </row>
    <row r="1799" spans="2:17" ht="13">
      <c r="B1799" s="396"/>
      <c r="C1799" s="116"/>
      <c r="D1799" s="116"/>
      <c r="E1799" s="116"/>
      <c r="F1799" s="116"/>
      <c r="G1799" s="332"/>
      <c r="H1799" s="332"/>
      <c r="I1799" s="332"/>
      <c r="J1799" s="332"/>
      <c r="K1799" s="332"/>
      <c r="L1799" s="332"/>
      <c r="Q1799" s="152"/>
    </row>
    <row r="1800" spans="2:17" ht="13">
      <c r="B1800" s="396"/>
      <c r="C1800" s="116"/>
      <c r="D1800" s="116"/>
      <c r="E1800" s="116"/>
      <c r="F1800" s="116"/>
      <c r="G1800" s="332"/>
      <c r="H1800" s="332"/>
      <c r="I1800" s="332"/>
      <c r="J1800" s="332"/>
      <c r="K1800" s="332"/>
      <c r="L1800" s="332"/>
      <c r="Q1800" s="152"/>
    </row>
    <row r="1801" spans="2:17" ht="13">
      <c r="B1801" s="396"/>
      <c r="C1801" s="116"/>
      <c r="D1801" s="116"/>
      <c r="E1801" s="116"/>
      <c r="F1801" s="116"/>
      <c r="G1801" s="332"/>
      <c r="H1801" s="332"/>
      <c r="I1801" s="332"/>
      <c r="J1801" s="332"/>
      <c r="K1801" s="332"/>
      <c r="L1801" s="332"/>
      <c r="Q1801" s="152"/>
    </row>
    <row r="1802" spans="2:17" ht="13">
      <c r="B1802" s="396"/>
      <c r="C1802" s="116"/>
      <c r="D1802" s="116"/>
      <c r="E1802" s="116"/>
      <c r="F1802" s="116"/>
      <c r="G1802" s="332"/>
      <c r="H1802" s="332"/>
      <c r="I1802" s="332"/>
      <c r="J1802" s="332"/>
      <c r="K1802" s="332"/>
      <c r="L1802" s="332"/>
      <c r="Q1802" s="152"/>
    </row>
    <row r="1803" spans="2:17" ht="13">
      <c r="B1803" s="396"/>
      <c r="C1803" s="116"/>
      <c r="D1803" s="116"/>
      <c r="E1803" s="116"/>
      <c r="F1803" s="116"/>
      <c r="G1803" s="332"/>
      <c r="H1803" s="332"/>
      <c r="I1803" s="332"/>
      <c r="J1803" s="332"/>
      <c r="K1803" s="332"/>
      <c r="L1803" s="332"/>
      <c r="Q1803" s="152"/>
    </row>
    <row r="1804" spans="2:17" ht="13">
      <c r="B1804" s="396"/>
      <c r="C1804" s="116"/>
      <c r="D1804" s="116"/>
      <c r="E1804" s="116"/>
      <c r="F1804" s="116"/>
      <c r="G1804" s="332"/>
      <c r="H1804" s="332"/>
      <c r="I1804" s="332"/>
      <c r="J1804" s="332"/>
      <c r="K1804" s="332"/>
      <c r="L1804" s="332"/>
      <c r="Q1804" s="152"/>
    </row>
    <row r="1805" spans="2:17" ht="13">
      <c r="B1805" s="396"/>
      <c r="C1805" s="116"/>
      <c r="D1805" s="116"/>
      <c r="E1805" s="116"/>
      <c r="F1805" s="116"/>
      <c r="G1805" s="332"/>
      <c r="H1805" s="332"/>
      <c r="I1805" s="332"/>
      <c r="J1805" s="332"/>
      <c r="K1805" s="332"/>
      <c r="L1805" s="332"/>
      <c r="Q1805" s="152"/>
    </row>
    <row r="1806" spans="2:17" ht="13">
      <c r="B1806" s="396"/>
      <c r="C1806" s="116"/>
      <c r="D1806" s="116"/>
      <c r="E1806" s="116"/>
      <c r="F1806" s="116"/>
      <c r="G1806" s="332"/>
      <c r="H1806" s="332"/>
      <c r="I1806" s="332"/>
      <c r="J1806" s="332"/>
      <c r="K1806" s="332"/>
      <c r="L1806" s="332"/>
      <c r="Q1806" s="152"/>
    </row>
    <row r="1807" spans="2:17" ht="13">
      <c r="B1807" s="396"/>
      <c r="C1807" s="116"/>
      <c r="D1807" s="116"/>
      <c r="E1807" s="116"/>
      <c r="F1807" s="116"/>
      <c r="G1807" s="332"/>
      <c r="H1807" s="332"/>
      <c r="I1807" s="332"/>
      <c r="J1807" s="332"/>
      <c r="K1807" s="332"/>
      <c r="L1807" s="332"/>
      <c r="Q1807" s="152"/>
    </row>
    <row r="1808" spans="2:17" ht="13">
      <c r="B1808" s="396"/>
      <c r="C1808" s="116"/>
      <c r="D1808" s="116"/>
      <c r="E1808" s="116"/>
      <c r="F1808" s="116"/>
      <c r="G1808" s="332"/>
      <c r="H1808" s="332"/>
      <c r="I1808" s="332"/>
      <c r="J1808" s="332"/>
      <c r="K1808" s="332"/>
      <c r="L1808" s="332"/>
      <c r="Q1808" s="152"/>
    </row>
    <row r="1809" spans="2:17" ht="13">
      <c r="B1809" s="396"/>
      <c r="C1809" s="116"/>
      <c r="D1809" s="116"/>
      <c r="E1809" s="116"/>
      <c r="F1809" s="116"/>
      <c r="G1809" s="332"/>
      <c r="H1809" s="332"/>
      <c r="I1809" s="332"/>
      <c r="J1809" s="332"/>
      <c r="K1809" s="332"/>
      <c r="L1809" s="332"/>
      <c r="Q1809" s="152"/>
    </row>
    <row r="1810" spans="2:17" ht="13">
      <c r="B1810" s="396"/>
      <c r="C1810" s="116"/>
      <c r="D1810" s="116"/>
      <c r="E1810" s="116"/>
      <c r="F1810" s="116"/>
      <c r="G1810" s="332"/>
      <c r="H1810" s="332"/>
      <c r="I1810" s="332"/>
      <c r="J1810" s="332"/>
      <c r="K1810" s="332"/>
      <c r="L1810" s="332"/>
      <c r="Q1810" s="152"/>
    </row>
    <row r="1811" spans="2:17" ht="13">
      <c r="B1811" s="396"/>
      <c r="C1811" s="116"/>
      <c r="D1811" s="116"/>
      <c r="E1811" s="116"/>
      <c r="F1811" s="116"/>
      <c r="G1811" s="332"/>
      <c r="H1811" s="332"/>
      <c r="I1811" s="332"/>
      <c r="J1811" s="332"/>
      <c r="K1811" s="332"/>
      <c r="L1811" s="332"/>
      <c r="Q1811" s="152"/>
    </row>
    <row r="1812" spans="2:17" ht="13">
      <c r="B1812" s="396"/>
      <c r="C1812" s="116"/>
      <c r="D1812" s="116"/>
      <c r="E1812" s="116"/>
      <c r="F1812" s="116"/>
      <c r="G1812" s="332"/>
      <c r="H1812" s="332"/>
      <c r="I1812" s="332"/>
      <c r="J1812" s="332"/>
      <c r="K1812" s="332"/>
      <c r="L1812" s="332"/>
      <c r="Q1812" s="152"/>
    </row>
    <row r="1813" spans="2:17" ht="13">
      <c r="B1813" s="396"/>
      <c r="C1813" s="116"/>
      <c r="D1813" s="116"/>
      <c r="E1813" s="116"/>
      <c r="F1813" s="116"/>
      <c r="G1813" s="332"/>
      <c r="H1813" s="332"/>
      <c r="I1813" s="332"/>
      <c r="J1813" s="332"/>
      <c r="K1813" s="332"/>
      <c r="L1813" s="332"/>
      <c r="Q1813" s="152"/>
    </row>
    <row r="1814" spans="2:17" ht="13">
      <c r="B1814" s="396"/>
      <c r="C1814" s="116"/>
      <c r="D1814" s="116"/>
      <c r="E1814" s="116"/>
      <c r="F1814" s="116"/>
      <c r="G1814" s="332"/>
      <c r="H1814" s="332"/>
      <c r="I1814" s="332"/>
      <c r="J1814" s="332"/>
      <c r="K1814" s="332"/>
      <c r="L1814" s="332"/>
      <c r="Q1814" s="152"/>
    </row>
    <row r="1815" spans="2:17" ht="13">
      <c r="B1815" s="396"/>
      <c r="C1815" s="116"/>
      <c r="D1815" s="116"/>
      <c r="E1815" s="116"/>
      <c r="F1815" s="116"/>
      <c r="G1815" s="332"/>
      <c r="H1815" s="332"/>
      <c r="I1815" s="332"/>
      <c r="J1815" s="332"/>
      <c r="K1815" s="332"/>
      <c r="L1815" s="332"/>
      <c r="Q1815" s="152"/>
    </row>
    <row r="1816" spans="2:17" ht="13">
      <c r="B1816" s="396"/>
      <c r="C1816" s="116"/>
      <c r="D1816" s="116"/>
      <c r="E1816" s="116"/>
      <c r="F1816" s="116"/>
      <c r="G1816" s="332"/>
      <c r="H1816" s="332"/>
      <c r="I1816" s="332"/>
      <c r="J1816" s="332"/>
      <c r="K1816" s="332"/>
      <c r="L1816" s="332"/>
      <c r="Q1816" s="152"/>
    </row>
    <row r="1817" spans="2:17" ht="13">
      <c r="B1817" s="396"/>
      <c r="C1817" s="116"/>
      <c r="D1817" s="116"/>
      <c r="E1817" s="116"/>
      <c r="F1817" s="116"/>
      <c r="G1817" s="332"/>
      <c r="H1817" s="332"/>
      <c r="I1817" s="332"/>
      <c r="J1817" s="332"/>
      <c r="K1817" s="332"/>
      <c r="L1817" s="332"/>
      <c r="Q1817" s="152"/>
    </row>
    <row r="1818" spans="2:17" ht="13">
      <c r="B1818" s="396"/>
      <c r="C1818" s="116"/>
      <c r="D1818" s="116"/>
      <c r="E1818" s="116"/>
      <c r="F1818" s="116"/>
      <c r="G1818" s="332"/>
      <c r="H1818" s="332"/>
      <c r="I1818" s="332"/>
      <c r="J1818" s="332"/>
      <c r="K1818" s="332"/>
      <c r="L1818" s="332"/>
      <c r="Q1818" s="152"/>
    </row>
    <row r="1819" spans="2:17" ht="13">
      <c r="B1819" s="396"/>
      <c r="C1819" s="116"/>
      <c r="D1819" s="116"/>
      <c r="E1819" s="116"/>
      <c r="F1819" s="116"/>
      <c r="G1819" s="332"/>
      <c r="H1819" s="332"/>
      <c r="I1819" s="332"/>
      <c r="J1819" s="332"/>
      <c r="K1819" s="332"/>
      <c r="L1819" s="332"/>
      <c r="Q1819" s="152"/>
    </row>
    <row r="1820" spans="2:17" ht="13">
      <c r="B1820" s="396"/>
      <c r="C1820" s="116"/>
      <c r="D1820" s="116"/>
      <c r="E1820" s="116"/>
      <c r="F1820" s="116"/>
      <c r="G1820" s="332"/>
      <c r="H1820" s="332"/>
      <c r="I1820" s="332"/>
      <c r="J1820" s="332"/>
      <c r="K1820" s="332"/>
      <c r="L1820" s="332"/>
      <c r="Q1820" s="152"/>
    </row>
    <row r="1821" spans="2:17" ht="13">
      <c r="B1821" s="396"/>
      <c r="C1821" s="116"/>
      <c r="D1821" s="116"/>
      <c r="E1821" s="116"/>
      <c r="F1821" s="116"/>
      <c r="G1821" s="332"/>
      <c r="H1821" s="332"/>
      <c r="I1821" s="332"/>
      <c r="J1821" s="332"/>
      <c r="K1821" s="332"/>
      <c r="L1821" s="332"/>
      <c r="Q1821" s="152"/>
    </row>
    <row r="1822" spans="2:17" ht="13">
      <c r="B1822" s="396"/>
      <c r="C1822" s="116"/>
      <c r="D1822" s="116"/>
      <c r="E1822" s="116"/>
      <c r="F1822" s="116"/>
      <c r="G1822" s="332"/>
      <c r="H1822" s="332"/>
      <c r="I1822" s="332"/>
      <c r="J1822" s="332"/>
      <c r="K1822" s="332"/>
      <c r="L1822" s="332"/>
      <c r="Q1822" s="152"/>
    </row>
    <row r="1823" spans="2:17" ht="13">
      <c r="B1823" s="396"/>
      <c r="C1823" s="116"/>
      <c r="D1823" s="116"/>
      <c r="E1823" s="116"/>
      <c r="F1823" s="116"/>
      <c r="G1823" s="332"/>
      <c r="H1823" s="332"/>
      <c r="I1823" s="332"/>
      <c r="J1823" s="332"/>
      <c r="K1823" s="332"/>
      <c r="L1823" s="332"/>
      <c r="Q1823" s="152"/>
    </row>
    <row r="1824" spans="2:17" ht="13">
      <c r="B1824" s="396"/>
      <c r="C1824" s="116"/>
      <c r="D1824" s="116"/>
      <c r="E1824" s="116"/>
      <c r="F1824" s="116"/>
      <c r="G1824" s="332"/>
      <c r="H1824" s="332"/>
      <c r="I1824" s="332"/>
      <c r="J1824" s="332"/>
      <c r="K1824" s="332"/>
      <c r="L1824" s="332"/>
      <c r="Q1824" s="152"/>
    </row>
    <row r="1825" spans="2:17" ht="13">
      <c r="B1825" s="396"/>
      <c r="C1825" s="116"/>
      <c r="D1825" s="116"/>
      <c r="E1825" s="116"/>
      <c r="F1825" s="116"/>
      <c r="G1825" s="332"/>
      <c r="H1825" s="332"/>
      <c r="I1825" s="332"/>
      <c r="J1825" s="332"/>
      <c r="K1825" s="332"/>
      <c r="L1825" s="332"/>
      <c r="Q1825" s="152"/>
    </row>
    <row r="1826" spans="2:17" ht="13">
      <c r="B1826" s="396"/>
      <c r="C1826" s="116"/>
      <c r="D1826" s="116"/>
      <c r="E1826" s="116"/>
      <c r="F1826" s="116"/>
      <c r="G1826" s="332"/>
      <c r="H1826" s="332"/>
      <c r="I1826" s="332"/>
      <c r="J1826" s="332"/>
      <c r="K1826" s="332"/>
      <c r="L1826" s="332"/>
      <c r="Q1826" s="152"/>
    </row>
    <row r="1827" spans="2:17" ht="13">
      <c r="B1827" s="396"/>
      <c r="C1827" s="116"/>
      <c r="D1827" s="116"/>
      <c r="E1827" s="116"/>
      <c r="F1827" s="116"/>
      <c r="G1827" s="332"/>
      <c r="H1827" s="332"/>
      <c r="I1827" s="332"/>
      <c r="J1827" s="332"/>
      <c r="K1827" s="332"/>
      <c r="L1827" s="332"/>
      <c r="Q1827" s="152"/>
    </row>
    <row r="1828" spans="2:17" ht="13">
      <c r="B1828" s="396"/>
      <c r="C1828" s="116"/>
      <c r="D1828" s="116"/>
      <c r="E1828" s="116"/>
      <c r="F1828" s="116"/>
      <c r="G1828" s="332"/>
      <c r="H1828" s="332"/>
      <c r="I1828" s="332"/>
      <c r="J1828" s="332"/>
      <c r="K1828" s="332"/>
      <c r="L1828" s="332"/>
      <c r="Q1828" s="152"/>
    </row>
    <row r="1829" spans="2:17" ht="13">
      <c r="B1829" s="396"/>
      <c r="C1829" s="116"/>
      <c r="D1829" s="116"/>
      <c r="E1829" s="116"/>
      <c r="F1829" s="116"/>
      <c r="G1829" s="332"/>
      <c r="H1829" s="332"/>
      <c r="I1829" s="332"/>
      <c r="J1829" s="332"/>
      <c r="K1829" s="332"/>
      <c r="L1829" s="332"/>
      <c r="Q1829" s="152"/>
    </row>
    <row r="1830" spans="2:17" ht="13">
      <c r="B1830" s="396"/>
      <c r="C1830" s="116"/>
      <c r="D1830" s="116"/>
      <c r="E1830" s="116"/>
      <c r="F1830" s="116"/>
      <c r="G1830" s="332"/>
      <c r="H1830" s="332"/>
      <c r="I1830" s="332"/>
      <c r="J1830" s="332"/>
      <c r="K1830" s="332"/>
      <c r="L1830" s="332"/>
      <c r="Q1830" s="152"/>
    </row>
    <row r="1831" spans="2:17" ht="13">
      <c r="B1831" s="396"/>
      <c r="C1831" s="116"/>
      <c r="D1831" s="116"/>
      <c r="E1831" s="116"/>
      <c r="F1831" s="116"/>
      <c r="G1831" s="332"/>
      <c r="H1831" s="332"/>
      <c r="I1831" s="332"/>
      <c r="J1831" s="332"/>
      <c r="K1831" s="332"/>
      <c r="L1831" s="332"/>
      <c r="Q1831" s="152"/>
    </row>
    <row r="1832" spans="2:17" ht="13">
      <c r="B1832" s="396"/>
      <c r="C1832" s="116"/>
      <c r="D1832" s="116"/>
      <c r="E1832" s="116"/>
      <c r="F1832" s="116"/>
      <c r="G1832" s="332"/>
      <c r="H1832" s="332"/>
      <c r="I1832" s="332"/>
      <c r="J1832" s="332"/>
      <c r="K1832" s="332"/>
      <c r="L1832" s="332"/>
      <c r="Q1832" s="152"/>
    </row>
    <row r="1833" spans="2:17" ht="13">
      <c r="B1833" s="396"/>
      <c r="C1833" s="116"/>
      <c r="D1833" s="116"/>
      <c r="E1833" s="116"/>
      <c r="F1833" s="116"/>
      <c r="G1833" s="332"/>
      <c r="H1833" s="332"/>
      <c r="I1833" s="332"/>
      <c r="J1833" s="332"/>
      <c r="K1833" s="332"/>
      <c r="L1833" s="332"/>
      <c r="Q1833" s="152"/>
    </row>
    <row r="1834" spans="2:17" ht="13">
      <c r="B1834" s="396"/>
      <c r="C1834" s="116"/>
      <c r="D1834" s="116"/>
      <c r="E1834" s="116"/>
      <c r="F1834" s="116"/>
      <c r="G1834" s="332"/>
      <c r="H1834" s="332"/>
      <c r="I1834" s="332"/>
      <c r="J1834" s="332"/>
      <c r="K1834" s="332"/>
      <c r="L1834" s="332"/>
      <c r="Q1834" s="152"/>
    </row>
    <row r="1835" spans="2:17" ht="13">
      <c r="B1835" s="396"/>
      <c r="C1835" s="116"/>
      <c r="D1835" s="116"/>
      <c r="E1835" s="116"/>
      <c r="F1835" s="116"/>
      <c r="G1835" s="332"/>
      <c r="H1835" s="332"/>
      <c r="I1835" s="332"/>
      <c r="J1835" s="332"/>
      <c r="K1835" s="332"/>
      <c r="L1835" s="332"/>
      <c r="Q1835" s="152"/>
    </row>
    <row r="1836" spans="2:17" ht="13">
      <c r="B1836" s="396"/>
      <c r="C1836" s="116"/>
      <c r="D1836" s="116"/>
      <c r="E1836" s="116"/>
      <c r="F1836" s="116"/>
      <c r="G1836" s="332"/>
      <c r="H1836" s="332"/>
      <c r="I1836" s="332"/>
      <c r="J1836" s="332"/>
      <c r="K1836" s="332"/>
      <c r="L1836" s="332"/>
      <c r="Q1836" s="152"/>
    </row>
    <row r="1837" spans="2:17" ht="13">
      <c r="B1837" s="396"/>
      <c r="C1837" s="116"/>
      <c r="D1837" s="116"/>
      <c r="E1837" s="116"/>
      <c r="F1837" s="116"/>
      <c r="G1837" s="332"/>
      <c r="H1837" s="332"/>
      <c r="I1837" s="332"/>
      <c r="J1837" s="332"/>
      <c r="K1837" s="332"/>
      <c r="L1837" s="332"/>
      <c r="Q1837" s="152"/>
    </row>
    <row r="1838" spans="2:17" ht="13">
      <c r="B1838" s="396"/>
      <c r="C1838" s="116"/>
      <c r="D1838" s="116"/>
      <c r="E1838" s="116"/>
      <c r="F1838" s="116"/>
      <c r="G1838" s="332"/>
      <c r="H1838" s="332"/>
      <c r="I1838" s="332"/>
      <c r="J1838" s="332"/>
      <c r="K1838" s="332"/>
      <c r="L1838" s="332"/>
      <c r="Q1838" s="152"/>
    </row>
    <row r="1839" spans="2:17" ht="13">
      <c r="B1839" s="396"/>
      <c r="C1839" s="116"/>
      <c r="D1839" s="116"/>
      <c r="E1839" s="116"/>
      <c r="F1839" s="116"/>
      <c r="G1839" s="332"/>
      <c r="H1839" s="332"/>
      <c r="I1839" s="332"/>
      <c r="J1839" s="332"/>
      <c r="K1839" s="332"/>
      <c r="L1839" s="332"/>
      <c r="Q1839" s="152"/>
    </row>
    <row r="1840" spans="2:17" ht="13">
      <c r="B1840" s="396"/>
      <c r="C1840" s="116"/>
      <c r="D1840" s="116"/>
      <c r="E1840" s="116"/>
      <c r="F1840" s="116"/>
      <c r="G1840" s="332"/>
      <c r="H1840" s="332"/>
      <c r="I1840" s="332"/>
      <c r="J1840" s="332"/>
      <c r="K1840" s="332"/>
      <c r="L1840" s="332"/>
      <c r="Q1840" s="152"/>
    </row>
    <row r="1841" spans="2:17" ht="13">
      <c r="B1841" s="396"/>
      <c r="C1841" s="116"/>
      <c r="D1841" s="116"/>
      <c r="E1841" s="116"/>
      <c r="F1841" s="116"/>
      <c r="G1841" s="332"/>
      <c r="H1841" s="332"/>
      <c r="I1841" s="332"/>
      <c r="J1841" s="332"/>
      <c r="K1841" s="332"/>
      <c r="L1841" s="332"/>
      <c r="Q1841" s="152"/>
    </row>
    <row r="1842" spans="2:17" ht="13">
      <c r="B1842" s="396"/>
      <c r="C1842" s="116"/>
      <c r="D1842" s="116"/>
      <c r="E1842" s="116"/>
      <c r="F1842" s="116"/>
      <c r="G1842" s="332"/>
      <c r="H1842" s="332"/>
      <c r="I1842" s="332"/>
      <c r="J1842" s="332"/>
      <c r="K1842" s="332"/>
      <c r="L1842" s="332"/>
      <c r="Q1842" s="152"/>
    </row>
    <row r="1843" spans="2:17" ht="13">
      <c r="B1843" s="396"/>
      <c r="C1843" s="116"/>
      <c r="D1843" s="116"/>
      <c r="E1843" s="116"/>
      <c r="F1843" s="116"/>
      <c r="G1843" s="332"/>
      <c r="H1843" s="332"/>
      <c r="I1843" s="332"/>
      <c r="J1843" s="332"/>
      <c r="K1843" s="332"/>
      <c r="L1843" s="332"/>
      <c r="Q1843" s="152"/>
    </row>
    <row r="1844" spans="2:17" ht="13">
      <c r="B1844" s="396"/>
      <c r="C1844" s="116"/>
      <c r="D1844" s="116"/>
      <c r="E1844" s="116"/>
      <c r="F1844" s="116"/>
      <c r="G1844" s="332"/>
      <c r="H1844" s="332"/>
      <c r="I1844" s="332"/>
      <c r="J1844" s="332"/>
      <c r="K1844" s="332"/>
      <c r="L1844" s="332"/>
      <c r="Q1844" s="152"/>
    </row>
    <row r="1845" spans="2:17" ht="13">
      <c r="B1845" s="396"/>
      <c r="C1845" s="116"/>
      <c r="D1845" s="116"/>
      <c r="E1845" s="116"/>
      <c r="F1845" s="116"/>
      <c r="G1845" s="332"/>
      <c r="H1845" s="332"/>
      <c r="I1845" s="332"/>
      <c r="J1845" s="332"/>
      <c r="K1845" s="332"/>
      <c r="L1845" s="332"/>
      <c r="Q1845" s="152"/>
    </row>
    <row r="1846" spans="2:17" ht="13">
      <c r="B1846" s="396"/>
      <c r="C1846" s="116"/>
      <c r="D1846" s="116"/>
      <c r="E1846" s="116"/>
      <c r="F1846" s="116"/>
      <c r="G1846" s="332"/>
      <c r="H1846" s="332"/>
      <c r="I1846" s="332"/>
      <c r="J1846" s="332"/>
      <c r="K1846" s="332"/>
      <c r="L1846" s="332"/>
      <c r="Q1846" s="152"/>
    </row>
    <row r="1847" spans="2:17" ht="13">
      <c r="B1847" s="396"/>
      <c r="C1847" s="116"/>
      <c r="D1847" s="116"/>
      <c r="E1847" s="116"/>
      <c r="F1847" s="116"/>
      <c r="G1847" s="332"/>
      <c r="H1847" s="332"/>
      <c r="I1847" s="332"/>
      <c r="J1847" s="332"/>
      <c r="K1847" s="332"/>
      <c r="L1847" s="332"/>
      <c r="Q1847" s="152"/>
    </row>
    <row r="1848" spans="2:17" ht="13">
      <c r="B1848" s="396"/>
      <c r="C1848" s="116"/>
      <c r="D1848" s="116"/>
      <c r="E1848" s="116"/>
      <c r="F1848" s="116"/>
      <c r="G1848" s="332"/>
      <c r="H1848" s="332"/>
      <c r="I1848" s="332"/>
      <c r="J1848" s="332"/>
      <c r="K1848" s="332"/>
      <c r="L1848" s="332"/>
      <c r="Q1848" s="152"/>
    </row>
    <row r="1849" spans="2:17" ht="13">
      <c r="B1849" s="396"/>
      <c r="C1849" s="116"/>
      <c r="D1849" s="116"/>
      <c r="E1849" s="116"/>
      <c r="F1849" s="116"/>
      <c r="G1849" s="332"/>
      <c r="H1849" s="332"/>
      <c r="I1849" s="332"/>
      <c r="J1849" s="332"/>
      <c r="K1849" s="332"/>
      <c r="L1849" s="332"/>
      <c r="Q1849" s="152"/>
    </row>
    <row r="1850" spans="2:17" ht="13">
      <c r="B1850" s="396"/>
      <c r="C1850" s="116"/>
      <c r="D1850" s="116"/>
      <c r="E1850" s="116"/>
      <c r="F1850" s="116"/>
      <c r="G1850" s="332"/>
      <c r="H1850" s="332"/>
      <c r="I1850" s="332"/>
      <c r="J1850" s="332"/>
      <c r="K1850" s="332"/>
      <c r="L1850" s="332"/>
      <c r="Q1850" s="152"/>
    </row>
    <row r="1851" spans="2:17" ht="13">
      <c r="B1851" s="396"/>
      <c r="C1851" s="116"/>
      <c r="D1851" s="116"/>
      <c r="E1851" s="116"/>
      <c r="F1851" s="116"/>
      <c r="G1851" s="332"/>
      <c r="H1851" s="332"/>
      <c r="I1851" s="332"/>
      <c r="J1851" s="332"/>
      <c r="K1851" s="332"/>
      <c r="L1851" s="332"/>
      <c r="Q1851" s="152"/>
    </row>
    <row r="1852" spans="2:17" ht="13">
      <c r="B1852" s="396"/>
      <c r="C1852" s="116"/>
      <c r="D1852" s="116"/>
      <c r="E1852" s="116"/>
      <c r="F1852" s="116"/>
      <c r="G1852" s="332"/>
      <c r="H1852" s="332"/>
      <c r="I1852" s="332"/>
      <c r="J1852" s="332"/>
      <c r="K1852" s="332"/>
      <c r="L1852" s="332"/>
      <c r="Q1852" s="152"/>
    </row>
    <row r="1853" spans="2:17" ht="13">
      <c r="B1853" s="396"/>
      <c r="C1853" s="116"/>
      <c r="D1853" s="116"/>
      <c r="E1853" s="116"/>
      <c r="F1853" s="116"/>
      <c r="G1853" s="332"/>
      <c r="H1853" s="332"/>
      <c r="I1853" s="332"/>
      <c r="J1853" s="332"/>
      <c r="K1853" s="332"/>
      <c r="L1853" s="332"/>
      <c r="Q1853" s="152"/>
    </row>
    <row r="1854" spans="2:17" ht="13">
      <c r="B1854" s="396"/>
      <c r="C1854" s="116"/>
      <c r="D1854" s="116"/>
      <c r="E1854" s="116"/>
      <c r="F1854" s="116"/>
      <c r="G1854" s="332"/>
      <c r="H1854" s="332"/>
      <c r="I1854" s="332"/>
      <c r="J1854" s="332"/>
      <c r="K1854" s="332"/>
      <c r="L1854" s="332"/>
      <c r="Q1854" s="152"/>
    </row>
    <row r="1855" spans="2:17" ht="13">
      <c r="B1855" s="396"/>
      <c r="C1855" s="116"/>
      <c r="D1855" s="116"/>
      <c r="E1855" s="116"/>
      <c r="F1855" s="116"/>
      <c r="G1855" s="332"/>
      <c r="H1855" s="332"/>
      <c r="I1855" s="332"/>
      <c r="J1855" s="332"/>
      <c r="K1855" s="332"/>
      <c r="L1855" s="332"/>
      <c r="Q1855" s="152"/>
    </row>
    <row r="1856" spans="2:17" ht="13">
      <c r="B1856" s="396"/>
      <c r="C1856" s="116"/>
      <c r="D1856" s="116"/>
      <c r="E1856" s="116"/>
      <c r="F1856" s="116"/>
      <c r="G1856" s="332"/>
      <c r="H1856" s="332"/>
      <c r="I1856" s="332"/>
      <c r="J1856" s="332"/>
      <c r="K1856" s="332"/>
      <c r="L1856" s="332"/>
      <c r="Q1856" s="152"/>
    </row>
    <row r="1857" spans="2:17" ht="13">
      <c r="B1857" s="396"/>
      <c r="C1857" s="116"/>
      <c r="D1857" s="116"/>
      <c r="E1857" s="116"/>
      <c r="F1857" s="116"/>
      <c r="G1857" s="332"/>
      <c r="H1857" s="332"/>
      <c r="I1857" s="332"/>
      <c r="J1857" s="332"/>
      <c r="K1857" s="332"/>
      <c r="L1857" s="332"/>
      <c r="Q1857" s="152"/>
    </row>
    <row r="1858" spans="2:17" ht="13">
      <c r="B1858" s="396"/>
      <c r="C1858" s="116"/>
      <c r="D1858" s="116"/>
      <c r="E1858" s="116"/>
      <c r="F1858" s="116"/>
      <c r="G1858" s="332"/>
      <c r="H1858" s="332"/>
      <c r="I1858" s="332"/>
      <c r="J1858" s="332"/>
      <c r="K1858" s="332"/>
      <c r="L1858" s="332"/>
      <c r="Q1858" s="152"/>
    </row>
    <row r="1859" spans="2:17" ht="13">
      <c r="B1859" s="396"/>
      <c r="C1859" s="116"/>
      <c r="D1859" s="116"/>
      <c r="E1859" s="116"/>
      <c r="F1859" s="116"/>
      <c r="G1859" s="332"/>
      <c r="H1859" s="332"/>
      <c r="I1859" s="332"/>
      <c r="J1859" s="332"/>
      <c r="K1859" s="332"/>
      <c r="L1859" s="332"/>
      <c r="Q1859" s="152"/>
    </row>
    <row r="1860" spans="2:17" ht="13">
      <c r="B1860" s="396"/>
      <c r="C1860" s="116"/>
      <c r="D1860" s="116"/>
      <c r="E1860" s="116"/>
      <c r="F1860" s="116"/>
      <c r="G1860" s="332"/>
      <c r="H1860" s="332"/>
      <c r="I1860" s="332"/>
      <c r="J1860" s="332"/>
      <c r="K1860" s="332"/>
      <c r="L1860" s="332"/>
      <c r="Q1860" s="152"/>
    </row>
    <row r="1861" spans="2:17" ht="13">
      <c r="B1861" s="396"/>
      <c r="C1861" s="116"/>
      <c r="D1861" s="116"/>
      <c r="E1861" s="116"/>
      <c r="F1861" s="116"/>
      <c r="G1861" s="332"/>
      <c r="H1861" s="332"/>
      <c r="I1861" s="332"/>
      <c r="J1861" s="332"/>
      <c r="K1861" s="332"/>
      <c r="L1861" s="332"/>
      <c r="Q1861" s="152"/>
    </row>
    <row r="1862" spans="2:17" ht="13">
      <c r="B1862" s="396"/>
      <c r="C1862" s="116"/>
      <c r="D1862" s="116"/>
      <c r="E1862" s="116"/>
      <c r="F1862" s="116"/>
      <c r="G1862" s="332"/>
      <c r="H1862" s="332"/>
      <c r="I1862" s="332"/>
      <c r="J1862" s="332"/>
      <c r="K1862" s="332"/>
      <c r="L1862" s="332"/>
      <c r="Q1862" s="152"/>
    </row>
    <row r="1863" spans="2:17" ht="13">
      <c r="B1863" s="396"/>
      <c r="C1863" s="116"/>
      <c r="D1863" s="116"/>
      <c r="E1863" s="116"/>
      <c r="F1863" s="116"/>
      <c r="G1863" s="332"/>
      <c r="H1863" s="332"/>
      <c r="I1863" s="332"/>
      <c r="J1863" s="332"/>
      <c r="K1863" s="332"/>
      <c r="L1863" s="332"/>
      <c r="Q1863" s="152"/>
    </row>
    <row r="1864" spans="2:17" ht="13">
      <c r="B1864" s="396"/>
      <c r="C1864" s="116"/>
      <c r="D1864" s="116"/>
      <c r="E1864" s="116"/>
      <c r="F1864" s="116"/>
      <c r="G1864" s="332"/>
      <c r="H1864" s="332"/>
      <c r="I1864" s="332"/>
      <c r="J1864" s="332"/>
      <c r="K1864" s="332"/>
      <c r="L1864" s="332"/>
      <c r="Q1864" s="152"/>
    </row>
    <row r="1865" spans="2:17" ht="13">
      <c r="B1865" s="396"/>
      <c r="C1865" s="116"/>
      <c r="D1865" s="116"/>
      <c r="E1865" s="116"/>
      <c r="F1865" s="116"/>
      <c r="G1865" s="332"/>
      <c r="H1865" s="332"/>
      <c r="I1865" s="332"/>
      <c r="J1865" s="332"/>
      <c r="K1865" s="332"/>
      <c r="L1865" s="332"/>
      <c r="Q1865" s="152"/>
    </row>
    <row r="1866" spans="2:17" ht="13">
      <c r="B1866" s="396"/>
      <c r="C1866" s="116"/>
      <c r="D1866" s="116"/>
      <c r="E1866" s="116"/>
      <c r="F1866" s="116"/>
      <c r="G1866" s="332"/>
      <c r="H1866" s="332"/>
      <c r="I1866" s="332"/>
      <c r="J1866" s="332"/>
      <c r="K1866" s="332"/>
      <c r="L1866" s="332"/>
      <c r="Q1866" s="152"/>
    </row>
    <row r="1867" spans="2:17" ht="13">
      <c r="B1867" s="396"/>
      <c r="C1867" s="116"/>
      <c r="D1867" s="116"/>
      <c r="E1867" s="116"/>
      <c r="F1867" s="116"/>
      <c r="G1867" s="332"/>
      <c r="H1867" s="332"/>
      <c r="I1867" s="332"/>
      <c r="J1867" s="332"/>
      <c r="K1867" s="332"/>
      <c r="L1867" s="332"/>
      <c r="Q1867" s="152"/>
    </row>
    <row r="1868" spans="2:17" ht="13">
      <c r="B1868" s="396"/>
      <c r="C1868" s="116"/>
      <c r="D1868" s="116"/>
      <c r="E1868" s="116"/>
      <c r="F1868" s="116"/>
      <c r="G1868" s="332"/>
      <c r="H1868" s="332"/>
      <c r="I1868" s="332"/>
      <c r="J1868" s="332"/>
      <c r="K1868" s="332"/>
      <c r="L1868" s="332"/>
      <c r="Q1868" s="152"/>
    </row>
    <row r="1869" spans="2:17" ht="13">
      <c r="B1869" s="396"/>
      <c r="C1869" s="116"/>
      <c r="D1869" s="116"/>
      <c r="E1869" s="116"/>
      <c r="F1869" s="116"/>
      <c r="G1869" s="332"/>
      <c r="H1869" s="332"/>
      <c r="I1869" s="332"/>
      <c r="J1869" s="332"/>
      <c r="K1869" s="332"/>
      <c r="L1869" s="332"/>
      <c r="Q1869" s="152"/>
    </row>
    <row r="1870" spans="2:17" ht="13">
      <c r="B1870" s="396"/>
      <c r="C1870" s="116"/>
      <c r="D1870" s="116"/>
      <c r="E1870" s="116"/>
      <c r="F1870" s="116"/>
      <c r="G1870" s="332"/>
      <c r="H1870" s="332"/>
      <c r="I1870" s="332"/>
      <c r="J1870" s="332"/>
      <c r="K1870" s="332"/>
      <c r="L1870" s="332"/>
      <c r="Q1870" s="152"/>
    </row>
    <row r="1871" spans="2:17" ht="13">
      <c r="B1871" s="396"/>
      <c r="C1871" s="116"/>
      <c r="D1871" s="116"/>
      <c r="E1871" s="116"/>
      <c r="F1871" s="116"/>
      <c r="G1871" s="332"/>
      <c r="H1871" s="332"/>
      <c r="I1871" s="332"/>
      <c r="J1871" s="332"/>
      <c r="K1871" s="332"/>
      <c r="L1871" s="332"/>
      <c r="Q1871" s="152"/>
    </row>
    <row r="1872" spans="2:17" ht="13">
      <c r="B1872" s="396"/>
      <c r="C1872" s="116"/>
      <c r="D1872" s="116"/>
      <c r="E1872" s="116"/>
      <c r="F1872" s="116"/>
      <c r="G1872" s="332"/>
      <c r="H1872" s="332"/>
      <c r="I1872" s="332"/>
      <c r="J1872" s="332"/>
      <c r="K1872" s="332"/>
      <c r="L1872" s="332"/>
      <c r="Q1872" s="152"/>
    </row>
    <row r="1873" spans="2:17" ht="13">
      <c r="B1873" s="396"/>
      <c r="C1873" s="116"/>
      <c r="D1873" s="116"/>
      <c r="E1873" s="116"/>
      <c r="F1873" s="116"/>
      <c r="G1873" s="332"/>
      <c r="H1873" s="332"/>
      <c r="I1873" s="332"/>
      <c r="J1873" s="332"/>
      <c r="K1873" s="332"/>
      <c r="L1873" s="332"/>
      <c r="Q1873" s="152"/>
    </row>
    <row r="1874" spans="2:17" ht="13">
      <c r="B1874" s="396"/>
      <c r="C1874" s="116"/>
      <c r="D1874" s="116"/>
      <c r="E1874" s="116"/>
      <c r="F1874" s="116"/>
      <c r="G1874" s="332"/>
      <c r="H1874" s="332"/>
      <c r="I1874" s="332"/>
      <c r="J1874" s="332"/>
      <c r="K1874" s="332"/>
      <c r="L1874" s="332"/>
      <c r="Q1874" s="152"/>
    </row>
    <row r="1875" spans="2:17" ht="13">
      <c r="B1875" s="396"/>
      <c r="C1875" s="116"/>
      <c r="D1875" s="116"/>
      <c r="E1875" s="116"/>
      <c r="F1875" s="116"/>
      <c r="G1875" s="332"/>
      <c r="H1875" s="332"/>
      <c r="I1875" s="332"/>
      <c r="J1875" s="332"/>
      <c r="K1875" s="332"/>
      <c r="L1875" s="332"/>
      <c r="Q1875" s="152"/>
    </row>
    <row r="1876" spans="2:17" ht="13">
      <c r="B1876" s="396"/>
      <c r="C1876" s="116"/>
      <c r="D1876" s="116"/>
      <c r="E1876" s="116"/>
      <c r="F1876" s="116"/>
      <c r="G1876" s="332"/>
      <c r="H1876" s="332"/>
      <c r="I1876" s="332"/>
      <c r="J1876" s="332"/>
      <c r="K1876" s="332"/>
      <c r="L1876" s="332"/>
      <c r="Q1876" s="152"/>
    </row>
    <row r="1877" spans="2:17" ht="13">
      <c r="B1877" s="396"/>
      <c r="C1877" s="116"/>
      <c r="D1877" s="116"/>
      <c r="E1877" s="116"/>
      <c r="F1877" s="116"/>
      <c r="G1877" s="332"/>
      <c r="H1877" s="332"/>
      <c r="I1877" s="332"/>
      <c r="J1877" s="332"/>
      <c r="K1877" s="332"/>
      <c r="L1877" s="332"/>
      <c r="Q1877" s="152"/>
    </row>
    <row r="1878" spans="2:17" ht="13">
      <c r="B1878" s="396"/>
      <c r="C1878" s="116"/>
      <c r="D1878" s="116"/>
      <c r="E1878" s="116"/>
      <c r="F1878" s="116"/>
      <c r="G1878" s="332"/>
      <c r="H1878" s="332"/>
      <c r="I1878" s="332"/>
      <c r="J1878" s="332"/>
      <c r="K1878" s="332"/>
      <c r="L1878" s="332"/>
      <c r="Q1878" s="152"/>
    </row>
    <row r="1879" spans="2:17" ht="13">
      <c r="B1879" s="396"/>
      <c r="C1879" s="116"/>
      <c r="D1879" s="116"/>
      <c r="E1879" s="116"/>
      <c r="F1879" s="116"/>
      <c r="G1879" s="332"/>
      <c r="H1879" s="332"/>
      <c r="I1879" s="332"/>
      <c r="J1879" s="332"/>
      <c r="K1879" s="332"/>
      <c r="L1879" s="332"/>
      <c r="Q1879" s="152"/>
    </row>
    <row r="1880" spans="2:17" ht="13">
      <c r="B1880" s="396"/>
      <c r="C1880" s="116"/>
      <c r="D1880" s="116"/>
      <c r="E1880" s="116"/>
      <c r="F1880" s="116"/>
      <c r="G1880" s="332"/>
      <c r="H1880" s="332"/>
      <c r="I1880" s="332"/>
      <c r="J1880" s="332"/>
      <c r="K1880" s="332"/>
      <c r="L1880" s="332"/>
      <c r="Q1880" s="152"/>
    </row>
    <row r="1881" spans="2:17" ht="13">
      <c r="B1881" s="396"/>
      <c r="C1881" s="116"/>
      <c r="D1881" s="116"/>
      <c r="E1881" s="116"/>
      <c r="F1881" s="116"/>
      <c r="G1881" s="332"/>
      <c r="H1881" s="332"/>
      <c r="I1881" s="332"/>
      <c r="J1881" s="332"/>
      <c r="K1881" s="332"/>
      <c r="L1881" s="332"/>
      <c r="Q1881" s="152"/>
    </row>
    <row r="1882" spans="2:17" ht="13">
      <c r="B1882" s="396"/>
      <c r="C1882" s="116"/>
      <c r="D1882" s="116"/>
      <c r="E1882" s="116"/>
      <c r="F1882" s="116"/>
      <c r="G1882" s="332"/>
      <c r="H1882" s="332"/>
      <c r="I1882" s="332"/>
      <c r="J1882" s="332"/>
      <c r="K1882" s="332"/>
      <c r="L1882" s="332"/>
      <c r="Q1882" s="152"/>
    </row>
    <row r="1883" spans="2:17" ht="13">
      <c r="B1883" s="396"/>
      <c r="C1883" s="116"/>
      <c r="D1883" s="116"/>
      <c r="E1883" s="116"/>
      <c r="F1883" s="116"/>
      <c r="G1883" s="332"/>
      <c r="H1883" s="332"/>
      <c r="I1883" s="332"/>
      <c r="J1883" s="332"/>
      <c r="K1883" s="332"/>
      <c r="L1883" s="332"/>
      <c r="Q1883" s="152"/>
    </row>
    <row r="1884" spans="2:17" ht="13">
      <c r="B1884" s="396"/>
      <c r="C1884" s="116"/>
      <c r="D1884" s="116"/>
      <c r="E1884" s="116"/>
      <c r="F1884" s="116"/>
      <c r="G1884" s="332"/>
      <c r="H1884" s="332"/>
      <c r="I1884" s="332"/>
      <c r="J1884" s="332"/>
      <c r="K1884" s="332"/>
      <c r="L1884" s="332"/>
      <c r="Q1884" s="152"/>
    </row>
    <row r="1885" spans="2:17" ht="13">
      <c r="B1885" s="396"/>
      <c r="C1885" s="116"/>
      <c r="D1885" s="116"/>
      <c r="E1885" s="116"/>
      <c r="F1885" s="116"/>
      <c r="G1885" s="332"/>
      <c r="H1885" s="332"/>
      <c r="I1885" s="332"/>
      <c r="J1885" s="332"/>
      <c r="K1885" s="332"/>
      <c r="L1885" s="332"/>
      <c r="Q1885" s="152"/>
    </row>
    <row r="1886" spans="2:17" ht="13">
      <c r="B1886" s="396"/>
      <c r="C1886" s="116"/>
      <c r="D1886" s="116"/>
      <c r="E1886" s="116"/>
      <c r="F1886" s="116"/>
      <c r="G1886" s="332"/>
      <c r="H1886" s="332"/>
      <c r="I1886" s="332"/>
      <c r="J1886" s="332"/>
      <c r="K1886" s="332"/>
      <c r="L1886" s="332"/>
      <c r="Q1886" s="152"/>
    </row>
    <row r="1887" spans="2:17" ht="13">
      <c r="B1887" s="396"/>
      <c r="C1887" s="116"/>
      <c r="D1887" s="116"/>
      <c r="E1887" s="116"/>
      <c r="F1887" s="116"/>
      <c r="G1887" s="332"/>
      <c r="H1887" s="332"/>
      <c r="I1887" s="332"/>
      <c r="J1887" s="332"/>
      <c r="K1887" s="332"/>
      <c r="L1887" s="332"/>
      <c r="Q1887" s="152"/>
    </row>
    <row r="1888" spans="2:17" ht="13">
      <c r="B1888" s="396"/>
      <c r="C1888" s="116"/>
      <c r="D1888" s="116"/>
      <c r="E1888" s="116"/>
      <c r="F1888" s="116"/>
      <c r="G1888" s="332"/>
      <c r="H1888" s="332"/>
      <c r="I1888" s="332"/>
      <c r="J1888" s="332"/>
      <c r="K1888" s="332"/>
      <c r="L1888" s="332"/>
      <c r="Q1888" s="152"/>
    </row>
    <row r="1889" spans="2:17" ht="13">
      <c r="B1889" s="396"/>
      <c r="C1889" s="116"/>
      <c r="D1889" s="116"/>
      <c r="E1889" s="116"/>
      <c r="F1889" s="116"/>
      <c r="G1889" s="332"/>
      <c r="H1889" s="332"/>
      <c r="I1889" s="332"/>
      <c r="J1889" s="332"/>
      <c r="K1889" s="332"/>
      <c r="L1889" s="332"/>
      <c r="Q1889" s="152"/>
    </row>
    <row r="1890" spans="2:17" ht="13">
      <c r="B1890" s="396"/>
      <c r="C1890" s="116"/>
      <c r="D1890" s="116"/>
      <c r="E1890" s="116"/>
      <c r="F1890" s="116"/>
      <c r="G1890" s="332"/>
      <c r="H1890" s="332"/>
      <c r="I1890" s="332"/>
      <c r="J1890" s="332"/>
      <c r="K1890" s="332"/>
      <c r="L1890" s="332"/>
      <c r="Q1890" s="152"/>
    </row>
    <row r="1891" spans="2:17" ht="13">
      <c r="B1891" s="396"/>
      <c r="C1891" s="116"/>
      <c r="D1891" s="116"/>
      <c r="E1891" s="116"/>
      <c r="F1891" s="116"/>
      <c r="G1891" s="332"/>
      <c r="H1891" s="332"/>
      <c r="I1891" s="332"/>
      <c r="J1891" s="332"/>
      <c r="K1891" s="332"/>
      <c r="L1891" s="332"/>
      <c r="Q1891" s="152"/>
    </row>
    <row r="1892" spans="2:17" ht="13">
      <c r="B1892" s="396"/>
      <c r="C1892" s="116"/>
      <c r="D1892" s="116"/>
      <c r="E1892" s="116"/>
      <c r="F1892" s="116"/>
      <c r="G1892" s="332"/>
      <c r="H1892" s="332"/>
      <c r="I1892" s="332"/>
      <c r="J1892" s="332"/>
      <c r="K1892" s="332"/>
      <c r="L1892" s="332"/>
      <c r="Q1892" s="152"/>
    </row>
    <row r="1893" spans="2:17" ht="13">
      <c r="B1893" s="396"/>
      <c r="C1893" s="116"/>
      <c r="D1893" s="116"/>
      <c r="E1893" s="116"/>
      <c r="F1893" s="116"/>
      <c r="G1893" s="332"/>
      <c r="H1893" s="332"/>
      <c r="I1893" s="332"/>
      <c r="J1893" s="332"/>
      <c r="K1893" s="332"/>
      <c r="L1893" s="332"/>
      <c r="Q1893" s="152"/>
    </row>
    <row r="1894" spans="2:17" ht="13">
      <c r="B1894" s="396"/>
      <c r="C1894" s="116"/>
      <c r="D1894" s="116"/>
      <c r="E1894" s="116"/>
      <c r="F1894" s="116"/>
      <c r="G1894" s="332"/>
      <c r="H1894" s="332"/>
      <c r="I1894" s="332"/>
      <c r="J1894" s="332"/>
      <c r="K1894" s="332"/>
      <c r="L1894" s="332"/>
      <c r="Q1894" s="152"/>
    </row>
  </sheetData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  <outlinePr summaryBelow="0" summaryRight="0"/>
  </sheetPr>
  <dimension ref="A1:G11"/>
  <sheetViews>
    <sheetView showGridLines="0" topLeftCell="A4" workbookViewId="0">
      <selection activeCell="G5" sqref="G5"/>
    </sheetView>
  </sheetViews>
  <sheetFormatPr baseColWidth="10" defaultColWidth="14.5" defaultRowHeight="15.75" customHeight="1"/>
  <sheetData>
    <row r="1" spans="1:7">
      <c r="A1" s="410" t="s">
        <v>401</v>
      </c>
    </row>
    <row r="3" spans="1:7" ht="15.75" customHeight="1">
      <c r="A3" s="496" t="s">
        <v>346</v>
      </c>
      <c r="B3" s="497">
        <v>44575</v>
      </c>
    </row>
    <row r="5" spans="1:7" ht="15.75" customHeight="1">
      <c r="A5" s="491" t="s">
        <v>103</v>
      </c>
      <c r="B5" s="491" t="s">
        <v>336</v>
      </c>
      <c r="C5" s="491" t="s">
        <v>337</v>
      </c>
      <c r="D5" s="491" t="s">
        <v>343</v>
      </c>
      <c r="E5" s="491" t="s">
        <v>344</v>
      </c>
      <c r="F5" s="491" t="s">
        <v>345</v>
      </c>
      <c r="G5" s="492" t="s">
        <v>389</v>
      </c>
    </row>
    <row r="6" spans="1:7" ht="15.75" customHeight="1">
      <c r="A6" s="493" t="s">
        <v>183</v>
      </c>
      <c r="B6" s="493">
        <v>-276758.05422000005</v>
      </c>
      <c r="C6" s="493">
        <v>-226268.92957200005</v>
      </c>
      <c r="D6" s="493">
        <v>739551.87530004641</v>
      </c>
      <c r="E6" s="493">
        <v>0</v>
      </c>
      <c r="F6" s="493">
        <v>513329.82877799997</v>
      </c>
      <c r="G6" s="494">
        <v>2.6659657556000083E-2</v>
      </c>
    </row>
    <row r="7" spans="1:7" ht="15.75" customHeight="1">
      <c r="A7" s="493" t="s">
        <v>184</v>
      </c>
      <c r="B7" s="493">
        <v>-705366</v>
      </c>
      <c r="C7" s="493">
        <v>-682485.46692000004</v>
      </c>
      <c r="D7" s="493">
        <v>1138098.1598829774</v>
      </c>
      <c r="E7" s="493">
        <v>178656.85560000001</v>
      </c>
      <c r="F7" s="493">
        <v>455757.67748000007</v>
      </c>
      <c r="G7" s="494">
        <v>-8.8484645039999754E-2</v>
      </c>
    </row>
    <row r="8" spans="1:7" ht="15.75" customHeight="1">
      <c r="A8" s="493" t="s">
        <v>185</v>
      </c>
      <c r="B8" s="493">
        <v>-5000</v>
      </c>
      <c r="C8" s="493">
        <v>214782.6084</v>
      </c>
      <c r="D8" s="493">
        <v>288204.72510231682</v>
      </c>
      <c r="E8" s="493">
        <v>0</v>
      </c>
      <c r="F8" s="493">
        <v>502988.01599999995</v>
      </c>
      <c r="G8" s="494">
        <v>5.9760319999999645E-3</v>
      </c>
    </row>
    <row r="9" spans="1:7" ht="15.75" customHeight="1">
      <c r="A9" s="493" t="s">
        <v>186</v>
      </c>
      <c r="B9" s="493">
        <v>0</v>
      </c>
      <c r="C9" s="493">
        <v>129536.85047999999</v>
      </c>
      <c r="D9" s="493">
        <v>382070.50044999999</v>
      </c>
      <c r="E9" s="493">
        <v>0</v>
      </c>
      <c r="F9" s="493">
        <v>511607.35092999996</v>
      </c>
      <c r="G9" s="494">
        <v>2.3214701859999742E-2</v>
      </c>
    </row>
    <row r="10" spans="1:7" ht="15.75" customHeight="1">
      <c r="A10" s="493" t="s">
        <v>187</v>
      </c>
      <c r="B10" s="493">
        <v>-31981.15</v>
      </c>
      <c r="C10" s="493">
        <v>-12518.900000000001</v>
      </c>
      <c r="D10" s="493">
        <v>529421.80991637055</v>
      </c>
      <c r="E10" s="493">
        <v>0</v>
      </c>
      <c r="F10" s="493">
        <v>516903.71185999992</v>
      </c>
      <c r="G10" s="494">
        <v>3.3807423720000562E-2</v>
      </c>
    </row>
    <row r="11" spans="1:7" ht="15.75" customHeight="1">
      <c r="A11" s="495" t="s">
        <v>188</v>
      </c>
      <c r="B11" s="495">
        <v>0</v>
      </c>
      <c r="C11" s="495">
        <v>0</v>
      </c>
      <c r="D11" s="495">
        <v>500000</v>
      </c>
      <c r="E11" s="495">
        <v>0</v>
      </c>
      <c r="F11" s="495">
        <v>500000</v>
      </c>
      <c r="G11" s="49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T1005"/>
  <sheetViews>
    <sheetView showGridLines="0" workbookViewId="0"/>
  </sheetViews>
  <sheetFormatPr baseColWidth="10" defaultColWidth="14.5" defaultRowHeight="15.75" customHeight="1"/>
  <cols>
    <col min="2" max="2" width="27.83203125" customWidth="1"/>
  </cols>
  <sheetData>
    <row r="1" spans="1:20" ht="15.75" customHeight="1">
      <c r="A1" s="411" t="s">
        <v>65</v>
      </c>
      <c r="B1" s="411" t="s">
        <v>66</v>
      </c>
      <c r="C1" s="411" t="s">
        <v>67</v>
      </c>
      <c r="D1" s="411" t="s">
        <v>68</v>
      </c>
      <c r="E1" s="411" t="s">
        <v>69</v>
      </c>
      <c r="F1" s="412" t="s">
        <v>70</v>
      </c>
      <c r="G1" s="412" t="s">
        <v>71</v>
      </c>
      <c r="H1" s="411" t="s">
        <v>72</v>
      </c>
      <c r="I1" s="413" t="s">
        <v>73</v>
      </c>
      <c r="J1" s="412" t="s">
        <v>74</v>
      </c>
      <c r="K1" s="412" t="s">
        <v>75</v>
      </c>
      <c r="L1" s="52"/>
    </row>
    <row r="2" spans="1:20" ht="15.75" customHeight="1">
      <c r="A2" s="414">
        <v>44572</v>
      </c>
      <c r="B2" s="43" t="s">
        <v>17</v>
      </c>
      <c r="C2" s="243" t="s">
        <v>89</v>
      </c>
      <c r="D2" s="243" t="s">
        <v>16</v>
      </c>
      <c r="E2" s="43">
        <v>10</v>
      </c>
      <c r="I2" s="43">
        <v>1050</v>
      </c>
      <c r="J2" s="43" t="s">
        <v>90</v>
      </c>
      <c r="K2" s="43" t="s">
        <v>91</v>
      </c>
    </row>
    <row r="3" spans="1:20" ht="15.75" customHeight="1">
      <c r="C3" s="153"/>
      <c r="D3" s="153"/>
    </row>
    <row r="4" spans="1:20" ht="15.75" customHeight="1">
      <c r="C4" s="153"/>
      <c r="D4" s="153"/>
    </row>
    <row r="5" spans="1:20" ht="15.75" customHeight="1">
      <c r="C5" s="153"/>
      <c r="D5" s="153"/>
      <c r="J5" s="3" t="s">
        <v>402</v>
      </c>
    </row>
    <row r="6" spans="1:20" ht="15.75" customHeight="1">
      <c r="A6" s="489" t="s">
        <v>217</v>
      </c>
      <c r="B6" s="489" t="s">
        <v>110</v>
      </c>
      <c r="C6" s="489" t="s">
        <v>109</v>
      </c>
      <c r="D6" s="489" t="s">
        <v>103</v>
      </c>
      <c r="E6" s="489" t="s">
        <v>102</v>
      </c>
      <c r="F6" s="490" t="s">
        <v>403</v>
      </c>
      <c r="H6" s="52" t="s">
        <v>404</v>
      </c>
      <c r="J6" s="415" t="s">
        <v>405</v>
      </c>
      <c r="K6" s="415" t="s">
        <v>223</v>
      </c>
      <c r="L6" s="415" t="s">
        <v>406</v>
      </c>
      <c r="M6" s="415" t="s">
        <v>110</v>
      </c>
      <c r="N6" s="415" t="s">
        <v>16</v>
      </c>
      <c r="O6" s="415" t="s">
        <v>18</v>
      </c>
      <c r="P6" s="415" t="s">
        <v>21</v>
      </c>
      <c r="Q6" s="415" t="s">
        <v>61</v>
      </c>
      <c r="R6" s="415" t="s">
        <v>407</v>
      </c>
      <c r="S6" s="415" t="s">
        <v>408</v>
      </c>
      <c r="T6" s="415" t="s">
        <v>102</v>
      </c>
    </row>
    <row r="7" spans="1:20" ht="15.75" customHeight="1">
      <c r="H7" s="10" t="str">
        <f>IF(B7="Option",SUMIFS('1HistTrade'!DH:DH,'1HistTrade'!$C:$C,$D7,'1HistTrade'!$BM:$BM,$C7),IF(B7="Bond",SUMIFS('1HistTrade'!DG:DG,'1HistTrade'!$C:$C,$D7,'1HistTrade'!$BM:$BM,$C7),IF(B7="TD",SUMIFS('1HistTrade'!DI:DI,'1HistTrade'!$C:$C,$D7,'1HistTrade'!$BM:$BM,$C7),"")))</f>
        <v/>
      </c>
      <c r="J7" s="153">
        <f t="shared" ref="J7:J13" si="0">A7</f>
        <v>0</v>
      </c>
      <c r="K7" s="10" t="str">
        <f t="shared" ref="K7:K13" si="1">IF(H7&lt;0,"BUY (LONG)","SELL (SHORT)")</f>
        <v>SELL (SHORT)</v>
      </c>
      <c r="L7" s="153">
        <f t="shared" ref="L7:L13" si="2">C7</f>
        <v>0</v>
      </c>
      <c r="M7" s="10">
        <f t="shared" ref="M7:M13" si="3">B7</f>
        <v>0</v>
      </c>
      <c r="N7" s="416" t="str">
        <f t="shared" ref="N7:N13" si="4">IF($B7="Stock",-$H7,"")</f>
        <v/>
      </c>
      <c r="O7" s="416" t="str">
        <f t="shared" ref="O7:O13" si="5">IF($B7="Bond",-$H7,"")</f>
        <v/>
      </c>
      <c r="P7" s="416" t="str">
        <f t="shared" ref="P7:P13" si="6">IF($B7="Option",-$H7,"")</f>
        <v/>
      </c>
      <c r="Q7" s="417" t="str">
        <f t="shared" ref="Q7:Q13" si="7">IF($B7="TD",-$H7,"")</f>
        <v/>
      </c>
      <c r="S7" s="56"/>
      <c r="T7" s="31">
        <f t="shared" ref="T7:T13" si="8">E7</f>
        <v>0</v>
      </c>
    </row>
    <row r="8" spans="1:20" ht="15.75" customHeight="1">
      <c r="H8" s="10" t="str">
        <f>IF(B8="Option",SUMIFS('1HistTrade'!DH:DH,'1HistTrade'!$C:$C,$D8,'1HistTrade'!$BM:$BM,$C8),IF(B8="Bond",SUMIFS('1HistTrade'!DG:DG,'1HistTrade'!$C:$C,$D8,'1HistTrade'!$BM:$BM,$C8),IF(B8="TD",SUMIFS('1HistTrade'!DI:DI,'1HistTrade'!$C:$C,$D8,'1HistTrade'!$BM:$BM,$C8),"")))</f>
        <v/>
      </c>
      <c r="J8" s="153">
        <f t="shared" si="0"/>
        <v>0</v>
      </c>
      <c r="K8" s="10" t="str">
        <f t="shared" si="1"/>
        <v>SELL (SHORT)</v>
      </c>
      <c r="L8" s="153">
        <f t="shared" si="2"/>
        <v>0</v>
      </c>
      <c r="M8" s="10">
        <f t="shared" si="3"/>
        <v>0</v>
      </c>
      <c r="N8" s="416" t="str">
        <f t="shared" si="4"/>
        <v/>
      </c>
      <c r="O8" s="416" t="str">
        <f t="shared" si="5"/>
        <v/>
      </c>
      <c r="P8" s="416" t="str">
        <f t="shared" si="6"/>
        <v/>
      </c>
      <c r="Q8" s="417" t="str">
        <f t="shared" si="7"/>
        <v/>
      </c>
      <c r="S8" s="56"/>
      <c r="T8" s="31">
        <f t="shared" si="8"/>
        <v>0</v>
      </c>
    </row>
    <row r="9" spans="1:20" ht="15.75" customHeight="1">
      <c r="H9" s="10" t="str">
        <f>IF(B9="Option",SUMIFS('1HistTrade'!DH:DH,'1HistTrade'!$C:$C,$D9,'1HistTrade'!$BM:$BM,$C9),IF(B9="Bond",SUMIFS('1HistTrade'!DG:DG,'1HistTrade'!$C:$C,$D9,'1HistTrade'!$BM:$BM,$C9),IF(B9="TD",SUMIFS('1HistTrade'!DI:DI,'1HistTrade'!$C:$C,$D9,'1HistTrade'!$BM:$BM,$C9),"")))</f>
        <v/>
      </c>
      <c r="J9" s="153">
        <f t="shared" si="0"/>
        <v>0</v>
      </c>
      <c r="K9" s="10" t="str">
        <f t="shared" si="1"/>
        <v>SELL (SHORT)</v>
      </c>
      <c r="L9" s="153">
        <f t="shared" si="2"/>
        <v>0</v>
      </c>
      <c r="M9" s="10">
        <f t="shared" si="3"/>
        <v>0</v>
      </c>
      <c r="N9" s="416" t="str">
        <f t="shared" si="4"/>
        <v/>
      </c>
      <c r="O9" s="416" t="str">
        <f t="shared" si="5"/>
        <v/>
      </c>
      <c r="P9" s="416" t="str">
        <f t="shared" si="6"/>
        <v/>
      </c>
      <c r="Q9" s="417" t="str">
        <f t="shared" si="7"/>
        <v/>
      </c>
      <c r="S9" s="56"/>
      <c r="T9" s="31">
        <f t="shared" si="8"/>
        <v>0</v>
      </c>
    </row>
    <row r="10" spans="1:20" ht="15.75" customHeight="1">
      <c r="H10" s="10" t="str">
        <f>IF(B10="Option",SUMIFS('1HistTrade'!DH:DH,'1HistTrade'!$C:$C,$D10,'1HistTrade'!$BM:$BM,$C10),IF(B10="Bond",SUMIFS('1HistTrade'!DG:DG,'1HistTrade'!$C:$C,$D10,'1HistTrade'!$BM:$BM,$C10),IF(B10="TD",SUMIFS('1HistTrade'!DI:DI,'1HistTrade'!$C:$C,$D10,'1HistTrade'!$BM:$BM,$C10),"")))</f>
        <v/>
      </c>
      <c r="J10" s="153">
        <f t="shared" si="0"/>
        <v>0</v>
      </c>
      <c r="K10" s="10" t="str">
        <f t="shared" si="1"/>
        <v>SELL (SHORT)</v>
      </c>
      <c r="L10" s="153">
        <f t="shared" si="2"/>
        <v>0</v>
      </c>
      <c r="M10" s="10">
        <f t="shared" si="3"/>
        <v>0</v>
      </c>
      <c r="N10" s="416" t="str">
        <f t="shared" si="4"/>
        <v/>
      </c>
      <c r="O10" s="416" t="str">
        <f t="shared" si="5"/>
        <v/>
      </c>
      <c r="P10" s="416" t="str">
        <f t="shared" si="6"/>
        <v/>
      </c>
      <c r="Q10" s="417" t="str">
        <f t="shared" si="7"/>
        <v/>
      </c>
      <c r="S10" s="56"/>
      <c r="T10" s="31">
        <f t="shared" si="8"/>
        <v>0</v>
      </c>
    </row>
    <row r="11" spans="1:20" ht="15.75" customHeight="1">
      <c r="H11" s="10" t="str">
        <f>IF(B11="Option",SUMIFS('1HistTrade'!DH:DH,'1HistTrade'!$C:$C,$D11,'1HistTrade'!$BM:$BM,$C11),IF(B11="Bond",SUMIFS('1HistTrade'!DG:DG,'1HistTrade'!$C:$C,$D11,'1HistTrade'!$BM:$BM,$C11),IF(B11="TD",SUMIFS('1HistTrade'!DI:DI,'1HistTrade'!$C:$C,$D11,'1HistTrade'!$BM:$BM,$C11),"")))</f>
        <v/>
      </c>
      <c r="J11" s="153">
        <f t="shared" si="0"/>
        <v>0</v>
      </c>
      <c r="K11" s="10" t="str">
        <f t="shared" si="1"/>
        <v>SELL (SHORT)</v>
      </c>
      <c r="L11" s="153">
        <f t="shared" si="2"/>
        <v>0</v>
      </c>
      <c r="M11" s="10">
        <f t="shared" si="3"/>
        <v>0</v>
      </c>
      <c r="N11" s="416" t="str">
        <f t="shared" si="4"/>
        <v/>
      </c>
      <c r="O11" s="416" t="str">
        <f t="shared" si="5"/>
        <v/>
      </c>
      <c r="P11" s="416" t="str">
        <f t="shared" si="6"/>
        <v/>
      </c>
      <c r="Q11" s="417" t="str">
        <f t="shared" si="7"/>
        <v/>
      </c>
      <c r="S11" s="56"/>
      <c r="T11" s="31">
        <f t="shared" si="8"/>
        <v>0</v>
      </c>
    </row>
    <row r="12" spans="1:20" ht="15.75" customHeight="1">
      <c r="H12" s="10" t="str">
        <f>IF(B12="Option",SUMIFS('1HistTrade'!DH:DH,'1HistTrade'!$C:$C,$D12,'1HistTrade'!$BM:$BM,$C12),IF(B12="Bond",SUMIFS('1HistTrade'!DG:DG,'1HistTrade'!$C:$C,$D12,'1HistTrade'!$BM:$BM,$C12),IF(B12="TD",SUMIFS('1HistTrade'!DI:DI,'1HistTrade'!$C:$C,$D12,'1HistTrade'!$BM:$BM,$C12),"")))</f>
        <v/>
      </c>
      <c r="J12" s="153">
        <f t="shared" si="0"/>
        <v>0</v>
      </c>
      <c r="K12" s="10" t="str">
        <f t="shared" si="1"/>
        <v>SELL (SHORT)</v>
      </c>
      <c r="L12" s="153">
        <f t="shared" si="2"/>
        <v>0</v>
      </c>
      <c r="M12" s="10">
        <f t="shared" si="3"/>
        <v>0</v>
      </c>
      <c r="N12" s="416" t="str">
        <f t="shared" si="4"/>
        <v/>
      </c>
      <c r="O12" s="416" t="str">
        <f t="shared" si="5"/>
        <v/>
      </c>
      <c r="P12" s="416" t="str">
        <f t="shared" si="6"/>
        <v/>
      </c>
      <c r="Q12" s="417" t="str">
        <f t="shared" si="7"/>
        <v/>
      </c>
      <c r="S12" s="56"/>
      <c r="T12" s="31">
        <f t="shared" si="8"/>
        <v>0</v>
      </c>
    </row>
    <row r="13" spans="1:20" ht="15.75" customHeight="1">
      <c r="H13" s="10" t="str">
        <f>IF(B13="Option",SUMIFS('1HistTrade'!DH:DH,'1HistTrade'!$C:$C,$D13,'1HistTrade'!$BM:$BM,$C13),IF(B13="Bond",SUMIFS('1HistTrade'!DG:DG,'1HistTrade'!$C:$C,$D13,'1HistTrade'!$BM:$BM,$C13),IF(B13="TD",SUMIFS('1HistTrade'!DI:DI,'1HistTrade'!$C:$C,$D13,'1HistTrade'!$BM:$BM,$C13),"")))</f>
        <v/>
      </c>
      <c r="J13" s="153">
        <f t="shared" si="0"/>
        <v>0</v>
      </c>
      <c r="K13" s="10" t="str">
        <f t="shared" si="1"/>
        <v>SELL (SHORT)</v>
      </c>
      <c r="L13" s="153">
        <f t="shared" si="2"/>
        <v>0</v>
      </c>
      <c r="M13" s="10">
        <f t="shared" si="3"/>
        <v>0</v>
      </c>
      <c r="N13" s="416" t="str">
        <f t="shared" si="4"/>
        <v/>
      </c>
      <c r="O13" s="416" t="str">
        <f t="shared" si="5"/>
        <v/>
      </c>
      <c r="P13" s="416" t="str">
        <f t="shared" si="6"/>
        <v/>
      </c>
      <c r="Q13" s="417" t="str">
        <f t="shared" si="7"/>
        <v/>
      </c>
      <c r="S13" s="56"/>
      <c r="T13" s="31">
        <f t="shared" si="8"/>
        <v>0</v>
      </c>
    </row>
    <row r="14" spans="1:20" ht="15.75" customHeight="1">
      <c r="C14" s="153"/>
      <c r="D14" s="153"/>
    </row>
    <row r="15" spans="1:20" ht="15.75" customHeight="1">
      <c r="C15" s="153"/>
      <c r="D15" s="153"/>
    </row>
    <row r="16" spans="1:20" ht="15.75" customHeight="1">
      <c r="C16" s="153"/>
      <c r="D16" s="153"/>
    </row>
    <row r="17" spans="3:4" ht="15.75" customHeight="1">
      <c r="C17" s="153"/>
      <c r="D17" s="153"/>
    </row>
    <row r="18" spans="3:4" ht="15.75" customHeight="1">
      <c r="C18" s="153"/>
      <c r="D18" s="153"/>
    </row>
    <row r="19" spans="3:4" ht="15.75" customHeight="1">
      <c r="C19" s="153"/>
      <c r="D19" s="153"/>
    </row>
    <row r="20" spans="3:4" ht="15.75" customHeight="1">
      <c r="C20" s="153"/>
      <c r="D20" s="153"/>
    </row>
    <row r="21" spans="3:4" ht="15.75" customHeight="1">
      <c r="C21" s="153"/>
      <c r="D21" s="153"/>
    </row>
    <row r="22" spans="3:4" ht="15.75" customHeight="1">
      <c r="C22" s="153"/>
      <c r="D22" s="153"/>
    </row>
    <row r="23" spans="3:4" ht="15.75" customHeight="1">
      <c r="C23" s="153"/>
      <c r="D23" s="153"/>
    </row>
    <row r="24" spans="3:4" ht="15.75" customHeight="1">
      <c r="C24" s="153"/>
      <c r="D24" s="153"/>
    </row>
    <row r="25" spans="3:4" ht="15.75" customHeight="1">
      <c r="C25" s="153"/>
      <c r="D25" s="153"/>
    </row>
    <row r="26" spans="3:4" ht="15.75" customHeight="1">
      <c r="C26" s="153"/>
      <c r="D26" s="153"/>
    </row>
    <row r="27" spans="3:4" ht="15.75" customHeight="1">
      <c r="C27" s="153"/>
      <c r="D27" s="153"/>
    </row>
    <row r="28" spans="3:4" ht="15.75" customHeight="1">
      <c r="C28" s="153"/>
      <c r="D28" s="153"/>
    </row>
    <row r="29" spans="3:4" ht="15.75" customHeight="1">
      <c r="C29" s="153"/>
      <c r="D29" s="153"/>
    </row>
    <row r="30" spans="3:4" ht="15.75" customHeight="1">
      <c r="C30" s="153"/>
      <c r="D30" s="153"/>
    </row>
    <row r="31" spans="3:4" ht="15.75" customHeight="1">
      <c r="C31" s="153"/>
      <c r="D31" s="153"/>
    </row>
    <row r="32" spans="3:4" ht="15.75" customHeight="1">
      <c r="C32" s="153"/>
      <c r="D32" s="153"/>
    </row>
    <row r="33" spans="3:4" ht="15.75" customHeight="1">
      <c r="C33" s="153"/>
      <c r="D33" s="153"/>
    </row>
    <row r="34" spans="3:4" ht="15.75" customHeight="1">
      <c r="C34" s="153"/>
      <c r="D34" s="153"/>
    </row>
    <row r="35" spans="3:4" ht="15.75" customHeight="1">
      <c r="C35" s="153"/>
      <c r="D35" s="153"/>
    </row>
    <row r="36" spans="3:4" ht="15.75" customHeight="1">
      <c r="C36" s="153"/>
      <c r="D36" s="153"/>
    </row>
    <row r="37" spans="3:4" ht="15.75" customHeight="1">
      <c r="C37" s="153"/>
      <c r="D37" s="153"/>
    </row>
    <row r="38" spans="3:4" ht="15.75" customHeight="1">
      <c r="C38" s="153"/>
      <c r="D38" s="153"/>
    </row>
    <row r="39" spans="3:4" ht="15.75" customHeight="1">
      <c r="C39" s="153"/>
      <c r="D39" s="153"/>
    </row>
    <row r="40" spans="3:4" ht="15.75" customHeight="1">
      <c r="C40" s="153"/>
      <c r="D40" s="153"/>
    </row>
    <row r="41" spans="3:4" ht="15.75" customHeight="1">
      <c r="C41" s="153"/>
      <c r="D41" s="153"/>
    </row>
    <row r="42" spans="3:4" ht="15.75" customHeight="1">
      <c r="C42" s="153"/>
      <c r="D42" s="153"/>
    </row>
    <row r="43" spans="3:4" ht="15.75" customHeight="1">
      <c r="C43" s="153"/>
      <c r="D43" s="153"/>
    </row>
    <row r="44" spans="3:4" ht="15.75" customHeight="1">
      <c r="C44" s="153"/>
      <c r="D44" s="153"/>
    </row>
    <row r="45" spans="3:4" ht="15.75" customHeight="1">
      <c r="C45" s="153"/>
      <c r="D45" s="153"/>
    </row>
    <row r="46" spans="3:4" ht="15.75" customHeight="1">
      <c r="C46" s="153"/>
      <c r="D46" s="153"/>
    </row>
    <row r="47" spans="3:4" ht="15.75" customHeight="1">
      <c r="C47" s="153"/>
      <c r="D47" s="153"/>
    </row>
    <row r="48" spans="3:4" ht="15.75" customHeight="1">
      <c r="C48" s="153"/>
      <c r="D48" s="153"/>
    </row>
    <row r="49" spans="3:4" ht="15.75" customHeight="1">
      <c r="C49" s="153"/>
      <c r="D49" s="153"/>
    </row>
    <row r="50" spans="3:4" ht="15.75" customHeight="1">
      <c r="C50" s="153"/>
      <c r="D50" s="153"/>
    </row>
    <row r="51" spans="3:4" ht="15.75" customHeight="1">
      <c r="C51" s="153"/>
      <c r="D51" s="153"/>
    </row>
    <row r="52" spans="3:4" ht="15.75" customHeight="1">
      <c r="C52" s="153"/>
      <c r="D52" s="153"/>
    </row>
    <row r="53" spans="3:4" ht="15.75" customHeight="1">
      <c r="C53" s="153"/>
      <c r="D53" s="153"/>
    </row>
    <row r="54" spans="3:4" ht="15.75" customHeight="1">
      <c r="C54" s="153"/>
      <c r="D54" s="153"/>
    </row>
    <row r="55" spans="3:4" ht="15.75" customHeight="1">
      <c r="C55" s="153"/>
      <c r="D55" s="153"/>
    </row>
    <row r="56" spans="3:4" ht="15.75" customHeight="1">
      <c r="C56" s="153"/>
      <c r="D56" s="153"/>
    </row>
    <row r="57" spans="3:4" ht="15.75" customHeight="1">
      <c r="C57" s="153"/>
      <c r="D57" s="153"/>
    </row>
    <row r="58" spans="3:4" ht="15.75" customHeight="1">
      <c r="C58" s="153"/>
      <c r="D58" s="153"/>
    </row>
    <row r="59" spans="3:4" ht="15.75" customHeight="1">
      <c r="C59" s="153"/>
      <c r="D59" s="153"/>
    </row>
    <row r="60" spans="3:4" ht="15.75" customHeight="1">
      <c r="C60" s="153"/>
      <c r="D60" s="153"/>
    </row>
    <row r="61" spans="3:4" ht="15.75" customHeight="1">
      <c r="C61" s="153"/>
      <c r="D61" s="153"/>
    </row>
    <row r="62" spans="3:4" ht="15.75" customHeight="1">
      <c r="C62" s="153"/>
      <c r="D62" s="153"/>
    </row>
    <row r="63" spans="3:4" ht="15.75" customHeight="1">
      <c r="C63" s="153"/>
      <c r="D63" s="153"/>
    </row>
    <row r="64" spans="3:4" ht="15.75" customHeight="1">
      <c r="C64" s="153"/>
      <c r="D64" s="153"/>
    </row>
    <row r="65" spans="3:4" ht="15.75" customHeight="1">
      <c r="C65" s="153"/>
      <c r="D65" s="153"/>
    </row>
    <row r="66" spans="3:4" ht="15.75" customHeight="1">
      <c r="C66" s="153"/>
      <c r="D66" s="153"/>
    </row>
    <row r="67" spans="3:4" ht="15.75" customHeight="1">
      <c r="C67" s="153"/>
      <c r="D67" s="153"/>
    </row>
    <row r="68" spans="3:4" ht="15.75" customHeight="1">
      <c r="C68" s="153"/>
      <c r="D68" s="153"/>
    </row>
    <row r="69" spans="3:4" ht="15.75" customHeight="1">
      <c r="C69" s="153"/>
      <c r="D69" s="153"/>
    </row>
    <row r="70" spans="3:4" ht="15.75" customHeight="1">
      <c r="C70" s="153"/>
      <c r="D70" s="153"/>
    </row>
    <row r="71" spans="3:4" ht="15.75" customHeight="1">
      <c r="C71" s="153"/>
      <c r="D71" s="153"/>
    </row>
    <row r="72" spans="3:4" ht="15.75" customHeight="1">
      <c r="C72" s="153"/>
      <c r="D72" s="153"/>
    </row>
    <row r="73" spans="3:4" ht="15.75" customHeight="1">
      <c r="C73" s="153"/>
      <c r="D73" s="153"/>
    </row>
    <row r="74" spans="3:4" ht="15.75" customHeight="1">
      <c r="C74" s="153"/>
      <c r="D74" s="153"/>
    </row>
    <row r="75" spans="3:4" ht="15.75" customHeight="1">
      <c r="C75" s="153"/>
      <c r="D75" s="153"/>
    </row>
    <row r="76" spans="3:4" ht="15.75" customHeight="1">
      <c r="C76" s="153"/>
      <c r="D76" s="153"/>
    </row>
    <row r="77" spans="3:4" ht="15.75" customHeight="1">
      <c r="C77" s="153"/>
      <c r="D77" s="153"/>
    </row>
    <row r="78" spans="3:4" ht="15.75" customHeight="1">
      <c r="C78" s="153"/>
      <c r="D78" s="153"/>
    </row>
    <row r="79" spans="3:4" ht="15.75" customHeight="1">
      <c r="C79" s="153"/>
      <c r="D79" s="153"/>
    </row>
    <row r="80" spans="3:4" ht="15.75" customHeight="1">
      <c r="C80" s="153"/>
      <c r="D80" s="153"/>
    </row>
    <row r="81" spans="3:4" ht="15.75" customHeight="1">
      <c r="C81" s="153"/>
      <c r="D81" s="153"/>
    </row>
    <row r="82" spans="3:4" ht="15.75" customHeight="1">
      <c r="C82" s="153"/>
      <c r="D82" s="153"/>
    </row>
    <row r="83" spans="3:4" ht="15.75" customHeight="1">
      <c r="C83" s="153"/>
      <c r="D83" s="153"/>
    </row>
    <row r="84" spans="3:4" ht="15.75" customHeight="1">
      <c r="C84" s="153"/>
      <c r="D84" s="153"/>
    </row>
    <row r="85" spans="3:4" ht="15.75" customHeight="1">
      <c r="C85" s="153"/>
      <c r="D85" s="153"/>
    </row>
    <row r="86" spans="3:4" ht="15.75" customHeight="1">
      <c r="C86" s="153"/>
      <c r="D86" s="153"/>
    </row>
    <row r="87" spans="3:4" ht="15.75" customHeight="1">
      <c r="C87" s="153"/>
      <c r="D87" s="153"/>
    </row>
    <row r="88" spans="3:4" ht="15.75" customHeight="1">
      <c r="C88" s="153"/>
      <c r="D88" s="153"/>
    </row>
    <row r="89" spans="3:4" ht="13">
      <c r="C89" s="153"/>
      <c r="D89" s="153"/>
    </row>
    <row r="90" spans="3:4" ht="13">
      <c r="C90" s="153"/>
      <c r="D90" s="153"/>
    </row>
    <row r="91" spans="3:4" ht="13">
      <c r="C91" s="153"/>
      <c r="D91" s="153"/>
    </row>
    <row r="92" spans="3:4" ht="13">
      <c r="C92" s="153"/>
      <c r="D92" s="153"/>
    </row>
    <row r="93" spans="3:4" ht="13">
      <c r="C93" s="153"/>
      <c r="D93" s="153"/>
    </row>
    <row r="94" spans="3:4" ht="13">
      <c r="C94" s="153"/>
      <c r="D94" s="153"/>
    </row>
    <row r="95" spans="3:4" ht="13">
      <c r="C95" s="153"/>
      <c r="D95" s="153"/>
    </row>
    <row r="96" spans="3:4" ht="13">
      <c r="C96" s="153"/>
      <c r="D96" s="153"/>
    </row>
    <row r="97" spans="3:4" ht="13">
      <c r="C97" s="153"/>
      <c r="D97" s="153"/>
    </row>
    <row r="98" spans="3:4" ht="13">
      <c r="C98" s="153"/>
      <c r="D98" s="153"/>
    </row>
    <row r="99" spans="3:4" ht="13">
      <c r="C99" s="153"/>
      <c r="D99" s="153"/>
    </row>
    <row r="100" spans="3:4" ht="13">
      <c r="C100" s="153"/>
      <c r="D100" s="153"/>
    </row>
    <row r="101" spans="3:4" ht="13">
      <c r="C101" s="153"/>
      <c r="D101" s="153"/>
    </row>
    <row r="102" spans="3:4" ht="13">
      <c r="C102" s="153"/>
      <c r="D102" s="153"/>
    </row>
    <row r="103" spans="3:4" ht="13">
      <c r="C103" s="153"/>
      <c r="D103" s="153"/>
    </row>
    <row r="104" spans="3:4" ht="13">
      <c r="C104" s="153"/>
      <c r="D104" s="153"/>
    </row>
    <row r="105" spans="3:4" ht="13">
      <c r="C105" s="153"/>
      <c r="D105" s="153"/>
    </row>
    <row r="106" spans="3:4" ht="13">
      <c r="C106" s="153"/>
      <c r="D106" s="153"/>
    </row>
    <row r="107" spans="3:4" ht="13">
      <c r="C107" s="153"/>
      <c r="D107" s="153"/>
    </row>
    <row r="108" spans="3:4" ht="13">
      <c r="C108" s="153"/>
      <c r="D108" s="153"/>
    </row>
    <row r="109" spans="3:4" ht="13">
      <c r="C109" s="153"/>
      <c r="D109" s="153"/>
    </row>
    <row r="110" spans="3:4" ht="13">
      <c r="C110" s="153"/>
      <c r="D110" s="153"/>
    </row>
    <row r="111" spans="3:4" ht="13">
      <c r="C111" s="153"/>
      <c r="D111" s="153"/>
    </row>
    <row r="112" spans="3:4" ht="13">
      <c r="C112" s="153"/>
      <c r="D112" s="153"/>
    </row>
    <row r="113" spans="3:4" ht="13">
      <c r="C113" s="153"/>
      <c r="D113" s="153"/>
    </row>
    <row r="114" spans="3:4" ht="13">
      <c r="C114" s="153"/>
      <c r="D114" s="153"/>
    </row>
    <row r="115" spans="3:4" ht="13">
      <c r="C115" s="153"/>
      <c r="D115" s="153"/>
    </row>
    <row r="116" spans="3:4" ht="13">
      <c r="C116" s="153"/>
      <c r="D116" s="153"/>
    </row>
    <row r="117" spans="3:4" ht="13">
      <c r="C117" s="153"/>
      <c r="D117" s="153"/>
    </row>
    <row r="118" spans="3:4" ht="13">
      <c r="C118" s="153"/>
      <c r="D118" s="153"/>
    </row>
    <row r="119" spans="3:4" ht="13">
      <c r="C119" s="153"/>
      <c r="D119" s="153"/>
    </row>
    <row r="120" spans="3:4" ht="13">
      <c r="C120" s="153"/>
      <c r="D120" s="153"/>
    </row>
    <row r="121" spans="3:4" ht="13">
      <c r="C121" s="153"/>
      <c r="D121" s="153"/>
    </row>
    <row r="122" spans="3:4" ht="13">
      <c r="C122" s="153"/>
      <c r="D122" s="153"/>
    </row>
    <row r="123" spans="3:4" ht="13">
      <c r="C123" s="153"/>
      <c r="D123" s="153"/>
    </row>
    <row r="124" spans="3:4" ht="13">
      <c r="C124" s="153"/>
      <c r="D124" s="153"/>
    </row>
    <row r="125" spans="3:4" ht="13">
      <c r="C125" s="153"/>
      <c r="D125" s="153"/>
    </row>
    <row r="126" spans="3:4" ht="13">
      <c r="C126" s="153"/>
      <c r="D126" s="153"/>
    </row>
    <row r="127" spans="3:4" ht="13">
      <c r="C127" s="153"/>
      <c r="D127" s="153"/>
    </row>
    <row r="128" spans="3:4" ht="13">
      <c r="C128" s="153"/>
      <c r="D128" s="153"/>
    </row>
    <row r="129" spans="3:4" ht="13">
      <c r="C129" s="153"/>
      <c r="D129" s="153"/>
    </row>
    <row r="130" spans="3:4" ht="13">
      <c r="C130" s="153"/>
      <c r="D130" s="153"/>
    </row>
    <row r="131" spans="3:4" ht="13">
      <c r="C131" s="153"/>
      <c r="D131" s="153"/>
    </row>
    <row r="132" spans="3:4" ht="13">
      <c r="C132" s="153"/>
      <c r="D132" s="153"/>
    </row>
    <row r="133" spans="3:4" ht="13">
      <c r="C133" s="153"/>
      <c r="D133" s="153"/>
    </row>
    <row r="134" spans="3:4" ht="13">
      <c r="C134" s="153"/>
      <c r="D134" s="153"/>
    </row>
    <row r="135" spans="3:4" ht="13">
      <c r="C135" s="153"/>
      <c r="D135" s="153"/>
    </row>
    <row r="136" spans="3:4" ht="13">
      <c r="C136" s="153"/>
      <c r="D136" s="153"/>
    </row>
    <row r="137" spans="3:4" ht="13">
      <c r="C137" s="153"/>
      <c r="D137" s="153"/>
    </row>
    <row r="138" spans="3:4" ht="13">
      <c r="C138" s="153"/>
      <c r="D138" s="153"/>
    </row>
    <row r="139" spans="3:4" ht="13">
      <c r="C139" s="153"/>
      <c r="D139" s="153"/>
    </row>
    <row r="140" spans="3:4" ht="13">
      <c r="C140" s="153"/>
      <c r="D140" s="153"/>
    </row>
    <row r="141" spans="3:4" ht="13">
      <c r="C141" s="153"/>
      <c r="D141" s="153"/>
    </row>
    <row r="142" spans="3:4" ht="13">
      <c r="C142" s="153"/>
      <c r="D142" s="153"/>
    </row>
    <row r="143" spans="3:4" ht="13">
      <c r="C143" s="153"/>
      <c r="D143" s="153"/>
    </row>
    <row r="144" spans="3:4" ht="13">
      <c r="C144" s="153"/>
      <c r="D144" s="153"/>
    </row>
    <row r="145" spans="3:4" ht="13">
      <c r="C145" s="153"/>
      <c r="D145" s="153"/>
    </row>
    <row r="146" spans="3:4" ht="13">
      <c r="C146" s="153"/>
      <c r="D146" s="153"/>
    </row>
    <row r="147" spans="3:4" ht="13">
      <c r="C147" s="153"/>
      <c r="D147" s="153"/>
    </row>
    <row r="148" spans="3:4" ht="13">
      <c r="C148" s="153"/>
      <c r="D148" s="153"/>
    </row>
    <row r="149" spans="3:4" ht="13">
      <c r="C149" s="153"/>
      <c r="D149" s="153"/>
    </row>
    <row r="150" spans="3:4" ht="13">
      <c r="C150" s="153"/>
      <c r="D150" s="153"/>
    </row>
    <row r="151" spans="3:4" ht="13">
      <c r="C151" s="153"/>
      <c r="D151" s="153"/>
    </row>
    <row r="152" spans="3:4" ht="13">
      <c r="C152" s="153"/>
      <c r="D152" s="153"/>
    </row>
    <row r="153" spans="3:4" ht="13">
      <c r="C153" s="153"/>
      <c r="D153" s="153"/>
    </row>
    <row r="154" spans="3:4" ht="13">
      <c r="C154" s="153"/>
      <c r="D154" s="153"/>
    </row>
    <row r="155" spans="3:4" ht="13">
      <c r="C155" s="153"/>
      <c r="D155" s="153"/>
    </row>
    <row r="156" spans="3:4" ht="13">
      <c r="C156" s="153"/>
      <c r="D156" s="153"/>
    </row>
    <row r="157" spans="3:4" ht="13">
      <c r="C157" s="153"/>
      <c r="D157" s="153"/>
    </row>
    <row r="158" spans="3:4" ht="13">
      <c r="C158" s="153"/>
      <c r="D158" s="153"/>
    </row>
    <row r="159" spans="3:4" ht="13">
      <c r="C159" s="153"/>
      <c r="D159" s="153"/>
    </row>
    <row r="160" spans="3:4" ht="13">
      <c r="C160" s="153"/>
      <c r="D160" s="153"/>
    </row>
    <row r="161" spans="3:4" ht="13">
      <c r="C161" s="153"/>
      <c r="D161" s="153"/>
    </row>
    <row r="162" spans="3:4" ht="13">
      <c r="C162" s="153"/>
      <c r="D162" s="153"/>
    </row>
    <row r="163" spans="3:4" ht="13">
      <c r="C163" s="153"/>
      <c r="D163" s="153"/>
    </row>
    <row r="164" spans="3:4" ht="13">
      <c r="C164" s="153"/>
      <c r="D164" s="153"/>
    </row>
    <row r="165" spans="3:4" ht="13">
      <c r="C165" s="153"/>
      <c r="D165" s="153"/>
    </row>
    <row r="166" spans="3:4" ht="13">
      <c r="C166" s="153"/>
      <c r="D166" s="153"/>
    </row>
    <row r="167" spans="3:4" ht="13">
      <c r="C167" s="153"/>
      <c r="D167" s="153"/>
    </row>
    <row r="168" spans="3:4" ht="13">
      <c r="C168" s="153"/>
      <c r="D168" s="153"/>
    </row>
    <row r="169" spans="3:4" ht="13">
      <c r="C169" s="153"/>
      <c r="D169" s="153"/>
    </row>
    <row r="170" spans="3:4" ht="13">
      <c r="C170" s="153"/>
      <c r="D170" s="153"/>
    </row>
    <row r="171" spans="3:4" ht="13">
      <c r="C171" s="153"/>
      <c r="D171" s="153"/>
    </row>
    <row r="172" spans="3:4" ht="13">
      <c r="C172" s="153"/>
      <c r="D172" s="153"/>
    </row>
    <row r="173" spans="3:4" ht="13">
      <c r="C173" s="153"/>
      <c r="D173" s="153"/>
    </row>
    <row r="174" spans="3:4" ht="13">
      <c r="C174" s="153"/>
      <c r="D174" s="153"/>
    </row>
    <row r="175" spans="3:4" ht="13">
      <c r="C175" s="153"/>
      <c r="D175" s="153"/>
    </row>
    <row r="176" spans="3:4" ht="13">
      <c r="C176" s="153"/>
      <c r="D176" s="153"/>
    </row>
    <row r="177" spans="3:4" ht="13">
      <c r="C177" s="153"/>
      <c r="D177" s="153"/>
    </row>
    <row r="178" spans="3:4" ht="13">
      <c r="C178" s="153"/>
      <c r="D178" s="153"/>
    </row>
    <row r="179" spans="3:4" ht="13">
      <c r="C179" s="153"/>
      <c r="D179" s="153"/>
    </row>
    <row r="180" spans="3:4" ht="13">
      <c r="C180" s="153"/>
      <c r="D180" s="153"/>
    </row>
    <row r="181" spans="3:4" ht="13">
      <c r="C181" s="153"/>
      <c r="D181" s="153"/>
    </row>
    <row r="182" spans="3:4" ht="13">
      <c r="C182" s="153"/>
      <c r="D182" s="153"/>
    </row>
    <row r="183" spans="3:4" ht="13">
      <c r="C183" s="153"/>
      <c r="D183" s="153"/>
    </row>
    <row r="184" spans="3:4" ht="13">
      <c r="C184" s="153"/>
      <c r="D184" s="153"/>
    </row>
    <row r="185" spans="3:4" ht="13">
      <c r="C185" s="153"/>
      <c r="D185" s="153"/>
    </row>
    <row r="186" spans="3:4" ht="13">
      <c r="C186" s="153"/>
      <c r="D186" s="153"/>
    </row>
    <row r="187" spans="3:4" ht="13">
      <c r="C187" s="153"/>
      <c r="D187" s="153"/>
    </row>
    <row r="188" spans="3:4" ht="13">
      <c r="C188" s="153"/>
      <c r="D188" s="153"/>
    </row>
    <row r="189" spans="3:4" ht="13">
      <c r="C189" s="153"/>
      <c r="D189" s="153"/>
    </row>
    <row r="190" spans="3:4" ht="13">
      <c r="C190" s="153"/>
      <c r="D190" s="153"/>
    </row>
    <row r="191" spans="3:4" ht="13">
      <c r="C191" s="153"/>
      <c r="D191" s="153"/>
    </row>
    <row r="192" spans="3:4" ht="13">
      <c r="C192" s="153"/>
      <c r="D192" s="153"/>
    </row>
    <row r="193" spans="3:4" ht="13">
      <c r="C193" s="153"/>
      <c r="D193" s="153"/>
    </row>
    <row r="194" spans="3:4" ht="13">
      <c r="C194" s="153"/>
      <c r="D194" s="153"/>
    </row>
    <row r="195" spans="3:4" ht="13">
      <c r="C195" s="153"/>
      <c r="D195" s="153"/>
    </row>
    <row r="196" spans="3:4" ht="13">
      <c r="C196" s="153"/>
      <c r="D196" s="153"/>
    </row>
    <row r="197" spans="3:4" ht="13">
      <c r="C197" s="153"/>
      <c r="D197" s="153"/>
    </row>
    <row r="198" spans="3:4" ht="13">
      <c r="C198" s="153"/>
      <c r="D198" s="153"/>
    </row>
    <row r="199" spans="3:4" ht="13">
      <c r="C199" s="153"/>
      <c r="D199" s="153"/>
    </row>
    <row r="200" spans="3:4" ht="13">
      <c r="C200" s="153"/>
      <c r="D200" s="153"/>
    </row>
    <row r="201" spans="3:4" ht="13">
      <c r="C201" s="153"/>
      <c r="D201" s="153"/>
    </row>
    <row r="202" spans="3:4" ht="13">
      <c r="C202" s="153"/>
      <c r="D202" s="153"/>
    </row>
    <row r="203" spans="3:4" ht="13">
      <c r="C203" s="153"/>
      <c r="D203" s="153"/>
    </row>
    <row r="204" spans="3:4" ht="13">
      <c r="C204" s="153"/>
      <c r="D204" s="153"/>
    </row>
    <row r="205" spans="3:4" ht="13">
      <c r="C205" s="153"/>
      <c r="D205" s="153"/>
    </row>
    <row r="206" spans="3:4" ht="13">
      <c r="C206" s="153"/>
      <c r="D206" s="153"/>
    </row>
    <row r="207" spans="3:4" ht="13">
      <c r="C207" s="153"/>
      <c r="D207" s="153"/>
    </row>
    <row r="208" spans="3:4" ht="13">
      <c r="C208" s="153"/>
      <c r="D208" s="153"/>
    </row>
    <row r="209" spans="3:4" ht="13">
      <c r="C209" s="153"/>
      <c r="D209" s="153"/>
    </row>
    <row r="210" spans="3:4" ht="13">
      <c r="C210" s="153"/>
      <c r="D210" s="153"/>
    </row>
    <row r="211" spans="3:4" ht="13">
      <c r="C211" s="153"/>
      <c r="D211" s="153"/>
    </row>
    <row r="212" spans="3:4" ht="13">
      <c r="C212" s="153"/>
      <c r="D212" s="153"/>
    </row>
    <row r="213" spans="3:4" ht="13">
      <c r="C213" s="153"/>
      <c r="D213" s="153"/>
    </row>
    <row r="214" spans="3:4" ht="13">
      <c r="C214" s="153"/>
      <c r="D214" s="153"/>
    </row>
    <row r="215" spans="3:4" ht="13">
      <c r="C215" s="153"/>
      <c r="D215" s="153"/>
    </row>
    <row r="216" spans="3:4" ht="13">
      <c r="C216" s="153"/>
      <c r="D216" s="153"/>
    </row>
    <row r="217" spans="3:4" ht="13">
      <c r="C217" s="153"/>
      <c r="D217" s="153"/>
    </row>
    <row r="218" spans="3:4" ht="13">
      <c r="C218" s="153"/>
      <c r="D218" s="153"/>
    </row>
    <row r="219" spans="3:4" ht="13">
      <c r="C219" s="153"/>
      <c r="D219" s="153"/>
    </row>
    <row r="220" spans="3:4" ht="13">
      <c r="C220" s="153"/>
      <c r="D220" s="153"/>
    </row>
    <row r="221" spans="3:4" ht="13">
      <c r="C221" s="153"/>
      <c r="D221" s="153"/>
    </row>
    <row r="222" spans="3:4" ht="13">
      <c r="C222" s="153"/>
      <c r="D222" s="153"/>
    </row>
    <row r="223" spans="3:4" ht="13">
      <c r="C223" s="153"/>
      <c r="D223" s="153"/>
    </row>
    <row r="224" spans="3:4" ht="13">
      <c r="C224" s="153"/>
      <c r="D224" s="153"/>
    </row>
    <row r="225" spans="3:4" ht="13">
      <c r="C225" s="153"/>
      <c r="D225" s="153"/>
    </row>
    <row r="226" spans="3:4" ht="13">
      <c r="C226" s="153"/>
      <c r="D226" s="153"/>
    </row>
    <row r="227" spans="3:4" ht="13">
      <c r="C227" s="153"/>
      <c r="D227" s="153"/>
    </row>
    <row r="228" spans="3:4" ht="13">
      <c r="C228" s="153"/>
      <c r="D228" s="153"/>
    </row>
    <row r="229" spans="3:4" ht="13">
      <c r="C229" s="153"/>
      <c r="D229" s="153"/>
    </row>
    <row r="230" spans="3:4" ht="13">
      <c r="C230" s="153"/>
      <c r="D230" s="153"/>
    </row>
    <row r="231" spans="3:4" ht="13">
      <c r="C231" s="153"/>
      <c r="D231" s="153"/>
    </row>
    <row r="232" spans="3:4" ht="13">
      <c r="C232" s="153"/>
      <c r="D232" s="153"/>
    </row>
    <row r="233" spans="3:4" ht="13">
      <c r="C233" s="153"/>
      <c r="D233" s="153"/>
    </row>
    <row r="234" spans="3:4" ht="13">
      <c r="C234" s="153"/>
      <c r="D234" s="153"/>
    </row>
    <row r="235" spans="3:4" ht="13">
      <c r="C235" s="153"/>
      <c r="D235" s="153"/>
    </row>
    <row r="236" spans="3:4" ht="13">
      <c r="C236" s="153"/>
      <c r="D236" s="153"/>
    </row>
    <row r="237" spans="3:4" ht="13">
      <c r="C237" s="153"/>
      <c r="D237" s="153"/>
    </row>
    <row r="238" spans="3:4" ht="13">
      <c r="C238" s="153"/>
      <c r="D238" s="153"/>
    </row>
    <row r="239" spans="3:4" ht="13">
      <c r="C239" s="153"/>
      <c r="D239" s="153"/>
    </row>
    <row r="240" spans="3:4" ht="13">
      <c r="C240" s="153"/>
      <c r="D240" s="153"/>
    </row>
    <row r="241" spans="3:4" ht="13">
      <c r="C241" s="153"/>
      <c r="D241" s="153"/>
    </row>
    <row r="242" spans="3:4" ht="13">
      <c r="C242" s="153"/>
      <c r="D242" s="153"/>
    </row>
    <row r="243" spans="3:4" ht="13">
      <c r="C243" s="153"/>
      <c r="D243" s="153"/>
    </row>
    <row r="244" spans="3:4" ht="13">
      <c r="C244" s="153"/>
      <c r="D244" s="153"/>
    </row>
    <row r="245" spans="3:4" ht="13">
      <c r="C245" s="153"/>
      <c r="D245" s="153"/>
    </row>
    <row r="246" spans="3:4" ht="13">
      <c r="C246" s="153"/>
      <c r="D246" s="153"/>
    </row>
    <row r="247" spans="3:4" ht="13">
      <c r="C247" s="153"/>
      <c r="D247" s="153"/>
    </row>
    <row r="248" spans="3:4" ht="13">
      <c r="C248" s="153"/>
      <c r="D248" s="153"/>
    </row>
    <row r="249" spans="3:4" ht="13">
      <c r="C249" s="153"/>
      <c r="D249" s="153"/>
    </row>
    <row r="250" spans="3:4" ht="13">
      <c r="C250" s="153"/>
      <c r="D250" s="153"/>
    </row>
    <row r="251" spans="3:4" ht="13">
      <c r="C251" s="153"/>
      <c r="D251" s="153"/>
    </row>
    <row r="252" spans="3:4" ht="13">
      <c r="C252" s="153"/>
      <c r="D252" s="153"/>
    </row>
    <row r="253" spans="3:4" ht="13">
      <c r="C253" s="153"/>
      <c r="D253" s="153"/>
    </row>
    <row r="254" spans="3:4" ht="13">
      <c r="C254" s="153"/>
      <c r="D254" s="153"/>
    </row>
    <row r="255" spans="3:4" ht="13">
      <c r="C255" s="153"/>
      <c r="D255" s="153"/>
    </row>
    <row r="256" spans="3:4" ht="13">
      <c r="C256" s="153"/>
      <c r="D256" s="153"/>
    </row>
    <row r="257" spans="3:4" ht="13">
      <c r="C257" s="153"/>
      <c r="D257" s="153"/>
    </row>
    <row r="258" spans="3:4" ht="13">
      <c r="C258" s="153"/>
      <c r="D258" s="153"/>
    </row>
    <row r="259" spans="3:4" ht="13">
      <c r="C259" s="153"/>
      <c r="D259" s="153"/>
    </row>
    <row r="260" spans="3:4" ht="13">
      <c r="C260" s="153"/>
      <c r="D260" s="153"/>
    </row>
    <row r="261" spans="3:4" ht="13">
      <c r="C261" s="153"/>
      <c r="D261" s="153"/>
    </row>
    <row r="262" spans="3:4" ht="13">
      <c r="C262" s="153"/>
      <c r="D262" s="153"/>
    </row>
    <row r="263" spans="3:4" ht="13">
      <c r="C263" s="153"/>
      <c r="D263" s="153"/>
    </row>
    <row r="264" spans="3:4" ht="13">
      <c r="C264" s="153"/>
      <c r="D264" s="153"/>
    </row>
    <row r="265" spans="3:4" ht="13">
      <c r="C265" s="153"/>
      <c r="D265" s="153"/>
    </row>
    <row r="266" spans="3:4" ht="13">
      <c r="C266" s="153"/>
      <c r="D266" s="153"/>
    </row>
    <row r="267" spans="3:4" ht="13">
      <c r="C267" s="153"/>
      <c r="D267" s="153"/>
    </row>
    <row r="268" spans="3:4" ht="13">
      <c r="C268" s="153"/>
      <c r="D268" s="153"/>
    </row>
    <row r="269" spans="3:4" ht="13">
      <c r="C269" s="153"/>
      <c r="D269" s="153"/>
    </row>
    <row r="270" spans="3:4" ht="13">
      <c r="C270" s="153"/>
      <c r="D270" s="153"/>
    </row>
    <row r="271" spans="3:4" ht="13">
      <c r="C271" s="153"/>
      <c r="D271" s="153"/>
    </row>
    <row r="272" spans="3:4" ht="13">
      <c r="C272" s="153"/>
      <c r="D272" s="153"/>
    </row>
    <row r="273" spans="3:4" ht="13">
      <c r="C273" s="153"/>
      <c r="D273" s="153"/>
    </row>
    <row r="274" spans="3:4" ht="13">
      <c r="C274" s="153"/>
      <c r="D274" s="153"/>
    </row>
    <row r="275" spans="3:4" ht="13">
      <c r="C275" s="153"/>
      <c r="D275" s="153"/>
    </row>
    <row r="276" spans="3:4" ht="13">
      <c r="C276" s="153"/>
      <c r="D276" s="153"/>
    </row>
    <row r="277" spans="3:4" ht="13">
      <c r="C277" s="153"/>
      <c r="D277" s="153"/>
    </row>
    <row r="278" spans="3:4" ht="13">
      <c r="C278" s="153"/>
      <c r="D278" s="153"/>
    </row>
    <row r="279" spans="3:4" ht="13">
      <c r="C279" s="153"/>
      <c r="D279" s="153"/>
    </row>
    <row r="280" spans="3:4" ht="13">
      <c r="C280" s="153"/>
      <c r="D280" s="153"/>
    </row>
    <row r="281" spans="3:4" ht="13">
      <c r="C281" s="153"/>
      <c r="D281" s="153"/>
    </row>
    <row r="282" spans="3:4" ht="13">
      <c r="C282" s="153"/>
      <c r="D282" s="153"/>
    </row>
    <row r="283" spans="3:4" ht="13">
      <c r="C283" s="153"/>
      <c r="D283" s="153"/>
    </row>
    <row r="284" spans="3:4" ht="13">
      <c r="C284" s="153"/>
      <c r="D284" s="153"/>
    </row>
    <row r="285" spans="3:4" ht="13">
      <c r="C285" s="153"/>
      <c r="D285" s="153"/>
    </row>
    <row r="286" spans="3:4" ht="13">
      <c r="C286" s="153"/>
      <c r="D286" s="153"/>
    </row>
    <row r="287" spans="3:4" ht="13">
      <c r="C287" s="153"/>
      <c r="D287" s="153"/>
    </row>
    <row r="288" spans="3:4" ht="13">
      <c r="C288" s="153"/>
      <c r="D288" s="153"/>
    </row>
    <row r="289" spans="3:4" ht="13">
      <c r="C289" s="153"/>
      <c r="D289" s="153"/>
    </row>
    <row r="290" spans="3:4" ht="13">
      <c r="C290" s="153"/>
      <c r="D290" s="153"/>
    </row>
    <row r="291" spans="3:4" ht="13">
      <c r="C291" s="153"/>
      <c r="D291" s="153"/>
    </row>
    <row r="292" spans="3:4" ht="13">
      <c r="C292" s="153"/>
      <c r="D292" s="153"/>
    </row>
    <row r="293" spans="3:4" ht="13">
      <c r="C293" s="153"/>
      <c r="D293" s="153"/>
    </row>
    <row r="294" spans="3:4" ht="13">
      <c r="C294" s="153"/>
      <c r="D294" s="153"/>
    </row>
    <row r="295" spans="3:4" ht="13">
      <c r="C295" s="153"/>
      <c r="D295" s="153"/>
    </row>
    <row r="296" spans="3:4" ht="13">
      <c r="C296" s="153"/>
      <c r="D296" s="153"/>
    </row>
    <row r="297" spans="3:4" ht="13">
      <c r="C297" s="153"/>
      <c r="D297" s="153"/>
    </row>
    <row r="298" spans="3:4" ht="13">
      <c r="C298" s="153"/>
      <c r="D298" s="153"/>
    </row>
    <row r="299" spans="3:4" ht="13">
      <c r="C299" s="153"/>
      <c r="D299" s="153"/>
    </row>
    <row r="300" spans="3:4" ht="13">
      <c r="C300" s="153"/>
      <c r="D300" s="153"/>
    </row>
    <row r="301" spans="3:4" ht="13">
      <c r="C301" s="153"/>
      <c r="D301" s="153"/>
    </row>
    <row r="302" spans="3:4" ht="13">
      <c r="C302" s="153"/>
      <c r="D302" s="153"/>
    </row>
    <row r="303" spans="3:4" ht="13">
      <c r="C303" s="153"/>
      <c r="D303" s="153"/>
    </row>
    <row r="304" spans="3:4" ht="13">
      <c r="C304" s="153"/>
      <c r="D304" s="153"/>
    </row>
    <row r="305" spans="3:4" ht="13">
      <c r="C305" s="153"/>
      <c r="D305" s="153"/>
    </row>
    <row r="306" spans="3:4" ht="13">
      <c r="C306" s="153"/>
      <c r="D306" s="153"/>
    </row>
    <row r="307" spans="3:4" ht="13">
      <c r="C307" s="153"/>
      <c r="D307" s="153"/>
    </row>
    <row r="308" spans="3:4" ht="13">
      <c r="C308" s="153"/>
      <c r="D308" s="153"/>
    </row>
    <row r="309" spans="3:4" ht="13">
      <c r="C309" s="153"/>
      <c r="D309" s="153"/>
    </row>
    <row r="310" spans="3:4" ht="13">
      <c r="C310" s="153"/>
      <c r="D310" s="153"/>
    </row>
    <row r="311" spans="3:4" ht="13">
      <c r="C311" s="153"/>
      <c r="D311" s="153"/>
    </row>
    <row r="312" spans="3:4" ht="13">
      <c r="C312" s="153"/>
      <c r="D312" s="153"/>
    </row>
    <row r="313" spans="3:4" ht="13">
      <c r="C313" s="153"/>
      <c r="D313" s="153"/>
    </row>
    <row r="314" spans="3:4" ht="13">
      <c r="C314" s="153"/>
      <c r="D314" s="153"/>
    </row>
    <row r="315" spans="3:4" ht="13">
      <c r="C315" s="153"/>
      <c r="D315" s="153"/>
    </row>
    <row r="316" spans="3:4" ht="13">
      <c r="C316" s="153"/>
      <c r="D316" s="153"/>
    </row>
    <row r="317" spans="3:4" ht="13">
      <c r="C317" s="153"/>
      <c r="D317" s="153"/>
    </row>
    <row r="318" spans="3:4" ht="13">
      <c r="C318" s="153"/>
      <c r="D318" s="153"/>
    </row>
    <row r="319" spans="3:4" ht="13">
      <c r="C319" s="153"/>
      <c r="D319" s="153"/>
    </row>
    <row r="320" spans="3:4" ht="13">
      <c r="C320" s="153"/>
      <c r="D320" s="153"/>
    </row>
    <row r="321" spans="3:4" ht="13">
      <c r="C321" s="153"/>
      <c r="D321" s="153"/>
    </row>
    <row r="322" spans="3:4" ht="13">
      <c r="C322" s="153"/>
      <c r="D322" s="153"/>
    </row>
    <row r="323" spans="3:4" ht="13">
      <c r="C323" s="153"/>
      <c r="D323" s="153"/>
    </row>
    <row r="324" spans="3:4" ht="13">
      <c r="C324" s="153"/>
      <c r="D324" s="153"/>
    </row>
    <row r="325" spans="3:4" ht="13">
      <c r="C325" s="153"/>
      <c r="D325" s="153"/>
    </row>
    <row r="326" spans="3:4" ht="13">
      <c r="C326" s="153"/>
      <c r="D326" s="153"/>
    </row>
    <row r="327" spans="3:4" ht="13">
      <c r="C327" s="153"/>
      <c r="D327" s="153"/>
    </row>
    <row r="328" spans="3:4" ht="13">
      <c r="C328" s="153"/>
      <c r="D328" s="153"/>
    </row>
    <row r="329" spans="3:4" ht="13">
      <c r="C329" s="153"/>
      <c r="D329" s="153"/>
    </row>
    <row r="330" spans="3:4" ht="13">
      <c r="C330" s="153"/>
      <c r="D330" s="153"/>
    </row>
    <row r="331" spans="3:4" ht="13">
      <c r="C331" s="153"/>
      <c r="D331" s="153"/>
    </row>
    <row r="332" spans="3:4" ht="13">
      <c r="C332" s="153"/>
      <c r="D332" s="153"/>
    </row>
    <row r="333" spans="3:4" ht="13">
      <c r="C333" s="153"/>
      <c r="D333" s="153"/>
    </row>
    <row r="334" spans="3:4" ht="13">
      <c r="C334" s="153"/>
      <c r="D334" s="153"/>
    </row>
    <row r="335" spans="3:4" ht="13">
      <c r="C335" s="153"/>
      <c r="D335" s="153"/>
    </row>
    <row r="336" spans="3:4" ht="13">
      <c r="C336" s="153"/>
      <c r="D336" s="153"/>
    </row>
    <row r="337" spans="3:4" ht="13">
      <c r="C337" s="153"/>
      <c r="D337" s="153"/>
    </row>
    <row r="338" spans="3:4" ht="13">
      <c r="C338" s="153"/>
      <c r="D338" s="153"/>
    </row>
    <row r="339" spans="3:4" ht="13">
      <c r="C339" s="153"/>
      <c r="D339" s="153"/>
    </row>
    <row r="340" spans="3:4" ht="13">
      <c r="C340" s="153"/>
      <c r="D340" s="153"/>
    </row>
    <row r="341" spans="3:4" ht="13">
      <c r="C341" s="153"/>
      <c r="D341" s="153"/>
    </row>
    <row r="342" spans="3:4" ht="13">
      <c r="C342" s="153"/>
      <c r="D342" s="153"/>
    </row>
    <row r="343" spans="3:4" ht="13">
      <c r="C343" s="153"/>
      <c r="D343" s="153"/>
    </row>
    <row r="344" spans="3:4" ht="13">
      <c r="C344" s="153"/>
      <c r="D344" s="153"/>
    </row>
    <row r="345" spans="3:4" ht="13">
      <c r="C345" s="153"/>
      <c r="D345" s="153"/>
    </row>
    <row r="346" spans="3:4" ht="13">
      <c r="C346" s="153"/>
      <c r="D346" s="153"/>
    </row>
    <row r="347" spans="3:4" ht="13">
      <c r="C347" s="153"/>
      <c r="D347" s="153"/>
    </row>
    <row r="348" spans="3:4" ht="13">
      <c r="C348" s="153"/>
      <c r="D348" s="153"/>
    </row>
    <row r="349" spans="3:4" ht="13">
      <c r="C349" s="153"/>
      <c r="D349" s="153"/>
    </row>
    <row r="350" spans="3:4" ht="13">
      <c r="C350" s="153"/>
      <c r="D350" s="153"/>
    </row>
    <row r="351" spans="3:4" ht="13">
      <c r="C351" s="153"/>
      <c r="D351" s="153"/>
    </row>
    <row r="352" spans="3:4" ht="13">
      <c r="C352" s="153"/>
      <c r="D352" s="153"/>
    </row>
    <row r="353" spans="3:4" ht="13">
      <c r="C353" s="153"/>
      <c r="D353" s="153"/>
    </row>
    <row r="354" spans="3:4" ht="13">
      <c r="C354" s="153"/>
      <c r="D354" s="153"/>
    </row>
    <row r="355" spans="3:4" ht="13">
      <c r="C355" s="153"/>
      <c r="D355" s="153"/>
    </row>
    <row r="356" spans="3:4" ht="13">
      <c r="C356" s="153"/>
      <c r="D356" s="153"/>
    </row>
    <row r="357" spans="3:4" ht="13">
      <c r="C357" s="153"/>
      <c r="D357" s="153"/>
    </row>
    <row r="358" spans="3:4" ht="13">
      <c r="C358" s="153"/>
      <c r="D358" s="153"/>
    </row>
    <row r="359" spans="3:4" ht="13">
      <c r="C359" s="153"/>
      <c r="D359" s="153"/>
    </row>
    <row r="360" spans="3:4" ht="13">
      <c r="C360" s="153"/>
      <c r="D360" s="153"/>
    </row>
    <row r="361" spans="3:4" ht="13">
      <c r="C361" s="153"/>
      <c r="D361" s="153"/>
    </row>
    <row r="362" spans="3:4" ht="13">
      <c r="C362" s="153"/>
      <c r="D362" s="153"/>
    </row>
    <row r="363" spans="3:4" ht="13">
      <c r="C363" s="153"/>
      <c r="D363" s="153"/>
    </row>
    <row r="364" spans="3:4" ht="13">
      <c r="C364" s="153"/>
      <c r="D364" s="153"/>
    </row>
    <row r="365" spans="3:4" ht="13">
      <c r="C365" s="153"/>
      <c r="D365" s="153"/>
    </row>
    <row r="366" spans="3:4" ht="13">
      <c r="C366" s="153"/>
      <c r="D366" s="153"/>
    </row>
    <row r="367" spans="3:4" ht="13">
      <c r="C367" s="153"/>
      <c r="D367" s="153"/>
    </row>
    <row r="368" spans="3:4" ht="13">
      <c r="C368" s="153"/>
      <c r="D368" s="153"/>
    </row>
    <row r="369" spans="3:4" ht="13">
      <c r="C369" s="153"/>
      <c r="D369" s="153"/>
    </row>
    <row r="370" spans="3:4" ht="13">
      <c r="C370" s="153"/>
      <c r="D370" s="153"/>
    </row>
    <row r="371" spans="3:4" ht="13">
      <c r="C371" s="153"/>
      <c r="D371" s="153"/>
    </row>
    <row r="372" spans="3:4" ht="13">
      <c r="C372" s="153"/>
      <c r="D372" s="153"/>
    </row>
    <row r="373" spans="3:4" ht="13">
      <c r="C373" s="153"/>
      <c r="D373" s="153"/>
    </row>
    <row r="374" spans="3:4" ht="13">
      <c r="C374" s="153"/>
      <c r="D374" s="153"/>
    </row>
    <row r="375" spans="3:4" ht="13">
      <c r="C375" s="153"/>
      <c r="D375" s="153"/>
    </row>
    <row r="376" spans="3:4" ht="13">
      <c r="C376" s="153"/>
      <c r="D376" s="153"/>
    </row>
    <row r="377" spans="3:4" ht="13">
      <c r="C377" s="153"/>
      <c r="D377" s="153"/>
    </row>
    <row r="378" spans="3:4" ht="13">
      <c r="C378" s="153"/>
      <c r="D378" s="153"/>
    </row>
    <row r="379" spans="3:4" ht="13">
      <c r="C379" s="153"/>
      <c r="D379" s="153"/>
    </row>
    <row r="380" spans="3:4" ht="13">
      <c r="C380" s="153"/>
      <c r="D380" s="153"/>
    </row>
    <row r="381" spans="3:4" ht="13">
      <c r="C381" s="153"/>
      <c r="D381" s="153"/>
    </row>
    <row r="382" spans="3:4" ht="13">
      <c r="C382" s="153"/>
      <c r="D382" s="153"/>
    </row>
    <row r="383" spans="3:4" ht="13">
      <c r="C383" s="153"/>
      <c r="D383" s="153"/>
    </row>
    <row r="384" spans="3:4" ht="13">
      <c r="C384" s="153"/>
      <c r="D384" s="153"/>
    </row>
    <row r="385" spans="3:4" ht="13">
      <c r="C385" s="153"/>
      <c r="D385" s="153"/>
    </row>
    <row r="386" spans="3:4" ht="13">
      <c r="C386" s="153"/>
      <c r="D386" s="153"/>
    </row>
    <row r="387" spans="3:4" ht="13">
      <c r="C387" s="153"/>
      <c r="D387" s="153"/>
    </row>
    <row r="388" spans="3:4" ht="13">
      <c r="C388" s="153"/>
      <c r="D388" s="153"/>
    </row>
    <row r="389" spans="3:4" ht="13">
      <c r="C389" s="153"/>
      <c r="D389" s="153"/>
    </row>
    <row r="390" spans="3:4" ht="13">
      <c r="C390" s="153"/>
      <c r="D390" s="153"/>
    </row>
    <row r="391" spans="3:4" ht="13">
      <c r="C391" s="153"/>
      <c r="D391" s="153"/>
    </row>
    <row r="392" spans="3:4" ht="13">
      <c r="C392" s="153"/>
      <c r="D392" s="153"/>
    </row>
    <row r="393" spans="3:4" ht="13">
      <c r="C393" s="153"/>
      <c r="D393" s="153"/>
    </row>
    <row r="394" spans="3:4" ht="13">
      <c r="C394" s="153"/>
      <c r="D394" s="153"/>
    </row>
    <row r="395" spans="3:4" ht="13">
      <c r="C395" s="153"/>
      <c r="D395" s="153"/>
    </row>
    <row r="396" spans="3:4" ht="13">
      <c r="C396" s="153"/>
      <c r="D396" s="153"/>
    </row>
    <row r="397" spans="3:4" ht="13">
      <c r="C397" s="153"/>
      <c r="D397" s="153"/>
    </row>
    <row r="398" spans="3:4" ht="13">
      <c r="C398" s="153"/>
      <c r="D398" s="153"/>
    </row>
    <row r="399" spans="3:4" ht="13">
      <c r="C399" s="153"/>
      <c r="D399" s="153"/>
    </row>
    <row r="400" spans="3:4" ht="13">
      <c r="C400" s="153"/>
      <c r="D400" s="153"/>
    </row>
    <row r="401" spans="3:4" ht="13">
      <c r="C401" s="153"/>
      <c r="D401" s="153"/>
    </row>
    <row r="402" spans="3:4" ht="13">
      <c r="C402" s="153"/>
      <c r="D402" s="153"/>
    </row>
    <row r="403" spans="3:4" ht="13">
      <c r="C403" s="153"/>
      <c r="D403" s="153"/>
    </row>
    <row r="404" spans="3:4" ht="13">
      <c r="C404" s="153"/>
      <c r="D404" s="153"/>
    </row>
    <row r="405" spans="3:4" ht="13">
      <c r="C405" s="153"/>
      <c r="D405" s="153"/>
    </row>
    <row r="406" spans="3:4" ht="13">
      <c r="C406" s="153"/>
      <c r="D406" s="153"/>
    </row>
    <row r="407" spans="3:4" ht="13">
      <c r="C407" s="153"/>
      <c r="D407" s="153"/>
    </row>
    <row r="408" spans="3:4" ht="13">
      <c r="C408" s="153"/>
      <c r="D408" s="153"/>
    </row>
    <row r="409" spans="3:4" ht="13">
      <c r="C409" s="153"/>
      <c r="D409" s="153"/>
    </row>
    <row r="410" spans="3:4" ht="13">
      <c r="C410" s="153"/>
      <c r="D410" s="153"/>
    </row>
    <row r="411" spans="3:4" ht="13">
      <c r="C411" s="153"/>
      <c r="D411" s="153"/>
    </row>
    <row r="412" spans="3:4" ht="13">
      <c r="C412" s="153"/>
      <c r="D412" s="153"/>
    </row>
    <row r="413" spans="3:4" ht="13">
      <c r="C413" s="153"/>
      <c r="D413" s="153"/>
    </row>
    <row r="414" spans="3:4" ht="13">
      <c r="C414" s="153"/>
      <c r="D414" s="153"/>
    </row>
    <row r="415" spans="3:4" ht="13">
      <c r="C415" s="153"/>
      <c r="D415" s="153"/>
    </row>
    <row r="416" spans="3:4" ht="13">
      <c r="C416" s="153"/>
      <c r="D416" s="153"/>
    </row>
    <row r="417" spans="3:4" ht="13">
      <c r="C417" s="153"/>
      <c r="D417" s="153"/>
    </row>
    <row r="418" spans="3:4" ht="13">
      <c r="C418" s="153"/>
      <c r="D418" s="153"/>
    </row>
    <row r="419" spans="3:4" ht="13">
      <c r="C419" s="153"/>
      <c r="D419" s="153"/>
    </row>
    <row r="420" spans="3:4" ht="13">
      <c r="C420" s="153"/>
      <c r="D420" s="153"/>
    </row>
    <row r="421" spans="3:4" ht="13">
      <c r="C421" s="153"/>
      <c r="D421" s="153"/>
    </row>
    <row r="422" spans="3:4" ht="13">
      <c r="C422" s="153"/>
      <c r="D422" s="153"/>
    </row>
    <row r="423" spans="3:4" ht="13">
      <c r="C423" s="153"/>
      <c r="D423" s="153"/>
    </row>
    <row r="424" spans="3:4" ht="13">
      <c r="C424" s="153"/>
      <c r="D424" s="153"/>
    </row>
    <row r="425" spans="3:4" ht="13">
      <c r="C425" s="153"/>
      <c r="D425" s="153"/>
    </row>
    <row r="426" spans="3:4" ht="13">
      <c r="C426" s="153"/>
      <c r="D426" s="153"/>
    </row>
    <row r="427" spans="3:4" ht="13">
      <c r="C427" s="153"/>
      <c r="D427" s="153"/>
    </row>
    <row r="428" spans="3:4" ht="13">
      <c r="C428" s="153"/>
      <c r="D428" s="153"/>
    </row>
    <row r="429" spans="3:4" ht="13">
      <c r="C429" s="153"/>
      <c r="D429" s="153"/>
    </row>
    <row r="430" spans="3:4" ht="13">
      <c r="C430" s="153"/>
      <c r="D430" s="153"/>
    </row>
    <row r="431" spans="3:4" ht="13">
      <c r="C431" s="153"/>
      <c r="D431" s="153"/>
    </row>
    <row r="432" spans="3:4" ht="13">
      <c r="C432" s="153"/>
      <c r="D432" s="153"/>
    </row>
    <row r="433" spans="3:4" ht="13">
      <c r="C433" s="153"/>
      <c r="D433" s="153"/>
    </row>
    <row r="434" spans="3:4" ht="13">
      <c r="C434" s="153"/>
      <c r="D434" s="153"/>
    </row>
    <row r="435" spans="3:4" ht="13">
      <c r="C435" s="153"/>
      <c r="D435" s="153"/>
    </row>
    <row r="436" spans="3:4" ht="13">
      <c r="C436" s="153"/>
      <c r="D436" s="153"/>
    </row>
    <row r="437" spans="3:4" ht="13">
      <c r="C437" s="153"/>
      <c r="D437" s="153"/>
    </row>
    <row r="438" spans="3:4" ht="13">
      <c r="C438" s="153"/>
      <c r="D438" s="153"/>
    </row>
    <row r="439" spans="3:4" ht="13">
      <c r="C439" s="153"/>
      <c r="D439" s="153"/>
    </row>
    <row r="440" spans="3:4" ht="13">
      <c r="C440" s="153"/>
      <c r="D440" s="153"/>
    </row>
    <row r="441" spans="3:4" ht="13">
      <c r="C441" s="153"/>
      <c r="D441" s="153"/>
    </row>
    <row r="442" spans="3:4" ht="13">
      <c r="C442" s="153"/>
      <c r="D442" s="153"/>
    </row>
    <row r="443" spans="3:4" ht="13">
      <c r="C443" s="153"/>
      <c r="D443" s="153"/>
    </row>
    <row r="444" spans="3:4" ht="13">
      <c r="C444" s="153"/>
      <c r="D444" s="153"/>
    </row>
    <row r="445" spans="3:4" ht="13">
      <c r="C445" s="153"/>
      <c r="D445" s="153"/>
    </row>
    <row r="446" spans="3:4" ht="13">
      <c r="C446" s="153"/>
      <c r="D446" s="153"/>
    </row>
    <row r="447" spans="3:4" ht="13">
      <c r="C447" s="153"/>
      <c r="D447" s="153"/>
    </row>
    <row r="448" spans="3:4" ht="13">
      <c r="C448" s="153"/>
      <c r="D448" s="153"/>
    </row>
    <row r="449" spans="3:4" ht="13">
      <c r="C449" s="153"/>
      <c r="D449" s="153"/>
    </row>
    <row r="450" spans="3:4" ht="13">
      <c r="C450" s="153"/>
      <c r="D450" s="153"/>
    </row>
    <row r="451" spans="3:4" ht="13">
      <c r="C451" s="153"/>
      <c r="D451" s="153"/>
    </row>
    <row r="452" spans="3:4" ht="13">
      <c r="C452" s="153"/>
      <c r="D452" s="153"/>
    </row>
    <row r="453" spans="3:4" ht="13">
      <c r="C453" s="153"/>
      <c r="D453" s="153"/>
    </row>
    <row r="454" spans="3:4" ht="13">
      <c r="C454" s="153"/>
      <c r="D454" s="153"/>
    </row>
    <row r="455" spans="3:4" ht="13">
      <c r="C455" s="153"/>
      <c r="D455" s="153"/>
    </row>
    <row r="456" spans="3:4" ht="13">
      <c r="C456" s="153"/>
      <c r="D456" s="153"/>
    </row>
    <row r="457" spans="3:4" ht="13">
      <c r="C457" s="153"/>
      <c r="D457" s="153"/>
    </row>
    <row r="458" spans="3:4" ht="13">
      <c r="C458" s="153"/>
      <c r="D458" s="153"/>
    </row>
    <row r="459" spans="3:4" ht="13">
      <c r="C459" s="153"/>
      <c r="D459" s="153"/>
    </row>
    <row r="460" spans="3:4" ht="13">
      <c r="C460" s="153"/>
      <c r="D460" s="153"/>
    </row>
    <row r="461" spans="3:4" ht="13">
      <c r="C461" s="153"/>
      <c r="D461" s="153"/>
    </row>
    <row r="462" spans="3:4" ht="13">
      <c r="C462" s="153"/>
      <c r="D462" s="153"/>
    </row>
    <row r="463" spans="3:4" ht="13">
      <c r="C463" s="153"/>
      <c r="D463" s="153"/>
    </row>
    <row r="464" spans="3:4" ht="13">
      <c r="C464" s="153"/>
      <c r="D464" s="153"/>
    </row>
    <row r="465" spans="3:4" ht="13">
      <c r="C465" s="153"/>
      <c r="D465" s="153"/>
    </row>
    <row r="466" spans="3:4" ht="13">
      <c r="C466" s="153"/>
      <c r="D466" s="153"/>
    </row>
    <row r="467" spans="3:4" ht="13">
      <c r="C467" s="153"/>
      <c r="D467" s="153"/>
    </row>
    <row r="468" spans="3:4" ht="13">
      <c r="C468" s="153"/>
      <c r="D468" s="153"/>
    </row>
    <row r="469" spans="3:4" ht="13">
      <c r="C469" s="153"/>
      <c r="D469" s="153"/>
    </row>
    <row r="470" spans="3:4" ht="13">
      <c r="C470" s="153"/>
      <c r="D470" s="153"/>
    </row>
    <row r="471" spans="3:4" ht="13">
      <c r="C471" s="153"/>
      <c r="D471" s="153"/>
    </row>
    <row r="472" spans="3:4" ht="13">
      <c r="C472" s="153"/>
      <c r="D472" s="153"/>
    </row>
    <row r="473" spans="3:4" ht="13">
      <c r="C473" s="153"/>
      <c r="D473" s="153"/>
    </row>
    <row r="474" spans="3:4" ht="13">
      <c r="C474" s="153"/>
      <c r="D474" s="153"/>
    </row>
    <row r="475" spans="3:4" ht="13">
      <c r="C475" s="153"/>
      <c r="D475" s="153"/>
    </row>
    <row r="476" spans="3:4" ht="13">
      <c r="C476" s="153"/>
      <c r="D476" s="153"/>
    </row>
    <row r="477" spans="3:4" ht="13">
      <c r="C477" s="153"/>
      <c r="D477" s="153"/>
    </row>
    <row r="478" spans="3:4" ht="13">
      <c r="C478" s="153"/>
      <c r="D478" s="153"/>
    </row>
    <row r="479" spans="3:4" ht="13">
      <c r="C479" s="153"/>
      <c r="D479" s="153"/>
    </row>
    <row r="480" spans="3:4" ht="13">
      <c r="C480" s="153"/>
      <c r="D480" s="153"/>
    </row>
    <row r="481" spans="3:4" ht="13">
      <c r="C481" s="153"/>
      <c r="D481" s="153"/>
    </row>
    <row r="482" spans="3:4" ht="13">
      <c r="C482" s="153"/>
      <c r="D482" s="153"/>
    </row>
    <row r="483" spans="3:4" ht="13">
      <c r="C483" s="153"/>
      <c r="D483" s="153"/>
    </row>
    <row r="484" spans="3:4" ht="13">
      <c r="C484" s="153"/>
      <c r="D484" s="153"/>
    </row>
    <row r="485" spans="3:4" ht="13">
      <c r="C485" s="153"/>
      <c r="D485" s="153"/>
    </row>
    <row r="486" spans="3:4" ht="13">
      <c r="C486" s="153"/>
      <c r="D486" s="153"/>
    </row>
    <row r="487" spans="3:4" ht="13">
      <c r="C487" s="153"/>
      <c r="D487" s="153"/>
    </row>
    <row r="488" spans="3:4" ht="13">
      <c r="C488" s="153"/>
      <c r="D488" s="153"/>
    </row>
    <row r="489" spans="3:4" ht="13">
      <c r="C489" s="153"/>
      <c r="D489" s="153"/>
    </row>
    <row r="490" spans="3:4" ht="13">
      <c r="C490" s="153"/>
      <c r="D490" s="153"/>
    </row>
    <row r="491" spans="3:4" ht="13">
      <c r="C491" s="153"/>
      <c r="D491" s="153"/>
    </row>
    <row r="492" spans="3:4" ht="13">
      <c r="C492" s="153"/>
      <c r="D492" s="153"/>
    </row>
    <row r="493" spans="3:4" ht="13">
      <c r="C493" s="153"/>
      <c r="D493" s="153"/>
    </row>
    <row r="494" spans="3:4" ht="13">
      <c r="C494" s="153"/>
      <c r="D494" s="153"/>
    </row>
    <row r="495" spans="3:4" ht="13">
      <c r="C495" s="153"/>
      <c r="D495" s="153"/>
    </row>
    <row r="496" spans="3:4" ht="13">
      <c r="C496" s="153"/>
      <c r="D496" s="153"/>
    </row>
    <row r="497" spans="3:4" ht="13">
      <c r="C497" s="153"/>
      <c r="D497" s="153"/>
    </row>
    <row r="498" spans="3:4" ht="13">
      <c r="C498" s="153"/>
      <c r="D498" s="153"/>
    </row>
    <row r="499" spans="3:4" ht="13">
      <c r="C499" s="153"/>
      <c r="D499" s="153"/>
    </row>
    <row r="500" spans="3:4" ht="13">
      <c r="C500" s="153"/>
      <c r="D500" s="153"/>
    </row>
    <row r="501" spans="3:4" ht="13">
      <c r="C501" s="153"/>
      <c r="D501" s="153"/>
    </row>
    <row r="502" spans="3:4" ht="13">
      <c r="C502" s="153"/>
      <c r="D502" s="153"/>
    </row>
    <row r="503" spans="3:4" ht="13">
      <c r="C503" s="153"/>
      <c r="D503" s="153"/>
    </row>
    <row r="504" spans="3:4" ht="13">
      <c r="C504" s="153"/>
      <c r="D504" s="153"/>
    </row>
    <row r="505" spans="3:4" ht="13">
      <c r="C505" s="153"/>
      <c r="D505" s="153"/>
    </row>
    <row r="506" spans="3:4" ht="13">
      <c r="C506" s="153"/>
      <c r="D506" s="153"/>
    </row>
    <row r="507" spans="3:4" ht="13">
      <c r="C507" s="153"/>
      <c r="D507" s="153"/>
    </row>
    <row r="508" spans="3:4" ht="13">
      <c r="C508" s="153"/>
      <c r="D508" s="153"/>
    </row>
    <row r="509" spans="3:4" ht="13">
      <c r="C509" s="153"/>
      <c r="D509" s="153"/>
    </row>
    <row r="510" spans="3:4" ht="13">
      <c r="C510" s="153"/>
      <c r="D510" s="153"/>
    </row>
    <row r="511" spans="3:4" ht="13">
      <c r="C511" s="153"/>
      <c r="D511" s="153"/>
    </row>
    <row r="512" spans="3:4" ht="13">
      <c r="C512" s="153"/>
      <c r="D512" s="153"/>
    </row>
    <row r="513" spans="3:4" ht="13">
      <c r="C513" s="153"/>
      <c r="D513" s="153"/>
    </row>
    <row r="514" spans="3:4" ht="13">
      <c r="C514" s="153"/>
      <c r="D514" s="153"/>
    </row>
    <row r="515" spans="3:4" ht="13">
      <c r="C515" s="153"/>
      <c r="D515" s="153"/>
    </row>
    <row r="516" spans="3:4" ht="13">
      <c r="C516" s="153"/>
      <c r="D516" s="153"/>
    </row>
    <row r="517" spans="3:4" ht="13">
      <c r="C517" s="153"/>
      <c r="D517" s="153"/>
    </row>
    <row r="518" spans="3:4" ht="13">
      <c r="C518" s="153"/>
      <c r="D518" s="153"/>
    </row>
    <row r="519" spans="3:4" ht="13">
      <c r="C519" s="153"/>
      <c r="D519" s="153"/>
    </row>
    <row r="520" spans="3:4" ht="13">
      <c r="C520" s="153"/>
      <c r="D520" s="153"/>
    </row>
    <row r="521" spans="3:4" ht="13">
      <c r="C521" s="153"/>
      <c r="D521" s="153"/>
    </row>
    <row r="522" spans="3:4" ht="13">
      <c r="C522" s="153"/>
      <c r="D522" s="153"/>
    </row>
    <row r="523" spans="3:4" ht="13">
      <c r="C523" s="153"/>
      <c r="D523" s="153"/>
    </row>
    <row r="524" spans="3:4" ht="13">
      <c r="C524" s="153"/>
      <c r="D524" s="153"/>
    </row>
    <row r="525" spans="3:4" ht="13">
      <c r="C525" s="153"/>
      <c r="D525" s="153"/>
    </row>
    <row r="526" spans="3:4" ht="13">
      <c r="C526" s="153"/>
      <c r="D526" s="153"/>
    </row>
    <row r="527" spans="3:4" ht="13">
      <c r="C527" s="153"/>
      <c r="D527" s="153"/>
    </row>
    <row r="528" spans="3:4" ht="13">
      <c r="C528" s="153"/>
      <c r="D528" s="153"/>
    </row>
    <row r="529" spans="3:4" ht="13">
      <c r="C529" s="153"/>
      <c r="D529" s="153"/>
    </row>
    <row r="530" spans="3:4" ht="13">
      <c r="C530" s="153"/>
      <c r="D530" s="153"/>
    </row>
    <row r="531" spans="3:4" ht="13">
      <c r="C531" s="153"/>
      <c r="D531" s="153"/>
    </row>
    <row r="532" spans="3:4" ht="13">
      <c r="C532" s="153"/>
      <c r="D532" s="153"/>
    </row>
    <row r="533" spans="3:4" ht="13">
      <c r="C533" s="153"/>
      <c r="D533" s="153"/>
    </row>
    <row r="534" spans="3:4" ht="13">
      <c r="C534" s="153"/>
      <c r="D534" s="153"/>
    </row>
    <row r="535" spans="3:4" ht="13">
      <c r="C535" s="153"/>
      <c r="D535" s="153"/>
    </row>
    <row r="536" spans="3:4" ht="13">
      <c r="C536" s="153"/>
      <c r="D536" s="153"/>
    </row>
    <row r="537" spans="3:4" ht="13">
      <c r="C537" s="153"/>
      <c r="D537" s="153"/>
    </row>
    <row r="538" spans="3:4" ht="13">
      <c r="C538" s="153"/>
      <c r="D538" s="153"/>
    </row>
    <row r="539" spans="3:4" ht="13">
      <c r="C539" s="153"/>
      <c r="D539" s="153"/>
    </row>
    <row r="540" spans="3:4" ht="13">
      <c r="C540" s="153"/>
      <c r="D540" s="153"/>
    </row>
    <row r="541" spans="3:4" ht="13">
      <c r="C541" s="153"/>
      <c r="D541" s="153"/>
    </row>
    <row r="542" spans="3:4" ht="13">
      <c r="C542" s="153"/>
      <c r="D542" s="153"/>
    </row>
    <row r="543" spans="3:4" ht="13">
      <c r="C543" s="153"/>
      <c r="D543" s="153"/>
    </row>
    <row r="544" spans="3:4" ht="13">
      <c r="C544" s="153"/>
      <c r="D544" s="153"/>
    </row>
    <row r="545" spans="3:4" ht="13">
      <c r="C545" s="153"/>
      <c r="D545" s="153"/>
    </row>
    <row r="546" spans="3:4" ht="13">
      <c r="C546" s="153"/>
      <c r="D546" s="153"/>
    </row>
    <row r="547" spans="3:4" ht="13">
      <c r="C547" s="153"/>
      <c r="D547" s="153"/>
    </row>
    <row r="548" spans="3:4" ht="13">
      <c r="C548" s="153"/>
      <c r="D548" s="153"/>
    </row>
    <row r="549" spans="3:4" ht="13">
      <c r="C549" s="153"/>
      <c r="D549" s="153"/>
    </row>
    <row r="550" spans="3:4" ht="13">
      <c r="C550" s="153"/>
      <c r="D550" s="153"/>
    </row>
    <row r="551" spans="3:4" ht="13">
      <c r="C551" s="153"/>
      <c r="D551" s="153"/>
    </row>
    <row r="552" spans="3:4" ht="13">
      <c r="C552" s="153"/>
      <c r="D552" s="153"/>
    </row>
    <row r="553" spans="3:4" ht="13">
      <c r="C553" s="153"/>
      <c r="D553" s="153"/>
    </row>
    <row r="554" spans="3:4" ht="13">
      <c r="C554" s="153"/>
      <c r="D554" s="153"/>
    </row>
    <row r="555" spans="3:4" ht="13">
      <c r="C555" s="153"/>
      <c r="D555" s="153"/>
    </row>
    <row r="556" spans="3:4" ht="13">
      <c r="C556" s="153"/>
      <c r="D556" s="153"/>
    </row>
    <row r="557" spans="3:4" ht="13">
      <c r="C557" s="153"/>
      <c r="D557" s="153"/>
    </row>
    <row r="558" spans="3:4" ht="13">
      <c r="C558" s="153"/>
      <c r="D558" s="153"/>
    </row>
    <row r="559" spans="3:4" ht="13">
      <c r="C559" s="153"/>
      <c r="D559" s="153"/>
    </row>
    <row r="560" spans="3:4" ht="13">
      <c r="C560" s="153"/>
      <c r="D560" s="153"/>
    </row>
    <row r="561" spans="3:4" ht="13">
      <c r="C561" s="153"/>
      <c r="D561" s="153"/>
    </row>
    <row r="562" spans="3:4" ht="13">
      <c r="C562" s="153"/>
      <c r="D562" s="153"/>
    </row>
    <row r="563" spans="3:4" ht="13">
      <c r="C563" s="153"/>
      <c r="D563" s="153"/>
    </row>
    <row r="564" spans="3:4" ht="13">
      <c r="C564" s="153"/>
      <c r="D564" s="153"/>
    </row>
    <row r="565" spans="3:4" ht="13">
      <c r="C565" s="153"/>
      <c r="D565" s="153"/>
    </row>
    <row r="566" spans="3:4" ht="13">
      <c r="C566" s="153"/>
      <c r="D566" s="153"/>
    </row>
    <row r="567" spans="3:4" ht="13">
      <c r="C567" s="153"/>
      <c r="D567" s="153"/>
    </row>
    <row r="568" spans="3:4" ht="13">
      <c r="C568" s="153"/>
      <c r="D568" s="153"/>
    </row>
    <row r="569" spans="3:4" ht="13">
      <c r="C569" s="153"/>
      <c r="D569" s="153"/>
    </row>
    <row r="570" spans="3:4" ht="13">
      <c r="C570" s="153"/>
      <c r="D570" s="153"/>
    </row>
    <row r="571" spans="3:4" ht="13">
      <c r="C571" s="153"/>
      <c r="D571" s="153"/>
    </row>
    <row r="572" spans="3:4" ht="13">
      <c r="C572" s="153"/>
      <c r="D572" s="153"/>
    </row>
    <row r="573" spans="3:4" ht="13">
      <c r="C573" s="153"/>
      <c r="D573" s="153"/>
    </row>
    <row r="574" spans="3:4" ht="13">
      <c r="C574" s="153"/>
      <c r="D574" s="153"/>
    </row>
    <row r="575" spans="3:4" ht="13">
      <c r="C575" s="153"/>
      <c r="D575" s="153"/>
    </row>
    <row r="576" spans="3:4" ht="13">
      <c r="C576" s="153"/>
      <c r="D576" s="153"/>
    </row>
    <row r="577" spans="3:4" ht="13">
      <c r="C577" s="153"/>
      <c r="D577" s="153"/>
    </row>
    <row r="578" spans="3:4" ht="13">
      <c r="C578" s="153"/>
      <c r="D578" s="153"/>
    </row>
    <row r="579" spans="3:4" ht="13">
      <c r="C579" s="153"/>
      <c r="D579" s="153"/>
    </row>
    <row r="580" spans="3:4" ht="13">
      <c r="C580" s="153"/>
      <c r="D580" s="153"/>
    </row>
    <row r="581" spans="3:4" ht="13">
      <c r="C581" s="153"/>
      <c r="D581" s="153"/>
    </row>
    <row r="582" spans="3:4" ht="13">
      <c r="C582" s="153"/>
      <c r="D582" s="153"/>
    </row>
    <row r="583" spans="3:4" ht="13">
      <c r="C583" s="153"/>
      <c r="D583" s="153"/>
    </row>
    <row r="584" spans="3:4" ht="13">
      <c r="C584" s="153"/>
      <c r="D584" s="153"/>
    </row>
    <row r="585" spans="3:4" ht="13">
      <c r="C585" s="153"/>
      <c r="D585" s="153"/>
    </row>
    <row r="586" spans="3:4" ht="13">
      <c r="C586" s="153"/>
      <c r="D586" s="153"/>
    </row>
    <row r="587" spans="3:4" ht="13">
      <c r="C587" s="153"/>
      <c r="D587" s="153"/>
    </row>
    <row r="588" spans="3:4" ht="13">
      <c r="C588" s="153"/>
      <c r="D588" s="153"/>
    </row>
    <row r="589" spans="3:4" ht="13">
      <c r="C589" s="153"/>
      <c r="D589" s="153"/>
    </row>
    <row r="590" spans="3:4" ht="13">
      <c r="C590" s="153"/>
      <c r="D590" s="153"/>
    </row>
    <row r="591" spans="3:4" ht="13">
      <c r="C591" s="153"/>
      <c r="D591" s="153"/>
    </row>
    <row r="592" spans="3:4" ht="13">
      <c r="C592" s="153"/>
      <c r="D592" s="153"/>
    </row>
    <row r="593" spans="3:4" ht="13">
      <c r="C593" s="153"/>
      <c r="D593" s="153"/>
    </row>
    <row r="594" spans="3:4" ht="13">
      <c r="C594" s="153"/>
      <c r="D594" s="153"/>
    </row>
    <row r="595" spans="3:4" ht="13">
      <c r="C595" s="153"/>
      <c r="D595" s="153"/>
    </row>
    <row r="596" spans="3:4" ht="13">
      <c r="C596" s="153"/>
      <c r="D596" s="153"/>
    </row>
    <row r="597" spans="3:4" ht="13">
      <c r="C597" s="153"/>
      <c r="D597" s="153"/>
    </row>
    <row r="598" spans="3:4" ht="13">
      <c r="C598" s="153"/>
      <c r="D598" s="153"/>
    </row>
    <row r="599" spans="3:4" ht="13">
      <c r="C599" s="153"/>
      <c r="D599" s="153"/>
    </row>
    <row r="600" spans="3:4" ht="13">
      <c r="C600" s="153"/>
      <c r="D600" s="153"/>
    </row>
    <row r="601" spans="3:4" ht="13">
      <c r="C601" s="153"/>
      <c r="D601" s="153"/>
    </row>
    <row r="602" spans="3:4" ht="13">
      <c r="C602" s="153"/>
      <c r="D602" s="153"/>
    </row>
    <row r="603" spans="3:4" ht="13">
      <c r="C603" s="153"/>
      <c r="D603" s="153"/>
    </row>
    <row r="604" spans="3:4" ht="13">
      <c r="C604" s="153"/>
      <c r="D604" s="153"/>
    </row>
    <row r="605" spans="3:4" ht="13">
      <c r="C605" s="153"/>
      <c r="D605" s="153"/>
    </row>
    <row r="606" spans="3:4" ht="13">
      <c r="C606" s="153"/>
      <c r="D606" s="153"/>
    </row>
    <row r="607" spans="3:4" ht="13">
      <c r="C607" s="153"/>
      <c r="D607" s="153"/>
    </row>
    <row r="608" spans="3:4" ht="13">
      <c r="C608" s="153"/>
      <c r="D608" s="153"/>
    </row>
    <row r="609" spans="3:4" ht="13">
      <c r="C609" s="153"/>
      <c r="D609" s="153"/>
    </row>
    <row r="610" spans="3:4" ht="13">
      <c r="C610" s="153"/>
      <c r="D610" s="153"/>
    </row>
    <row r="611" spans="3:4" ht="13">
      <c r="C611" s="153"/>
      <c r="D611" s="153"/>
    </row>
    <row r="612" spans="3:4" ht="13">
      <c r="C612" s="153"/>
      <c r="D612" s="153"/>
    </row>
    <row r="613" spans="3:4" ht="13">
      <c r="C613" s="153"/>
      <c r="D613" s="153"/>
    </row>
    <row r="614" spans="3:4" ht="13">
      <c r="C614" s="153"/>
      <c r="D614" s="153"/>
    </row>
    <row r="615" spans="3:4" ht="13">
      <c r="C615" s="153"/>
      <c r="D615" s="153"/>
    </row>
    <row r="616" spans="3:4" ht="13">
      <c r="C616" s="153"/>
      <c r="D616" s="153"/>
    </row>
    <row r="617" spans="3:4" ht="13">
      <c r="C617" s="153"/>
      <c r="D617" s="153"/>
    </row>
    <row r="618" spans="3:4" ht="13">
      <c r="C618" s="153"/>
      <c r="D618" s="153"/>
    </row>
    <row r="619" spans="3:4" ht="13">
      <c r="C619" s="153"/>
      <c r="D619" s="153"/>
    </row>
    <row r="620" spans="3:4" ht="13">
      <c r="C620" s="153"/>
      <c r="D620" s="153"/>
    </row>
    <row r="621" spans="3:4" ht="13">
      <c r="C621" s="153"/>
      <c r="D621" s="153"/>
    </row>
    <row r="622" spans="3:4" ht="13">
      <c r="C622" s="153"/>
      <c r="D622" s="153"/>
    </row>
    <row r="623" spans="3:4" ht="13">
      <c r="C623" s="153"/>
      <c r="D623" s="153"/>
    </row>
    <row r="624" spans="3:4" ht="13">
      <c r="C624" s="153"/>
      <c r="D624" s="153"/>
    </row>
    <row r="625" spans="3:4" ht="13">
      <c r="C625" s="153"/>
      <c r="D625" s="153"/>
    </row>
    <row r="626" spans="3:4" ht="13">
      <c r="C626" s="153"/>
      <c r="D626" s="153"/>
    </row>
    <row r="627" spans="3:4" ht="13">
      <c r="C627" s="153"/>
      <c r="D627" s="153"/>
    </row>
    <row r="628" spans="3:4" ht="13">
      <c r="C628" s="153"/>
      <c r="D628" s="153"/>
    </row>
    <row r="629" spans="3:4" ht="13">
      <c r="C629" s="153"/>
      <c r="D629" s="153"/>
    </row>
    <row r="630" spans="3:4" ht="13">
      <c r="C630" s="153"/>
      <c r="D630" s="153"/>
    </row>
    <row r="631" spans="3:4" ht="13">
      <c r="C631" s="153"/>
      <c r="D631" s="153"/>
    </row>
    <row r="632" spans="3:4" ht="13">
      <c r="C632" s="153"/>
      <c r="D632" s="153"/>
    </row>
    <row r="633" spans="3:4" ht="13">
      <c r="C633" s="153"/>
      <c r="D633" s="153"/>
    </row>
    <row r="634" spans="3:4" ht="13">
      <c r="C634" s="153"/>
      <c r="D634" s="153"/>
    </row>
    <row r="635" spans="3:4" ht="13">
      <c r="C635" s="153"/>
      <c r="D635" s="153"/>
    </row>
    <row r="636" spans="3:4" ht="13">
      <c r="C636" s="153"/>
      <c r="D636" s="153"/>
    </row>
    <row r="637" spans="3:4" ht="13">
      <c r="C637" s="153"/>
      <c r="D637" s="153"/>
    </row>
    <row r="638" spans="3:4" ht="13">
      <c r="C638" s="153"/>
      <c r="D638" s="153"/>
    </row>
    <row r="639" spans="3:4" ht="13">
      <c r="C639" s="153"/>
      <c r="D639" s="153"/>
    </row>
    <row r="640" spans="3:4" ht="13">
      <c r="C640" s="153"/>
      <c r="D640" s="153"/>
    </row>
    <row r="641" spans="3:4" ht="13">
      <c r="C641" s="153"/>
      <c r="D641" s="153"/>
    </row>
    <row r="642" spans="3:4" ht="13">
      <c r="C642" s="153"/>
      <c r="D642" s="153"/>
    </row>
    <row r="643" spans="3:4" ht="13">
      <c r="C643" s="153"/>
      <c r="D643" s="153"/>
    </row>
    <row r="644" spans="3:4" ht="13">
      <c r="C644" s="153"/>
      <c r="D644" s="153"/>
    </row>
    <row r="645" spans="3:4" ht="13">
      <c r="C645" s="153"/>
      <c r="D645" s="153"/>
    </row>
    <row r="646" spans="3:4" ht="13">
      <c r="C646" s="153"/>
      <c r="D646" s="153"/>
    </row>
    <row r="647" spans="3:4" ht="13">
      <c r="C647" s="153"/>
      <c r="D647" s="153"/>
    </row>
    <row r="648" spans="3:4" ht="13">
      <c r="C648" s="153"/>
      <c r="D648" s="153"/>
    </row>
    <row r="649" spans="3:4" ht="13">
      <c r="C649" s="153"/>
      <c r="D649" s="153"/>
    </row>
    <row r="650" spans="3:4" ht="13">
      <c r="C650" s="153"/>
      <c r="D650" s="153"/>
    </row>
    <row r="651" spans="3:4" ht="13">
      <c r="C651" s="153"/>
      <c r="D651" s="153"/>
    </row>
    <row r="652" spans="3:4" ht="13">
      <c r="C652" s="153"/>
      <c r="D652" s="153"/>
    </row>
    <row r="653" spans="3:4" ht="13">
      <c r="C653" s="153"/>
      <c r="D653" s="153"/>
    </row>
    <row r="654" spans="3:4" ht="13">
      <c r="C654" s="153"/>
      <c r="D654" s="153"/>
    </row>
    <row r="655" spans="3:4" ht="13">
      <c r="C655" s="153"/>
      <c r="D655" s="153"/>
    </row>
    <row r="656" spans="3:4" ht="13">
      <c r="C656" s="153"/>
      <c r="D656" s="153"/>
    </row>
    <row r="657" spans="3:4" ht="13">
      <c r="C657" s="153"/>
      <c r="D657" s="153"/>
    </row>
    <row r="658" spans="3:4" ht="13">
      <c r="C658" s="153"/>
      <c r="D658" s="153"/>
    </row>
    <row r="659" spans="3:4" ht="13">
      <c r="C659" s="153"/>
      <c r="D659" s="153"/>
    </row>
    <row r="660" spans="3:4" ht="13">
      <c r="C660" s="153"/>
      <c r="D660" s="153"/>
    </row>
    <row r="661" spans="3:4" ht="13">
      <c r="C661" s="153"/>
      <c r="D661" s="153"/>
    </row>
    <row r="662" spans="3:4" ht="13">
      <c r="C662" s="153"/>
      <c r="D662" s="153"/>
    </row>
    <row r="663" spans="3:4" ht="13">
      <c r="C663" s="153"/>
      <c r="D663" s="153"/>
    </row>
    <row r="664" spans="3:4" ht="13">
      <c r="C664" s="153"/>
      <c r="D664" s="153"/>
    </row>
    <row r="665" spans="3:4" ht="13">
      <c r="C665" s="153"/>
      <c r="D665" s="153"/>
    </row>
    <row r="666" spans="3:4" ht="13">
      <c r="C666" s="153"/>
      <c r="D666" s="153"/>
    </row>
    <row r="667" spans="3:4" ht="13">
      <c r="C667" s="153"/>
      <c r="D667" s="153"/>
    </row>
    <row r="668" spans="3:4" ht="13">
      <c r="C668" s="153"/>
      <c r="D668" s="153"/>
    </row>
    <row r="669" spans="3:4" ht="13">
      <c r="C669" s="153"/>
      <c r="D669" s="153"/>
    </row>
    <row r="670" spans="3:4" ht="13">
      <c r="C670" s="153"/>
      <c r="D670" s="153"/>
    </row>
    <row r="671" spans="3:4" ht="13">
      <c r="C671" s="153"/>
      <c r="D671" s="153"/>
    </row>
    <row r="672" spans="3:4" ht="13">
      <c r="C672" s="153"/>
      <c r="D672" s="153"/>
    </row>
    <row r="673" spans="3:4" ht="13">
      <c r="C673" s="153"/>
      <c r="D673" s="153"/>
    </row>
    <row r="674" spans="3:4" ht="13">
      <c r="C674" s="153"/>
      <c r="D674" s="153"/>
    </row>
    <row r="675" spans="3:4" ht="13">
      <c r="C675" s="153"/>
      <c r="D675" s="153"/>
    </row>
    <row r="676" spans="3:4" ht="13">
      <c r="C676" s="153"/>
      <c r="D676" s="153"/>
    </row>
    <row r="677" spans="3:4" ht="13">
      <c r="C677" s="153"/>
      <c r="D677" s="153"/>
    </row>
    <row r="678" spans="3:4" ht="13">
      <c r="C678" s="153"/>
      <c r="D678" s="153"/>
    </row>
    <row r="679" spans="3:4" ht="13">
      <c r="C679" s="153"/>
      <c r="D679" s="153"/>
    </row>
    <row r="680" spans="3:4" ht="13">
      <c r="C680" s="153"/>
      <c r="D680" s="153"/>
    </row>
    <row r="681" spans="3:4" ht="13">
      <c r="C681" s="153"/>
      <c r="D681" s="153"/>
    </row>
    <row r="682" spans="3:4" ht="13">
      <c r="C682" s="153"/>
      <c r="D682" s="153"/>
    </row>
    <row r="683" spans="3:4" ht="13">
      <c r="C683" s="153"/>
      <c r="D683" s="153"/>
    </row>
    <row r="684" spans="3:4" ht="13">
      <c r="C684" s="153"/>
      <c r="D684" s="153"/>
    </row>
    <row r="685" spans="3:4" ht="13">
      <c r="C685" s="153"/>
      <c r="D685" s="153"/>
    </row>
    <row r="686" spans="3:4" ht="13">
      <c r="C686" s="153"/>
      <c r="D686" s="153"/>
    </row>
    <row r="687" spans="3:4" ht="13">
      <c r="C687" s="153"/>
      <c r="D687" s="153"/>
    </row>
    <row r="688" spans="3:4" ht="13">
      <c r="C688" s="153"/>
      <c r="D688" s="153"/>
    </row>
    <row r="689" spans="3:4" ht="13">
      <c r="C689" s="153"/>
      <c r="D689" s="153"/>
    </row>
    <row r="690" spans="3:4" ht="13">
      <c r="C690" s="153"/>
      <c r="D690" s="153"/>
    </row>
    <row r="691" spans="3:4" ht="13">
      <c r="C691" s="153"/>
      <c r="D691" s="153"/>
    </row>
    <row r="692" spans="3:4" ht="13">
      <c r="C692" s="153"/>
      <c r="D692" s="153"/>
    </row>
    <row r="693" spans="3:4" ht="13">
      <c r="C693" s="153"/>
      <c r="D693" s="153"/>
    </row>
    <row r="694" spans="3:4" ht="13">
      <c r="C694" s="153"/>
      <c r="D694" s="153"/>
    </row>
    <row r="695" spans="3:4" ht="13">
      <c r="C695" s="153"/>
      <c r="D695" s="153"/>
    </row>
    <row r="696" spans="3:4" ht="13">
      <c r="C696" s="153"/>
      <c r="D696" s="153"/>
    </row>
    <row r="697" spans="3:4" ht="13">
      <c r="C697" s="153"/>
      <c r="D697" s="153"/>
    </row>
    <row r="698" spans="3:4" ht="13">
      <c r="C698" s="153"/>
      <c r="D698" s="153"/>
    </row>
    <row r="699" spans="3:4" ht="13">
      <c r="C699" s="153"/>
      <c r="D699" s="153"/>
    </row>
    <row r="700" spans="3:4" ht="13">
      <c r="C700" s="153"/>
      <c r="D700" s="153"/>
    </row>
    <row r="701" spans="3:4" ht="13">
      <c r="C701" s="153"/>
      <c r="D701" s="153"/>
    </row>
    <row r="702" spans="3:4" ht="13">
      <c r="C702" s="153"/>
      <c r="D702" s="153"/>
    </row>
    <row r="703" spans="3:4" ht="13">
      <c r="C703" s="153"/>
      <c r="D703" s="153"/>
    </row>
    <row r="704" spans="3:4" ht="13">
      <c r="C704" s="153"/>
      <c r="D704" s="153"/>
    </row>
    <row r="705" spans="3:4" ht="13">
      <c r="C705" s="153"/>
      <c r="D705" s="153"/>
    </row>
    <row r="706" spans="3:4" ht="13">
      <c r="C706" s="153"/>
      <c r="D706" s="153"/>
    </row>
    <row r="707" spans="3:4" ht="13">
      <c r="C707" s="153"/>
      <c r="D707" s="153"/>
    </row>
    <row r="708" spans="3:4" ht="13">
      <c r="C708" s="153"/>
      <c r="D708" s="153"/>
    </row>
    <row r="709" spans="3:4" ht="13">
      <c r="C709" s="153"/>
      <c r="D709" s="153"/>
    </row>
    <row r="710" spans="3:4" ht="13">
      <c r="C710" s="153"/>
      <c r="D710" s="153"/>
    </row>
    <row r="711" spans="3:4" ht="13">
      <c r="C711" s="153"/>
      <c r="D711" s="153"/>
    </row>
    <row r="712" spans="3:4" ht="13">
      <c r="C712" s="153"/>
      <c r="D712" s="153"/>
    </row>
    <row r="713" spans="3:4" ht="13">
      <c r="C713" s="153"/>
      <c r="D713" s="153"/>
    </row>
    <row r="714" spans="3:4" ht="13">
      <c r="C714" s="153"/>
      <c r="D714" s="153"/>
    </row>
    <row r="715" spans="3:4" ht="13">
      <c r="C715" s="153"/>
      <c r="D715" s="153"/>
    </row>
    <row r="716" spans="3:4" ht="13">
      <c r="C716" s="153"/>
      <c r="D716" s="153"/>
    </row>
    <row r="717" spans="3:4" ht="13">
      <c r="C717" s="153"/>
      <c r="D717" s="153"/>
    </row>
    <row r="718" spans="3:4" ht="13">
      <c r="C718" s="153"/>
      <c r="D718" s="153"/>
    </row>
    <row r="719" spans="3:4" ht="13">
      <c r="C719" s="153"/>
      <c r="D719" s="153"/>
    </row>
    <row r="720" spans="3:4" ht="13">
      <c r="C720" s="153"/>
      <c r="D720" s="153"/>
    </row>
    <row r="721" spans="3:4" ht="13">
      <c r="C721" s="153"/>
      <c r="D721" s="153"/>
    </row>
    <row r="722" spans="3:4" ht="13">
      <c r="C722" s="153"/>
      <c r="D722" s="153"/>
    </row>
    <row r="723" spans="3:4" ht="13">
      <c r="C723" s="153"/>
      <c r="D723" s="153"/>
    </row>
    <row r="724" spans="3:4" ht="13">
      <c r="C724" s="153"/>
      <c r="D724" s="153"/>
    </row>
    <row r="725" spans="3:4" ht="13">
      <c r="C725" s="153"/>
      <c r="D725" s="153"/>
    </row>
    <row r="726" spans="3:4" ht="13">
      <c r="C726" s="153"/>
      <c r="D726" s="153"/>
    </row>
    <row r="727" spans="3:4" ht="13">
      <c r="C727" s="153"/>
      <c r="D727" s="153"/>
    </row>
    <row r="728" spans="3:4" ht="13">
      <c r="C728" s="153"/>
      <c r="D728" s="153"/>
    </row>
    <row r="729" spans="3:4" ht="13">
      <c r="C729" s="153"/>
      <c r="D729" s="153"/>
    </row>
    <row r="730" spans="3:4" ht="13">
      <c r="C730" s="153"/>
      <c r="D730" s="153"/>
    </row>
    <row r="731" spans="3:4" ht="13">
      <c r="C731" s="153"/>
      <c r="D731" s="153"/>
    </row>
    <row r="732" spans="3:4" ht="13">
      <c r="C732" s="153"/>
      <c r="D732" s="153"/>
    </row>
    <row r="733" spans="3:4" ht="13">
      <c r="C733" s="153"/>
      <c r="D733" s="153"/>
    </row>
    <row r="734" spans="3:4" ht="13">
      <c r="C734" s="153"/>
      <c r="D734" s="153"/>
    </row>
    <row r="735" spans="3:4" ht="13">
      <c r="C735" s="153"/>
      <c r="D735" s="153"/>
    </row>
    <row r="736" spans="3:4" ht="13">
      <c r="C736" s="153"/>
      <c r="D736" s="153"/>
    </row>
    <row r="737" spans="3:4" ht="13">
      <c r="C737" s="153"/>
      <c r="D737" s="153"/>
    </row>
    <row r="738" spans="3:4" ht="13">
      <c r="C738" s="153"/>
      <c r="D738" s="153"/>
    </row>
    <row r="739" spans="3:4" ht="13">
      <c r="C739" s="153"/>
      <c r="D739" s="153"/>
    </row>
    <row r="740" spans="3:4" ht="13">
      <c r="C740" s="153"/>
      <c r="D740" s="153"/>
    </row>
    <row r="741" spans="3:4" ht="13">
      <c r="C741" s="153"/>
      <c r="D741" s="153"/>
    </row>
    <row r="742" spans="3:4" ht="13">
      <c r="C742" s="153"/>
      <c r="D742" s="153"/>
    </row>
    <row r="743" spans="3:4" ht="13">
      <c r="C743" s="153"/>
      <c r="D743" s="153"/>
    </row>
    <row r="744" spans="3:4" ht="13">
      <c r="C744" s="153"/>
      <c r="D744" s="153"/>
    </row>
    <row r="745" spans="3:4" ht="13">
      <c r="C745" s="153"/>
      <c r="D745" s="153"/>
    </row>
    <row r="746" spans="3:4" ht="13">
      <c r="C746" s="153"/>
      <c r="D746" s="153"/>
    </row>
    <row r="747" spans="3:4" ht="13">
      <c r="C747" s="153"/>
      <c r="D747" s="153"/>
    </row>
    <row r="748" spans="3:4" ht="13">
      <c r="C748" s="153"/>
      <c r="D748" s="153"/>
    </row>
    <row r="749" spans="3:4" ht="13">
      <c r="C749" s="153"/>
      <c r="D749" s="153"/>
    </row>
    <row r="750" spans="3:4" ht="13">
      <c r="C750" s="153"/>
      <c r="D750" s="153"/>
    </row>
    <row r="751" spans="3:4" ht="13">
      <c r="C751" s="153"/>
      <c r="D751" s="153"/>
    </row>
    <row r="752" spans="3:4" ht="13">
      <c r="C752" s="153"/>
      <c r="D752" s="153"/>
    </row>
    <row r="753" spans="3:4" ht="13">
      <c r="C753" s="153"/>
      <c r="D753" s="153"/>
    </row>
    <row r="754" spans="3:4" ht="13">
      <c r="C754" s="153"/>
      <c r="D754" s="153"/>
    </row>
    <row r="755" spans="3:4" ht="13">
      <c r="C755" s="153"/>
      <c r="D755" s="153"/>
    </row>
    <row r="756" spans="3:4" ht="13">
      <c r="C756" s="153"/>
      <c r="D756" s="153"/>
    </row>
    <row r="757" spans="3:4" ht="13">
      <c r="C757" s="153"/>
      <c r="D757" s="153"/>
    </row>
    <row r="758" spans="3:4" ht="13">
      <c r="C758" s="153"/>
      <c r="D758" s="153"/>
    </row>
    <row r="759" spans="3:4" ht="13">
      <c r="C759" s="153"/>
      <c r="D759" s="153"/>
    </row>
    <row r="760" spans="3:4" ht="13">
      <c r="C760" s="153"/>
      <c r="D760" s="153"/>
    </row>
    <row r="761" spans="3:4" ht="13">
      <c r="C761" s="153"/>
      <c r="D761" s="153"/>
    </row>
    <row r="762" spans="3:4" ht="13">
      <c r="C762" s="153"/>
      <c r="D762" s="153"/>
    </row>
    <row r="763" spans="3:4" ht="13">
      <c r="C763" s="153"/>
      <c r="D763" s="153"/>
    </row>
    <row r="764" spans="3:4" ht="13">
      <c r="C764" s="153"/>
      <c r="D764" s="153"/>
    </row>
    <row r="765" spans="3:4" ht="13">
      <c r="C765" s="153"/>
      <c r="D765" s="153"/>
    </row>
    <row r="766" spans="3:4" ht="13">
      <c r="C766" s="153"/>
      <c r="D766" s="153"/>
    </row>
    <row r="767" spans="3:4" ht="13">
      <c r="C767" s="153"/>
      <c r="D767" s="153"/>
    </row>
    <row r="768" spans="3:4" ht="13">
      <c r="C768" s="153"/>
      <c r="D768" s="153"/>
    </row>
    <row r="769" spans="3:4" ht="13">
      <c r="C769" s="153"/>
      <c r="D769" s="153"/>
    </row>
    <row r="770" spans="3:4" ht="13">
      <c r="C770" s="153"/>
      <c r="D770" s="153"/>
    </row>
    <row r="771" spans="3:4" ht="13">
      <c r="C771" s="153"/>
      <c r="D771" s="153"/>
    </row>
    <row r="772" spans="3:4" ht="13">
      <c r="C772" s="153"/>
      <c r="D772" s="153"/>
    </row>
    <row r="773" spans="3:4" ht="13">
      <c r="C773" s="153"/>
      <c r="D773" s="153"/>
    </row>
    <row r="774" spans="3:4" ht="13">
      <c r="C774" s="153"/>
      <c r="D774" s="153"/>
    </row>
    <row r="775" spans="3:4" ht="13">
      <c r="C775" s="153"/>
      <c r="D775" s="153"/>
    </row>
    <row r="776" spans="3:4" ht="13">
      <c r="C776" s="153"/>
      <c r="D776" s="153"/>
    </row>
    <row r="777" spans="3:4" ht="13">
      <c r="C777" s="153"/>
      <c r="D777" s="153"/>
    </row>
    <row r="778" spans="3:4" ht="13">
      <c r="C778" s="153"/>
      <c r="D778" s="153"/>
    </row>
    <row r="779" spans="3:4" ht="13">
      <c r="C779" s="153"/>
      <c r="D779" s="153"/>
    </row>
    <row r="780" spans="3:4" ht="13">
      <c r="C780" s="153"/>
      <c r="D780" s="153"/>
    </row>
    <row r="781" spans="3:4" ht="13">
      <c r="C781" s="153"/>
      <c r="D781" s="153"/>
    </row>
    <row r="782" spans="3:4" ht="13">
      <c r="C782" s="153"/>
      <c r="D782" s="153"/>
    </row>
    <row r="783" spans="3:4" ht="13">
      <c r="C783" s="153"/>
      <c r="D783" s="153"/>
    </row>
    <row r="784" spans="3:4" ht="13">
      <c r="C784" s="153"/>
      <c r="D784" s="153"/>
    </row>
    <row r="785" spans="3:4" ht="13">
      <c r="C785" s="153"/>
      <c r="D785" s="153"/>
    </row>
    <row r="786" spans="3:4" ht="13">
      <c r="C786" s="153"/>
      <c r="D786" s="153"/>
    </row>
    <row r="787" spans="3:4" ht="13">
      <c r="C787" s="153"/>
      <c r="D787" s="153"/>
    </row>
    <row r="788" spans="3:4" ht="13">
      <c r="C788" s="153"/>
      <c r="D788" s="153"/>
    </row>
    <row r="789" spans="3:4" ht="13">
      <c r="C789" s="153"/>
      <c r="D789" s="153"/>
    </row>
    <row r="790" spans="3:4" ht="13">
      <c r="C790" s="153"/>
      <c r="D790" s="153"/>
    </row>
    <row r="791" spans="3:4" ht="13">
      <c r="C791" s="153"/>
      <c r="D791" s="153"/>
    </row>
    <row r="792" spans="3:4" ht="13">
      <c r="C792" s="153"/>
      <c r="D792" s="153"/>
    </row>
    <row r="793" spans="3:4" ht="13">
      <c r="C793" s="153"/>
      <c r="D793" s="153"/>
    </row>
    <row r="794" spans="3:4" ht="13">
      <c r="C794" s="153"/>
      <c r="D794" s="153"/>
    </row>
    <row r="795" spans="3:4" ht="13">
      <c r="C795" s="153"/>
      <c r="D795" s="153"/>
    </row>
    <row r="796" spans="3:4" ht="13">
      <c r="C796" s="153"/>
      <c r="D796" s="153"/>
    </row>
    <row r="797" spans="3:4" ht="13">
      <c r="C797" s="153"/>
      <c r="D797" s="153"/>
    </row>
    <row r="798" spans="3:4" ht="13">
      <c r="C798" s="153"/>
      <c r="D798" s="153"/>
    </row>
    <row r="799" spans="3:4" ht="13">
      <c r="C799" s="153"/>
      <c r="D799" s="153"/>
    </row>
    <row r="800" spans="3:4" ht="13">
      <c r="C800" s="153"/>
      <c r="D800" s="153"/>
    </row>
    <row r="801" spans="3:4" ht="13">
      <c r="C801" s="153"/>
      <c r="D801" s="153"/>
    </row>
    <row r="802" spans="3:4" ht="13">
      <c r="C802" s="153"/>
      <c r="D802" s="153"/>
    </row>
    <row r="803" spans="3:4" ht="13">
      <c r="C803" s="153"/>
      <c r="D803" s="153"/>
    </row>
    <row r="804" spans="3:4" ht="13">
      <c r="C804" s="153"/>
      <c r="D804" s="153"/>
    </row>
    <row r="805" spans="3:4" ht="13">
      <c r="C805" s="153"/>
      <c r="D805" s="153"/>
    </row>
    <row r="806" spans="3:4" ht="13">
      <c r="C806" s="153"/>
      <c r="D806" s="153"/>
    </row>
    <row r="807" spans="3:4" ht="13">
      <c r="C807" s="153"/>
      <c r="D807" s="153"/>
    </row>
    <row r="808" spans="3:4" ht="13">
      <c r="C808" s="153"/>
      <c r="D808" s="153"/>
    </row>
    <row r="809" spans="3:4" ht="13">
      <c r="C809" s="153"/>
      <c r="D809" s="153"/>
    </row>
    <row r="810" spans="3:4" ht="13">
      <c r="C810" s="153"/>
      <c r="D810" s="153"/>
    </row>
    <row r="811" spans="3:4" ht="13">
      <c r="C811" s="153"/>
      <c r="D811" s="153"/>
    </row>
    <row r="812" spans="3:4" ht="13">
      <c r="C812" s="153"/>
      <c r="D812" s="153"/>
    </row>
    <row r="813" spans="3:4" ht="13">
      <c r="C813" s="153"/>
      <c r="D813" s="153"/>
    </row>
    <row r="814" spans="3:4" ht="13">
      <c r="C814" s="153"/>
      <c r="D814" s="153"/>
    </row>
    <row r="815" spans="3:4" ht="13">
      <c r="C815" s="153"/>
      <c r="D815" s="153"/>
    </row>
    <row r="816" spans="3:4" ht="13">
      <c r="C816" s="153"/>
      <c r="D816" s="153"/>
    </row>
    <row r="817" spans="3:4" ht="13">
      <c r="C817" s="153"/>
      <c r="D817" s="153"/>
    </row>
    <row r="818" spans="3:4" ht="13">
      <c r="C818" s="153"/>
      <c r="D818" s="153"/>
    </row>
    <row r="819" spans="3:4" ht="13">
      <c r="C819" s="153"/>
      <c r="D819" s="153"/>
    </row>
    <row r="820" spans="3:4" ht="13">
      <c r="C820" s="153"/>
      <c r="D820" s="153"/>
    </row>
    <row r="821" spans="3:4" ht="13">
      <c r="C821" s="153"/>
      <c r="D821" s="153"/>
    </row>
    <row r="822" spans="3:4" ht="13">
      <c r="C822" s="153"/>
      <c r="D822" s="153"/>
    </row>
    <row r="823" spans="3:4" ht="13">
      <c r="C823" s="153"/>
      <c r="D823" s="153"/>
    </row>
    <row r="824" spans="3:4" ht="13">
      <c r="C824" s="153"/>
      <c r="D824" s="153"/>
    </row>
    <row r="825" spans="3:4" ht="13">
      <c r="C825" s="153"/>
      <c r="D825" s="153"/>
    </row>
    <row r="826" spans="3:4" ht="13">
      <c r="C826" s="153"/>
      <c r="D826" s="153"/>
    </row>
    <row r="827" spans="3:4" ht="13">
      <c r="C827" s="153"/>
      <c r="D827" s="153"/>
    </row>
    <row r="828" spans="3:4" ht="13">
      <c r="C828" s="153"/>
      <c r="D828" s="153"/>
    </row>
    <row r="829" spans="3:4" ht="13">
      <c r="C829" s="153"/>
      <c r="D829" s="153"/>
    </row>
    <row r="830" spans="3:4" ht="13">
      <c r="C830" s="153"/>
      <c r="D830" s="153"/>
    </row>
    <row r="831" spans="3:4" ht="13">
      <c r="C831" s="153"/>
      <c r="D831" s="153"/>
    </row>
    <row r="832" spans="3:4" ht="13">
      <c r="C832" s="153"/>
      <c r="D832" s="153"/>
    </row>
    <row r="833" spans="3:4" ht="13">
      <c r="C833" s="153"/>
      <c r="D833" s="153"/>
    </row>
    <row r="834" spans="3:4" ht="13">
      <c r="C834" s="153"/>
      <c r="D834" s="153"/>
    </row>
    <row r="835" spans="3:4" ht="13">
      <c r="C835" s="153"/>
      <c r="D835" s="153"/>
    </row>
    <row r="836" spans="3:4" ht="13">
      <c r="C836" s="153"/>
      <c r="D836" s="153"/>
    </row>
    <row r="837" spans="3:4" ht="13">
      <c r="C837" s="153"/>
      <c r="D837" s="153"/>
    </row>
    <row r="838" spans="3:4" ht="13">
      <c r="C838" s="153"/>
      <c r="D838" s="153"/>
    </row>
    <row r="839" spans="3:4" ht="13">
      <c r="C839" s="153"/>
      <c r="D839" s="153"/>
    </row>
    <row r="840" spans="3:4" ht="13">
      <c r="C840" s="153"/>
      <c r="D840" s="153"/>
    </row>
    <row r="841" spans="3:4" ht="13">
      <c r="C841" s="153"/>
      <c r="D841" s="153"/>
    </row>
    <row r="842" spans="3:4" ht="13">
      <c r="C842" s="153"/>
      <c r="D842" s="153"/>
    </row>
    <row r="843" spans="3:4" ht="13">
      <c r="C843" s="153"/>
      <c r="D843" s="153"/>
    </row>
    <row r="844" spans="3:4" ht="13">
      <c r="C844" s="153"/>
      <c r="D844" s="153"/>
    </row>
    <row r="845" spans="3:4" ht="13">
      <c r="C845" s="153"/>
      <c r="D845" s="153"/>
    </row>
    <row r="846" spans="3:4" ht="13">
      <c r="C846" s="153"/>
      <c r="D846" s="153"/>
    </row>
    <row r="847" spans="3:4" ht="13">
      <c r="C847" s="153"/>
      <c r="D847" s="153"/>
    </row>
    <row r="848" spans="3:4" ht="13">
      <c r="C848" s="153"/>
      <c r="D848" s="153"/>
    </row>
    <row r="849" spans="3:4" ht="13">
      <c r="C849" s="153"/>
      <c r="D849" s="153"/>
    </row>
    <row r="850" spans="3:4" ht="13">
      <c r="C850" s="153"/>
      <c r="D850" s="153"/>
    </row>
    <row r="851" spans="3:4" ht="13">
      <c r="C851" s="153"/>
      <c r="D851" s="153"/>
    </row>
    <row r="852" spans="3:4" ht="13">
      <c r="C852" s="153"/>
      <c r="D852" s="153"/>
    </row>
    <row r="853" spans="3:4" ht="13">
      <c r="C853" s="153"/>
      <c r="D853" s="153"/>
    </row>
    <row r="854" spans="3:4" ht="13">
      <c r="C854" s="153"/>
      <c r="D854" s="153"/>
    </row>
    <row r="855" spans="3:4" ht="13">
      <c r="C855" s="153"/>
      <c r="D855" s="153"/>
    </row>
    <row r="856" spans="3:4" ht="13">
      <c r="C856" s="153"/>
      <c r="D856" s="153"/>
    </row>
    <row r="857" spans="3:4" ht="13">
      <c r="C857" s="153"/>
      <c r="D857" s="153"/>
    </row>
    <row r="858" spans="3:4" ht="13">
      <c r="C858" s="153"/>
      <c r="D858" s="153"/>
    </row>
    <row r="859" spans="3:4" ht="13">
      <c r="C859" s="153"/>
      <c r="D859" s="153"/>
    </row>
    <row r="860" spans="3:4" ht="13">
      <c r="C860" s="153"/>
      <c r="D860" s="153"/>
    </row>
    <row r="861" spans="3:4" ht="13">
      <c r="C861" s="153"/>
      <c r="D861" s="153"/>
    </row>
    <row r="862" spans="3:4" ht="13">
      <c r="C862" s="153"/>
      <c r="D862" s="153"/>
    </row>
    <row r="863" spans="3:4" ht="13">
      <c r="C863" s="153"/>
      <c r="D863" s="153"/>
    </row>
    <row r="864" spans="3:4" ht="13">
      <c r="C864" s="153"/>
      <c r="D864" s="153"/>
    </row>
    <row r="865" spans="3:4" ht="13">
      <c r="C865" s="153"/>
      <c r="D865" s="153"/>
    </row>
    <row r="866" spans="3:4" ht="13">
      <c r="C866" s="153"/>
      <c r="D866" s="153"/>
    </row>
    <row r="867" spans="3:4" ht="13">
      <c r="C867" s="153"/>
      <c r="D867" s="153"/>
    </row>
    <row r="868" spans="3:4" ht="13">
      <c r="C868" s="153"/>
      <c r="D868" s="153"/>
    </row>
    <row r="869" spans="3:4" ht="13">
      <c r="C869" s="153"/>
      <c r="D869" s="153"/>
    </row>
    <row r="870" spans="3:4" ht="13">
      <c r="C870" s="153"/>
      <c r="D870" s="153"/>
    </row>
    <row r="871" spans="3:4" ht="13">
      <c r="C871" s="153"/>
      <c r="D871" s="153"/>
    </row>
    <row r="872" spans="3:4" ht="13">
      <c r="C872" s="153"/>
      <c r="D872" s="153"/>
    </row>
    <row r="873" spans="3:4" ht="13">
      <c r="C873" s="153"/>
      <c r="D873" s="153"/>
    </row>
    <row r="874" spans="3:4" ht="13">
      <c r="C874" s="153"/>
      <c r="D874" s="153"/>
    </row>
    <row r="875" spans="3:4" ht="13">
      <c r="C875" s="153"/>
      <c r="D875" s="153"/>
    </row>
    <row r="876" spans="3:4" ht="13">
      <c r="C876" s="153"/>
      <c r="D876" s="153"/>
    </row>
    <row r="877" spans="3:4" ht="13">
      <c r="C877" s="153"/>
      <c r="D877" s="153"/>
    </row>
    <row r="878" spans="3:4" ht="13">
      <c r="C878" s="153"/>
      <c r="D878" s="153"/>
    </row>
    <row r="879" spans="3:4" ht="13">
      <c r="C879" s="153"/>
      <c r="D879" s="153"/>
    </row>
    <row r="880" spans="3:4" ht="13">
      <c r="C880" s="153"/>
      <c r="D880" s="153"/>
    </row>
    <row r="881" spans="3:4" ht="13">
      <c r="C881" s="153"/>
      <c r="D881" s="153"/>
    </row>
    <row r="882" spans="3:4" ht="13">
      <c r="C882" s="153"/>
      <c r="D882" s="153"/>
    </row>
    <row r="883" spans="3:4" ht="13">
      <c r="C883" s="153"/>
      <c r="D883" s="153"/>
    </row>
    <row r="884" spans="3:4" ht="13">
      <c r="C884" s="153"/>
      <c r="D884" s="153"/>
    </row>
    <row r="885" spans="3:4" ht="13">
      <c r="C885" s="153"/>
      <c r="D885" s="153"/>
    </row>
    <row r="886" spans="3:4" ht="13">
      <c r="C886" s="153"/>
      <c r="D886" s="153"/>
    </row>
    <row r="887" spans="3:4" ht="13">
      <c r="C887" s="153"/>
      <c r="D887" s="153"/>
    </row>
    <row r="888" spans="3:4" ht="13">
      <c r="C888" s="153"/>
      <c r="D888" s="153"/>
    </row>
    <row r="889" spans="3:4" ht="13">
      <c r="C889" s="153"/>
      <c r="D889" s="153"/>
    </row>
    <row r="890" spans="3:4" ht="13">
      <c r="C890" s="153"/>
      <c r="D890" s="153"/>
    </row>
    <row r="891" spans="3:4" ht="13">
      <c r="C891" s="153"/>
      <c r="D891" s="153"/>
    </row>
    <row r="892" spans="3:4" ht="13">
      <c r="C892" s="153"/>
      <c r="D892" s="153"/>
    </row>
    <row r="893" spans="3:4" ht="13">
      <c r="C893" s="153"/>
      <c r="D893" s="153"/>
    </row>
    <row r="894" spans="3:4" ht="13">
      <c r="C894" s="153"/>
      <c r="D894" s="153"/>
    </row>
    <row r="895" spans="3:4" ht="13">
      <c r="C895" s="153"/>
      <c r="D895" s="153"/>
    </row>
    <row r="896" spans="3:4" ht="13">
      <c r="C896" s="153"/>
      <c r="D896" s="153"/>
    </row>
    <row r="897" spans="3:4" ht="13">
      <c r="C897" s="153"/>
      <c r="D897" s="153"/>
    </row>
    <row r="898" spans="3:4" ht="13">
      <c r="C898" s="153"/>
      <c r="D898" s="153"/>
    </row>
    <row r="899" spans="3:4" ht="13">
      <c r="C899" s="153"/>
      <c r="D899" s="153"/>
    </row>
    <row r="900" spans="3:4" ht="13">
      <c r="C900" s="153"/>
      <c r="D900" s="153"/>
    </row>
    <row r="901" spans="3:4" ht="13">
      <c r="C901" s="153"/>
      <c r="D901" s="153"/>
    </row>
    <row r="902" spans="3:4" ht="13">
      <c r="C902" s="153"/>
      <c r="D902" s="153"/>
    </row>
    <row r="903" spans="3:4" ht="13">
      <c r="C903" s="153"/>
      <c r="D903" s="153"/>
    </row>
    <row r="904" spans="3:4" ht="13">
      <c r="C904" s="153"/>
      <c r="D904" s="153"/>
    </row>
    <row r="905" spans="3:4" ht="13">
      <c r="C905" s="153"/>
      <c r="D905" s="153"/>
    </row>
    <row r="906" spans="3:4" ht="13">
      <c r="C906" s="153"/>
      <c r="D906" s="153"/>
    </row>
    <row r="907" spans="3:4" ht="13">
      <c r="C907" s="153"/>
      <c r="D907" s="153"/>
    </row>
    <row r="908" spans="3:4" ht="13">
      <c r="C908" s="153"/>
      <c r="D908" s="153"/>
    </row>
    <row r="909" spans="3:4" ht="13">
      <c r="C909" s="153"/>
      <c r="D909" s="153"/>
    </row>
    <row r="910" spans="3:4" ht="13">
      <c r="C910" s="153"/>
      <c r="D910" s="153"/>
    </row>
    <row r="911" spans="3:4" ht="13">
      <c r="C911" s="153"/>
      <c r="D911" s="153"/>
    </row>
    <row r="912" spans="3:4" ht="13">
      <c r="C912" s="153"/>
      <c r="D912" s="153"/>
    </row>
    <row r="913" spans="3:4" ht="13">
      <c r="C913" s="153"/>
      <c r="D913" s="153"/>
    </row>
    <row r="914" spans="3:4" ht="13">
      <c r="C914" s="153"/>
      <c r="D914" s="153"/>
    </row>
    <row r="915" spans="3:4" ht="13">
      <c r="C915" s="153"/>
      <c r="D915" s="153"/>
    </row>
    <row r="916" spans="3:4" ht="13">
      <c r="C916" s="153"/>
      <c r="D916" s="153"/>
    </row>
    <row r="917" spans="3:4" ht="13">
      <c r="C917" s="153"/>
      <c r="D917" s="153"/>
    </row>
    <row r="918" spans="3:4" ht="13">
      <c r="C918" s="153"/>
      <c r="D918" s="153"/>
    </row>
    <row r="919" spans="3:4" ht="13">
      <c r="C919" s="153"/>
      <c r="D919" s="153"/>
    </row>
    <row r="920" spans="3:4" ht="13">
      <c r="C920" s="153"/>
      <c r="D920" s="153"/>
    </row>
    <row r="921" spans="3:4" ht="13">
      <c r="C921" s="153"/>
      <c r="D921" s="153"/>
    </row>
    <row r="922" spans="3:4" ht="13">
      <c r="C922" s="153"/>
      <c r="D922" s="153"/>
    </row>
    <row r="923" spans="3:4" ht="13">
      <c r="C923" s="153"/>
      <c r="D923" s="153"/>
    </row>
    <row r="924" spans="3:4" ht="13">
      <c r="C924" s="153"/>
      <c r="D924" s="153"/>
    </row>
    <row r="925" spans="3:4" ht="13">
      <c r="C925" s="153"/>
      <c r="D925" s="153"/>
    </row>
    <row r="926" spans="3:4" ht="13">
      <c r="C926" s="153"/>
      <c r="D926" s="153"/>
    </row>
    <row r="927" spans="3:4" ht="13">
      <c r="C927" s="153"/>
      <c r="D927" s="153"/>
    </row>
    <row r="928" spans="3:4" ht="13">
      <c r="C928" s="153"/>
      <c r="D928" s="153"/>
    </row>
    <row r="929" spans="3:4" ht="13">
      <c r="C929" s="153"/>
      <c r="D929" s="153"/>
    </row>
    <row r="930" spans="3:4" ht="13">
      <c r="C930" s="153"/>
      <c r="D930" s="153"/>
    </row>
    <row r="931" spans="3:4" ht="13">
      <c r="C931" s="153"/>
      <c r="D931" s="153"/>
    </row>
    <row r="932" spans="3:4" ht="13">
      <c r="C932" s="153"/>
      <c r="D932" s="153"/>
    </row>
    <row r="933" spans="3:4" ht="13">
      <c r="C933" s="153"/>
      <c r="D933" s="153"/>
    </row>
    <row r="934" spans="3:4" ht="13">
      <c r="C934" s="153"/>
      <c r="D934" s="153"/>
    </row>
    <row r="935" spans="3:4" ht="13">
      <c r="C935" s="153"/>
      <c r="D935" s="153"/>
    </row>
    <row r="936" spans="3:4" ht="13">
      <c r="C936" s="153"/>
      <c r="D936" s="153"/>
    </row>
    <row r="937" spans="3:4" ht="13">
      <c r="C937" s="153"/>
      <c r="D937" s="153"/>
    </row>
    <row r="938" spans="3:4" ht="13">
      <c r="C938" s="153"/>
      <c r="D938" s="153"/>
    </row>
    <row r="939" spans="3:4" ht="13">
      <c r="C939" s="153"/>
      <c r="D939" s="153"/>
    </row>
    <row r="940" spans="3:4" ht="13">
      <c r="C940" s="153"/>
      <c r="D940" s="153"/>
    </row>
    <row r="941" spans="3:4" ht="13">
      <c r="C941" s="153"/>
      <c r="D941" s="153"/>
    </row>
    <row r="942" spans="3:4" ht="13">
      <c r="C942" s="153"/>
      <c r="D942" s="153"/>
    </row>
    <row r="943" spans="3:4" ht="13">
      <c r="C943" s="153"/>
      <c r="D943" s="153"/>
    </row>
    <row r="944" spans="3:4" ht="13">
      <c r="C944" s="153"/>
      <c r="D944" s="153"/>
    </row>
    <row r="945" spans="3:4" ht="13">
      <c r="C945" s="153"/>
      <c r="D945" s="153"/>
    </row>
    <row r="946" spans="3:4" ht="13">
      <c r="C946" s="153"/>
      <c r="D946" s="153"/>
    </row>
    <row r="947" spans="3:4" ht="13">
      <c r="C947" s="153"/>
      <c r="D947" s="153"/>
    </row>
    <row r="948" spans="3:4" ht="13">
      <c r="C948" s="153"/>
      <c r="D948" s="153"/>
    </row>
    <row r="949" spans="3:4" ht="13">
      <c r="C949" s="153"/>
      <c r="D949" s="153"/>
    </row>
    <row r="950" spans="3:4" ht="13">
      <c r="C950" s="153"/>
      <c r="D950" s="153"/>
    </row>
    <row r="951" spans="3:4" ht="13">
      <c r="C951" s="153"/>
      <c r="D951" s="153"/>
    </row>
    <row r="952" spans="3:4" ht="13">
      <c r="C952" s="153"/>
      <c r="D952" s="153"/>
    </row>
    <row r="953" spans="3:4" ht="13">
      <c r="C953" s="153"/>
      <c r="D953" s="153"/>
    </row>
    <row r="954" spans="3:4" ht="13">
      <c r="C954" s="153"/>
      <c r="D954" s="153"/>
    </row>
    <row r="955" spans="3:4" ht="13">
      <c r="C955" s="153"/>
      <c r="D955" s="153"/>
    </row>
    <row r="956" spans="3:4" ht="13">
      <c r="C956" s="153"/>
      <c r="D956" s="153"/>
    </row>
    <row r="957" spans="3:4" ht="13">
      <c r="C957" s="153"/>
      <c r="D957" s="153"/>
    </row>
    <row r="958" spans="3:4" ht="13">
      <c r="C958" s="153"/>
      <c r="D958" s="153"/>
    </row>
    <row r="959" spans="3:4" ht="13">
      <c r="C959" s="153"/>
      <c r="D959" s="153"/>
    </row>
    <row r="960" spans="3:4" ht="13">
      <c r="C960" s="153"/>
      <c r="D960" s="153"/>
    </row>
    <row r="961" spans="3:4" ht="13">
      <c r="C961" s="153"/>
      <c r="D961" s="153"/>
    </row>
    <row r="962" spans="3:4" ht="13">
      <c r="C962" s="153"/>
      <c r="D962" s="153"/>
    </row>
    <row r="963" spans="3:4" ht="13">
      <c r="C963" s="153"/>
      <c r="D963" s="153"/>
    </row>
    <row r="964" spans="3:4" ht="13">
      <c r="C964" s="153"/>
      <c r="D964" s="153"/>
    </row>
    <row r="965" spans="3:4" ht="13">
      <c r="C965" s="153"/>
      <c r="D965" s="153"/>
    </row>
    <row r="966" spans="3:4" ht="13">
      <c r="C966" s="153"/>
      <c r="D966" s="153"/>
    </row>
    <row r="967" spans="3:4" ht="13">
      <c r="C967" s="153"/>
      <c r="D967" s="153"/>
    </row>
    <row r="968" spans="3:4" ht="13">
      <c r="C968" s="153"/>
      <c r="D968" s="153"/>
    </row>
    <row r="969" spans="3:4" ht="13">
      <c r="C969" s="153"/>
      <c r="D969" s="153"/>
    </row>
    <row r="970" spans="3:4" ht="13">
      <c r="C970" s="153"/>
      <c r="D970" s="153"/>
    </row>
    <row r="971" spans="3:4" ht="13">
      <c r="C971" s="153"/>
      <c r="D971" s="153"/>
    </row>
    <row r="972" spans="3:4" ht="13">
      <c r="C972" s="153"/>
      <c r="D972" s="153"/>
    </row>
    <row r="973" spans="3:4" ht="13">
      <c r="C973" s="153"/>
      <c r="D973" s="153"/>
    </row>
    <row r="974" spans="3:4" ht="13">
      <c r="C974" s="153"/>
      <c r="D974" s="153"/>
    </row>
    <row r="975" spans="3:4" ht="13">
      <c r="C975" s="153"/>
      <c r="D975" s="153"/>
    </row>
    <row r="976" spans="3:4" ht="13">
      <c r="C976" s="153"/>
      <c r="D976" s="153"/>
    </row>
    <row r="977" spans="3:4" ht="13">
      <c r="C977" s="153"/>
      <c r="D977" s="153"/>
    </row>
    <row r="978" spans="3:4" ht="13">
      <c r="C978" s="153"/>
      <c r="D978" s="153"/>
    </row>
    <row r="979" spans="3:4" ht="13">
      <c r="C979" s="153"/>
      <c r="D979" s="153"/>
    </row>
    <row r="980" spans="3:4" ht="13">
      <c r="C980" s="153"/>
      <c r="D980" s="153"/>
    </row>
    <row r="981" spans="3:4" ht="13">
      <c r="C981" s="153"/>
      <c r="D981" s="153"/>
    </row>
    <row r="982" spans="3:4" ht="13">
      <c r="C982" s="153"/>
      <c r="D982" s="153"/>
    </row>
    <row r="983" spans="3:4" ht="13">
      <c r="C983" s="153"/>
      <c r="D983" s="153"/>
    </row>
    <row r="984" spans="3:4" ht="13">
      <c r="C984" s="153"/>
      <c r="D984" s="153"/>
    </row>
    <row r="985" spans="3:4" ht="13">
      <c r="C985" s="153"/>
      <c r="D985" s="153"/>
    </row>
    <row r="986" spans="3:4" ht="13">
      <c r="C986" s="153"/>
      <c r="D986" s="153"/>
    </row>
    <row r="987" spans="3:4" ht="13">
      <c r="C987" s="153"/>
      <c r="D987" s="153"/>
    </row>
    <row r="988" spans="3:4" ht="13">
      <c r="C988" s="153"/>
      <c r="D988" s="153"/>
    </row>
    <row r="989" spans="3:4" ht="13">
      <c r="C989" s="153"/>
      <c r="D989" s="153"/>
    </row>
    <row r="990" spans="3:4" ht="13">
      <c r="C990" s="153"/>
      <c r="D990" s="153"/>
    </row>
    <row r="991" spans="3:4" ht="13">
      <c r="C991" s="153"/>
      <c r="D991" s="153"/>
    </row>
    <row r="992" spans="3:4" ht="13">
      <c r="C992" s="153"/>
      <c r="D992" s="153"/>
    </row>
    <row r="993" spans="3:4" ht="13">
      <c r="C993" s="153"/>
      <c r="D993" s="153"/>
    </row>
    <row r="994" spans="3:4" ht="13">
      <c r="C994" s="153"/>
      <c r="D994" s="153"/>
    </row>
    <row r="995" spans="3:4" ht="13">
      <c r="C995" s="153"/>
      <c r="D995" s="153"/>
    </row>
    <row r="996" spans="3:4" ht="13">
      <c r="C996" s="153"/>
      <c r="D996" s="153"/>
    </row>
    <row r="997" spans="3:4" ht="13">
      <c r="C997" s="153"/>
      <c r="D997" s="153"/>
    </row>
    <row r="998" spans="3:4" ht="13">
      <c r="C998" s="153"/>
      <c r="D998" s="153"/>
    </row>
    <row r="999" spans="3:4" ht="13">
      <c r="C999" s="153"/>
      <c r="D999" s="153"/>
    </row>
    <row r="1000" spans="3:4" ht="13">
      <c r="C1000" s="153"/>
      <c r="D1000" s="153"/>
    </row>
    <row r="1001" spans="3:4" ht="13">
      <c r="C1001" s="153"/>
      <c r="D1001" s="153"/>
    </row>
    <row r="1002" spans="3:4" ht="13">
      <c r="C1002" s="153"/>
      <c r="D1002" s="153"/>
    </row>
    <row r="1003" spans="3:4" ht="13">
      <c r="C1003" s="153"/>
      <c r="D1003" s="153"/>
    </row>
    <row r="1004" spans="3:4" ht="13">
      <c r="C1004" s="153"/>
      <c r="D1004" s="153"/>
    </row>
    <row r="1005" spans="3:4" ht="13">
      <c r="C1005" s="153"/>
      <c r="D1005" s="15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3:I89"/>
  <sheetViews>
    <sheetView workbookViewId="0"/>
  </sheetViews>
  <sheetFormatPr baseColWidth="10" defaultColWidth="14.5" defaultRowHeight="15.75" customHeight="1"/>
  <cols>
    <col min="1" max="1" width="4.83203125" customWidth="1"/>
  </cols>
  <sheetData>
    <row r="3" spans="1:9" ht="15.75" customHeight="1">
      <c r="A3" s="3" t="s">
        <v>409</v>
      </c>
    </row>
    <row r="4" spans="1:9" ht="15.75" customHeight="1">
      <c r="A4" s="3" t="s">
        <v>15</v>
      </c>
      <c r="B4" s="3" t="s">
        <v>410</v>
      </c>
    </row>
    <row r="5" spans="1:9" ht="15.75" customHeight="1">
      <c r="A5" s="3" t="s">
        <v>15</v>
      </c>
      <c r="B5" s="3" t="s">
        <v>411</v>
      </c>
      <c r="E5" s="4"/>
    </row>
    <row r="6" spans="1:9" ht="15.75" customHeight="1">
      <c r="A6" s="3" t="s">
        <v>15</v>
      </c>
      <c r="B6" s="3" t="s">
        <v>412</v>
      </c>
    </row>
    <row r="7" spans="1:9" ht="15.75" customHeight="1">
      <c r="A7" s="3" t="s">
        <v>15</v>
      </c>
      <c r="B7" s="3" t="s">
        <v>413</v>
      </c>
    </row>
    <row r="8" spans="1:9" ht="15.75" customHeight="1">
      <c r="A8" s="3" t="s">
        <v>15</v>
      </c>
      <c r="B8" s="3" t="s">
        <v>414</v>
      </c>
      <c r="D8" s="3">
        <v>1</v>
      </c>
      <c r="E8" s="4">
        <v>44599</v>
      </c>
      <c r="F8" s="3">
        <v>300</v>
      </c>
      <c r="G8" s="10">
        <f t="shared" ref="G8:G89" si="0">WEEKDAY(E8,2)</f>
        <v>1</v>
      </c>
      <c r="H8" s="10">
        <f t="shared" ref="H8:H89" si="1">IF(OR(G8=6,G8=7),0,1)</f>
        <v>1</v>
      </c>
      <c r="I8" s="10">
        <f>F8</f>
        <v>300</v>
      </c>
    </row>
    <row r="9" spans="1:9" ht="15.75" customHeight="1">
      <c r="A9" s="3" t="s">
        <v>15</v>
      </c>
      <c r="B9" s="3" t="s">
        <v>415</v>
      </c>
      <c r="D9" s="10">
        <f t="shared" ref="D9:E9" si="2">D8+1</f>
        <v>2</v>
      </c>
      <c r="E9" s="151">
        <f t="shared" si="2"/>
        <v>44600</v>
      </c>
      <c r="F9" s="3">
        <v>300</v>
      </c>
      <c r="G9" s="10">
        <f t="shared" si="0"/>
        <v>2</v>
      </c>
      <c r="H9" s="10">
        <f t="shared" si="1"/>
        <v>1</v>
      </c>
      <c r="I9" s="10">
        <f t="shared" ref="I9:I89" si="3">I8+F9</f>
        <v>600</v>
      </c>
    </row>
    <row r="10" spans="1:9" ht="15.75" customHeight="1">
      <c r="A10" s="3" t="s">
        <v>15</v>
      </c>
      <c r="B10" s="3" t="s">
        <v>416</v>
      </c>
      <c r="D10" s="10">
        <f t="shared" ref="D10:E10" si="4">D9+1</f>
        <v>3</v>
      </c>
      <c r="E10" s="151">
        <f t="shared" si="4"/>
        <v>44601</v>
      </c>
      <c r="F10" s="3">
        <v>300</v>
      </c>
      <c r="G10" s="10">
        <f t="shared" si="0"/>
        <v>3</v>
      </c>
      <c r="H10" s="10">
        <f t="shared" si="1"/>
        <v>1</v>
      </c>
      <c r="I10" s="10">
        <f t="shared" si="3"/>
        <v>900</v>
      </c>
    </row>
    <row r="11" spans="1:9" ht="15.75" customHeight="1">
      <c r="A11" s="3" t="s">
        <v>15</v>
      </c>
      <c r="B11" s="3" t="s">
        <v>417</v>
      </c>
      <c r="D11" s="10">
        <f t="shared" ref="D11:E11" si="5">D10+1</f>
        <v>4</v>
      </c>
      <c r="E11" s="151">
        <f t="shared" si="5"/>
        <v>44602</v>
      </c>
      <c r="F11" s="3">
        <v>300</v>
      </c>
      <c r="G11" s="10">
        <f t="shared" si="0"/>
        <v>4</v>
      </c>
      <c r="H11" s="10">
        <f t="shared" si="1"/>
        <v>1</v>
      </c>
      <c r="I11" s="10">
        <f t="shared" si="3"/>
        <v>1200</v>
      </c>
    </row>
    <row r="12" spans="1:9" ht="15.75" customHeight="1">
      <c r="B12" s="3" t="s">
        <v>418</v>
      </c>
      <c r="D12" s="10">
        <f t="shared" ref="D12:E12" si="6">D11+1</f>
        <v>5</v>
      </c>
      <c r="E12" s="151">
        <f t="shared" si="6"/>
        <v>44603</v>
      </c>
      <c r="F12" s="3">
        <v>300</v>
      </c>
      <c r="G12" s="10">
        <f t="shared" si="0"/>
        <v>5</v>
      </c>
      <c r="H12" s="10">
        <f t="shared" si="1"/>
        <v>1</v>
      </c>
      <c r="I12" s="10">
        <f t="shared" si="3"/>
        <v>1500</v>
      </c>
    </row>
    <row r="13" spans="1:9" ht="15.75" customHeight="1">
      <c r="B13" s="3" t="s">
        <v>419</v>
      </c>
      <c r="D13" s="10">
        <f t="shared" ref="D13:E13" si="7">D12+1</f>
        <v>6</v>
      </c>
      <c r="E13" s="151">
        <f t="shared" si="7"/>
        <v>44604</v>
      </c>
      <c r="F13" s="3">
        <v>300</v>
      </c>
      <c r="G13" s="10">
        <f t="shared" si="0"/>
        <v>6</v>
      </c>
      <c r="H13" s="10">
        <f t="shared" si="1"/>
        <v>0</v>
      </c>
      <c r="I13" s="10">
        <f t="shared" si="3"/>
        <v>1800</v>
      </c>
    </row>
    <row r="14" spans="1:9" ht="15.75" customHeight="1">
      <c r="D14" s="10">
        <f t="shared" ref="D14:E14" si="8">D13+1</f>
        <v>7</v>
      </c>
      <c r="E14" s="151">
        <f t="shared" si="8"/>
        <v>44605</v>
      </c>
      <c r="F14" s="3">
        <v>300</v>
      </c>
      <c r="G14" s="10">
        <f t="shared" si="0"/>
        <v>7</v>
      </c>
      <c r="H14" s="10">
        <f t="shared" si="1"/>
        <v>0</v>
      </c>
      <c r="I14" s="10">
        <f t="shared" si="3"/>
        <v>2100</v>
      </c>
    </row>
    <row r="15" spans="1:9" ht="15.75" customHeight="1">
      <c r="D15" s="10">
        <f t="shared" ref="D15:E15" si="9">D14+1</f>
        <v>8</v>
      </c>
      <c r="E15" s="151">
        <f t="shared" si="9"/>
        <v>44606</v>
      </c>
      <c r="F15" s="3">
        <v>300</v>
      </c>
      <c r="G15" s="10">
        <f t="shared" si="0"/>
        <v>1</v>
      </c>
      <c r="H15" s="10">
        <f t="shared" si="1"/>
        <v>1</v>
      </c>
      <c r="I15" s="10">
        <f t="shared" si="3"/>
        <v>2400</v>
      </c>
    </row>
    <row r="16" spans="1:9" ht="15.75" customHeight="1">
      <c r="B16" s="3" t="s">
        <v>420</v>
      </c>
      <c r="D16" s="10">
        <f t="shared" ref="D16:E16" si="10">D15+1</f>
        <v>9</v>
      </c>
      <c r="E16" s="151">
        <f t="shared" si="10"/>
        <v>44607</v>
      </c>
      <c r="F16" s="3">
        <v>300</v>
      </c>
      <c r="G16" s="10">
        <f t="shared" si="0"/>
        <v>2</v>
      </c>
      <c r="H16" s="10">
        <f t="shared" si="1"/>
        <v>1</v>
      </c>
      <c r="I16" s="10">
        <f t="shared" si="3"/>
        <v>2700</v>
      </c>
    </row>
    <row r="17" spans="1:9" ht="15.75" customHeight="1">
      <c r="B17" s="3" t="s">
        <v>421</v>
      </c>
      <c r="D17" s="10">
        <f t="shared" ref="D17:E17" si="11">D16+1</f>
        <v>10</v>
      </c>
      <c r="E17" s="151">
        <f t="shared" si="11"/>
        <v>44608</v>
      </c>
      <c r="F17" s="3">
        <v>300</v>
      </c>
      <c r="G17" s="10">
        <f t="shared" si="0"/>
        <v>3</v>
      </c>
      <c r="H17" s="10">
        <f t="shared" si="1"/>
        <v>1</v>
      </c>
      <c r="I17" s="10">
        <f t="shared" si="3"/>
        <v>3000</v>
      </c>
    </row>
    <row r="18" spans="1:9" ht="15.75" customHeight="1">
      <c r="D18" s="10">
        <f t="shared" ref="D18:E18" si="12">D17+1</f>
        <v>11</v>
      </c>
      <c r="E18" s="151">
        <f t="shared" si="12"/>
        <v>44609</v>
      </c>
      <c r="F18" s="3">
        <v>300</v>
      </c>
      <c r="G18" s="10">
        <f t="shared" si="0"/>
        <v>4</v>
      </c>
      <c r="H18" s="10">
        <f t="shared" si="1"/>
        <v>1</v>
      </c>
      <c r="I18" s="10">
        <f t="shared" si="3"/>
        <v>3300</v>
      </c>
    </row>
    <row r="19" spans="1:9" ht="15.75" customHeight="1">
      <c r="D19" s="10">
        <f t="shared" ref="D19:E19" si="13">D18+1</f>
        <v>12</v>
      </c>
      <c r="E19" s="151">
        <f t="shared" si="13"/>
        <v>44610</v>
      </c>
      <c r="F19" s="3">
        <v>300</v>
      </c>
      <c r="G19" s="10">
        <f t="shared" si="0"/>
        <v>5</v>
      </c>
      <c r="H19" s="10">
        <f t="shared" si="1"/>
        <v>1</v>
      </c>
      <c r="I19" s="10">
        <f t="shared" si="3"/>
        <v>3600</v>
      </c>
    </row>
    <row r="20" spans="1:9" ht="15.75" customHeight="1">
      <c r="A20" s="3" t="s">
        <v>176</v>
      </c>
      <c r="B20" s="3">
        <v>100</v>
      </c>
      <c r="D20" s="10">
        <f t="shared" ref="D20:E20" si="14">D19+1</f>
        <v>13</v>
      </c>
      <c r="E20" s="151">
        <f t="shared" si="14"/>
        <v>44611</v>
      </c>
      <c r="F20" s="3">
        <v>300</v>
      </c>
      <c r="G20" s="10">
        <f t="shared" si="0"/>
        <v>6</v>
      </c>
      <c r="H20" s="10">
        <f t="shared" si="1"/>
        <v>0</v>
      </c>
      <c r="I20" s="10">
        <f t="shared" si="3"/>
        <v>3900</v>
      </c>
    </row>
    <row r="21" spans="1:9" ht="15.75" customHeight="1">
      <c r="A21" s="3" t="s">
        <v>177</v>
      </c>
      <c r="B21" s="3">
        <v>80</v>
      </c>
      <c r="D21" s="10">
        <f t="shared" ref="D21:E21" si="15">D20+1</f>
        <v>14</v>
      </c>
      <c r="E21" s="151">
        <f t="shared" si="15"/>
        <v>44612</v>
      </c>
      <c r="F21" s="3">
        <v>300</v>
      </c>
      <c r="G21" s="10">
        <f t="shared" si="0"/>
        <v>7</v>
      </c>
      <c r="H21" s="10">
        <f t="shared" si="1"/>
        <v>0</v>
      </c>
      <c r="I21" s="10">
        <f t="shared" si="3"/>
        <v>4200</v>
      </c>
    </row>
    <row r="22" spans="1:9" ht="15.75" customHeight="1">
      <c r="A22" s="3" t="s">
        <v>178</v>
      </c>
      <c r="B22" s="3">
        <v>85</v>
      </c>
      <c r="D22" s="10">
        <f t="shared" ref="D22:E22" si="16">D21+1</f>
        <v>15</v>
      </c>
      <c r="E22" s="151">
        <f t="shared" si="16"/>
        <v>44613</v>
      </c>
      <c r="F22" s="3">
        <v>300</v>
      </c>
      <c r="G22" s="10">
        <f t="shared" si="0"/>
        <v>1</v>
      </c>
      <c r="H22" s="10">
        <f t="shared" si="1"/>
        <v>1</v>
      </c>
      <c r="I22" s="10">
        <f t="shared" si="3"/>
        <v>4500</v>
      </c>
    </row>
    <row r="23" spans="1:9" ht="15.75" customHeight="1">
      <c r="D23" s="10">
        <f t="shared" ref="D23:E23" si="17">D22+1</f>
        <v>16</v>
      </c>
      <c r="E23" s="151">
        <f t="shared" si="17"/>
        <v>44614</v>
      </c>
      <c r="F23" s="3">
        <v>300</v>
      </c>
      <c r="G23" s="10">
        <f t="shared" si="0"/>
        <v>2</v>
      </c>
      <c r="H23" s="10">
        <f t="shared" si="1"/>
        <v>1</v>
      </c>
      <c r="I23" s="10">
        <f t="shared" si="3"/>
        <v>4800</v>
      </c>
    </row>
    <row r="24" spans="1:9" ht="15.75" customHeight="1">
      <c r="B24" s="3" t="s">
        <v>422</v>
      </c>
      <c r="C24" s="3">
        <v>90</v>
      </c>
      <c r="D24" s="10">
        <f t="shared" ref="D24:E24" si="18">D23+1</f>
        <v>17</v>
      </c>
      <c r="E24" s="151">
        <f t="shared" si="18"/>
        <v>44615</v>
      </c>
      <c r="F24" s="3">
        <v>300</v>
      </c>
      <c r="G24" s="10">
        <f t="shared" si="0"/>
        <v>3</v>
      </c>
      <c r="H24" s="10">
        <f t="shared" si="1"/>
        <v>1</v>
      </c>
      <c r="I24" s="10">
        <f t="shared" si="3"/>
        <v>5100</v>
      </c>
    </row>
    <row r="25" spans="1:9" ht="15.75" customHeight="1">
      <c r="B25" s="3" t="s">
        <v>423</v>
      </c>
      <c r="C25" s="10">
        <f>MAX(C24,MIN(B21:B22))</f>
        <v>90</v>
      </c>
      <c r="D25" s="10">
        <f t="shared" ref="D25:E25" si="19">D24+1</f>
        <v>18</v>
      </c>
      <c r="E25" s="151">
        <f t="shared" si="19"/>
        <v>44616</v>
      </c>
      <c r="F25" s="3">
        <v>300</v>
      </c>
      <c r="G25" s="10">
        <f t="shared" si="0"/>
        <v>4</v>
      </c>
      <c r="H25" s="10">
        <f t="shared" si="1"/>
        <v>1</v>
      </c>
      <c r="I25" s="10">
        <f t="shared" si="3"/>
        <v>5400</v>
      </c>
    </row>
    <row r="26" spans="1:9" ht="15.75" customHeight="1">
      <c r="D26" s="10">
        <f t="shared" ref="D26:E26" si="20">D25+1</f>
        <v>19</v>
      </c>
      <c r="E26" s="151">
        <f t="shared" si="20"/>
        <v>44617</v>
      </c>
      <c r="F26" s="3">
        <v>300</v>
      </c>
      <c r="G26" s="10">
        <f t="shared" si="0"/>
        <v>5</v>
      </c>
      <c r="H26" s="10">
        <f t="shared" si="1"/>
        <v>1</v>
      </c>
      <c r="I26" s="10">
        <f t="shared" si="3"/>
        <v>5700</v>
      </c>
    </row>
    <row r="27" spans="1:9" ht="15.75" customHeight="1">
      <c r="D27" s="10">
        <f t="shared" ref="D27:E27" si="21">D26+1</f>
        <v>20</v>
      </c>
      <c r="E27" s="151">
        <f t="shared" si="21"/>
        <v>44618</v>
      </c>
      <c r="F27" s="3">
        <v>300</v>
      </c>
      <c r="G27" s="10">
        <f t="shared" si="0"/>
        <v>6</v>
      </c>
      <c r="H27" s="10">
        <f t="shared" si="1"/>
        <v>0</v>
      </c>
      <c r="I27" s="10">
        <f t="shared" si="3"/>
        <v>6000</v>
      </c>
    </row>
    <row r="28" spans="1:9" ht="15.75" customHeight="1">
      <c r="D28" s="10">
        <f t="shared" ref="D28:E28" si="22">D27+1</f>
        <v>21</v>
      </c>
      <c r="E28" s="151">
        <f t="shared" si="22"/>
        <v>44619</v>
      </c>
      <c r="F28" s="3">
        <v>300</v>
      </c>
      <c r="G28" s="10">
        <f t="shared" si="0"/>
        <v>7</v>
      </c>
      <c r="H28" s="10">
        <f t="shared" si="1"/>
        <v>0</v>
      </c>
      <c r="I28" s="10">
        <f t="shared" si="3"/>
        <v>6300</v>
      </c>
    </row>
    <row r="29" spans="1:9" ht="15.75" customHeight="1">
      <c r="D29" s="10">
        <f t="shared" ref="D29:E29" si="23">D28+1</f>
        <v>22</v>
      </c>
      <c r="E29" s="151">
        <f t="shared" si="23"/>
        <v>44620</v>
      </c>
      <c r="F29" s="3">
        <v>300</v>
      </c>
      <c r="G29" s="10">
        <f t="shared" si="0"/>
        <v>1</v>
      </c>
      <c r="H29" s="10">
        <f t="shared" si="1"/>
        <v>1</v>
      </c>
      <c r="I29" s="10">
        <f t="shared" si="3"/>
        <v>6600</v>
      </c>
    </row>
    <row r="30" spans="1:9" ht="15.75" customHeight="1">
      <c r="D30" s="10">
        <f t="shared" ref="D30:E30" si="24">D29+1</f>
        <v>23</v>
      </c>
      <c r="E30" s="151">
        <f t="shared" si="24"/>
        <v>44621</v>
      </c>
      <c r="F30" s="3">
        <v>300</v>
      </c>
      <c r="G30" s="10">
        <f t="shared" si="0"/>
        <v>2</v>
      </c>
      <c r="H30" s="10">
        <f t="shared" si="1"/>
        <v>1</v>
      </c>
      <c r="I30" s="10">
        <f t="shared" si="3"/>
        <v>6900</v>
      </c>
    </row>
    <row r="31" spans="1:9" ht="15.75" customHeight="1">
      <c r="D31" s="10">
        <f t="shared" ref="D31:E31" si="25">D30+1</f>
        <v>24</v>
      </c>
      <c r="E31" s="151">
        <f t="shared" si="25"/>
        <v>44622</v>
      </c>
      <c r="F31" s="3">
        <v>300</v>
      </c>
      <c r="G31" s="10">
        <f t="shared" si="0"/>
        <v>3</v>
      </c>
      <c r="H31" s="10">
        <f t="shared" si="1"/>
        <v>1</v>
      </c>
      <c r="I31" s="10">
        <f t="shared" si="3"/>
        <v>7200</v>
      </c>
    </row>
    <row r="32" spans="1:9" ht="15.75" customHeight="1">
      <c r="D32" s="10">
        <f t="shared" ref="D32:E32" si="26">D31+1</f>
        <v>25</v>
      </c>
      <c r="E32" s="151">
        <f t="shared" si="26"/>
        <v>44623</v>
      </c>
      <c r="F32" s="3">
        <v>300</v>
      </c>
      <c r="G32" s="10">
        <f t="shared" si="0"/>
        <v>4</v>
      </c>
      <c r="H32" s="10">
        <f t="shared" si="1"/>
        <v>1</v>
      </c>
      <c r="I32" s="10">
        <f t="shared" si="3"/>
        <v>7500</v>
      </c>
    </row>
    <row r="33" spans="4:9" ht="15.75" customHeight="1">
      <c r="D33" s="10">
        <f t="shared" ref="D33:E33" si="27">D32+1</f>
        <v>26</v>
      </c>
      <c r="E33" s="151">
        <f t="shared" si="27"/>
        <v>44624</v>
      </c>
      <c r="F33" s="3">
        <v>300</v>
      </c>
      <c r="G33" s="10">
        <f t="shared" si="0"/>
        <v>5</v>
      </c>
      <c r="H33" s="10">
        <f t="shared" si="1"/>
        <v>1</v>
      </c>
      <c r="I33" s="10">
        <f t="shared" si="3"/>
        <v>7800</v>
      </c>
    </row>
    <row r="34" spans="4:9" ht="15.75" customHeight="1">
      <c r="D34" s="10">
        <f t="shared" ref="D34:E34" si="28">D33+1</f>
        <v>27</v>
      </c>
      <c r="E34" s="151">
        <f t="shared" si="28"/>
        <v>44625</v>
      </c>
      <c r="F34" s="3">
        <v>300</v>
      </c>
      <c r="G34" s="10">
        <f t="shared" si="0"/>
        <v>6</v>
      </c>
      <c r="H34" s="10">
        <f t="shared" si="1"/>
        <v>0</v>
      </c>
      <c r="I34" s="10">
        <f t="shared" si="3"/>
        <v>8100</v>
      </c>
    </row>
    <row r="35" spans="4:9" ht="15.75" customHeight="1">
      <c r="D35" s="10">
        <f t="shared" ref="D35:E35" si="29">D34+1</f>
        <v>28</v>
      </c>
      <c r="E35" s="151">
        <f t="shared" si="29"/>
        <v>44626</v>
      </c>
      <c r="F35" s="3">
        <v>300</v>
      </c>
      <c r="G35" s="10">
        <f t="shared" si="0"/>
        <v>7</v>
      </c>
      <c r="H35" s="10">
        <f t="shared" si="1"/>
        <v>0</v>
      </c>
      <c r="I35" s="10">
        <f t="shared" si="3"/>
        <v>8400</v>
      </c>
    </row>
    <row r="36" spans="4:9" ht="15.75" customHeight="1">
      <c r="D36" s="10">
        <f t="shared" ref="D36:E36" si="30">D35+1</f>
        <v>29</v>
      </c>
      <c r="E36" s="151">
        <f t="shared" si="30"/>
        <v>44627</v>
      </c>
      <c r="F36" s="3">
        <v>300</v>
      </c>
      <c r="G36" s="10">
        <f t="shared" si="0"/>
        <v>1</v>
      </c>
      <c r="H36" s="10">
        <f t="shared" si="1"/>
        <v>1</v>
      </c>
      <c r="I36" s="10">
        <f t="shared" si="3"/>
        <v>8700</v>
      </c>
    </row>
    <row r="37" spans="4:9" ht="15.75" customHeight="1">
      <c r="D37" s="10">
        <f t="shared" ref="D37:E37" si="31">D36+1</f>
        <v>30</v>
      </c>
      <c r="E37" s="151">
        <f t="shared" si="31"/>
        <v>44628</v>
      </c>
      <c r="F37" s="3">
        <v>300</v>
      </c>
      <c r="G37" s="10">
        <f t="shared" si="0"/>
        <v>2</v>
      </c>
      <c r="H37" s="10">
        <f t="shared" si="1"/>
        <v>1</v>
      </c>
      <c r="I37" s="10">
        <f t="shared" si="3"/>
        <v>9000</v>
      </c>
    </row>
    <row r="38" spans="4:9" ht="15.75" customHeight="1">
      <c r="D38" s="10">
        <f t="shared" ref="D38:E38" si="32">D37+1</f>
        <v>31</v>
      </c>
      <c r="E38" s="151">
        <f t="shared" si="32"/>
        <v>44629</v>
      </c>
      <c r="F38" s="3">
        <v>300</v>
      </c>
      <c r="G38" s="10">
        <f t="shared" si="0"/>
        <v>3</v>
      </c>
      <c r="H38" s="10">
        <f t="shared" si="1"/>
        <v>1</v>
      </c>
      <c r="I38" s="10">
        <f t="shared" si="3"/>
        <v>9300</v>
      </c>
    </row>
    <row r="39" spans="4:9" ht="15.75" customHeight="1">
      <c r="D39" s="10">
        <f t="shared" ref="D39:E39" si="33">D38+1</f>
        <v>32</v>
      </c>
      <c r="E39" s="151">
        <f t="shared" si="33"/>
        <v>44630</v>
      </c>
      <c r="F39" s="3">
        <v>300</v>
      </c>
      <c r="G39" s="10">
        <f t="shared" si="0"/>
        <v>4</v>
      </c>
      <c r="H39" s="10">
        <f t="shared" si="1"/>
        <v>1</v>
      </c>
      <c r="I39" s="10">
        <f t="shared" si="3"/>
        <v>9600</v>
      </c>
    </row>
    <row r="40" spans="4:9" ht="15.75" customHeight="1">
      <c r="D40" s="10">
        <f t="shared" ref="D40:E40" si="34">D39+1</f>
        <v>33</v>
      </c>
      <c r="E40" s="151">
        <f t="shared" si="34"/>
        <v>44631</v>
      </c>
      <c r="F40" s="3">
        <v>300</v>
      </c>
      <c r="G40" s="10">
        <f t="shared" si="0"/>
        <v>5</v>
      </c>
      <c r="H40" s="10">
        <f t="shared" si="1"/>
        <v>1</v>
      </c>
      <c r="I40" s="10">
        <f t="shared" si="3"/>
        <v>9900</v>
      </c>
    </row>
    <row r="41" spans="4:9" ht="15.75" customHeight="1">
      <c r="D41" s="10">
        <f t="shared" ref="D41:E41" si="35">D40+1</f>
        <v>34</v>
      </c>
      <c r="E41" s="151">
        <f t="shared" si="35"/>
        <v>44632</v>
      </c>
      <c r="F41" s="3">
        <v>300</v>
      </c>
      <c r="G41" s="10">
        <f t="shared" si="0"/>
        <v>6</v>
      </c>
      <c r="H41" s="10">
        <f t="shared" si="1"/>
        <v>0</v>
      </c>
      <c r="I41" s="10">
        <f t="shared" si="3"/>
        <v>10200</v>
      </c>
    </row>
    <row r="42" spans="4:9" ht="15.75" customHeight="1">
      <c r="D42" s="10">
        <f t="shared" ref="D42:E42" si="36">D41+1</f>
        <v>35</v>
      </c>
      <c r="E42" s="151">
        <f t="shared" si="36"/>
        <v>44633</v>
      </c>
      <c r="F42" s="3">
        <v>300</v>
      </c>
      <c r="G42" s="10">
        <f t="shared" si="0"/>
        <v>7</v>
      </c>
      <c r="H42" s="10">
        <f t="shared" si="1"/>
        <v>0</v>
      </c>
      <c r="I42" s="10">
        <f t="shared" si="3"/>
        <v>10500</v>
      </c>
    </row>
    <row r="43" spans="4:9" ht="15.75" customHeight="1">
      <c r="D43" s="10">
        <f t="shared" ref="D43:E43" si="37">D42+1</f>
        <v>36</v>
      </c>
      <c r="E43" s="151">
        <f t="shared" si="37"/>
        <v>44634</v>
      </c>
      <c r="F43" s="3">
        <v>300</v>
      </c>
      <c r="G43" s="10">
        <f t="shared" si="0"/>
        <v>1</v>
      </c>
      <c r="H43" s="10">
        <f t="shared" si="1"/>
        <v>1</v>
      </c>
      <c r="I43" s="10">
        <f t="shared" si="3"/>
        <v>10800</v>
      </c>
    </row>
    <row r="44" spans="4:9" ht="15.75" customHeight="1">
      <c r="D44" s="10">
        <f t="shared" ref="D44:E44" si="38">D43+1</f>
        <v>37</v>
      </c>
      <c r="E44" s="151">
        <f t="shared" si="38"/>
        <v>44635</v>
      </c>
      <c r="F44" s="3">
        <v>300</v>
      </c>
      <c r="G44" s="10">
        <f t="shared" si="0"/>
        <v>2</v>
      </c>
      <c r="H44" s="10">
        <f t="shared" si="1"/>
        <v>1</v>
      </c>
      <c r="I44" s="10">
        <f t="shared" si="3"/>
        <v>11100</v>
      </c>
    </row>
    <row r="45" spans="4:9" ht="15.75" customHeight="1">
      <c r="D45" s="10">
        <f t="shared" ref="D45:E45" si="39">D44+1</f>
        <v>38</v>
      </c>
      <c r="E45" s="151">
        <f t="shared" si="39"/>
        <v>44636</v>
      </c>
      <c r="F45" s="3">
        <v>300</v>
      </c>
      <c r="G45" s="10">
        <f t="shared" si="0"/>
        <v>3</v>
      </c>
      <c r="H45" s="10">
        <f t="shared" si="1"/>
        <v>1</v>
      </c>
      <c r="I45" s="10">
        <f t="shared" si="3"/>
        <v>11400</v>
      </c>
    </row>
    <row r="46" spans="4:9" ht="15.75" customHeight="1">
      <c r="D46" s="10">
        <f t="shared" ref="D46:E46" si="40">D45+1</f>
        <v>39</v>
      </c>
      <c r="E46" s="151">
        <f t="shared" si="40"/>
        <v>44637</v>
      </c>
      <c r="F46" s="3">
        <v>300</v>
      </c>
      <c r="G46" s="10">
        <f t="shared" si="0"/>
        <v>4</v>
      </c>
      <c r="H46" s="10">
        <f t="shared" si="1"/>
        <v>1</v>
      </c>
      <c r="I46" s="10">
        <f t="shared" si="3"/>
        <v>11700</v>
      </c>
    </row>
    <row r="47" spans="4:9" ht="15.75" customHeight="1">
      <c r="D47" s="10">
        <f t="shared" ref="D47:E47" si="41">D46+1</f>
        <v>40</v>
      </c>
      <c r="E47" s="151">
        <f t="shared" si="41"/>
        <v>44638</v>
      </c>
      <c r="F47" s="3">
        <v>300</v>
      </c>
      <c r="G47" s="10">
        <f t="shared" si="0"/>
        <v>5</v>
      </c>
      <c r="H47" s="10">
        <f t="shared" si="1"/>
        <v>1</v>
      </c>
      <c r="I47" s="10">
        <f t="shared" si="3"/>
        <v>12000</v>
      </c>
    </row>
    <row r="48" spans="4:9" ht="15.75" customHeight="1">
      <c r="D48" s="10">
        <f t="shared" ref="D48:E48" si="42">D47+1</f>
        <v>41</v>
      </c>
      <c r="E48" s="151">
        <f t="shared" si="42"/>
        <v>44639</v>
      </c>
      <c r="F48" s="3">
        <v>300</v>
      </c>
      <c r="G48" s="10">
        <f t="shared" si="0"/>
        <v>6</v>
      </c>
      <c r="H48" s="10">
        <f t="shared" si="1"/>
        <v>0</v>
      </c>
      <c r="I48" s="10">
        <f t="shared" si="3"/>
        <v>12300</v>
      </c>
    </row>
    <row r="49" spans="4:9" ht="15.75" customHeight="1">
      <c r="D49" s="10">
        <f t="shared" ref="D49:E49" si="43">D48+1</f>
        <v>42</v>
      </c>
      <c r="E49" s="151">
        <f t="shared" si="43"/>
        <v>44640</v>
      </c>
      <c r="F49" s="3">
        <v>300</v>
      </c>
      <c r="G49" s="10">
        <f t="shared" si="0"/>
        <v>7</v>
      </c>
      <c r="H49" s="10">
        <f t="shared" si="1"/>
        <v>0</v>
      </c>
      <c r="I49" s="10">
        <f t="shared" si="3"/>
        <v>12600</v>
      </c>
    </row>
    <row r="50" spans="4:9" ht="15.75" customHeight="1">
      <c r="D50" s="10">
        <f t="shared" ref="D50:E50" si="44">D49+1</f>
        <v>43</v>
      </c>
      <c r="E50" s="151">
        <f t="shared" si="44"/>
        <v>44641</v>
      </c>
      <c r="F50" s="3">
        <v>300</v>
      </c>
      <c r="G50" s="10">
        <f t="shared" si="0"/>
        <v>1</v>
      </c>
      <c r="H50" s="10">
        <f t="shared" si="1"/>
        <v>1</v>
      </c>
      <c r="I50" s="10">
        <f t="shared" si="3"/>
        <v>12900</v>
      </c>
    </row>
    <row r="51" spans="4:9" ht="15.75" customHeight="1">
      <c r="D51" s="10">
        <f t="shared" ref="D51:E51" si="45">D50+1</f>
        <v>44</v>
      </c>
      <c r="E51" s="151">
        <f t="shared" si="45"/>
        <v>44642</v>
      </c>
      <c r="F51" s="3">
        <v>300</v>
      </c>
      <c r="G51" s="10">
        <f t="shared" si="0"/>
        <v>2</v>
      </c>
      <c r="H51" s="10">
        <f t="shared" si="1"/>
        <v>1</v>
      </c>
      <c r="I51" s="10">
        <f t="shared" si="3"/>
        <v>13200</v>
      </c>
    </row>
    <row r="52" spans="4:9" ht="15.75" customHeight="1">
      <c r="D52" s="10">
        <f t="shared" ref="D52:E52" si="46">D51+1</f>
        <v>45</v>
      </c>
      <c r="E52" s="151">
        <f t="shared" si="46"/>
        <v>44643</v>
      </c>
      <c r="F52" s="3">
        <v>300</v>
      </c>
      <c r="G52" s="10">
        <f t="shared" si="0"/>
        <v>3</v>
      </c>
      <c r="H52" s="10">
        <f t="shared" si="1"/>
        <v>1</v>
      </c>
      <c r="I52" s="10">
        <f t="shared" si="3"/>
        <v>13500</v>
      </c>
    </row>
    <row r="53" spans="4:9" ht="15.75" customHeight="1">
      <c r="D53" s="10">
        <f t="shared" ref="D53:E53" si="47">D52+1</f>
        <v>46</v>
      </c>
      <c r="E53" s="151">
        <f t="shared" si="47"/>
        <v>44644</v>
      </c>
      <c r="F53" s="3">
        <v>300</v>
      </c>
      <c r="G53" s="10">
        <f t="shared" si="0"/>
        <v>4</v>
      </c>
      <c r="H53" s="10">
        <f t="shared" si="1"/>
        <v>1</v>
      </c>
      <c r="I53" s="10">
        <f t="shared" si="3"/>
        <v>13800</v>
      </c>
    </row>
    <row r="54" spans="4:9" ht="15.75" customHeight="1">
      <c r="D54" s="10">
        <f t="shared" ref="D54:E54" si="48">D53+1</f>
        <v>47</v>
      </c>
      <c r="E54" s="151">
        <f t="shared" si="48"/>
        <v>44645</v>
      </c>
      <c r="F54" s="3">
        <v>300</v>
      </c>
      <c r="G54" s="10">
        <f t="shared" si="0"/>
        <v>5</v>
      </c>
      <c r="H54" s="10">
        <f t="shared" si="1"/>
        <v>1</v>
      </c>
      <c r="I54" s="10">
        <f t="shared" si="3"/>
        <v>14100</v>
      </c>
    </row>
    <row r="55" spans="4:9" ht="15.75" customHeight="1">
      <c r="D55" s="10">
        <f t="shared" ref="D55:E55" si="49">D54+1</f>
        <v>48</v>
      </c>
      <c r="E55" s="151">
        <f t="shared" si="49"/>
        <v>44646</v>
      </c>
      <c r="F55" s="3">
        <v>300</v>
      </c>
      <c r="G55" s="10">
        <f t="shared" si="0"/>
        <v>6</v>
      </c>
      <c r="H55" s="10">
        <f t="shared" si="1"/>
        <v>0</v>
      </c>
      <c r="I55" s="10">
        <f t="shared" si="3"/>
        <v>14400</v>
      </c>
    </row>
    <row r="56" spans="4:9" ht="15.75" customHeight="1">
      <c r="D56" s="10">
        <f t="shared" ref="D56:E56" si="50">D55+1</f>
        <v>49</v>
      </c>
      <c r="E56" s="151">
        <f t="shared" si="50"/>
        <v>44647</v>
      </c>
      <c r="F56" s="3">
        <v>300</v>
      </c>
      <c r="G56" s="10">
        <f t="shared" si="0"/>
        <v>7</v>
      </c>
      <c r="H56" s="10">
        <f t="shared" si="1"/>
        <v>0</v>
      </c>
      <c r="I56" s="10">
        <f t="shared" si="3"/>
        <v>14700</v>
      </c>
    </row>
    <row r="57" spans="4:9" ht="15.75" customHeight="1">
      <c r="D57" s="10">
        <f t="shared" ref="D57:E57" si="51">D56+1</f>
        <v>50</v>
      </c>
      <c r="E57" s="151">
        <f t="shared" si="51"/>
        <v>44648</v>
      </c>
      <c r="F57" s="3">
        <v>300</v>
      </c>
      <c r="G57" s="10">
        <f t="shared" si="0"/>
        <v>1</v>
      </c>
      <c r="H57" s="10">
        <f t="shared" si="1"/>
        <v>1</v>
      </c>
      <c r="I57" s="10">
        <f t="shared" si="3"/>
        <v>15000</v>
      </c>
    </row>
    <row r="58" spans="4:9" ht="15.75" customHeight="1">
      <c r="D58" s="10">
        <f t="shared" ref="D58:E58" si="52">D57+1</f>
        <v>51</v>
      </c>
      <c r="E58" s="151">
        <f t="shared" si="52"/>
        <v>44649</v>
      </c>
      <c r="F58" s="3">
        <v>300</v>
      </c>
      <c r="G58" s="10">
        <f t="shared" si="0"/>
        <v>2</v>
      </c>
      <c r="H58" s="10">
        <f t="shared" si="1"/>
        <v>1</v>
      </c>
      <c r="I58" s="10">
        <f t="shared" si="3"/>
        <v>15300</v>
      </c>
    </row>
    <row r="59" spans="4:9" ht="15.75" customHeight="1">
      <c r="D59" s="10">
        <f t="shared" ref="D59:E59" si="53">D58+1</f>
        <v>52</v>
      </c>
      <c r="E59" s="151">
        <f t="shared" si="53"/>
        <v>44650</v>
      </c>
      <c r="F59" s="3">
        <v>300</v>
      </c>
      <c r="G59" s="10">
        <f t="shared" si="0"/>
        <v>3</v>
      </c>
      <c r="H59" s="10">
        <f t="shared" si="1"/>
        <v>1</v>
      </c>
      <c r="I59" s="10">
        <f t="shared" si="3"/>
        <v>15600</v>
      </c>
    </row>
    <row r="60" spans="4:9" ht="15.75" customHeight="1">
      <c r="D60" s="10">
        <f t="shared" ref="D60:E60" si="54">D59+1</f>
        <v>53</v>
      </c>
      <c r="E60" s="151">
        <f t="shared" si="54"/>
        <v>44651</v>
      </c>
      <c r="F60" s="3">
        <v>300</v>
      </c>
      <c r="G60" s="10">
        <f t="shared" si="0"/>
        <v>4</v>
      </c>
      <c r="H60" s="10">
        <f t="shared" si="1"/>
        <v>1</v>
      </c>
      <c r="I60" s="10">
        <f t="shared" si="3"/>
        <v>15900</v>
      </c>
    </row>
    <row r="61" spans="4:9" ht="15.75" customHeight="1">
      <c r="D61" s="10">
        <f t="shared" ref="D61:E61" si="55">D60+1</f>
        <v>54</v>
      </c>
      <c r="E61" s="151">
        <f t="shared" si="55"/>
        <v>44652</v>
      </c>
      <c r="F61" s="3">
        <v>300</v>
      </c>
      <c r="G61" s="10">
        <f t="shared" si="0"/>
        <v>5</v>
      </c>
      <c r="H61" s="10">
        <f t="shared" si="1"/>
        <v>1</v>
      </c>
      <c r="I61" s="10">
        <f t="shared" si="3"/>
        <v>16200</v>
      </c>
    </row>
    <row r="62" spans="4:9" ht="15.75" customHeight="1">
      <c r="D62" s="10">
        <f t="shared" ref="D62:E62" si="56">D61+1</f>
        <v>55</v>
      </c>
      <c r="E62" s="151">
        <f t="shared" si="56"/>
        <v>44653</v>
      </c>
      <c r="F62" s="3">
        <v>300</v>
      </c>
      <c r="G62" s="10">
        <f t="shared" si="0"/>
        <v>6</v>
      </c>
      <c r="H62" s="10">
        <f t="shared" si="1"/>
        <v>0</v>
      </c>
      <c r="I62" s="10">
        <f t="shared" si="3"/>
        <v>16500</v>
      </c>
    </row>
    <row r="63" spans="4:9" ht="15.75" customHeight="1">
      <c r="D63" s="10">
        <f t="shared" ref="D63:E63" si="57">D62+1</f>
        <v>56</v>
      </c>
      <c r="E63" s="151">
        <f t="shared" si="57"/>
        <v>44654</v>
      </c>
      <c r="F63" s="3">
        <v>300</v>
      </c>
      <c r="G63" s="10">
        <f t="shared" si="0"/>
        <v>7</v>
      </c>
      <c r="H63" s="10">
        <f t="shared" si="1"/>
        <v>0</v>
      </c>
      <c r="I63" s="10">
        <f t="shared" si="3"/>
        <v>16800</v>
      </c>
    </row>
    <row r="64" spans="4:9" ht="15.75" customHeight="1">
      <c r="D64" s="10">
        <f t="shared" ref="D64:E64" si="58">D63+1</f>
        <v>57</v>
      </c>
      <c r="E64" s="151">
        <f t="shared" si="58"/>
        <v>44655</v>
      </c>
      <c r="F64" s="3">
        <v>300</v>
      </c>
      <c r="G64" s="10">
        <f t="shared" si="0"/>
        <v>1</v>
      </c>
      <c r="H64" s="10">
        <f t="shared" si="1"/>
        <v>1</v>
      </c>
      <c r="I64" s="10">
        <f t="shared" si="3"/>
        <v>17100</v>
      </c>
    </row>
    <row r="65" spans="4:9" ht="15.75" customHeight="1">
      <c r="D65" s="10">
        <f t="shared" ref="D65:E65" si="59">D64+1</f>
        <v>58</v>
      </c>
      <c r="E65" s="151">
        <f t="shared" si="59"/>
        <v>44656</v>
      </c>
      <c r="F65" s="3">
        <v>300</v>
      </c>
      <c r="G65" s="10">
        <f t="shared" si="0"/>
        <v>2</v>
      </c>
      <c r="H65" s="10">
        <f t="shared" si="1"/>
        <v>1</v>
      </c>
      <c r="I65" s="10">
        <f t="shared" si="3"/>
        <v>17400</v>
      </c>
    </row>
    <row r="66" spans="4:9" ht="15.75" customHeight="1">
      <c r="D66" s="10">
        <f t="shared" ref="D66:E66" si="60">D65+1</f>
        <v>59</v>
      </c>
      <c r="E66" s="151">
        <f t="shared" si="60"/>
        <v>44657</v>
      </c>
      <c r="F66" s="3">
        <v>300</v>
      </c>
      <c r="G66" s="10">
        <f t="shared" si="0"/>
        <v>3</v>
      </c>
      <c r="H66" s="10">
        <f t="shared" si="1"/>
        <v>1</v>
      </c>
      <c r="I66" s="10">
        <f t="shared" si="3"/>
        <v>17700</v>
      </c>
    </row>
    <row r="67" spans="4:9" ht="15.75" customHeight="1">
      <c r="D67" s="10">
        <f t="shared" ref="D67:E67" si="61">D66+1</f>
        <v>60</v>
      </c>
      <c r="E67" s="151">
        <f t="shared" si="61"/>
        <v>44658</v>
      </c>
      <c r="F67" s="3">
        <v>300</v>
      </c>
      <c r="G67" s="10">
        <f t="shared" si="0"/>
        <v>4</v>
      </c>
      <c r="H67" s="10">
        <f t="shared" si="1"/>
        <v>1</v>
      </c>
      <c r="I67" s="10">
        <f t="shared" si="3"/>
        <v>18000</v>
      </c>
    </row>
    <row r="68" spans="4:9" ht="15.75" customHeight="1">
      <c r="D68" s="10">
        <f t="shared" ref="D68:E68" si="62">D67+1</f>
        <v>61</v>
      </c>
      <c r="E68" s="151">
        <f t="shared" si="62"/>
        <v>44659</v>
      </c>
      <c r="F68" s="3">
        <v>300</v>
      </c>
      <c r="G68" s="10">
        <f t="shared" si="0"/>
        <v>5</v>
      </c>
      <c r="H68" s="10">
        <f t="shared" si="1"/>
        <v>1</v>
      </c>
      <c r="I68" s="10">
        <f t="shared" si="3"/>
        <v>18300</v>
      </c>
    </row>
    <row r="69" spans="4:9" ht="15.75" customHeight="1">
      <c r="D69" s="10">
        <f t="shared" ref="D69:E69" si="63">D68+1</f>
        <v>62</v>
      </c>
      <c r="E69" s="151">
        <f t="shared" si="63"/>
        <v>44660</v>
      </c>
      <c r="F69" s="3">
        <v>300</v>
      </c>
      <c r="G69" s="10">
        <f t="shared" si="0"/>
        <v>6</v>
      </c>
      <c r="H69" s="10">
        <f t="shared" si="1"/>
        <v>0</v>
      </c>
      <c r="I69" s="10">
        <f t="shared" si="3"/>
        <v>18600</v>
      </c>
    </row>
    <row r="70" spans="4:9" ht="15.75" customHeight="1">
      <c r="D70" s="10">
        <f t="shared" ref="D70:E70" si="64">D69+1</f>
        <v>63</v>
      </c>
      <c r="E70" s="151">
        <f t="shared" si="64"/>
        <v>44661</v>
      </c>
      <c r="F70" s="3">
        <v>300</v>
      </c>
      <c r="G70" s="10">
        <f t="shared" si="0"/>
        <v>7</v>
      </c>
      <c r="H70" s="10">
        <f t="shared" si="1"/>
        <v>0</v>
      </c>
      <c r="I70" s="10">
        <f t="shared" si="3"/>
        <v>18900</v>
      </c>
    </row>
    <row r="71" spans="4:9" ht="15.75" customHeight="1">
      <c r="D71" s="10">
        <f t="shared" ref="D71:E71" si="65">D70+1</f>
        <v>64</v>
      </c>
      <c r="E71" s="151">
        <f t="shared" si="65"/>
        <v>44662</v>
      </c>
      <c r="F71" s="3">
        <v>300</v>
      </c>
      <c r="G71" s="10">
        <f t="shared" si="0"/>
        <v>1</v>
      </c>
      <c r="H71" s="10">
        <f t="shared" si="1"/>
        <v>1</v>
      </c>
      <c r="I71" s="10">
        <f t="shared" si="3"/>
        <v>19200</v>
      </c>
    </row>
    <row r="72" spans="4:9" ht="15.75" customHeight="1">
      <c r="D72" s="10">
        <f t="shared" ref="D72:E72" si="66">D71+1</f>
        <v>65</v>
      </c>
      <c r="E72" s="151">
        <f t="shared" si="66"/>
        <v>44663</v>
      </c>
      <c r="F72" s="3">
        <v>300</v>
      </c>
      <c r="G72" s="10">
        <f t="shared" si="0"/>
        <v>2</v>
      </c>
      <c r="H72" s="10">
        <f t="shared" si="1"/>
        <v>1</v>
      </c>
      <c r="I72" s="10">
        <f t="shared" si="3"/>
        <v>19500</v>
      </c>
    </row>
    <row r="73" spans="4:9" ht="15.75" customHeight="1">
      <c r="D73" s="10">
        <f t="shared" ref="D73:E73" si="67">D72+1</f>
        <v>66</v>
      </c>
      <c r="E73" s="151">
        <f t="shared" si="67"/>
        <v>44664</v>
      </c>
      <c r="F73" s="3">
        <v>300</v>
      </c>
      <c r="G73" s="10">
        <f t="shared" si="0"/>
        <v>3</v>
      </c>
      <c r="H73" s="10">
        <f t="shared" si="1"/>
        <v>1</v>
      </c>
      <c r="I73" s="10">
        <f t="shared" si="3"/>
        <v>19800</v>
      </c>
    </row>
    <row r="74" spans="4:9" ht="15.75" customHeight="1">
      <c r="D74" s="417">
        <f t="shared" ref="D74:E74" si="68">D73+1</f>
        <v>67</v>
      </c>
      <c r="E74" s="418">
        <f t="shared" si="68"/>
        <v>44665</v>
      </c>
      <c r="F74" s="419">
        <v>300</v>
      </c>
      <c r="G74" s="417">
        <f t="shared" si="0"/>
        <v>4</v>
      </c>
      <c r="H74" s="417">
        <f t="shared" si="1"/>
        <v>1</v>
      </c>
      <c r="I74" s="10">
        <f t="shared" si="3"/>
        <v>20100</v>
      </c>
    </row>
    <row r="75" spans="4:9" ht="15.75" customHeight="1">
      <c r="D75" s="10">
        <f t="shared" ref="D75:E75" si="69">D74+1</f>
        <v>68</v>
      </c>
      <c r="E75" s="151">
        <f t="shared" si="69"/>
        <v>44666</v>
      </c>
      <c r="F75" s="3">
        <v>300</v>
      </c>
      <c r="G75" s="10">
        <f t="shared" si="0"/>
        <v>5</v>
      </c>
      <c r="H75" s="10">
        <f t="shared" si="1"/>
        <v>1</v>
      </c>
      <c r="I75" s="10">
        <f t="shared" si="3"/>
        <v>20400</v>
      </c>
    </row>
    <row r="76" spans="4:9" ht="15.75" customHeight="1">
      <c r="D76" s="10">
        <f t="shared" ref="D76:E76" si="70">D75+1</f>
        <v>69</v>
      </c>
      <c r="E76" s="151">
        <f t="shared" si="70"/>
        <v>44667</v>
      </c>
      <c r="F76" s="3">
        <v>300</v>
      </c>
      <c r="G76" s="10">
        <f t="shared" si="0"/>
        <v>6</v>
      </c>
      <c r="H76" s="10">
        <f t="shared" si="1"/>
        <v>0</v>
      </c>
      <c r="I76" s="10">
        <f t="shared" si="3"/>
        <v>20700</v>
      </c>
    </row>
    <row r="77" spans="4:9" ht="15.75" customHeight="1">
      <c r="D77" s="10">
        <f t="shared" ref="D77:E77" si="71">D76+1</f>
        <v>70</v>
      </c>
      <c r="E77" s="151">
        <f t="shared" si="71"/>
        <v>44668</v>
      </c>
      <c r="F77" s="3">
        <v>300</v>
      </c>
      <c r="G77" s="10">
        <f t="shared" si="0"/>
        <v>7</v>
      </c>
      <c r="H77" s="10">
        <f t="shared" si="1"/>
        <v>0</v>
      </c>
      <c r="I77" s="10">
        <f t="shared" si="3"/>
        <v>21000</v>
      </c>
    </row>
    <row r="78" spans="4:9" ht="15.75" customHeight="1">
      <c r="D78" s="10">
        <f t="shared" ref="D78:E78" si="72">D77+1</f>
        <v>71</v>
      </c>
      <c r="E78" s="151">
        <f t="shared" si="72"/>
        <v>44669</v>
      </c>
      <c r="F78" s="3">
        <v>300</v>
      </c>
      <c r="G78" s="10">
        <f t="shared" si="0"/>
        <v>1</v>
      </c>
      <c r="H78" s="10">
        <f t="shared" si="1"/>
        <v>1</v>
      </c>
      <c r="I78" s="10">
        <f t="shared" si="3"/>
        <v>21300</v>
      </c>
    </row>
    <row r="79" spans="4:9" ht="15.75" customHeight="1">
      <c r="D79" s="10">
        <f t="shared" ref="D79:E79" si="73">D78+1</f>
        <v>72</v>
      </c>
      <c r="E79" s="151">
        <f t="shared" si="73"/>
        <v>44670</v>
      </c>
      <c r="F79" s="3">
        <v>300</v>
      </c>
      <c r="G79" s="10">
        <f t="shared" si="0"/>
        <v>2</v>
      </c>
      <c r="H79" s="10">
        <f t="shared" si="1"/>
        <v>1</v>
      </c>
      <c r="I79" s="10">
        <f t="shared" si="3"/>
        <v>21600</v>
      </c>
    </row>
    <row r="80" spans="4:9" ht="15.75" customHeight="1">
      <c r="D80" s="10">
        <f t="shared" ref="D80:E80" si="74">D79+1</f>
        <v>73</v>
      </c>
      <c r="E80" s="151">
        <f t="shared" si="74"/>
        <v>44671</v>
      </c>
      <c r="F80" s="3">
        <v>300</v>
      </c>
      <c r="G80" s="10">
        <f t="shared" si="0"/>
        <v>3</v>
      </c>
      <c r="H80" s="10">
        <f t="shared" si="1"/>
        <v>1</v>
      </c>
      <c r="I80" s="10">
        <f t="shared" si="3"/>
        <v>21900</v>
      </c>
    </row>
    <row r="81" spans="4:9" ht="15.75" customHeight="1">
      <c r="D81" s="10">
        <f t="shared" ref="D81:E81" si="75">D80+1</f>
        <v>74</v>
      </c>
      <c r="E81" s="151">
        <f t="shared" si="75"/>
        <v>44672</v>
      </c>
      <c r="F81" s="3">
        <v>300</v>
      </c>
      <c r="G81" s="10">
        <f t="shared" si="0"/>
        <v>4</v>
      </c>
      <c r="H81" s="10">
        <f t="shared" si="1"/>
        <v>1</v>
      </c>
      <c r="I81" s="10">
        <f t="shared" si="3"/>
        <v>22200</v>
      </c>
    </row>
    <row r="82" spans="4:9" ht="15.75" customHeight="1">
      <c r="D82" s="10">
        <f t="shared" ref="D82:E82" si="76">D81+1</f>
        <v>75</v>
      </c>
      <c r="E82" s="151">
        <f t="shared" si="76"/>
        <v>44673</v>
      </c>
      <c r="F82" s="3">
        <v>300</v>
      </c>
      <c r="G82" s="10">
        <f t="shared" si="0"/>
        <v>5</v>
      </c>
      <c r="H82" s="10">
        <f t="shared" si="1"/>
        <v>1</v>
      </c>
      <c r="I82" s="10">
        <f t="shared" si="3"/>
        <v>22500</v>
      </c>
    </row>
    <row r="83" spans="4:9" ht="15.75" customHeight="1">
      <c r="D83" s="10">
        <f t="shared" ref="D83:E83" si="77">D82+1</f>
        <v>76</v>
      </c>
      <c r="E83" s="151">
        <f t="shared" si="77"/>
        <v>44674</v>
      </c>
      <c r="F83" s="3">
        <v>300</v>
      </c>
      <c r="G83" s="10">
        <f t="shared" si="0"/>
        <v>6</v>
      </c>
      <c r="H83" s="10">
        <f t="shared" si="1"/>
        <v>0</v>
      </c>
      <c r="I83" s="10">
        <f t="shared" si="3"/>
        <v>22800</v>
      </c>
    </row>
    <row r="84" spans="4:9" ht="15.75" customHeight="1">
      <c r="D84" s="10">
        <f t="shared" ref="D84:E84" si="78">D83+1</f>
        <v>77</v>
      </c>
      <c r="E84" s="151">
        <f t="shared" si="78"/>
        <v>44675</v>
      </c>
      <c r="F84" s="3">
        <v>300</v>
      </c>
      <c r="G84" s="10">
        <f t="shared" si="0"/>
        <v>7</v>
      </c>
      <c r="H84" s="10">
        <f t="shared" si="1"/>
        <v>0</v>
      </c>
      <c r="I84" s="10">
        <f t="shared" si="3"/>
        <v>23100</v>
      </c>
    </row>
    <row r="85" spans="4:9" ht="15.75" customHeight="1">
      <c r="D85" s="10">
        <f t="shared" ref="D85:E85" si="79">D84+1</f>
        <v>78</v>
      </c>
      <c r="E85" s="151">
        <f t="shared" si="79"/>
        <v>44676</v>
      </c>
      <c r="F85" s="3">
        <v>300</v>
      </c>
      <c r="G85" s="10">
        <f t="shared" si="0"/>
        <v>1</v>
      </c>
      <c r="H85" s="10">
        <f t="shared" si="1"/>
        <v>1</v>
      </c>
      <c r="I85" s="10">
        <f t="shared" si="3"/>
        <v>23400</v>
      </c>
    </row>
    <row r="86" spans="4:9" ht="15.75" customHeight="1">
      <c r="D86" s="10">
        <f t="shared" ref="D86:E86" si="80">D85+1</f>
        <v>79</v>
      </c>
      <c r="E86" s="151">
        <f t="shared" si="80"/>
        <v>44677</v>
      </c>
      <c r="F86" s="3">
        <v>300</v>
      </c>
      <c r="G86" s="10">
        <f t="shared" si="0"/>
        <v>2</v>
      </c>
      <c r="H86" s="10">
        <f t="shared" si="1"/>
        <v>1</v>
      </c>
      <c r="I86" s="10">
        <f t="shared" si="3"/>
        <v>23700</v>
      </c>
    </row>
    <row r="87" spans="4:9" ht="15.75" customHeight="1">
      <c r="D87" s="10">
        <f t="shared" ref="D87:E87" si="81">D86+1</f>
        <v>80</v>
      </c>
      <c r="E87" s="151">
        <f t="shared" si="81"/>
        <v>44678</v>
      </c>
      <c r="F87" s="3">
        <v>300</v>
      </c>
      <c r="G87" s="10">
        <f t="shared" si="0"/>
        <v>3</v>
      </c>
      <c r="H87" s="10">
        <f t="shared" si="1"/>
        <v>1</v>
      </c>
      <c r="I87" s="10">
        <f t="shared" si="3"/>
        <v>24000</v>
      </c>
    </row>
    <row r="88" spans="4:9" ht="15.75" customHeight="1">
      <c r="D88" s="10">
        <f t="shared" ref="D88:E88" si="82">D87+1</f>
        <v>81</v>
      </c>
      <c r="E88" s="151">
        <f t="shared" si="82"/>
        <v>44679</v>
      </c>
      <c r="F88" s="3">
        <v>300</v>
      </c>
      <c r="G88" s="10">
        <f t="shared" si="0"/>
        <v>4</v>
      </c>
      <c r="H88" s="10">
        <f t="shared" si="1"/>
        <v>1</v>
      </c>
      <c r="I88" s="10">
        <f t="shared" si="3"/>
        <v>24300</v>
      </c>
    </row>
    <row r="89" spans="4:9" ht="13">
      <c r="D89" s="10">
        <f t="shared" ref="D89:E89" si="83">D88+1</f>
        <v>82</v>
      </c>
      <c r="E89" s="151">
        <f t="shared" si="83"/>
        <v>44680</v>
      </c>
      <c r="F89" s="3">
        <v>300</v>
      </c>
      <c r="G89" s="10">
        <f t="shared" si="0"/>
        <v>5</v>
      </c>
      <c r="H89" s="10">
        <f t="shared" si="1"/>
        <v>1</v>
      </c>
      <c r="I89" s="10">
        <f t="shared" si="3"/>
        <v>24600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HK210"/>
  <sheetViews>
    <sheetView workbookViewId="0"/>
  </sheetViews>
  <sheetFormatPr baseColWidth="10" defaultColWidth="14.5" defaultRowHeight="15.75" customHeight="1"/>
  <cols>
    <col min="3" max="5" width="9.1640625" customWidth="1"/>
    <col min="6" max="37" width="7.83203125" customWidth="1"/>
    <col min="38" max="38" width="10.5" customWidth="1"/>
    <col min="39" max="42" width="7.83203125" customWidth="1"/>
  </cols>
  <sheetData>
    <row r="1" spans="1:219" ht="15.75" customHeight="1">
      <c r="A1" s="3">
        <v>1</v>
      </c>
      <c r="B1" s="10">
        <f t="shared" ref="B1:AM1" si="0">A1+1</f>
        <v>2</v>
      </c>
      <c r="C1" s="10">
        <f t="shared" si="0"/>
        <v>3</v>
      </c>
      <c r="D1" s="10">
        <f t="shared" si="0"/>
        <v>4</v>
      </c>
      <c r="E1" s="10">
        <f t="shared" si="0"/>
        <v>5</v>
      </c>
      <c r="F1" s="10">
        <f t="shared" si="0"/>
        <v>6</v>
      </c>
      <c r="G1" s="10">
        <f t="shared" si="0"/>
        <v>7</v>
      </c>
      <c r="H1" s="10">
        <f t="shared" si="0"/>
        <v>8</v>
      </c>
      <c r="I1" s="10">
        <f t="shared" si="0"/>
        <v>9</v>
      </c>
      <c r="J1" s="10">
        <f t="shared" si="0"/>
        <v>10</v>
      </c>
      <c r="K1" s="10">
        <f t="shared" si="0"/>
        <v>11</v>
      </c>
      <c r="L1" s="10">
        <f t="shared" si="0"/>
        <v>12</v>
      </c>
      <c r="M1" s="10">
        <f t="shared" si="0"/>
        <v>13</v>
      </c>
      <c r="N1" s="10">
        <f t="shared" si="0"/>
        <v>14</v>
      </c>
      <c r="O1" s="10">
        <f t="shared" si="0"/>
        <v>15</v>
      </c>
      <c r="P1" s="10">
        <f t="shared" si="0"/>
        <v>16</v>
      </c>
      <c r="Q1" s="10">
        <f t="shared" si="0"/>
        <v>17</v>
      </c>
      <c r="R1" s="10">
        <f t="shared" si="0"/>
        <v>18</v>
      </c>
      <c r="S1" s="10">
        <f t="shared" si="0"/>
        <v>19</v>
      </c>
      <c r="T1" s="10">
        <f t="shared" si="0"/>
        <v>20</v>
      </c>
      <c r="U1" s="10">
        <f t="shared" si="0"/>
        <v>21</v>
      </c>
      <c r="V1" s="10">
        <f t="shared" si="0"/>
        <v>22</v>
      </c>
      <c r="W1" s="10">
        <f t="shared" si="0"/>
        <v>23</v>
      </c>
      <c r="X1" s="10">
        <f t="shared" si="0"/>
        <v>24</v>
      </c>
      <c r="Y1" s="10">
        <f t="shared" si="0"/>
        <v>25</v>
      </c>
      <c r="Z1" s="10">
        <f t="shared" si="0"/>
        <v>26</v>
      </c>
      <c r="AA1" s="10">
        <f t="shared" si="0"/>
        <v>27</v>
      </c>
      <c r="AB1" s="10">
        <f t="shared" si="0"/>
        <v>28</v>
      </c>
      <c r="AC1" s="10">
        <f t="shared" si="0"/>
        <v>29</v>
      </c>
      <c r="AD1" s="10">
        <f t="shared" si="0"/>
        <v>30</v>
      </c>
      <c r="AE1" s="10">
        <f t="shared" si="0"/>
        <v>31</v>
      </c>
      <c r="AF1" s="10">
        <f t="shared" si="0"/>
        <v>32</v>
      </c>
      <c r="AG1" s="10">
        <f t="shared" si="0"/>
        <v>33</v>
      </c>
      <c r="AH1" s="10">
        <f t="shared" si="0"/>
        <v>34</v>
      </c>
      <c r="AI1" s="10">
        <f t="shared" si="0"/>
        <v>35</v>
      </c>
      <c r="AJ1" s="10">
        <f t="shared" si="0"/>
        <v>36</v>
      </c>
      <c r="AK1" s="10">
        <f t="shared" si="0"/>
        <v>37</v>
      </c>
      <c r="AL1" s="10">
        <f t="shared" si="0"/>
        <v>38</v>
      </c>
      <c r="AM1" s="10">
        <f t="shared" si="0"/>
        <v>39</v>
      </c>
    </row>
    <row r="2" spans="1:219" ht="15.75" customHeight="1">
      <c r="B2" s="3" t="s">
        <v>424</v>
      </c>
    </row>
    <row r="3" spans="1:219" ht="15.75" customHeight="1">
      <c r="A3" s="420">
        <v>44581</v>
      </c>
      <c r="B3" s="3"/>
      <c r="C3" s="3" t="s">
        <v>425</v>
      </c>
      <c r="D3" s="3" t="s">
        <v>425</v>
      </c>
      <c r="E3" s="3" t="s">
        <v>425</v>
      </c>
      <c r="F3" s="3" t="s">
        <v>425</v>
      </c>
      <c r="G3" s="3" t="s">
        <v>426</v>
      </c>
      <c r="H3" s="3" t="s">
        <v>426</v>
      </c>
      <c r="I3" s="3" t="s">
        <v>426</v>
      </c>
      <c r="J3" s="3" t="s">
        <v>426</v>
      </c>
      <c r="K3" s="3" t="s">
        <v>426</v>
      </c>
      <c r="L3" s="3" t="s">
        <v>426</v>
      </c>
      <c r="M3" s="3" t="s">
        <v>426</v>
      </c>
      <c r="N3" s="3" t="s">
        <v>427</v>
      </c>
      <c r="O3" s="3" t="s">
        <v>426</v>
      </c>
      <c r="P3" s="3" t="s">
        <v>426</v>
      </c>
      <c r="Q3" s="3" t="s">
        <v>426</v>
      </c>
      <c r="R3" s="3" t="s">
        <v>426</v>
      </c>
      <c r="S3" s="3" t="s">
        <v>426</v>
      </c>
      <c r="T3" s="3" t="s">
        <v>426</v>
      </c>
      <c r="U3" s="3" t="s">
        <v>426</v>
      </c>
      <c r="V3" s="3" t="s">
        <v>426</v>
      </c>
      <c r="W3" s="3" t="s">
        <v>426</v>
      </c>
      <c r="X3" s="3" t="s">
        <v>426</v>
      </c>
      <c r="Y3" s="3" t="s">
        <v>426</v>
      </c>
      <c r="Z3" s="3" t="s">
        <v>426</v>
      </c>
      <c r="AA3" s="3" t="s">
        <v>426</v>
      </c>
      <c r="AB3" s="3" t="s">
        <v>426</v>
      </c>
      <c r="AC3" s="3" t="s">
        <v>426</v>
      </c>
      <c r="AD3" s="3" t="s">
        <v>426</v>
      </c>
      <c r="AE3" s="3" t="s">
        <v>426</v>
      </c>
      <c r="AF3" s="3" t="s">
        <v>426</v>
      </c>
      <c r="AG3" s="3" t="s">
        <v>426</v>
      </c>
      <c r="AH3" s="3" t="s">
        <v>426</v>
      </c>
      <c r="AI3" s="3" t="s">
        <v>426</v>
      </c>
      <c r="AJ3" s="3" t="s">
        <v>426</v>
      </c>
      <c r="AK3" s="3" t="s">
        <v>426</v>
      </c>
      <c r="AL3" s="3" t="s">
        <v>426</v>
      </c>
      <c r="AM3" s="3" t="s">
        <v>426</v>
      </c>
      <c r="AQ3" s="3"/>
      <c r="AR3" s="3"/>
      <c r="AS3" s="3"/>
      <c r="AT3" s="3"/>
      <c r="AU3" s="3"/>
    </row>
    <row r="4" spans="1:219" ht="15.75" customHeight="1">
      <c r="A4" s="44"/>
      <c r="B4" s="44"/>
      <c r="C4" s="45" t="s">
        <v>428</v>
      </c>
      <c r="D4" s="45" t="s">
        <v>429</v>
      </c>
      <c r="E4" s="45" t="s">
        <v>430</v>
      </c>
      <c r="F4" s="45" t="s">
        <v>431</v>
      </c>
      <c r="G4" s="45" t="s">
        <v>432</v>
      </c>
      <c r="H4" s="45" t="s">
        <v>433</v>
      </c>
      <c r="I4" s="45" t="s">
        <v>434</v>
      </c>
      <c r="J4" s="45" t="s">
        <v>435</v>
      </c>
      <c r="K4" s="45" t="s">
        <v>436</v>
      </c>
      <c r="L4" s="45" t="s">
        <v>437</v>
      </c>
      <c r="M4" s="45" t="s">
        <v>438</v>
      </c>
      <c r="N4" s="45" t="s">
        <v>37</v>
      </c>
      <c r="O4" s="45" t="s">
        <v>439</v>
      </c>
      <c r="P4" s="45" t="s">
        <v>440</v>
      </c>
      <c r="Q4" s="45" t="s">
        <v>441</v>
      </c>
      <c r="R4" s="45" t="s">
        <v>442</v>
      </c>
      <c r="S4" s="45" t="s">
        <v>443</v>
      </c>
      <c r="T4" s="45" t="s">
        <v>444</v>
      </c>
      <c r="U4" s="45" t="s">
        <v>445</v>
      </c>
      <c r="V4" s="45" t="s">
        <v>446</v>
      </c>
      <c r="W4" s="45" t="s">
        <v>447</v>
      </c>
      <c r="X4" s="45" t="s">
        <v>448</v>
      </c>
      <c r="Y4" s="45" t="s">
        <v>449</v>
      </c>
      <c r="Z4" s="45" t="s">
        <v>450</v>
      </c>
      <c r="AA4" s="45" t="s">
        <v>451</v>
      </c>
      <c r="AB4" s="45" t="s">
        <v>452</v>
      </c>
      <c r="AC4" s="45" t="s">
        <v>453</v>
      </c>
      <c r="AD4" s="45" t="s">
        <v>454</v>
      </c>
      <c r="AE4" s="45" t="s">
        <v>455</v>
      </c>
      <c r="AF4" s="45" t="s">
        <v>456</v>
      </c>
      <c r="AG4" s="45" t="s">
        <v>457</v>
      </c>
      <c r="AH4" s="45" t="s">
        <v>458</v>
      </c>
      <c r="AI4" s="45" t="s">
        <v>459</v>
      </c>
      <c r="AJ4" s="45" t="s">
        <v>460</v>
      </c>
      <c r="AK4" s="45" t="s">
        <v>461</v>
      </c>
      <c r="AL4" s="45" t="s">
        <v>462</v>
      </c>
      <c r="AM4" s="45" t="s">
        <v>463</v>
      </c>
      <c r="AQ4" s="45"/>
      <c r="AR4" s="45"/>
      <c r="AS4" s="45"/>
      <c r="AT4" s="45"/>
      <c r="AU4" s="45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  <c r="ES4" s="44"/>
      <c r="ET4" s="44"/>
      <c r="EU4" s="44"/>
      <c r="EV4" s="44"/>
      <c r="EW4" s="44"/>
      <c r="EX4" s="44"/>
      <c r="EY4" s="44"/>
      <c r="EZ4" s="44"/>
      <c r="FA4" s="44"/>
      <c r="FB4" s="44"/>
      <c r="FC4" s="44"/>
      <c r="FD4" s="44"/>
      <c r="FE4" s="44"/>
      <c r="FF4" s="44"/>
      <c r="FG4" s="44"/>
      <c r="FH4" s="44"/>
      <c r="FI4" s="44"/>
      <c r="FJ4" s="44"/>
      <c r="FK4" s="44"/>
      <c r="FL4" s="44"/>
      <c r="FM4" s="44"/>
      <c r="FN4" s="44"/>
      <c r="FO4" s="44"/>
      <c r="FP4" s="44"/>
      <c r="FQ4" s="44"/>
      <c r="FR4" s="44"/>
      <c r="FS4" s="44"/>
      <c r="FT4" s="44"/>
      <c r="FU4" s="44"/>
      <c r="FV4" s="44"/>
      <c r="FW4" s="44"/>
      <c r="FX4" s="44"/>
      <c r="FY4" s="44"/>
      <c r="FZ4" s="44"/>
      <c r="GA4" s="44"/>
      <c r="GB4" s="44"/>
      <c r="GC4" s="44"/>
      <c r="GD4" s="44"/>
      <c r="GE4" s="44"/>
      <c r="GF4" s="44"/>
      <c r="GG4" s="44"/>
      <c r="GH4" s="44"/>
      <c r="GI4" s="44"/>
      <c r="GJ4" s="44"/>
      <c r="GK4" s="44"/>
      <c r="GL4" s="44"/>
      <c r="GM4" s="44"/>
      <c r="GN4" s="44"/>
      <c r="GO4" s="44"/>
      <c r="GP4" s="44"/>
      <c r="GQ4" s="44"/>
      <c r="GR4" s="44"/>
      <c r="GS4" s="44"/>
      <c r="GT4" s="44"/>
      <c r="GU4" s="44"/>
      <c r="GV4" s="44"/>
      <c r="GW4" s="44"/>
      <c r="GX4" s="44"/>
      <c r="GY4" s="44"/>
      <c r="GZ4" s="44"/>
      <c r="HA4" s="44"/>
      <c r="HB4" s="44"/>
      <c r="HC4" s="44"/>
      <c r="HD4" s="44"/>
      <c r="HE4" s="44"/>
      <c r="HF4" s="44"/>
      <c r="HG4" s="44"/>
      <c r="HH4" s="44"/>
      <c r="HI4" s="44"/>
      <c r="HJ4" s="44"/>
      <c r="HK4" s="44"/>
    </row>
    <row r="5" spans="1:219" ht="15.75" customHeight="1">
      <c r="C5" s="3" t="s">
        <v>464</v>
      </c>
      <c r="D5" s="3" t="s">
        <v>465</v>
      </c>
      <c r="E5" s="3" t="s">
        <v>466</v>
      </c>
      <c r="F5" s="3" t="s">
        <v>467</v>
      </c>
      <c r="G5" s="3" t="s">
        <v>468</v>
      </c>
      <c r="H5" s="3" t="s">
        <v>59</v>
      </c>
      <c r="I5" s="3" t="s">
        <v>469</v>
      </c>
      <c r="J5" s="3" t="s">
        <v>470</v>
      </c>
      <c r="K5" s="3" t="s">
        <v>29</v>
      </c>
      <c r="L5" s="3" t="s">
        <v>471</v>
      </c>
      <c r="M5" s="3" t="s">
        <v>472</v>
      </c>
      <c r="N5" s="3" t="s">
        <v>37</v>
      </c>
      <c r="O5" s="3" t="s">
        <v>473</v>
      </c>
      <c r="P5" s="3" t="s">
        <v>474</v>
      </c>
      <c r="Q5" s="3" t="s">
        <v>475</v>
      </c>
      <c r="R5" s="3" t="s">
        <v>31</v>
      </c>
      <c r="S5" s="3" t="s">
        <v>476</v>
      </c>
      <c r="T5" s="3" t="s">
        <v>477</v>
      </c>
      <c r="U5" s="3" t="s">
        <v>478</v>
      </c>
      <c r="V5" s="3" t="s">
        <v>479</v>
      </c>
      <c r="W5" s="3" t="s">
        <v>480</v>
      </c>
      <c r="X5" s="3" t="s">
        <v>481</v>
      </c>
      <c r="Y5" s="3" t="s">
        <v>482</v>
      </c>
      <c r="Z5" s="3" t="s">
        <v>483</v>
      </c>
      <c r="AA5" s="3" t="s">
        <v>484</v>
      </c>
      <c r="AB5" s="3" t="s">
        <v>485</v>
      </c>
      <c r="AC5" s="3" t="s">
        <v>486</v>
      </c>
      <c r="AD5" s="3" t="s">
        <v>487</v>
      </c>
      <c r="AE5" s="3" t="s">
        <v>488</v>
      </c>
      <c r="AF5" s="3" t="s">
        <v>489</v>
      </c>
      <c r="AG5" s="3" t="s">
        <v>490</v>
      </c>
      <c r="AH5" s="3" t="s">
        <v>491</v>
      </c>
      <c r="AI5" s="3" t="s">
        <v>492</v>
      </c>
      <c r="AJ5" s="3" t="s">
        <v>493</v>
      </c>
      <c r="AK5" s="3" t="s">
        <v>34</v>
      </c>
      <c r="AL5" s="3" t="s">
        <v>41</v>
      </c>
      <c r="AM5" s="3" t="s">
        <v>494</v>
      </c>
      <c r="AQ5" s="3"/>
      <c r="AR5" s="3"/>
      <c r="AS5" s="3"/>
      <c r="AT5" s="3"/>
      <c r="AU5" s="3"/>
    </row>
    <row r="6" spans="1:219" ht="15.75" customHeight="1">
      <c r="A6" s="3" t="s">
        <v>495</v>
      </c>
      <c r="B6" s="3" t="s">
        <v>8</v>
      </c>
      <c r="C6" s="10" t="s">
        <v>181</v>
      </c>
      <c r="D6" s="3" t="s">
        <v>181</v>
      </c>
      <c r="E6" s="3" t="s">
        <v>181</v>
      </c>
      <c r="F6" s="3" t="s">
        <v>181</v>
      </c>
      <c r="G6" s="3" t="s">
        <v>181</v>
      </c>
      <c r="H6" s="3" t="s">
        <v>181</v>
      </c>
      <c r="I6" s="3" t="s">
        <v>181</v>
      </c>
      <c r="J6" s="3" t="s">
        <v>181</v>
      </c>
      <c r="K6" s="3" t="s">
        <v>181</v>
      </c>
      <c r="L6" s="3" t="s">
        <v>181</v>
      </c>
      <c r="M6" s="3" t="s">
        <v>181</v>
      </c>
      <c r="N6" s="3" t="s">
        <v>181</v>
      </c>
      <c r="O6" s="3" t="s">
        <v>181</v>
      </c>
      <c r="P6" s="3" t="s">
        <v>181</v>
      </c>
      <c r="Q6" s="3" t="s">
        <v>181</v>
      </c>
      <c r="R6" s="3" t="s">
        <v>181</v>
      </c>
      <c r="S6" s="3" t="s">
        <v>181</v>
      </c>
      <c r="T6" s="3" t="s">
        <v>181</v>
      </c>
      <c r="U6" s="3" t="s">
        <v>181</v>
      </c>
      <c r="V6" s="3" t="s">
        <v>181</v>
      </c>
      <c r="W6" s="3" t="s">
        <v>181</v>
      </c>
      <c r="X6" s="3" t="s">
        <v>181</v>
      </c>
      <c r="Y6" s="3" t="s">
        <v>181</v>
      </c>
      <c r="Z6" s="3" t="s">
        <v>181</v>
      </c>
      <c r="AA6" s="3" t="s">
        <v>181</v>
      </c>
      <c r="AB6" s="3" t="s">
        <v>181</v>
      </c>
      <c r="AC6" s="3" t="s">
        <v>181</v>
      </c>
      <c r="AD6" s="3" t="s">
        <v>181</v>
      </c>
      <c r="AE6" s="3" t="s">
        <v>181</v>
      </c>
      <c r="AF6" s="3" t="s">
        <v>181</v>
      </c>
      <c r="AG6" s="3" t="s">
        <v>181</v>
      </c>
      <c r="AH6" s="3" t="s">
        <v>181</v>
      </c>
      <c r="AI6" s="3" t="s">
        <v>181</v>
      </c>
      <c r="AJ6" s="3" t="s">
        <v>181</v>
      </c>
      <c r="AK6" s="3" t="s">
        <v>181</v>
      </c>
      <c r="AL6" s="3" t="s">
        <v>181</v>
      </c>
      <c r="AM6" s="3" t="s">
        <v>181</v>
      </c>
      <c r="AR6" s="3" t="s">
        <v>496</v>
      </c>
      <c r="AS6" s="3" t="s">
        <v>497</v>
      </c>
    </row>
    <row r="7" spans="1:219" ht="15.75" customHeight="1">
      <c r="A7" s="6">
        <f t="shared" ref="A7:A31" si="1">IF(B7="","",DATE(YEAR(B7),MONTH(B7),DAY(B7)))</f>
        <v>44558</v>
      </c>
      <c r="B7" s="6">
        <v>44558.998611111107</v>
      </c>
      <c r="C7" s="10">
        <v>371481.42070000002</v>
      </c>
      <c r="D7" s="10">
        <v>29584.366440000002</v>
      </c>
      <c r="E7" s="10">
        <v>1135.9856440000001</v>
      </c>
      <c r="F7" s="10">
        <v>3421.4480789999998</v>
      </c>
      <c r="G7" s="10">
        <v>7.599554E-2</v>
      </c>
      <c r="H7" s="10">
        <v>5.6398000000000001</v>
      </c>
      <c r="I7" s="10">
        <v>1.3854089999999999</v>
      </c>
      <c r="J7" s="10">
        <v>6.0848300000000002</v>
      </c>
      <c r="K7" s="10">
        <v>1.2245649999999999</v>
      </c>
      <c r="L7" s="10">
        <v>1.1864509999999999</v>
      </c>
      <c r="M7" s="10">
        <v>0.49573135369999999</v>
      </c>
      <c r="N7" s="10">
        <v>8.8236000000000008</v>
      </c>
      <c r="O7" s="10">
        <v>5.980187839E-2</v>
      </c>
      <c r="P7" s="10">
        <v>0.10433779999999999</v>
      </c>
      <c r="Q7" s="10">
        <v>5.4850000000000005E-4</v>
      </c>
      <c r="R7" s="10">
        <v>6.794203E-2</v>
      </c>
      <c r="S7" s="10">
        <v>6.5631159999999999E-3</v>
      </c>
      <c r="T7" s="10">
        <v>9.6045805500000001E-3</v>
      </c>
      <c r="U7" s="10">
        <v>1.862233</v>
      </c>
      <c r="V7" s="10">
        <v>0.37737500000000002</v>
      </c>
      <c r="W7" s="10">
        <v>4.329275837</v>
      </c>
      <c r="X7" s="10">
        <v>5.3064900000000002</v>
      </c>
      <c r="Y7" s="10">
        <v>1.9632271219999999</v>
      </c>
      <c r="Z7" s="10">
        <v>0.1538158</v>
      </c>
      <c r="AA7" s="10">
        <v>2.1418152670000001</v>
      </c>
      <c r="AB7" s="10">
        <v>0.10580685250000001</v>
      </c>
      <c r="AC7" s="10">
        <v>2.0767101960000001</v>
      </c>
      <c r="AD7" s="10">
        <v>5.7586000000000004</v>
      </c>
      <c r="AE7" s="10">
        <v>0.494535</v>
      </c>
      <c r="AF7" s="10">
        <v>0.86182000000000003</v>
      </c>
      <c r="AG7" s="10">
        <v>8.5025519999999997</v>
      </c>
      <c r="AH7" s="10">
        <v>0.28313369999999999</v>
      </c>
      <c r="AI7" s="10">
        <v>0.23266000000000001</v>
      </c>
      <c r="AJ7" s="10">
        <v>2.123186</v>
      </c>
      <c r="AK7" s="10">
        <v>10.4755</v>
      </c>
      <c r="AL7" s="10">
        <v>7.7983500000000001</v>
      </c>
      <c r="AM7" s="10">
        <v>3.4144489999999997E-4</v>
      </c>
      <c r="AR7" s="3" t="s">
        <v>498</v>
      </c>
      <c r="AS7" s="3" t="s">
        <v>499</v>
      </c>
    </row>
    <row r="8" spans="1:219" ht="15.75" customHeight="1">
      <c r="A8" s="6">
        <f t="shared" si="1"/>
        <v>44559</v>
      </c>
      <c r="B8" s="6">
        <v>44559.998611111107</v>
      </c>
      <c r="C8" s="10">
        <v>362338.26990000001</v>
      </c>
      <c r="D8" s="10">
        <v>28304.772929999999</v>
      </c>
      <c r="E8" s="10">
        <v>1131.2739839999999</v>
      </c>
      <c r="F8" s="10">
        <v>3353.5891750000001</v>
      </c>
      <c r="G8" s="10">
        <v>7.5969990000000001E-2</v>
      </c>
      <c r="H8" s="10">
        <v>5.6580349999999999</v>
      </c>
      <c r="I8" s="10">
        <v>1.366997</v>
      </c>
      <c r="J8" s="10">
        <v>6.098776</v>
      </c>
      <c r="K8" s="10">
        <v>1.2243250000000001</v>
      </c>
      <c r="L8" s="10">
        <v>1.1910350000000001</v>
      </c>
      <c r="M8" s="10">
        <v>0.49627420150000001</v>
      </c>
      <c r="N8" s="10">
        <v>8.8561549999999993</v>
      </c>
      <c r="O8" s="10">
        <v>6.0011930140000003E-2</v>
      </c>
      <c r="P8" s="10">
        <v>0.1045591</v>
      </c>
      <c r="Q8" s="10">
        <v>5.4799999999999998E-4</v>
      </c>
      <c r="R8" s="10">
        <v>6.7825209999999997E-2</v>
      </c>
      <c r="S8" s="10">
        <v>6.5796259999999999E-3</v>
      </c>
      <c r="T8" s="10">
        <v>9.6032197130000007E-3</v>
      </c>
      <c r="U8" s="10">
        <v>1.8739220000000001</v>
      </c>
      <c r="V8" s="10">
        <v>0.37901190000000001</v>
      </c>
      <c r="W8" s="10">
        <v>4.3270282560000002</v>
      </c>
      <c r="X8" s="10">
        <v>5.3325589999999998</v>
      </c>
      <c r="Y8" s="10">
        <v>1.964679997</v>
      </c>
      <c r="Z8" s="10">
        <v>0.15203729999999999</v>
      </c>
      <c r="AA8" s="10">
        <v>2.1414582229999999</v>
      </c>
      <c r="AB8" s="10">
        <v>0.105416116</v>
      </c>
      <c r="AC8" s="10">
        <v>2.07691705</v>
      </c>
      <c r="AD8" s="10">
        <v>5.7709859999999997</v>
      </c>
      <c r="AE8" s="10">
        <v>0.48932829999999999</v>
      </c>
      <c r="AF8" s="10">
        <v>0.86365999999999998</v>
      </c>
      <c r="AG8" s="10">
        <v>8.5308299999999999</v>
      </c>
      <c r="AH8" s="10">
        <v>0.28227659999999999</v>
      </c>
      <c r="AI8" s="10">
        <v>0.23295250000000001</v>
      </c>
      <c r="AJ8" s="10">
        <v>2.122687</v>
      </c>
      <c r="AK8" s="10">
        <v>10.52262</v>
      </c>
      <c r="AL8" s="10">
        <v>7.7970499999999996</v>
      </c>
      <c r="AM8" s="10">
        <v>3.4162999999999999E-4</v>
      </c>
      <c r="AR8" s="3" t="s">
        <v>500</v>
      </c>
      <c r="AS8" s="3" t="s">
        <v>501</v>
      </c>
    </row>
    <row r="9" spans="1:219" ht="15.75" customHeight="1">
      <c r="A9" s="6">
        <f t="shared" si="1"/>
        <v>44560</v>
      </c>
      <c r="B9" s="6">
        <v>44560.998611111107</v>
      </c>
      <c r="C9" s="10">
        <v>367464.42430000001</v>
      </c>
      <c r="D9" s="10">
        <v>28931.292460000001</v>
      </c>
      <c r="E9" s="10">
        <v>1153.6583109999999</v>
      </c>
      <c r="F9" s="10">
        <v>3365.5255769999999</v>
      </c>
      <c r="G9" s="10">
        <v>7.5952000000000006E-2</v>
      </c>
      <c r="H9" s="10">
        <v>5.6529049999999996</v>
      </c>
      <c r="I9" s="10">
        <v>1.3995</v>
      </c>
      <c r="J9" s="10">
        <v>6.1183449999999997</v>
      </c>
      <c r="K9" s="10">
        <v>1.2237629999999999</v>
      </c>
      <c r="L9" s="10">
        <v>1.187182</v>
      </c>
      <c r="M9" s="10">
        <v>0.49643815969999999</v>
      </c>
      <c r="N9" s="10">
        <v>8.8290849999999992</v>
      </c>
      <c r="O9" s="10">
        <v>5.9820113190000003E-2</v>
      </c>
      <c r="P9" s="10">
        <v>0.1047838</v>
      </c>
      <c r="Q9" s="10">
        <v>5.465E-4</v>
      </c>
      <c r="R9" s="10">
        <v>6.7771689999999996E-2</v>
      </c>
      <c r="S9" s="10">
        <v>6.5543499999999996E-3</v>
      </c>
      <c r="T9" s="10">
        <v>9.5805280329999999E-3</v>
      </c>
      <c r="U9" s="10">
        <v>1.8664959999999999</v>
      </c>
      <c r="V9" s="10">
        <v>0.381075</v>
      </c>
      <c r="W9" s="10">
        <v>4.3284465970000001</v>
      </c>
      <c r="X9" s="10">
        <v>5.3248530000000001</v>
      </c>
      <c r="Y9" s="10">
        <v>1.954768711</v>
      </c>
      <c r="Z9" s="10">
        <v>0.1519923</v>
      </c>
      <c r="AA9" s="10">
        <v>2.1419802130000001</v>
      </c>
      <c r="AB9" s="10">
        <v>0.1045731915</v>
      </c>
      <c r="AC9" s="10">
        <v>2.0770767110000001</v>
      </c>
      <c r="AD9" s="10">
        <v>5.7673829999999997</v>
      </c>
      <c r="AE9" s="10">
        <v>0.48956840000000001</v>
      </c>
      <c r="AF9" s="10">
        <v>0.86177999999999999</v>
      </c>
      <c r="AG9" s="10">
        <v>8.5322899999999997</v>
      </c>
      <c r="AH9" s="10">
        <v>0.2817443</v>
      </c>
      <c r="AI9" s="10">
        <v>0.2340729</v>
      </c>
      <c r="AJ9" s="10">
        <v>2.123043</v>
      </c>
      <c r="AK9" s="10">
        <v>10.5258</v>
      </c>
      <c r="AL9" s="10">
        <v>7.7981499999999997</v>
      </c>
      <c r="AM9" s="10">
        <v>3.4247020000000001E-4</v>
      </c>
      <c r="AR9" s="3" t="s">
        <v>502</v>
      </c>
      <c r="AS9" s="3" t="s">
        <v>503</v>
      </c>
    </row>
    <row r="10" spans="1:219" ht="15.75" customHeight="1">
      <c r="A10" s="6">
        <f t="shared" si="1"/>
        <v>44561</v>
      </c>
      <c r="B10" s="6">
        <v>44561.998611111107</v>
      </c>
      <c r="C10" s="10">
        <v>360140.8395</v>
      </c>
      <c r="D10" s="10">
        <v>28687.932850000001</v>
      </c>
      <c r="E10" s="10">
        <v>1140.56943</v>
      </c>
      <c r="F10" s="10">
        <v>3353.4924150000002</v>
      </c>
      <c r="G10" s="10">
        <v>7.5923210000000005E-2</v>
      </c>
      <c r="H10" s="10">
        <v>5.6671779999999998</v>
      </c>
      <c r="I10" s="10">
        <v>1.3994070000000001</v>
      </c>
      <c r="J10" s="10">
        <v>6.1688270000000003</v>
      </c>
      <c r="K10" s="10">
        <v>1.226415</v>
      </c>
      <c r="L10" s="10">
        <v>1.1919630000000001</v>
      </c>
      <c r="M10" s="10">
        <v>0.49625837540000001</v>
      </c>
      <c r="N10" s="10">
        <v>8.8647500000000008</v>
      </c>
      <c r="O10" s="10">
        <v>6.0067031100000001E-2</v>
      </c>
      <c r="P10" s="10">
        <v>0.1046542</v>
      </c>
      <c r="Q10" s="10">
        <v>5.465E-4</v>
      </c>
      <c r="R10" s="10">
        <v>6.7731230000000003E-2</v>
      </c>
      <c r="S10" s="10">
        <v>6.5579289999999997E-3</v>
      </c>
      <c r="T10" s="10">
        <v>9.5775182049999998E-3</v>
      </c>
      <c r="U10" s="10">
        <v>1.879599</v>
      </c>
      <c r="V10" s="10">
        <v>0.38029069999999998</v>
      </c>
      <c r="W10" s="10">
        <v>4.3275410470000004</v>
      </c>
      <c r="X10" s="10">
        <v>5.3314969999999997</v>
      </c>
      <c r="Y10" s="10">
        <v>1.954154599</v>
      </c>
      <c r="Z10" s="10">
        <v>0.15248139999999999</v>
      </c>
      <c r="AA10" s="10">
        <v>2.1411973049999999</v>
      </c>
      <c r="AB10" s="10">
        <v>0.104233857</v>
      </c>
      <c r="AC10" s="10">
        <v>2.076648482</v>
      </c>
      <c r="AD10" s="10">
        <v>5.7819669999999999</v>
      </c>
      <c r="AE10" s="10">
        <v>0.48716939999999997</v>
      </c>
      <c r="AF10" s="10">
        <v>0.86121499999999995</v>
      </c>
      <c r="AG10" s="10">
        <v>8.5467600000000008</v>
      </c>
      <c r="AH10" s="10">
        <v>0.28122390000000003</v>
      </c>
      <c r="AI10" s="10">
        <v>0.23447870000000001</v>
      </c>
      <c r="AJ10" s="10">
        <v>2.1225160000000001</v>
      </c>
      <c r="AK10" s="10">
        <v>10.54968</v>
      </c>
      <c r="AL10" s="10">
        <v>7.7961</v>
      </c>
      <c r="AM10" s="10">
        <v>3.4111930000000002E-4</v>
      </c>
      <c r="AR10" s="3" t="s">
        <v>504</v>
      </c>
      <c r="AS10" s="3" t="s">
        <v>505</v>
      </c>
    </row>
    <row r="11" spans="1:219" ht="15.75" customHeight="1">
      <c r="A11" s="6">
        <f t="shared" si="1"/>
        <v>44562</v>
      </c>
      <c r="B11" s="6">
        <v>44562.998611111107</v>
      </c>
      <c r="C11" s="10">
        <v>372134.35969999997</v>
      </c>
      <c r="D11" s="10">
        <v>29372.118589999998</v>
      </c>
      <c r="E11" s="10">
        <v>1175.885763</v>
      </c>
      <c r="F11" s="10">
        <v>3469.8102269999999</v>
      </c>
      <c r="G11" s="10">
        <v>7.5923210000000005E-2</v>
      </c>
      <c r="H11" s="10">
        <v>5.6671779999999998</v>
      </c>
      <c r="I11" s="10">
        <v>1.3994070000000001</v>
      </c>
      <c r="J11" s="10">
        <v>6.1688270000000003</v>
      </c>
      <c r="K11" s="10">
        <v>1.226415</v>
      </c>
      <c r="L11" s="10">
        <v>1.1920539999999999</v>
      </c>
      <c r="M11" s="10">
        <v>0.49625837540000001</v>
      </c>
      <c r="N11" s="10">
        <v>8.8647500000000008</v>
      </c>
      <c r="O11" s="10">
        <v>5.9850379039999999E-2</v>
      </c>
      <c r="P11" s="10">
        <v>0.1046709</v>
      </c>
      <c r="Q11" s="10">
        <v>5.465E-4</v>
      </c>
      <c r="R11" s="10">
        <v>6.7731230000000003E-2</v>
      </c>
      <c r="S11" s="10">
        <v>6.5579289999999997E-3</v>
      </c>
      <c r="T11" s="10">
        <v>9.5475952140000007E-3</v>
      </c>
      <c r="U11" s="10">
        <v>1.8797429999999999</v>
      </c>
      <c r="V11" s="10">
        <v>0.38039830000000002</v>
      </c>
      <c r="W11" s="10">
        <v>4.3275410470000004</v>
      </c>
      <c r="X11" s="10">
        <v>5.3314969999999997</v>
      </c>
      <c r="Y11" s="10">
        <v>1.953753334</v>
      </c>
      <c r="Z11" s="10">
        <v>0.15248139999999999</v>
      </c>
      <c r="AA11" s="10">
        <v>2.1411973049999999</v>
      </c>
      <c r="AB11" s="10">
        <v>0.104233857</v>
      </c>
      <c r="AC11" s="10">
        <v>2.076648482</v>
      </c>
      <c r="AD11" s="10">
        <v>5.7819669999999999</v>
      </c>
      <c r="AE11" s="10">
        <v>0.48716939999999997</v>
      </c>
      <c r="AF11" s="10">
        <v>0.86121499999999995</v>
      </c>
      <c r="AG11" s="10">
        <v>8.5467600000000008</v>
      </c>
      <c r="AH11" s="10">
        <v>0.28124549999999998</v>
      </c>
      <c r="AI11" s="10">
        <v>0.23480110000000001</v>
      </c>
      <c r="AJ11" s="10">
        <v>2.1225160000000001</v>
      </c>
      <c r="AK11" s="10">
        <v>10.54968</v>
      </c>
      <c r="AL11" s="10">
        <v>7.7961</v>
      </c>
      <c r="AM11" s="10">
        <v>3.4111930000000002E-4</v>
      </c>
      <c r="AR11" s="3" t="s">
        <v>506</v>
      </c>
      <c r="AS11" s="3" t="s">
        <v>507</v>
      </c>
    </row>
    <row r="12" spans="1:219" ht="15.75" customHeight="1">
      <c r="A12" s="6">
        <f t="shared" si="1"/>
        <v>44563</v>
      </c>
      <c r="B12" s="6">
        <v>44563.998611111107</v>
      </c>
      <c r="C12" s="10">
        <v>368750.09879999998</v>
      </c>
      <c r="D12" s="10">
        <v>29852.471839999998</v>
      </c>
      <c r="E12" s="10">
        <v>1178.699918</v>
      </c>
      <c r="F12" s="10">
        <v>3491.9735460000002</v>
      </c>
      <c r="G12" s="10">
        <v>7.5922950000000003E-2</v>
      </c>
      <c r="H12" s="10">
        <v>5.6667990000000001</v>
      </c>
      <c r="I12" s="10">
        <v>1.3994070000000001</v>
      </c>
      <c r="J12" s="10">
        <v>6.1622450000000004</v>
      </c>
      <c r="K12" s="10">
        <v>1.2268509999999999</v>
      </c>
      <c r="L12" s="10">
        <v>1.192215</v>
      </c>
      <c r="M12" s="10">
        <v>0.496383833</v>
      </c>
      <c r="N12" s="10">
        <v>8.8663299999999996</v>
      </c>
      <c r="O12" s="10">
        <v>5.9850762879999998E-2</v>
      </c>
      <c r="P12" s="10">
        <v>0.1046903</v>
      </c>
      <c r="Q12" s="10">
        <v>5.465E-4</v>
      </c>
      <c r="R12" s="10">
        <v>6.7708710000000005E-2</v>
      </c>
      <c r="S12" s="10">
        <v>6.5579879999999998E-3</v>
      </c>
      <c r="T12" s="10">
        <v>9.5476564469999994E-3</v>
      </c>
      <c r="U12" s="10">
        <v>1.880093</v>
      </c>
      <c r="V12" s="10">
        <v>0.38047999999999998</v>
      </c>
      <c r="W12" s="10">
        <v>4.327568801</v>
      </c>
      <c r="X12" s="10">
        <v>5.3324049999999996</v>
      </c>
      <c r="Y12" s="10">
        <v>1.953765864</v>
      </c>
      <c r="Z12" s="10">
        <v>0.15248139999999999</v>
      </c>
      <c r="AA12" s="10">
        <v>2.1412110379999998</v>
      </c>
      <c r="AB12" s="10">
        <v>0.10423452549999999</v>
      </c>
      <c r="AC12" s="10">
        <v>2.0759338980000002</v>
      </c>
      <c r="AD12" s="10">
        <v>5.7816999999999998</v>
      </c>
      <c r="AE12" s="10">
        <v>0.48833500000000002</v>
      </c>
      <c r="AF12" s="10">
        <v>0.86177999999999999</v>
      </c>
      <c r="AG12" s="10">
        <v>8.5476600000000005</v>
      </c>
      <c r="AH12" s="10">
        <v>0.28129789999999999</v>
      </c>
      <c r="AI12" s="10">
        <v>0.23491319999999999</v>
      </c>
      <c r="AJ12" s="10">
        <v>2.1225679999999998</v>
      </c>
      <c r="AK12" s="10">
        <v>10.5419</v>
      </c>
      <c r="AL12" s="10">
        <v>7.7961499999999999</v>
      </c>
      <c r="AM12" s="10">
        <v>3.4111930000000002E-4</v>
      </c>
      <c r="AR12" s="3" t="s">
        <v>508</v>
      </c>
      <c r="AS12" s="3" t="s">
        <v>509</v>
      </c>
    </row>
    <row r="13" spans="1:219" ht="15.75" customHeight="1">
      <c r="A13" s="6">
        <f t="shared" si="1"/>
        <v>44564</v>
      </c>
      <c r="B13" s="6">
        <v>44564.998611111107</v>
      </c>
      <c r="C13" s="10">
        <v>362097.06359999999</v>
      </c>
      <c r="D13" s="10">
        <v>29333.406279999999</v>
      </c>
      <c r="E13" s="10">
        <v>1157.4348749999999</v>
      </c>
      <c r="F13" s="10">
        <v>3389.023588</v>
      </c>
      <c r="G13" s="10">
        <v>7.5738970000000003E-2</v>
      </c>
      <c r="H13" s="10">
        <v>5.6117850000000002</v>
      </c>
      <c r="I13" s="10">
        <v>1.3723719999999999</v>
      </c>
      <c r="J13" s="10">
        <v>6.1152730000000002</v>
      </c>
      <c r="K13" s="10">
        <v>1.22699</v>
      </c>
      <c r="L13" s="10">
        <v>1.184715</v>
      </c>
      <c r="M13" s="10">
        <v>0.49530284590000001</v>
      </c>
      <c r="N13" s="10">
        <v>8.8110999999999997</v>
      </c>
      <c r="O13" s="10">
        <v>5.9689604290000003E-2</v>
      </c>
      <c r="P13" s="10">
        <v>0.1047992</v>
      </c>
      <c r="Q13" s="10">
        <v>5.4600000000000004E-4</v>
      </c>
      <c r="R13" s="10">
        <v>6.7615129999999996E-2</v>
      </c>
      <c r="S13" s="10">
        <v>6.5354080000000004E-3</v>
      </c>
      <c r="T13" s="10">
        <v>9.5669381429999995E-3</v>
      </c>
      <c r="U13" s="10">
        <v>1.8596269999999999</v>
      </c>
      <c r="V13" s="10">
        <v>0.38042579999999998</v>
      </c>
      <c r="W13" s="10">
        <v>4.3275774929999997</v>
      </c>
      <c r="X13" s="10">
        <v>5.2935420000000004</v>
      </c>
      <c r="Y13" s="10">
        <v>1.96647029</v>
      </c>
      <c r="Z13" s="10">
        <v>0.15158540000000001</v>
      </c>
      <c r="AA13" s="10">
        <v>2.141678722</v>
      </c>
      <c r="AB13" s="10">
        <v>0.1047988229</v>
      </c>
      <c r="AC13" s="10">
        <v>2.0769719289999999</v>
      </c>
      <c r="AD13" s="10">
        <v>5.7622</v>
      </c>
      <c r="AE13" s="10">
        <v>0.49120049999999998</v>
      </c>
      <c r="AF13" s="10">
        <v>0.85616000000000003</v>
      </c>
      <c r="AG13" s="10">
        <v>8.4894949999999998</v>
      </c>
      <c r="AH13" s="10">
        <v>0.28260150000000001</v>
      </c>
      <c r="AI13" s="10">
        <v>0.2346249</v>
      </c>
      <c r="AJ13" s="10">
        <v>2.1229619999999998</v>
      </c>
      <c r="AK13" s="10">
        <v>10.5121</v>
      </c>
      <c r="AL13" s="10">
        <v>7.7978500000000004</v>
      </c>
      <c r="AM13" s="10">
        <v>3.4116209999999998E-4</v>
      </c>
      <c r="AR13" s="3" t="s">
        <v>510</v>
      </c>
      <c r="AS13" s="3" t="s">
        <v>511</v>
      </c>
    </row>
    <row r="14" spans="1:219" ht="15.75" customHeight="1">
      <c r="A14" s="6">
        <f t="shared" si="1"/>
        <v>44565</v>
      </c>
      <c r="B14" s="6">
        <v>44565.998611111107</v>
      </c>
      <c r="C14" s="10">
        <v>357067.53869999998</v>
      </c>
      <c r="D14" s="10">
        <v>29560.057059999999</v>
      </c>
      <c r="E14" s="10">
        <v>1141.31675</v>
      </c>
      <c r="F14" s="10">
        <v>3330.892875</v>
      </c>
      <c r="G14" s="10">
        <v>7.5597830000000005E-2</v>
      </c>
      <c r="H14" s="10">
        <v>5.6431630000000004</v>
      </c>
      <c r="I14" s="10">
        <v>1.3728050000000001</v>
      </c>
      <c r="J14" s="10">
        <v>6.1347750000000003</v>
      </c>
      <c r="K14" s="10">
        <v>1.2229509999999999</v>
      </c>
      <c r="L14" s="10">
        <v>1.1823969999999999</v>
      </c>
      <c r="M14" s="10">
        <v>0.49544838349999998</v>
      </c>
      <c r="N14" s="10">
        <v>8.7949999999999999</v>
      </c>
      <c r="O14" s="10">
        <v>5.9576135010000003E-2</v>
      </c>
      <c r="P14" s="10">
        <v>0.1045804</v>
      </c>
      <c r="Q14" s="10">
        <v>5.465E-4</v>
      </c>
      <c r="R14" s="10">
        <v>6.709495E-2</v>
      </c>
      <c r="S14" s="10">
        <v>6.5084729999999999E-3</v>
      </c>
      <c r="T14" s="10">
        <v>9.5743486720000007E-3</v>
      </c>
      <c r="U14" s="10">
        <v>1.8632690000000001</v>
      </c>
      <c r="V14" s="10">
        <v>0.37951040000000003</v>
      </c>
      <c r="W14" s="10">
        <v>4.3288763269999997</v>
      </c>
      <c r="X14" s="10">
        <v>5.3099299999999996</v>
      </c>
      <c r="Y14" s="10">
        <v>1.969303808</v>
      </c>
      <c r="Z14" s="10">
        <v>0.15109829999999999</v>
      </c>
      <c r="AA14" s="10">
        <v>2.1405518780000001</v>
      </c>
      <c r="AB14" s="10">
        <v>0.103501</v>
      </c>
      <c r="AC14" s="10">
        <v>2.0752315239999999</v>
      </c>
      <c r="AD14" s="10">
        <v>5.7483659999999999</v>
      </c>
      <c r="AE14" s="10">
        <v>0.48611500000000002</v>
      </c>
      <c r="AF14" s="10">
        <v>0.85658999999999996</v>
      </c>
      <c r="AG14" s="10">
        <v>8.5062750000000005</v>
      </c>
      <c r="AH14" s="10">
        <v>0.28385739999999998</v>
      </c>
      <c r="AI14" s="10">
        <v>0.23452709999999999</v>
      </c>
      <c r="AJ14" s="10">
        <v>2.1218729999999999</v>
      </c>
      <c r="AK14" s="10">
        <v>10.545590000000001</v>
      </c>
      <c r="AL14" s="10">
        <v>7.7937500000000002</v>
      </c>
      <c r="AM14" s="10">
        <v>3.4252350000000002E-4</v>
      </c>
      <c r="AR14" s="3" t="s">
        <v>512</v>
      </c>
      <c r="AS14" s="3" t="s">
        <v>513</v>
      </c>
    </row>
    <row r="15" spans="1:219" ht="15.75" customHeight="1">
      <c r="A15" s="6">
        <f t="shared" si="1"/>
        <v>44566</v>
      </c>
      <c r="B15" s="6">
        <v>44566.998611111107</v>
      </c>
      <c r="C15" s="10">
        <v>339275.34860000003</v>
      </c>
      <c r="D15" s="10">
        <v>27556.017489999998</v>
      </c>
      <c r="E15" s="10">
        <v>1054.8518759999999</v>
      </c>
      <c r="F15" s="10">
        <v>3116.4589989999999</v>
      </c>
      <c r="G15" s="10">
        <v>7.5605259999999994E-2</v>
      </c>
      <c r="H15" s="10">
        <v>5.629416</v>
      </c>
      <c r="I15" s="10">
        <v>1.365426</v>
      </c>
      <c r="J15" s="10">
        <v>6.1097469999999996</v>
      </c>
      <c r="K15" s="10">
        <v>1.224766</v>
      </c>
      <c r="L15" s="10">
        <v>1.185395</v>
      </c>
      <c r="M15" s="10">
        <v>0.4960199777</v>
      </c>
      <c r="N15" s="10">
        <v>8.8180150000000008</v>
      </c>
      <c r="O15" s="10">
        <v>6.006503304E-2</v>
      </c>
      <c r="P15" s="10">
        <v>0.10493180000000001</v>
      </c>
      <c r="Q15" s="10">
        <v>5.4500000000000002E-4</v>
      </c>
      <c r="R15" s="10">
        <v>6.7128960000000001E-2</v>
      </c>
      <c r="S15" s="10">
        <v>6.4998599999999997E-3</v>
      </c>
      <c r="T15" s="10">
        <v>9.5659381430000003E-3</v>
      </c>
      <c r="U15" s="10">
        <v>1.8576999999999999</v>
      </c>
      <c r="V15" s="10">
        <v>0.37881999999999999</v>
      </c>
      <c r="W15" s="10">
        <v>4.3265686710000004</v>
      </c>
      <c r="X15" s="10">
        <v>5.2960799999999999</v>
      </c>
      <c r="Y15" s="10">
        <v>1.968001978</v>
      </c>
      <c r="Z15" s="10">
        <v>0.1515426</v>
      </c>
      <c r="AA15" s="10">
        <v>2.1409611059999998</v>
      </c>
      <c r="AB15" s="10">
        <v>0.1016407458</v>
      </c>
      <c r="AC15" s="10">
        <v>2.0754802520000002</v>
      </c>
      <c r="AD15" s="10">
        <v>5.7413920000000003</v>
      </c>
      <c r="AE15" s="10">
        <v>0.49043560000000003</v>
      </c>
      <c r="AF15" s="10">
        <v>0.85541</v>
      </c>
      <c r="AG15" s="10">
        <v>8.4968350000000008</v>
      </c>
      <c r="AH15" s="10">
        <v>0.28231319999999999</v>
      </c>
      <c r="AI15" s="10">
        <v>0.23452609999999999</v>
      </c>
      <c r="AJ15" s="10">
        <v>2.1222539999999999</v>
      </c>
      <c r="AK15" s="10">
        <v>10.567080000000001</v>
      </c>
      <c r="AL15" s="10">
        <v>7.7952399999999997</v>
      </c>
      <c r="AM15" s="10">
        <v>3.4251190000000002E-4</v>
      </c>
      <c r="AR15" s="3" t="s">
        <v>514</v>
      </c>
      <c r="AS15" s="3" t="s">
        <v>515</v>
      </c>
    </row>
    <row r="16" spans="1:219" ht="15.75" customHeight="1">
      <c r="A16" s="6">
        <f t="shared" si="1"/>
        <v>44567</v>
      </c>
      <c r="B16" s="6">
        <v>44567.998611111107</v>
      </c>
      <c r="C16" s="10">
        <v>336088.18859999999</v>
      </c>
      <c r="D16" s="10">
        <v>26589.563010000002</v>
      </c>
      <c r="E16" s="10">
        <v>1060.1314379999999</v>
      </c>
      <c r="F16" s="10">
        <v>3120.4840159999999</v>
      </c>
      <c r="G16" s="10">
        <v>7.5580380000000003E-2</v>
      </c>
      <c r="H16" s="10">
        <v>5.5869999999999997</v>
      </c>
      <c r="I16" s="10">
        <v>1.372474</v>
      </c>
      <c r="J16" s="10">
        <v>6.1286849999999999</v>
      </c>
      <c r="K16" s="10">
        <v>1.222046</v>
      </c>
      <c r="L16" s="10">
        <v>1.1844429999999999</v>
      </c>
      <c r="M16" s="10">
        <v>0.49638693449999999</v>
      </c>
      <c r="N16" s="10">
        <v>8.8111949999999997</v>
      </c>
      <c r="O16" s="10">
        <v>6.0186867870000001E-2</v>
      </c>
      <c r="P16" s="10">
        <v>0.1048727</v>
      </c>
      <c r="Q16" s="10">
        <v>5.4250000000000001E-4</v>
      </c>
      <c r="R16" s="10">
        <v>6.7324430000000005E-2</v>
      </c>
      <c r="S16" s="10">
        <v>6.4738469999999996E-3</v>
      </c>
      <c r="T16" s="10">
        <v>9.5606671420000004E-3</v>
      </c>
      <c r="U16" s="10">
        <v>1.8486450000000001</v>
      </c>
      <c r="V16" s="10">
        <v>0.38042229999999999</v>
      </c>
      <c r="W16" s="10">
        <v>4.3307032310000002</v>
      </c>
      <c r="X16" s="10">
        <v>5.25779</v>
      </c>
      <c r="Y16" s="10">
        <v>1.966352796</v>
      </c>
      <c r="Z16" s="10">
        <v>0.15116309999999999</v>
      </c>
      <c r="AA16" s="10">
        <v>2.1424936520000002</v>
      </c>
      <c r="AB16" s="10">
        <v>0.10211273379999999</v>
      </c>
      <c r="AC16" s="10">
        <v>2.0778338249999999</v>
      </c>
      <c r="AD16" s="10">
        <v>5.7327870000000001</v>
      </c>
      <c r="AE16" s="10">
        <v>0.4956354</v>
      </c>
      <c r="AF16" s="10">
        <v>0.85286499999999998</v>
      </c>
      <c r="AG16" s="10">
        <v>8.4666300000000003</v>
      </c>
      <c r="AH16" s="10">
        <v>0.28237770000000001</v>
      </c>
      <c r="AI16" s="10">
        <v>0.2324118</v>
      </c>
      <c r="AJ16" s="10">
        <v>2.1238329999999999</v>
      </c>
      <c r="AK16" s="10">
        <v>10.55748</v>
      </c>
      <c r="AL16" s="10">
        <v>7.8008199999999999</v>
      </c>
      <c r="AM16" s="10">
        <v>3.4289010000000003E-4</v>
      </c>
      <c r="AR16" s="3" t="s">
        <v>516</v>
      </c>
      <c r="AS16" s="3" t="s">
        <v>517</v>
      </c>
    </row>
    <row r="17" spans="1:45" ht="15.75" customHeight="1">
      <c r="A17" s="6">
        <f t="shared" si="1"/>
        <v>44568</v>
      </c>
      <c r="B17" s="6">
        <v>44568.998611111107</v>
      </c>
      <c r="C17" s="10">
        <v>324110.93329999998</v>
      </c>
      <c r="D17" s="10">
        <v>24881.195309999999</v>
      </c>
      <c r="E17" s="10">
        <v>1024.1459769999999</v>
      </c>
      <c r="F17" s="10">
        <v>3005.4559479999998</v>
      </c>
      <c r="G17" s="10">
        <v>7.5501460000000006E-2</v>
      </c>
      <c r="H17" s="10">
        <v>5.5994590000000004</v>
      </c>
      <c r="I17" s="10">
        <v>1.38368</v>
      </c>
      <c r="J17" s="10">
        <v>6.1671139999999998</v>
      </c>
      <c r="K17" s="10">
        <v>1.2228509999999999</v>
      </c>
      <c r="L17" s="10">
        <v>1.190958</v>
      </c>
      <c r="M17" s="10">
        <v>0.4961527121</v>
      </c>
      <c r="N17" s="10">
        <v>8.8602000000000007</v>
      </c>
      <c r="O17" s="10">
        <v>6.0615623049999998E-2</v>
      </c>
      <c r="P17" s="10">
        <v>0.1049866</v>
      </c>
      <c r="Q17" s="10">
        <v>5.4199999999999995E-4</v>
      </c>
      <c r="R17" s="10">
        <v>6.7496719999999996E-2</v>
      </c>
      <c r="S17" s="10">
        <v>6.511083E-3</v>
      </c>
      <c r="T17" s="10">
        <v>9.5384335469999998E-3</v>
      </c>
      <c r="U17" s="10">
        <v>1.8620220000000001</v>
      </c>
      <c r="V17" s="10">
        <v>0.3828105</v>
      </c>
      <c r="W17" s="10">
        <v>4.328969292</v>
      </c>
      <c r="X17" s="10">
        <v>5.2853089999999998</v>
      </c>
      <c r="Y17" s="10">
        <v>1.97198121</v>
      </c>
      <c r="Z17" s="10">
        <v>0.1509018</v>
      </c>
      <c r="AA17" s="10">
        <v>2.1416285049999999</v>
      </c>
      <c r="AB17" s="10">
        <v>0.1030072207</v>
      </c>
      <c r="AC17" s="10">
        <v>2.0773300880000001</v>
      </c>
      <c r="AD17" s="10">
        <v>5.751055</v>
      </c>
      <c r="AE17" s="10">
        <v>0.50116810000000001</v>
      </c>
      <c r="AF17" s="10">
        <v>0.86138000000000003</v>
      </c>
      <c r="AG17" s="10">
        <v>8.4879850000000001</v>
      </c>
      <c r="AH17" s="10">
        <v>0.28232479999999999</v>
      </c>
      <c r="AI17" s="10">
        <v>0.2317845</v>
      </c>
      <c r="AJ17" s="10">
        <v>2.1231149999999999</v>
      </c>
      <c r="AK17" s="10">
        <v>10.599500000000001</v>
      </c>
      <c r="AL17" s="10">
        <v>7.7976700000000001</v>
      </c>
      <c r="AM17" s="10">
        <v>3.436844E-4</v>
      </c>
      <c r="AR17" s="3" t="s">
        <v>518</v>
      </c>
      <c r="AS17" s="3" t="s">
        <v>519</v>
      </c>
    </row>
    <row r="18" spans="1:45" ht="15.75" customHeight="1">
      <c r="A18" s="6">
        <f t="shared" si="1"/>
        <v>44569</v>
      </c>
      <c r="B18" s="6">
        <v>44569.998611111107</v>
      </c>
      <c r="C18" s="10">
        <v>325065.1568</v>
      </c>
      <c r="D18" s="10">
        <v>24094.005840000002</v>
      </c>
      <c r="E18" s="10">
        <v>1012.046502</v>
      </c>
      <c r="F18" s="10">
        <v>2907.4697019999999</v>
      </c>
      <c r="G18" s="10">
        <v>7.5919970000000003E-2</v>
      </c>
      <c r="H18" s="10">
        <v>5.5999660000000002</v>
      </c>
      <c r="I18" s="10">
        <v>1.3770519999999999</v>
      </c>
      <c r="J18" s="10">
        <v>6.1668139999999996</v>
      </c>
      <c r="K18" s="10">
        <v>1.2227079999999999</v>
      </c>
      <c r="L18" s="10">
        <v>1.190958</v>
      </c>
      <c r="M18" s="10">
        <v>0.49618452629999998</v>
      </c>
      <c r="N18" s="10">
        <v>8.8601500000000009</v>
      </c>
      <c r="O18" s="10">
        <v>6.0751066319999998E-2</v>
      </c>
      <c r="P18" s="10">
        <v>0.1049866</v>
      </c>
      <c r="Q18" s="10">
        <v>5.4199999999999995E-4</v>
      </c>
      <c r="R18" s="10">
        <v>6.7478910000000003E-2</v>
      </c>
      <c r="S18" s="10">
        <v>6.511083E-3</v>
      </c>
      <c r="T18" s="10">
        <v>9.5992275450000001E-3</v>
      </c>
      <c r="U18" s="10">
        <v>1.8620220000000001</v>
      </c>
      <c r="V18" s="10">
        <v>0.3826774</v>
      </c>
      <c r="W18" s="10">
        <v>4.3509624369999997</v>
      </c>
      <c r="X18" s="10">
        <v>5.2853089999999998</v>
      </c>
      <c r="Y18" s="10">
        <v>1.974618295</v>
      </c>
      <c r="Z18" s="10">
        <v>0.15192339999999999</v>
      </c>
      <c r="AA18" s="10">
        <v>2.1417658300000002</v>
      </c>
      <c r="AB18" s="10">
        <v>0.10301382570000001</v>
      </c>
      <c r="AC18" s="10">
        <v>2.0772175700000002</v>
      </c>
      <c r="AD18" s="10">
        <v>5.7519879999999999</v>
      </c>
      <c r="AE18" s="10">
        <v>0.50116810000000001</v>
      </c>
      <c r="AF18" s="10">
        <v>0.86138000000000003</v>
      </c>
      <c r="AG18" s="10">
        <v>8.4871350000000003</v>
      </c>
      <c r="AH18" s="10">
        <v>0.2830339</v>
      </c>
      <c r="AI18" s="10">
        <v>0.23202130000000001</v>
      </c>
      <c r="AJ18" s="10">
        <v>2.1231149999999999</v>
      </c>
      <c r="AK18" s="10">
        <v>10.599500000000001</v>
      </c>
      <c r="AL18" s="10">
        <v>7.7981699999999998</v>
      </c>
      <c r="AM18" s="10">
        <v>3.436844E-4</v>
      </c>
      <c r="AR18" s="3" t="s">
        <v>520</v>
      </c>
      <c r="AS18" s="3" t="s">
        <v>521</v>
      </c>
    </row>
    <row r="19" spans="1:45" ht="15.75" customHeight="1">
      <c r="A19" s="6">
        <f t="shared" si="1"/>
        <v>44570</v>
      </c>
      <c r="B19" s="6">
        <v>44570.998611111107</v>
      </c>
      <c r="C19" s="10">
        <v>326472.57459999999</v>
      </c>
      <c r="D19" s="10">
        <v>24573.406620000002</v>
      </c>
      <c r="E19" s="10">
        <v>1020.860398</v>
      </c>
      <c r="F19" s="10">
        <v>2939.4478530000001</v>
      </c>
      <c r="G19" s="10">
        <v>7.5873490000000002E-2</v>
      </c>
      <c r="H19" s="10">
        <v>5.5978700000000003</v>
      </c>
      <c r="I19" s="10">
        <v>1.3770519999999999</v>
      </c>
      <c r="J19" s="10">
        <v>6.1654549999999997</v>
      </c>
      <c r="K19" s="10">
        <v>1.2218640000000001</v>
      </c>
      <c r="L19" s="10">
        <v>1.190121</v>
      </c>
      <c r="M19" s="10">
        <v>0.49590591579999999</v>
      </c>
      <c r="N19" s="10">
        <v>8.8533849999999994</v>
      </c>
      <c r="O19" s="10">
        <v>6.075118317E-2</v>
      </c>
      <c r="P19" s="10">
        <v>0.10491730000000001</v>
      </c>
      <c r="Q19" s="10">
        <v>5.4199999999999995E-4</v>
      </c>
      <c r="R19" s="10">
        <v>6.7442299999999997E-2</v>
      </c>
      <c r="S19" s="10">
        <v>6.5068720000000004E-3</v>
      </c>
      <c r="T19" s="10">
        <v>9.5992460089999992E-3</v>
      </c>
      <c r="U19" s="10">
        <v>1.8607929999999999</v>
      </c>
      <c r="V19" s="10">
        <v>0.38235999999999998</v>
      </c>
      <c r="W19" s="10">
        <v>4.3509708060000003</v>
      </c>
      <c r="X19" s="10">
        <v>5.2831270000000004</v>
      </c>
      <c r="Y19" s="10">
        <v>1.974622093</v>
      </c>
      <c r="Z19" s="10">
        <v>0.15192339999999999</v>
      </c>
      <c r="AA19" s="10">
        <v>2.14176995</v>
      </c>
      <c r="AB19" s="10">
        <v>0.1033246144</v>
      </c>
      <c r="AC19" s="10">
        <v>2.0775215619999998</v>
      </c>
      <c r="AD19" s="10">
        <v>5.7495000000000003</v>
      </c>
      <c r="AE19" s="10">
        <v>0.50035289999999999</v>
      </c>
      <c r="AF19" s="10">
        <v>0.86094499999999996</v>
      </c>
      <c r="AG19" s="10">
        <v>8.486065</v>
      </c>
      <c r="AH19" s="10">
        <v>0.28284720000000002</v>
      </c>
      <c r="AI19" s="10">
        <v>0.2318682</v>
      </c>
      <c r="AJ19" s="10">
        <v>2.1231110000000002</v>
      </c>
      <c r="AK19" s="10">
        <v>10.5984</v>
      </c>
      <c r="AL19" s="10">
        <v>7.7981850000000001</v>
      </c>
      <c r="AM19" s="10">
        <v>3.436844E-4</v>
      </c>
      <c r="AR19" s="3" t="s">
        <v>522</v>
      </c>
      <c r="AS19" s="3" t="s">
        <v>523</v>
      </c>
    </row>
    <row r="20" spans="1:45" ht="15.75" customHeight="1">
      <c r="A20" s="6">
        <f t="shared" si="1"/>
        <v>44571</v>
      </c>
      <c r="B20" s="6">
        <v>44571.998611111107</v>
      </c>
      <c r="C20" s="10">
        <v>326045.05489999999</v>
      </c>
      <c r="D20" s="10">
        <v>24038.581429999998</v>
      </c>
      <c r="E20" s="10">
        <v>986.33094200000005</v>
      </c>
      <c r="F20" s="10">
        <v>2834.2592260000001</v>
      </c>
      <c r="G20" s="10">
        <v>7.5356790000000007E-2</v>
      </c>
      <c r="H20" s="10">
        <v>5.5973550000000003</v>
      </c>
      <c r="I20" s="10">
        <v>1.376352</v>
      </c>
      <c r="J20" s="10">
        <v>6.1548910000000001</v>
      </c>
      <c r="K20" s="10">
        <v>1.222642</v>
      </c>
      <c r="L20" s="10">
        <v>1.1872149999999999</v>
      </c>
      <c r="M20" s="10">
        <v>0.49561339119999998</v>
      </c>
      <c r="N20" s="10">
        <v>8.8331</v>
      </c>
      <c r="O20" s="10">
        <v>6.033472594E-2</v>
      </c>
      <c r="P20" s="10">
        <v>0.10526249999999999</v>
      </c>
      <c r="Q20" s="10">
        <v>5.4299999999999997E-4</v>
      </c>
      <c r="R20" s="10">
        <v>6.7625930000000001E-2</v>
      </c>
      <c r="S20" s="10">
        <v>6.5063530000000003E-3</v>
      </c>
      <c r="T20" s="10">
        <v>9.5484075039999998E-3</v>
      </c>
      <c r="U20" s="10">
        <v>1.8570199999999999</v>
      </c>
      <c r="V20" s="10">
        <v>0.38266</v>
      </c>
      <c r="W20" s="10">
        <v>4.3290635699999997</v>
      </c>
      <c r="X20" s="10">
        <v>5.2746579999999996</v>
      </c>
      <c r="Y20" s="10">
        <v>1.9822755729999999</v>
      </c>
      <c r="Z20" s="10">
        <v>0.151062</v>
      </c>
      <c r="AA20" s="10">
        <v>2.1411286430000001</v>
      </c>
      <c r="AB20" s="10">
        <v>0.1041453136</v>
      </c>
      <c r="AC20" s="10">
        <v>2.0767467719999999</v>
      </c>
      <c r="AD20" s="10">
        <v>5.749593</v>
      </c>
      <c r="AE20" s="10">
        <v>0.4971315</v>
      </c>
      <c r="AF20" s="10">
        <v>0.85660000000000003</v>
      </c>
      <c r="AG20" s="10">
        <v>8.4068310000000004</v>
      </c>
      <c r="AH20" s="10">
        <v>0.28229199999999999</v>
      </c>
      <c r="AI20" s="10">
        <v>0.23191290000000001</v>
      </c>
      <c r="AJ20" s="10">
        <v>2.1222840000000001</v>
      </c>
      <c r="AK20" s="10">
        <v>10.585800000000001</v>
      </c>
      <c r="AL20" s="10">
        <v>7.7958499999999997</v>
      </c>
      <c r="AM20" s="10">
        <v>3.4339370000000002E-4</v>
      </c>
      <c r="AR20" s="3" t="s">
        <v>524</v>
      </c>
      <c r="AS20" s="3" t="s">
        <v>525</v>
      </c>
    </row>
    <row r="21" spans="1:45" ht="15.75" customHeight="1">
      <c r="A21" s="6">
        <f t="shared" si="1"/>
        <v>44572</v>
      </c>
      <c r="B21" s="6">
        <v>44572.998611111107</v>
      </c>
      <c r="C21" s="10">
        <v>332852.71679999999</v>
      </c>
      <c r="D21" s="10">
        <v>25226.214390000001</v>
      </c>
      <c r="E21" s="10">
        <v>1026.5118279999999</v>
      </c>
      <c r="F21" s="10">
        <v>2883.3077739999999</v>
      </c>
      <c r="G21" s="10">
        <v>7.5313779999999997E-2</v>
      </c>
      <c r="H21" s="10">
        <v>5.6201999999999996</v>
      </c>
      <c r="I21" s="10">
        <v>1.3998429999999999</v>
      </c>
      <c r="J21" s="10">
        <v>6.1987819999999996</v>
      </c>
      <c r="K21" s="10">
        <v>1.223041</v>
      </c>
      <c r="L21" s="10">
        <v>1.190709</v>
      </c>
      <c r="M21" s="10">
        <v>0.49624506889999997</v>
      </c>
      <c r="N21" s="10">
        <v>8.8614999999999995</v>
      </c>
      <c r="O21" s="10">
        <v>6.0275977809999999E-2</v>
      </c>
      <c r="P21" s="10">
        <v>0.1056082</v>
      </c>
      <c r="Q21" s="10">
        <v>5.4449999999999995E-4</v>
      </c>
      <c r="R21" s="10">
        <v>6.7600960000000002E-2</v>
      </c>
      <c r="S21" s="10">
        <v>6.5387539999999999E-3</v>
      </c>
      <c r="T21" s="10">
        <v>9.5600669000000006E-3</v>
      </c>
      <c r="U21" s="10">
        <v>1.864519</v>
      </c>
      <c r="V21" s="10">
        <v>0.38224900000000001</v>
      </c>
      <c r="W21" s="10">
        <v>4.3291481650000003</v>
      </c>
      <c r="X21" s="10">
        <v>5.2868019999999998</v>
      </c>
      <c r="Y21" s="10">
        <v>1.9946871500000001</v>
      </c>
      <c r="Z21" s="10">
        <v>0.1523717</v>
      </c>
      <c r="AA21" s="10">
        <v>2.1411967120000002</v>
      </c>
      <c r="AB21" s="10">
        <v>0.1046625753</v>
      </c>
      <c r="AC21" s="10">
        <v>2.0769335010000001</v>
      </c>
      <c r="AD21" s="10">
        <v>5.7722119999999997</v>
      </c>
      <c r="AE21" s="10">
        <v>0.50223989999999996</v>
      </c>
      <c r="AF21" s="10">
        <v>0.86271500000000001</v>
      </c>
      <c r="AG21" s="10">
        <v>8.4413400000000003</v>
      </c>
      <c r="AH21" s="10">
        <v>0.28174189999999999</v>
      </c>
      <c r="AI21" s="10">
        <v>0.23412769999999999</v>
      </c>
      <c r="AJ21" s="10">
        <v>2.1225260000000001</v>
      </c>
      <c r="AK21" s="10">
        <v>10.628500000000001</v>
      </c>
      <c r="AL21" s="10">
        <v>7.7960950000000002</v>
      </c>
      <c r="AM21" s="10">
        <v>3.4338169999999999E-4</v>
      </c>
      <c r="AR21" s="3" t="s">
        <v>526</v>
      </c>
      <c r="AS21" s="3" t="s">
        <v>527</v>
      </c>
    </row>
    <row r="22" spans="1:45" ht="15.75" customHeight="1">
      <c r="A22" s="6">
        <f t="shared" si="1"/>
        <v>44573</v>
      </c>
      <c r="B22" s="6">
        <v>44573.998611111107</v>
      </c>
      <c r="C22" s="10">
        <v>342240.8616</v>
      </c>
      <c r="D22" s="10">
        <v>26287.57156</v>
      </c>
      <c r="E22" s="10">
        <v>1106.626941</v>
      </c>
      <c r="F22" s="10">
        <v>2990.8225510000002</v>
      </c>
      <c r="G22" s="10">
        <v>7.5169200000000005E-2</v>
      </c>
      <c r="H22" s="10">
        <v>5.6739649999999999</v>
      </c>
      <c r="I22" s="10">
        <v>1.40815</v>
      </c>
      <c r="J22" s="10">
        <v>6.2316750000000001</v>
      </c>
      <c r="K22" s="10">
        <v>1.2252270000000001</v>
      </c>
      <c r="L22" s="10">
        <v>1.198107</v>
      </c>
      <c r="M22" s="10">
        <v>0.49563649040000002</v>
      </c>
      <c r="N22" s="10">
        <v>8.9149999999999991</v>
      </c>
      <c r="O22" s="10">
        <v>6.0637392470000002E-2</v>
      </c>
      <c r="P22" s="10">
        <v>0.1055929</v>
      </c>
      <c r="Q22" s="10">
        <v>5.4549999999999998E-4</v>
      </c>
      <c r="R22" s="10">
        <v>6.7944930000000001E-2</v>
      </c>
      <c r="S22" s="10">
        <v>6.5686399999999997E-3</v>
      </c>
      <c r="T22" s="10">
        <v>9.5495703289999994E-3</v>
      </c>
      <c r="U22" s="10">
        <v>1.874474</v>
      </c>
      <c r="V22" s="10">
        <v>0.38262930000000001</v>
      </c>
      <c r="W22" s="10">
        <v>4.3267547190000002</v>
      </c>
      <c r="X22" s="10">
        <v>5.334873</v>
      </c>
      <c r="Y22" s="10">
        <v>1.999858809</v>
      </c>
      <c r="Z22" s="10">
        <v>0.15275340000000001</v>
      </c>
      <c r="AA22" s="10">
        <v>2.1400857530000001</v>
      </c>
      <c r="AB22" s="10">
        <v>0.1044498242</v>
      </c>
      <c r="AC22" s="10">
        <v>2.0759501679999999</v>
      </c>
      <c r="AD22" s="10">
        <v>5.7870819999999998</v>
      </c>
      <c r="AE22" s="10">
        <v>0.50977119999999998</v>
      </c>
      <c r="AF22" s="10">
        <v>0.87104499999999996</v>
      </c>
      <c r="AG22" s="10">
        <v>8.5232150000000004</v>
      </c>
      <c r="AH22" s="10">
        <v>0.28219650000000002</v>
      </c>
      <c r="AI22" s="10">
        <v>0.23454349999999999</v>
      </c>
      <c r="AJ22" s="10">
        <v>2.1213479999999998</v>
      </c>
      <c r="AK22" s="10">
        <v>10.678699999999999</v>
      </c>
      <c r="AL22" s="10">
        <v>7.7920499999999997</v>
      </c>
      <c r="AM22" s="10">
        <v>3.4319750000000001E-4</v>
      </c>
      <c r="AR22" s="3" t="s">
        <v>528</v>
      </c>
      <c r="AS22" s="3" t="s">
        <v>529</v>
      </c>
    </row>
    <row r="23" spans="1:45" ht="15.75" customHeight="1">
      <c r="A23" s="6">
        <f t="shared" si="1"/>
        <v>44574</v>
      </c>
      <c r="B23" s="6">
        <v>44574.998611111107</v>
      </c>
      <c r="C23" s="10">
        <v>331627.6298</v>
      </c>
      <c r="D23" s="10">
        <v>25247.92353</v>
      </c>
      <c r="E23" s="10">
        <v>1065.561001</v>
      </c>
      <c r="F23" s="10">
        <v>2938.820667</v>
      </c>
      <c r="G23" s="10">
        <v>7.5045470000000003E-2</v>
      </c>
      <c r="H23" s="10">
        <v>5.6699120000000001</v>
      </c>
      <c r="I23" s="10">
        <v>1.4084950000000001</v>
      </c>
      <c r="J23" s="10">
        <v>6.2259440000000001</v>
      </c>
      <c r="K23" s="10">
        <v>1.2243599999999999</v>
      </c>
      <c r="L23" s="10">
        <v>1.198815</v>
      </c>
      <c r="M23" s="10">
        <v>0.49629438180000002</v>
      </c>
      <c r="N23" s="10">
        <v>8.9223999999999997</v>
      </c>
      <c r="O23" s="10">
        <v>6.0606964450000002E-2</v>
      </c>
      <c r="P23" s="10">
        <v>0.1052927</v>
      </c>
      <c r="Q23" s="10">
        <v>5.4500000000000002E-4</v>
      </c>
      <c r="R23" s="10">
        <v>6.8245589999999995E-2</v>
      </c>
      <c r="S23" s="10">
        <v>6.5611899999999997E-3</v>
      </c>
      <c r="T23" s="10">
        <v>9.5243601530000006E-3</v>
      </c>
      <c r="U23" s="10">
        <v>1.863726</v>
      </c>
      <c r="V23" s="10">
        <v>0.38290000000000002</v>
      </c>
      <c r="W23" s="10">
        <v>4.321941743</v>
      </c>
      <c r="X23" s="10">
        <v>5.3432500000000003</v>
      </c>
      <c r="Y23" s="10">
        <v>1.99901533</v>
      </c>
      <c r="Z23" s="10">
        <v>0.15176390000000001</v>
      </c>
      <c r="AA23" s="10">
        <v>2.1382353630000002</v>
      </c>
      <c r="AB23" s="10">
        <v>0.1020158888</v>
      </c>
      <c r="AC23" s="10">
        <v>2.0752405619999998</v>
      </c>
      <c r="AD23" s="10">
        <v>5.7862520000000002</v>
      </c>
      <c r="AE23" s="10">
        <v>0.50528090000000003</v>
      </c>
      <c r="AF23" s="10">
        <v>0.87179499999999999</v>
      </c>
      <c r="AG23" s="10">
        <v>8.5458689999999997</v>
      </c>
      <c r="AH23" s="10">
        <v>0.28245150000000002</v>
      </c>
      <c r="AI23" s="10">
        <v>0.23440520000000001</v>
      </c>
      <c r="AJ23" s="10">
        <v>2.1202390000000002</v>
      </c>
      <c r="AK23" s="10">
        <v>10.67878</v>
      </c>
      <c r="AL23" s="10">
        <v>7.7880500000000001</v>
      </c>
      <c r="AM23" s="10">
        <v>3.4278599999999998E-4</v>
      </c>
      <c r="AR23" s="3" t="s">
        <v>530</v>
      </c>
      <c r="AS23" s="3" t="s">
        <v>531</v>
      </c>
    </row>
    <row r="24" spans="1:45" ht="15.75" customHeight="1">
      <c r="A24" s="6">
        <f t="shared" si="1"/>
        <v>44575</v>
      </c>
      <c r="B24" s="6">
        <v>44575.998611111107</v>
      </c>
      <c r="C24" s="10">
        <v>335521.40509999997</v>
      </c>
      <c r="D24" s="10">
        <v>25800.559880000001</v>
      </c>
      <c r="E24" s="10">
        <v>1127.8763120000001</v>
      </c>
      <c r="F24" s="10">
        <v>3006.450531</v>
      </c>
      <c r="G24" s="10">
        <v>7.4962550000000003E-2</v>
      </c>
      <c r="H24" s="10">
        <v>5.6120400000000004</v>
      </c>
      <c r="I24" s="10">
        <v>1.4065719999999999</v>
      </c>
      <c r="J24" s="10">
        <v>6.2027939999999999</v>
      </c>
      <c r="K24" s="10">
        <v>1.2255240000000001</v>
      </c>
      <c r="L24" s="10">
        <v>1.1939960000000001</v>
      </c>
      <c r="M24" s="10">
        <v>0.49612874200000001</v>
      </c>
      <c r="N24" s="10">
        <v>8.8862249999999996</v>
      </c>
      <c r="O24" s="10">
        <v>6.0540476830000002E-2</v>
      </c>
      <c r="P24" s="10">
        <v>0.1049789</v>
      </c>
      <c r="Q24" s="10">
        <v>5.4449999999999995E-4</v>
      </c>
      <c r="R24" s="10">
        <v>6.8171090000000004E-2</v>
      </c>
      <c r="S24" s="10">
        <v>6.5409580000000004E-3</v>
      </c>
      <c r="T24" s="10">
        <v>9.5228127529999994E-3</v>
      </c>
      <c r="U24" s="10">
        <v>1.857226</v>
      </c>
      <c r="V24" s="10">
        <v>0.38339820000000002</v>
      </c>
      <c r="W24" s="10">
        <v>4.3233660120000001</v>
      </c>
      <c r="X24" s="10">
        <v>5.2994630000000003</v>
      </c>
      <c r="Y24" s="10">
        <v>2.0123820139999999</v>
      </c>
      <c r="Z24" s="10">
        <v>0.1513999</v>
      </c>
      <c r="AA24" s="10">
        <v>2.1381212280000002</v>
      </c>
      <c r="AB24" s="10">
        <v>0.102137888</v>
      </c>
      <c r="AC24" s="10">
        <v>2.0747881860000001</v>
      </c>
      <c r="AD24" s="10">
        <v>5.7736270000000003</v>
      </c>
      <c r="AE24" s="10">
        <v>0.5058513</v>
      </c>
      <c r="AF24" s="10">
        <v>0.86278500000000002</v>
      </c>
      <c r="AG24" s="10">
        <v>8.5156240000000007</v>
      </c>
      <c r="AH24" s="10">
        <v>0.28282610000000002</v>
      </c>
      <c r="AI24" s="10">
        <v>0.23467650000000001</v>
      </c>
      <c r="AJ24" s="10">
        <v>2.1194989999999998</v>
      </c>
      <c r="AK24" s="10">
        <v>10.647930000000001</v>
      </c>
      <c r="AL24" s="10">
        <v>7.7849000000000004</v>
      </c>
      <c r="AM24" s="10">
        <v>3.4271650000000002E-4</v>
      </c>
      <c r="AR24" s="3" t="s">
        <v>532</v>
      </c>
      <c r="AS24" s="3" t="s">
        <v>533</v>
      </c>
    </row>
    <row r="25" spans="1:45" ht="15.75" customHeight="1">
      <c r="A25" s="6">
        <f t="shared" si="1"/>
        <v>44576</v>
      </c>
      <c r="B25" s="6">
        <v>44576.998611111107</v>
      </c>
      <c r="C25" s="10">
        <v>335997.84090000001</v>
      </c>
      <c r="D25" s="10">
        <v>25926.753110000001</v>
      </c>
      <c r="E25" s="10">
        <v>1150.063277</v>
      </c>
      <c r="F25" s="10">
        <v>3045.9978230000002</v>
      </c>
      <c r="G25" s="10">
        <v>7.4962550000000003E-2</v>
      </c>
      <c r="H25" s="10">
        <v>5.6120400000000004</v>
      </c>
      <c r="I25" s="10">
        <v>1.4065719999999999</v>
      </c>
      <c r="J25" s="10">
        <v>6.2027939999999999</v>
      </c>
      <c r="K25" s="10">
        <v>1.2255240000000001</v>
      </c>
      <c r="L25" s="10">
        <v>1.1939960000000001</v>
      </c>
      <c r="M25" s="10">
        <v>0.49612874200000001</v>
      </c>
      <c r="N25" s="10">
        <v>8.8862249999999996</v>
      </c>
      <c r="O25" s="10">
        <v>6.0654826119999998E-2</v>
      </c>
      <c r="P25" s="10">
        <v>0.1049789</v>
      </c>
      <c r="Q25" s="10">
        <v>5.4449999999999995E-4</v>
      </c>
      <c r="R25" s="10">
        <v>6.8171090000000004E-2</v>
      </c>
      <c r="S25" s="10">
        <v>6.5409580000000004E-3</v>
      </c>
      <c r="T25" s="10">
        <v>9.5319639030000004E-3</v>
      </c>
      <c r="U25" s="10">
        <v>1.857226</v>
      </c>
      <c r="V25" s="10">
        <v>0.38339820000000002</v>
      </c>
      <c r="W25" s="10">
        <v>4.3233660120000001</v>
      </c>
      <c r="X25" s="10">
        <v>5.2994630000000003</v>
      </c>
      <c r="Y25" s="10">
        <v>1.999871524</v>
      </c>
      <c r="Z25" s="10">
        <v>0.1513999</v>
      </c>
      <c r="AA25" s="10">
        <v>2.1381212280000002</v>
      </c>
      <c r="AB25" s="10">
        <v>0.102137888</v>
      </c>
      <c r="AC25" s="10">
        <v>2.0747881860000001</v>
      </c>
      <c r="AD25" s="10">
        <v>5.7736270000000003</v>
      </c>
      <c r="AE25" s="10">
        <v>0.5058513</v>
      </c>
      <c r="AF25" s="10">
        <v>0.86278500000000002</v>
      </c>
      <c r="AG25" s="10">
        <v>8.5156240000000007</v>
      </c>
      <c r="AH25" s="10">
        <v>0.28282610000000002</v>
      </c>
      <c r="AI25" s="10">
        <v>0.23467650000000001</v>
      </c>
      <c r="AJ25" s="10">
        <v>2.1194989999999998</v>
      </c>
      <c r="AK25" s="10">
        <v>10.647930000000001</v>
      </c>
      <c r="AL25" s="10">
        <v>7.7849000000000004</v>
      </c>
      <c r="AM25" s="10">
        <v>3.4271650000000002E-4</v>
      </c>
      <c r="AR25" s="3" t="s">
        <v>534</v>
      </c>
      <c r="AS25" s="3" t="s">
        <v>535</v>
      </c>
    </row>
    <row r="26" spans="1:45" ht="15.75" customHeight="1">
      <c r="A26" s="6">
        <f t="shared" si="1"/>
        <v>44577</v>
      </c>
      <c r="B26" s="6">
        <v>44577.998611111107</v>
      </c>
      <c r="C26" s="10">
        <v>335498.62420000002</v>
      </c>
      <c r="D26" s="10">
        <v>26088.66359</v>
      </c>
      <c r="E26" s="10">
        <v>1140.31405</v>
      </c>
      <c r="F26" s="10">
        <v>3024.7240790000001</v>
      </c>
      <c r="G26" s="10">
        <v>7.4914850000000005E-2</v>
      </c>
      <c r="H26" s="10">
        <v>5.6172409999999999</v>
      </c>
      <c r="I26" s="10">
        <v>1.4065719999999999</v>
      </c>
      <c r="J26" s="10">
        <v>6.20601</v>
      </c>
      <c r="K26" s="10">
        <v>1.2246360000000001</v>
      </c>
      <c r="L26" s="10">
        <v>1.1934929999999999</v>
      </c>
      <c r="M26" s="10">
        <v>0.49584146849999999</v>
      </c>
      <c r="N26" s="10">
        <v>8.8820099999999993</v>
      </c>
      <c r="O26" s="10">
        <v>6.0649722789999999E-2</v>
      </c>
      <c r="P26" s="10">
        <v>0.1049176</v>
      </c>
      <c r="Q26" s="10">
        <v>5.4449999999999995E-4</v>
      </c>
      <c r="R26" s="10">
        <v>6.8095520000000007E-2</v>
      </c>
      <c r="S26" s="10">
        <v>6.5368259999999999E-3</v>
      </c>
      <c r="T26" s="10">
        <v>9.5311619100000005E-3</v>
      </c>
      <c r="U26" s="10">
        <v>1.856142</v>
      </c>
      <c r="V26" s="10">
        <v>0.38335000000000002</v>
      </c>
      <c r="W26" s="10">
        <v>4.3230022559999997</v>
      </c>
      <c r="X26" s="10">
        <v>5.2991970000000004</v>
      </c>
      <c r="Y26" s="10">
        <v>1.99970326</v>
      </c>
      <c r="Z26" s="10">
        <v>0.1513999</v>
      </c>
      <c r="AA26" s="10">
        <v>2.137941332</v>
      </c>
      <c r="AB26" s="10">
        <v>0.1021292944</v>
      </c>
      <c r="AC26" s="10">
        <v>2.0744209950000001</v>
      </c>
      <c r="AD26" s="10">
        <v>5.7718999999999996</v>
      </c>
      <c r="AE26" s="10">
        <v>0.50700500000000004</v>
      </c>
      <c r="AF26" s="10">
        <v>0.86230499999999999</v>
      </c>
      <c r="AG26" s="10">
        <v>8.5111849999999993</v>
      </c>
      <c r="AH26" s="10">
        <v>0.28264240000000002</v>
      </c>
      <c r="AI26" s="10">
        <v>0.23452419999999999</v>
      </c>
      <c r="AJ26" s="10">
        <v>2.1193209999999998</v>
      </c>
      <c r="AK26" s="10">
        <v>10.6434</v>
      </c>
      <c r="AL26" s="10">
        <v>7.7842450000000003</v>
      </c>
      <c r="AM26" s="10">
        <v>3.4271650000000002E-4</v>
      </c>
      <c r="AR26" s="3" t="s">
        <v>536</v>
      </c>
      <c r="AS26" s="3" t="s">
        <v>537</v>
      </c>
    </row>
    <row r="27" spans="1:45" ht="15.75" customHeight="1">
      <c r="A27" s="6">
        <f t="shared" si="1"/>
        <v>44578</v>
      </c>
      <c r="B27" s="6">
        <v>44578.998611111107</v>
      </c>
      <c r="C27" s="10">
        <v>328852.33669999999</v>
      </c>
      <c r="D27" s="10">
        <v>25013.935570000001</v>
      </c>
      <c r="E27" s="10">
        <v>1179.0354179999999</v>
      </c>
      <c r="F27" s="10">
        <v>2966.4016980000001</v>
      </c>
      <c r="G27" s="10">
        <v>7.4866660000000002E-2</v>
      </c>
      <c r="H27" s="10">
        <v>5.6171769999999999</v>
      </c>
      <c r="I27" s="10">
        <v>1.411969</v>
      </c>
      <c r="J27" s="10">
        <v>6.2235060000000004</v>
      </c>
      <c r="K27" s="10">
        <v>1.2273829999999999</v>
      </c>
      <c r="L27" s="10">
        <v>1.194323</v>
      </c>
      <c r="M27" s="10">
        <v>0.49584868430000001</v>
      </c>
      <c r="N27" s="10">
        <v>8.8887049999999999</v>
      </c>
      <c r="O27" s="10">
        <v>6.0624513089999998E-2</v>
      </c>
      <c r="P27" s="10">
        <v>0.1049124</v>
      </c>
      <c r="Q27" s="10">
        <v>5.44E-4</v>
      </c>
      <c r="R27" s="10">
        <v>6.7993490000000004E-2</v>
      </c>
      <c r="S27" s="10">
        <v>6.5425179999999998E-3</v>
      </c>
      <c r="T27" s="10">
        <v>9.5191120830000007E-3</v>
      </c>
      <c r="U27" s="10">
        <v>1.86147</v>
      </c>
      <c r="V27" s="10">
        <v>0.38388</v>
      </c>
      <c r="W27" s="10">
        <v>4.3253913419999996</v>
      </c>
      <c r="X27" s="10">
        <v>5.2942840000000002</v>
      </c>
      <c r="Y27" s="10">
        <v>2.0145099649999998</v>
      </c>
      <c r="Z27" s="10">
        <v>0.15110370000000001</v>
      </c>
      <c r="AA27" s="10">
        <v>2.1395562730000002</v>
      </c>
      <c r="AB27" s="10">
        <v>0.10236224250000001</v>
      </c>
      <c r="AC27" s="10">
        <v>2.0759781799999999</v>
      </c>
      <c r="AD27" s="10">
        <v>5.7770070000000002</v>
      </c>
      <c r="AE27" s="10">
        <v>0.50573429999999997</v>
      </c>
      <c r="AF27" s="10">
        <v>0.86383500000000002</v>
      </c>
      <c r="AG27" s="10">
        <v>8.5232799999999997</v>
      </c>
      <c r="AH27" s="10">
        <v>0.28391270000000002</v>
      </c>
      <c r="AI27" s="10">
        <v>0.2354686</v>
      </c>
      <c r="AJ27" s="10">
        <v>2.1208649999999998</v>
      </c>
      <c r="AK27" s="10">
        <v>10.631629999999999</v>
      </c>
      <c r="AL27" s="10">
        <v>7.7901249999999997</v>
      </c>
      <c r="AM27" s="10">
        <v>3.4275370000000002E-4</v>
      </c>
      <c r="AR27" s="3" t="s">
        <v>538</v>
      </c>
      <c r="AS27" s="3" t="s">
        <v>539</v>
      </c>
    </row>
    <row r="28" spans="1:45" ht="15.75" customHeight="1">
      <c r="A28" s="6">
        <f t="shared" si="1"/>
        <v>44579</v>
      </c>
      <c r="B28" s="6">
        <v>44579.998611111107</v>
      </c>
      <c r="C28" s="10">
        <v>330169.27679999999</v>
      </c>
      <c r="D28" s="10">
        <v>24630.86478</v>
      </c>
      <c r="E28" s="10">
        <v>1104.4423629999999</v>
      </c>
      <c r="F28" s="10">
        <v>2972.6354919999999</v>
      </c>
      <c r="G28" s="10">
        <v>7.4843240000000005E-2</v>
      </c>
      <c r="H28" s="10">
        <v>5.6013999999999999</v>
      </c>
      <c r="I28" s="10">
        <v>1.399756</v>
      </c>
      <c r="J28" s="10">
        <v>6.2363910000000002</v>
      </c>
      <c r="K28" s="10">
        <v>1.226945</v>
      </c>
      <c r="L28" s="10">
        <v>1.1863349999999999</v>
      </c>
      <c r="M28" s="10">
        <v>0.49515052320000003</v>
      </c>
      <c r="N28" s="10">
        <v>8.8294999999999995</v>
      </c>
      <c r="O28" s="10">
        <v>6.0557817700000002E-2</v>
      </c>
      <c r="P28" s="10">
        <v>0.1045118</v>
      </c>
      <c r="Q28" s="10">
        <v>5.4350000000000004E-4</v>
      </c>
      <c r="R28" s="10">
        <v>6.8018990000000001E-2</v>
      </c>
      <c r="S28" s="10">
        <v>6.5324859999999997E-3</v>
      </c>
      <c r="T28" s="10">
        <v>9.5426022380000006E-3</v>
      </c>
      <c r="U28" s="10">
        <v>1.8536820000000001</v>
      </c>
      <c r="V28" s="10">
        <v>0.38194220000000001</v>
      </c>
      <c r="W28" s="10">
        <v>4.3264419739999997</v>
      </c>
      <c r="X28" s="10">
        <v>5.2760369999999996</v>
      </c>
      <c r="Y28" s="10">
        <v>2.0043034839999998</v>
      </c>
      <c r="Z28" s="10">
        <v>0.150508</v>
      </c>
      <c r="AA28" s="10">
        <v>2.140231317</v>
      </c>
      <c r="AB28" s="10">
        <v>0.1013814658</v>
      </c>
      <c r="AC28" s="10">
        <v>2.0769496059999999</v>
      </c>
      <c r="AD28" s="10">
        <v>5.7694869999999998</v>
      </c>
      <c r="AE28" s="10">
        <v>0.50222979999999995</v>
      </c>
      <c r="AF28" s="10">
        <v>0.85297999999999996</v>
      </c>
      <c r="AG28" s="10">
        <v>8.4962929999999997</v>
      </c>
      <c r="AH28" s="10">
        <v>0.28308519999999998</v>
      </c>
      <c r="AI28" s="10">
        <v>0.23552219999999999</v>
      </c>
      <c r="AJ28" s="10">
        <v>2.1214940000000002</v>
      </c>
      <c r="AK28" s="10">
        <v>10.598280000000001</v>
      </c>
      <c r="AL28" s="10">
        <v>7.7925800000000001</v>
      </c>
      <c r="AM28" s="10">
        <v>3.4236210000000001E-4</v>
      </c>
      <c r="AR28" s="3" t="s">
        <v>540</v>
      </c>
      <c r="AS28" s="3" t="s">
        <v>541</v>
      </c>
    </row>
    <row r="29" spans="1:45" ht="15.75" customHeight="1">
      <c r="A29" s="6">
        <f t="shared" si="1"/>
        <v>44580</v>
      </c>
      <c r="B29" s="6">
        <v>44580.998611111107</v>
      </c>
      <c r="C29" s="10">
        <v>324970.34970000002</v>
      </c>
      <c r="D29" s="10">
        <v>24071.251560000001</v>
      </c>
      <c r="E29" s="10">
        <v>1061.1798269999999</v>
      </c>
      <c r="F29" s="10">
        <v>2875.7817479999999</v>
      </c>
      <c r="G29" s="10">
        <v>7.4768029999999999E-2</v>
      </c>
      <c r="H29" s="10">
        <v>5.6231</v>
      </c>
      <c r="I29" s="10">
        <v>1.4325479999999999</v>
      </c>
      <c r="J29" s="10">
        <v>6.2265430000000004</v>
      </c>
      <c r="K29" s="10">
        <v>1.228065</v>
      </c>
      <c r="L29" s="10">
        <v>1.1875960000000001</v>
      </c>
      <c r="M29" s="10">
        <v>0.49593485790000003</v>
      </c>
      <c r="N29" s="10">
        <v>8.8390000000000004</v>
      </c>
      <c r="O29" s="10">
        <v>6.086980468E-2</v>
      </c>
      <c r="P29" s="10">
        <v>0.1046556</v>
      </c>
      <c r="Q29" s="10">
        <v>5.44E-4</v>
      </c>
      <c r="R29" s="10">
        <v>6.8135849999999998E-2</v>
      </c>
      <c r="S29" s="10">
        <v>6.5570630000000001E-3</v>
      </c>
      <c r="T29" s="10">
        <v>9.5431778660000008E-3</v>
      </c>
      <c r="U29" s="10">
        <v>1.8592759999999999</v>
      </c>
      <c r="V29" s="10">
        <v>0.3797835</v>
      </c>
      <c r="W29" s="10">
        <v>4.3252856069999996</v>
      </c>
      <c r="X29" s="10">
        <v>5.2829290000000002</v>
      </c>
      <c r="Y29" s="10">
        <v>2.0170864129999999</v>
      </c>
      <c r="Z29" s="10">
        <v>0.1507532</v>
      </c>
      <c r="AA29" s="10">
        <v>2.1398885989999998</v>
      </c>
      <c r="AB29" s="10">
        <v>0.1020664885</v>
      </c>
      <c r="AC29" s="10">
        <v>2.0770237040000001</v>
      </c>
      <c r="AD29" s="10">
        <v>5.7811079999999997</v>
      </c>
      <c r="AE29" s="10">
        <v>0.50848000000000004</v>
      </c>
      <c r="AF29" s="10">
        <v>0.85494000000000003</v>
      </c>
      <c r="AG29" s="10">
        <v>8.5088200000000001</v>
      </c>
      <c r="AH29" s="10">
        <v>0.28266920000000001</v>
      </c>
      <c r="AI29" s="10">
        <v>0.23683460000000001</v>
      </c>
      <c r="AJ29" s="10">
        <v>2.1212179999999998</v>
      </c>
      <c r="AK29" s="10">
        <v>10.602399999999999</v>
      </c>
      <c r="AL29" s="10">
        <v>7.7913350000000001</v>
      </c>
      <c r="AM29" s="10">
        <v>3.4314669999999998E-4</v>
      </c>
      <c r="AR29" s="3" t="s">
        <v>542</v>
      </c>
      <c r="AS29" s="3" t="s">
        <v>543</v>
      </c>
    </row>
    <row r="30" spans="1:45" ht="15.75" customHeight="1">
      <c r="A30" s="6">
        <f t="shared" si="1"/>
        <v>44581</v>
      </c>
      <c r="B30" s="6">
        <v>44581.998611111107</v>
      </c>
      <c r="C30" s="10">
        <v>316488.65389999998</v>
      </c>
      <c r="D30" s="10">
        <v>23350.017830000001</v>
      </c>
      <c r="E30" s="10">
        <v>1010.66823</v>
      </c>
      <c r="F30" s="10">
        <v>2782.218582</v>
      </c>
      <c r="G30" s="10">
        <v>7.4678129999999995E-2</v>
      </c>
      <c r="H30" s="10">
        <v>5.6185859999999996</v>
      </c>
      <c r="I30" s="10">
        <v>1.4364889999999999</v>
      </c>
      <c r="J30" s="10">
        <v>6.2290559999999999</v>
      </c>
      <c r="K30" s="10">
        <v>1.22804</v>
      </c>
      <c r="L30" s="10">
        <v>1.1834469999999999</v>
      </c>
      <c r="M30" s="10">
        <v>0.4947923937</v>
      </c>
      <c r="N30" s="10">
        <v>8.8091000000000008</v>
      </c>
      <c r="O30" s="10">
        <v>6.058001977E-2</v>
      </c>
      <c r="P30" s="10">
        <v>0.10455449999999999</v>
      </c>
      <c r="Q30" s="10">
        <v>5.4250000000000001E-4</v>
      </c>
      <c r="R30" s="10">
        <v>6.8307629999999994E-2</v>
      </c>
      <c r="S30" s="10">
        <v>6.5307660000000003E-3</v>
      </c>
      <c r="T30" s="10">
        <v>9.5382299170000007E-3</v>
      </c>
      <c r="U30" s="10">
        <v>1.8545860000000001</v>
      </c>
      <c r="V30" s="10">
        <v>0.37918649999999998</v>
      </c>
      <c r="W30" s="10">
        <v>4.3220907610000001</v>
      </c>
      <c r="X30" s="10">
        <v>5.2561200000000001</v>
      </c>
      <c r="Y30" s="10">
        <v>2.0307600809999999</v>
      </c>
      <c r="Z30" s="10">
        <v>0.15094080000000001</v>
      </c>
      <c r="AA30" s="10">
        <v>2.1385202479999998</v>
      </c>
      <c r="AB30" s="10">
        <v>0.1014172087</v>
      </c>
      <c r="AC30" s="10">
        <v>2.0757210000000001</v>
      </c>
      <c r="AD30" s="10">
        <v>5.7797239999999999</v>
      </c>
      <c r="AE30" s="10">
        <v>0.51109260000000001</v>
      </c>
      <c r="AF30" s="10">
        <v>0.84392999999999996</v>
      </c>
      <c r="AG30" s="10">
        <v>8.4913100000000004</v>
      </c>
      <c r="AH30" s="10">
        <v>0.28180749999999999</v>
      </c>
      <c r="AI30" s="10">
        <v>0.2367592</v>
      </c>
      <c r="AJ30" s="10">
        <v>2.1198030000000001</v>
      </c>
      <c r="AK30" s="10">
        <v>10.58708</v>
      </c>
      <c r="AL30" s="10">
        <v>7.7863499999999997</v>
      </c>
      <c r="AM30" s="10">
        <v>3.437448E-4</v>
      </c>
      <c r="AR30" s="3" t="s">
        <v>544</v>
      </c>
      <c r="AS30" s="3" t="s">
        <v>545</v>
      </c>
    </row>
    <row r="31" spans="1:45" ht="15.75" customHeight="1">
      <c r="A31" s="6">
        <f t="shared" si="1"/>
        <v>44582</v>
      </c>
      <c r="B31" s="6">
        <v>44582.998611111107</v>
      </c>
      <c r="C31" s="10">
        <v>298667.13650000002</v>
      </c>
      <c r="D31" s="10">
        <v>21629.461910000002</v>
      </c>
      <c r="E31" s="10">
        <v>949.60170389999996</v>
      </c>
      <c r="F31" s="10">
        <v>2615.7840489999999</v>
      </c>
      <c r="G31" s="10">
        <v>7.4619019999999994E-2</v>
      </c>
      <c r="H31" s="10">
        <v>5.5994999999999999</v>
      </c>
      <c r="I31" s="10">
        <v>1.428145</v>
      </c>
      <c r="J31" s="10">
        <v>6.2050400000000003</v>
      </c>
      <c r="K31" s="10">
        <v>1.2280580000000001</v>
      </c>
      <c r="L31" s="10">
        <v>1.186755</v>
      </c>
      <c r="M31" s="10">
        <v>0.49537647940000001</v>
      </c>
      <c r="N31" s="10">
        <v>8.8323999999999998</v>
      </c>
      <c r="O31" s="10">
        <v>6.0663354959999999E-2</v>
      </c>
      <c r="P31" s="10">
        <v>0.1047758</v>
      </c>
      <c r="Q31" s="10">
        <v>5.4250000000000001E-4</v>
      </c>
      <c r="R31" s="10">
        <v>6.849674E-2</v>
      </c>
      <c r="S31" s="10">
        <v>6.5307389999999998E-3</v>
      </c>
      <c r="T31" s="10">
        <v>9.5410960650000008E-3</v>
      </c>
      <c r="U31" s="10">
        <v>1.8623069999999999</v>
      </c>
      <c r="V31" s="10">
        <v>0.38086569999999997</v>
      </c>
      <c r="W31" s="10">
        <v>4.3214297139999998</v>
      </c>
      <c r="X31" s="10">
        <v>5.2355</v>
      </c>
      <c r="Y31" s="10">
        <v>2.031185743</v>
      </c>
      <c r="Z31" s="10">
        <v>0.15190619999999999</v>
      </c>
      <c r="AA31" s="10">
        <v>2.13829563</v>
      </c>
      <c r="AB31" s="10">
        <v>0.1005891122</v>
      </c>
      <c r="AC31" s="10">
        <v>2.0755570639999998</v>
      </c>
      <c r="AD31" s="10">
        <v>5.7898940000000003</v>
      </c>
      <c r="AE31" s="10">
        <v>0.51567499999999999</v>
      </c>
      <c r="AF31" s="10">
        <v>0.84777999999999998</v>
      </c>
      <c r="AG31" s="10">
        <v>8.5430449999999993</v>
      </c>
      <c r="AH31" s="10">
        <v>0.28102939999999998</v>
      </c>
      <c r="AI31" s="10">
        <v>0.2361615</v>
      </c>
      <c r="AJ31" s="10">
        <v>2.1196730000000001</v>
      </c>
      <c r="AK31" s="10">
        <v>10.56185</v>
      </c>
      <c r="AL31" s="10">
        <v>7.7855350000000003</v>
      </c>
      <c r="AM31" s="10">
        <v>3.4406079999999998E-4</v>
      </c>
      <c r="AR31" s="3" t="s">
        <v>546</v>
      </c>
      <c r="AS31" s="3" t="s">
        <v>547</v>
      </c>
    </row>
    <row r="32" spans="1:45" ht="15.75" customHeight="1">
      <c r="B32" s="3" t="str">
        <f ca="1">IFERROR(__xludf.DUMMYFUNCTION("GoogleFinance(""CURRENCY:"" &amp; C$5 &amp; ""HKD"",""close"",$A$3,DATEVALUE(today()), ""DAILY"")"),"Date")</f>
        <v>Date</v>
      </c>
      <c r="C32" s="10" t="str">
        <f ca="1">IFERROR(__xludf.DUMMYFUNCTION("""COMPUTED_VALUE"""),"Close")</f>
        <v>Close</v>
      </c>
      <c r="D32" s="3" t="str">
        <f ca="1">IFERROR(__xludf.DUMMYFUNCTION("index(GoogleFinance(""CURRENCY:"" &amp; D$5 &amp; ""HKD"",""close"",$A$3,DATEVALUE(today()), ""DAILY""),0,2)"),"Close")</f>
        <v>Close</v>
      </c>
      <c r="E32" s="3" t="str">
        <f ca="1">IFERROR(__xludf.DUMMYFUNCTION("index(GoogleFinance(""CURRENCY:"" &amp; E$5 &amp; ""HKD"",""close"",$A$3,DATEVALUE(today()), ""DAILY""),0,2)"),"Close")</f>
        <v>Close</v>
      </c>
      <c r="F32" s="3" t="str">
        <f ca="1">IFERROR(__xludf.DUMMYFUNCTION("index(GoogleFinance(""CURRENCY:"" &amp; F$5 &amp; ""HKD"",""close"",$A$3,DATEVALUE(today()), ""DAILY""),0,2)"),"Close")</f>
        <v>Close</v>
      </c>
      <c r="G32" s="3" t="str">
        <f ca="1">IFERROR(__xludf.DUMMYFUNCTION("index(GoogleFinance(""CURRENCY:"" &amp; G$5 &amp; ""HKD"",""close"",$A$3,DATEVALUE(today()), ""DAILY""),0,2)"),"Close")</f>
        <v>Close</v>
      </c>
      <c r="H32" s="3" t="str">
        <f ca="1">IFERROR(__xludf.DUMMYFUNCTION("index(GoogleFinance(""CURRENCY:"" &amp; H$5 &amp; ""HKD"",""close"",$A$3,DATEVALUE(today()), ""DAILY""),0,2)"),"Close")</f>
        <v>Close</v>
      </c>
      <c r="I32" s="3" t="str">
        <f ca="1">IFERROR(__xludf.DUMMYFUNCTION("index(GoogleFinance(""CURRENCY:"" &amp; I$5 &amp; ""HKD"",""close"",$A$3,DATEVALUE(today()), ""DAILY""),0,2)"),"Close")</f>
        <v>Close</v>
      </c>
      <c r="J32" s="3" t="str">
        <f ca="1">IFERROR(__xludf.DUMMYFUNCTION("index(GoogleFinance(""CURRENCY:"" &amp; J$5 &amp; ""HKD"",""close"",$A$3,DATEVALUE(today()), ""DAILY""),0,2)"),"Close")</f>
        <v>Close</v>
      </c>
      <c r="K32" s="3" t="str">
        <f ca="1">IFERROR(__xludf.DUMMYFUNCTION("index(GoogleFinance(""CURRENCY:"" &amp; K$5 &amp; ""HKD"",""close"",$A$3,DATEVALUE(today()), ""DAILY""),0,2)"),"Close")</f>
        <v>Close</v>
      </c>
      <c r="L32" s="3" t="str">
        <f ca="1">IFERROR(__xludf.DUMMYFUNCTION("index(GoogleFinance(""CURRENCY:"" &amp; L$5 &amp; ""HKD"",""close"",$A$3,DATEVALUE(today()), ""DAILY""),0,2)"),"Close")</f>
        <v>Close</v>
      </c>
      <c r="M32" s="3" t="str">
        <f ca="1">IFERROR(__xludf.DUMMYFUNCTION("index(GoogleFinance(""CURRENCY:"" &amp; M$5 &amp; ""HKD"",""close"",$A$3,DATEVALUE(today()), ""DAILY""),0,2)"),"Close")</f>
        <v>Close</v>
      </c>
      <c r="N32" s="3" t="str">
        <f ca="1">IFERROR(__xludf.DUMMYFUNCTION("index(GoogleFinance(""CURRENCY:"" &amp; N$5 &amp; ""HKD"",""close"",$A$3,DATEVALUE(today()), ""DAILY""),0,2)"),"Close")</f>
        <v>Close</v>
      </c>
      <c r="O32" s="3" t="str">
        <f ca="1">IFERROR(__xludf.DUMMYFUNCTION("index(GoogleFinance(""CURRENCY:"" &amp; O$5 &amp; ""HKD"",""close"",$A$3,DATEVALUE(today()), ""DAILY""),0,2)"),"Close")</f>
        <v>Close</v>
      </c>
      <c r="P32" s="3" t="str">
        <f ca="1">IFERROR(__xludf.DUMMYFUNCTION("index(GoogleFinance(""CURRENCY:"" &amp; P$5 &amp; ""HKD"",""close"",$A$3,DATEVALUE(today()), ""DAILY""),0,2)"),"Close")</f>
        <v>Close</v>
      </c>
      <c r="Q32" s="3" t="str">
        <f ca="1">IFERROR(__xludf.DUMMYFUNCTION("index(GoogleFinance(""CURRENCY:"" &amp; Q$5 &amp; ""HKD"",""close"",$A$3,DATEVALUE(today()), ""DAILY""),0,2)"),"Close")</f>
        <v>Close</v>
      </c>
      <c r="R32" s="3" t="str">
        <f ca="1">IFERROR(__xludf.DUMMYFUNCTION("index(GoogleFinance(""CURRENCY:"" &amp; R$5 &amp; ""HKD"",""close"",$A$3,DATEVALUE(today()), ""DAILY""),0,2)"),"Close")</f>
        <v>Close</v>
      </c>
      <c r="S32" s="3" t="str">
        <f ca="1">IFERROR(__xludf.DUMMYFUNCTION("index(GoogleFinance(""CURRENCY:"" &amp; S$5 &amp; ""HKD"",""close"",$A$3,DATEVALUE(today()), ""DAILY""),0,2)"),"Close")</f>
        <v>Close</v>
      </c>
      <c r="T32" s="3" t="str">
        <f ca="1">IFERROR(__xludf.DUMMYFUNCTION("index(GoogleFinance(""CURRENCY:"" &amp; T$5 &amp; ""HKD"",""close"",$A$3,DATEVALUE(today()), ""DAILY""),0,2)"),"Close")</f>
        <v>Close</v>
      </c>
      <c r="U32" s="3" t="str">
        <f ca="1">IFERROR(__xludf.DUMMYFUNCTION("index(GoogleFinance(""CURRENCY:"" &amp; U$5 &amp; ""HKD"",""close"",$A$3,DATEVALUE(today()), ""DAILY""),0,2)"),"Close")</f>
        <v>Close</v>
      </c>
      <c r="V32" s="3" t="str">
        <f ca="1">IFERROR(__xludf.DUMMYFUNCTION("index(GoogleFinance(""CURRENCY:"" &amp; V$5 &amp; ""HKD"",""close"",$A$3,DATEVALUE(today()), ""DAILY""),0,2)"),"Close")</f>
        <v>Close</v>
      </c>
      <c r="W32" s="3" t="str">
        <f ca="1">IFERROR(__xludf.DUMMYFUNCTION("index(GoogleFinance(""CURRENCY:"" &amp; W$5 &amp; ""HKD"",""close"",$A$3,DATEVALUE(today()), ""DAILY""),0,2)"),"Close")</f>
        <v>Close</v>
      </c>
      <c r="X32" s="3" t="str">
        <f ca="1">IFERROR(__xludf.DUMMYFUNCTION("index(GoogleFinance(""CURRENCY:"" &amp; X$5 &amp; ""HKD"",""close"",$A$3,DATEVALUE(today()), ""DAILY""),0,2)"),"Close")</f>
        <v>Close</v>
      </c>
      <c r="Y32" s="3" t="str">
        <f ca="1">IFERROR(__xludf.DUMMYFUNCTION("index(GoogleFinance(""CURRENCY:"" &amp; Y$5 &amp; ""HKD"",""close"",$A$3,DATEVALUE(today()), ""DAILY""),0,2)"),"Close")</f>
        <v>Close</v>
      </c>
      <c r="Z32" s="3" t="str">
        <f ca="1">IFERROR(__xludf.DUMMYFUNCTION("index(GoogleFinance(""CURRENCY:"" &amp; Z$5 &amp; ""HKD"",""close"",$A$3,DATEVALUE(today()), ""DAILY""),0,2)"),"Close")</f>
        <v>Close</v>
      </c>
      <c r="AA32" s="3" t="str">
        <f ca="1">IFERROR(__xludf.DUMMYFUNCTION("index(GoogleFinance(""CURRENCY:"" &amp; AA$5 &amp; ""HKD"",""close"",$A$3,DATEVALUE(today()), ""DAILY""),0,2)"),"Close")</f>
        <v>Close</v>
      </c>
      <c r="AB32" s="3" t="str">
        <f ca="1">IFERROR(__xludf.DUMMYFUNCTION("index(GoogleFinance(""CURRENCY:"" &amp; AB$5 &amp; ""HKD"",""close"",$A$3,DATEVALUE(today()), ""DAILY""),0,2)"),"Close")</f>
        <v>Close</v>
      </c>
      <c r="AC32" s="3" t="str">
        <f ca="1">IFERROR(__xludf.DUMMYFUNCTION("index(GoogleFinance(""CURRENCY:"" &amp; AC$5 &amp; ""HKD"",""close"",$A$3,DATEVALUE(today()), ""DAILY""),0,2)"),"Close")</f>
        <v>Close</v>
      </c>
      <c r="AD32" s="3" t="str">
        <f ca="1">IFERROR(__xludf.DUMMYFUNCTION("index(GoogleFinance(""CURRENCY:"" &amp; AD$5 &amp; ""HKD"",""close"",$A$3,DATEVALUE(today()), ""DAILY""),0,2)"),"Close")</f>
        <v>Close</v>
      </c>
      <c r="AE32" s="3" t="str">
        <f ca="1">IFERROR(__xludf.DUMMYFUNCTION("index(GoogleFinance(""CURRENCY:"" &amp; AE$5 &amp; ""HKD"",""close"",$A$3,DATEVALUE(today()), ""DAILY""),0,2)"),"Close")</f>
        <v>Close</v>
      </c>
      <c r="AF32" s="3" t="str">
        <f ca="1">IFERROR(__xludf.DUMMYFUNCTION("index(GoogleFinance(""CURRENCY:"" &amp; AF$5 &amp; ""HKD"",""close"",$A$3,DATEVALUE(today()), ""DAILY""),0,2)"),"Close")</f>
        <v>Close</v>
      </c>
      <c r="AG32" s="3" t="str">
        <f ca="1">IFERROR(__xludf.DUMMYFUNCTION("index(GoogleFinance(""CURRENCY:"" &amp; AG$5 &amp; ""HKD"",""close"",$A$3,DATEVALUE(today()), ""DAILY""),0,2)"),"Close")</f>
        <v>Close</v>
      </c>
      <c r="AH32" s="3" t="str">
        <f ca="1">IFERROR(__xludf.DUMMYFUNCTION("index(GoogleFinance(""CURRENCY:"" &amp; AH$5 &amp; ""HKD"",""close"",$A$3,DATEVALUE(today()), ""DAILY""),0,2)"),"Close")</f>
        <v>Close</v>
      </c>
      <c r="AI32" s="3" t="str">
        <f ca="1">IFERROR(__xludf.DUMMYFUNCTION("index(GoogleFinance(""CURRENCY:"" &amp; AI$5 &amp; ""HKD"",""close"",$A$3,DATEVALUE(today()), ""DAILY""),0,2)"),"Close")</f>
        <v>Close</v>
      </c>
      <c r="AJ32" s="3" t="str">
        <f ca="1">IFERROR(__xludf.DUMMYFUNCTION("index(GoogleFinance(""CURRENCY:"" &amp; AJ$5 &amp; ""HKD"",""close"",$A$3,DATEVALUE(today()), ""DAILY""),0,2)"),"Close")</f>
        <v>Close</v>
      </c>
      <c r="AK32" s="3" t="str">
        <f ca="1">IFERROR(__xludf.DUMMYFUNCTION("index(GoogleFinance(""CURRENCY:"" &amp; AK$5 &amp; ""HKD"",""close"",$A$3,DATEVALUE(today()), ""DAILY""),0,2)"),"Close")</f>
        <v>Close</v>
      </c>
      <c r="AL32" s="3" t="str">
        <f ca="1">IFERROR(__xludf.DUMMYFUNCTION("index(GoogleFinance(""CURRENCY:"" &amp; AL$5 &amp; ""HKD"",""close"",$A$3,DATEVALUE(today()), ""DAILY""),0,2)"),"Close")</f>
        <v>Close</v>
      </c>
      <c r="AM32" s="3" t="str">
        <f ca="1">IFERROR(__xludf.DUMMYFUNCTION("index(GoogleFinance(""CURRENCY:"" &amp; AM$5 &amp; ""HKD"",""close"",$A$3,DATEVALUE(today()), ""DAILY""),0,2)"),"Close")</f>
        <v>Close</v>
      </c>
      <c r="AR32" s="3" t="s">
        <v>548</v>
      </c>
      <c r="AS32" s="3" t="s">
        <v>549</v>
      </c>
    </row>
    <row r="33" spans="1:45" ht="15.75" customHeight="1">
      <c r="A33" s="6">
        <f t="shared" ref="A33:A210" ca="1" si="2">IF(B33="","",DATE(YEAR(B33),MONTH(B33),DAY(B33)))</f>
        <v>44581</v>
      </c>
      <c r="B33" s="421">
        <f ca="1">IFERROR(__xludf.DUMMYFUNCTION("""COMPUTED_VALUE"""),44581.9986111111)</f>
        <v>44581.998611111099</v>
      </c>
      <c r="C33" s="10">
        <f ca="1">IFERROR(__xludf.DUMMYFUNCTION("""COMPUTED_VALUE"""),316488.6539)</f>
        <v>316488.65389999998</v>
      </c>
      <c r="D33" s="10">
        <f ca="1">IFERROR(__xludf.DUMMYFUNCTION("""COMPUTED_VALUE"""),23350.01783)</f>
        <v>23350.017830000001</v>
      </c>
      <c r="E33" s="10">
        <f ca="1">IFERROR(__xludf.DUMMYFUNCTION("""COMPUTED_VALUE"""),1010.66823)</f>
        <v>1010.66823</v>
      </c>
      <c r="F33" s="10">
        <f ca="1">IFERROR(__xludf.DUMMYFUNCTION("""COMPUTED_VALUE"""),2782.218582)</f>
        <v>2782.218582</v>
      </c>
      <c r="G33" s="10">
        <f ca="1">IFERROR(__xludf.DUMMYFUNCTION("""COMPUTED_VALUE"""),0.07467813)</f>
        <v>7.4678129999999995E-2</v>
      </c>
      <c r="H33" s="10">
        <f ca="1">IFERROR(__xludf.DUMMYFUNCTION("""COMPUTED_VALUE"""),5.618586)</f>
        <v>5.6185859999999996</v>
      </c>
      <c r="I33" s="10">
        <f ca="1">IFERROR(__xludf.DUMMYFUNCTION("""COMPUTED_VALUE"""),1.436489)</f>
        <v>1.4364889999999999</v>
      </c>
      <c r="J33" s="10">
        <f ca="1">IFERROR(__xludf.DUMMYFUNCTION("""COMPUTED_VALUE"""),6.229056)</f>
        <v>6.2290559999999999</v>
      </c>
      <c r="K33" s="10">
        <f ca="1">IFERROR(__xludf.DUMMYFUNCTION("""COMPUTED_VALUE"""),1.22804)</f>
        <v>1.22804</v>
      </c>
      <c r="L33" s="10">
        <f ca="1">IFERROR(__xludf.DUMMYFUNCTION("""COMPUTED_VALUE"""),1.183447)</f>
        <v>1.1834469999999999</v>
      </c>
      <c r="M33" s="10">
        <f ca="1">IFERROR(__xludf.DUMMYFUNCTION("""COMPUTED_VALUE"""),0.4947923937)</f>
        <v>0.4947923937</v>
      </c>
      <c r="N33" s="10">
        <f ca="1">IFERROR(__xludf.DUMMYFUNCTION("""COMPUTED_VALUE"""),8.8091)</f>
        <v>8.8091000000000008</v>
      </c>
      <c r="O33" s="10">
        <f ca="1">IFERROR(__xludf.DUMMYFUNCTION("""COMPUTED_VALUE"""),0.06058001977)</f>
        <v>6.058001977E-2</v>
      </c>
      <c r="P33" s="10">
        <f ca="1">IFERROR(__xludf.DUMMYFUNCTION("""COMPUTED_VALUE"""),0.1045545)</f>
        <v>0.10455449999999999</v>
      </c>
      <c r="Q33" s="10">
        <f ca="1">IFERROR(__xludf.DUMMYFUNCTION("""COMPUTED_VALUE"""),0.0005425)</f>
        <v>5.4250000000000001E-4</v>
      </c>
      <c r="R33" s="10">
        <f ca="1">IFERROR(__xludf.DUMMYFUNCTION("""COMPUTED_VALUE"""),0.06830763)</f>
        <v>6.8307629999999994E-2</v>
      </c>
      <c r="S33" s="10">
        <f ca="1">IFERROR(__xludf.DUMMYFUNCTION("""COMPUTED_VALUE"""),0.006530766)</f>
        <v>6.5307660000000003E-3</v>
      </c>
      <c r="T33" s="10">
        <f ca="1">IFERROR(__xludf.DUMMYFUNCTION("""COMPUTED_VALUE"""),0.009538229917)</f>
        <v>9.5382299170000007E-3</v>
      </c>
      <c r="U33" s="10">
        <f ca="1">IFERROR(__xludf.DUMMYFUNCTION("""COMPUTED_VALUE"""),1.854586)</f>
        <v>1.8545860000000001</v>
      </c>
      <c r="V33" s="10">
        <f ca="1">IFERROR(__xludf.DUMMYFUNCTION("""COMPUTED_VALUE"""),0.3791865)</f>
        <v>0.37918649999999998</v>
      </c>
      <c r="W33" s="10">
        <f ca="1">IFERROR(__xludf.DUMMYFUNCTION("""COMPUTED_VALUE"""),4.322090761)</f>
        <v>4.3220907610000001</v>
      </c>
      <c r="X33" s="10">
        <f ca="1">IFERROR(__xludf.DUMMYFUNCTION("""COMPUTED_VALUE"""),5.25612)</f>
        <v>5.2561200000000001</v>
      </c>
      <c r="Y33" s="10">
        <f ca="1">IFERROR(__xludf.DUMMYFUNCTION("""COMPUTED_VALUE"""),2.030760081)</f>
        <v>2.0307600809999999</v>
      </c>
      <c r="Z33" s="10">
        <f ca="1">IFERROR(__xludf.DUMMYFUNCTION("""COMPUTED_VALUE"""),0.1509408)</f>
        <v>0.15094080000000001</v>
      </c>
      <c r="AA33" s="10">
        <f ca="1">IFERROR(__xludf.DUMMYFUNCTION("""COMPUTED_VALUE"""),2.138520248)</f>
        <v>2.1385202479999998</v>
      </c>
      <c r="AB33" s="10">
        <f ca="1">IFERROR(__xludf.DUMMYFUNCTION("""COMPUTED_VALUE"""),0.1014172087)</f>
        <v>0.1014172087</v>
      </c>
      <c r="AC33" s="10">
        <f ca="1">IFERROR(__xludf.DUMMYFUNCTION("""COMPUTED_VALUE"""),2.075721)</f>
        <v>2.0757210000000001</v>
      </c>
      <c r="AD33" s="10">
        <f ca="1">IFERROR(__xludf.DUMMYFUNCTION("""COMPUTED_VALUE"""),5.779724)</f>
        <v>5.7797239999999999</v>
      </c>
      <c r="AE33" s="10">
        <f ca="1">IFERROR(__xludf.DUMMYFUNCTION("""COMPUTED_VALUE"""),0.5110926)</f>
        <v>0.51109260000000001</v>
      </c>
      <c r="AF33" s="10">
        <f ca="1">IFERROR(__xludf.DUMMYFUNCTION("""COMPUTED_VALUE"""),0.84393)</f>
        <v>0.84392999999999996</v>
      </c>
      <c r="AG33" s="10">
        <f ca="1">IFERROR(__xludf.DUMMYFUNCTION("""COMPUTED_VALUE"""),8.49131)</f>
        <v>8.4913100000000004</v>
      </c>
      <c r="AH33" s="10">
        <f ca="1">IFERROR(__xludf.DUMMYFUNCTION("""COMPUTED_VALUE"""),0.2818075)</f>
        <v>0.28180749999999999</v>
      </c>
      <c r="AI33" s="10">
        <f ca="1">IFERROR(__xludf.DUMMYFUNCTION("""COMPUTED_VALUE"""),0.2367592)</f>
        <v>0.2367592</v>
      </c>
      <c r="AJ33" s="10">
        <f ca="1">IFERROR(__xludf.DUMMYFUNCTION("""COMPUTED_VALUE"""),2.119803)</f>
        <v>2.1198030000000001</v>
      </c>
      <c r="AK33" s="10">
        <f ca="1">IFERROR(__xludf.DUMMYFUNCTION("""COMPUTED_VALUE"""),10.58708)</f>
        <v>10.58708</v>
      </c>
      <c r="AL33" s="10">
        <f ca="1">IFERROR(__xludf.DUMMYFUNCTION("""COMPUTED_VALUE"""),7.78635)</f>
        <v>7.7863499999999997</v>
      </c>
      <c r="AM33" s="10">
        <f ca="1">IFERROR(__xludf.DUMMYFUNCTION("""COMPUTED_VALUE"""),0.0003437448)</f>
        <v>3.437448E-4</v>
      </c>
      <c r="AR33" s="3" t="s">
        <v>550</v>
      </c>
      <c r="AS33" s="3" t="s">
        <v>551</v>
      </c>
    </row>
    <row r="34" spans="1:45" ht="15.75" customHeight="1">
      <c r="A34" s="6">
        <f t="shared" ca="1" si="2"/>
        <v>44582</v>
      </c>
      <c r="B34" s="421">
        <f ca="1">IFERROR(__xludf.DUMMYFUNCTION("""COMPUTED_VALUE"""),44582.9986111111)</f>
        <v>44582.998611111099</v>
      </c>
      <c r="C34" s="10">
        <f ca="1">IFERROR(__xludf.DUMMYFUNCTION("""COMPUTED_VALUE"""),283868.0061)</f>
        <v>283868.0061</v>
      </c>
      <c r="D34" s="10">
        <f ca="1">IFERROR(__xludf.DUMMYFUNCTION("""COMPUTED_VALUE"""),20003.96237)</f>
        <v>20003.962370000001</v>
      </c>
      <c r="E34" s="10">
        <f ca="1">IFERROR(__xludf.DUMMYFUNCTION("""COMPUTED_VALUE"""),891.620664)</f>
        <v>891.62066400000003</v>
      </c>
      <c r="F34" s="10">
        <f ca="1">IFERROR(__xludf.DUMMYFUNCTION("""COMPUTED_VALUE"""),2445.163192)</f>
        <v>2445.163192</v>
      </c>
      <c r="G34" s="10">
        <f ca="1">IFERROR(__xludf.DUMMYFUNCTION("""COMPUTED_VALUE"""),0.07462139)</f>
        <v>7.4621389999999996E-2</v>
      </c>
      <c r="H34" s="10">
        <f ca="1">IFERROR(__xludf.DUMMYFUNCTION("""COMPUTED_VALUE"""),5.592253)</f>
        <v>5.5922530000000004</v>
      </c>
      <c r="I34" s="10">
        <f ca="1">IFERROR(__xludf.DUMMYFUNCTION("""COMPUTED_VALUE"""),1.426499)</f>
        <v>1.426499</v>
      </c>
      <c r="J34" s="10">
        <f ca="1">IFERROR(__xludf.DUMMYFUNCTION("""COMPUTED_VALUE"""),6.187991)</f>
        <v>6.1879910000000002</v>
      </c>
      <c r="K34" s="10">
        <f ca="1">IFERROR(__xludf.DUMMYFUNCTION("""COMPUTED_VALUE"""),1.228369)</f>
        <v>1.228369</v>
      </c>
      <c r="L34" s="10">
        <f ca="1">IFERROR(__xludf.DUMMYFUNCTION("""COMPUTED_VALUE"""),1.186643)</f>
        <v>1.1866429999999999</v>
      </c>
      <c r="M34" s="10">
        <f ca="1">IFERROR(__xludf.DUMMYFUNCTION("""COMPUTED_VALUE"""),0.4956882506)</f>
        <v>0.49568825059999999</v>
      </c>
      <c r="N34" s="10">
        <f ca="1">IFERROR(__xludf.DUMMYFUNCTION("""COMPUTED_VALUE"""),8.8319)</f>
        <v>8.8318999999999992</v>
      </c>
      <c r="O34" s="10">
        <f ca="1">IFERROR(__xludf.DUMMYFUNCTION("""COMPUTED_VALUE"""),0.06066064141)</f>
        <v>6.066064141E-2</v>
      </c>
      <c r="P34" s="10">
        <f ca="1">IFERROR(__xludf.DUMMYFUNCTION("""COMPUTED_VALUE"""),0.1046425)</f>
        <v>0.1046425</v>
      </c>
      <c r="Q34" s="10">
        <f ca="1">IFERROR(__xludf.DUMMYFUNCTION("""COMPUTED_VALUE"""),0.0005425)</f>
        <v>5.4250000000000001E-4</v>
      </c>
      <c r="R34" s="10">
        <f ca="1">IFERROR(__xludf.DUMMYFUNCTION("""COMPUTED_VALUE"""),0.06849342)</f>
        <v>6.8493419999999999E-2</v>
      </c>
      <c r="S34" s="10">
        <f ca="1">IFERROR(__xludf.DUMMYFUNCTION("""COMPUTED_VALUE"""),0.006528936)</f>
        <v>6.5289359999999999E-3</v>
      </c>
      <c r="T34" s="10">
        <f ca="1">IFERROR(__xludf.DUMMYFUNCTION("""COMPUTED_VALUE"""),0.009542156114)</f>
        <v>9.542156114E-3</v>
      </c>
      <c r="U34" s="10">
        <f ca="1">IFERROR(__xludf.DUMMYFUNCTION("""COMPUTED_VALUE"""),1.861886)</f>
        <v>1.8618859999999999</v>
      </c>
      <c r="V34" s="10">
        <f ca="1">IFERROR(__xludf.DUMMYFUNCTION("""COMPUTED_VALUE"""),0.380407)</f>
        <v>0.380407</v>
      </c>
      <c r="W34" s="10">
        <f ca="1">IFERROR(__xludf.DUMMYFUNCTION("""COMPUTED_VALUE"""),4.32190984)</f>
        <v>4.32190984</v>
      </c>
      <c r="X34" s="10">
        <f ca="1">IFERROR(__xludf.DUMMYFUNCTION("""COMPUTED_VALUE"""),5.231813)</f>
        <v>5.2318129999999998</v>
      </c>
      <c r="Y34" s="10">
        <f ca="1">IFERROR(__xludf.DUMMYFUNCTION("""COMPUTED_VALUE"""),2.031411415)</f>
        <v>2.031411415</v>
      </c>
      <c r="Z34" s="10">
        <f ca="1">IFERROR(__xludf.DUMMYFUNCTION("""COMPUTED_VALUE"""),0.1519007)</f>
        <v>0.1519007</v>
      </c>
      <c r="AA34" s="10">
        <f ca="1">IFERROR(__xludf.DUMMYFUNCTION("""COMPUTED_VALUE"""),2.138533202)</f>
        <v>2.1385332020000001</v>
      </c>
      <c r="AB34" s="10">
        <f ca="1">IFERROR(__xludf.DUMMYFUNCTION("""COMPUTED_VALUE"""),0.1003527427)</f>
        <v>0.1003527427</v>
      </c>
      <c r="AC34" s="10">
        <f ca="1">IFERROR(__xludf.DUMMYFUNCTION("""COMPUTED_VALUE"""),2.075824184)</f>
        <v>2.075824184</v>
      </c>
      <c r="AD34" s="10">
        <f ca="1">IFERROR(__xludf.DUMMYFUNCTION("""COMPUTED_VALUE"""),5.78817)</f>
        <v>5.78817</v>
      </c>
      <c r="AE34" s="10">
        <f ca="1">IFERROR(__xludf.DUMMYFUNCTION("""COMPUTED_VALUE"""),0.5154435)</f>
        <v>0.51544350000000005</v>
      </c>
      <c r="AF34" s="10">
        <f ca="1">IFERROR(__xludf.DUMMYFUNCTION("""COMPUTED_VALUE"""),0.84683)</f>
        <v>0.84682999999999997</v>
      </c>
      <c r="AG34" s="10">
        <f ca="1">IFERROR(__xludf.DUMMYFUNCTION("""COMPUTED_VALUE"""),8.539802)</f>
        <v>8.5398019999999999</v>
      </c>
      <c r="AH34" s="10">
        <f ca="1">IFERROR(__xludf.DUMMYFUNCTION("""COMPUTED_VALUE"""),0.2809584)</f>
        <v>0.2809584</v>
      </c>
      <c r="AI34" s="10">
        <f ca="1">IFERROR(__xludf.DUMMYFUNCTION("""COMPUTED_VALUE"""),0.2368276)</f>
        <v>0.2368276</v>
      </c>
      <c r="AJ34" s="10">
        <f ca="1">IFERROR(__xludf.DUMMYFUNCTION("""COMPUTED_VALUE"""),2.119902)</f>
        <v>2.1199020000000002</v>
      </c>
      <c r="AK34" s="10">
        <f ca="1">IFERROR(__xludf.DUMMYFUNCTION("""COMPUTED_VALUE"""),10.5533)</f>
        <v>10.5533</v>
      </c>
      <c r="AL34" s="10">
        <f ca="1">IFERROR(__xludf.DUMMYFUNCTION("""COMPUTED_VALUE"""),7.7864)</f>
        <v>7.7864000000000004</v>
      </c>
      <c r="AM34" s="10">
        <f ca="1">IFERROR(__xludf.DUMMYFUNCTION("""COMPUTED_VALUE"""),0.0003440809)</f>
        <v>3.4408090000000001E-4</v>
      </c>
      <c r="AR34" s="3" t="s">
        <v>552</v>
      </c>
      <c r="AS34" s="3" t="s">
        <v>553</v>
      </c>
    </row>
    <row r="35" spans="1:45" ht="15.75" customHeight="1">
      <c r="A35" s="6">
        <f t="shared" ca="1" si="2"/>
        <v>44583</v>
      </c>
      <c r="B35" s="421">
        <f ca="1">IFERROR(__xludf.DUMMYFUNCTION("""COMPUTED_VALUE"""),44583.9986111111)</f>
        <v>44583.998611111099</v>
      </c>
      <c r="C35" s="10">
        <f ca="1">IFERROR(__xludf.DUMMYFUNCTION("""COMPUTED_VALUE"""),273069.8266)</f>
        <v>273069.82659999997</v>
      </c>
      <c r="D35" s="10">
        <f ca="1">IFERROR(__xludf.DUMMYFUNCTION("""COMPUTED_VALUE"""),18779.00592)</f>
        <v>18779.00592</v>
      </c>
      <c r="E35" s="10">
        <f ca="1">IFERROR(__xludf.DUMMYFUNCTION("""COMPUTED_VALUE"""),844.123624)</f>
        <v>844.12362399999995</v>
      </c>
      <c r="F35" s="10">
        <f ca="1">IFERROR(__xludf.DUMMYFUNCTION("""COMPUTED_VALUE"""),2272.694432)</f>
        <v>2272.6944319999998</v>
      </c>
      <c r="G35" s="10">
        <f ca="1">IFERROR(__xludf.DUMMYFUNCTION("""COMPUTED_VALUE"""),0.07462139)</f>
        <v>7.4621389999999996E-2</v>
      </c>
      <c r="H35" s="10">
        <f ca="1">IFERROR(__xludf.DUMMYFUNCTION("""COMPUTED_VALUE"""),5.592253)</f>
        <v>5.5922530000000004</v>
      </c>
      <c r="I35" s="10">
        <f ca="1">IFERROR(__xludf.DUMMYFUNCTION("""COMPUTED_VALUE"""),1.426499)</f>
        <v>1.426499</v>
      </c>
      <c r="J35" s="10">
        <f ca="1">IFERROR(__xludf.DUMMYFUNCTION("""COMPUTED_VALUE"""),6.187991)</f>
        <v>6.1879910000000002</v>
      </c>
      <c r="K35" s="10">
        <f ca="1">IFERROR(__xludf.DUMMYFUNCTION("""COMPUTED_VALUE"""),1.228369)</f>
        <v>1.228369</v>
      </c>
      <c r="L35" s="10">
        <f ca="1">IFERROR(__xludf.DUMMYFUNCTION("""COMPUTED_VALUE"""),1.186643)</f>
        <v>1.1866429999999999</v>
      </c>
      <c r="M35" s="10">
        <f ca="1">IFERROR(__xludf.DUMMYFUNCTION("""COMPUTED_VALUE"""),0.4956882506)</f>
        <v>0.49568825059999999</v>
      </c>
      <c r="N35" s="10">
        <f ca="1">IFERROR(__xludf.DUMMYFUNCTION("""COMPUTED_VALUE"""),8.8319)</f>
        <v>8.8318999999999992</v>
      </c>
      <c r="O35" s="10">
        <f ca="1">IFERROR(__xludf.DUMMYFUNCTION("""COMPUTED_VALUE"""),0.06066801591)</f>
        <v>6.0668015909999998E-2</v>
      </c>
      <c r="P35" s="10">
        <f ca="1">IFERROR(__xludf.DUMMYFUNCTION("""COMPUTED_VALUE"""),0.1046425)</f>
        <v>0.1046425</v>
      </c>
      <c r="Q35" s="10">
        <f ca="1">IFERROR(__xludf.DUMMYFUNCTION("""COMPUTED_VALUE"""),0.0005425)</f>
        <v>5.4250000000000001E-4</v>
      </c>
      <c r="R35" s="10">
        <f ca="1">IFERROR(__xludf.DUMMYFUNCTION("""COMPUTED_VALUE"""),0.06849342)</f>
        <v>6.8493419999999999E-2</v>
      </c>
      <c r="S35" s="10">
        <f ca="1">IFERROR(__xludf.DUMMYFUNCTION("""COMPUTED_VALUE"""),0.006528936)</f>
        <v>6.5289359999999999E-3</v>
      </c>
      <c r="T35" s="10">
        <f ca="1">IFERROR(__xludf.DUMMYFUNCTION("""COMPUTED_VALUE"""),0.009535217653)</f>
        <v>9.5352176529999999E-3</v>
      </c>
      <c r="U35" s="10">
        <f ca="1">IFERROR(__xludf.DUMMYFUNCTION("""COMPUTED_VALUE"""),1.861886)</f>
        <v>1.8618859999999999</v>
      </c>
      <c r="V35" s="10">
        <f ca="1">IFERROR(__xludf.DUMMYFUNCTION("""COMPUTED_VALUE"""),0.380407)</f>
        <v>0.380407</v>
      </c>
      <c r="W35" s="10">
        <f ca="1">IFERROR(__xludf.DUMMYFUNCTION("""COMPUTED_VALUE"""),4.32190984)</f>
        <v>4.32190984</v>
      </c>
      <c r="X35" s="10">
        <f ca="1">IFERROR(__xludf.DUMMYFUNCTION("""COMPUTED_VALUE"""),5.231813)</f>
        <v>5.2318129999999998</v>
      </c>
      <c r="Y35" s="10">
        <f ca="1">IFERROR(__xludf.DUMMYFUNCTION("""COMPUTED_VALUE"""),2.028230281)</f>
        <v>2.0282302809999999</v>
      </c>
      <c r="Z35" s="10">
        <f ca="1">IFERROR(__xludf.DUMMYFUNCTION("""COMPUTED_VALUE"""),0.1519007)</f>
        <v>0.1519007</v>
      </c>
      <c r="AA35" s="10">
        <f ca="1">IFERROR(__xludf.DUMMYFUNCTION("""COMPUTED_VALUE"""),2.138533202)</f>
        <v>2.1385332020000001</v>
      </c>
      <c r="AB35" s="10">
        <f ca="1">IFERROR(__xludf.DUMMYFUNCTION("""COMPUTED_VALUE"""),0.100366696)</f>
        <v>0.10036669600000001</v>
      </c>
      <c r="AC35" s="10">
        <f ca="1">IFERROR(__xludf.DUMMYFUNCTION("""COMPUTED_VALUE"""),2.075824184)</f>
        <v>2.075824184</v>
      </c>
      <c r="AD35" s="10">
        <f ca="1">IFERROR(__xludf.DUMMYFUNCTION("""COMPUTED_VALUE"""),5.78817)</f>
        <v>5.78817</v>
      </c>
      <c r="AE35" s="10">
        <f ca="1">IFERROR(__xludf.DUMMYFUNCTION("""COMPUTED_VALUE"""),0.5154435)</f>
        <v>0.51544350000000005</v>
      </c>
      <c r="AF35" s="10">
        <f ca="1">IFERROR(__xludf.DUMMYFUNCTION("""COMPUTED_VALUE"""),0.84683)</f>
        <v>0.84682999999999997</v>
      </c>
      <c r="AG35" s="10">
        <f ca="1">IFERROR(__xludf.DUMMYFUNCTION("""COMPUTED_VALUE"""),8.539802)</f>
        <v>8.5398019999999999</v>
      </c>
      <c r="AH35" s="10">
        <f ca="1">IFERROR(__xludf.DUMMYFUNCTION("""COMPUTED_VALUE"""),0.2809584)</f>
        <v>0.2809584</v>
      </c>
      <c r="AI35" s="10">
        <f ca="1">IFERROR(__xludf.DUMMYFUNCTION("""COMPUTED_VALUE"""),0.2368276)</f>
        <v>0.2368276</v>
      </c>
      <c r="AJ35" s="10">
        <f ca="1">IFERROR(__xludf.DUMMYFUNCTION("""COMPUTED_VALUE"""),2.119902)</f>
        <v>2.1199020000000002</v>
      </c>
      <c r="AK35" s="10">
        <f ca="1">IFERROR(__xludf.DUMMYFUNCTION("""COMPUTED_VALUE"""),10.5533)</f>
        <v>10.5533</v>
      </c>
      <c r="AL35" s="10">
        <f ca="1">IFERROR(__xludf.DUMMYFUNCTION("""COMPUTED_VALUE"""),7.7864)</f>
        <v>7.7864000000000004</v>
      </c>
      <c r="AM35" s="10">
        <f ca="1">IFERROR(__xludf.DUMMYFUNCTION("""COMPUTED_VALUE"""),0.0003440809)</f>
        <v>3.4408090000000001E-4</v>
      </c>
      <c r="AR35" s="3" t="s">
        <v>554</v>
      </c>
      <c r="AS35" s="3" t="s">
        <v>555</v>
      </c>
    </row>
    <row r="36" spans="1:45" ht="15.75" customHeight="1">
      <c r="A36" s="6">
        <f t="shared" ca="1" si="2"/>
        <v>44584</v>
      </c>
      <c r="B36" s="421">
        <f ca="1">IFERROR(__xludf.DUMMYFUNCTION("""COMPUTED_VALUE"""),44584.9986111111)</f>
        <v>44584.998611111099</v>
      </c>
      <c r="C36" s="10">
        <f ca="1">IFERROR(__xludf.DUMMYFUNCTION("""COMPUTED_VALUE"""),282521.0922)</f>
        <v>282521.09220000001</v>
      </c>
      <c r="D36" s="10">
        <f ca="1">IFERROR(__xludf.DUMMYFUNCTION("""COMPUTED_VALUE"""),19789.94912)</f>
        <v>19789.949120000001</v>
      </c>
      <c r="E36" s="10">
        <f ca="1">IFERROR(__xludf.DUMMYFUNCTION("""COMPUTED_VALUE"""),874.9447245)</f>
        <v>874.94472450000001</v>
      </c>
      <c r="F36" s="10">
        <f ca="1">IFERROR(__xludf.DUMMYFUNCTION("""COMPUTED_VALUE"""),2357.639215)</f>
        <v>2357.6392150000001</v>
      </c>
      <c r="G36" s="10">
        <f ca="1">IFERROR(__xludf.DUMMYFUNCTION("""COMPUTED_VALUE"""),0.07462494)</f>
        <v>7.4624940000000001E-2</v>
      </c>
      <c r="H36" s="10">
        <f ca="1">IFERROR(__xludf.DUMMYFUNCTION("""COMPUTED_VALUE"""),5.59591)</f>
        <v>5.5959099999999999</v>
      </c>
      <c r="I36" s="10">
        <f ca="1">IFERROR(__xludf.DUMMYFUNCTION("""COMPUTED_VALUE"""),1.426499)</f>
        <v>1.426499</v>
      </c>
      <c r="J36" s="10">
        <f ca="1">IFERROR(__xludf.DUMMYFUNCTION("""COMPUTED_VALUE"""),6.19841)</f>
        <v>6.19841</v>
      </c>
      <c r="K36" s="10">
        <f ca="1">IFERROR(__xludf.DUMMYFUNCTION("""COMPUTED_VALUE"""),1.228333)</f>
        <v>1.2283329999999999</v>
      </c>
      <c r="L36" s="10">
        <f ca="1">IFERROR(__xludf.DUMMYFUNCTION("""COMPUTED_VALUE"""),1.186435)</f>
        <v>1.1864349999999999</v>
      </c>
      <c r="M36" s="10">
        <f ca="1">IFERROR(__xludf.DUMMYFUNCTION("""COMPUTED_VALUE"""),0.495498059)</f>
        <v>0.49549805899999999</v>
      </c>
      <c r="N36" s="10">
        <f ca="1">IFERROR(__xludf.DUMMYFUNCTION("""COMPUTED_VALUE"""),8.831345)</f>
        <v>8.8313450000000007</v>
      </c>
      <c r="O36" s="10">
        <f ca="1">IFERROR(__xludf.DUMMYFUNCTION("""COMPUTED_VALUE"""),0.06067791116)</f>
        <v>6.067791116E-2</v>
      </c>
      <c r="P36" s="10">
        <f ca="1">IFERROR(__xludf.DUMMYFUNCTION("""COMPUTED_VALUE"""),0.1046512)</f>
        <v>0.1046512</v>
      </c>
      <c r="Q36" s="10">
        <f ca="1">IFERROR(__xludf.DUMMYFUNCTION("""COMPUTED_VALUE"""),0.0005425)</f>
        <v>5.4250000000000001E-4</v>
      </c>
      <c r="R36" s="10">
        <f ca="1">IFERROR(__xludf.DUMMYFUNCTION("""COMPUTED_VALUE"""),0.06844107)</f>
        <v>6.8441070000000007E-2</v>
      </c>
      <c r="S36" s="10">
        <f ca="1">IFERROR(__xludf.DUMMYFUNCTION("""COMPUTED_VALUE"""),0.006529169)</f>
        <v>6.5291689999999996E-3</v>
      </c>
      <c r="T36" s="10">
        <f ca="1">IFERROR(__xludf.DUMMYFUNCTION("""COMPUTED_VALUE"""),0.009536772894)</f>
        <v>9.5367728939999997E-3</v>
      </c>
      <c r="U36" s="10">
        <f ca="1">IFERROR(__xludf.DUMMYFUNCTION("""COMPUTED_VALUE"""),1.861896)</f>
        <v>1.861896</v>
      </c>
      <c r="V36" s="10">
        <f ca="1">IFERROR(__xludf.DUMMYFUNCTION("""COMPUTED_VALUE"""),0.3806913)</f>
        <v>0.38069130000000001</v>
      </c>
      <c r="W36" s="10">
        <f ca="1">IFERROR(__xludf.DUMMYFUNCTION("""COMPUTED_VALUE"""),4.320022483)</f>
        <v>4.3200224829999998</v>
      </c>
      <c r="X36" s="10">
        <f ca="1">IFERROR(__xludf.DUMMYFUNCTION("""COMPUTED_VALUE"""),5.233793)</f>
        <v>5.2337930000000004</v>
      </c>
      <c r="Y36" s="10">
        <f ca="1">IFERROR(__xludf.DUMMYFUNCTION("""COMPUTED_VALUE"""),2.028561095)</f>
        <v>2.0285610950000001</v>
      </c>
      <c r="Z36" s="10">
        <f ca="1">IFERROR(__xludf.DUMMYFUNCTION("""COMPUTED_VALUE"""),0.1519007)</f>
        <v>0.1519007</v>
      </c>
      <c r="AA36" s="10">
        <f ca="1">IFERROR(__xludf.DUMMYFUNCTION("""COMPUTED_VALUE"""),2.138882007)</f>
        <v>2.1388820069999999</v>
      </c>
      <c r="AB36" s="10">
        <f ca="1">IFERROR(__xludf.DUMMYFUNCTION("""COMPUTED_VALUE"""),0.1003830663)</f>
        <v>0.1003830663</v>
      </c>
      <c r="AC36" s="10">
        <f ca="1">IFERROR(__xludf.DUMMYFUNCTION("""COMPUTED_VALUE"""),2.076065629)</f>
        <v>2.0760656289999999</v>
      </c>
      <c r="AD36" s="10">
        <f ca="1">IFERROR(__xludf.DUMMYFUNCTION("""COMPUTED_VALUE"""),5.7915)</f>
        <v>5.7915000000000001</v>
      </c>
      <c r="AE36" s="10">
        <f ca="1">IFERROR(__xludf.DUMMYFUNCTION("""COMPUTED_VALUE"""),0.515945)</f>
        <v>0.51594499999999999</v>
      </c>
      <c r="AF36" s="10">
        <f ca="1">IFERROR(__xludf.DUMMYFUNCTION("""COMPUTED_VALUE"""),0.84678)</f>
        <v>0.84677999999999998</v>
      </c>
      <c r="AG36" s="10">
        <f ca="1">IFERROR(__xludf.DUMMYFUNCTION("""COMPUTED_VALUE"""),8.534325)</f>
        <v>8.5343250000000008</v>
      </c>
      <c r="AH36" s="10">
        <f ca="1">IFERROR(__xludf.DUMMYFUNCTION("""COMPUTED_VALUE"""),0.2809818)</f>
        <v>0.2809818</v>
      </c>
      <c r="AI36" s="10">
        <f ca="1">IFERROR(__xludf.DUMMYFUNCTION("""COMPUTED_VALUE"""),0.2365813)</f>
        <v>0.23658129999999999</v>
      </c>
      <c r="AJ36" s="10">
        <f ca="1">IFERROR(__xludf.DUMMYFUNCTION("""COMPUTED_VALUE"""),2.120251)</f>
        <v>2.1202510000000001</v>
      </c>
      <c r="AK36" s="10">
        <f ca="1">IFERROR(__xludf.DUMMYFUNCTION("""COMPUTED_VALUE"""),10.55543)</f>
        <v>10.555429999999999</v>
      </c>
      <c r="AL36" s="10">
        <f ca="1">IFERROR(__xludf.DUMMYFUNCTION("""COMPUTED_VALUE"""),7.78767)</f>
        <v>7.7876700000000003</v>
      </c>
      <c r="AM36" s="10">
        <f ca="1">IFERROR(__xludf.DUMMYFUNCTION("""COMPUTED_VALUE"""),0.0003440809)</f>
        <v>3.4408090000000001E-4</v>
      </c>
      <c r="AR36" s="3" t="s">
        <v>556</v>
      </c>
      <c r="AS36" s="3" t="s">
        <v>557</v>
      </c>
    </row>
    <row r="37" spans="1:45" ht="15.75" customHeight="1">
      <c r="A37" s="6">
        <f t="shared" ca="1" si="2"/>
        <v>44585</v>
      </c>
      <c r="B37" s="421">
        <f ca="1">IFERROR(__xludf.DUMMYFUNCTION("""COMPUTED_VALUE"""),44585.9986111111)</f>
        <v>44585.998611111099</v>
      </c>
      <c r="C37" s="10">
        <f ca="1">IFERROR(__xludf.DUMMYFUNCTION("""COMPUTED_VALUE"""),285778.0648)</f>
        <v>285778.06479999999</v>
      </c>
      <c r="D37" s="10">
        <f ca="1">IFERROR(__xludf.DUMMYFUNCTION("""COMPUTED_VALUE"""),19016.7796)</f>
        <v>19016.779600000002</v>
      </c>
      <c r="E37" s="10">
        <f ca="1">IFERROR(__xludf.DUMMYFUNCTION("""COMPUTED_VALUE"""),853.717342)</f>
        <v>853.71734200000003</v>
      </c>
      <c r="F37" s="10">
        <f ca="1">IFERROR(__xludf.DUMMYFUNCTION("""COMPUTED_VALUE"""),2281.770612)</f>
        <v>2281.7706119999998</v>
      </c>
      <c r="G37" s="10">
        <f ca="1">IFERROR(__xludf.DUMMYFUNCTION("""COMPUTED_VALUE"""),0.07452687)</f>
        <v>7.4526869999999995E-2</v>
      </c>
      <c r="H37" s="10">
        <f ca="1">IFERROR(__xludf.DUMMYFUNCTION("""COMPUTED_VALUE"""),5.57004)</f>
        <v>5.5700399999999997</v>
      </c>
      <c r="I37" s="10">
        <f ca="1">IFERROR(__xludf.DUMMYFUNCTION("""COMPUTED_VALUE"""),1.418782)</f>
        <v>1.418782</v>
      </c>
      <c r="J37" s="10">
        <f ca="1">IFERROR(__xludf.DUMMYFUNCTION("""COMPUTED_VALUE"""),6.166795)</f>
        <v>6.1667949999999996</v>
      </c>
      <c r="K37" s="10">
        <f ca="1">IFERROR(__xludf.DUMMYFUNCTION("""COMPUTED_VALUE"""),1.230176)</f>
        <v>1.2301759999999999</v>
      </c>
      <c r="L37" s="10">
        <f ca="1">IFERROR(__xludf.DUMMYFUNCTION("""COMPUTED_VALUE"""),1.184465)</f>
        <v>1.1844650000000001</v>
      </c>
      <c r="M37" s="10">
        <f ca="1">IFERROR(__xludf.DUMMYFUNCTION("""COMPUTED_VALUE"""),0.4956965383)</f>
        <v>0.49569653829999999</v>
      </c>
      <c r="N37" s="10">
        <f ca="1">IFERROR(__xludf.DUMMYFUNCTION("""COMPUTED_VALUE"""),8.81796)</f>
        <v>8.8179599999999994</v>
      </c>
      <c r="O37" s="10">
        <f ca="1">IFERROR(__xludf.DUMMYFUNCTION("""COMPUTED_VALUE"""),0.06055618996)</f>
        <v>6.0556189959999999E-2</v>
      </c>
      <c r="P37" s="10">
        <f ca="1">IFERROR(__xludf.DUMMYFUNCTION("""COMPUTED_VALUE"""),0.1043143)</f>
        <v>0.1043143</v>
      </c>
      <c r="Q37" s="10">
        <f ca="1">IFERROR(__xludf.DUMMYFUNCTION("""COMPUTED_VALUE"""),0.000543)</f>
        <v>5.4299999999999997E-4</v>
      </c>
      <c r="R37" s="10">
        <f ca="1">IFERROR(__xludf.DUMMYFUNCTION("""COMPUTED_VALUE"""),0.06829772)</f>
        <v>6.8297720000000006E-2</v>
      </c>
      <c r="S37" s="10">
        <f ca="1">IFERROR(__xludf.DUMMYFUNCTION("""COMPUTED_VALUE"""),0.00651245)</f>
        <v>6.5124500000000004E-3</v>
      </c>
      <c r="T37" s="10">
        <f ca="1">IFERROR(__xludf.DUMMYFUNCTION("""COMPUTED_VALUE"""),0.009553435076)</f>
        <v>9.5534350760000004E-3</v>
      </c>
      <c r="U37" s="10">
        <f ca="1">IFERROR(__xludf.DUMMYFUNCTION("""COMPUTED_VALUE"""),1.862163)</f>
        <v>1.862163</v>
      </c>
      <c r="V37" s="10">
        <f ca="1">IFERROR(__xludf.DUMMYFUNCTION("""COMPUTED_VALUE"""),0.378415)</f>
        <v>0.378415</v>
      </c>
      <c r="W37" s="10">
        <f ca="1">IFERROR(__xludf.DUMMYFUNCTION("""COMPUTED_VALUE"""),4.322011786)</f>
        <v>4.322011786</v>
      </c>
      <c r="X37" s="10">
        <f ca="1">IFERROR(__xludf.DUMMYFUNCTION("""COMPUTED_VALUE"""),5.22021)</f>
        <v>5.2202099999999998</v>
      </c>
      <c r="Y37" s="10">
        <f ca="1">IFERROR(__xludf.DUMMYFUNCTION("""COMPUTED_VALUE"""),2.022876054)</f>
        <v>2.0228760540000001</v>
      </c>
      <c r="Z37" s="10">
        <f ca="1">IFERROR(__xludf.DUMMYFUNCTION("""COMPUTED_VALUE"""),0.1511511)</f>
        <v>0.15115110000000001</v>
      </c>
      <c r="AA37" s="10">
        <f ca="1">IFERROR(__xludf.DUMMYFUNCTION("""COMPUTED_VALUE"""),2.1385744)</f>
        <v>2.1385744</v>
      </c>
      <c r="AB37" s="10">
        <f ca="1">IFERROR(__xludf.DUMMYFUNCTION("""COMPUTED_VALUE"""),0.098951115)</f>
        <v>9.8951115000000006E-2</v>
      </c>
      <c r="AC37" s="10">
        <f ca="1">IFERROR(__xludf.DUMMYFUNCTION("""COMPUTED_VALUE"""),2.075071425)</f>
        <v>2.075071425</v>
      </c>
      <c r="AD37" s="10">
        <f ca="1">IFERROR(__xludf.DUMMYFUNCTION("""COMPUTED_VALUE"""),5.7873)</f>
        <v>5.7873000000000001</v>
      </c>
      <c r="AE37" s="10">
        <f ca="1">IFERROR(__xludf.DUMMYFUNCTION("""COMPUTED_VALUE"""),0.51012)</f>
        <v>0.51012000000000002</v>
      </c>
      <c r="AF37" s="10">
        <f ca="1">IFERROR(__xludf.DUMMYFUNCTION("""COMPUTED_VALUE"""),0.840585)</f>
        <v>0.84058500000000003</v>
      </c>
      <c r="AG37" s="10">
        <f ca="1">IFERROR(__xludf.DUMMYFUNCTION("""COMPUTED_VALUE"""),8.518027)</f>
        <v>8.518027</v>
      </c>
      <c r="AH37" s="10">
        <f ca="1">IFERROR(__xludf.DUMMYFUNCTION("""COMPUTED_VALUE"""),0.2813715)</f>
        <v>0.2813715</v>
      </c>
      <c r="AI37" s="10">
        <f ca="1">IFERROR(__xludf.DUMMYFUNCTION("""COMPUTED_VALUE"""),0.2361389)</f>
        <v>0.23613890000000001</v>
      </c>
      <c r="AJ37" s="10">
        <f ca="1">IFERROR(__xludf.DUMMYFUNCTION("""COMPUTED_VALUE"""),2.119831)</f>
        <v>2.119831</v>
      </c>
      <c r="AK37" s="10">
        <f ca="1">IFERROR(__xludf.DUMMYFUNCTION("""COMPUTED_VALUE"""),10.5022)</f>
        <v>10.5022</v>
      </c>
      <c r="AL37" s="10">
        <f ca="1">IFERROR(__xludf.DUMMYFUNCTION("""COMPUTED_VALUE"""),7.78655)</f>
        <v>7.7865500000000001</v>
      </c>
      <c r="AM37" s="10">
        <f ca="1">IFERROR(__xludf.DUMMYFUNCTION("""COMPUTED_VALUE"""),0.0003432467)</f>
        <v>3.4324669999999998E-4</v>
      </c>
      <c r="AR37" s="3" t="s">
        <v>558</v>
      </c>
      <c r="AS37" s="3" t="s">
        <v>559</v>
      </c>
    </row>
    <row r="38" spans="1:45" ht="15.75" customHeight="1">
      <c r="A38" s="6">
        <f t="shared" ca="1" si="2"/>
        <v>44586</v>
      </c>
      <c r="B38" s="421">
        <f ca="1">IFERROR(__xludf.DUMMYFUNCTION("""COMPUTED_VALUE"""),44586.9986111111)</f>
        <v>44586.998611111099</v>
      </c>
      <c r="C38" s="10">
        <f ca="1">IFERROR(__xludf.DUMMYFUNCTION("""COMPUTED_VALUE"""),287788.4755)</f>
        <v>287788.4755</v>
      </c>
      <c r="D38" s="10">
        <f ca="1">IFERROR(__xludf.DUMMYFUNCTION("""COMPUTED_VALUE"""),19159.66089)</f>
        <v>19159.660889999999</v>
      </c>
      <c r="E38" s="10">
        <f ca="1">IFERROR(__xludf.DUMMYFUNCTION("""COMPUTED_VALUE"""),841.934784)</f>
        <v>841.93478400000004</v>
      </c>
      <c r="F38" s="10">
        <f ca="1">IFERROR(__xludf.DUMMYFUNCTION("""COMPUTED_VALUE"""),2275.263744)</f>
        <v>2275.2637439999999</v>
      </c>
      <c r="G38" s="10">
        <f ca="1">IFERROR(__xludf.DUMMYFUNCTION("""COMPUTED_VALUE"""),0.07442859)</f>
        <v>7.4428590000000003E-2</v>
      </c>
      <c r="H38" s="10">
        <f ca="1">IFERROR(__xludf.DUMMYFUNCTION("""COMPUTED_VALUE"""),5.57333)</f>
        <v>5.5733300000000003</v>
      </c>
      <c r="I38" s="10">
        <f ca="1">IFERROR(__xludf.DUMMYFUNCTION("""COMPUTED_VALUE"""),1.430056)</f>
        <v>1.430056</v>
      </c>
      <c r="J38" s="10">
        <f ca="1">IFERROR(__xludf.DUMMYFUNCTION("""COMPUTED_VALUE"""),6.169675)</f>
        <v>6.1696749999999998</v>
      </c>
      <c r="K38" s="10">
        <f ca="1">IFERROR(__xludf.DUMMYFUNCTION("""COMPUTED_VALUE"""),1.230719)</f>
        <v>1.2307189999999999</v>
      </c>
      <c r="L38" s="10">
        <f ca="1">IFERROR(__xludf.DUMMYFUNCTION("""COMPUTED_VALUE"""),1.182587)</f>
        <v>1.1825870000000001</v>
      </c>
      <c r="M38" s="10">
        <f ca="1">IFERROR(__xludf.DUMMYFUNCTION("""COMPUTED_VALUE"""),0.494618693)</f>
        <v>0.494618693</v>
      </c>
      <c r="N38" s="10">
        <f ca="1">IFERROR(__xludf.DUMMYFUNCTION("""COMPUTED_VALUE"""),8.80004)</f>
        <v>8.8000399999999992</v>
      </c>
      <c r="O38" s="10">
        <f ca="1">IFERROR(__xludf.DUMMYFUNCTION("""COMPUTED_VALUE"""),0.06035816685)</f>
        <v>6.0358166849999999E-2</v>
      </c>
      <c r="P38" s="10">
        <f ca="1">IFERROR(__xludf.DUMMYFUNCTION("""COMPUTED_VALUE"""),0.1041)</f>
        <v>0.1041</v>
      </c>
      <c r="Q38" s="10">
        <f ca="1">IFERROR(__xludf.DUMMYFUNCTION("""COMPUTED_VALUE"""),0.0005435)</f>
        <v>5.4350000000000004E-4</v>
      </c>
      <c r="R38" s="10">
        <f ca="1">IFERROR(__xludf.DUMMYFUNCTION("""COMPUTED_VALUE"""),0.0683685)</f>
        <v>6.8368499999999999E-2</v>
      </c>
      <c r="S38" s="10">
        <f ca="1">IFERROR(__xludf.DUMMYFUNCTION("""COMPUTED_VALUE"""),0.006507446)</f>
        <v>6.5074460000000001E-3</v>
      </c>
      <c r="T38" s="10">
        <f ca="1">IFERROR(__xludf.DUMMYFUNCTION("""COMPUTED_VALUE"""),0.009534133163)</f>
        <v>9.5341331630000008E-3</v>
      </c>
      <c r="U38" s="10">
        <f ca="1">IFERROR(__xludf.DUMMYFUNCTION("""COMPUTED_VALUE"""),1.863304)</f>
        <v>1.8633040000000001</v>
      </c>
      <c r="V38" s="10">
        <f ca="1">IFERROR(__xludf.DUMMYFUNCTION("""COMPUTED_VALUE"""),0.37775)</f>
        <v>0.37774999999999997</v>
      </c>
      <c r="W38" s="10">
        <f ca="1">IFERROR(__xludf.DUMMYFUNCTION("""COMPUTED_VALUE"""),4.340333416)</f>
        <v>4.340333416</v>
      </c>
      <c r="X38" s="10">
        <f ca="1">IFERROR(__xludf.DUMMYFUNCTION("""COMPUTED_VALUE"""),5.2081)</f>
        <v>5.2081</v>
      </c>
      <c r="Y38" s="10">
        <f ca="1">IFERROR(__xludf.DUMMYFUNCTION("""COMPUTED_VALUE"""),2.023555997)</f>
        <v>2.0235559969999999</v>
      </c>
      <c r="Z38" s="10">
        <f ca="1">IFERROR(__xludf.DUMMYFUNCTION("""COMPUTED_VALUE"""),0.1515849)</f>
        <v>0.15158489999999999</v>
      </c>
      <c r="AA38" s="10">
        <f ca="1">IFERROR(__xludf.DUMMYFUNCTION("""COMPUTED_VALUE"""),2.138314261)</f>
        <v>2.1383142610000001</v>
      </c>
      <c r="AB38" s="10">
        <f ca="1">IFERROR(__xludf.DUMMYFUNCTION("""COMPUTED_VALUE"""),0.09884575821)</f>
        <v>9.8845758209999995E-2</v>
      </c>
      <c r="AC38" s="10">
        <f ca="1">IFERROR(__xludf.DUMMYFUNCTION("""COMPUTED_VALUE"""),2.075693966)</f>
        <v>2.0756939659999998</v>
      </c>
      <c r="AD38" s="10">
        <f ca="1">IFERROR(__xludf.DUMMYFUNCTION("""COMPUTED_VALUE"""),5.7919)</f>
        <v>5.7919</v>
      </c>
      <c r="AE38" s="10">
        <f ca="1">IFERROR(__xludf.DUMMYFUNCTION("""COMPUTED_VALUE"""),0.5092859)</f>
        <v>0.50928589999999996</v>
      </c>
      <c r="AF38" s="10">
        <f ca="1">IFERROR(__xludf.DUMMYFUNCTION("""COMPUTED_VALUE"""),0.840835)</f>
        <v>0.840835</v>
      </c>
      <c r="AG38" s="10">
        <f ca="1">IFERROR(__xludf.DUMMYFUNCTION("""COMPUTED_VALUE"""),8.481554)</f>
        <v>8.4815539999999991</v>
      </c>
      <c r="AH38" s="10">
        <f ca="1">IFERROR(__xludf.DUMMYFUNCTION("""COMPUTED_VALUE"""),0.2809209)</f>
        <v>0.28092089999999997</v>
      </c>
      <c r="AI38" s="10">
        <f ca="1">IFERROR(__xludf.DUMMYFUNCTION("""COMPUTED_VALUE"""),0.2358228)</f>
        <v>0.2358228</v>
      </c>
      <c r="AJ38" s="10">
        <f ca="1">IFERROR(__xludf.DUMMYFUNCTION("""COMPUTED_VALUE"""),2.119626)</f>
        <v>2.1196259999999998</v>
      </c>
      <c r="AK38" s="10">
        <f ca="1">IFERROR(__xludf.DUMMYFUNCTION("""COMPUTED_VALUE"""),10.51876)</f>
        <v>10.51876</v>
      </c>
      <c r="AL38" s="10">
        <f ca="1">IFERROR(__xludf.DUMMYFUNCTION("""COMPUTED_VALUE"""),7.7856)</f>
        <v>7.7855999999999996</v>
      </c>
      <c r="AM38" s="10">
        <f ca="1">IFERROR(__xludf.DUMMYFUNCTION("""COMPUTED_VALUE"""),0.0003439172)</f>
        <v>3.4391720000000002E-4</v>
      </c>
      <c r="AR38" s="3" t="s">
        <v>560</v>
      </c>
      <c r="AS38" s="3" t="s">
        <v>561</v>
      </c>
    </row>
    <row r="39" spans="1:45" ht="15.75" customHeight="1">
      <c r="A39" s="6">
        <f t="shared" ca="1" si="2"/>
        <v>44587</v>
      </c>
      <c r="B39" s="421">
        <f ca="1">IFERROR(__xludf.DUMMYFUNCTION("""COMPUTED_VALUE"""),44587.9986111111)</f>
        <v>44587.998611111099</v>
      </c>
      <c r="C39" s="10">
        <f ca="1">IFERROR(__xludf.DUMMYFUNCTION("""COMPUTED_VALUE"""),286863.5685)</f>
        <v>286863.56849999999</v>
      </c>
      <c r="D39" s="10">
        <f ca="1">IFERROR(__xludf.DUMMYFUNCTION("""COMPUTED_VALUE"""),19193.85024)</f>
        <v>19193.85024</v>
      </c>
      <c r="E39" s="10">
        <f ca="1">IFERROR(__xludf.DUMMYFUNCTION("""COMPUTED_VALUE"""),833.167805)</f>
        <v>833.16780500000004</v>
      </c>
      <c r="F39" s="10">
        <f ca="1">IFERROR(__xludf.DUMMYFUNCTION("""COMPUTED_VALUE"""),2252.122656)</f>
        <v>2252.122656</v>
      </c>
      <c r="G39" s="10">
        <f ca="1">IFERROR(__xludf.DUMMYFUNCTION("""COMPUTED_VALUE"""),0.07436752)</f>
        <v>7.4367520000000006E-2</v>
      </c>
      <c r="H39" s="10">
        <f ca="1">IFERROR(__xludf.DUMMYFUNCTION("""COMPUTED_VALUE"""),5.54457)</f>
        <v>5.5445700000000002</v>
      </c>
      <c r="I39" s="10">
        <f ca="1">IFERROR(__xludf.DUMMYFUNCTION("""COMPUTED_VALUE"""),1.433368)</f>
        <v>1.433368</v>
      </c>
      <c r="J39" s="10">
        <f ca="1">IFERROR(__xludf.DUMMYFUNCTION("""COMPUTED_VALUE"""),6.150246)</f>
        <v>6.1502460000000001</v>
      </c>
      <c r="K39" s="10">
        <f ca="1">IFERROR(__xludf.DUMMYFUNCTION("""COMPUTED_VALUE"""),1.231965)</f>
        <v>1.231965</v>
      </c>
      <c r="L39" s="10">
        <f ca="1">IFERROR(__xludf.DUMMYFUNCTION("""COMPUTED_VALUE"""),1.176105)</f>
        <v>1.176105</v>
      </c>
      <c r="M39" s="10">
        <f ca="1">IFERROR(__xludf.DUMMYFUNCTION("""COMPUTED_VALUE"""),0.4947045502)</f>
        <v>0.49470455019999998</v>
      </c>
      <c r="N39" s="10">
        <f ca="1">IFERROR(__xludf.DUMMYFUNCTION("""COMPUTED_VALUE"""),8.752745)</f>
        <v>8.7527450000000009</v>
      </c>
      <c r="O39" s="10">
        <f ca="1">IFERROR(__xludf.DUMMYFUNCTION("""COMPUTED_VALUE"""),0.06019872435)</f>
        <v>6.0198724350000003E-2</v>
      </c>
      <c r="P39" s="10">
        <f ca="1">IFERROR(__xludf.DUMMYFUNCTION("""COMPUTED_VALUE"""),0.103953)</f>
        <v>0.103953</v>
      </c>
      <c r="Q39" s="10">
        <f ca="1">IFERROR(__xludf.DUMMYFUNCTION("""COMPUTED_VALUE"""),0.0005425)</f>
        <v>5.4250000000000001E-4</v>
      </c>
      <c r="R39" s="10">
        <f ca="1">IFERROR(__xludf.DUMMYFUNCTION("""COMPUTED_VALUE"""),0.06787377)</f>
        <v>6.787377E-2</v>
      </c>
      <c r="S39" s="10">
        <f ca="1">IFERROR(__xludf.DUMMYFUNCTION("""COMPUTED_VALUE"""),0.006502336)</f>
        <v>6.5023360000000001E-3</v>
      </c>
      <c r="T39" s="10">
        <f ca="1">IFERROR(__xludf.DUMMYFUNCTION("""COMPUTED_VALUE"""),0.009557232622)</f>
        <v>9.5572326220000007E-3</v>
      </c>
      <c r="U39" s="10">
        <f ca="1">IFERROR(__xludf.DUMMYFUNCTION("""COMPUTED_VALUE"""),1.851253)</f>
        <v>1.851253</v>
      </c>
      <c r="V39" s="10">
        <f ca="1">IFERROR(__xludf.DUMMYFUNCTION("""COMPUTED_VALUE"""),0.375865)</f>
        <v>0.375865</v>
      </c>
      <c r="W39" s="10">
        <f ca="1">IFERROR(__xludf.DUMMYFUNCTION("""COMPUTED_VALUE"""),4.340594025)</f>
        <v>4.3405940249999997</v>
      </c>
      <c r="X39" s="10">
        <f ca="1">IFERROR(__xludf.DUMMYFUNCTION("""COMPUTED_VALUE"""),5.185007)</f>
        <v>5.1850069999999997</v>
      </c>
      <c r="Y39" s="10">
        <f ca="1">IFERROR(__xludf.DUMMYFUNCTION("""COMPUTED_VALUE"""),2.029215826)</f>
        <v>2.0292158260000002</v>
      </c>
      <c r="Z39" s="10">
        <f ca="1">IFERROR(__xludf.DUMMYFUNCTION("""COMPUTED_VALUE"""),0.1512568)</f>
        <v>0.1512568</v>
      </c>
      <c r="AA39" s="10">
        <f ca="1">IFERROR(__xludf.DUMMYFUNCTION("""COMPUTED_VALUE"""),2.138592252)</f>
        <v>2.138592252</v>
      </c>
      <c r="AB39" s="10">
        <f ca="1">IFERROR(__xludf.DUMMYFUNCTION("""COMPUTED_VALUE"""),0.09829550461)</f>
        <v>9.8295504610000001E-2</v>
      </c>
      <c r="AC39" s="10">
        <f ca="1">IFERROR(__xludf.DUMMYFUNCTION("""COMPUTED_VALUE"""),2.075673444)</f>
        <v>2.075673444</v>
      </c>
      <c r="AD39" s="10">
        <f ca="1">IFERROR(__xludf.DUMMYFUNCTION("""COMPUTED_VALUE"""),5.775622)</f>
        <v>5.7756220000000003</v>
      </c>
      <c r="AE39" s="10">
        <f ca="1">IFERROR(__xludf.DUMMYFUNCTION("""COMPUTED_VALUE"""),0.50801)</f>
        <v>0.50800999999999996</v>
      </c>
      <c r="AF39" s="10">
        <f ca="1">IFERROR(__xludf.DUMMYFUNCTION("""COMPUTED_VALUE"""),0.836445)</f>
        <v>0.83644499999999999</v>
      </c>
      <c r="AG39" s="10">
        <f ca="1">IFERROR(__xludf.DUMMYFUNCTION("""COMPUTED_VALUE"""),8.426489)</f>
        <v>8.4264890000000001</v>
      </c>
      <c r="AH39" s="10">
        <f ca="1">IFERROR(__xludf.DUMMYFUNCTION("""COMPUTED_VALUE"""),0.2812559)</f>
        <v>0.2812559</v>
      </c>
      <c r="AI39" s="10">
        <f ca="1">IFERROR(__xludf.DUMMYFUNCTION("""COMPUTED_VALUE"""),0.235036)</f>
        <v>0.23503599999999999</v>
      </c>
      <c r="AJ39" s="10">
        <f ca="1">IFERROR(__xludf.DUMMYFUNCTION("""COMPUTED_VALUE"""),2.11994)</f>
        <v>2.1199400000000002</v>
      </c>
      <c r="AK39" s="10">
        <f ca="1">IFERROR(__xludf.DUMMYFUNCTION("""COMPUTED_VALUE"""),10.4855)</f>
        <v>10.4855</v>
      </c>
      <c r="AL39" s="10">
        <f ca="1">IFERROR(__xludf.DUMMYFUNCTION("""COMPUTED_VALUE"""),7.786615)</f>
        <v>7.7866150000000003</v>
      </c>
      <c r="AM39" s="10">
        <f ca="1">IFERROR(__xludf.DUMMYFUNCTION("""COMPUTED_VALUE"""),0.0003440495)</f>
        <v>3.4404949999999998E-4</v>
      </c>
      <c r="AR39" s="3" t="s">
        <v>562</v>
      </c>
      <c r="AS39" s="3" t="s">
        <v>563</v>
      </c>
    </row>
    <row r="40" spans="1:45" ht="15.75" customHeight="1">
      <c r="A40" s="6">
        <f t="shared" ca="1" si="2"/>
        <v>44588</v>
      </c>
      <c r="B40" s="421">
        <f ca="1">IFERROR(__xludf.DUMMYFUNCTION("""COMPUTED_VALUE"""),44588.9986111111)</f>
        <v>44588.998611111099</v>
      </c>
      <c r="C40" s="10">
        <f ca="1">IFERROR(__xludf.DUMMYFUNCTION("""COMPUTED_VALUE"""),289687.5599)</f>
        <v>289687.55989999999</v>
      </c>
      <c r="D40" s="10">
        <f ca="1">IFERROR(__xludf.DUMMYFUNCTION("""COMPUTED_VALUE"""),18896.53134)</f>
        <v>18896.531340000001</v>
      </c>
      <c r="E40" s="10">
        <f ca="1">IFERROR(__xludf.DUMMYFUNCTION("""COMPUTED_VALUE"""),832.88007)</f>
        <v>832.88007000000005</v>
      </c>
      <c r="F40" s="10">
        <f ca="1">IFERROR(__xludf.DUMMYFUNCTION("""COMPUTED_VALUE"""),2256.22319)</f>
        <v>2256.2231900000002</v>
      </c>
      <c r="G40" s="10">
        <f ca="1">IFERROR(__xludf.DUMMYFUNCTION("""COMPUTED_VALUE"""),0.07435241)</f>
        <v>7.4352409999999994E-2</v>
      </c>
      <c r="H40" s="10">
        <f ca="1">IFERROR(__xludf.DUMMYFUNCTION("""COMPUTED_VALUE"""),5.48007)</f>
        <v>5.4800700000000004</v>
      </c>
      <c r="I40" s="10">
        <f ca="1">IFERROR(__xludf.DUMMYFUNCTION("""COMPUTED_VALUE"""),1.44059)</f>
        <v>1.44059</v>
      </c>
      <c r="J40" s="10">
        <f ca="1">IFERROR(__xludf.DUMMYFUNCTION("""COMPUTED_VALUE"""),6.112995)</f>
        <v>6.1129949999999997</v>
      </c>
      <c r="K40" s="10">
        <f ca="1">IFERROR(__xludf.DUMMYFUNCTION("""COMPUTED_VALUE"""),1.222989)</f>
        <v>1.2229890000000001</v>
      </c>
      <c r="L40" s="10">
        <f ca="1">IFERROR(__xludf.DUMMYFUNCTION("""COMPUTED_VALUE"""),1.166202)</f>
        <v>1.166202</v>
      </c>
      <c r="M40" s="10">
        <f ca="1">IFERROR(__xludf.DUMMYFUNCTION("""COMPUTED_VALUE"""),0.4948131849)</f>
        <v>0.49481318489999998</v>
      </c>
      <c r="N40" s="10">
        <f ca="1">IFERROR(__xludf.DUMMYFUNCTION("""COMPUTED_VALUE"""),8.6803)</f>
        <v>8.6803000000000008</v>
      </c>
      <c r="O40" s="10">
        <f ca="1">IFERROR(__xludf.DUMMYFUNCTION("""COMPUTED_VALUE"""),0.06003198179)</f>
        <v>6.0031981790000001E-2</v>
      </c>
      <c r="P40" s="10">
        <f ca="1">IFERROR(__xludf.DUMMYFUNCTION("""COMPUTED_VALUE"""),0.1035662)</f>
        <v>0.1035662</v>
      </c>
      <c r="Q40" s="10">
        <f ca="1">IFERROR(__xludf.DUMMYFUNCTION("""COMPUTED_VALUE"""),0.000543)</f>
        <v>5.4299999999999997E-4</v>
      </c>
      <c r="R40" s="10">
        <f ca="1">IFERROR(__xludf.DUMMYFUNCTION("""COMPUTED_VALUE"""),0.06752704)</f>
        <v>6.7527039999999997E-2</v>
      </c>
      <c r="S40" s="10">
        <f ca="1">IFERROR(__xludf.DUMMYFUNCTION("""COMPUTED_VALUE"""),0.0064698)</f>
        <v>6.4698000000000004E-3</v>
      </c>
      <c r="T40" s="10">
        <f ca="1">IFERROR(__xludf.DUMMYFUNCTION("""COMPUTED_VALUE"""),0.009541095808)</f>
        <v>9.5410958079999997E-3</v>
      </c>
      <c r="U40" s="10">
        <f ca="1">IFERROR(__xludf.DUMMYFUNCTION("""COMPUTED_VALUE"""),1.853221)</f>
        <v>1.853221</v>
      </c>
      <c r="V40" s="10">
        <f ca="1">IFERROR(__xludf.DUMMYFUNCTION("""COMPUTED_VALUE"""),0.37509)</f>
        <v>0.37508999999999998</v>
      </c>
      <c r="W40" s="10">
        <f ca="1">IFERROR(__xludf.DUMMYFUNCTION("""COMPUTED_VALUE"""),4.344550003)</f>
        <v>4.3445500030000002</v>
      </c>
      <c r="X40" s="10">
        <f ca="1">IFERROR(__xludf.DUMMYFUNCTION("""COMPUTED_VALUE"""),5.128285)</f>
        <v>5.128285</v>
      </c>
      <c r="Y40" s="10">
        <f ca="1">IFERROR(__xludf.DUMMYFUNCTION("""COMPUTED_VALUE"""),2.028725208)</f>
        <v>2.028725208</v>
      </c>
      <c r="Z40" s="10">
        <f ca="1">IFERROR(__xludf.DUMMYFUNCTION("""COMPUTED_VALUE"""),0.1515057)</f>
        <v>0.15150569999999999</v>
      </c>
      <c r="AA40" s="10">
        <f ca="1">IFERROR(__xludf.DUMMYFUNCTION("""COMPUTED_VALUE"""),2.139454058)</f>
        <v>2.1394540580000001</v>
      </c>
      <c r="AB40" s="10">
        <f ca="1">IFERROR(__xludf.DUMMYFUNCTION("""COMPUTED_VALUE"""),0.0997088)</f>
        <v>9.97088E-2</v>
      </c>
      <c r="AC40" s="10">
        <f ca="1">IFERROR(__xludf.DUMMYFUNCTION("""COMPUTED_VALUE"""),2.076214686)</f>
        <v>2.0762146860000001</v>
      </c>
      <c r="AD40" s="10">
        <f ca="1">IFERROR(__xludf.DUMMYFUNCTION("""COMPUTED_VALUE"""),5.7582)</f>
        <v>5.7582000000000004</v>
      </c>
      <c r="AE40" s="10">
        <f ca="1">IFERROR(__xludf.DUMMYFUNCTION("""COMPUTED_VALUE"""),0.5046823)</f>
        <v>0.50468230000000003</v>
      </c>
      <c r="AF40" s="10">
        <f ca="1">IFERROR(__xludf.DUMMYFUNCTION("""COMPUTED_VALUE"""),0.829315)</f>
        <v>0.82931500000000002</v>
      </c>
      <c r="AG40" s="10">
        <f ca="1">IFERROR(__xludf.DUMMYFUNCTION("""COMPUTED_VALUE"""),8.363485)</f>
        <v>8.3634850000000007</v>
      </c>
      <c r="AH40" s="10">
        <f ca="1">IFERROR(__xludf.DUMMYFUNCTION("""COMPUTED_VALUE"""),0.2803388)</f>
        <v>0.2803388</v>
      </c>
      <c r="AI40" s="10">
        <f ca="1">IFERROR(__xludf.DUMMYFUNCTION("""COMPUTED_VALUE"""),0.2339704)</f>
        <v>0.2339704</v>
      </c>
      <c r="AJ40" s="10">
        <f ca="1">IFERROR(__xludf.DUMMYFUNCTION("""COMPUTED_VALUE"""),2.120702)</f>
        <v>2.1207020000000001</v>
      </c>
      <c r="AK40" s="10">
        <f ca="1">IFERROR(__xludf.DUMMYFUNCTION("""COMPUTED_VALUE"""),10.42795)</f>
        <v>10.427949999999999</v>
      </c>
      <c r="AL40" s="10">
        <f ca="1">IFERROR(__xludf.DUMMYFUNCTION("""COMPUTED_VALUE"""),7.78975)</f>
        <v>7.7897499999999997</v>
      </c>
      <c r="AM40" s="10">
        <f ca="1">IFERROR(__xludf.DUMMYFUNCTION("""COMPUTED_VALUE"""),0.0003440393)</f>
        <v>3.4403930000000002E-4</v>
      </c>
      <c r="AR40" s="3" t="s">
        <v>564</v>
      </c>
      <c r="AS40" s="3" t="s">
        <v>565</v>
      </c>
    </row>
    <row r="41" spans="1:45" ht="15.75" customHeight="1">
      <c r="A41" s="6">
        <f t="shared" ca="1" si="2"/>
        <v>44589</v>
      </c>
      <c r="B41" s="421">
        <f ca="1">IFERROR(__xludf.DUMMYFUNCTION("""COMPUTED_VALUE"""),44589.9986111111)</f>
        <v>44589.998611111099</v>
      </c>
      <c r="C41" s="10">
        <f ca="1">IFERROR(__xludf.DUMMYFUNCTION("""COMPUTED_VALUE"""),294120.9283)</f>
        <v>294120.92830000003</v>
      </c>
      <c r="D41" s="10">
        <f ca="1">IFERROR(__xludf.DUMMYFUNCTION("""COMPUTED_VALUE"""),19845.38334)</f>
        <v>19845.38334</v>
      </c>
      <c r="E41" s="10">
        <f ca="1">IFERROR(__xludf.DUMMYFUNCTION("""COMPUTED_VALUE"""),853.1727134)</f>
        <v>853.17271340000002</v>
      </c>
      <c r="F41" s="10">
        <f ca="1">IFERROR(__xludf.DUMMYFUNCTION("""COMPUTED_VALUE"""),2312.871114)</f>
        <v>2312.871114</v>
      </c>
      <c r="G41" s="10">
        <f ca="1">IFERROR(__xludf.DUMMYFUNCTION("""COMPUTED_VALUE"""),0.07437272)</f>
        <v>7.4372720000000003E-2</v>
      </c>
      <c r="H41" s="10">
        <f ca="1">IFERROR(__xludf.DUMMYFUNCTION("""COMPUTED_VALUE"""),5.444552)</f>
        <v>5.4445519999999998</v>
      </c>
      <c r="I41" s="10">
        <f ca="1">IFERROR(__xludf.DUMMYFUNCTION("""COMPUTED_VALUE"""),1.451724)</f>
        <v>1.451724</v>
      </c>
      <c r="J41" s="10">
        <f ca="1">IFERROR(__xludf.DUMMYFUNCTION("""COMPUTED_VALUE"""),6.102217)</f>
        <v>6.1022169999999996</v>
      </c>
      <c r="K41" s="10">
        <f ca="1">IFERROR(__xludf.DUMMYFUNCTION("""COMPUTED_VALUE"""),1.225154)</f>
        <v>1.2251540000000001</v>
      </c>
      <c r="L41" s="10">
        <f ca="1">IFERROR(__xludf.DUMMYFUNCTION("""COMPUTED_VALUE"""),1.167442)</f>
        <v>1.1674420000000001</v>
      </c>
      <c r="M41" s="10">
        <f ca="1">IFERROR(__xludf.DUMMYFUNCTION("""COMPUTED_VALUE"""),0.4953071666)</f>
        <v>0.49530716660000002</v>
      </c>
      <c r="N41" s="10">
        <f ca="1">IFERROR(__xludf.DUMMYFUNCTION("""COMPUTED_VALUE"""),8.68806)</f>
        <v>8.6880600000000001</v>
      </c>
      <c r="O41" s="10">
        <f ca="1">IFERROR(__xludf.DUMMYFUNCTION("""COMPUTED_VALUE"""),0.06032165729)</f>
        <v>6.0321657289999997E-2</v>
      </c>
      <c r="P41" s="10">
        <f ca="1">IFERROR(__xludf.DUMMYFUNCTION("""COMPUTED_VALUE"""),0.1038326)</f>
        <v>0.1038326</v>
      </c>
      <c r="Q41" s="10">
        <f ca="1">IFERROR(__xludf.DUMMYFUNCTION("""COMPUTED_VALUE"""),0.0005415)</f>
        <v>5.4149999999999999E-4</v>
      </c>
      <c r="R41" s="10">
        <f ca="1">IFERROR(__xludf.DUMMYFUNCTION("""COMPUTED_VALUE"""),0.06760921)</f>
        <v>6.7609210000000003E-2</v>
      </c>
      <c r="S41" s="10">
        <f ca="1">IFERROR(__xludf.DUMMYFUNCTION("""COMPUTED_VALUE"""),0.006445243)</f>
        <v>6.4452429999999998E-3</v>
      </c>
      <c r="T41" s="10">
        <f ca="1">IFERROR(__xludf.DUMMYFUNCTION("""COMPUTED_VALUE"""),0.009544341368)</f>
        <v>9.5443413679999999E-3</v>
      </c>
      <c r="U41" s="10">
        <f ca="1">IFERROR(__xludf.DUMMYFUNCTION("""COMPUTED_VALUE"""),1.862763)</f>
        <v>1.8627629999999999</v>
      </c>
      <c r="V41" s="10">
        <f ca="1">IFERROR(__xludf.DUMMYFUNCTION("""COMPUTED_VALUE"""),0.3745641)</f>
        <v>0.37456410000000001</v>
      </c>
      <c r="W41" s="10">
        <f ca="1">IFERROR(__xludf.DUMMYFUNCTION("""COMPUTED_VALUE"""),4.346735736)</f>
        <v>4.3467357360000003</v>
      </c>
      <c r="X41" s="10">
        <f ca="1">IFERROR(__xludf.DUMMYFUNCTION("""COMPUTED_VALUE"""),5.096692)</f>
        <v>5.096692</v>
      </c>
      <c r="Y41" s="10">
        <f ca="1">IFERROR(__xludf.DUMMYFUNCTION("""COMPUTED_VALUE"""),2.024670026)</f>
        <v>2.0246700259999999</v>
      </c>
      <c r="Z41" s="10">
        <f ca="1">IFERROR(__xludf.DUMMYFUNCTION("""COMPUTED_VALUE"""),0.1524345)</f>
        <v>0.1524345</v>
      </c>
      <c r="AA41" s="10">
        <f ca="1">IFERROR(__xludf.DUMMYFUNCTION("""COMPUTED_VALUE"""),2.140333532)</f>
        <v>2.1403335320000001</v>
      </c>
      <c r="AB41" s="10">
        <f ca="1">IFERROR(__xludf.DUMMYFUNCTION("""COMPUTED_VALUE"""),0.09967189445)</f>
        <v>9.9671894450000006E-2</v>
      </c>
      <c r="AC41" s="10">
        <f ca="1">IFERROR(__xludf.DUMMYFUNCTION("""COMPUTED_VALUE"""),2.077009694)</f>
        <v>2.077009694</v>
      </c>
      <c r="AD41" s="10">
        <f ca="1">IFERROR(__xludf.DUMMYFUNCTION("""COMPUTED_VALUE"""),5.754515)</f>
        <v>5.7545149999999996</v>
      </c>
      <c r="AE41" s="10">
        <f ca="1">IFERROR(__xludf.DUMMYFUNCTION("""COMPUTED_VALUE"""),0.4996126)</f>
        <v>0.49961260000000002</v>
      </c>
      <c r="AF41" s="10">
        <f ca="1">IFERROR(__xludf.DUMMYFUNCTION("""COMPUTED_VALUE"""),0.82637)</f>
        <v>0.82637000000000005</v>
      </c>
      <c r="AG41" s="10">
        <f ca="1">IFERROR(__xludf.DUMMYFUNCTION("""COMPUTED_VALUE"""),8.37122)</f>
        <v>8.3712199999999992</v>
      </c>
      <c r="AH41" s="10">
        <f ca="1">IFERROR(__xludf.DUMMYFUNCTION("""COMPUTED_VALUE"""),0.2799637)</f>
        <v>0.27996369999999998</v>
      </c>
      <c r="AI41" s="10">
        <f ca="1">IFERROR(__xludf.DUMMYFUNCTION("""COMPUTED_VALUE"""),0.233109)</f>
        <v>0.23310900000000001</v>
      </c>
      <c r="AJ41" s="10">
        <f ca="1">IFERROR(__xludf.DUMMYFUNCTION("""COMPUTED_VALUE"""),2.121508)</f>
        <v>2.1215079999999999</v>
      </c>
      <c r="AK41" s="10">
        <f ca="1">IFERROR(__xludf.DUMMYFUNCTION("""COMPUTED_VALUE"""),10.44246)</f>
        <v>10.442460000000001</v>
      </c>
      <c r="AL41" s="10">
        <f ca="1">IFERROR(__xludf.DUMMYFUNCTION("""COMPUTED_VALUE"""),7.792955)</f>
        <v>7.7929550000000001</v>
      </c>
      <c r="AM41" s="10">
        <f ca="1">IFERROR(__xludf.DUMMYFUNCTION("""COMPUTED_VALUE"""),0.0003440331)</f>
        <v>3.4403310000000002E-4</v>
      </c>
      <c r="AR41" s="3" t="s">
        <v>566</v>
      </c>
      <c r="AS41" s="3" t="s">
        <v>567</v>
      </c>
    </row>
    <row r="42" spans="1:45" ht="15.75" customHeight="1">
      <c r="A42" s="6">
        <f t="shared" ca="1" si="2"/>
        <v>44590</v>
      </c>
      <c r="B42" s="421">
        <f ca="1">IFERROR(__xludf.DUMMYFUNCTION("""COMPUTED_VALUE"""),44590.9986111111)</f>
        <v>44590.998611111099</v>
      </c>
      <c r="C42" s="10">
        <f ca="1">IFERROR(__xludf.DUMMYFUNCTION("""COMPUTED_VALUE"""),297621.5237)</f>
        <v>297621.52370000002</v>
      </c>
      <c r="D42" s="10">
        <f ca="1">IFERROR(__xludf.DUMMYFUNCTION("""COMPUTED_VALUE"""),20246.64259)</f>
        <v>20246.642589999999</v>
      </c>
      <c r="E42" s="10">
        <f ca="1">IFERROR(__xludf.DUMMYFUNCTION("""COMPUTED_VALUE"""),863.7711322)</f>
        <v>863.77113220000001</v>
      </c>
      <c r="F42" s="10">
        <f ca="1">IFERROR(__xludf.DUMMYFUNCTION("""COMPUTED_VALUE"""),2330.327333)</f>
        <v>2330.3273330000002</v>
      </c>
      <c r="G42" s="10">
        <f ca="1">IFERROR(__xludf.DUMMYFUNCTION("""COMPUTED_VALUE"""),0.07437272)</f>
        <v>7.4372720000000003E-2</v>
      </c>
      <c r="H42" s="10">
        <f ca="1">IFERROR(__xludf.DUMMYFUNCTION("""COMPUTED_VALUE"""),5.444552)</f>
        <v>5.4445519999999998</v>
      </c>
      <c r="I42" s="10">
        <f ca="1">IFERROR(__xludf.DUMMYFUNCTION("""COMPUTED_VALUE"""),1.451724)</f>
        <v>1.451724</v>
      </c>
      <c r="J42" s="10">
        <f ca="1">IFERROR(__xludf.DUMMYFUNCTION("""COMPUTED_VALUE"""),6.102217)</f>
        <v>6.1022169999999996</v>
      </c>
      <c r="K42" s="10">
        <f ca="1">IFERROR(__xludf.DUMMYFUNCTION("""COMPUTED_VALUE"""),1.225154)</f>
        <v>1.2251540000000001</v>
      </c>
      <c r="L42" s="10">
        <f ca="1">IFERROR(__xludf.DUMMYFUNCTION("""COMPUTED_VALUE"""),1.167442)</f>
        <v>1.1674420000000001</v>
      </c>
      <c r="M42" s="10">
        <f ca="1">IFERROR(__xludf.DUMMYFUNCTION("""COMPUTED_VALUE"""),0.4953071666)</f>
        <v>0.49530716660000002</v>
      </c>
      <c r="N42" s="10">
        <f ca="1">IFERROR(__xludf.DUMMYFUNCTION("""COMPUTED_VALUE"""),8.68806)</f>
        <v>8.6880600000000001</v>
      </c>
      <c r="O42" s="10">
        <f ca="1">IFERROR(__xludf.DUMMYFUNCTION("""COMPUTED_VALUE"""),0.06021513461)</f>
        <v>6.0215134609999998E-2</v>
      </c>
      <c r="P42" s="10">
        <f ca="1">IFERROR(__xludf.DUMMYFUNCTION("""COMPUTED_VALUE"""),0.1038942)</f>
        <v>0.10389420000000001</v>
      </c>
      <c r="Q42" s="10">
        <f ca="1">IFERROR(__xludf.DUMMYFUNCTION("""COMPUTED_VALUE"""),0.0005415)</f>
        <v>5.4149999999999999E-4</v>
      </c>
      <c r="R42" s="10">
        <f ca="1">IFERROR(__xludf.DUMMYFUNCTION("""COMPUTED_VALUE"""),0.06760921)</f>
        <v>6.7609210000000003E-2</v>
      </c>
      <c r="S42" s="10">
        <f ca="1">IFERROR(__xludf.DUMMYFUNCTION("""COMPUTED_VALUE"""),0.006445243)</f>
        <v>6.4452429999999998E-3</v>
      </c>
      <c r="T42" s="10">
        <f ca="1">IFERROR(__xludf.DUMMYFUNCTION("""COMPUTED_VALUE"""),0.009544951557)</f>
        <v>9.5449515569999994E-3</v>
      </c>
      <c r="U42" s="10">
        <f ca="1">IFERROR(__xludf.DUMMYFUNCTION("""COMPUTED_VALUE"""),1.862763)</f>
        <v>1.8627629999999999</v>
      </c>
      <c r="V42" s="10">
        <f ca="1">IFERROR(__xludf.DUMMYFUNCTION("""COMPUTED_VALUE"""),0.3745641)</f>
        <v>0.37456410000000001</v>
      </c>
      <c r="W42" s="10">
        <f ca="1">IFERROR(__xludf.DUMMYFUNCTION("""COMPUTED_VALUE"""),4.346735736)</f>
        <v>4.3467357360000003</v>
      </c>
      <c r="X42" s="10">
        <f ca="1">IFERROR(__xludf.DUMMYFUNCTION("""COMPUTED_VALUE"""),5.096692)</f>
        <v>5.096692</v>
      </c>
      <c r="Y42" s="10">
        <f ca="1">IFERROR(__xludf.DUMMYFUNCTION("""COMPUTED_VALUE"""),2.030583009)</f>
        <v>2.0305830089999999</v>
      </c>
      <c r="Z42" s="10">
        <f ca="1">IFERROR(__xludf.DUMMYFUNCTION("""COMPUTED_VALUE"""),0.1524345)</f>
        <v>0.1524345</v>
      </c>
      <c r="AA42" s="10">
        <f ca="1">IFERROR(__xludf.DUMMYFUNCTION("""COMPUTED_VALUE"""),2.140333532)</f>
        <v>2.1403335320000001</v>
      </c>
      <c r="AB42" s="10">
        <f ca="1">IFERROR(__xludf.DUMMYFUNCTION("""COMPUTED_VALUE"""),0.09967189445)</f>
        <v>9.9671894450000006E-2</v>
      </c>
      <c r="AC42" s="10">
        <f ca="1">IFERROR(__xludf.DUMMYFUNCTION("""COMPUTED_VALUE"""),2.077838708)</f>
        <v>2.0778387079999998</v>
      </c>
      <c r="AD42" s="10">
        <f ca="1">IFERROR(__xludf.DUMMYFUNCTION("""COMPUTED_VALUE"""),5.754515)</f>
        <v>5.7545149999999996</v>
      </c>
      <c r="AE42" s="10">
        <f ca="1">IFERROR(__xludf.DUMMYFUNCTION("""COMPUTED_VALUE"""),0.4996797)</f>
        <v>0.4996797</v>
      </c>
      <c r="AF42" s="10">
        <f ca="1">IFERROR(__xludf.DUMMYFUNCTION("""COMPUTED_VALUE"""),0.82637)</f>
        <v>0.82637000000000005</v>
      </c>
      <c r="AG42" s="10">
        <f ca="1">IFERROR(__xludf.DUMMYFUNCTION("""COMPUTED_VALUE"""),8.37122)</f>
        <v>8.3712199999999992</v>
      </c>
      <c r="AH42" s="10">
        <f ca="1">IFERROR(__xludf.DUMMYFUNCTION("""COMPUTED_VALUE"""),0.2799637)</f>
        <v>0.27996369999999998</v>
      </c>
      <c r="AI42" s="10">
        <f ca="1">IFERROR(__xludf.DUMMYFUNCTION("""COMPUTED_VALUE"""),0.233109)</f>
        <v>0.23310900000000001</v>
      </c>
      <c r="AJ42" s="10">
        <f ca="1">IFERROR(__xludf.DUMMYFUNCTION("""COMPUTED_VALUE"""),2.121508)</f>
        <v>2.1215079999999999</v>
      </c>
      <c r="AK42" s="10">
        <f ca="1">IFERROR(__xludf.DUMMYFUNCTION("""COMPUTED_VALUE"""),10.44246)</f>
        <v>10.442460000000001</v>
      </c>
      <c r="AL42" s="10">
        <f ca="1">IFERROR(__xludf.DUMMYFUNCTION("""COMPUTED_VALUE"""),7.792955)</f>
        <v>7.7929550000000001</v>
      </c>
      <c r="AM42" s="10">
        <f ca="1">IFERROR(__xludf.DUMMYFUNCTION("""COMPUTED_VALUE"""),0.0003440331)</f>
        <v>3.4403310000000002E-4</v>
      </c>
      <c r="AR42" s="3" t="s">
        <v>568</v>
      </c>
      <c r="AS42" s="3" t="s">
        <v>569</v>
      </c>
    </row>
    <row r="43" spans="1:45" ht="15.75" customHeight="1">
      <c r="A43" s="10" t="str">
        <f t="shared" si="2"/>
        <v/>
      </c>
      <c r="AR43" s="3" t="s">
        <v>570</v>
      </c>
      <c r="AS43" s="3" t="s">
        <v>571</v>
      </c>
    </row>
    <row r="44" spans="1:45" ht="15.75" customHeight="1">
      <c r="A44" s="10" t="str">
        <f t="shared" si="2"/>
        <v/>
      </c>
      <c r="AR44" s="3" t="s">
        <v>572</v>
      </c>
      <c r="AS44" s="3" t="s">
        <v>573</v>
      </c>
    </row>
    <row r="45" spans="1:45" ht="15.75" customHeight="1">
      <c r="A45" s="10" t="str">
        <f t="shared" si="2"/>
        <v/>
      </c>
      <c r="AR45" s="3" t="s">
        <v>574</v>
      </c>
      <c r="AS45" s="3" t="s">
        <v>575</v>
      </c>
    </row>
    <row r="46" spans="1:45" ht="15.75" customHeight="1">
      <c r="A46" s="10" t="str">
        <f t="shared" si="2"/>
        <v/>
      </c>
      <c r="AR46" s="3" t="s">
        <v>576</v>
      </c>
      <c r="AS46" s="3" t="s">
        <v>577</v>
      </c>
    </row>
    <row r="47" spans="1:45" ht="15.75" customHeight="1">
      <c r="A47" s="10" t="str">
        <f t="shared" si="2"/>
        <v/>
      </c>
      <c r="AR47" s="3" t="s">
        <v>578</v>
      </c>
      <c r="AS47" s="3" t="s">
        <v>579</v>
      </c>
    </row>
    <row r="48" spans="1:45" ht="15.75" customHeight="1">
      <c r="A48" s="10" t="str">
        <f t="shared" si="2"/>
        <v/>
      </c>
      <c r="AR48" s="3" t="s">
        <v>580</v>
      </c>
      <c r="AS48" s="3" t="s">
        <v>37</v>
      </c>
    </row>
    <row r="49" spans="1:45" ht="15.75" customHeight="1">
      <c r="A49" s="10" t="str">
        <f t="shared" si="2"/>
        <v/>
      </c>
      <c r="AR49" s="3" t="s">
        <v>581</v>
      </c>
      <c r="AS49" s="3" t="s">
        <v>582</v>
      </c>
    </row>
    <row r="50" spans="1:45" ht="15.75" customHeight="1">
      <c r="A50" s="10" t="str">
        <f t="shared" si="2"/>
        <v/>
      </c>
      <c r="AR50" s="3" t="s">
        <v>583</v>
      </c>
      <c r="AS50" s="3" t="s">
        <v>584</v>
      </c>
    </row>
    <row r="51" spans="1:45" ht="15.75" customHeight="1">
      <c r="A51" s="10" t="str">
        <f t="shared" si="2"/>
        <v/>
      </c>
      <c r="AR51" s="3" t="s">
        <v>585</v>
      </c>
      <c r="AS51" s="3" t="s">
        <v>586</v>
      </c>
    </row>
    <row r="52" spans="1:45" ht="15.75" customHeight="1">
      <c r="A52" s="10" t="str">
        <f t="shared" si="2"/>
        <v/>
      </c>
      <c r="AR52" s="3" t="s">
        <v>587</v>
      </c>
      <c r="AS52" s="3" t="s">
        <v>588</v>
      </c>
    </row>
    <row r="53" spans="1:45" ht="15.75" customHeight="1">
      <c r="A53" s="10" t="str">
        <f t="shared" si="2"/>
        <v/>
      </c>
      <c r="AR53" s="3" t="s">
        <v>589</v>
      </c>
      <c r="AS53" s="3" t="s">
        <v>590</v>
      </c>
    </row>
    <row r="54" spans="1:45" ht="15.75" customHeight="1">
      <c r="A54" s="10" t="str">
        <f t="shared" si="2"/>
        <v/>
      </c>
      <c r="AR54" s="3" t="s">
        <v>591</v>
      </c>
      <c r="AS54" s="3" t="s">
        <v>592</v>
      </c>
    </row>
    <row r="55" spans="1:45" ht="15.75" customHeight="1">
      <c r="A55" s="10" t="str">
        <f t="shared" si="2"/>
        <v/>
      </c>
      <c r="AR55" s="3" t="s">
        <v>593</v>
      </c>
      <c r="AS55" s="3" t="s">
        <v>594</v>
      </c>
    </row>
    <row r="56" spans="1:45" ht="15.75" customHeight="1">
      <c r="A56" s="10" t="str">
        <f t="shared" si="2"/>
        <v/>
      </c>
      <c r="AR56" s="3" t="s">
        <v>595</v>
      </c>
      <c r="AS56" s="3" t="s">
        <v>596</v>
      </c>
    </row>
    <row r="57" spans="1:45" ht="15.75" customHeight="1">
      <c r="A57" s="10" t="str">
        <f t="shared" si="2"/>
        <v/>
      </c>
      <c r="AR57" s="3" t="s">
        <v>597</v>
      </c>
      <c r="AS57" s="3" t="s">
        <v>598</v>
      </c>
    </row>
    <row r="58" spans="1:45" ht="15.75" customHeight="1">
      <c r="A58" s="10" t="str">
        <f t="shared" si="2"/>
        <v/>
      </c>
      <c r="AR58" s="3" t="s">
        <v>599</v>
      </c>
      <c r="AS58" s="3" t="s">
        <v>600</v>
      </c>
    </row>
    <row r="59" spans="1:45" ht="15.75" customHeight="1">
      <c r="A59" s="10" t="str">
        <f t="shared" si="2"/>
        <v/>
      </c>
      <c r="AR59" s="3" t="s">
        <v>601</v>
      </c>
      <c r="AS59" s="3" t="s">
        <v>602</v>
      </c>
    </row>
    <row r="60" spans="1:45" ht="15.75" customHeight="1">
      <c r="A60" s="10" t="str">
        <f t="shared" si="2"/>
        <v/>
      </c>
      <c r="AR60" s="3" t="s">
        <v>603</v>
      </c>
      <c r="AS60" s="3" t="s">
        <v>604</v>
      </c>
    </row>
    <row r="61" spans="1:45" ht="15.75" customHeight="1">
      <c r="A61" s="10" t="str">
        <f t="shared" si="2"/>
        <v/>
      </c>
      <c r="AR61" s="3" t="s">
        <v>605</v>
      </c>
      <c r="AS61" s="3" t="s">
        <v>606</v>
      </c>
    </row>
    <row r="62" spans="1:45" ht="15.75" customHeight="1">
      <c r="A62" s="10" t="str">
        <f t="shared" si="2"/>
        <v/>
      </c>
      <c r="AR62" s="3" t="s">
        <v>607</v>
      </c>
      <c r="AS62" s="3" t="s">
        <v>608</v>
      </c>
    </row>
    <row r="63" spans="1:45" ht="15.75" customHeight="1">
      <c r="A63" s="10" t="str">
        <f t="shared" si="2"/>
        <v/>
      </c>
      <c r="AR63" s="3" t="s">
        <v>609</v>
      </c>
      <c r="AS63" s="3" t="s">
        <v>610</v>
      </c>
    </row>
    <row r="64" spans="1:45" ht="15.75" customHeight="1">
      <c r="A64" s="10" t="str">
        <f t="shared" si="2"/>
        <v/>
      </c>
      <c r="AR64" s="3" t="s">
        <v>611</v>
      </c>
      <c r="AS64" s="3" t="s">
        <v>612</v>
      </c>
    </row>
    <row r="65" spans="1:45" ht="15.75" customHeight="1">
      <c r="A65" s="10" t="str">
        <f t="shared" si="2"/>
        <v/>
      </c>
      <c r="AR65" s="3" t="s">
        <v>613</v>
      </c>
      <c r="AS65" s="3" t="s">
        <v>614</v>
      </c>
    </row>
    <row r="66" spans="1:45" ht="15.75" customHeight="1">
      <c r="A66" s="10" t="str">
        <f t="shared" si="2"/>
        <v/>
      </c>
      <c r="AR66" s="3" t="s">
        <v>615</v>
      </c>
      <c r="AS66" s="3" t="s">
        <v>616</v>
      </c>
    </row>
    <row r="67" spans="1:45" ht="15.75" customHeight="1">
      <c r="A67" s="10" t="str">
        <f t="shared" si="2"/>
        <v/>
      </c>
      <c r="AR67" s="3" t="s">
        <v>617</v>
      </c>
      <c r="AS67" s="3" t="s">
        <v>618</v>
      </c>
    </row>
    <row r="68" spans="1:45" ht="15.75" customHeight="1">
      <c r="A68" s="10" t="str">
        <f t="shared" si="2"/>
        <v/>
      </c>
      <c r="AR68" s="3" t="s">
        <v>619</v>
      </c>
      <c r="AS68" s="3" t="s">
        <v>620</v>
      </c>
    </row>
    <row r="69" spans="1:45" ht="15.75" customHeight="1">
      <c r="A69" s="10" t="str">
        <f t="shared" si="2"/>
        <v/>
      </c>
      <c r="AR69" s="3" t="s">
        <v>621</v>
      </c>
      <c r="AS69" s="3" t="s">
        <v>622</v>
      </c>
    </row>
    <row r="70" spans="1:45" ht="15.75" customHeight="1">
      <c r="A70" s="10" t="str">
        <f t="shared" si="2"/>
        <v/>
      </c>
      <c r="AR70" s="3" t="s">
        <v>623</v>
      </c>
      <c r="AS70" s="3" t="s">
        <v>624</v>
      </c>
    </row>
    <row r="71" spans="1:45" ht="15.75" customHeight="1">
      <c r="A71" s="10" t="str">
        <f t="shared" si="2"/>
        <v/>
      </c>
      <c r="AR71" s="3" t="s">
        <v>625</v>
      </c>
      <c r="AS71" s="3" t="s">
        <v>626</v>
      </c>
    </row>
    <row r="72" spans="1:45" ht="15.75" customHeight="1">
      <c r="A72" s="10" t="str">
        <f t="shared" si="2"/>
        <v/>
      </c>
      <c r="AR72" s="3" t="s">
        <v>627</v>
      </c>
      <c r="AS72" s="3" t="s">
        <v>628</v>
      </c>
    </row>
    <row r="73" spans="1:45" ht="15.75" customHeight="1">
      <c r="A73" s="10" t="str">
        <f t="shared" si="2"/>
        <v/>
      </c>
      <c r="AR73" s="3" t="s">
        <v>629</v>
      </c>
      <c r="AS73" s="3" t="s">
        <v>630</v>
      </c>
    </row>
    <row r="74" spans="1:45" ht="15.75" customHeight="1">
      <c r="A74" s="10" t="str">
        <f t="shared" si="2"/>
        <v/>
      </c>
      <c r="AR74" s="3" t="s">
        <v>631</v>
      </c>
      <c r="AS74" s="3" t="s">
        <v>632</v>
      </c>
    </row>
    <row r="75" spans="1:45" ht="15.75" customHeight="1">
      <c r="A75" s="10" t="str">
        <f t="shared" si="2"/>
        <v/>
      </c>
      <c r="AR75" s="3" t="s">
        <v>633</v>
      </c>
      <c r="AS75" s="3" t="s">
        <v>634</v>
      </c>
    </row>
    <row r="76" spans="1:45" ht="15.75" customHeight="1">
      <c r="A76" s="10" t="str">
        <f t="shared" si="2"/>
        <v/>
      </c>
      <c r="AR76" s="3" t="s">
        <v>635</v>
      </c>
      <c r="AS76" s="3" t="s">
        <v>636</v>
      </c>
    </row>
    <row r="77" spans="1:45" ht="15.75" customHeight="1">
      <c r="A77" s="10" t="str">
        <f t="shared" si="2"/>
        <v/>
      </c>
      <c r="AR77" s="3" t="s">
        <v>637</v>
      </c>
      <c r="AS77" s="3" t="s">
        <v>638</v>
      </c>
    </row>
    <row r="78" spans="1:45" ht="15.75" customHeight="1">
      <c r="A78" s="10" t="str">
        <f t="shared" si="2"/>
        <v/>
      </c>
      <c r="AR78" s="3" t="s">
        <v>639</v>
      </c>
      <c r="AS78" s="3" t="s">
        <v>640</v>
      </c>
    </row>
    <row r="79" spans="1:45" ht="15.75" customHeight="1">
      <c r="A79" s="10" t="str">
        <f t="shared" si="2"/>
        <v/>
      </c>
      <c r="AR79" s="3" t="s">
        <v>641</v>
      </c>
      <c r="AS79" s="3" t="s">
        <v>642</v>
      </c>
    </row>
    <row r="80" spans="1:45" ht="15.75" customHeight="1">
      <c r="A80" s="10" t="str">
        <f t="shared" si="2"/>
        <v/>
      </c>
      <c r="AR80" s="3" t="s">
        <v>643</v>
      </c>
      <c r="AS80" s="3" t="s">
        <v>644</v>
      </c>
    </row>
    <row r="81" spans="1:45" ht="15.75" customHeight="1">
      <c r="A81" s="10" t="str">
        <f t="shared" si="2"/>
        <v/>
      </c>
      <c r="AR81" s="3" t="s">
        <v>645</v>
      </c>
      <c r="AS81" s="3" t="s">
        <v>646</v>
      </c>
    </row>
    <row r="82" spans="1:45" ht="15.75" customHeight="1">
      <c r="A82" s="10" t="str">
        <f t="shared" si="2"/>
        <v/>
      </c>
      <c r="AR82" s="3" t="s">
        <v>647</v>
      </c>
      <c r="AS82" s="3" t="s">
        <v>648</v>
      </c>
    </row>
    <row r="83" spans="1:45" ht="15.75" customHeight="1">
      <c r="A83" s="10" t="str">
        <f t="shared" si="2"/>
        <v/>
      </c>
      <c r="AR83" s="3" t="s">
        <v>649</v>
      </c>
      <c r="AS83" s="3" t="s">
        <v>650</v>
      </c>
    </row>
    <row r="84" spans="1:45" ht="15.75" customHeight="1">
      <c r="A84" s="10" t="str">
        <f t="shared" si="2"/>
        <v/>
      </c>
      <c r="AR84" s="3" t="s">
        <v>651</v>
      </c>
      <c r="AS84" s="3" t="s">
        <v>652</v>
      </c>
    </row>
    <row r="85" spans="1:45" ht="15.75" customHeight="1">
      <c r="A85" s="10" t="str">
        <f t="shared" si="2"/>
        <v/>
      </c>
      <c r="AR85" s="3" t="s">
        <v>653</v>
      </c>
      <c r="AS85" s="3" t="s">
        <v>654</v>
      </c>
    </row>
    <row r="86" spans="1:45" ht="15.75" customHeight="1">
      <c r="A86" s="10" t="str">
        <f t="shared" si="2"/>
        <v/>
      </c>
      <c r="AR86" s="3" t="s">
        <v>655</v>
      </c>
      <c r="AS86" s="3" t="s">
        <v>656</v>
      </c>
    </row>
    <row r="87" spans="1:45" ht="15.75" customHeight="1">
      <c r="A87" s="10" t="str">
        <f t="shared" si="2"/>
        <v/>
      </c>
      <c r="AR87" s="3" t="s">
        <v>657</v>
      </c>
      <c r="AS87" s="3" t="s">
        <v>658</v>
      </c>
    </row>
    <row r="88" spans="1:45" ht="15.75" customHeight="1">
      <c r="A88" s="10" t="str">
        <f t="shared" si="2"/>
        <v/>
      </c>
      <c r="AR88" s="3" t="s">
        <v>659</v>
      </c>
      <c r="AS88" s="3" t="s">
        <v>660</v>
      </c>
    </row>
    <row r="89" spans="1:45" ht="13">
      <c r="A89" s="10" t="str">
        <f t="shared" si="2"/>
        <v/>
      </c>
      <c r="AR89" s="3" t="s">
        <v>661</v>
      </c>
      <c r="AS89" s="3" t="s">
        <v>662</v>
      </c>
    </row>
    <row r="90" spans="1:45" ht="13">
      <c r="A90" s="10" t="str">
        <f t="shared" si="2"/>
        <v/>
      </c>
      <c r="AR90" s="3" t="s">
        <v>663</v>
      </c>
      <c r="AS90" s="3" t="s">
        <v>664</v>
      </c>
    </row>
    <row r="91" spans="1:45" ht="13">
      <c r="A91" s="10" t="str">
        <f t="shared" si="2"/>
        <v/>
      </c>
      <c r="AR91" s="3" t="s">
        <v>665</v>
      </c>
      <c r="AS91" s="3" t="s">
        <v>666</v>
      </c>
    </row>
    <row r="92" spans="1:45" ht="13">
      <c r="A92" s="10" t="str">
        <f t="shared" si="2"/>
        <v/>
      </c>
      <c r="AR92" s="3" t="s">
        <v>667</v>
      </c>
      <c r="AS92" s="3" t="s">
        <v>668</v>
      </c>
    </row>
    <row r="93" spans="1:45" ht="13">
      <c r="A93" s="10" t="str">
        <f t="shared" si="2"/>
        <v/>
      </c>
      <c r="AR93" s="3" t="s">
        <v>669</v>
      </c>
      <c r="AS93" s="3" t="s">
        <v>670</v>
      </c>
    </row>
    <row r="94" spans="1:45" ht="13">
      <c r="A94" s="10" t="str">
        <f t="shared" si="2"/>
        <v/>
      </c>
      <c r="AR94" s="3" t="s">
        <v>671</v>
      </c>
      <c r="AS94" s="3" t="s">
        <v>672</v>
      </c>
    </row>
    <row r="95" spans="1:45" ht="13">
      <c r="A95" s="10" t="str">
        <f t="shared" si="2"/>
        <v/>
      </c>
      <c r="AR95" s="3" t="s">
        <v>673</v>
      </c>
      <c r="AS95" s="3" t="s">
        <v>674</v>
      </c>
    </row>
    <row r="96" spans="1:45" ht="13">
      <c r="A96" s="10" t="str">
        <f t="shared" si="2"/>
        <v/>
      </c>
      <c r="AR96" s="3" t="s">
        <v>675</v>
      </c>
      <c r="AS96" s="3" t="s">
        <v>676</v>
      </c>
    </row>
    <row r="97" spans="1:45" ht="13">
      <c r="A97" s="10" t="str">
        <f t="shared" si="2"/>
        <v/>
      </c>
      <c r="AR97" s="3" t="s">
        <v>677</v>
      </c>
      <c r="AS97" s="3" t="s">
        <v>678</v>
      </c>
    </row>
    <row r="98" spans="1:45" ht="13">
      <c r="A98" s="10" t="str">
        <f t="shared" si="2"/>
        <v/>
      </c>
      <c r="AR98" s="3" t="s">
        <v>679</v>
      </c>
      <c r="AS98" s="3" t="s">
        <v>680</v>
      </c>
    </row>
    <row r="99" spans="1:45" ht="13">
      <c r="A99" s="10" t="str">
        <f t="shared" si="2"/>
        <v/>
      </c>
      <c r="AR99" s="3" t="s">
        <v>681</v>
      </c>
      <c r="AS99" s="3" t="s">
        <v>682</v>
      </c>
    </row>
    <row r="100" spans="1:45" ht="13">
      <c r="A100" s="10" t="str">
        <f t="shared" si="2"/>
        <v/>
      </c>
      <c r="AR100" s="3" t="s">
        <v>683</v>
      </c>
      <c r="AS100" s="3" t="s">
        <v>684</v>
      </c>
    </row>
    <row r="101" spans="1:45" ht="13">
      <c r="A101" s="10" t="str">
        <f t="shared" si="2"/>
        <v/>
      </c>
      <c r="AR101" s="3" t="s">
        <v>685</v>
      </c>
      <c r="AS101" s="3" t="s">
        <v>686</v>
      </c>
    </row>
    <row r="102" spans="1:45" ht="13">
      <c r="A102" s="10" t="str">
        <f t="shared" si="2"/>
        <v/>
      </c>
      <c r="AR102" s="3" t="s">
        <v>687</v>
      </c>
      <c r="AS102" s="3" t="s">
        <v>688</v>
      </c>
    </row>
    <row r="103" spans="1:45" ht="13">
      <c r="A103" s="10" t="str">
        <f t="shared" si="2"/>
        <v/>
      </c>
      <c r="AR103" s="3" t="s">
        <v>689</v>
      </c>
      <c r="AS103" s="3" t="s">
        <v>690</v>
      </c>
    </row>
    <row r="104" spans="1:45" ht="13">
      <c r="A104" s="10" t="str">
        <f t="shared" si="2"/>
        <v/>
      </c>
      <c r="AR104" s="3" t="s">
        <v>691</v>
      </c>
      <c r="AS104" s="3" t="s">
        <v>692</v>
      </c>
    </row>
    <row r="105" spans="1:45" ht="13">
      <c r="A105" s="10" t="str">
        <f t="shared" si="2"/>
        <v/>
      </c>
      <c r="AR105" s="3" t="s">
        <v>693</v>
      </c>
      <c r="AS105" s="3" t="s">
        <v>694</v>
      </c>
    </row>
    <row r="106" spans="1:45" ht="13">
      <c r="A106" s="10" t="str">
        <f t="shared" si="2"/>
        <v/>
      </c>
      <c r="AR106" s="3" t="s">
        <v>695</v>
      </c>
      <c r="AS106" s="3" t="s">
        <v>696</v>
      </c>
    </row>
    <row r="107" spans="1:45" ht="13">
      <c r="A107" s="10" t="str">
        <f t="shared" si="2"/>
        <v/>
      </c>
      <c r="AR107" s="3" t="s">
        <v>697</v>
      </c>
      <c r="AS107" s="3" t="s">
        <v>698</v>
      </c>
    </row>
    <row r="108" spans="1:45" ht="13">
      <c r="A108" s="10" t="str">
        <f t="shared" si="2"/>
        <v/>
      </c>
      <c r="AR108" s="3" t="s">
        <v>699</v>
      </c>
      <c r="AS108" s="3" t="s">
        <v>700</v>
      </c>
    </row>
    <row r="109" spans="1:45" ht="13">
      <c r="A109" s="10" t="str">
        <f t="shared" si="2"/>
        <v/>
      </c>
      <c r="AR109" s="3" t="s">
        <v>701</v>
      </c>
      <c r="AS109" s="3" t="s">
        <v>702</v>
      </c>
    </row>
    <row r="110" spans="1:45" ht="13">
      <c r="A110" s="10" t="str">
        <f t="shared" si="2"/>
        <v/>
      </c>
      <c r="AR110" s="3" t="s">
        <v>703</v>
      </c>
      <c r="AS110" s="3" t="s">
        <v>704</v>
      </c>
    </row>
    <row r="111" spans="1:45" ht="13">
      <c r="A111" s="10" t="str">
        <f t="shared" si="2"/>
        <v/>
      </c>
      <c r="AR111" s="3" t="s">
        <v>705</v>
      </c>
      <c r="AS111" s="3" t="s">
        <v>706</v>
      </c>
    </row>
    <row r="112" spans="1:45" ht="13">
      <c r="A112" s="10" t="str">
        <f t="shared" si="2"/>
        <v/>
      </c>
      <c r="AR112" s="3" t="s">
        <v>707</v>
      </c>
      <c r="AS112" s="3" t="s">
        <v>708</v>
      </c>
    </row>
    <row r="113" spans="1:45" ht="13">
      <c r="A113" s="10" t="str">
        <f t="shared" si="2"/>
        <v/>
      </c>
      <c r="AR113" s="3" t="s">
        <v>709</v>
      </c>
      <c r="AS113" s="3" t="s">
        <v>710</v>
      </c>
    </row>
    <row r="114" spans="1:45" ht="13">
      <c r="A114" s="10" t="str">
        <f t="shared" si="2"/>
        <v/>
      </c>
      <c r="AR114" s="3" t="s">
        <v>711</v>
      </c>
      <c r="AS114" s="3" t="s">
        <v>712</v>
      </c>
    </row>
    <row r="115" spans="1:45" ht="13">
      <c r="A115" s="10" t="str">
        <f t="shared" si="2"/>
        <v/>
      </c>
      <c r="AR115" s="3" t="s">
        <v>713</v>
      </c>
      <c r="AS115" s="3" t="s">
        <v>714</v>
      </c>
    </row>
    <row r="116" spans="1:45" ht="13">
      <c r="A116" s="10" t="str">
        <f t="shared" si="2"/>
        <v/>
      </c>
      <c r="AR116" s="3" t="s">
        <v>715</v>
      </c>
      <c r="AS116" s="3" t="s">
        <v>716</v>
      </c>
    </row>
    <row r="117" spans="1:45" ht="13">
      <c r="A117" s="10" t="str">
        <f t="shared" si="2"/>
        <v/>
      </c>
      <c r="AR117" s="3" t="s">
        <v>717</v>
      </c>
      <c r="AS117" s="3" t="s">
        <v>718</v>
      </c>
    </row>
    <row r="118" spans="1:45" ht="13">
      <c r="A118" s="10" t="str">
        <f t="shared" si="2"/>
        <v/>
      </c>
      <c r="AR118" s="3" t="s">
        <v>719</v>
      </c>
      <c r="AS118" s="3" t="s">
        <v>720</v>
      </c>
    </row>
    <row r="119" spans="1:45" ht="13">
      <c r="A119" s="10" t="str">
        <f t="shared" si="2"/>
        <v/>
      </c>
      <c r="AR119" s="3" t="s">
        <v>721</v>
      </c>
      <c r="AS119" s="3" t="s">
        <v>722</v>
      </c>
    </row>
    <row r="120" spans="1:45" ht="13">
      <c r="A120" s="10" t="str">
        <f t="shared" si="2"/>
        <v/>
      </c>
      <c r="AR120" s="3" t="s">
        <v>723</v>
      </c>
      <c r="AS120" s="3" t="s">
        <v>724</v>
      </c>
    </row>
    <row r="121" spans="1:45" ht="13">
      <c r="A121" s="10" t="str">
        <f t="shared" si="2"/>
        <v/>
      </c>
      <c r="AR121" s="3" t="s">
        <v>725</v>
      </c>
      <c r="AS121" s="3" t="s">
        <v>726</v>
      </c>
    </row>
    <row r="122" spans="1:45" ht="13">
      <c r="A122" s="10" t="str">
        <f t="shared" si="2"/>
        <v/>
      </c>
      <c r="AR122" s="3" t="s">
        <v>727</v>
      </c>
      <c r="AS122" s="3" t="s">
        <v>728</v>
      </c>
    </row>
    <row r="123" spans="1:45" ht="13">
      <c r="A123" s="10" t="str">
        <f t="shared" si="2"/>
        <v/>
      </c>
      <c r="AR123" s="3" t="s">
        <v>729</v>
      </c>
      <c r="AS123" s="3" t="s">
        <v>730</v>
      </c>
    </row>
    <row r="124" spans="1:45" ht="13">
      <c r="A124" s="10" t="str">
        <f t="shared" si="2"/>
        <v/>
      </c>
      <c r="AR124" s="3" t="s">
        <v>731</v>
      </c>
      <c r="AS124" s="3" t="s">
        <v>732</v>
      </c>
    </row>
    <row r="125" spans="1:45" ht="13">
      <c r="A125" s="10" t="str">
        <f t="shared" si="2"/>
        <v/>
      </c>
      <c r="AR125" s="3" t="s">
        <v>733</v>
      </c>
      <c r="AS125" s="3" t="s">
        <v>734</v>
      </c>
    </row>
    <row r="126" spans="1:45" ht="13">
      <c r="A126" s="10" t="str">
        <f t="shared" si="2"/>
        <v/>
      </c>
      <c r="AR126" s="3" t="s">
        <v>735</v>
      </c>
      <c r="AS126" s="3" t="s">
        <v>736</v>
      </c>
    </row>
    <row r="127" spans="1:45" ht="13">
      <c r="A127" s="10" t="str">
        <f t="shared" si="2"/>
        <v/>
      </c>
      <c r="AR127" s="3" t="s">
        <v>737</v>
      </c>
      <c r="AS127" s="3" t="s">
        <v>738</v>
      </c>
    </row>
    <row r="128" spans="1:45" ht="13">
      <c r="A128" s="10" t="str">
        <f t="shared" si="2"/>
        <v/>
      </c>
      <c r="AR128" s="3" t="s">
        <v>739</v>
      </c>
      <c r="AS128" s="3" t="s">
        <v>740</v>
      </c>
    </row>
    <row r="129" spans="1:45" ht="13">
      <c r="A129" s="10" t="str">
        <f t="shared" si="2"/>
        <v/>
      </c>
      <c r="AR129" s="3" t="s">
        <v>741</v>
      </c>
      <c r="AS129" s="3" t="s">
        <v>742</v>
      </c>
    </row>
    <row r="130" spans="1:45" ht="13">
      <c r="A130" s="10" t="str">
        <f t="shared" si="2"/>
        <v/>
      </c>
      <c r="AR130" s="3" t="s">
        <v>743</v>
      </c>
      <c r="AS130" s="3" t="s">
        <v>744</v>
      </c>
    </row>
    <row r="131" spans="1:45" ht="13">
      <c r="A131" s="10" t="str">
        <f t="shared" si="2"/>
        <v/>
      </c>
      <c r="AR131" s="3" t="s">
        <v>745</v>
      </c>
      <c r="AS131" s="3" t="s">
        <v>746</v>
      </c>
    </row>
    <row r="132" spans="1:45" ht="13">
      <c r="A132" s="10" t="str">
        <f t="shared" si="2"/>
        <v/>
      </c>
      <c r="AR132" s="3" t="s">
        <v>747</v>
      </c>
      <c r="AS132" s="3" t="s">
        <v>748</v>
      </c>
    </row>
    <row r="133" spans="1:45" ht="13">
      <c r="A133" s="10" t="str">
        <f t="shared" si="2"/>
        <v/>
      </c>
    </row>
    <row r="134" spans="1:45" ht="13">
      <c r="A134" s="10" t="str">
        <f t="shared" si="2"/>
        <v/>
      </c>
    </row>
    <row r="135" spans="1:45" ht="13">
      <c r="A135" s="10" t="str">
        <f t="shared" si="2"/>
        <v/>
      </c>
    </row>
    <row r="136" spans="1:45" ht="13">
      <c r="A136" s="10" t="str">
        <f t="shared" si="2"/>
        <v/>
      </c>
    </row>
    <row r="137" spans="1:45" ht="13">
      <c r="A137" s="10" t="str">
        <f t="shared" si="2"/>
        <v/>
      </c>
    </row>
    <row r="138" spans="1:45" ht="13">
      <c r="A138" s="10" t="str">
        <f t="shared" si="2"/>
        <v/>
      </c>
    </row>
    <row r="139" spans="1:45" ht="13">
      <c r="A139" s="10" t="str">
        <f t="shared" si="2"/>
        <v/>
      </c>
    </row>
    <row r="140" spans="1:45" ht="13">
      <c r="A140" s="10" t="str">
        <f t="shared" si="2"/>
        <v/>
      </c>
    </row>
    <row r="141" spans="1:45" ht="13">
      <c r="A141" s="10" t="str">
        <f t="shared" si="2"/>
        <v/>
      </c>
    </row>
    <row r="142" spans="1:45" ht="13">
      <c r="A142" s="10" t="str">
        <f t="shared" si="2"/>
        <v/>
      </c>
    </row>
    <row r="143" spans="1:45" ht="13">
      <c r="A143" s="10" t="str">
        <f t="shared" si="2"/>
        <v/>
      </c>
    </row>
    <row r="144" spans="1:45" ht="13">
      <c r="A144" s="10" t="str">
        <f t="shared" si="2"/>
        <v/>
      </c>
    </row>
    <row r="145" spans="1:1" ht="13">
      <c r="A145" s="10" t="str">
        <f t="shared" si="2"/>
        <v/>
      </c>
    </row>
    <row r="146" spans="1:1" ht="13">
      <c r="A146" s="10" t="str">
        <f t="shared" si="2"/>
        <v/>
      </c>
    </row>
    <row r="147" spans="1:1" ht="13">
      <c r="A147" s="10" t="str">
        <f t="shared" si="2"/>
        <v/>
      </c>
    </row>
    <row r="148" spans="1:1" ht="13">
      <c r="A148" s="10" t="str">
        <f t="shared" si="2"/>
        <v/>
      </c>
    </row>
    <row r="149" spans="1:1" ht="13">
      <c r="A149" s="10" t="str">
        <f t="shared" si="2"/>
        <v/>
      </c>
    </row>
    <row r="150" spans="1:1" ht="13">
      <c r="A150" s="10" t="str">
        <f t="shared" si="2"/>
        <v/>
      </c>
    </row>
    <row r="151" spans="1:1" ht="13">
      <c r="A151" s="10" t="str">
        <f t="shared" si="2"/>
        <v/>
      </c>
    </row>
    <row r="152" spans="1:1" ht="13">
      <c r="A152" s="10" t="str">
        <f t="shared" si="2"/>
        <v/>
      </c>
    </row>
    <row r="153" spans="1:1" ht="13">
      <c r="A153" s="10" t="str">
        <f t="shared" si="2"/>
        <v/>
      </c>
    </row>
    <row r="154" spans="1:1" ht="13">
      <c r="A154" s="10" t="str">
        <f t="shared" si="2"/>
        <v/>
      </c>
    </row>
    <row r="155" spans="1:1" ht="13">
      <c r="A155" s="10" t="str">
        <f t="shared" si="2"/>
        <v/>
      </c>
    </row>
    <row r="156" spans="1:1" ht="13">
      <c r="A156" s="10" t="str">
        <f t="shared" si="2"/>
        <v/>
      </c>
    </row>
    <row r="157" spans="1:1" ht="13">
      <c r="A157" s="10" t="str">
        <f t="shared" si="2"/>
        <v/>
      </c>
    </row>
    <row r="158" spans="1:1" ht="13">
      <c r="A158" s="10" t="str">
        <f t="shared" si="2"/>
        <v/>
      </c>
    </row>
    <row r="159" spans="1:1" ht="13">
      <c r="A159" s="10" t="str">
        <f t="shared" si="2"/>
        <v/>
      </c>
    </row>
    <row r="160" spans="1:1" ht="13">
      <c r="A160" s="10" t="str">
        <f t="shared" si="2"/>
        <v/>
      </c>
    </row>
    <row r="161" spans="1:1" ht="13">
      <c r="A161" s="10" t="str">
        <f t="shared" si="2"/>
        <v/>
      </c>
    </row>
    <row r="162" spans="1:1" ht="13">
      <c r="A162" s="10" t="str">
        <f t="shared" si="2"/>
        <v/>
      </c>
    </row>
    <row r="163" spans="1:1" ht="13">
      <c r="A163" s="10" t="str">
        <f t="shared" si="2"/>
        <v/>
      </c>
    </row>
    <row r="164" spans="1:1" ht="13">
      <c r="A164" s="10" t="str">
        <f t="shared" si="2"/>
        <v/>
      </c>
    </row>
    <row r="165" spans="1:1" ht="13">
      <c r="A165" s="10" t="str">
        <f t="shared" si="2"/>
        <v/>
      </c>
    </row>
    <row r="166" spans="1:1" ht="13">
      <c r="A166" s="10" t="str">
        <f t="shared" si="2"/>
        <v/>
      </c>
    </row>
    <row r="167" spans="1:1" ht="13">
      <c r="A167" s="10" t="str">
        <f t="shared" si="2"/>
        <v/>
      </c>
    </row>
    <row r="168" spans="1:1" ht="13">
      <c r="A168" s="10" t="str">
        <f t="shared" si="2"/>
        <v/>
      </c>
    </row>
    <row r="169" spans="1:1" ht="13">
      <c r="A169" s="10" t="str">
        <f t="shared" si="2"/>
        <v/>
      </c>
    </row>
    <row r="170" spans="1:1" ht="13">
      <c r="A170" s="10" t="str">
        <f t="shared" si="2"/>
        <v/>
      </c>
    </row>
    <row r="171" spans="1:1" ht="13">
      <c r="A171" s="10" t="str">
        <f t="shared" si="2"/>
        <v/>
      </c>
    </row>
    <row r="172" spans="1:1" ht="13">
      <c r="A172" s="10" t="str">
        <f t="shared" si="2"/>
        <v/>
      </c>
    </row>
    <row r="173" spans="1:1" ht="13">
      <c r="A173" s="10" t="str">
        <f t="shared" si="2"/>
        <v/>
      </c>
    </row>
    <row r="174" spans="1:1" ht="13">
      <c r="A174" s="10" t="str">
        <f t="shared" si="2"/>
        <v/>
      </c>
    </row>
    <row r="175" spans="1:1" ht="13">
      <c r="A175" s="10" t="str">
        <f t="shared" si="2"/>
        <v/>
      </c>
    </row>
    <row r="176" spans="1:1" ht="13">
      <c r="A176" s="10" t="str">
        <f t="shared" si="2"/>
        <v/>
      </c>
    </row>
    <row r="177" spans="1:1" ht="13">
      <c r="A177" s="10" t="str">
        <f t="shared" si="2"/>
        <v/>
      </c>
    </row>
    <row r="178" spans="1:1" ht="13">
      <c r="A178" s="10" t="str">
        <f t="shared" si="2"/>
        <v/>
      </c>
    </row>
    <row r="179" spans="1:1" ht="13">
      <c r="A179" s="10" t="str">
        <f t="shared" si="2"/>
        <v/>
      </c>
    </row>
    <row r="180" spans="1:1" ht="13">
      <c r="A180" s="10" t="str">
        <f t="shared" si="2"/>
        <v/>
      </c>
    </row>
    <row r="181" spans="1:1" ht="13">
      <c r="A181" s="10" t="str">
        <f t="shared" si="2"/>
        <v/>
      </c>
    </row>
    <row r="182" spans="1:1" ht="13">
      <c r="A182" s="10" t="str">
        <f t="shared" si="2"/>
        <v/>
      </c>
    </row>
    <row r="183" spans="1:1" ht="13">
      <c r="A183" s="10" t="str">
        <f t="shared" si="2"/>
        <v/>
      </c>
    </row>
    <row r="184" spans="1:1" ht="13">
      <c r="A184" s="10" t="str">
        <f t="shared" si="2"/>
        <v/>
      </c>
    </row>
    <row r="185" spans="1:1" ht="13">
      <c r="A185" s="10" t="str">
        <f t="shared" si="2"/>
        <v/>
      </c>
    </row>
    <row r="186" spans="1:1" ht="13">
      <c r="A186" s="10" t="str">
        <f t="shared" si="2"/>
        <v/>
      </c>
    </row>
    <row r="187" spans="1:1" ht="13">
      <c r="A187" s="10" t="str">
        <f t="shared" si="2"/>
        <v/>
      </c>
    </row>
    <row r="188" spans="1:1" ht="13">
      <c r="A188" s="10" t="str">
        <f t="shared" si="2"/>
        <v/>
      </c>
    </row>
    <row r="189" spans="1:1" ht="13">
      <c r="A189" s="10" t="str">
        <f t="shared" si="2"/>
        <v/>
      </c>
    </row>
    <row r="190" spans="1:1" ht="13">
      <c r="A190" s="10" t="str">
        <f t="shared" si="2"/>
        <v/>
      </c>
    </row>
    <row r="191" spans="1:1" ht="13">
      <c r="A191" s="10" t="str">
        <f t="shared" si="2"/>
        <v/>
      </c>
    </row>
    <row r="192" spans="1:1" ht="13">
      <c r="A192" s="10" t="str">
        <f t="shared" si="2"/>
        <v/>
      </c>
    </row>
    <row r="193" spans="1:1" ht="13">
      <c r="A193" s="10" t="str">
        <f t="shared" si="2"/>
        <v/>
      </c>
    </row>
    <row r="194" spans="1:1" ht="13">
      <c r="A194" s="10" t="str">
        <f t="shared" si="2"/>
        <v/>
      </c>
    </row>
    <row r="195" spans="1:1" ht="13">
      <c r="A195" s="10" t="str">
        <f t="shared" si="2"/>
        <v/>
      </c>
    </row>
    <row r="196" spans="1:1" ht="13">
      <c r="A196" s="10" t="str">
        <f t="shared" si="2"/>
        <v/>
      </c>
    </row>
    <row r="197" spans="1:1" ht="13">
      <c r="A197" s="10" t="str">
        <f t="shared" si="2"/>
        <v/>
      </c>
    </row>
    <row r="198" spans="1:1" ht="13">
      <c r="A198" s="10" t="str">
        <f t="shared" si="2"/>
        <v/>
      </c>
    </row>
    <row r="199" spans="1:1" ht="13">
      <c r="A199" s="10" t="str">
        <f t="shared" si="2"/>
        <v/>
      </c>
    </row>
    <row r="200" spans="1:1" ht="13">
      <c r="A200" s="10" t="str">
        <f t="shared" si="2"/>
        <v/>
      </c>
    </row>
    <row r="201" spans="1:1" ht="13">
      <c r="A201" s="10" t="str">
        <f t="shared" si="2"/>
        <v/>
      </c>
    </row>
    <row r="202" spans="1:1" ht="13">
      <c r="A202" s="10" t="str">
        <f t="shared" si="2"/>
        <v/>
      </c>
    </row>
    <row r="203" spans="1:1" ht="13">
      <c r="A203" s="10" t="str">
        <f t="shared" si="2"/>
        <v/>
      </c>
    </row>
    <row r="204" spans="1:1" ht="13">
      <c r="A204" s="10" t="str">
        <f t="shared" si="2"/>
        <v/>
      </c>
    </row>
    <row r="205" spans="1:1" ht="13">
      <c r="A205" s="10" t="str">
        <f t="shared" si="2"/>
        <v/>
      </c>
    </row>
    <row r="206" spans="1:1" ht="13">
      <c r="A206" s="10" t="str">
        <f t="shared" si="2"/>
        <v/>
      </c>
    </row>
    <row r="207" spans="1:1" ht="13">
      <c r="A207" s="10" t="str">
        <f t="shared" si="2"/>
        <v/>
      </c>
    </row>
    <row r="208" spans="1:1" ht="13">
      <c r="A208" s="10" t="str">
        <f t="shared" si="2"/>
        <v/>
      </c>
    </row>
    <row r="209" spans="1:1" ht="13">
      <c r="A209" s="10" t="str">
        <f t="shared" si="2"/>
        <v/>
      </c>
    </row>
    <row r="210" spans="1:1" ht="13">
      <c r="A210" s="10" t="str">
        <f t="shared" si="2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  <pageSetUpPr fitToPage="1"/>
  </sheetPr>
  <dimension ref="B2:X76"/>
  <sheetViews>
    <sheetView workbookViewId="0"/>
  </sheetViews>
  <sheetFormatPr baseColWidth="10" defaultColWidth="14.5" defaultRowHeight="15.75" customHeight="1"/>
  <cols>
    <col min="1" max="1" width="4.6640625" customWidth="1"/>
    <col min="2" max="2" width="16.1640625" customWidth="1"/>
  </cols>
  <sheetData>
    <row r="2" spans="2:24">
      <c r="B2" s="422" t="s">
        <v>749</v>
      </c>
      <c r="M2" s="423" t="s">
        <v>750</v>
      </c>
      <c r="N2" s="423" t="s">
        <v>751</v>
      </c>
    </row>
    <row r="3" spans="2:24" ht="15.75" customHeight="1">
      <c r="F3" s="10" t="s">
        <v>752</v>
      </c>
      <c r="H3" s="10" t="s">
        <v>752</v>
      </c>
      <c r="L3" s="424" t="s">
        <v>753</v>
      </c>
      <c r="M3" s="425">
        <v>1</v>
      </c>
      <c r="N3" s="426">
        <v>-1</v>
      </c>
    </row>
    <row r="4" spans="2:24" ht="15.75" customHeight="1">
      <c r="B4" s="427" t="s">
        <v>754</v>
      </c>
      <c r="C4" s="427" t="s">
        <v>755</v>
      </c>
      <c r="D4" s="14"/>
      <c r="E4" s="428" t="s">
        <v>756</v>
      </c>
      <c r="F4" s="429" t="s">
        <v>757</v>
      </c>
      <c r="G4" s="427"/>
      <c r="H4" s="430" t="s">
        <v>758</v>
      </c>
      <c r="I4" s="14"/>
      <c r="J4" s="14"/>
      <c r="L4" s="431" t="s">
        <v>310</v>
      </c>
      <c r="M4" s="432">
        <v>-1</v>
      </c>
      <c r="N4" s="433">
        <v>-1</v>
      </c>
    </row>
    <row r="5" spans="2:24" ht="15.75" customHeight="1">
      <c r="B5" s="10" t="s">
        <v>759</v>
      </c>
      <c r="C5" s="10" t="s">
        <v>760</v>
      </c>
      <c r="E5" s="431" t="s">
        <v>310</v>
      </c>
      <c r="F5" s="434" t="s">
        <v>761</v>
      </c>
      <c r="G5" s="3"/>
      <c r="H5" s="435" t="s">
        <v>761</v>
      </c>
      <c r="L5" s="431" t="s">
        <v>313</v>
      </c>
      <c r="M5" s="432">
        <v>1</v>
      </c>
      <c r="N5" s="433">
        <v>1</v>
      </c>
      <c r="U5" s="3">
        <v>10</v>
      </c>
      <c r="W5" s="3">
        <v>-1000</v>
      </c>
    </row>
    <row r="6" spans="2:24" ht="15.75" customHeight="1">
      <c r="C6" s="10" t="s">
        <v>762</v>
      </c>
      <c r="E6" s="431" t="s">
        <v>313</v>
      </c>
      <c r="F6" s="434" t="s">
        <v>763</v>
      </c>
      <c r="G6" s="3"/>
      <c r="H6" s="435" t="s">
        <v>763</v>
      </c>
      <c r="L6" s="431" t="s">
        <v>311</v>
      </c>
      <c r="M6" s="432">
        <v>-1</v>
      </c>
      <c r="N6" s="433">
        <v>1</v>
      </c>
      <c r="U6" s="3">
        <v>0</v>
      </c>
      <c r="V6" s="3">
        <v>-50</v>
      </c>
      <c r="X6" s="10">
        <f>W7-W5</f>
        <v>-3000</v>
      </c>
    </row>
    <row r="7" spans="2:24" ht="15.75" customHeight="1">
      <c r="C7" s="10" t="s">
        <v>764</v>
      </c>
      <c r="E7" s="431" t="s">
        <v>311</v>
      </c>
      <c r="F7" s="434" t="s">
        <v>763</v>
      </c>
      <c r="G7" s="3"/>
      <c r="H7" s="435" t="s">
        <v>761</v>
      </c>
      <c r="L7" s="428" t="s">
        <v>309</v>
      </c>
      <c r="M7" s="436">
        <v>1</v>
      </c>
      <c r="N7" s="437">
        <v>1</v>
      </c>
      <c r="U7" s="3">
        <v>-40</v>
      </c>
      <c r="W7" s="3">
        <v>-4000</v>
      </c>
    </row>
    <row r="8" spans="2:24" ht="15.75" customHeight="1">
      <c r="B8" s="14"/>
      <c r="C8" s="427" t="s">
        <v>765</v>
      </c>
      <c r="D8" s="14"/>
      <c r="E8" s="428" t="s">
        <v>753</v>
      </c>
      <c r="F8" s="429" t="s">
        <v>761</v>
      </c>
      <c r="G8" s="427"/>
      <c r="H8" s="430" t="s">
        <v>763</v>
      </c>
      <c r="I8" s="14"/>
      <c r="J8" s="14"/>
      <c r="L8" s="431" t="s">
        <v>766</v>
      </c>
      <c r="M8" s="438">
        <v>-1</v>
      </c>
      <c r="N8" s="439">
        <v>-1</v>
      </c>
      <c r="O8" s="3"/>
    </row>
    <row r="9" spans="2:24" ht="15.75" customHeight="1">
      <c r="B9" s="10" t="s">
        <v>21</v>
      </c>
      <c r="C9" s="10" t="s">
        <v>760</v>
      </c>
      <c r="E9" s="431" t="s">
        <v>310</v>
      </c>
      <c r="F9" s="440" t="s">
        <v>767</v>
      </c>
      <c r="G9" s="3"/>
      <c r="H9" s="435" t="s">
        <v>768</v>
      </c>
      <c r="L9" s="424" t="s">
        <v>312</v>
      </c>
      <c r="M9" s="441">
        <v>1</v>
      </c>
      <c r="N9" s="442">
        <v>1</v>
      </c>
      <c r="O9" s="3" t="s">
        <v>769</v>
      </c>
    </row>
    <row r="10" spans="2:24" ht="15.75" customHeight="1">
      <c r="C10" s="10" t="s">
        <v>762</v>
      </c>
      <c r="E10" s="431" t="s">
        <v>313</v>
      </c>
      <c r="F10" s="440" t="s">
        <v>770</v>
      </c>
      <c r="G10" s="3"/>
      <c r="H10" s="435" t="s">
        <v>771</v>
      </c>
      <c r="L10" s="428" t="s">
        <v>314</v>
      </c>
      <c r="M10" s="443">
        <v>-1</v>
      </c>
      <c r="N10" s="444">
        <v>1</v>
      </c>
      <c r="O10" s="3" t="s">
        <v>769</v>
      </c>
    </row>
    <row r="11" spans="2:24" ht="15.75" customHeight="1">
      <c r="C11" s="10" t="s">
        <v>764</v>
      </c>
      <c r="E11" s="431" t="s">
        <v>311</v>
      </c>
      <c r="F11" s="440" t="s">
        <v>770</v>
      </c>
      <c r="G11" s="3"/>
      <c r="H11" s="435" t="s">
        <v>771</v>
      </c>
    </row>
    <row r="12" spans="2:24" ht="15.75" customHeight="1">
      <c r="C12" s="10" t="s">
        <v>765</v>
      </c>
      <c r="E12" s="431" t="s">
        <v>753</v>
      </c>
      <c r="F12" s="440" t="s">
        <v>767</v>
      </c>
      <c r="G12" s="3"/>
      <c r="H12" s="435" t="s">
        <v>772</v>
      </c>
      <c r="L12" s="3" t="s">
        <v>773</v>
      </c>
      <c r="S12" s="3" t="s">
        <v>774</v>
      </c>
      <c r="T12" s="3" t="s">
        <v>775</v>
      </c>
    </row>
    <row r="13" spans="2:24" ht="15.75" customHeight="1">
      <c r="L13" s="3" t="s">
        <v>776</v>
      </c>
      <c r="P13" s="121" t="s">
        <v>777</v>
      </c>
      <c r="Q13" s="3">
        <v>10</v>
      </c>
      <c r="R13" s="3">
        <v>-40</v>
      </c>
      <c r="S13" s="3">
        <v>-50</v>
      </c>
      <c r="T13" s="3" t="s">
        <v>778</v>
      </c>
      <c r="U13" s="3" t="s">
        <v>312</v>
      </c>
      <c r="V13" s="3" t="s">
        <v>779</v>
      </c>
    </row>
    <row r="14" spans="2:24" ht="15.75" customHeight="1">
      <c r="L14" s="3" t="s">
        <v>780</v>
      </c>
      <c r="Q14" s="3" t="s">
        <v>781</v>
      </c>
      <c r="R14" s="3" t="s">
        <v>311</v>
      </c>
      <c r="U14" s="3" t="s">
        <v>782</v>
      </c>
    </row>
    <row r="15" spans="2:24" ht="15.75" customHeight="1">
      <c r="D15" s="52"/>
      <c r="H15" s="52"/>
      <c r="L15" s="3" t="s">
        <v>783</v>
      </c>
      <c r="P15" s="121" t="s">
        <v>784</v>
      </c>
      <c r="Q15" s="3">
        <v>-10</v>
      </c>
      <c r="R15" s="3">
        <v>40</v>
      </c>
      <c r="S15" s="3">
        <v>50</v>
      </c>
      <c r="T15" s="3" t="s">
        <v>785</v>
      </c>
      <c r="U15" s="3" t="s">
        <v>314</v>
      </c>
      <c r="V15" s="3" t="s">
        <v>786</v>
      </c>
    </row>
    <row r="16" spans="2:24" ht="15.75" customHeight="1">
      <c r="D16" s="52"/>
      <c r="H16" s="52"/>
      <c r="L16" s="3" t="s">
        <v>787</v>
      </c>
      <c r="Q16" s="3" t="s">
        <v>788</v>
      </c>
      <c r="R16" s="3" t="s">
        <v>310</v>
      </c>
      <c r="U16" s="3" t="s">
        <v>782</v>
      </c>
    </row>
    <row r="17" spans="2:23" ht="15.75" customHeight="1">
      <c r="D17" s="52"/>
      <c r="H17" s="52"/>
      <c r="L17" s="3" t="s">
        <v>789</v>
      </c>
      <c r="P17" s="32"/>
    </row>
    <row r="18" spans="2:23" ht="15.75" customHeight="1">
      <c r="D18" s="52"/>
      <c r="H18" s="52"/>
      <c r="L18" s="3" t="s">
        <v>790</v>
      </c>
      <c r="P18" s="32"/>
    </row>
    <row r="19" spans="2:23" ht="15.75" customHeight="1">
      <c r="D19" s="52"/>
      <c r="H19" s="52"/>
      <c r="P19" s="32"/>
    </row>
    <row r="20" spans="2:23">
      <c r="B20" s="445" t="s">
        <v>791</v>
      </c>
      <c r="D20" s="52"/>
      <c r="H20" s="52"/>
      <c r="P20" s="32"/>
    </row>
    <row r="21" spans="2:23" ht="15.75" customHeight="1">
      <c r="D21" s="82" t="s">
        <v>792</v>
      </c>
      <c r="E21" s="109"/>
      <c r="F21" s="109"/>
      <c r="G21" s="109"/>
      <c r="H21" s="446" t="s">
        <v>793</v>
      </c>
      <c r="I21" s="447"/>
      <c r="J21" s="447"/>
      <c r="K21" s="447"/>
      <c r="L21" s="447"/>
      <c r="M21" s="448" t="s">
        <v>794</v>
      </c>
      <c r="N21" s="449"/>
      <c r="O21" s="449"/>
      <c r="P21" s="32"/>
    </row>
    <row r="22" spans="2:23" ht="15.75" customHeight="1">
      <c r="B22" s="3" t="s">
        <v>795</v>
      </c>
      <c r="C22" s="3" t="s">
        <v>796</v>
      </c>
      <c r="D22" s="450" t="s">
        <v>797</v>
      </c>
      <c r="E22" s="451" t="s">
        <v>798</v>
      </c>
      <c r="F22" s="452" t="s">
        <v>799</v>
      </c>
      <c r="G22" s="453" t="s">
        <v>800</v>
      </c>
      <c r="H22" s="452" t="s">
        <v>64</v>
      </c>
      <c r="I22" s="454" t="s">
        <v>801</v>
      </c>
      <c r="J22" s="454" t="s">
        <v>802</v>
      </c>
      <c r="K22" s="454" t="s">
        <v>803</v>
      </c>
      <c r="L22" s="451" t="s">
        <v>804</v>
      </c>
      <c r="M22" s="450" t="s">
        <v>750</v>
      </c>
      <c r="N22" s="455" t="s">
        <v>805</v>
      </c>
      <c r="O22" s="456" t="s">
        <v>806</v>
      </c>
    </row>
    <row r="23" spans="2:23" ht="15.75" customHeight="1">
      <c r="B23" s="3">
        <v>1</v>
      </c>
      <c r="D23" s="457"/>
      <c r="E23" s="458"/>
      <c r="F23" s="457"/>
      <c r="G23" s="52"/>
      <c r="H23" s="459">
        <v>0</v>
      </c>
      <c r="I23" s="141"/>
      <c r="J23" s="141"/>
      <c r="K23" s="141">
        <v>0</v>
      </c>
      <c r="L23" s="458">
        <f t="shared" ref="L23:L38" si="0">H23+K23</f>
        <v>0</v>
      </c>
      <c r="M23" s="457"/>
      <c r="N23" s="3">
        <v>0</v>
      </c>
      <c r="O23" s="458"/>
    </row>
    <row r="24" spans="2:23" ht="15.75" customHeight="1">
      <c r="B24" s="3">
        <f t="shared" ref="B24:B38" si="1">B23+1</f>
        <v>2</v>
      </c>
      <c r="C24" s="3" t="s">
        <v>309</v>
      </c>
      <c r="D24" s="459">
        <v>1000</v>
      </c>
      <c r="E24" s="458"/>
      <c r="F24" s="459">
        <f>E24*VLOOKUP($C24,$L$3:$N$7,3,FALSE)</f>
        <v>0</v>
      </c>
      <c r="G24" s="52">
        <f t="shared" ref="G24:G38" si="2">D24+F24</f>
        <v>1000</v>
      </c>
      <c r="H24" s="459">
        <f>G24*IF(C24="",0,VLOOKUP($C24,$L$3:$N$7,3,FALSE))+H23</f>
        <v>1000</v>
      </c>
      <c r="I24" s="460">
        <f t="shared" ref="I24:I38" si="3">IF(OR(C24="B",C24="S"),-F24,0)+I23</f>
        <v>0</v>
      </c>
      <c r="J24" s="460">
        <f t="shared" ref="J24:J38" si="4">IF(OR(C24="BC",C24="SS"),F24,0)+J23</f>
        <v>0</v>
      </c>
      <c r="K24" s="460">
        <f t="shared" ref="K24:K38" si="5">I24-J24</f>
        <v>0</v>
      </c>
      <c r="L24" s="458">
        <f t="shared" si="0"/>
        <v>1000</v>
      </c>
      <c r="M24" s="431">
        <f t="shared" ref="M24:M38" si="6">E24*IF(C24="",0,VLOOKUP($C24,$L$3:$N$7,2,FALSE))</f>
        <v>0</v>
      </c>
      <c r="N24" s="3">
        <f>G24+N23</f>
        <v>1000</v>
      </c>
      <c r="O24" s="458">
        <f t="shared" ref="O24:O38" si="7">IF(N24&lt;0,-N24,0)</f>
        <v>0</v>
      </c>
    </row>
    <row r="25" spans="2:23" ht="15.75" customHeight="1">
      <c r="B25" s="3">
        <f t="shared" si="1"/>
        <v>3</v>
      </c>
      <c r="C25" s="8" t="s">
        <v>311</v>
      </c>
      <c r="D25" s="457"/>
      <c r="E25" s="461">
        <v>800</v>
      </c>
      <c r="F25" s="459">
        <f t="shared" ref="F25:F38" si="8">IF(C25="",0,E25*VLOOKUP($C25,$L$3:$N$7,3,FALSE))</f>
        <v>800</v>
      </c>
      <c r="G25" s="52">
        <f t="shared" si="2"/>
        <v>800</v>
      </c>
      <c r="H25" s="459">
        <f t="shared" ref="H25:H38" si="9">E25*IF(C25="",0,VLOOKUP($C25,$L$3:$N$7,3,FALSE))+H24</f>
        <v>1800</v>
      </c>
      <c r="I25" s="460">
        <f t="shared" si="3"/>
        <v>0</v>
      </c>
      <c r="J25" s="460">
        <f t="shared" si="4"/>
        <v>800</v>
      </c>
      <c r="K25" s="460">
        <f t="shared" si="5"/>
        <v>-800</v>
      </c>
      <c r="L25" s="458">
        <f t="shared" si="0"/>
        <v>1000</v>
      </c>
      <c r="M25" s="431">
        <f t="shared" si="6"/>
        <v>-800</v>
      </c>
      <c r="N25" s="3">
        <f t="shared" ref="N25:N38" si="10">M25+N24</f>
        <v>200</v>
      </c>
      <c r="O25" s="458">
        <f t="shared" si="7"/>
        <v>0</v>
      </c>
    </row>
    <row r="26" spans="2:23" ht="15.75" customHeight="1">
      <c r="B26" s="3">
        <f t="shared" si="1"/>
        <v>4</v>
      </c>
      <c r="C26" s="8" t="s">
        <v>310</v>
      </c>
      <c r="D26" s="457"/>
      <c r="E26" s="461">
        <v>700</v>
      </c>
      <c r="F26" s="459">
        <f t="shared" si="8"/>
        <v>-700</v>
      </c>
      <c r="G26" s="52">
        <f t="shared" si="2"/>
        <v>-700</v>
      </c>
      <c r="H26" s="459">
        <f t="shared" si="9"/>
        <v>1100</v>
      </c>
      <c r="I26" s="460">
        <f t="shared" si="3"/>
        <v>700</v>
      </c>
      <c r="J26" s="460">
        <f t="shared" si="4"/>
        <v>800</v>
      </c>
      <c r="K26" s="460">
        <f t="shared" si="5"/>
        <v>-100</v>
      </c>
      <c r="L26" s="458">
        <f t="shared" si="0"/>
        <v>1000</v>
      </c>
      <c r="M26" s="431">
        <f t="shared" si="6"/>
        <v>-700</v>
      </c>
      <c r="N26" s="3">
        <f t="shared" si="10"/>
        <v>-500</v>
      </c>
      <c r="O26" s="458">
        <f t="shared" si="7"/>
        <v>500</v>
      </c>
      <c r="V26" s="3" t="s">
        <v>807</v>
      </c>
    </row>
    <row r="27" spans="2:23" ht="15.75" customHeight="1">
      <c r="B27" s="3">
        <f t="shared" si="1"/>
        <v>5</v>
      </c>
      <c r="C27" s="8" t="s">
        <v>313</v>
      </c>
      <c r="D27" s="457"/>
      <c r="E27" s="461">
        <v>100</v>
      </c>
      <c r="F27" s="459">
        <f t="shared" si="8"/>
        <v>100</v>
      </c>
      <c r="G27" s="52">
        <f t="shared" si="2"/>
        <v>100</v>
      </c>
      <c r="H27" s="459">
        <f t="shared" si="9"/>
        <v>1200</v>
      </c>
      <c r="I27" s="460">
        <f t="shared" si="3"/>
        <v>600</v>
      </c>
      <c r="J27" s="460">
        <f t="shared" si="4"/>
        <v>800</v>
      </c>
      <c r="K27" s="460">
        <f t="shared" si="5"/>
        <v>-200</v>
      </c>
      <c r="L27" s="458">
        <f t="shared" si="0"/>
        <v>1000</v>
      </c>
      <c r="M27" s="431">
        <f t="shared" si="6"/>
        <v>100</v>
      </c>
      <c r="N27" s="3">
        <f t="shared" si="10"/>
        <v>-400</v>
      </c>
      <c r="O27" s="458">
        <f t="shared" si="7"/>
        <v>400</v>
      </c>
    </row>
    <row r="28" spans="2:23" ht="15.75" customHeight="1">
      <c r="B28" s="3">
        <f t="shared" si="1"/>
        <v>6</v>
      </c>
      <c r="C28" s="8" t="s">
        <v>753</v>
      </c>
      <c r="D28" s="457"/>
      <c r="E28" s="461">
        <v>900</v>
      </c>
      <c r="F28" s="459">
        <f t="shared" si="8"/>
        <v>-900</v>
      </c>
      <c r="G28" s="52">
        <f t="shared" si="2"/>
        <v>-900</v>
      </c>
      <c r="H28" s="459">
        <f t="shared" si="9"/>
        <v>300</v>
      </c>
      <c r="I28" s="460">
        <f t="shared" si="3"/>
        <v>600</v>
      </c>
      <c r="J28" s="460">
        <f t="shared" si="4"/>
        <v>-100</v>
      </c>
      <c r="K28" s="460">
        <f t="shared" si="5"/>
        <v>700</v>
      </c>
      <c r="L28" s="458">
        <f t="shared" si="0"/>
        <v>1000</v>
      </c>
      <c r="M28" s="431">
        <f t="shared" si="6"/>
        <v>900</v>
      </c>
      <c r="N28" s="3">
        <f t="shared" si="10"/>
        <v>500</v>
      </c>
      <c r="O28" s="458">
        <f t="shared" si="7"/>
        <v>0</v>
      </c>
    </row>
    <row r="29" spans="2:23" ht="15.75" customHeight="1">
      <c r="B29" s="3">
        <f t="shared" si="1"/>
        <v>7</v>
      </c>
      <c r="C29" s="8"/>
      <c r="D29" s="457"/>
      <c r="E29" s="461">
        <v>1500</v>
      </c>
      <c r="F29" s="459">
        <f t="shared" si="8"/>
        <v>0</v>
      </c>
      <c r="G29" s="52">
        <f t="shared" si="2"/>
        <v>0</v>
      </c>
      <c r="H29" s="459">
        <f t="shared" si="9"/>
        <v>300</v>
      </c>
      <c r="I29" s="460">
        <f t="shared" si="3"/>
        <v>600</v>
      </c>
      <c r="J29" s="460">
        <f t="shared" si="4"/>
        <v>-100</v>
      </c>
      <c r="K29" s="460">
        <f t="shared" si="5"/>
        <v>700</v>
      </c>
      <c r="L29" s="458">
        <f t="shared" si="0"/>
        <v>1000</v>
      </c>
      <c r="M29" s="431">
        <f t="shared" si="6"/>
        <v>0</v>
      </c>
      <c r="N29" s="3">
        <f t="shared" si="10"/>
        <v>500</v>
      </c>
      <c r="O29" s="458">
        <f t="shared" si="7"/>
        <v>0</v>
      </c>
      <c r="T29" s="3" t="s">
        <v>808</v>
      </c>
      <c r="U29" s="3" t="s">
        <v>809</v>
      </c>
      <c r="V29" s="3" t="s">
        <v>810</v>
      </c>
      <c r="W29" s="3" t="s">
        <v>811</v>
      </c>
    </row>
    <row r="30" spans="2:23" ht="15.75" customHeight="1">
      <c r="B30" s="3">
        <f t="shared" si="1"/>
        <v>8</v>
      </c>
      <c r="C30" s="462"/>
      <c r="D30" s="457"/>
      <c r="E30" s="461">
        <v>0</v>
      </c>
      <c r="F30" s="459">
        <f t="shared" si="8"/>
        <v>0</v>
      </c>
      <c r="G30" s="52">
        <f t="shared" si="2"/>
        <v>0</v>
      </c>
      <c r="H30" s="459">
        <f t="shared" si="9"/>
        <v>300</v>
      </c>
      <c r="I30" s="460">
        <f t="shared" si="3"/>
        <v>600</v>
      </c>
      <c r="J30" s="460">
        <f t="shared" si="4"/>
        <v>-100</v>
      </c>
      <c r="K30" s="460">
        <f t="shared" si="5"/>
        <v>700</v>
      </c>
      <c r="L30" s="458">
        <f t="shared" si="0"/>
        <v>1000</v>
      </c>
      <c r="M30" s="431">
        <f t="shared" si="6"/>
        <v>0</v>
      </c>
      <c r="N30" s="3">
        <f t="shared" si="10"/>
        <v>500</v>
      </c>
      <c r="O30" s="458">
        <f t="shared" si="7"/>
        <v>0</v>
      </c>
      <c r="T30" s="463">
        <v>30</v>
      </c>
      <c r="U30" s="463">
        <v>30</v>
      </c>
      <c r="V30" s="463">
        <v>-30</v>
      </c>
      <c r="W30" s="463">
        <v>30</v>
      </c>
    </row>
    <row r="31" spans="2:23" ht="15.75" customHeight="1">
      <c r="B31" s="3">
        <f t="shared" si="1"/>
        <v>9</v>
      </c>
      <c r="C31" s="462"/>
      <c r="D31" s="457"/>
      <c r="E31" s="461">
        <v>0</v>
      </c>
      <c r="F31" s="459">
        <f t="shared" si="8"/>
        <v>0</v>
      </c>
      <c r="G31" s="52">
        <f t="shared" si="2"/>
        <v>0</v>
      </c>
      <c r="H31" s="459">
        <f t="shared" si="9"/>
        <v>300</v>
      </c>
      <c r="I31" s="460">
        <f t="shared" si="3"/>
        <v>600</v>
      </c>
      <c r="J31" s="460">
        <f t="shared" si="4"/>
        <v>-100</v>
      </c>
      <c r="K31" s="460">
        <f t="shared" si="5"/>
        <v>700</v>
      </c>
      <c r="L31" s="458">
        <f t="shared" si="0"/>
        <v>1000</v>
      </c>
      <c r="M31" s="431">
        <f t="shared" si="6"/>
        <v>0</v>
      </c>
      <c r="N31" s="3">
        <f t="shared" si="10"/>
        <v>500</v>
      </c>
      <c r="O31" s="458">
        <f t="shared" si="7"/>
        <v>0</v>
      </c>
      <c r="T31" s="464"/>
      <c r="U31" s="464"/>
      <c r="V31" s="464"/>
      <c r="W31" s="464"/>
    </row>
    <row r="32" spans="2:23" ht="15.75" customHeight="1">
      <c r="B32" s="3">
        <f t="shared" si="1"/>
        <v>10</v>
      </c>
      <c r="C32" s="462"/>
      <c r="D32" s="457"/>
      <c r="E32" s="461">
        <v>0</v>
      </c>
      <c r="F32" s="459">
        <f t="shared" si="8"/>
        <v>0</v>
      </c>
      <c r="G32" s="52">
        <f t="shared" si="2"/>
        <v>0</v>
      </c>
      <c r="H32" s="459">
        <f t="shared" si="9"/>
        <v>300</v>
      </c>
      <c r="I32" s="460">
        <f t="shared" si="3"/>
        <v>600</v>
      </c>
      <c r="J32" s="460">
        <f t="shared" si="4"/>
        <v>-100</v>
      </c>
      <c r="K32" s="460">
        <f t="shared" si="5"/>
        <v>700</v>
      </c>
      <c r="L32" s="458">
        <f t="shared" si="0"/>
        <v>1000</v>
      </c>
      <c r="M32" s="431">
        <f t="shared" si="6"/>
        <v>0</v>
      </c>
      <c r="N32" s="3">
        <f t="shared" si="10"/>
        <v>500</v>
      </c>
      <c r="O32" s="458">
        <f t="shared" si="7"/>
        <v>0</v>
      </c>
      <c r="S32" s="3" t="s">
        <v>808</v>
      </c>
      <c r="T32" s="464"/>
      <c r="U32" s="464"/>
      <c r="V32" s="464"/>
      <c r="W32" s="464"/>
    </row>
    <row r="33" spans="2:23" ht="15.75" customHeight="1">
      <c r="B33" s="3">
        <f t="shared" si="1"/>
        <v>11</v>
      </c>
      <c r="C33" s="462"/>
      <c r="D33" s="457"/>
      <c r="E33" s="461">
        <v>0</v>
      </c>
      <c r="F33" s="459">
        <f t="shared" si="8"/>
        <v>0</v>
      </c>
      <c r="G33" s="52">
        <f t="shared" si="2"/>
        <v>0</v>
      </c>
      <c r="H33" s="459">
        <f t="shared" si="9"/>
        <v>300</v>
      </c>
      <c r="I33" s="460">
        <f t="shared" si="3"/>
        <v>600</v>
      </c>
      <c r="J33" s="460">
        <f t="shared" si="4"/>
        <v>-100</v>
      </c>
      <c r="K33" s="460">
        <f t="shared" si="5"/>
        <v>700</v>
      </c>
      <c r="L33" s="458">
        <f t="shared" si="0"/>
        <v>1000</v>
      </c>
      <c r="M33" s="431">
        <f t="shared" si="6"/>
        <v>0</v>
      </c>
      <c r="N33" s="3">
        <f t="shared" si="10"/>
        <v>500</v>
      </c>
      <c r="O33" s="458">
        <f t="shared" si="7"/>
        <v>0</v>
      </c>
      <c r="S33" s="3">
        <v>1</v>
      </c>
      <c r="T33" s="463">
        <v>-90</v>
      </c>
      <c r="U33" s="464">
        <f t="shared" ref="U33:U42" si="11">T33+U$30</f>
        <v>-60</v>
      </c>
      <c r="V33" s="464">
        <f t="shared" ref="V33:V42" si="12">U33</f>
        <v>-60</v>
      </c>
      <c r="W33" s="464">
        <f t="shared" ref="W33:W42" si="13">V33-V$30</f>
        <v>-30</v>
      </c>
    </row>
    <row r="34" spans="2:23" ht="15.75" customHeight="1">
      <c r="B34" s="3">
        <f t="shared" si="1"/>
        <v>12</v>
      </c>
      <c r="C34" s="462"/>
      <c r="D34" s="457"/>
      <c r="E34" s="461">
        <v>0</v>
      </c>
      <c r="F34" s="459">
        <f t="shared" si="8"/>
        <v>0</v>
      </c>
      <c r="G34" s="52">
        <f t="shared" si="2"/>
        <v>0</v>
      </c>
      <c r="H34" s="459">
        <f t="shared" si="9"/>
        <v>300</v>
      </c>
      <c r="I34" s="460">
        <f t="shared" si="3"/>
        <v>600</v>
      </c>
      <c r="J34" s="460">
        <f t="shared" si="4"/>
        <v>-100</v>
      </c>
      <c r="K34" s="460">
        <f t="shared" si="5"/>
        <v>700</v>
      </c>
      <c r="L34" s="458">
        <f t="shared" si="0"/>
        <v>1000</v>
      </c>
      <c r="M34" s="431">
        <f t="shared" si="6"/>
        <v>0</v>
      </c>
      <c r="N34" s="3">
        <f t="shared" si="10"/>
        <v>500</v>
      </c>
      <c r="O34" s="458">
        <f t="shared" si="7"/>
        <v>0</v>
      </c>
      <c r="S34" s="3">
        <f t="shared" ref="S34:S42" si="14">S33+1</f>
        <v>2</v>
      </c>
      <c r="T34" s="463">
        <f t="shared" ref="T34:T42" si="15">T33+20</f>
        <v>-70</v>
      </c>
      <c r="U34" s="464">
        <f t="shared" si="11"/>
        <v>-40</v>
      </c>
      <c r="V34" s="464">
        <f t="shared" si="12"/>
        <v>-40</v>
      </c>
      <c r="W34" s="464">
        <f t="shared" si="13"/>
        <v>-10</v>
      </c>
    </row>
    <row r="35" spans="2:23" ht="15.75" customHeight="1">
      <c r="B35" s="3">
        <f t="shared" si="1"/>
        <v>13</v>
      </c>
      <c r="C35" s="462"/>
      <c r="D35" s="457"/>
      <c r="E35" s="461">
        <v>0</v>
      </c>
      <c r="F35" s="459">
        <f t="shared" si="8"/>
        <v>0</v>
      </c>
      <c r="G35" s="52">
        <f t="shared" si="2"/>
        <v>0</v>
      </c>
      <c r="H35" s="459">
        <f t="shared" si="9"/>
        <v>300</v>
      </c>
      <c r="I35" s="460">
        <f t="shared" si="3"/>
        <v>600</v>
      </c>
      <c r="J35" s="460">
        <f t="shared" si="4"/>
        <v>-100</v>
      </c>
      <c r="K35" s="460">
        <f t="shared" si="5"/>
        <v>700</v>
      </c>
      <c r="L35" s="458">
        <f t="shared" si="0"/>
        <v>1000</v>
      </c>
      <c r="M35" s="431">
        <f t="shared" si="6"/>
        <v>0</v>
      </c>
      <c r="N35" s="3">
        <f t="shared" si="10"/>
        <v>500</v>
      </c>
      <c r="O35" s="458">
        <f t="shared" si="7"/>
        <v>0</v>
      </c>
      <c r="S35" s="3">
        <f t="shared" si="14"/>
        <v>3</v>
      </c>
      <c r="T35" s="463">
        <f t="shared" si="15"/>
        <v>-50</v>
      </c>
      <c r="U35" s="464">
        <f t="shared" si="11"/>
        <v>-20</v>
      </c>
      <c r="V35" s="464">
        <f t="shared" si="12"/>
        <v>-20</v>
      </c>
      <c r="W35" s="464">
        <f t="shared" si="13"/>
        <v>10</v>
      </c>
    </row>
    <row r="36" spans="2:23" ht="15.75" customHeight="1">
      <c r="B36" s="3">
        <f t="shared" si="1"/>
        <v>14</v>
      </c>
      <c r="C36" s="462"/>
      <c r="D36" s="457"/>
      <c r="E36" s="461">
        <v>0</v>
      </c>
      <c r="F36" s="459">
        <f t="shared" si="8"/>
        <v>0</v>
      </c>
      <c r="G36" s="52">
        <f t="shared" si="2"/>
        <v>0</v>
      </c>
      <c r="H36" s="459">
        <f t="shared" si="9"/>
        <v>300</v>
      </c>
      <c r="I36" s="460">
        <f t="shared" si="3"/>
        <v>600</v>
      </c>
      <c r="J36" s="460">
        <f t="shared" si="4"/>
        <v>-100</v>
      </c>
      <c r="K36" s="460">
        <f t="shared" si="5"/>
        <v>700</v>
      </c>
      <c r="L36" s="458">
        <f t="shared" si="0"/>
        <v>1000</v>
      </c>
      <c r="M36" s="431">
        <f t="shared" si="6"/>
        <v>0</v>
      </c>
      <c r="N36" s="3">
        <f t="shared" si="10"/>
        <v>500</v>
      </c>
      <c r="O36" s="458">
        <f t="shared" si="7"/>
        <v>0</v>
      </c>
      <c r="S36" s="3">
        <f t="shared" si="14"/>
        <v>4</v>
      </c>
      <c r="T36" s="463">
        <f t="shared" si="15"/>
        <v>-30</v>
      </c>
      <c r="U36" s="464">
        <f t="shared" si="11"/>
        <v>0</v>
      </c>
      <c r="V36" s="464">
        <f t="shared" si="12"/>
        <v>0</v>
      </c>
      <c r="W36" s="464">
        <f t="shared" si="13"/>
        <v>30</v>
      </c>
    </row>
    <row r="37" spans="2:23" ht="15.75" customHeight="1">
      <c r="B37" s="3">
        <f t="shared" si="1"/>
        <v>15</v>
      </c>
      <c r="C37" s="462"/>
      <c r="D37" s="457"/>
      <c r="E37" s="461">
        <v>0</v>
      </c>
      <c r="F37" s="459">
        <f t="shared" si="8"/>
        <v>0</v>
      </c>
      <c r="G37" s="52">
        <f t="shared" si="2"/>
        <v>0</v>
      </c>
      <c r="H37" s="459">
        <f t="shared" si="9"/>
        <v>300</v>
      </c>
      <c r="I37" s="460">
        <f t="shared" si="3"/>
        <v>600</v>
      </c>
      <c r="J37" s="460">
        <f t="shared" si="4"/>
        <v>-100</v>
      </c>
      <c r="K37" s="460">
        <f t="shared" si="5"/>
        <v>700</v>
      </c>
      <c r="L37" s="458">
        <f t="shared" si="0"/>
        <v>1000</v>
      </c>
      <c r="M37" s="431">
        <f t="shared" si="6"/>
        <v>0</v>
      </c>
      <c r="N37" s="3">
        <f t="shared" si="10"/>
        <v>500</v>
      </c>
      <c r="O37" s="458">
        <f t="shared" si="7"/>
        <v>0</v>
      </c>
      <c r="S37" s="3">
        <f t="shared" si="14"/>
        <v>5</v>
      </c>
      <c r="T37" s="463">
        <f t="shared" si="15"/>
        <v>-10</v>
      </c>
      <c r="U37" s="464">
        <f t="shared" si="11"/>
        <v>20</v>
      </c>
      <c r="V37" s="464">
        <f t="shared" si="12"/>
        <v>20</v>
      </c>
      <c r="W37" s="464">
        <f t="shared" si="13"/>
        <v>50</v>
      </c>
    </row>
    <row r="38" spans="2:23" ht="15.75" customHeight="1">
      <c r="B38" s="3">
        <f t="shared" si="1"/>
        <v>16</v>
      </c>
      <c r="C38" s="462"/>
      <c r="D38" s="457"/>
      <c r="E38" s="461">
        <v>0</v>
      </c>
      <c r="F38" s="459">
        <f t="shared" si="8"/>
        <v>0</v>
      </c>
      <c r="G38" s="52">
        <f t="shared" si="2"/>
        <v>0</v>
      </c>
      <c r="H38" s="459">
        <f t="shared" si="9"/>
        <v>300</v>
      </c>
      <c r="I38" s="460">
        <f t="shared" si="3"/>
        <v>600</v>
      </c>
      <c r="J38" s="460">
        <f t="shared" si="4"/>
        <v>-100</v>
      </c>
      <c r="K38" s="460">
        <f t="shared" si="5"/>
        <v>700</v>
      </c>
      <c r="L38" s="458">
        <f t="shared" si="0"/>
        <v>1000</v>
      </c>
      <c r="M38" s="431">
        <f t="shared" si="6"/>
        <v>0</v>
      </c>
      <c r="N38" s="3">
        <f t="shared" si="10"/>
        <v>500</v>
      </c>
      <c r="O38" s="458">
        <f t="shared" si="7"/>
        <v>0</v>
      </c>
      <c r="S38" s="3">
        <f t="shared" si="14"/>
        <v>6</v>
      </c>
      <c r="T38" s="463">
        <f t="shared" si="15"/>
        <v>10</v>
      </c>
      <c r="U38" s="464">
        <f t="shared" si="11"/>
        <v>40</v>
      </c>
      <c r="V38" s="464">
        <f t="shared" si="12"/>
        <v>40</v>
      </c>
      <c r="W38" s="464">
        <f t="shared" si="13"/>
        <v>70</v>
      </c>
    </row>
    <row r="39" spans="2:23" ht="15.75" customHeight="1">
      <c r="D39" s="465"/>
      <c r="E39" s="466"/>
      <c r="F39" s="465"/>
      <c r="G39" s="14"/>
      <c r="H39" s="465"/>
      <c r="I39" s="14"/>
      <c r="J39" s="14"/>
      <c r="K39" s="14"/>
      <c r="L39" s="466"/>
      <c r="M39" s="465"/>
      <c r="N39" s="14"/>
      <c r="O39" s="466"/>
      <c r="S39" s="3">
        <f t="shared" si="14"/>
        <v>7</v>
      </c>
      <c r="T39" s="463">
        <f t="shared" si="15"/>
        <v>30</v>
      </c>
      <c r="U39" s="464">
        <f t="shared" si="11"/>
        <v>60</v>
      </c>
      <c r="V39" s="464">
        <f t="shared" si="12"/>
        <v>60</v>
      </c>
      <c r="W39" s="464">
        <f t="shared" si="13"/>
        <v>90</v>
      </c>
    </row>
    <row r="40" spans="2:23" ht="15.75" customHeight="1">
      <c r="M40" s="3" t="s">
        <v>812</v>
      </c>
      <c r="S40" s="3">
        <f t="shared" si="14"/>
        <v>8</v>
      </c>
      <c r="T40" s="463">
        <f t="shared" si="15"/>
        <v>50</v>
      </c>
      <c r="U40" s="464">
        <f t="shared" si="11"/>
        <v>80</v>
      </c>
      <c r="V40" s="464">
        <f t="shared" si="12"/>
        <v>80</v>
      </c>
      <c r="W40" s="464">
        <f t="shared" si="13"/>
        <v>110</v>
      </c>
    </row>
    <row r="41" spans="2:23" ht="15.75" customHeight="1">
      <c r="M41" s="3" t="s">
        <v>813</v>
      </c>
      <c r="S41" s="3">
        <f t="shared" si="14"/>
        <v>9</v>
      </c>
      <c r="T41" s="463">
        <f t="shared" si="15"/>
        <v>70</v>
      </c>
      <c r="U41" s="464">
        <f t="shared" si="11"/>
        <v>100</v>
      </c>
      <c r="V41" s="464">
        <f t="shared" si="12"/>
        <v>100</v>
      </c>
      <c r="W41" s="464">
        <f t="shared" si="13"/>
        <v>130</v>
      </c>
    </row>
    <row r="42" spans="2:23" ht="15.75" customHeight="1">
      <c r="C42" s="467" t="s">
        <v>814</v>
      </c>
      <c r="S42" s="3">
        <f t="shared" si="14"/>
        <v>10</v>
      </c>
      <c r="T42" s="463">
        <f t="shared" si="15"/>
        <v>90</v>
      </c>
      <c r="U42" s="464">
        <f t="shared" si="11"/>
        <v>120</v>
      </c>
      <c r="V42" s="464">
        <f t="shared" si="12"/>
        <v>120</v>
      </c>
      <c r="W42" s="464">
        <f t="shared" si="13"/>
        <v>150</v>
      </c>
    </row>
    <row r="43" spans="2:23" ht="15.75" customHeight="1">
      <c r="T43" s="463"/>
      <c r="U43" s="464"/>
      <c r="V43" s="464"/>
      <c r="W43" s="464"/>
    </row>
    <row r="44" spans="2:23" ht="15.75" customHeight="1">
      <c r="C44" s="427" t="s">
        <v>815</v>
      </c>
      <c r="D44" s="468" t="s">
        <v>816</v>
      </c>
      <c r="E44" s="468" t="s">
        <v>817</v>
      </c>
      <c r="F44" s="427" t="s">
        <v>755</v>
      </c>
      <c r="T44" s="463"/>
      <c r="U44" s="464"/>
      <c r="V44" s="464"/>
      <c r="W44" s="464"/>
    </row>
    <row r="45" spans="2:23" ht="15.75" customHeight="1">
      <c r="C45" s="7" t="str">
        <f t="shared" ref="C45:C54" si="16">IF(E45-D45&gt;0,IF(E45&gt;0,"B","BC"),IF(E45&lt;0,"SS","S"))</f>
        <v>SS</v>
      </c>
      <c r="D45" s="3">
        <v>-10</v>
      </c>
      <c r="E45" s="3">
        <v>-20</v>
      </c>
      <c r="F45" s="3" t="s">
        <v>818</v>
      </c>
    </row>
    <row r="46" spans="2:23" ht="15.75" customHeight="1">
      <c r="C46" s="7" t="str">
        <f t="shared" si="16"/>
        <v>BC</v>
      </c>
      <c r="D46" s="3">
        <v>-10</v>
      </c>
      <c r="E46" s="3">
        <v>-5</v>
      </c>
      <c r="F46" s="3" t="s">
        <v>819</v>
      </c>
    </row>
    <row r="47" spans="2:23" ht="15.75" customHeight="1">
      <c r="C47" s="7" t="str">
        <f t="shared" si="16"/>
        <v>BC</v>
      </c>
      <c r="D47" s="3">
        <v>-10</v>
      </c>
      <c r="E47" s="3">
        <v>0</v>
      </c>
      <c r="F47" s="3" t="s">
        <v>819</v>
      </c>
    </row>
    <row r="48" spans="2:23" ht="15.75" customHeight="1">
      <c r="C48" s="7" t="str">
        <f t="shared" si="16"/>
        <v>B</v>
      </c>
      <c r="D48" s="3">
        <v>-10</v>
      </c>
      <c r="E48" s="3">
        <v>8</v>
      </c>
      <c r="F48" s="110" t="s">
        <v>820</v>
      </c>
      <c r="G48" s="3" t="s">
        <v>821</v>
      </c>
    </row>
    <row r="49" spans="2:13" ht="15.75" customHeight="1">
      <c r="C49" s="7" t="str">
        <f t="shared" si="16"/>
        <v>SS</v>
      </c>
      <c r="D49" s="3">
        <v>0</v>
      </c>
      <c r="E49" s="3">
        <v>-10</v>
      </c>
      <c r="F49" s="3" t="s">
        <v>818</v>
      </c>
    </row>
    <row r="50" spans="2:13" ht="15.75" customHeight="1">
      <c r="C50" s="7" t="str">
        <f t="shared" si="16"/>
        <v>B</v>
      </c>
      <c r="D50" s="3">
        <v>0</v>
      </c>
      <c r="E50" s="3">
        <v>10</v>
      </c>
      <c r="F50" s="3" t="s">
        <v>822</v>
      </c>
    </row>
    <row r="51" spans="2:13" ht="15.75" customHeight="1">
      <c r="C51" s="7" t="str">
        <f t="shared" si="16"/>
        <v>SS</v>
      </c>
      <c r="D51" s="3">
        <v>10</v>
      </c>
      <c r="E51" s="3">
        <v>-6</v>
      </c>
      <c r="F51" s="110" t="s">
        <v>820</v>
      </c>
      <c r="G51" s="3" t="s">
        <v>821</v>
      </c>
    </row>
    <row r="52" spans="2:13" ht="15.75" customHeight="1">
      <c r="C52" s="7" t="str">
        <f t="shared" si="16"/>
        <v>S</v>
      </c>
      <c r="D52" s="3">
        <v>10</v>
      </c>
      <c r="E52" s="3">
        <v>0</v>
      </c>
      <c r="F52" s="3" t="s">
        <v>823</v>
      </c>
    </row>
    <row r="53" spans="2:13" ht="15.75" customHeight="1">
      <c r="C53" s="7" t="str">
        <f t="shared" si="16"/>
        <v>S</v>
      </c>
      <c r="D53" s="3">
        <v>10</v>
      </c>
      <c r="E53" s="3">
        <v>5</v>
      </c>
      <c r="F53" s="3" t="s">
        <v>823</v>
      </c>
    </row>
    <row r="54" spans="2:13" ht="15.75" customHeight="1">
      <c r="C54" s="7" t="str">
        <f t="shared" si="16"/>
        <v>B</v>
      </c>
      <c r="D54" s="3">
        <v>10</v>
      </c>
      <c r="E54" s="3">
        <v>13</v>
      </c>
      <c r="F54" s="3" t="s">
        <v>822</v>
      </c>
    </row>
    <row r="57" spans="2:13" ht="15.75" customHeight="1">
      <c r="B57" s="467" t="s">
        <v>824</v>
      </c>
    </row>
    <row r="58" spans="2:13" ht="15.75" customHeight="1">
      <c r="C58" s="3" t="s">
        <v>825</v>
      </c>
      <c r="D58" s="3" t="s">
        <v>39</v>
      </c>
      <c r="E58" s="3" t="s">
        <v>41</v>
      </c>
      <c r="F58" s="3" t="s">
        <v>31</v>
      </c>
      <c r="G58" s="3" t="s">
        <v>470</v>
      </c>
      <c r="H58" s="3" t="s">
        <v>474</v>
      </c>
      <c r="I58" s="3" t="s">
        <v>608</v>
      </c>
      <c r="J58" s="3" t="s">
        <v>485</v>
      </c>
      <c r="K58" s="3" t="s">
        <v>37</v>
      </c>
      <c r="L58" s="3" t="s">
        <v>487</v>
      </c>
      <c r="M58" s="3" t="s">
        <v>34</v>
      </c>
    </row>
    <row r="59" spans="2:13" ht="15.75" customHeight="1">
      <c r="B59" s="3" t="s">
        <v>826</v>
      </c>
      <c r="C59" s="3" t="s">
        <v>39</v>
      </c>
      <c r="D59" s="469"/>
      <c r="E59" s="470">
        <f ca="1">IFERROR(__xludf.DUMMYFUNCTION("googlefinance(""Currency:"" &amp; $C59&amp;E$58)"),0.12833181)</f>
        <v>0.12833180999999999</v>
      </c>
      <c r="F59" s="470">
        <f ca="1">IFERROR(__xludf.DUMMYFUNCTION("googlefinance(""Currency:"" &amp; $C59&amp;F$58)"),14.79088276)</f>
        <v>14.790882760000001</v>
      </c>
      <c r="G59" s="470">
        <f ca="1">IFERROR(__xludf.DUMMYFUNCTION("googlefinance(""Currency:"" &amp; $C59&amp;G$58)"),0.1637963056)</f>
        <v>0.1637963056</v>
      </c>
      <c r="H59" s="470">
        <f ca="1">IFERROR(__xludf.DUMMYFUNCTION("googlefinance(""Currency:"" &amp; $C59&amp;H$58)"),9.630853179)</f>
        <v>9.6308531790000007</v>
      </c>
      <c r="I59" s="470">
        <f ca="1">IFERROR(__xludf.DUMMYFUNCTION("googlefinance(""Currency:"" &amp; $C59&amp;I$58)"),5425.22726699999)</f>
        <v>5425.2272669999902</v>
      </c>
      <c r="J59" s="470">
        <f ca="1">IFERROR(__xludf.DUMMYFUNCTION("googlefinance(""Currency:"" &amp; $C59&amp;J$58)"),10.03481605)</f>
        <v>10.03481605</v>
      </c>
      <c r="K59" s="470">
        <f ca="1">IFERROR(__xludf.DUMMYFUNCTION("googlefinance(""Currency:"" &amp; $C59&amp;K$58)"),0.1151174835)</f>
        <v>0.11511748350000001</v>
      </c>
      <c r="L59" s="470">
        <f ca="1">IFERROR(__xludf.DUMMYFUNCTION("googlefinance(""Currency:"" &amp; $C59&amp;L$58)"),0.1738896025)</f>
        <v>0.17388960249999999</v>
      </c>
      <c r="M59" s="471">
        <f ca="1">IFERROR(__xludf.DUMMYFUNCTION("googlefinance(""Currency:"" &amp; $C59&amp;M$58)"),0.0957307178099999)</f>
        <v>9.5730717809999893E-2</v>
      </c>
    </row>
    <row r="60" spans="2:13" ht="15.75" customHeight="1">
      <c r="B60" s="3" t="s">
        <v>827</v>
      </c>
      <c r="C60" s="3" t="s">
        <v>41</v>
      </c>
      <c r="D60" s="472">
        <f ca="1">IFERROR(__xludf.DUMMYFUNCTION("googlefinance(""Currency:"" &amp; $C60&amp;D$58)"),7.7923)</f>
        <v>7.7923</v>
      </c>
      <c r="E60" s="473"/>
      <c r="F60" s="473">
        <f ca="1">IFERROR(__xludf.DUMMYFUNCTION("googlefinance(""Currency:"" &amp; $C60&amp;F$58)"),115.255)</f>
        <v>115.255</v>
      </c>
      <c r="G60" s="473">
        <f ca="1">IFERROR(__xludf.DUMMYFUNCTION("googlefinance(""Currency:"" &amp; $C60&amp;G$58)"),1.27634999999999)</f>
        <v>1.2763499999999901</v>
      </c>
      <c r="H60" s="473">
        <f ca="1">IFERROR(__xludf.DUMMYFUNCTION("googlefinance(""Currency:"" &amp; $C60&amp;H$58)"),75.0465)</f>
        <v>75.046499999999995</v>
      </c>
      <c r="I60" s="473">
        <f ca="1">IFERROR(__xludf.DUMMYFUNCTION("googlefinance(""Currency:"" &amp; $C60&amp;I$58)"),42275)</f>
        <v>42275</v>
      </c>
      <c r="J60" s="473">
        <f ca="1">IFERROR(__xludf.DUMMYFUNCTION("googlefinance(""Currency:"" &amp; $C60&amp;J$58)"),78.1943)</f>
        <v>78.194299999999998</v>
      </c>
      <c r="K60" s="473">
        <f ca="1">IFERROR(__xludf.DUMMYFUNCTION("googlefinance(""Currency:"" &amp; $C60&amp;K$58)"),0.89703)</f>
        <v>0.89702999999999999</v>
      </c>
      <c r="L60" s="473">
        <f ca="1">IFERROR(__xludf.DUMMYFUNCTION("googlefinance(""Currency:"" &amp; $C60&amp;L$58)"),1.355)</f>
        <v>1.355</v>
      </c>
      <c r="M60" s="474">
        <f ca="1">IFERROR(__xludf.DUMMYFUNCTION("googlefinance(""Currency:"" &amp; $C60&amp;M$58)"),0.7459625)</f>
        <v>0.74596249999999997</v>
      </c>
    </row>
    <row r="61" spans="2:13" ht="15.75" customHeight="1">
      <c r="B61" s="3" t="s">
        <v>442</v>
      </c>
      <c r="C61" s="3" t="s">
        <v>31</v>
      </c>
      <c r="D61" s="472">
        <f ca="1">IFERROR(__xludf.DUMMYFUNCTION("googlefinance(""Currency:"" &amp; $C61&amp;D$58)"),0.06760921301)</f>
        <v>6.7609213010000002E-2</v>
      </c>
      <c r="E61" s="473">
        <f ca="1">IFERROR(__xludf.DUMMYFUNCTION("googlefinance(""Currency:"" &amp; $C61&amp;E$58)"),0.008676413)</f>
        <v>8.6764129999999991E-3</v>
      </c>
      <c r="F61" s="473"/>
      <c r="G61" s="473">
        <f ca="1">IFERROR(__xludf.DUMMYFUNCTION("googlefinance(""Currency:"" &amp; $C61&amp;G$58)"),0.01108545)</f>
        <v>1.108545E-2</v>
      </c>
      <c r="H61" s="473">
        <f ca="1">IFERROR(__xludf.DUMMYFUNCTION("googlefinance(""Currency:"" &amp; $C61&amp;H$58)"),0.6511344282)</f>
        <v>0.6511344282</v>
      </c>
      <c r="I61" s="473">
        <f ca="1">IFERROR(__xludf.DUMMYFUNCTION("googlefinance(""Currency:"" &amp; $C61&amp;I$58)"),366.795359499999)</f>
        <v>366.79535949999899</v>
      </c>
      <c r="J61" s="473">
        <f ca="1">IFERROR(__xludf.DUMMYFUNCTION("googlefinance(""Currency:"" &amp; $C61&amp;J$58)"),0.678446041)</f>
        <v>0.67844604100000006</v>
      </c>
      <c r="K61" s="473">
        <f ca="1">IFERROR(__xludf.DUMMYFUNCTION("googlefinance(""Currency:"" &amp; $C61&amp;K$58)"),0.00778309)</f>
        <v>7.7830900000000003E-3</v>
      </c>
      <c r="L61" s="473">
        <f ca="1">IFERROR(__xludf.DUMMYFUNCTION("googlefinance(""Currency:"" &amp; $C61&amp;L$58)"),0.01175653961)</f>
        <v>1.175653961E-2</v>
      </c>
      <c r="M61" s="474">
        <f ca="1">IFERROR(__xludf.DUMMYFUNCTION("googlefinance(""Currency:"" &amp; $C61&amp;M$58)"),0.006472278732)</f>
        <v>6.4722787320000003E-3</v>
      </c>
    </row>
    <row r="62" spans="2:13" ht="15.75" customHeight="1">
      <c r="B62" s="3" t="s">
        <v>435</v>
      </c>
      <c r="C62" s="3" t="s">
        <v>470</v>
      </c>
      <c r="D62" s="472">
        <f ca="1">IFERROR(__xludf.DUMMYFUNCTION("googlefinance(""Currency:"" &amp; $C62&amp;D$58)"),6.103089102)</f>
        <v>6.1030891020000002</v>
      </c>
      <c r="E62" s="473">
        <f ca="1">IFERROR(__xludf.DUMMYFUNCTION("googlefinance(""Currency:"" &amp; $C62&amp;E$58)"),0.7832205)</f>
        <v>0.78322049999999999</v>
      </c>
      <c r="F62" s="473">
        <f ca="1">IFERROR(__xludf.DUMMYFUNCTION("googlefinance(""Currency:"" &amp; $C62&amp;F$58)"),90.27007)</f>
        <v>90.270070000000004</v>
      </c>
      <c r="G62" s="473"/>
      <c r="H62" s="473">
        <f ca="1">IFERROR(__xludf.DUMMYFUNCTION("googlefinance(""Currency:"" &amp; $C62&amp;H$58)"),58.77795725)</f>
        <v>58.77795725</v>
      </c>
      <c r="I62" s="473">
        <f ca="1">IFERROR(__xludf.DUMMYFUNCTION("googlefinance(""Currency:"" &amp; $C62&amp;I$58)"),33110.64663)</f>
        <v>33110.646630000003</v>
      </c>
      <c r="J62" s="473">
        <f ca="1">IFERROR(__xludf.DUMMYFUNCTION("googlefinance(""Currency:"" &amp; $C62&amp;J$58)"),61.24338)</f>
        <v>61.243380000000002</v>
      </c>
      <c r="K62" s="473">
        <f ca="1">IFERROR(__xludf.DUMMYFUNCTION("googlefinance(""Currency:"" &amp; $C62&amp;K$58)"),0.7020993)</f>
        <v>0.70209929999999998</v>
      </c>
      <c r="L62" s="473">
        <f ca="1">IFERROR(__xludf.DUMMYFUNCTION("googlefinance(""Currency:"" &amp; $C62&amp;L$58)"),1.061263777)</f>
        <v>1.061263777</v>
      </c>
      <c r="M62" s="474">
        <f ca="1">IFERROR(__xludf.DUMMYFUNCTION("googlefinance(""Currency:"" &amp; $C62&amp;M$58)"),0.5842531222)</f>
        <v>0.58425312220000003</v>
      </c>
    </row>
    <row r="63" spans="2:13" ht="15.75" customHeight="1">
      <c r="B63" s="3" t="s">
        <v>828</v>
      </c>
      <c r="C63" s="3" t="s">
        <v>474</v>
      </c>
      <c r="D63" s="472">
        <f ca="1">IFERROR(__xludf.DUMMYFUNCTION("googlefinance(""Currency:"" &amp; $C63&amp;D$58)"),0.1038329429)</f>
        <v>0.1038329429</v>
      </c>
      <c r="E63" s="473">
        <f ca="1">IFERROR(__xludf.DUMMYFUNCTION("googlefinance(""Currency:"" &amp; $C63&amp;E$58)"),0.01332507)</f>
        <v>1.332507E-2</v>
      </c>
      <c r="F63" s="473">
        <f ca="1">IFERROR(__xludf.DUMMYFUNCTION("googlefinance(""Currency:"" &amp; $C63&amp;F$58)"),1.536169)</f>
        <v>1.5361689999999999</v>
      </c>
      <c r="G63" s="473">
        <f ca="1">IFERROR(__xludf.DUMMYFUNCTION("googlefinance(""Currency:"" &amp; $C63&amp;G$58)"),0.01702914)</f>
        <v>1.7029140000000002E-2</v>
      </c>
      <c r="H63" s="473"/>
      <c r="I63" s="473">
        <f ca="1">IFERROR(__xludf.DUMMYFUNCTION("googlefinance(""Currency:"" &amp; $C63&amp;I$58)"),563.3173342)</f>
        <v>563.3173342</v>
      </c>
      <c r="J63" s="473">
        <f ca="1">IFERROR(__xludf.DUMMYFUNCTION("googlefinance(""Currency:"" &amp; $C63&amp;J$58)"),1.041944521)</f>
        <v>1.041944521</v>
      </c>
      <c r="K63" s="473">
        <f ca="1">IFERROR(__xludf.DUMMYFUNCTION("googlefinance(""Currency:"" &amp; $C63&amp;K$58)"),0.01195616)</f>
        <v>1.195616E-2</v>
      </c>
      <c r="L63" s="473">
        <f ca="1">IFERROR(__xludf.DUMMYFUNCTION("googlefinance(""Currency:"" &amp; $C63&amp;L$58)"),0.01805546985)</f>
        <v>1.8055469849999999E-2</v>
      </c>
      <c r="M63" s="474">
        <f ca="1">IFERROR(__xludf.DUMMYFUNCTION("googlefinance(""Currency:"" &amp; $C63&amp;M$58)"),0.009940002529)</f>
        <v>9.9400025289999999E-3</v>
      </c>
    </row>
    <row r="64" spans="2:13" ht="15.75" customHeight="1">
      <c r="B64" s="3" t="s">
        <v>607</v>
      </c>
      <c r="C64" s="3" t="s">
        <v>608</v>
      </c>
      <c r="D64" s="472">
        <f ca="1">IFERROR(__xludf.DUMMYFUNCTION("googlefinance(""Currency:"" &amp; $C64&amp;D$58)"),0.0001843240668)</f>
        <v>1.843240668E-4</v>
      </c>
      <c r="E64" s="473">
        <f ca="1">IFERROR(__xludf.DUMMYFUNCTION("googlefinance(""Currency:"" &amp; $C64&amp;E$58)"),0.000023654642)</f>
        <v>2.3654642E-5</v>
      </c>
      <c r="F64" s="473">
        <f ca="1">IFERROR(__xludf.DUMMYFUNCTION("googlefinance(""Currency:"" &amp; $C64&amp;F$58)"),0.002726315763)</f>
        <v>2.726315763E-3</v>
      </c>
      <c r="G64" s="473">
        <f ca="1">IFERROR(__xludf.DUMMYFUNCTION("googlefinance(""Currency:"" &amp; $C64&amp;G$58)"),0.00003019160231)</f>
        <v>3.0191602310000001E-5</v>
      </c>
      <c r="H64" s="473">
        <f ca="1">IFERROR(__xludf.DUMMYFUNCTION("googlefinance(""Currency:"" &amp; $C64&amp;H$58)"),0.00177519809)</f>
        <v>1.77519809E-3</v>
      </c>
      <c r="I64" s="473"/>
      <c r="J64" s="473">
        <f ca="1">IFERROR(__xludf.DUMMYFUNCTION("googlefinance(""Currency:"" &amp; $C64&amp;J$58)"),0.00184965817199999)</f>
        <v>1.8496581719999901E-3</v>
      </c>
      <c r="K64" s="473">
        <f ca="1">IFERROR(__xludf.DUMMYFUNCTION("googlefinance(""Currency:"" &amp; $C64&amp;K$58)"),0.00002121892351)</f>
        <v>2.1218923509999998E-5</v>
      </c>
      <c r="L64" s="473">
        <f ca="1">IFERROR(__xludf.DUMMYFUNCTION("googlefinance(""Currency:"" &amp; $C64&amp;L$58)"),0.00003205203991)</f>
        <v>3.2052039909999998E-5</v>
      </c>
      <c r="M64" s="474">
        <f ca="1">IFERROR(__xludf.DUMMYFUNCTION("googlefinance(""Currency:"" &amp; $C64&amp;M$58)"),0.00001764547588)</f>
        <v>1.7645475879999999E-5</v>
      </c>
    </row>
    <row r="65" spans="2:13" ht="15.75" customHeight="1">
      <c r="B65" s="3" t="s">
        <v>452</v>
      </c>
      <c r="C65" s="3" t="s">
        <v>485</v>
      </c>
      <c r="D65" s="472">
        <f ca="1">IFERROR(__xludf.DUMMYFUNCTION("googlefinance(""Currency:"" &amp; $C65&amp;D$58)"),0.099663517)</f>
        <v>9.9663516999999993E-2</v>
      </c>
      <c r="E65" s="473">
        <f ca="1">IFERROR(__xludf.DUMMYFUNCTION("googlefinance(""Currency:"" &amp; $C65&amp;E$58)"),0.01279)</f>
        <v>1.2789999999999999E-2</v>
      </c>
      <c r="F65" s="473">
        <f ca="1">IFERROR(__xludf.DUMMYFUNCTION("googlefinance(""Currency:"" &amp; $C65&amp;F$58)"),1.47411145)</f>
        <v>1.4741114500000001</v>
      </c>
      <c r="G65" s="473">
        <f ca="1">IFERROR(__xludf.DUMMYFUNCTION("googlefinance(""Currency:"" &amp; $C65&amp;G$58)"),0.0163245165)</f>
        <v>1.63245165E-2</v>
      </c>
      <c r="H65" s="473">
        <f ca="1">IFERROR(__xludf.DUMMYFUNCTION("googlefinance(""Currency:"" &amp; $C65&amp;H$58)"),0.959844735)</f>
        <v>0.959844735</v>
      </c>
      <c r="I65" s="473">
        <f ca="1">IFERROR(__xludf.DUMMYFUNCTION("googlefinance(""Currency:"" &amp; $C65&amp;I$58)"),540.697249999999)</f>
        <v>540.69724999999903</v>
      </c>
      <c r="J65" s="473"/>
      <c r="K65" s="473">
        <f ca="1">IFERROR(__xludf.DUMMYFUNCTION("googlefinance(""Currency:"" &amp; $C65&amp;K$58)"),0.01147479)</f>
        <v>1.147479E-2</v>
      </c>
      <c r="L65" s="473">
        <f ca="1">IFERROR(__xludf.DUMMYFUNCTION("googlefinance(""Currency:"" &amp; $C65&amp;L$58)"),0.0173304499999999)</f>
        <v>1.73304499999999E-2</v>
      </c>
      <c r="M65" s="474">
        <f ca="1">IFERROR(__xludf.DUMMYFUNCTION("googlefinance(""Currency:"" &amp; $C65&amp;M$58)"),0.009540860375)</f>
        <v>9.5408603749999998E-3</v>
      </c>
    </row>
    <row r="66" spans="2:13" ht="15.75" customHeight="1">
      <c r="B66" s="3" t="s">
        <v>829</v>
      </c>
      <c r="C66" s="3" t="s">
        <v>37</v>
      </c>
      <c r="D66" s="472">
        <f ca="1">IFERROR(__xludf.DUMMYFUNCTION("googlefinance(""Currency:"" &amp; $C66&amp;D$58)"),8.6774)</f>
        <v>8.6774000000000004</v>
      </c>
      <c r="E66" s="473">
        <f ca="1">IFERROR(__xludf.DUMMYFUNCTION("googlefinance(""Currency:"" &amp; $C66&amp;E$58)"),1.1145)</f>
        <v>1.1145</v>
      </c>
      <c r="F66" s="473">
        <f ca="1">IFERROR(__xludf.DUMMYFUNCTION("googlefinance(""Currency:"" &amp; $C66&amp;F$58)"),128.4837)</f>
        <v>128.4837</v>
      </c>
      <c r="G66" s="473">
        <f ca="1">IFERROR(__xludf.DUMMYFUNCTION("googlefinance(""Currency:"" &amp; $C66&amp;G$58)"),1.4243)</f>
        <v>1.4242999999999999</v>
      </c>
      <c r="H66" s="473">
        <f ca="1">IFERROR(__xludf.DUMMYFUNCTION("googlefinance(""Currency:"" &amp; $C66&amp;H$58)"),83.63932425)</f>
        <v>83.639324250000001</v>
      </c>
      <c r="I66" s="473">
        <f ca="1">IFERROR(__xludf.DUMMYFUNCTION("googlefinance(""Currency:"" &amp; $C66&amp;I$58)"),47115.4875)</f>
        <v>47115.487500000003</v>
      </c>
      <c r="J66" s="473">
        <f ca="1">IFERROR(__xludf.DUMMYFUNCTION("googlefinance(""Currency:"" &amp; $C66&amp;J$58)"),87.14754735)</f>
        <v>87.147547349999996</v>
      </c>
      <c r="K66" s="473"/>
      <c r="L66" s="473">
        <f ca="1">IFERROR(__xludf.DUMMYFUNCTION("googlefinance(""Currency:"" &amp; $C66&amp;L$58)"),1.51005)</f>
        <v>1.5100499999999999</v>
      </c>
      <c r="M66" s="474">
        <f ca="1">IFERROR(__xludf.DUMMYFUNCTION("googlefinance(""Currency:"" &amp; $C66&amp;M$58)"),0.8313752062)</f>
        <v>0.83137520620000005</v>
      </c>
    </row>
    <row r="67" spans="2:13" ht="15.75" customHeight="1">
      <c r="B67" s="3" t="s">
        <v>454</v>
      </c>
      <c r="C67" s="3" t="s">
        <v>487</v>
      </c>
      <c r="D67" s="472">
        <f ca="1">IFERROR(__xludf.DUMMYFUNCTION("googlefinance(""Currency:"" &amp; $C67&amp;D$58)"),5.750774907)</f>
        <v>5.7507749070000003</v>
      </c>
      <c r="E67" s="473">
        <f ca="1">IFERROR(__xludf.DUMMYFUNCTION("googlefinance(""Currency:"" &amp; $C67&amp;E$58)"),0.73800738)</f>
        <v>0.73800737999999999</v>
      </c>
      <c r="F67" s="473">
        <f ca="1">IFERROR(__xludf.DUMMYFUNCTION("googlefinance(""Currency:"" &amp; $C67&amp;F$58)"),85.05904058)</f>
        <v>85.059040580000001</v>
      </c>
      <c r="G67" s="473">
        <f ca="1">IFERROR(__xludf.DUMMYFUNCTION("googlefinance(""Currency:"" &amp; $C67&amp;G$58)"),0.9419557194)</f>
        <v>0.9419557194</v>
      </c>
      <c r="H67" s="473">
        <f ca="1">IFERROR(__xludf.DUMMYFUNCTION("googlefinance(""Currency:"" &amp; $C67&amp;H$58)"),55.38487084)</f>
        <v>55.384870839999998</v>
      </c>
      <c r="I67" s="473">
        <f ca="1">IFERROR(__xludf.DUMMYFUNCTION("googlefinance(""Currency:"" &amp; $C67&amp;I$58)"),31199.26198)</f>
        <v>31199.261979999999</v>
      </c>
      <c r="J67" s="473">
        <f ca="1">IFERROR(__xludf.DUMMYFUNCTION("googlefinance(""Currency:"" &amp; $C67&amp;J$58)"),57.70797047)</f>
        <v>57.707970469999999</v>
      </c>
      <c r="K67" s="473">
        <f ca="1">IFERROR(__xludf.DUMMYFUNCTION("googlefinance(""Currency:"" &amp; $C67&amp;K$58)"),0.66201476)</f>
        <v>0.66201476000000004</v>
      </c>
      <c r="L67" s="473"/>
      <c r="M67" s="474">
        <f ca="1">IFERROR(__xludf.DUMMYFUNCTION("googlefinance(""Currency:"" &amp; $C67&amp;M$58)"),0.5503275)</f>
        <v>0.55032749999999997</v>
      </c>
    </row>
    <row r="68" spans="2:13" ht="15.75" customHeight="1">
      <c r="B68" s="3" t="s">
        <v>461</v>
      </c>
      <c r="C68" s="3" t="s">
        <v>34</v>
      </c>
      <c r="D68" s="475">
        <f ca="1">IFERROR(__xludf.DUMMYFUNCTION("googlefinance(""Currency:"" &amp; $C68&amp;D$58)"),10.44595997)</f>
        <v>10.445959970000001</v>
      </c>
      <c r="E68" s="476">
        <f ca="1">IFERROR(__xludf.DUMMYFUNCTION("googlefinance(""Currency:"" &amp; $C68&amp;E$58)"),1.340549)</f>
        <v>1.340549</v>
      </c>
      <c r="F68" s="476">
        <f ca="1">IFERROR(__xludf.DUMMYFUNCTION("googlefinance(""Currency:"" &amp; $C68&amp;F$58)"),154.3718)</f>
        <v>154.37180000000001</v>
      </c>
      <c r="G68" s="476">
        <f ca="1">IFERROR(__xludf.DUMMYFUNCTION("googlefinance(""Currency:"" &amp; $C68&amp;G$58)"),1.711282)</f>
        <v>1.711282</v>
      </c>
      <c r="H68" s="476">
        <f ca="1">IFERROR(__xludf.DUMMYFUNCTION("googlefinance(""Currency:"" &amp; $C68&amp;H$58)"),100.6035105)</f>
        <v>100.6035105</v>
      </c>
      <c r="I68" s="476">
        <f ca="1">IFERROR(__xludf.DUMMYFUNCTION("googlefinance(""Currency:"" &amp; $C68&amp;I$58)"),56671.70897)</f>
        <v>56671.70897</v>
      </c>
      <c r="J68" s="476">
        <f ca="1">IFERROR(__xludf.DUMMYFUNCTION("googlefinance(""Currency:"" &amp; $C68&amp;J$58)"),104.823290599999)</f>
        <v>104.823290599999</v>
      </c>
      <c r="K68" s="476">
        <f ca="1">IFERROR(__xludf.DUMMYFUNCTION("googlefinance(""Currency:"" &amp; $C68&amp;K$58)"),1.202512669)</f>
        <v>1.2025126690000001</v>
      </c>
      <c r="L68" s="476">
        <f ca="1">IFERROR(__xludf.DUMMYFUNCTION("googlefinance(""Currency:"" &amp; $C68&amp;L$58)"),1.816443895)</f>
        <v>1.8164438949999999</v>
      </c>
      <c r="M68" s="477"/>
    </row>
    <row r="71" spans="2:13" ht="15.75" customHeight="1">
      <c r="E71" s="3" t="s">
        <v>830</v>
      </c>
    </row>
    <row r="72" spans="2:13" ht="15.75" customHeight="1">
      <c r="D72" s="3" t="s">
        <v>831</v>
      </c>
      <c r="E72" s="3" t="s">
        <v>832</v>
      </c>
    </row>
    <row r="73" spans="2:13" ht="15.75" customHeight="1">
      <c r="D73" s="3" t="s">
        <v>833</v>
      </c>
      <c r="E73" s="3" t="s">
        <v>832</v>
      </c>
    </row>
    <row r="74" spans="2:13" ht="15.75" customHeight="1">
      <c r="D74" s="3" t="s">
        <v>834</v>
      </c>
      <c r="E74" s="3" t="s">
        <v>835</v>
      </c>
    </row>
    <row r="75" spans="2:13" ht="15.75" customHeight="1">
      <c r="D75" s="3" t="s">
        <v>836</v>
      </c>
      <c r="E75" s="3" t="s">
        <v>835</v>
      </c>
    </row>
    <row r="76" spans="2:13" ht="15.75" customHeight="1">
      <c r="D76" s="3" t="s">
        <v>837</v>
      </c>
      <c r="E76" s="3" t="s">
        <v>835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3:I32"/>
  <sheetViews>
    <sheetView showGridLines="0" workbookViewId="0"/>
  </sheetViews>
  <sheetFormatPr baseColWidth="10" defaultColWidth="14.5" defaultRowHeight="15.75" customHeight="1"/>
  <cols>
    <col min="1" max="1" width="6.5" customWidth="1"/>
  </cols>
  <sheetData>
    <row r="3" spans="1:9" ht="15.75" customHeight="1">
      <c r="A3" s="3" t="s">
        <v>838</v>
      </c>
      <c r="I3" s="3" t="s">
        <v>839</v>
      </c>
    </row>
    <row r="4" spans="1:9" ht="15.75" customHeight="1">
      <c r="A4" s="3" t="s">
        <v>840</v>
      </c>
      <c r="I4" s="3" t="s">
        <v>841</v>
      </c>
    </row>
    <row r="5" spans="1:9" ht="15.75" customHeight="1">
      <c r="A5" s="3" t="s">
        <v>842</v>
      </c>
      <c r="B5" s="3" t="s">
        <v>843</v>
      </c>
      <c r="I5" s="3" t="s">
        <v>844</v>
      </c>
    </row>
    <row r="6" spans="1:9" ht="15.75" customHeight="1">
      <c r="B6" s="3" t="s">
        <v>845</v>
      </c>
    </row>
    <row r="10" spans="1:9" ht="15.75" customHeight="1">
      <c r="A10" s="3" t="s">
        <v>846</v>
      </c>
    </row>
    <row r="11" spans="1:9" ht="15.75" customHeight="1">
      <c r="A11" s="3">
        <v>1</v>
      </c>
      <c r="B11" s="3" t="s">
        <v>847</v>
      </c>
    </row>
    <row r="12" spans="1:9" ht="15.75" customHeight="1">
      <c r="A12" s="3">
        <v>2</v>
      </c>
      <c r="B12" s="3" t="s">
        <v>848</v>
      </c>
    </row>
    <row r="13" spans="1:9" ht="15.75" customHeight="1">
      <c r="A13" s="3">
        <v>3</v>
      </c>
      <c r="B13" s="3" t="s">
        <v>849</v>
      </c>
    </row>
    <row r="14" spans="1:9" ht="15.75" customHeight="1">
      <c r="C14" s="478"/>
      <c r="D14" s="3"/>
    </row>
    <row r="15" spans="1:9" ht="15.75" customHeight="1">
      <c r="C15" s="478" t="s">
        <v>850</v>
      </c>
      <c r="D15" s="3"/>
    </row>
    <row r="16" spans="1:9" ht="15.75" customHeight="1">
      <c r="C16" s="3" t="s">
        <v>851</v>
      </c>
      <c r="D16" s="3" t="s">
        <v>852</v>
      </c>
    </row>
    <row r="17" spans="1:4" ht="15.75" customHeight="1">
      <c r="C17" s="3" t="s">
        <v>853</v>
      </c>
      <c r="D17" s="3" t="s">
        <v>854</v>
      </c>
    </row>
    <row r="18" spans="1:4" ht="15.75" customHeight="1">
      <c r="C18" s="479" t="s">
        <v>855</v>
      </c>
    </row>
    <row r="19" spans="1:4" ht="15.75" customHeight="1">
      <c r="C19" s="478"/>
    </row>
    <row r="20" spans="1:4" ht="15.75" customHeight="1">
      <c r="C20" s="478" t="s">
        <v>856</v>
      </c>
    </row>
    <row r="21" spans="1:4" ht="15.75" customHeight="1">
      <c r="C21" s="3" t="s">
        <v>857</v>
      </c>
      <c r="D21" s="3" t="s">
        <v>858</v>
      </c>
    </row>
    <row r="22" spans="1:4" ht="15.75" customHeight="1">
      <c r="D22" s="3" t="s">
        <v>859</v>
      </c>
    </row>
    <row r="27" spans="1:4" ht="15.75" customHeight="1">
      <c r="A27" s="3">
        <v>4</v>
      </c>
      <c r="B27" s="3" t="s">
        <v>860</v>
      </c>
    </row>
    <row r="28" spans="1:4" ht="15.75" customHeight="1">
      <c r="B28" s="3" t="s">
        <v>861</v>
      </c>
    </row>
    <row r="29" spans="1:4" ht="15.75" customHeight="1">
      <c r="A29" s="3"/>
      <c r="B29" s="3"/>
    </row>
    <row r="30" spans="1:4" ht="15.75" customHeight="1">
      <c r="A30" s="3"/>
      <c r="B30" s="3"/>
    </row>
    <row r="31" spans="1:4" ht="15.75" customHeight="1">
      <c r="A31" s="3">
        <v>5</v>
      </c>
      <c r="B31" s="3" t="s">
        <v>862</v>
      </c>
    </row>
    <row r="32" spans="1:4" ht="15.75" customHeight="1">
      <c r="B32" s="3" t="s">
        <v>863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  <outlinePr summaryBelow="0" summaryRight="0"/>
  </sheetPr>
  <dimension ref="A2:F25"/>
  <sheetViews>
    <sheetView showGridLines="0" workbookViewId="0"/>
  </sheetViews>
  <sheetFormatPr baseColWidth="10" defaultColWidth="14.5" defaultRowHeight="15.75" customHeight="1" outlineLevelRow="1"/>
  <cols>
    <col min="3" max="3" width="13.33203125" customWidth="1"/>
    <col min="4" max="4" width="12.6640625" customWidth="1"/>
    <col min="5" max="5" width="15.5" customWidth="1"/>
    <col min="9" max="10" width="10.83203125" customWidth="1"/>
    <col min="11" max="11" width="14.6640625" customWidth="1"/>
    <col min="12" max="12" width="10.83203125" customWidth="1"/>
  </cols>
  <sheetData>
    <row r="2" spans="1:6" ht="67.5" customHeight="1">
      <c r="A2" s="480" t="str">
        <f t="shared" ref="A2:C2" si="0">A3</f>
        <v>Acct#</v>
      </c>
      <c r="B2" s="481" t="str">
        <f t="shared" si="0"/>
        <v>Asset Class Type</v>
      </c>
      <c r="C2" s="480" t="str">
        <f t="shared" si="0"/>
        <v>Asset Class</v>
      </c>
      <c r="D2" s="482" t="str">
        <f t="shared" ref="D2:F2" si="1">RIGHT(D3,LEN(D3)-7)</f>
        <v>Total HKD Proposed Traded Notional</v>
      </c>
      <c r="E2" s="482" t="str">
        <f t="shared" si="1"/>
        <v>Total HKD Proposed Margin Req.</v>
      </c>
      <c r="F2" s="482" t="str">
        <f t="shared" si="1"/>
        <v>Post-Trade Margin Loan Balance</v>
      </c>
    </row>
    <row r="3" spans="1:6" ht="13" outlineLevel="1">
      <c r="A3" s="10" t="s">
        <v>103</v>
      </c>
      <c r="B3" s="76" t="s">
        <v>222</v>
      </c>
      <c r="C3" s="10" t="s">
        <v>110</v>
      </c>
      <c r="D3" s="10" t="s">
        <v>864</v>
      </c>
      <c r="E3" s="10" t="s">
        <v>865</v>
      </c>
      <c r="F3" s="10" t="s">
        <v>866</v>
      </c>
    </row>
    <row r="4" spans="1:6" ht="13">
      <c r="A4" s="10" t="s">
        <v>183</v>
      </c>
      <c r="B4" s="96">
        <v>1</v>
      </c>
      <c r="C4" s="10" t="s">
        <v>16</v>
      </c>
      <c r="D4" s="116">
        <v>239598.75835000008</v>
      </c>
      <c r="E4" s="116">
        <v>-350647.21815000003</v>
      </c>
      <c r="F4" s="116">
        <v>0</v>
      </c>
    </row>
    <row r="5" spans="1:6" ht="13">
      <c r="A5" s="10"/>
      <c r="B5" s="96" t="s">
        <v>174</v>
      </c>
      <c r="C5" s="10" t="s">
        <v>64</v>
      </c>
      <c r="D5" s="116">
        <v>500000</v>
      </c>
      <c r="E5" s="116">
        <v>500000</v>
      </c>
      <c r="F5" s="116">
        <v>0</v>
      </c>
    </row>
    <row r="6" spans="1:6" ht="13">
      <c r="A6" s="10" t="s">
        <v>377</v>
      </c>
      <c r="B6" s="10"/>
      <c r="C6" s="10"/>
      <c r="D6" s="116">
        <v>739598.75835000002</v>
      </c>
      <c r="E6" s="116">
        <v>149352.78185000003</v>
      </c>
      <c r="F6" s="116">
        <v>0</v>
      </c>
    </row>
    <row r="7" spans="1:6" ht="13">
      <c r="A7" s="10" t="s">
        <v>184</v>
      </c>
      <c r="B7" s="96">
        <v>1</v>
      </c>
      <c r="C7" s="10" t="s">
        <v>16</v>
      </c>
      <c r="D7" s="116">
        <v>638243.14439999999</v>
      </c>
      <c r="E7" s="116">
        <v>-687856.85560000001</v>
      </c>
      <c r="F7" s="116">
        <v>187856.85560000001</v>
      </c>
    </row>
    <row r="8" spans="1:6" ht="13">
      <c r="A8" s="10"/>
      <c r="B8" s="96" t="s">
        <v>174</v>
      </c>
      <c r="C8" s="10" t="s">
        <v>64</v>
      </c>
      <c r="D8" s="116">
        <v>500000</v>
      </c>
      <c r="E8" s="116">
        <v>500000</v>
      </c>
      <c r="F8" s="116">
        <v>0</v>
      </c>
    </row>
    <row r="9" spans="1:6" ht="13">
      <c r="A9" s="10" t="s">
        <v>378</v>
      </c>
      <c r="B9" s="10"/>
      <c r="C9" s="10"/>
      <c r="D9" s="116">
        <v>1138243.1444000001</v>
      </c>
      <c r="E9" s="116">
        <v>-187856.85560000001</v>
      </c>
      <c r="F9" s="116">
        <v>187856.85560000001</v>
      </c>
    </row>
    <row r="10" spans="1:6" ht="13">
      <c r="A10" s="10" t="s">
        <v>185</v>
      </c>
      <c r="B10" s="96">
        <v>1</v>
      </c>
      <c r="C10" s="10" t="s">
        <v>16</v>
      </c>
      <c r="D10" s="116">
        <v>-175600</v>
      </c>
      <c r="E10" s="116">
        <v>-175600</v>
      </c>
      <c r="F10" s="116">
        <v>0</v>
      </c>
    </row>
    <row r="11" spans="1:6" ht="13">
      <c r="A11" s="10"/>
      <c r="B11" s="96">
        <v>2</v>
      </c>
      <c r="C11" s="10" t="s">
        <v>18</v>
      </c>
      <c r="D11" s="116">
        <v>-41194.592400000009</v>
      </c>
      <c r="E11" s="116">
        <v>-41194.592400000001</v>
      </c>
      <c r="F11" s="116">
        <v>0</v>
      </c>
    </row>
    <row r="12" spans="1:6" ht="13">
      <c r="A12" s="10"/>
      <c r="B12" s="96">
        <v>4</v>
      </c>
      <c r="C12" s="10" t="s">
        <v>61</v>
      </c>
      <c r="D12" s="116">
        <v>5000</v>
      </c>
      <c r="E12" s="116">
        <v>-5000</v>
      </c>
      <c r="F12" s="116">
        <v>0</v>
      </c>
    </row>
    <row r="13" spans="1:6" ht="13">
      <c r="A13" s="10"/>
      <c r="B13" s="96" t="s">
        <v>174</v>
      </c>
      <c r="C13" s="10" t="s">
        <v>64</v>
      </c>
      <c r="D13" s="116">
        <v>500000</v>
      </c>
      <c r="E13" s="116">
        <v>500000</v>
      </c>
      <c r="F13" s="116">
        <v>0</v>
      </c>
    </row>
    <row r="14" spans="1:6" ht="13">
      <c r="A14" s="10" t="s">
        <v>379</v>
      </c>
      <c r="B14" s="10"/>
      <c r="C14" s="10"/>
      <c r="D14" s="116">
        <v>288205.40759999998</v>
      </c>
      <c r="E14" s="116">
        <v>278205.40759999998</v>
      </c>
      <c r="F14" s="116">
        <v>0</v>
      </c>
    </row>
    <row r="15" spans="1:6" ht="13">
      <c r="A15" s="10" t="s">
        <v>186</v>
      </c>
      <c r="B15" s="96">
        <v>1</v>
      </c>
      <c r="C15" s="10" t="s">
        <v>16</v>
      </c>
      <c r="D15" s="116">
        <v>-103845.5325</v>
      </c>
      <c r="E15" s="116">
        <v>-103845.5325</v>
      </c>
      <c r="F15" s="116">
        <v>0</v>
      </c>
    </row>
    <row r="16" spans="1:6" ht="13">
      <c r="A16" s="10"/>
      <c r="B16" s="96">
        <v>2</v>
      </c>
      <c r="C16" s="10" t="s">
        <v>18</v>
      </c>
      <c r="D16" s="116">
        <v>-14083.967049999999</v>
      </c>
      <c r="E16" s="116">
        <v>-14083.967050000003</v>
      </c>
      <c r="F16" s="116">
        <v>0</v>
      </c>
    </row>
    <row r="17" spans="1:6" ht="13">
      <c r="A17" s="10"/>
      <c r="B17" s="96" t="s">
        <v>174</v>
      </c>
      <c r="C17" s="10" t="s">
        <v>64</v>
      </c>
      <c r="D17" s="116">
        <v>500000</v>
      </c>
      <c r="E17" s="116">
        <v>500000</v>
      </c>
      <c r="F17" s="116">
        <v>0</v>
      </c>
    </row>
    <row r="18" spans="1:6" ht="13">
      <c r="A18" s="10" t="s">
        <v>380</v>
      </c>
      <c r="B18" s="10"/>
      <c r="C18" s="10"/>
      <c r="D18" s="116">
        <v>382070.50044999999</v>
      </c>
      <c r="E18" s="116">
        <v>382070.50044999999</v>
      </c>
      <c r="F18" s="116">
        <v>0</v>
      </c>
    </row>
    <row r="19" spans="1:6" ht="13">
      <c r="A19" s="10" t="s">
        <v>187</v>
      </c>
      <c r="B19" s="96">
        <v>1</v>
      </c>
      <c r="C19" s="10" t="s">
        <v>16</v>
      </c>
      <c r="D19" s="116">
        <v>4800</v>
      </c>
      <c r="E19" s="116">
        <v>-4000</v>
      </c>
      <c r="F19" s="116">
        <v>0</v>
      </c>
    </row>
    <row r="20" spans="1:6" ht="13">
      <c r="A20" s="10"/>
      <c r="B20" s="96">
        <v>2</v>
      </c>
      <c r="C20" s="10" t="s">
        <v>18</v>
      </c>
      <c r="D20" s="116">
        <v>16827.371859999999</v>
      </c>
      <c r="E20" s="116">
        <v>-16827.371859999999</v>
      </c>
      <c r="F20" s="116">
        <v>0</v>
      </c>
    </row>
    <row r="21" spans="1:6" ht="13">
      <c r="A21" s="10"/>
      <c r="B21" s="96">
        <v>3</v>
      </c>
      <c r="C21" s="10" t="s">
        <v>21</v>
      </c>
      <c r="D21" s="116">
        <v>7795.2400000000016</v>
      </c>
      <c r="E21" s="116">
        <v>-38976.200000000012</v>
      </c>
      <c r="F21" s="116">
        <v>0</v>
      </c>
    </row>
    <row r="22" spans="1:6" ht="13">
      <c r="A22" s="10"/>
      <c r="B22" s="96" t="s">
        <v>174</v>
      </c>
      <c r="C22" s="10" t="s">
        <v>64</v>
      </c>
      <c r="D22" s="116">
        <v>500000</v>
      </c>
      <c r="E22" s="116">
        <v>500000</v>
      </c>
      <c r="F22" s="116">
        <v>0</v>
      </c>
    </row>
    <row r="23" spans="1:6" ht="13">
      <c r="A23" s="10" t="s">
        <v>381</v>
      </c>
      <c r="B23" s="10"/>
      <c r="C23" s="10"/>
      <c r="D23" s="116">
        <v>529422.61185999995</v>
      </c>
      <c r="E23" s="116">
        <v>440196.42813999997</v>
      </c>
      <c r="F23" s="116">
        <v>0</v>
      </c>
    </row>
    <row r="24" spans="1:6" ht="13">
      <c r="A24" s="10" t="s">
        <v>188</v>
      </c>
      <c r="B24" s="96" t="s">
        <v>174</v>
      </c>
      <c r="C24" s="10" t="s">
        <v>64</v>
      </c>
      <c r="D24" s="116">
        <v>500000</v>
      </c>
      <c r="E24" s="116">
        <v>500000</v>
      </c>
      <c r="F24" s="116">
        <v>0</v>
      </c>
    </row>
    <row r="25" spans="1:6" ht="13">
      <c r="A25" s="10" t="s">
        <v>382</v>
      </c>
      <c r="B25" s="10"/>
      <c r="C25" s="10"/>
      <c r="D25" s="116">
        <v>500000</v>
      </c>
      <c r="E25" s="116">
        <v>500000</v>
      </c>
      <c r="F25" s="1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histstkp_fake</vt:lpstr>
      <vt:lpstr>example</vt:lpstr>
      <vt:lpstr>Form Responses</vt:lpstr>
      <vt:lpstr>AllSec</vt:lpstr>
      <vt:lpstr>Prelim Check</vt:lpstr>
      <vt:lpstr>HistPrices</vt:lpstr>
      <vt:lpstr>After1stCHK</vt:lpstr>
      <vt:lpstr>1TradeRecord</vt:lpstr>
      <vt:lpstr>1HistTrade</vt:lpstr>
      <vt:lpstr>HistSecRecord</vt:lpstr>
      <vt:lpstr>DbyD</vt:lpstr>
      <vt:lpstr>Trade Record by acct</vt:lpstr>
      <vt:lpstr>PortPerf</vt:lpstr>
      <vt:lpstr>PnL</vt:lpstr>
      <vt:lpstr>ToBeExpired</vt:lpstr>
      <vt:lpstr>Sheet18</vt:lpstr>
      <vt:lpstr>FX</vt:lpstr>
      <vt:lpstr>Margin Rules</vt:lpstr>
      <vt:lpstr>Procedures</vt:lpstr>
      <vt:lpstr>Current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2022-02-01T16:20:43Z</dcterms:modified>
</cp:coreProperties>
</file>